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81.xml" ContentType="application/vnd.openxmlformats-officedocument.drawing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82.xml" ContentType="application/vnd.openxmlformats-officedocument.drawing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quatorialenergia-my.sharepoint.com/personal/maria_paolucci_equatorialenergia_com_br/Documents/"/>
    </mc:Choice>
  </mc:AlternateContent>
  <xr:revisionPtr revIDLastSave="25" documentId="8_{CE1EC580-189C-48AD-8CA7-D50222820433}" xr6:coauthVersionLast="47" xr6:coauthVersionMax="47" xr10:uidLastSave="{16ED4FFA-DE02-4817-87F9-462D492C924D}"/>
  <bookViews>
    <workbookView xWindow="-108" yWindow="-108" windowWidth="23256" windowHeight="12456" tabRatio="800" firstSheet="99" activeTab="104" xr2:uid="{00000000-000D-0000-FFFF-FFFF00000000}"/>
  </bookViews>
  <sheets>
    <sheet name="Atualizações" sheetId="76" r:id="rId1"/>
    <sheet name="Updates" sheetId="89" r:id="rId2"/>
    <sheet name="Cover Page" sheetId="90" r:id="rId3"/>
    <sheet name="Capa" sheetId="1" r:id="rId4"/>
    <sheet name="Operacional" sheetId="53" r:id="rId5"/>
    <sheet name="Operational Indicators" sheetId="91" r:id="rId6"/>
    <sheet name="ESG" sheetId="105" r:id="rId7"/>
    <sheet name="Mercado Distribuição (Pré CP09)" sheetId="12" r:id="rId8"/>
    <sheet name="Mercado Distribuição (Pós CP09)" sheetId="102" r:id="rId9"/>
    <sheet name="Bal. Energético D (Pré CP 09)" sheetId="13" r:id="rId10"/>
    <sheet name="Bal. Energético D (Pós CP 09)" sheetId="101" r:id="rId11"/>
    <sheet name="Perdas Distribuição (Pré CP 09)" sheetId="14" r:id="rId12"/>
    <sheet name="Perdas Distribuição (Pós CP 09)" sheetId="103" r:id="rId13"/>
    <sheet name="Operacional Saneamento" sheetId="44" r:id="rId14"/>
    <sheet name="Operacional Renováveis" sheetId="41" r:id="rId15"/>
    <sheet name="Portfolio de Ativos Renováveis" sheetId="110" r:id="rId16"/>
    <sheet name="IAR PDD" sheetId="104" r:id="rId17"/>
    <sheet name="DEC FEC" sheetId="15" r:id="rId18"/>
    <sheet name="Contratos Distribuição" sheetId="16" r:id="rId19"/>
    <sheet name="DRE ITR" sheetId="48" r:id="rId20"/>
    <sheet name="Standard Income Statement" sheetId="92" r:id="rId21"/>
    <sheet name="DRE ITR Maranhão" sheetId="55" r:id="rId22"/>
    <sheet name="DRE ITR Pará" sheetId="56" r:id="rId23"/>
    <sheet name="DRE ITR Piauí" sheetId="57" r:id="rId24"/>
    <sheet name="DRE ITR Alagoas" sheetId="58" r:id="rId25"/>
    <sheet name="DRE ITR CEEE-D" sheetId="59" r:id="rId26"/>
    <sheet name="DRE ITR CEA" sheetId="60" r:id="rId27"/>
    <sheet name="DRE ITR Goiás" sheetId="61" r:id="rId28"/>
    <sheet name="DRE ITR Echo Participações" sheetId="63" r:id="rId29"/>
    <sheet name="DRE ITR Echo Crescimento" sheetId="64" r:id="rId30"/>
    <sheet name="DRE ITR SPEs" sheetId="62" r:id="rId31"/>
    <sheet name="DRE ITR EQTT" sheetId="65" r:id="rId32"/>
    <sheet name="DRE ITR INTESA" sheetId="66" state="hidden" r:id="rId33"/>
    <sheet name="DRE ITR CSA" sheetId="67" r:id="rId34"/>
    <sheet name="DRE ITR Serviços" sheetId="68" r:id="rId35"/>
    <sheet name="DRE ITR Holding" sheetId="69" r:id="rId36"/>
    <sheet name="DRE ITR Consolidado" sheetId="70" r:id="rId37"/>
    <sheet name="DRE Resumida" sheetId="49" r:id="rId38"/>
    <sheet name="P&amp;L Statement" sheetId="93" r:id="rId39"/>
    <sheet name="DRE Maranhão" sheetId="20" r:id="rId40"/>
    <sheet name="DRE Pará" sheetId="21" r:id="rId41"/>
    <sheet name="DRE Piauí" sheetId="22" r:id="rId42"/>
    <sheet name="DRE Alagoas" sheetId="23" r:id="rId43"/>
    <sheet name="DRE CEEE-D" sheetId="24" r:id="rId44"/>
    <sheet name="DRE CEA" sheetId="25" r:id="rId45"/>
    <sheet name="DRE Goiás" sheetId="26" r:id="rId46"/>
    <sheet name="DRE Intesa IFRS" sheetId="35" state="hidden" r:id="rId47"/>
    <sheet name="DRE Intesa Reg" sheetId="36" state="hidden" r:id="rId48"/>
    <sheet name="DRE EQTT IFRS" sheetId="37" r:id="rId49"/>
    <sheet name="DRE EQTT Reg" sheetId="38" r:id="rId50"/>
    <sheet name="DRE Echo Participações" sheetId="42" r:id="rId51"/>
    <sheet name="DRE Echo Crescimento" sheetId="77" r:id="rId52"/>
    <sheet name="DRE CSA" sheetId="45" r:id="rId53"/>
    <sheet name="DRE EQTL Serviços" sheetId="47" r:id="rId54"/>
    <sheet name="DRE EQTL Holding" sheetId="8" r:id="rId55"/>
    <sheet name="DRE EQTL Cons " sheetId="7" r:id="rId56"/>
    <sheet name="DRE Individual" sheetId="9" r:id="rId57"/>
    <sheet name="Informações Financeiras Aj." sheetId="71" r:id="rId58"/>
    <sheet name="BPs" sheetId="50" r:id="rId59"/>
    <sheet name="Balance Sheet" sheetId="94" r:id="rId60"/>
    <sheet name="BP Maranhão" sheetId="27" r:id="rId61"/>
    <sheet name="BP Pará" sheetId="28" r:id="rId62"/>
    <sheet name="BP Piauí" sheetId="29" r:id="rId63"/>
    <sheet name="BP Alagoas" sheetId="30" r:id="rId64"/>
    <sheet name="BP CEEE-D " sheetId="31" r:id="rId65"/>
    <sheet name="BP CEA" sheetId="32" r:id="rId66"/>
    <sheet name="BP CELG" sheetId="33" r:id="rId67"/>
    <sheet name="BP CSA" sheetId="46" r:id="rId68"/>
    <sheet name="BP EQTL Serviços" sheetId="100" r:id="rId69"/>
    <sheet name="BP Echo Participações" sheetId="43" r:id="rId70"/>
    <sheet name="BP Echo Crescimento" sheetId="73" r:id="rId71"/>
    <sheet name="BP Transmissão" sheetId="39" r:id="rId72"/>
    <sheet name="BP Intesa" sheetId="40" state="hidden" r:id="rId73"/>
    <sheet name="BP EQTL Holding" sheetId="11" r:id="rId74"/>
    <sheet name="BP EQTL Cons" sheetId="109" r:id="rId75"/>
    <sheet name="FCIs" sheetId="79" r:id="rId76"/>
    <sheet name="Cash Flow Statement" sheetId="95" r:id="rId77"/>
    <sheet name="FCI Maranhão" sheetId="80" r:id="rId78"/>
    <sheet name="FCI Pará" sheetId="81" r:id="rId79"/>
    <sheet name="FCI Piauí" sheetId="82" r:id="rId80"/>
    <sheet name="FCI Alagoas" sheetId="83" r:id="rId81"/>
    <sheet name="FCI CEEE-D" sheetId="84" r:id="rId82"/>
    <sheet name="FCI CEA" sheetId="98" r:id="rId83"/>
    <sheet name="FCI GO" sheetId="85" r:id="rId84"/>
    <sheet name="FCI CSA" sheetId="86" r:id="rId85"/>
    <sheet name="FCI Echo Participações" sheetId="106" r:id="rId86"/>
    <sheet name="FCI Echo Crescimento" sheetId="107" r:id="rId87"/>
    <sheet name="FCI EQTL Holding" sheetId="87" r:id="rId88"/>
    <sheet name="FCI EQTL Consolidado" sheetId="108" r:id="rId89"/>
    <sheet name="Dívida e CAPEX" sheetId="51" r:id="rId90"/>
    <sheet name="Debt and Capex" sheetId="96" r:id="rId91"/>
    <sheet name="Dívida Bruta" sheetId="4" r:id="rId92"/>
    <sheet name="Dívida Líquida" sheetId="5" r:id="rId93"/>
    <sheet name="Dívida Detalhada" sheetId="6" r:id="rId94"/>
    <sheet name="Investimentos" sheetId="3" r:id="rId95"/>
    <sheet name="Balanço CVA" sheetId="17" r:id="rId96"/>
    <sheet name="Sistemas Isolados" sheetId="18" r:id="rId97"/>
    <sheet name="Apuração IR CS " sheetId="19" r:id="rId98"/>
    <sheet name="Dados Regulatórios" sheetId="54" r:id="rId99"/>
    <sheet name="Regulatory Data" sheetId="97" r:id="rId100"/>
    <sheet name="Dados Concessões" sheetId="72" r:id="rId101"/>
    <sheet name="Dados Regulatórios Distribuição" sheetId="2" r:id="rId102"/>
    <sheet name="Beneficios Fiscais" sheetId="74" r:id="rId103"/>
    <sheet name="Fluxo Ações Preferenciais" sheetId="99" r:id="rId104"/>
    <sheet name="Tabela Margem Bruta" sheetId="78" r:id="rId105"/>
  </sheets>
  <definedNames>
    <definedName name="_xlnm._FilterDatabase" localSheetId="80" hidden="1">'FCI Alagoas'!$A$6:$B$47</definedName>
    <definedName name="_xlnm._FilterDatabase" localSheetId="82" hidden="1">'FCI CEA'!$A$6:$B$46</definedName>
    <definedName name="_xlnm._FilterDatabase" localSheetId="81" hidden="1">'FCI CEEE-D'!$A$6:$B$47</definedName>
    <definedName name="_xlnm._FilterDatabase" localSheetId="84" hidden="1">'FCI CSA'!$A$6:$B$47</definedName>
    <definedName name="_xlnm._FilterDatabase" localSheetId="86" hidden="1">'FCI Echo Crescimento'!$A$6:$B$30</definedName>
    <definedName name="_xlnm._FilterDatabase" localSheetId="85" hidden="1">'FCI Echo Participações'!$A$6:$B$32</definedName>
    <definedName name="_xlnm._FilterDatabase" localSheetId="88" hidden="1">'FCI EQTL Consolidado'!$A$6:$B$47</definedName>
    <definedName name="_xlnm._FilterDatabase" localSheetId="87" hidden="1">'FCI EQTL Holding'!$A$6:$B$46</definedName>
    <definedName name="_xlnm._FilterDatabase" localSheetId="83" hidden="1">'FCI GO'!$A$6:$B$47</definedName>
    <definedName name="_xlnm._FilterDatabase" localSheetId="77" hidden="1">'FCI Maranhão'!$A$6:$B$47</definedName>
    <definedName name="_xlnm._FilterDatabase" localSheetId="78" hidden="1">'FCI Pará'!$A$6:$B$47</definedName>
    <definedName name="_xlnm._FilterDatabase" localSheetId="79" hidden="1">'FCI Piauí'!$A$6:$B$47</definedName>
    <definedName name="LnkTxtIGPMFatorX" localSheetId="68">#REF!</definedName>
    <definedName name="LnkTxtIGPMFatorX">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2" l="1"/>
  <c r="G9" i="2"/>
  <c r="S79" i="2"/>
  <c r="D36" i="73"/>
  <c r="E36" i="73"/>
  <c r="F36" i="73"/>
  <c r="G36" i="73"/>
  <c r="H36" i="73"/>
  <c r="I36" i="73"/>
  <c r="J36" i="73"/>
  <c r="J60" i="73" s="1"/>
  <c r="J68" i="73" s="1"/>
  <c r="K36" i="73"/>
  <c r="K60" i="73" s="1"/>
  <c r="K68" i="73" s="1"/>
  <c r="K69" i="73" s="1"/>
  <c r="L36" i="73"/>
  <c r="M36" i="73"/>
  <c r="M60" i="73" s="1"/>
  <c r="M68" i="73" s="1"/>
  <c r="M69" i="73" s="1"/>
  <c r="N36" i="73"/>
  <c r="D51" i="73"/>
  <c r="E51" i="73"/>
  <c r="F51" i="73"/>
  <c r="G51" i="73"/>
  <c r="H51" i="73"/>
  <c r="I51" i="73"/>
  <c r="J51" i="73"/>
  <c r="K51" i="73"/>
  <c r="L51" i="73"/>
  <c r="L60" i="73" s="1"/>
  <c r="L68" i="73" s="1"/>
  <c r="L69" i="73" s="1"/>
  <c r="M51" i="73"/>
  <c r="N51" i="73"/>
  <c r="N60" i="73" s="1"/>
  <c r="N68" i="73" s="1"/>
  <c r="D60" i="73"/>
  <c r="E60" i="73"/>
  <c r="F60" i="73"/>
  <c r="G60" i="73"/>
  <c r="H60" i="73"/>
  <c r="I60" i="73"/>
  <c r="D61" i="73"/>
  <c r="D68" i="73" s="1"/>
  <c r="K61" i="73"/>
  <c r="L61" i="73"/>
  <c r="M61" i="73"/>
  <c r="N61" i="73"/>
  <c r="D66" i="73"/>
  <c r="E66" i="73"/>
  <c r="E61" i="73" s="1"/>
  <c r="E68" i="73" s="1"/>
  <c r="E69" i="73" s="1"/>
  <c r="F66" i="73"/>
  <c r="F61" i="73" s="1"/>
  <c r="F68" i="73" s="1"/>
  <c r="F69" i="73" s="1"/>
  <c r="G66" i="73"/>
  <c r="G61" i="73" s="1"/>
  <c r="G68" i="73" s="1"/>
  <c r="H66" i="73"/>
  <c r="H61" i="73" s="1"/>
  <c r="H68" i="73" s="1"/>
  <c r="I66" i="73"/>
  <c r="I61" i="73" s="1"/>
  <c r="I68" i="73" s="1"/>
  <c r="J66" i="73"/>
  <c r="J61" i="73" s="1"/>
  <c r="K66" i="73"/>
  <c r="L66" i="73"/>
  <c r="M66" i="73"/>
  <c r="N66" i="73"/>
  <c r="D8" i="73"/>
  <c r="D33" i="73" s="1"/>
  <c r="E8" i="73"/>
  <c r="E33" i="73" s="1"/>
  <c r="F8" i="73"/>
  <c r="F33" i="73" s="1"/>
  <c r="G8" i="73"/>
  <c r="H8" i="73"/>
  <c r="H33" i="73" s="1"/>
  <c r="I8" i="73"/>
  <c r="J8" i="73"/>
  <c r="K8" i="73"/>
  <c r="L8" i="73"/>
  <c r="L33" i="73" s="1"/>
  <c r="M8" i="73"/>
  <c r="M33" i="73" s="1"/>
  <c r="N8" i="73"/>
  <c r="D21" i="73"/>
  <c r="D28" i="73" s="1"/>
  <c r="E21" i="73"/>
  <c r="E28" i="73" s="1"/>
  <c r="F21" i="73"/>
  <c r="F28" i="73" s="1"/>
  <c r="G21" i="73"/>
  <c r="G28" i="73" s="1"/>
  <c r="G33" i="73" s="1"/>
  <c r="H21" i="73"/>
  <c r="I21" i="73"/>
  <c r="I28" i="73" s="1"/>
  <c r="I33" i="73" s="1"/>
  <c r="J21" i="73"/>
  <c r="K21" i="73"/>
  <c r="K28" i="73" s="1"/>
  <c r="K33" i="73" s="1"/>
  <c r="L21" i="73"/>
  <c r="M21" i="73"/>
  <c r="M28" i="73" s="1"/>
  <c r="N21" i="73"/>
  <c r="N28" i="73" s="1"/>
  <c r="H28" i="73"/>
  <c r="J28" i="73"/>
  <c r="J33" i="73" s="1"/>
  <c r="L28" i="73"/>
  <c r="D37" i="43"/>
  <c r="E37" i="43"/>
  <c r="F37" i="43"/>
  <c r="F67" i="43" s="1"/>
  <c r="F77" i="43" s="1"/>
  <c r="F78" i="43" s="1"/>
  <c r="G37" i="43"/>
  <c r="H37" i="43"/>
  <c r="I37" i="43"/>
  <c r="J37" i="43"/>
  <c r="K37" i="43"/>
  <c r="L37" i="43"/>
  <c r="M37" i="43"/>
  <c r="N37" i="43"/>
  <c r="O37" i="43"/>
  <c r="P37" i="43"/>
  <c r="Q37" i="43"/>
  <c r="R37" i="43"/>
  <c r="S37" i="43"/>
  <c r="T37" i="43"/>
  <c r="U37" i="43"/>
  <c r="D53" i="43"/>
  <c r="D67" i="43" s="1"/>
  <c r="D77" i="43" s="1"/>
  <c r="E53" i="43"/>
  <c r="F53" i="43"/>
  <c r="G53" i="43"/>
  <c r="H53" i="43"/>
  <c r="I53" i="43"/>
  <c r="J53" i="43"/>
  <c r="K53" i="43"/>
  <c r="K67" i="43" s="1"/>
  <c r="K77" i="43" s="1"/>
  <c r="K78" i="43" s="1"/>
  <c r="L53" i="43"/>
  <c r="M53" i="43"/>
  <c r="M67" i="43" s="1"/>
  <c r="M77" i="43" s="1"/>
  <c r="N53" i="43"/>
  <c r="N67" i="43" s="1"/>
  <c r="N77" i="43" s="1"/>
  <c r="O53" i="43"/>
  <c r="O67" i="43" s="1"/>
  <c r="O77" i="43" s="1"/>
  <c r="P53" i="43"/>
  <c r="P67" i="43" s="1"/>
  <c r="P77" i="43" s="1"/>
  <c r="Q53" i="43"/>
  <c r="R53" i="43"/>
  <c r="R67" i="43" s="1"/>
  <c r="R77" i="43" s="1"/>
  <c r="S53" i="43"/>
  <c r="T53" i="43"/>
  <c r="U53" i="43"/>
  <c r="E67" i="43"/>
  <c r="E77" i="43" s="1"/>
  <c r="E78" i="43" s="1"/>
  <c r="G67" i="43"/>
  <c r="G77" i="43" s="1"/>
  <c r="G78" i="43" s="1"/>
  <c r="H67" i="43"/>
  <c r="H77" i="43" s="1"/>
  <c r="H78" i="43" s="1"/>
  <c r="I67" i="43"/>
  <c r="J67" i="43"/>
  <c r="L67" i="43"/>
  <c r="Q67" i="43"/>
  <c r="S67" i="43"/>
  <c r="T67" i="43"/>
  <c r="U67" i="43"/>
  <c r="D68" i="43"/>
  <c r="F68" i="43"/>
  <c r="K68" i="43"/>
  <c r="M68" i="43"/>
  <c r="N68" i="43"/>
  <c r="O68" i="43"/>
  <c r="P68" i="43"/>
  <c r="R68" i="43"/>
  <c r="D75" i="43"/>
  <c r="E75" i="43"/>
  <c r="E68" i="43" s="1"/>
  <c r="F75" i="43"/>
  <c r="G75" i="43"/>
  <c r="G68" i="43" s="1"/>
  <c r="H75" i="43"/>
  <c r="H68" i="43" s="1"/>
  <c r="I75" i="43"/>
  <c r="I68" i="43" s="1"/>
  <c r="J75" i="43"/>
  <c r="J68" i="43" s="1"/>
  <c r="K75" i="43"/>
  <c r="L75" i="43"/>
  <c r="L68" i="43" s="1"/>
  <c r="M75" i="43"/>
  <c r="N75" i="43"/>
  <c r="O75" i="43"/>
  <c r="P75" i="43"/>
  <c r="Q75" i="43"/>
  <c r="Q68" i="43" s="1"/>
  <c r="R75" i="43"/>
  <c r="S75" i="43"/>
  <c r="S68" i="43" s="1"/>
  <c r="T75" i="43"/>
  <c r="T68" i="43" s="1"/>
  <c r="U75" i="43"/>
  <c r="U68" i="43" s="1"/>
  <c r="D8" i="43"/>
  <c r="D34" i="43" s="1"/>
  <c r="E8" i="43"/>
  <c r="F8" i="43"/>
  <c r="F34" i="43" s="1"/>
  <c r="G8" i="43"/>
  <c r="H8" i="43"/>
  <c r="I8" i="43"/>
  <c r="J8" i="43"/>
  <c r="K8" i="43"/>
  <c r="K34" i="43" s="1"/>
  <c r="L8" i="43"/>
  <c r="M8" i="43"/>
  <c r="M34" i="43" s="1"/>
  <c r="N8" i="43"/>
  <c r="N34" i="43" s="1"/>
  <c r="O8" i="43"/>
  <c r="O34" i="43" s="1"/>
  <c r="P8" i="43"/>
  <c r="P34" i="43" s="1"/>
  <c r="Q8" i="43"/>
  <c r="R8" i="43"/>
  <c r="R34" i="43" s="1"/>
  <c r="S8" i="43"/>
  <c r="T8" i="43"/>
  <c r="U8" i="43"/>
  <c r="D22" i="43"/>
  <c r="E22" i="43"/>
  <c r="E29" i="43" s="1"/>
  <c r="E34" i="43" s="1"/>
  <c r="F22" i="43"/>
  <c r="G22" i="43"/>
  <c r="G29" i="43" s="1"/>
  <c r="G34" i="43" s="1"/>
  <c r="H22" i="43"/>
  <c r="H29" i="43" s="1"/>
  <c r="H34" i="43" s="1"/>
  <c r="I22" i="43"/>
  <c r="I29" i="43" s="1"/>
  <c r="I34" i="43" s="1"/>
  <c r="J22" i="43"/>
  <c r="J29" i="43" s="1"/>
  <c r="J34" i="43" s="1"/>
  <c r="K22" i="43"/>
  <c r="L22" i="43"/>
  <c r="L29" i="43" s="1"/>
  <c r="L34" i="43" s="1"/>
  <c r="M22" i="43"/>
  <c r="N22" i="43"/>
  <c r="O22" i="43"/>
  <c r="P22" i="43"/>
  <c r="Q22" i="43"/>
  <c r="Q29" i="43" s="1"/>
  <c r="Q34" i="43" s="1"/>
  <c r="R22" i="43"/>
  <c r="S22" i="43"/>
  <c r="S29" i="43" s="1"/>
  <c r="S34" i="43" s="1"/>
  <c r="T22" i="43"/>
  <c r="T29" i="43" s="1"/>
  <c r="T34" i="43" s="1"/>
  <c r="U22" i="43"/>
  <c r="U29" i="43" s="1"/>
  <c r="U34" i="43" s="1"/>
  <c r="D29" i="43"/>
  <c r="F29" i="43"/>
  <c r="K29" i="43"/>
  <c r="M29" i="43"/>
  <c r="N29" i="43"/>
  <c r="O29" i="43"/>
  <c r="P29" i="43"/>
  <c r="R29" i="43"/>
  <c r="U77" i="43" l="1"/>
  <c r="U78" i="43" s="1"/>
  <c r="N33" i="73"/>
  <c r="N69" i="73" s="1"/>
  <c r="J69" i="73"/>
  <c r="D78" i="43"/>
  <c r="R78" i="43"/>
  <c r="L77" i="43"/>
  <c r="L78" i="43" s="1"/>
  <c r="O78" i="43"/>
  <c r="I69" i="73"/>
  <c r="Q77" i="43"/>
  <c r="Q78" i="43" s="1"/>
  <c r="J77" i="43"/>
  <c r="J78" i="43" s="1"/>
  <c r="N78" i="43"/>
  <c r="H69" i="73"/>
  <c r="T77" i="43"/>
  <c r="T78" i="43" s="1"/>
  <c r="S77" i="43"/>
  <c r="S78" i="43" s="1"/>
  <c r="D69" i="73"/>
  <c r="P78" i="43"/>
  <c r="I77" i="43"/>
  <c r="I78" i="43" s="1"/>
  <c r="M78" i="43"/>
  <c r="G69" i="73"/>
  <c r="D90" i="70" l="1"/>
  <c r="N97" i="57"/>
  <c r="U94" i="55" l="1"/>
  <c r="U97" i="55"/>
  <c r="U99" i="55"/>
  <c r="U98" i="55"/>
  <c r="D91" i="70"/>
  <c r="P97" i="61"/>
  <c r="P91" i="61"/>
  <c r="Q97" i="61"/>
  <c r="Q91" i="61"/>
  <c r="Y91" i="55" l="1"/>
  <c r="S244" i="78" l="1"/>
  <c r="E21" i="25" l="1"/>
  <c r="E21" i="23"/>
  <c r="F21" i="23" s="1"/>
  <c r="G21" i="23" s="1"/>
  <c r="E20" i="23"/>
  <c r="F20" i="23" s="1"/>
  <c r="G20" i="23" s="1"/>
  <c r="I21" i="23"/>
  <c r="K21" i="23" s="1"/>
  <c r="I20" i="23"/>
  <c r="K20" i="23" s="1"/>
  <c r="AA30" i="42"/>
  <c r="F9" i="2" l="1"/>
  <c r="F10" i="2"/>
  <c r="S42" i="2"/>
  <c r="Z23" i="42" l="1"/>
  <c r="AC105" i="80" l="1"/>
  <c r="AC130" i="87" l="1"/>
  <c r="AC105" i="87"/>
  <c r="F65" i="106"/>
  <c r="AC129" i="86"/>
  <c r="AC122" i="86"/>
  <c r="AC105" i="86"/>
  <c r="AC48" i="86"/>
  <c r="AC80" i="86" s="1"/>
  <c r="AC86" i="86" s="1"/>
  <c r="AC130" i="85"/>
  <c r="AC123" i="85"/>
  <c r="AC106" i="85"/>
  <c r="AC48" i="85"/>
  <c r="AC128" i="98"/>
  <c r="AC121" i="98"/>
  <c r="AC104" i="98"/>
  <c r="AC47" i="98"/>
  <c r="AC79" i="98" s="1"/>
  <c r="AC85" i="98" s="1"/>
  <c r="AC129" i="84"/>
  <c r="AC122" i="84"/>
  <c r="AC105" i="84"/>
  <c r="AC48" i="84"/>
  <c r="AC80" i="84" s="1"/>
  <c r="AC86" i="84" s="1"/>
  <c r="AC129" i="83"/>
  <c r="AC122" i="83"/>
  <c r="AC105" i="83"/>
  <c r="AC129" i="82"/>
  <c r="AC122" i="82"/>
  <c r="AC105" i="82"/>
  <c r="AC129" i="81"/>
  <c r="AC122" i="80"/>
  <c r="AC27" i="108"/>
  <c r="H98" i="4"/>
  <c r="J66" i="4"/>
  <c r="I66" i="4"/>
  <c r="H66" i="4"/>
  <c r="G66" i="4"/>
  <c r="F66" i="4"/>
  <c r="K65" i="4"/>
  <c r="K64" i="4"/>
  <c r="K66" i="4" s="1"/>
  <c r="K34" i="4"/>
  <c r="K31" i="4"/>
  <c r="K8" i="4"/>
  <c r="J98" i="4" l="1"/>
  <c r="F82" i="106"/>
  <c r="F31" i="107"/>
  <c r="F53" i="107" s="1"/>
  <c r="F59" i="107" s="1"/>
  <c r="K91" i="4"/>
  <c r="I71" i="4"/>
  <c r="G93" i="4"/>
  <c r="F49" i="4"/>
  <c r="K97" i="4"/>
  <c r="F90" i="107"/>
  <c r="AC80" i="85"/>
  <c r="AC86" i="85" s="1"/>
  <c r="AC125" i="85" s="1"/>
  <c r="AC124" i="84"/>
  <c r="AC48" i="108"/>
  <c r="AC80" i="108" s="1"/>
  <c r="AC87" i="108" s="1"/>
  <c r="AC123" i="87"/>
  <c r="AC47" i="87"/>
  <c r="AC79" i="87" s="1"/>
  <c r="AC86" i="87" s="1"/>
  <c r="F70" i="107"/>
  <c r="F83" i="107"/>
  <c r="F33" i="106"/>
  <c r="F51" i="106" s="1"/>
  <c r="F57" i="106" s="1"/>
  <c r="F75" i="106"/>
  <c r="AC124" i="86"/>
  <c r="AC123" i="98"/>
  <c r="AC48" i="83"/>
  <c r="AC80" i="83" s="1"/>
  <c r="AC86" i="83" s="1"/>
  <c r="AC124" i="83" s="1"/>
  <c r="AC48" i="82"/>
  <c r="AC107" i="108"/>
  <c r="AC105" i="81"/>
  <c r="AC122" i="81"/>
  <c r="AC48" i="81"/>
  <c r="AC80" i="81" s="1"/>
  <c r="AC86" i="81" s="1"/>
  <c r="AC132" i="108"/>
  <c r="AC48" i="80"/>
  <c r="AC80" i="80" s="1"/>
  <c r="AC86" i="80" s="1"/>
  <c r="AC124" i="80" s="1"/>
  <c r="AC129" i="80"/>
  <c r="F61" i="4"/>
  <c r="I61" i="4"/>
  <c r="H71" i="4"/>
  <c r="AC125" i="108"/>
  <c r="K92" i="4"/>
  <c r="K93" i="4" s="1"/>
  <c r="G61" i="4"/>
  <c r="H93" i="4"/>
  <c r="I93" i="4"/>
  <c r="K70" i="4"/>
  <c r="J88" i="4"/>
  <c r="K96" i="4"/>
  <c r="K11" i="4"/>
  <c r="G21" i="4"/>
  <c r="K48" i="4"/>
  <c r="I80" i="4"/>
  <c r="I88" i="4"/>
  <c r="G98" i="4"/>
  <c r="H21" i="4"/>
  <c r="G71" i="4"/>
  <c r="J80" i="4"/>
  <c r="H61" i="4"/>
  <c r="I98" i="4"/>
  <c r="H56" i="4"/>
  <c r="G36" i="4"/>
  <c r="H80" i="4"/>
  <c r="K78" i="4"/>
  <c r="G88" i="4"/>
  <c r="F98" i="4"/>
  <c r="J61" i="4"/>
  <c r="K9" i="4"/>
  <c r="K12" i="4"/>
  <c r="K25" i="4"/>
  <c r="K77" i="4"/>
  <c r="K84" i="4"/>
  <c r="K86" i="4"/>
  <c r="K19" i="4"/>
  <c r="J21" i="4"/>
  <c r="G14" i="4"/>
  <c r="F36" i="4"/>
  <c r="H14" i="4"/>
  <c r="K20" i="4"/>
  <c r="K35" i="4"/>
  <c r="J49" i="4"/>
  <c r="K27" i="4"/>
  <c r="I14" i="4"/>
  <c r="K54" i="4"/>
  <c r="K18" i="4"/>
  <c r="K32" i="4"/>
  <c r="H49" i="4"/>
  <c r="K75" i="4"/>
  <c r="G28" i="4"/>
  <c r="J36" i="4"/>
  <c r="K55" i="4"/>
  <c r="H28" i="4"/>
  <c r="F14" i="4"/>
  <c r="K13" i="4"/>
  <c r="I28" i="4"/>
  <c r="J93" i="4"/>
  <c r="K42" i="4"/>
  <c r="H88" i="4"/>
  <c r="K69" i="4"/>
  <c r="I21" i="4"/>
  <c r="I49" i="4"/>
  <c r="J14" i="4"/>
  <c r="F28" i="4"/>
  <c r="K26" i="4"/>
  <c r="J56" i="4"/>
  <c r="K47" i="4"/>
  <c r="F43" i="4"/>
  <c r="K17" i="4"/>
  <c r="J28" i="4"/>
  <c r="K33" i="4"/>
  <c r="K39" i="4"/>
  <c r="K60" i="4"/>
  <c r="J71" i="4"/>
  <c r="K87" i="4"/>
  <c r="K85" i="4"/>
  <c r="F88" i="4"/>
  <c r="K79" i="4"/>
  <c r="K76" i="4"/>
  <c r="G80" i="4"/>
  <c r="G56" i="4"/>
  <c r="I56" i="4"/>
  <c r="F56" i="4"/>
  <c r="G49" i="4"/>
  <c r="J43" i="4"/>
  <c r="G43" i="4"/>
  <c r="I43" i="4"/>
  <c r="K41" i="4"/>
  <c r="K40" i="4"/>
  <c r="F93" i="4"/>
  <c r="K24" i="4"/>
  <c r="H36" i="4"/>
  <c r="F80" i="4"/>
  <c r="K10" i="4"/>
  <c r="I36" i="4"/>
  <c r="F71" i="4"/>
  <c r="F21" i="4"/>
  <c r="K46" i="4"/>
  <c r="K53" i="4"/>
  <c r="K59" i="4"/>
  <c r="H43" i="4"/>
  <c r="F77" i="106" l="1"/>
  <c r="K98" i="4"/>
  <c r="F85" i="107"/>
  <c r="K71" i="4"/>
  <c r="AC80" i="82"/>
  <c r="AC124" i="81"/>
  <c r="AC125" i="87"/>
  <c r="I101" i="4"/>
  <c r="F101" i="4"/>
  <c r="J101" i="4"/>
  <c r="H101" i="4"/>
  <c r="G101" i="4"/>
  <c r="AC127" i="108"/>
  <c r="K36" i="4"/>
  <c r="K28" i="4"/>
  <c r="K14" i="4"/>
  <c r="K88" i="4"/>
  <c r="K21" i="4"/>
  <c r="K80" i="4"/>
  <c r="K49" i="4"/>
  <c r="K43" i="4"/>
  <c r="K61" i="4"/>
  <c r="K56" i="4"/>
  <c r="AC86" i="82" l="1"/>
  <c r="AC124" i="82" s="1"/>
  <c r="K101" i="4"/>
  <c r="BE54" i="109" l="1"/>
  <c r="AF110" i="70" l="1"/>
  <c r="AF109" i="70"/>
  <c r="AF107" i="70"/>
  <c r="AF106" i="70"/>
  <c r="AF105" i="70"/>
  <c r="AF104" i="70"/>
  <c r="AF98" i="70"/>
  <c r="AF97" i="70"/>
  <c r="AF96" i="70"/>
  <c r="AF95" i="70"/>
  <c r="AF94" i="70"/>
  <c r="AF93" i="70"/>
  <c r="AF92" i="70"/>
  <c r="AF78" i="70"/>
  <c r="AF77" i="70"/>
  <c r="AF76" i="70"/>
  <c r="AF75" i="70"/>
  <c r="AF74" i="70"/>
  <c r="AF73" i="70"/>
  <c r="AF72" i="70"/>
  <c r="AF71" i="70"/>
  <c r="AF70" i="70"/>
  <c r="AF66" i="70"/>
  <c r="AF64" i="70"/>
  <c r="AF63" i="70"/>
  <c r="AF56" i="70"/>
  <c r="AF55" i="70"/>
  <c r="AF54" i="70"/>
  <c r="AF53" i="70"/>
  <c r="AF52" i="70"/>
  <c r="AF51" i="70"/>
  <c r="AF45" i="70"/>
  <c r="AF43" i="70"/>
  <c r="AF37" i="70"/>
  <c r="AF36" i="70"/>
  <c r="AF35" i="70"/>
  <c r="AF34" i="70"/>
  <c r="AF33" i="70"/>
  <c r="AF25" i="70"/>
  <c r="AF24" i="70"/>
  <c r="AF23" i="70"/>
  <c r="AF22" i="70"/>
  <c r="AF21" i="70"/>
  <c r="AF20" i="70"/>
  <c r="AF19" i="70"/>
  <c r="AF18" i="70"/>
  <c r="AF12" i="70"/>
  <c r="AF11" i="70"/>
  <c r="AF10" i="70"/>
  <c r="AF9" i="70"/>
  <c r="AF119" i="69"/>
  <c r="AF118" i="69"/>
  <c r="AF117" i="69"/>
  <c r="AF116" i="69"/>
  <c r="AF106" i="69"/>
  <c r="AF105" i="69"/>
  <c r="AF103" i="69"/>
  <c r="AF102" i="69"/>
  <c r="AF101" i="69"/>
  <c r="AF99" i="69"/>
  <c r="AF98" i="69"/>
  <c r="AF93" i="69"/>
  <c r="AF92" i="69"/>
  <c r="AF91" i="69"/>
  <c r="AF82" i="69"/>
  <c r="AF81" i="69"/>
  <c r="AF80" i="69"/>
  <c r="AF78" i="69"/>
  <c r="AF77" i="69"/>
  <c r="AF73" i="69"/>
  <c r="AF71" i="69"/>
  <c r="AF70" i="69"/>
  <c r="AF68" i="69"/>
  <c r="AF67" i="69"/>
  <c r="AF66" i="69"/>
  <c r="AF65" i="69"/>
  <c r="AF64" i="69"/>
  <c r="AF54" i="69"/>
  <c r="AF53" i="69"/>
  <c r="AF52" i="69"/>
  <c r="AF51" i="69"/>
  <c r="AF50" i="69"/>
  <c r="AF48" i="69"/>
  <c r="AF47" i="69"/>
  <c r="AF46" i="69"/>
  <c r="AF45" i="69"/>
  <c r="AF35" i="69"/>
  <c r="AF34" i="69"/>
  <c r="AF33" i="69"/>
  <c r="AF32" i="69"/>
  <c r="AF31" i="69"/>
  <c r="AF30" i="69"/>
  <c r="AF29" i="69"/>
  <c r="AF25" i="69"/>
  <c r="AF20" i="69"/>
  <c r="AF19" i="69"/>
  <c r="AF18" i="69"/>
  <c r="AF16" i="69"/>
  <c r="AF15" i="69"/>
  <c r="AF14" i="69"/>
  <c r="AF13" i="69"/>
  <c r="AF12" i="69"/>
  <c r="AF9" i="69"/>
  <c r="AG51" i="71"/>
  <c r="T15" i="45"/>
  <c r="BE52" i="11"/>
  <c r="AP41" i="3"/>
  <c r="R32" i="46"/>
  <c r="R45" i="33"/>
  <c r="T40" i="32"/>
  <c r="W45" i="31"/>
  <c r="AK44" i="30"/>
  <c r="AC48" i="29"/>
  <c r="AC47" i="28"/>
  <c r="AC44" i="27"/>
  <c r="X19" i="18"/>
  <c r="S241" i="78"/>
  <c r="S236" i="78"/>
  <c r="S210" i="78"/>
  <c r="S176" i="78"/>
  <c r="S207" i="78"/>
  <c r="S202" i="78"/>
  <c r="S142" i="78"/>
  <c r="S108" i="78"/>
  <c r="S74" i="78"/>
  <c r="S40" i="78"/>
  <c r="S173" i="78"/>
  <c r="S168" i="78"/>
  <c r="S139" i="78"/>
  <c r="S134" i="78"/>
  <c r="S105" i="78"/>
  <c r="S100" i="78"/>
  <c r="S66" i="78"/>
  <c r="S37" i="78"/>
  <c r="S32" i="78"/>
  <c r="BE12" i="15"/>
  <c r="BE18" i="15" s="1"/>
  <c r="BE24" i="15" s="1"/>
  <c r="BE30" i="15" s="1"/>
  <c r="BE36" i="15" s="1"/>
  <c r="BE42" i="15" s="1"/>
  <c r="AF99" i="70"/>
  <c r="AF108" i="70"/>
  <c r="AF101" i="70"/>
  <c r="AF102" i="70"/>
  <c r="AF103" i="70"/>
  <c r="AF117" i="70"/>
  <c r="AF118" i="70"/>
  <c r="AF119" i="70"/>
  <c r="AF65" i="70"/>
  <c r="AF67" i="70"/>
  <c r="AF68" i="70"/>
  <c r="AF80" i="70"/>
  <c r="AF81" i="70"/>
  <c r="AF82" i="70"/>
  <c r="AF46" i="70"/>
  <c r="AF47" i="70"/>
  <c r="AF48" i="70"/>
  <c r="AF29" i="70"/>
  <c r="AF30" i="70"/>
  <c r="AF31" i="70"/>
  <c r="AF32" i="70"/>
  <c r="AF13" i="70"/>
  <c r="AF14" i="70"/>
  <c r="AF15" i="70"/>
  <c r="AF16" i="70"/>
  <c r="AF94" i="69"/>
  <c r="AF72" i="69"/>
  <c r="AF36" i="69"/>
  <c r="AF110" i="69"/>
  <c r="AF109" i="69"/>
  <c r="AF108" i="69"/>
  <c r="AF107" i="69"/>
  <c r="AF104" i="69"/>
  <c r="AF97" i="69"/>
  <c r="AF96" i="69"/>
  <c r="AF95" i="69"/>
  <c r="AF76" i="69"/>
  <c r="AF75" i="69"/>
  <c r="AF74" i="69"/>
  <c r="AF63" i="69"/>
  <c r="AF56" i="69"/>
  <c r="AF55" i="69"/>
  <c r="AF43" i="69"/>
  <c r="AF37" i="69"/>
  <c r="AF24" i="69"/>
  <c r="AF23" i="69"/>
  <c r="AF22" i="69"/>
  <c r="AF21" i="69"/>
  <c r="AF11" i="69"/>
  <c r="AF10" i="69"/>
  <c r="AF129" i="68"/>
  <c r="AF130" i="68"/>
  <c r="BE22" i="8" l="1"/>
  <c r="AP76" i="3"/>
  <c r="AP13" i="3"/>
  <c r="M10" i="77"/>
  <c r="M14" i="77" s="1"/>
  <c r="R82" i="19"/>
  <c r="R83" i="19" s="1"/>
  <c r="R89" i="19" s="1"/>
  <c r="BE9" i="20"/>
  <c r="BE18" i="20" s="1"/>
  <c r="AF8" i="69"/>
  <c r="W37" i="31"/>
  <c r="AC81" i="29"/>
  <c r="R45" i="46"/>
  <c r="AC79" i="27"/>
  <c r="AK45" i="30"/>
  <c r="AK81" i="30"/>
  <c r="AK90" i="30" s="1"/>
  <c r="BE84" i="11"/>
  <c r="AC20" i="7"/>
  <c r="AG52" i="71"/>
  <c r="N82" i="19"/>
  <c r="N83" i="19" s="1"/>
  <c r="N85" i="19" s="1"/>
  <c r="AP20" i="3"/>
  <c r="AP55" i="3"/>
  <c r="AG49" i="71"/>
  <c r="Y9" i="25"/>
  <c r="Y18" i="25" s="1"/>
  <c r="S27" i="78"/>
  <c r="S31" i="78" s="1"/>
  <c r="S33" i="78" s="1"/>
  <c r="S35" i="78" s="1"/>
  <c r="S38" i="78" s="1"/>
  <c r="Q82" i="19"/>
  <c r="Q83" i="19" s="1"/>
  <c r="AK9" i="23"/>
  <c r="AK18" i="23" s="1"/>
  <c r="AC26" i="28"/>
  <c r="W8" i="31"/>
  <c r="AC45" i="27"/>
  <c r="AC8" i="27"/>
  <c r="AC69" i="28"/>
  <c r="AC86" i="28"/>
  <c r="AC49" i="29"/>
  <c r="AC67" i="29"/>
  <c r="AK64" i="30"/>
  <c r="W81" i="31"/>
  <c r="BE69" i="11"/>
  <c r="AC63" i="27"/>
  <c r="W64" i="31"/>
  <c r="R33" i="46"/>
  <c r="BE53" i="11"/>
  <c r="AC39" i="29"/>
  <c r="AK36" i="30"/>
  <c r="AC48" i="28"/>
  <c r="AC25" i="29"/>
  <c r="AC24" i="27"/>
  <c r="AK24" i="30"/>
  <c r="W24" i="31"/>
  <c r="W46" i="31"/>
  <c r="AC8" i="28"/>
  <c r="AC8" i="29"/>
  <c r="AK8" i="30"/>
  <c r="AG50" i="71"/>
  <c r="J25" i="17"/>
  <c r="H43" i="17"/>
  <c r="Z10" i="42"/>
  <c r="Z14" i="42" s="1"/>
  <c r="AP34" i="3"/>
  <c r="M15" i="77"/>
  <c r="AP27" i="3"/>
  <c r="AP48" i="3"/>
  <c r="M23" i="77"/>
  <c r="X24" i="18"/>
  <c r="X7" i="18"/>
  <c r="P82" i="19"/>
  <c r="P83" i="19" s="1"/>
  <c r="P85" i="19" s="1"/>
  <c r="AP82" i="3"/>
  <c r="Z15" i="42"/>
  <c r="AP70" i="3"/>
  <c r="F43" i="17"/>
  <c r="G53" i="17"/>
  <c r="I62" i="17"/>
  <c r="G62" i="17"/>
  <c r="J62" i="17"/>
  <c r="H62" i="17"/>
  <c r="F62" i="17"/>
  <c r="I43" i="17"/>
  <c r="G43" i="17"/>
  <c r="H53" i="17"/>
  <c r="E62" i="17"/>
  <c r="S82" i="19"/>
  <c r="S83" i="19" s="1"/>
  <c r="O82" i="19"/>
  <c r="O83" i="19" s="1"/>
  <c r="O89" i="19" s="1"/>
  <c r="J43" i="17"/>
  <c r="F25" i="17"/>
  <c r="H25" i="17"/>
  <c r="BE35" i="8"/>
  <c r="H14" i="17"/>
  <c r="F14" i="17"/>
  <c r="D14" i="17"/>
  <c r="I25" i="17"/>
  <c r="J53" i="17"/>
  <c r="AC9" i="7"/>
  <c r="AC19" i="7" s="1"/>
  <c r="AC26" i="7" s="1"/>
  <c r="AC27" i="7"/>
  <c r="I14" i="17"/>
  <c r="G14" i="17"/>
  <c r="E14" i="17"/>
  <c r="D25" i="17"/>
  <c r="J14" i="17"/>
  <c r="D53" i="17"/>
  <c r="T29" i="45"/>
  <c r="I53" i="17"/>
  <c r="E25" i="17"/>
  <c r="G25" i="17"/>
  <c r="D43" i="17"/>
  <c r="E43" i="17"/>
  <c r="D62" i="17"/>
  <c r="E53" i="17"/>
  <c r="W9" i="24"/>
  <c r="W18" i="24" s="1"/>
  <c r="AC41" i="7"/>
  <c r="F53" i="17"/>
  <c r="X20" i="18"/>
  <c r="X11" i="18"/>
  <c r="M82" i="19"/>
  <c r="M83" i="19" s="1"/>
  <c r="M89" i="19" s="1"/>
  <c r="Q89" i="19"/>
  <c r="Q85" i="19"/>
  <c r="BE30" i="8"/>
  <c r="BE32" i="8" s="1"/>
  <c r="U19" i="26"/>
  <c r="Z33" i="42"/>
  <c r="T9" i="45"/>
  <c r="T14" i="45" s="1"/>
  <c r="T16" i="45" s="1"/>
  <c r="M33" i="77"/>
  <c r="T17" i="45"/>
  <c r="U39" i="26"/>
  <c r="W39" i="24"/>
  <c r="U25" i="26"/>
  <c r="Y25" i="25"/>
  <c r="Y19" i="25"/>
  <c r="U9" i="26"/>
  <c r="U18" i="26" s="1"/>
  <c r="Y39" i="25"/>
  <c r="AK39" i="23"/>
  <c r="AK19" i="23"/>
  <c r="W25" i="24"/>
  <c r="W19" i="24"/>
  <c r="AC25" i="22"/>
  <c r="AK25" i="23"/>
  <c r="BE19" i="21"/>
  <c r="AC39" i="22"/>
  <c r="AC19" i="22"/>
  <c r="BE9" i="21"/>
  <c r="BE18" i="21" s="1"/>
  <c r="AC9" i="22"/>
  <c r="AC18" i="22" s="1"/>
  <c r="BE39" i="21"/>
  <c r="BE25" i="21"/>
  <c r="BE25" i="20"/>
  <c r="BE19" i="20"/>
  <c r="BE39" i="20"/>
  <c r="AF17" i="70"/>
  <c r="AF114" i="69"/>
  <c r="S252" i="78"/>
  <c r="S255" i="78"/>
  <c r="S272" i="78"/>
  <c r="S253" i="78"/>
  <c r="S267" i="78"/>
  <c r="S256" i="78"/>
  <c r="S274" i="78"/>
  <c r="S259" i="78"/>
  <c r="S250" i="78"/>
  <c r="S262" i="78"/>
  <c r="S268" i="78"/>
  <c r="S235" i="78"/>
  <c r="S237" i="78" s="1"/>
  <c r="S239" i="78" s="1"/>
  <c r="S242" i="78" s="1"/>
  <c r="S254" i="78"/>
  <c r="U90" i="70"/>
  <c r="AF79" i="69"/>
  <c r="S257" i="78"/>
  <c r="S260" i="78"/>
  <c r="U17" i="70"/>
  <c r="S258" i="78"/>
  <c r="AF8" i="70"/>
  <c r="S249" i="78"/>
  <c r="S261" i="78"/>
  <c r="S266" i="78"/>
  <c r="U49" i="70"/>
  <c r="U41" i="70" s="1"/>
  <c r="U114" i="70"/>
  <c r="AF79" i="70"/>
  <c r="S167" i="78"/>
  <c r="S169" i="78" s="1"/>
  <c r="S171" i="78" s="1"/>
  <c r="S174" i="78" s="1"/>
  <c r="S201" i="78"/>
  <c r="S203" i="78" s="1"/>
  <c r="S205" i="78" s="1"/>
  <c r="S208" i="78" s="1"/>
  <c r="S251" i="78"/>
  <c r="S263" i="78"/>
  <c r="S248" i="78"/>
  <c r="S133" i="78"/>
  <c r="S135" i="78" s="1"/>
  <c r="S137" i="78" s="1"/>
  <c r="S140" i="78" s="1"/>
  <c r="S270" i="78"/>
  <c r="S99" i="78"/>
  <c r="S101" i="78" s="1"/>
  <c r="S103" i="78" s="1"/>
  <c r="S106" i="78" s="1"/>
  <c r="AF69" i="69"/>
  <c r="AF62" i="69"/>
  <c r="AF27" i="70"/>
  <c r="AF62" i="70"/>
  <c r="AF27" i="69"/>
  <c r="AF100" i="70"/>
  <c r="AF69" i="70"/>
  <c r="AF90" i="69"/>
  <c r="AF100" i="69"/>
  <c r="AF49" i="69"/>
  <c r="AF41" i="69" s="1"/>
  <c r="AF17" i="69"/>
  <c r="S65" i="78"/>
  <c r="S67" i="78" s="1"/>
  <c r="S69" i="78" s="1"/>
  <c r="U8" i="70"/>
  <c r="AF50" i="70"/>
  <c r="AF49" i="70" s="1"/>
  <c r="AF41" i="70" s="1"/>
  <c r="AF91" i="70"/>
  <c r="AF90" i="70" s="1"/>
  <c r="S71" i="78"/>
  <c r="S275" i="78" s="1"/>
  <c r="U27" i="70"/>
  <c r="U62" i="70"/>
  <c r="U100" i="70"/>
  <c r="AF116" i="70"/>
  <c r="AF114" i="70" s="1"/>
  <c r="U69" i="70"/>
  <c r="U79" i="70"/>
  <c r="U27" i="69"/>
  <c r="U69" i="69"/>
  <c r="U79" i="69"/>
  <c r="U114" i="69"/>
  <c r="U8" i="69"/>
  <c r="U49" i="69"/>
  <c r="U41" i="69" s="1"/>
  <c r="U62" i="69"/>
  <c r="U90" i="69"/>
  <c r="U100" i="69"/>
  <c r="U17" i="69"/>
  <c r="N89" i="19" l="1"/>
  <c r="M30" i="77"/>
  <c r="AF6" i="69"/>
  <c r="P89" i="19"/>
  <c r="AC89" i="29"/>
  <c r="J40" i="17"/>
  <c r="Z30" i="42"/>
  <c r="Z32" i="42" s="1"/>
  <c r="Z36" i="42" s="1"/>
  <c r="Z39" i="42" s="1"/>
  <c r="W23" i="31"/>
  <c r="W43" i="31" s="1"/>
  <c r="AK23" i="30"/>
  <c r="AK42" i="30" s="1"/>
  <c r="AK91" i="30" s="1"/>
  <c r="R57" i="46"/>
  <c r="AC95" i="28"/>
  <c r="H40" i="17"/>
  <c r="U6" i="70"/>
  <c r="AC45" i="28"/>
  <c r="BE93" i="11"/>
  <c r="O85" i="19"/>
  <c r="F68" i="17"/>
  <c r="AC86" i="27"/>
  <c r="AC42" i="27"/>
  <c r="W89" i="31"/>
  <c r="AC24" i="29"/>
  <c r="AC46" i="29" s="1"/>
  <c r="AF6" i="70"/>
  <c r="AF39" i="70" s="1"/>
  <c r="AF58" i="70" s="1"/>
  <c r="AP85" i="3"/>
  <c r="J68" i="17"/>
  <c r="M32" i="77"/>
  <c r="M36" i="77" s="1"/>
  <c r="M39" i="77" s="1"/>
  <c r="G40" i="17"/>
  <c r="H68" i="17"/>
  <c r="X15" i="18"/>
  <c r="X28" i="18"/>
  <c r="BE38" i="8"/>
  <c r="BE43" i="8" s="1"/>
  <c r="E68" i="17"/>
  <c r="AC36" i="7"/>
  <c r="AC38" i="7" s="1"/>
  <c r="AC44" i="7" s="1"/>
  <c r="AC49" i="7" s="1"/>
  <c r="AC51" i="7" s="1"/>
  <c r="I40" i="17"/>
  <c r="G68" i="17"/>
  <c r="I68" i="17"/>
  <c r="D40" i="17"/>
  <c r="D68" i="17"/>
  <c r="F40" i="17"/>
  <c r="S85" i="19"/>
  <c r="S89" i="19"/>
  <c r="E40" i="17"/>
  <c r="R85" i="19"/>
  <c r="M85" i="19"/>
  <c r="T25" i="45"/>
  <c r="T28" i="45" s="1"/>
  <c r="T32" i="45" s="1"/>
  <c r="T37" i="45" s="1"/>
  <c r="U36" i="26"/>
  <c r="U38" i="26" s="1"/>
  <c r="U42" i="26" s="1"/>
  <c r="U47" i="26" s="1"/>
  <c r="W36" i="24"/>
  <c r="W38" i="24" s="1"/>
  <c r="W42" i="24" s="1"/>
  <c r="W47" i="24" s="1"/>
  <c r="Y36" i="25"/>
  <c r="Y38" i="25" s="1"/>
  <c r="Y42" i="25" s="1"/>
  <c r="Y47" i="25" s="1"/>
  <c r="AK36" i="23"/>
  <c r="AK38" i="23" s="1"/>
  <c r="AK42" i="23" s="1"/>
  <c r="AK47" i="23" s="1"/>
  <c r="U24" i="26"/>
  <c r="W24" i="24"/>
  <c r="Y24" i="25"/>
  <c r="AK24" i="23"/>
  <c r="BE36" i="21"/>
  <c r="BE38" i="21" s="1"/>
  <c r="BE42" i="21" s="1"/>
  <c r="BE47" i="21" s="1"/>
  <c r="AC36" i="22"/>
  <c r="AC38" i="22" s="1"/>
  <c r="AC42" i="22" s="1"/>
  <c r="AC47" i="22" s="1"/>
  <c r="AC24" i="22"/>
  <c r="BE24" i="21"/>
  <c r="BE24" i="20"/>
  <c r="BE36" i="20"/>
  <c r="BE38" i="20" s="1"/>
  <c r="BE42" i="20" s="1"/>
  <c r="BE47" i="20" s="1"/>
  <c r="U88" i="70"/>
  <c r="S264" i="78"/>
  <c r="AF60" i="70"/>
  <c r="AF60" i="69"/>
  <c r="S72" i="78"/>
  <c r="U60" i="69"/>
  <c r="U39" i="70"/>
  <c r="U58" i="70" s="1"/>
  <c r="AF39" i="69"/>
  <c r="AF58" i="69" s="1"/>
  <c r="S269" i="78"/>
  <c r="U88" i="69"/>
  <c r="U60" i="70"/>
  <c r="AF88" i="70"/>
  <c r="AF88" i="69"/>
  <c r="S265" i="78"/>
  <c r="U6" i="69"/>
  <c r="U39" i="69" s="1"/>
  <c r="U58" i="69" s="1"/>
  <c r="AC90" i="29" l="1"/>
  <c r="AF86" i="69"/>
  <c r="AC96" i="28"/>
  <c r="W90" i="31"/>
  <c r="AC87" i="27"/>
  <c r="U86" i="69"/>
  <c r="U84" i="69" s="1"/>
  <c r="AF86" i="70"/>
  <c r="AF112" i="70" s="1"/>
  <c r="AF121" i="70" s="1"/>
  <c r="S271" i="78"/>
  <c r="S273" i="78"/>
  <c r="S276" i="78"/>
  <c r="AF84" i="69"/>
  <c r="AF112" i="69"/>
  <c r="AF121" i="69" s="1"/>
  <c r="U86" i="70"/>
  <c r="AF84" i="70" l="1"/>
  <c r="U112" i="69"/>
  <c r="U121" i="69" s="1"/>
  <c r="U112" i="70"/>
  <c r="U121" i="70" s="1"/>
  <c r="U84" i="70"/>
  <c r="AF124" i="68"/>
  <c r="AF125" i="68"/>
  <c r="AF116" i="68"/>
  <c r="AF117" i="68"/>
  <c r="AF118" i="68"/>
  <c r="AF119" i="68"/>
  <c r="AF101" i="68"/>
  <c r="AF102" i="68"/>
  <c r="AF103" i="68"/>
  <c r="AF104" i="68"/>
  <c r="AF105" i="68"/>
  <c r="AF107" i="68"/>
  <c r="AF108" i="68"/>
  <c r="AF109" i="68"/>
  <c r="AF110" i="68"/>
  <c r="AF92" i="68"/>
  <c r="AF93" i="68"/>
  <c r="AF94" i="68"/>
  <c r="AF95" i="68"/>
  <c r="AF96" i="68"/>
  <c r="AF97" i="68"/>
  <c r="AF98" i="68"/>
  <c r="AF99" i="68"/>
  <c r="AF80" i="68"/>
  <c r="AF81" i="68"/>
  <c r="AF82" i="68"/>
  <c r="AF71" i="68"/>
  <c r="AF72" i="68"/>
  <c r="AF73" i="68"/>
  <c r="AF74" i="68"/>
  <c r="AF75" i="68"/>
  <c r="AF76" i="68"/>
  <c r="AF77" i="68"/>
  <c r="AF78" i="68"/>
  <c r="AF63" i="68"/>
  <c r="AF64" i="68"/>
  <c r="AF65" i="68"/>
  <c r="AF67" i="68"/>
  <c r="AF68" i="68"/>
  <c r="AF50" i="68"/>
  <c r="AF51" i="68"/>
  <c r="AF52" i="68"/>
  <c r="AF53" i="68"/>
  <c r="AF54" i="68"/>
  <c r="AF55" i="68"/>
  <c r="AF56" i="68"/>
  <c r="AF43" i="68"/>
  <c r="AF45" i="68"/>
  <c r="AF47" i="68"/>
  <c r="AF48" i="68"/>
  <c r="AF29" i="68"/>
  <c r="AF30" i="68"/>
  <c r="AF32" i="68"/>
  <c r="AF33" i="68"/>
  <c r="AF34" i="68"/>
  <c r="AF35" i="68"/>
  <c r="AF36" i="68"/>
  <c r="AF37" i="68"/>
  <c r="AF19" i="68"/>
  <c r="AF20" i="68"/>
  <c r="AF21" i="68"/>
  <c r="AF22" i="68"/>
  <c r="AF23" i="68"/>
  <c r="AF24" i="68"/>
  <c r="AF25" i="68"/>
  <c r="AF9" i="68"/>
  <c r="AF10" i="68"/>
  <c r="AF11" i="68"/>
  <c r="AF12" i="68"/>
  <c r="AF13" i="68"/>
  <c r="AF14" i="68"/>
  <c r="AF15" i="68"/>
  <c r="AF16" i="68"/>
  <c r="AF80" i="67"/>
  <c r="AF91" i="67"/>
  <c r="AF92" i="67"/>
  <c r="AF93" i="67"/>
  <c r="AF94" i="67"/>
  <c r="AF95" i="67"/>
  <c r="AF96" i="67"/>
  <c r="AF97" i="67"/>
  <c r="AF98" i="67"/>
  <c r="AF99" i="67"/>
  <c r="AF101" i="67"/>
  <c r="AF102" i="67"/>
  <c r="AF103" i="67"/>
  <c r="AF104" i="67"/>
  <c r="AF105" i="67"/>
  <c r="AF106" i="67"/>
  <c r="AF108" i="67"/>
  <c r="AF109" i="67"/>
  <c r="AF110" i="67"/>
  <c r="AF116" i="67"/>
  <c r="AF117" i="67"/>
  <c r="AF118" i="67"/>
  <c r="AF119" i="67"/>
  <c r="AF124" i="67"/>
  <c r="AF125" i="67"/>
  <c r="AF63" i="67"/>
  <c r="AF64" i="67"/>
  <c r="AF65" i="67"/>
  <c r="AF66" i="67"/>
  <c r="AF67" i="67"/>
  <c r="AF68" i="67"/>
  <c r="AF70" i="67"/>
  <c r="AF71" i="67"/>
  <c r="AF72" i="67"/>
  <c r="AF73" i="67"/>
  <c r="AF74" i="67"/>
  <c r="AF75" i="67"/>
  <c r="AF76" i="67"/>
  <c r="AF77" i="67"/>
  <c r="AF78" i="67"/>
  <c r="AF81" i="67"/>
  <c r="AF82" i="67"/>
  <c r="AF45" i="67"/>
  <c r="AF46" i="67"/>
  <c r="AF47" i="67"/>
  <c r="AF48" i="67"/>
  <c r="AF50" i="67"/>
  <c r="AF51" i="67"/>
  <c r="AF52" i="67"/>
  <c r="AF53" i="67"/>
  <c r="AF54" i="67"/>
  <c r="AF55" i="67"/>
  <c r="AF56" i="67"/>
  <c r="AF29" i="67"/>
  <c r="AF30" i="67"/>
  <c r="AF31" i="67"/>
  <c r="AF32" i="67"/>
  <c r="AF33" i="67"/>
  <c r="AF34" i="67"/>
  <c r="AF35" i="67"/>
  <c r="AF36" i="67"/>
  <c r="AF37" i="67"/>
  <c r="AF10" i="67"/>
  <c r="AF11" i="67"/>
  <c r="AF12" i="67"/>
  <c r="AF13" i="67"/>
  <c r="AF14" i="67"/>
  <c r="AF15" i="67"/>
  <c r="AF16" i="67"/>
  <c r="AF19" i="67"/>
  <c r="AF20" i="67"/>
  <c r="AF21" i="67"/>
  <c r="AF22" i="67"/>
  <c r="AF23" i="67"/>
  <c r="AF24" i="67"/>
  <c r="AF25" i="67"/>
  <c r="AF91" i="64"/>
  <c r="AF92" i="64"/>
  <c r="AF93" i="64"/>
  <c r="AF94" i="64"/>
  <c r="AF95" i="64"/>
  <c r="AF96" i="64"/>
  <c r="AF97" i="64"/>
  <c r="AF98" i="64"/>
  <c r="AF99" i="64"/>
  <c r="AF101" i="64"/>
  <c r="AF102" i="64"/>
  <c r="AF103" i="64"/>
  <c r="AF104" i="64"/>
  <c r="AF105" i="64"/>
  <c r="AF106" i="64"/>
  <c r="AF107" i="64"/>
  <c r="AF108" i="64"/>
  <c r="AF109" i="64"/>
  <c r="AF110" i="64"/>
  <c r="AF116" i="64"/>
  <c r="AF117" i="64"/>
  <c r="AF118" i="64"/>
  <c r="AF119" i="64"/>
  <c r="AF125" i="64"/>
  <c r="AF63" i="64"/>
  <c r="AF64" i="64"/>
  <c r="AF65" i="64"/>
  <c r="AF66" i="64"/>
  <c r="AF67" i="64"/>
  <c r="AF68" i="64"/>
  <c r="AF71" i="64"/>
  <c r="AF72" i="64"/>
  <c r="AF73" i="64"/>
  <c r="AF74" i="64"/>
  <c r="AF75" i="64"/>
  <c r="AF76" i="64"/>
  <c r="AF77" i="64"/>
  <c r="AF78" i="64"/>
  <c r="AF81" i="64"/>
  <c r="AF82" i="64"/>
  <c r="AF43" i="64"/>
  <c r="AF45" i="64"/>
  <c r="AF46" i="64"/>
  <c r="AF47" i="64"/>
  <c r="AF48" i="64"/>
  <c r="AF51" i="64"/>
  <c r="AF52" i="64"/>
  <c r="AF53" i="64"/>
  <c r="AF54" i="64"/>
  <c r="AF55" i="64"/>
  <c r="AF56" i="64"/>
  <c r="AF29" i="64"/>
  <c r="AF30" i="64"/>
  <c r="AF31" i="64"/>
  <c r="AF32" i="64"/>
  <c r="AF33" i="64"/>
  <c r="AF34" i="64"/>
  <c r="AF35" i="64"/>
  <c r="AF36" i="64"/>
  <c r="AF37" i="64"/>
  <c r="AF9" i="64"/>
  <c r="AF10" i="64"/>
  <c r="AF11" i="64"/>
  <c r="AF12" i="64"/>
  <c r="AF13" i="64"/>
  <c r="AF14" i="64"/>
  <c r="AF15" i="64"/>
  <c r="AF16" i="64"/>
  <c r="AF18" i="64"/>
  <c r="AF20" i="64"/>
  <c r="AF21" i="64"/>
  <c r="AF22" i="64"/>
  <c r="AF23" i="64"/>
  <c r="AF24" i="64"/>
  <c r="AF25" i="64"/>
  <c r="AF91" i="63"/>
  <c r="AF92" i="63"/>
  <c r="AF93" i="63"/>
  <c r="AF94" i="63"/>
  <c r="AF95" i="63"/>
  <c r="AF96" i="63"/>
  <c r="AF97" i="63"/>
  <c r="AF98" i="63"/>
  <c r="AF99" i="63"/>
  <c r="AF102" i="63"/>
  <c r="AF103" i="63"/>
  <c r="AF104" i="63"/>
  <c r="AF105" i="63"/>
  <c r="AF106" i="63"/>
  <c r="AF107" i="63"/>
  <c r="AF108" i="63"/>
  <c r="AF109" i="63"/>
  <c r="AF110" i="63"/>
  <c r="AF116" i="63"/>
  <c r="AF117" i="63"/>
  <c r="AF118" i="63"/>
  <c r="AF119" i="63"/>
  <c r="AF124" i="63"/>
  <c r="AF125" i="63"/>
  <c r="AF64" i="63"/>
  <c r="AF65" i="63"/>
  <c r="AF66" i="63"/>
  <c r="AF67" i="63"/>
  <c r="AF68" i="63"/>
  <c r="AF71" i="63"/>
  <c r="AF72" i="63"/>
  <c r="AF73" i="63"/>
  <c r="AF74" i="63"/>
  <c r="AF75" i="63"/>
  <c r="AF76" i="63"/>
  <c r="AF77" i="63"/>
  <c r="AF78" i="63"/>
  <c r="AF80" i="63"/>
  <c r="AF81" i="63"/>
  <c r="AF82" i="63"/>
  <c r="AF43" i="63"/>
  <c r="AF45" i="63"/>
  <c r="AF46" i="63"/>
  <c r="AF48" i="63"/>
  <c r="AF50" i="63"/>
  <c r="AF51" i="63"/>
  <c r="AF52" i="63"/>
  <c r="AF53" i="63"/>
  <c r="AF54" i="63"/>
  <c r="AF55" i="63"/>
  <c r="AF56" i="63"/>
  <c r="AF30" i="63"/>
  <c r="AF31" i="63"/>
  <c r="AF32" i="63"/>
  <c r="AF33" i="63"/>
  <c r="AF34" i="63"/>
  <c r="AF35" i="63"/>
  <c r="AF36" i="63"/>
  <c r="AF37" i="63"/>
  <c r="AF9" i="63"/>
  <c r="AF10" i="63"/>
  <c r="AF11" i="63"/>
  <c r="AF12" i="63"/>
  <c r="AF13" i="63"/>
  <c r="AF14" i="63"/>
  <c r="AF15" i="63"/>
  <c r="AF16" i="63"/>
  <c r="AF18" i="63"/>
  <c r="AF19" i="63"/>
  <c r="AF21" i="63"/>
  <c r="AF22" i="63"/>
  <c r="AF23" i="63"/>
  <c r="AF24" i="63"/>
  <c r="AF25" i="63"/>
  <c r="AF91" i="61"/>
  <c r="AF92" i="61"/>
  <c r="AF93" i="61"/>
  <c r="AF94" i="61"/>
  <c r="AF95" i="61"/>
  <c r="AF96" i="61"/>
  <c r="AF97" i="61"/>
  <c r="AF98" i="61"/>
  <c r="AF99" i="61"/>
  <c r="AF101" i="61"/>
  <c r="AF102" i="61"/>
  <c r="AF103" i="61"/>
  <c r="AF104" i="61"/>
  <c r="AF105" i="61"/>
  <c r="AF106" i="61"/>
  <c r="AF107" i="61"/>
  <c r="AF108" i="61"/>
  <c r="AF109" i="61"/>
  <c r="AF110" i="61"/>
  <c r="AF116" i="61"/>
  <c r="AF117" i="61"/>
  <c r="AF118" i="61"/>
  <c r="AF119" i="61"/>
  <c r="AF125" i="61"/>
  <c r="AF63" i="61"/>
  <c r="AF64" i="61"/>
  <c r="AF65" i="61"/>
  <c r="AF66" i="61"/>
  <c r="AF67" i="61"/>
  <c r="AF68" i="61"/>
  <c r="AF70" i="61"/>
  <c r="AF71" i="61"/>
  <c r="AF72" i="61"/>
  <c r="AF73" i="61"/>
  <c r="AF75" i="61"/>
  <c r="AF76" i="61"/>
  <c r="AF77" i="61"/>
  <c r="AF78" i="61"/>
  <c r="AF81" i="61"/>
  <c r="AF82" i="61"/>
  <c r="AF43" i="61"/>
  <c r="AF45" i="61"/>
  <c r="AF46" i="61"/>
  <c r="AF47" i="61"/>
  <c r="AF48" i="61"/>
  <c r="AF50" i="61"/>
  <c r="AF51" i="61"/>
  <c r="AF52" i="61"/>
  <c r="AF53" i="61"/>
  <c r="AF54" i="61"/>
  <c r="AF55" i="61"/>
  <c r="AF56" i="61"/>
  <c r="AF29" i="61"/>
  <c r="AF30" i="61"/>
  <c r="AF31" i="61"/>
  <c r="AF32" i="61"/>
  <c r="AF33" i="61"/>
  <c r="AF34" i="61"/>
  <c r="AF35" i="61"/>
  <c r="AF36" i="61"/>
  <c r="AF37" i="61"/>
  <c r="AF9" i="61"/>
  <c r="AF10" i="61"/>
  <c r="AF11" i="61"/>
  <c r="AF12" i="61"/>
  <c r="AF13" i="61"/>
  <c r="AF14" i="61"/>
  <c r="AF15" i="61"/>
  <c r="AF16" i="61"/>
  <c r="AF18" i="61"/>
  <c r="AF19" i="61"/>
  <c r="AF20" i="61"/>
  <c r="AF21" i="61"/>
  <c r="AF22" i="61"/>
  <c r="AF23" i="61"/>
  <c r="AF24" i="61"/>
  <c r="AF25" i="61"/>
  <c r="AG11" i="104"/>
  <c r="AG15" i="104" s="1"/>
  <c r="AG19" i="104" s="1"/>
  <c r="AG23" i="104" s="1"/>
  <c r="AG27" i="104" s="1"/>
  <c r="AG31" i="104" s="1"/>
  <c r="AG35" i="104" s="1"/>
  <c r="AF129" i="60"/>
  <c r="AF130" i="60"/>
  <c r="AF92" i="60"/>
  <c r="AF93" i="60"/>
  <c r="AF94" i="60"/>
  <c r="AF95" i="60"/>
  <c r="AF96" i="60"/>
  <c r="AF97" i="60"/>
  <c r="AF98" i="60"/>
  <c r="AF99" i="60"/>
  <c r="AF102" i="60"/>
  <c r="AF103" i="60"/>
  <c r="AF104" i="60"/>
  <c r="AF105" i="60"/>
  <c r="AF106" i="60"/>
  <c r="AF107" i="60"/>
  <c r="AF108" i="60"/>
  <c r="AF109" i="60"/>
  <c r="AF110" i="60"/>
  <c r="AF116" i="60"/>
  <c r="AF117" i="60"/>
  <c r="AF118" i="60"/>
  <c r="AF119" i="60"/>
  <c r="AF124" i="60"/>
  <c r="AF125" i="60"/>
  <c r="U129" i="60"/>
  <c r="U130" i="60"/>
  <c r="AF63" i="60"/>
  <c r="AF64" i="60"/>
  <c r="AF65" i="60"/>
  <c r="AF66" i="60"/>
  <c r="AF67" i="60"/>
  <c r="AF68" i="60"/>
  <c r="AF71" i="60"/>
  <c r="AF72" i="60"/>
  <c r="AF73" i="60"/>
  <c r="AF74" i="60"/>
  <c r="AF75" i="60"/>
  <c r="AF76" i="60"/>
  <c r="AF77" i="60"/>
  <c r="AF78" i="60"/>
  <c r="AF80" i="60"/>
  <c r="AF81" i="60"/>
  <c r="AF82" i="60"/>
  <c r="AF43" i="60"/>
  <c r="AF45" i="60"/>
  <c r="AF46" i="60"/>
  <c r="AF47" i="60"/>
  <c r="AF48" i="60"/>
  <c r="AF50" i="60"/>
  <c r="AF51" i="60"/>
  <c r="AF52" i="60"/>
  <c r="AF53" i="60"/>
  <c r="AF54" i="60"/>
  <c r="AF55" i="60"/>
  <c r="AF56" i="60"/>
  <c r="AF29" i="60"/>
  <c r="AF30" i="60"/>
  <c r="AF31" i="60"/>
  <c r="AF32" i="60"/>
  <c r="AF33" i="60"/>
  <c r="AF34" i="60"/>
  <c r="AF35" i="60"/>
  <c r="AF36" i="60"/>
  <c r="AF37" i="60"/>
  <c r="AF9" i="60"/>
  <c r="AF10" i="60"/>
  <c r="AF11" i="60"/>
  <c r="AF12" i="60"/>
  <c r="AF13" i="60"/>
  <c r="AF14" i="60"/>
  <c r="AF15" i="60"/>
  <c r="AF16" i="60"/>
  <c r="AF19" i="60"/>
  <c r="AF20" i="60"/>
  <c r="AF21" i="60"/>
  <c r="AF22" i="60"/>
  <c r="AF23" i="60"/>
  <c r="AF24" i="60"/>
  <c r="AF25" i="60"/>
  <c r="AF129" i="59"/>
  <c r="AF130" i="59"/>
  <c r="AF92" i="59"/>
  <c r="AF93" i="59"/>
  <c r="AF94" i="59"/>
  <c r="AF95" i="59"/>
  <c r="AF96" i="59"/>
  <c r="AF97" i="59"/>
  <c r="AF98" i="59"/>
  <c r="AF99" i="59"/>
  <c r="AF101" i="59"/>
  <c r="AF102" i="59"/>
  <c r="AF103" i="59"/>
  <c r="AF104" i="59"/>
  <c r="AF105" i="59"/>
  <c r="AF106" i="59"/>
  <c r="AF107" i="59"/>
  <c r="AF108" i="59"/>
  <c r="AF109" i="59"/>
  <c r="AF110" i="59"/>
  <c r="AF117" i="59"/>
  <c r="AF118" i="59"/>
  <c r="AF119" i="59"/>
  <c r="AF125" i="59"/>
  <c r="AF63" i="59"/>
  <c r="AF64" i="59"/>
  <c r="AF65" i="59"/>
  <c r="AF66" i="59"/>
  <c r="AF67" i="59"/>
  <c r="AF68" i="59"/>
  <c r="AF70" i="59"/>
  <c r="AF71" i="59"/>
  <c r="AF72" i="59"/>
  <c r="AF73" i="59"/>
  <c r="AF74" i="59"/>
  <c r="AF75" i="59"/>
  <c r="AF76" i="59"/>
  <c r="AF77" i="59"/>
  <c r="AF78" i="59"/>
  <c r="AF80" i="59"/>
  <c r="AF81" i="59"/>
  <c r="AF82" i="59"/>
  <c r="AF43" i="59"/>
  <c r="AF45" i="59"/>
  <c r="AF46" i="59"/>
  <c r="AF47" i="59"/>
  <c r="AF48" i="59"/>
  <c r="AF50" i="59"/>
  <c r="AF51" i="59"/>
  <c r="AF52" i="59"/>
  <c r="AF53" i="59"/>
  <c r="AF54" i="59"/>
  <c r="AF55" i="59"/>
  <c r="AF56" i="59"/>
  <c r="AF29" i="59"/>
  <c r="AF30" i="59"/>
  <c r="AF31" i="59"/>
  <c r="AF32" i="59"/>
  <c r="AF33" i="59"/>
  <c r="AF34" i="59"/>
  <c r="AF35" i="59"/>
  <c r="AF36" i="59"/>
  <c r="AF37" i="59"/>
  <c r="AF9" i="59"/>
  <c r="AF10" i="59"/>
  <c r="AF11" i="59"/>
  <c r="AF12" i="59"/>
  <c r="AF13" i="59"/>
  <c r="AF14" i="59"/>
  <c r="AF15" i="59"/>
  <c r="AF16" i="59"/>
  <c r="AF18" i="59"/>
  <c r="AF19" i="59"/>
  <c r="AF20" i="59"/>
  <c r="AF21" i="59"/>
  <c r="AF22" i="59"/>
  <c r="AF23" i="59"/>
  <c r="AF24" i="59"/>
  <c r="AF25" i="59"/>
  <c r="AF129" i="58"/>
  <c r="AF130" i="58"/>
  <c r="AF91" i="58"/>
  <c r="AF93" i="58"/>
  <c r="AF94" i="58"/>
  <c r="AF95" i="58"/>
  <c r="AF96" i="58"/>
  <c r="AF97" i="58"/>
  <c r="AF98" i="58"/>
  <c r="AF99" i="58"/>
  <c r="AF101" i="58"/>
  <c r="AF102" i="58"/>
  <c r="AF103" i="58"/>
  <c r="AF104" i="58"/>
  <c r="AF105" i="58"/>
  <c r="AF106" i="58"/>
  <c r="AF107" i="58"/>
  <c r="AF108" i="58"/>
  <c r="AF109" i="58"/>
  <c r="AF110" i="58"/>
  <c r="AF116" i="58"/>
  <c r="AF117" i="58"/>
  <c r="AF118" i="58"/>
  <c r="AF119" i="58"/>
  <c r="AF125" i="58"/>
  <c r="AF63" i="58"/>
  <c r="AF64" i="58"/>
  <c r="AF65" i="58"/>
  <c r="AF66" i="58"/>
  <c r="AF67" i="58"/>
  <c r="AF68" i="58"/>
  <c r="AF70" i="58"/>
  <c r="AF71" i="58"/>
  <c r="AF72" i="58"/>
  <c r="AF73" i="58"/>
  <c r="AF74" i="58"/>
  <c r="AF75" i="58"/>
  <c r="AF76" i="58"/>
  <c r="AF77" i="58"/>
  <c r="AF78" i="58"/>
  <c r="AF80" i="58"/>
  <c r="AF81" i="58"/>
  <c r="AF82" i="58"/>
  <c r="AF43" i="58"/>
  <c r="AF45" i="58"/>
  <c r="AF46" i="58"/>
  <c r="AF47" i="58"/>
  <c r="AF48" i="58"/>
  <c r="AF51" i="58"/>
  <c r="AF52" i="58"/>
  <c r="AF53" i="58"/>
  <c r="AF54" i="58"/>
  <c r="AF55" i="58"/>
  <c r="AF56" i="58"/>
  <c r="AF29" i="58"/>
  <c r="AF30" i="58"/>
  <c r="AF31" i="58"/>
  <c r="AF32" i="58"/>
  <c r="AF33" i="58"/>
  <c r="AF34" i="58"/>
  <c r="AF35" i="58"/>
  <c r="AF36" i="58"/>
  <c r="AF37" i="58"/>
  <c r="AF9" i="58"/>
  <c r="AF10" i="58"/>
  <c r="AF11" i="58"/>
  <c r="AF12" i="58"/>
  <c r="AF13" i="58"/>
  <c r="AF14" i="58"/>
  <c r="AF15" i="58"/>
  <c r="AF16" i="58"/>
  <c r="AF18" i="58"/>
  <c r="AF19" i="58"/>
  <c r="AF20" i="58"/>
  <c r="AF21" i="58"/>
  <c r="AF22" i="58"/>
  <c r="AF23" i="58"/>
  <c r="AF24" i="58"/>
  <c r="AF25" i="58"/>
  <c r="AF129" i="57"/>
  <c r="AF130" i="57"/>
  <c r="AF68" i="57"/>
  <c r="AF91" i="57"/>
  <c r="AF92" i="57"/>
  <c r="AF93" i="57"/>
  <c r="AF94" i="57"/>
  <c r="AF95" i="57"/>
  <c r="AF96" i="57"/>
  <c r="AF97" i="57"/>
  <c r="AF98" i="57"/>
  <c r="AF99" i="57"/>
  <c r="AF101" i="57"/>
  <c r="AF102" i="57"/>
  <c r="AF103" i="57"/>
  <c r="AF104" i="57"/>
  <c r="AF105" i="57"/>
  <c r="AF106" i="57"/>
  <c r="AF107" i="57"/>
  <c r="AF108" i="57"/>
  <c r="AF109" i="57"/>
  <c r="AF110" i="57"/>
  <c r="AF116" i="57"/>
  <c r="AF117" i="57"/>
  <c r="AF118" i="57"/>
  <c r="AF119" i="57"/>
  <c r="AF125" i="57"/>
  <c r="U129" i="57"/>
  <c r="U130" i="57"/>
  <c r="AF63" i="57"/>
  <c r="AF64" i="57"/>
  <c r="AF65" i="57"/>
  <c r="AF66" i="57"/>
  <c r="AF67" i="57"/>
  <c r="AF70" i="57"/>
  <c r="AF71" i="57"/>
  <c r="AF72" i="57"/>
  <c r="AF73" i="57"/>
  <c r="AF74" i="57"/>
  <c r="AF75" i="57"/>
  <c r="AF76" i="57"/>
  <c r="AF77" i="57"/>
  <c r="AF78" i="57"/>
  <c r="AF80" i="57"/>
  <c r="AF81" i="57"/>
  <c r="AF82" i="57"/>
  <c r="AF43" i="57"/>
  <c r="AF45" i="57"/>
  <c r="AF46" i="57"/>
  <c r="AF47" i="57"/>
  <c r="AF48" i="57"/>
  <c r="AF51" i="57"/>
  <c r="AF52" i="57"/>
  <c r="AF53" i="57"/>
  <c r="AF54" i="57"/>
  <c r="AF55" i="57"/>
  <c r="AF56" i="57"/>
  <c r="AF30" i="57"/>
  <c r="AF31" i="57"/>
  <c r="AF32" i="57"/>
  <c r="AF33" i="57"/>
  <c r="AF34" i="57"/>
  <c r="AF35" i="57"/>
  <c r="AF36" i="57"/>
  <c r="AF37" i="57"/>
  <c r="AF9" i="57"/>
  <c r="AF10" i="57"/>
  <c r="AF11" i="57"/>
  <c r="AF12" i="57"/>
  <c r="AF13" i="57"/>
  <c r="AF14" i="57"/>
  <c r="AF15" i="57"/>
  <c r="AF16" i="57"/>
  <c r="AF18" i="57"/>
  <c r="AF19" i="57"/>
  <c r="AF20" i="57"/>
  <c r="AF21" i="57"/>
  <c r="AF22" i="57"/>
  <c r="AF23" i="57"/>
  <c r="AF24" i="57"/>
  <c r="AF25" i="57"/>
  <c r="AF129" i="56"/>
  <c r="AF130" i="56"/>
  <c r="AF92" i="56"/>
  <c r="AF93" i="56"/>
  <c r="AF94" i="56"/>
  <c r="AF95" i="56"/>
  <c r="AF96" i="56"/>
  <c r="AF97" i="56"/>
  <c r="AF98" i="56"/>
  <c r="AF99" i="56"/>
  <c r="AF102" i="56"/>
  <c r="AF103" i="56"/>
  <c r="AF104" i="56"/>
  <c r="AF105" i="56"/>
  <c r="AF106" i="56"/>
  <c r="AF107" i="56"/>
  <c r="AF108" i="56"/>
  <c r="AF109" i="56"/>
  <c r="AF110" i="56"/>
  <c r="AF117" i="56"/>
  <c r="AF118" i="56"/>
  <c r="AF119" i="56"/>
  <c r="AF125" i="56"/>
  <c r="U129" i="56"/>
  <c r="U130" i="56"/>
  <c r="AF63" i="56"/>
  <c r="AF64" i="56"/>
  <c r="AF65" i="56"/>
  <c r="AF66" i="56"/>
  <c r="AF67" i="56"/>
  <c r="AF68" i="56"/>
  <c r="AF70" i="56"/>
  <c r="AF71" i="56"/>
  <c r="AF72" i="56"/>
  <c r="AF73" i="56"/>
  <c r="AF74" i="56"/>
  <c r="AF75" i="56"/>
  <c r="AF76" i="56"/>
  <c r="AF77" i="56"/>
  <c r="AF78" i="56"/>
  <c r="AF80" i="56"/>
  <c r="AF81" i="56"/>
  <c r="AF82" i="56"/>
  <c r="AF43" i="56"/>
  <c r="AF45" i="56"/>
  <c r="AF46" i="56"/>
  <c r="AF47" i="56"/>
  <c r="AF48" i="56"/>
  <c r="AF51" i="56"/>
  <c r="AF52" i="56"/>
  <c r="AF53" i="56"/>
  <c r="AF54" i="56"/>
  <c r="AF55" i="56"/>
  <c r="AF56" i="56"/>
  <c r="AF29" i="56"/>
  <c r="AF30" i="56"/>
  <c r="AF31" i="56"/>
  <c r="AF32" i="56"/>
  <c r="AF33" i="56"/>
  <c r="AF34" i="56"/>
  <c r="AF35" i="56"/>
  <c r="AF36" i="56"/>
  <c r="AF37" i="56"/>
  <c r="AF9" i="56"/>
  <c r="AF10" i="56"/>
  <c r="AF11" i="56"/>
  <c r="AF12" i="56"/>
  <c r="AF13" i="56"/>
  <c r="AF14" i="56"/>
  <c r="AF15" i="56"/>
  <c r="AF16" i="56"/>
  <c r="AF18" i="56"/>
  <c r="AF19" i="56"/>
  <c r="AF20" i="56"/>
  <c r="AF21" i="56"/>
  <c r="AF22" i="56"/>
  <c r="AF23" i="56"/>
  <c r="AF24" i="56"/>
  <c r="AF25" i="56"/>
  <c r="AF130" i="55"/>
  <c r="AF129" i="55"/>
  <c r="AF35" i="55"/>
  <c r="AF45" i="55"/>
  <c r="AF46" i="55"/>
  <c r="AF47" i="55"/>
  <c r="AF48" i="55"/>
  <c r="AF92" i="55"/>
  <c r="AF93" i="55"/>
  <c r="AF94" i="55"/>
  <c r="AF95" i="55"/>
  <c r="AF96" i="55"/>
  <c r="AF98" i="55"/>
  <c r="AF99" i="55"/>
  <c r="AF101" i="55"/>
  <c r="AF102" i="55"/>
  <c r="AF103" i="55"/>
  <c r="AF104" i="55"/>
  <c r="AF105" i="55"/>
  <c r="AF106" i="55"/>
  <c r="AF107" i="55"/>
  <c r="AF108" i="55"/>
  <c r="AF109" i="55"/>
  <c r="AF110" i="55"/>
  <c r="AF116" i="55"/>
  <c r="AF117" i="55"/>
  <c r="AF118" i="55"/>
  <c r="AF119" i="55"/>
  <c r="AF125" i="55"/>
  <c r="AF63" i="55"/>
  <c r="AF64" i="55"/>
  <c r="AF65" i="55"/>
  <c r="AF66" i="55"/>
  <c r="AF67" i="55"/>
  <c r="AF68" i="55"/>
  <c r="AF70" i="55"/>
  <c r="AF71" i="55"/>
  <c r="AF72" i="55"/>
  <c r="AF73" i="55"/>
  <c r="AF74" i="55"/>
  <c r="AF75" i="55"/>
  <c r="AF76" i="55"/>
  <c r="AF77" i="55"/>
  <c r="AF78" i="55"/>
  <c r="AF80" i="55"/>
  <c r="AF81" i="55"/>
  <c r="AF82" i="55"/>
  <c r="AF50" i="55"/>
  <c r="AF51" i="55"/>
  <c r="AF52" i="55"/>
  <c r="AF53" i="55"/>
  <c r="AF54" i="55"/>
  <c r="AF55" i="55"/>
  <c r="AF56" i="55"/>
  <c r="AF29" i="55"/>
  <c r="AF30" i="55"/>
  <c r="AF31" i="55"/>
  <c r="AF32" i="55"/>
  <c r="AF33" i="55"/>
  <c r="AF34" i="55"/>
  <c r="AF36" i="55"/>
  <c r="AF37" i="55"/>
  <c r="AF9" i="55"/>
  <c r="AF10" i="55"/>
  <c r="AF11" i="55"/>
  <c r="AF12" i="55"/>
  <c r="AF13" i="55"/>
  <c r="AF14" i="55"/>
  <c r="AF15" i="55"/>
  <c r="AF16" i="55"/>
  <c r="AF19" i="55"/>
  <c r="AF20" i="55"/>
  <c r="AF21" i="55"/>
  <c r="AF22" i="55"/>
  <c r="AF23" i="55"/>
  <c r="AF24" i="55"/>
  <c r="AF25" i="55"/>
  <c r="AJ78" i="41"/>
  <c r="AJ79" i="41"/>
  <c r="AJ80" i="41"/>
  <c r="AJ77" i="41"/>
  <c r="AJ72" i="41"/>
  <c r="AJ73" i="41"/>
  <c r="AJ74" i="41"/>
  <c r="AJ71" i="41"/>
  <c r="AG80" i="41"/>
  <c r="AH80" i="41"/>
  <c r="AI80" i="41"/>
  <c r="AG74" i="41"/>
  <c r="AH74" i="41"/>
  <c r="AI74" i="41"/>
  <c r="AI61" i="41"/>
  <c r="AI58" i="41"/>
  <c r="U127" i="57" l="1"/>
  <c r="U127" i="68"/>
  <c r="U8" i="67"/>
  <c r="AF79" i="67"/>
  <c r="U127" i="64"/>
  <c r="AF127" i="67"/>
  <c r="AF8" i="68"/>
  <c r="U8" i="68"/>
  <c r="U79" i="68"/>
  <c r="U114" i="68"/>
  <c r="U100" i="68"/>
  <c r="AF106" i="68"/>
  <c r="AF100" i="68" s="1"/>
  <c r="AF114" i="67"/>
  <c r="U27" i="68"/>
  <c r="AF31" i="68"/>
  <c r="AF27" i="68" s="1"/>
  <c r="U69" i="63"/>
  <c r="U114" i="67"/>
  <c r="AF49" i="68"/>
  <c r="U69" i="60"/>
  <c r="U79" i="61"/>
  <c r="U114" i="59"/>
  <c r="U17" i="68"/>
  <c r="AF18" i="68"/>
  <c r="AF17" i="68" s="1"/>
  <c r="AF6" i="68" s="1"/>
  <c r="AF46" i="68"/>
  <c r="U127" i="56"/>
  <c r="AF8" i="59"/>
  <c r="U17" i="67"/>
  <c r="U6" i="67" s="1"/>
  <c r="U62" i="68"/>
  <c r="AF66" i="68"/>
  <c r="AF62" i="68" s="1"/>
  <c r="U69" i="68"/>
  <c r="AF70" i="68"/>
  <c r="AF69" i="68" s="1"/>
  <c r="U90" i="68"/>
  <c r="AF91" i="68"/>
  <c r="AF90" i="68" s="1"/>
  <c r="U17" i="63"/>
  <c r="U62" i="67"/>
  <c r="U49" i="64"/>
  <c r="U41" i="64" s="1"/>
  <c r="AF124" i="64"/>
  <c r="AF127" i="64" s="1"/>
  <c r="U127" i="67"/>
  <c r="AF114" i="68"/>
  <c r="AF79" i="68"/>
  <c r="U100" i="67"/>
  <c r="U127" i="63"/>
  <c r="U49" i="68"/>
  <c r="U41" i="68" s="1"/>
  <c r="AF127" i="68"/>
  <c r="AF27" i="67"/>
  <c r="AF90" i="67"/>
  <c r="AF69" i="67"/>
  <c r="AF49" i="67"/>
  <c r="AF62" i="67"/>
  <c r="U69" i="67"/>
  <c r="AF9" i="67"/>
  <c r="AF8" i="67" s="1"/>
  <c r="U49" i="67"/>
  <c r="U41" i="67" s="1"/>
  <c r="U79" i="67"/>
  <c r="AF43" i="67"/>
  <c r="AF18" i="67"/>
  <c r="AF17" i="67" s="1"/>
  <c r="U90" i="67"/>
  <c r="AF107" i="67"/>
  <c r="AF100" i="67" s="1"/>
  <c r="U27" i="67"/>
  <c r="AF127" i="63"/>
  <c r="AF8" i="57"/>
  <c r="U69" i="61"/>
  <c r="AF114" i="63"/>
  <c r="AF62" i="59"/>
  <c r="U62" i="63"/>
  <c r="U69" i="64"/>
  <c r="AF90" i="61"/>
  <c r="AF90" i="63"/>
  <c r="U127" i="61"/>
  <c r="AF79" i="63"/>
  <c r="AF69" i="55"/>
  <c r="U41" i="55"/>
  <c r="U127" i="59"/>
  <c r="AF70" i="60"/>
  <c r="U90" i="63"/>
  <c r="AF70" i="63"/>
  <c r="AF69" i="63" s="1"/>
  <c r="AF100" i="64"/>
  <c r="U79" i="64"/>
  <c r="AF100" i="58"/>
  <c r="AF62" i="55"/>
  <c r="AF43" i="55"/>
  <c r="U8" i="61"/>
  <c r="AF74" i="61"/>
  <c r="AF69" i="61" s="1"/>
  <c r="U27" i="63"/>
  <c r="U100" i="63"/>
  <c r="AF101" i="63"/>
  <c r="AF100" i="63" s="1"/>
  <c r="U17" i="64"/>
  <c r="AF79" i="56"/>
  <c r="U27" i="57"/>
  <c r="U79" i="60"/>
  <c r="AF114" i="60"/>
  <c r="U114" i="63"/>
  <c r="AF70" i="64"/>
  <c r="AF69" i="64" s="1"/>
  <c r="U17" i="61"/>
  <c r="U8" i="57"/>
  <c r="U79" i="63"/>
  <c r="AF19" i="64"/>
  <c r="AF17" i="64" s="1"/>
  <c r="AF27" i="64"/>
  <c r="AF114" i="64"/>
  <c r="AF17" i="61"/>
  <c r="AF8" i="64"/>
  <c r="AF114" i="61"/>
  <c r="AF62" i="64"/>
  <c r="AF90" i="64"/>
  <c r="AF100" i="61"/>
  <c r="AF27" i="61"/>
  <c r="AF8" i="61"/>
  <c r="AF8" i="63"/>
  <c r="AF49" i="63"/>
  <c r="AF49" i="61"/>
  <c r="AF41" i="61" s="1"/>
  <c r="AF62" i="61"/>
  <c r="U90" i="61"/>
  <c r="U49" i="63"/>
  <c r="U41" i="63" s="1"/>
  <c r="U27" i="64"/>
  <c r="U62" i="64"/>
  <c r="U114" i="64"/>
  <c r="U100" i="64"/>
  <c r="AF80" i="64"/>
  <c r="AF79" i="64" s="1"/>
  <c r="U90" i="64"/>
  <c r="U8" i="64"/>
  <c r="U62" i="61"/>
  <c r="AF80" i="61"/>
  <c r="AF79" i="61" s="1"/>
  <c r="AF47" i="63"/>
  <c r="AF63" i="63"/>
  <c r="AF62" i="63" s="1"/>
  <c r="AF50" i="64"/>
  <c r="AF49" i="64" s="1"/>
  <c r="AF41" i="64" s="1"/>
  <c r="U8" i="63"/>
  <c r="AF20" i="63"/>
  <c r="AF17" i="63" s="1"/>
  <c r="U49" i="61"/>
  <c r="U41" i="61" s="1"/>
  <c r="U27" i="61"/>
  <c r="U114" i="61"/>
  <c r="U100" i="61"/>
  <c r="AF124" i="61"/>
  <c r="AF127" i="61" s="1"/>
  <c r="AF29" i="63"/>
  <c r="AF27" i="63" s="1"/>
  <c r="AF27" i="58"/>
  <c r="AF27" i="59"/>
  <c r="AF8" i="58"/>
  <c r="AF69" i="59"/>
  <c r="AF79" i="55"/>
  <c r="AF69" i="58"/>
  <c r="AF90" i="57"/>
  <c r="AF62" i="58"/>
  <c r="AF127" i="60"/>
  <c r="AF69" i="57"/>
  <c r="AF79" i="60"/>
  <c r="AF27" i="60"/>
  <c r="AF49" i="55"/>
  <c r="AF100" i="55"/>
  <c r="AF17" i="56"/>
  <c r="AF62" i="56"/>
  <c r="AF114" i="58"/>
  <c r="AF49" i="59"/>
  <c r="AF41" i="59" s="1"/>
  <c r="AF49" i="60"/>
  <c r="AF41" i="60" s="1"/>
  <c r="AF114" i="55"/>
  <c r="AF62" i="57"/>
  <c r="AF124" i="56"/>
  <c r="AF127" i="56" s="1"/>
  <c r="AF100" i="57"/>
  <c r="AF69" i="60"/>
  <c r="AF79" i="57"/>
  <c r="U79" i="59"/>
  <c r="AF17" i="59"/>
  <c r="AF6" i="59" s="1"/>
  <c r="AF116" i="59"/>
  <c r="AF114" i="59" s="1"/>
  <c r="U114" i="60"/>
  <c r="U8" i="56"/>
  <c r="U114" i="56"/>
  <c r="AF116" i="56"/>
  <c r="AF114" i="56" s="1"/>
  <c r="U79" i="57"/>
  <c r="U49" i="60"/>
  <c r="U41" i="60" s="1"/>
  <c r="U100" i="56"/>
  <c r="AF8" i="60"/>
  <c r="U114" i="57"/>
  <c r="U62" i="55"/>
  <c r="U79" i="56"/>
  <c r="U17" i="58"/>
  <c r="U49" i="58"/>
  <c r="U41" i="58" s="1"/>
  <c r="U62" i="58"/>
  <c r="U90" i="58"/>
  <c r="AF50" i="58"/>
  <c r="AF49" i="58" s="1"/>
  <c r="AF41" i="58" s="1"/>
  <c r="U17" i="59"/>
  <c r="AF27" i="56"/>
  <c r="AF79" i="59"/>
  <c r="AF114" i="57"/>
  <c r="U79" i="58"/>
  <c r="U127" i="55"/>
  <c r="U17" i="57"/>
  <c r="U49" i="57"/>
  <c r="U41" i="57" s="1"/>
  <c r="U62" i="57"/>
  <c r="AF50" i="57"/>
  <c r="AF49" i="57" s="1"/>
  <c r="AF41" i="57" s="1"/>
  <c r="U127" i="58"/>
  <c r="U90" i="59"/>
  <c r="AF79" i="58"/>
  <c r="U49" i="59"/>
  <c r="U41" i="59" s="1"/>
  <c r="U17" i="55"/>
  <c r="U17" i="56"/>
  <c r="U49" i="56"/>
  <c r="U41" i="56" s="1"/>
  <c r="U62" i="56"/>
  <c r="AF50" i="56"/>
  <c r="AF49" i="56" s="1"/>
  <c r="AF41" i="56" s="1"/>
  <c r="U100" i="58"/>
  <c r="AF92" i="58"/>
  <c r="AF90" i="58" s="1"/>
  <c r="U69" i="59"/>
  <c r="AF69" i="56"/>
  <c r="U100" i="57"/>
  <c r="AF100" i="59"/>
  <c r="U8" i="59"/>
  <c r="AF8" i="56"/>
  <c r="AF62" i="60"/>
  <c r="U100" i="55"/>
  <c r="AF124" i="58"/>
  <c r="AF127" i="58" s="1"/>
  <c r="U127" i="60"/>
  <c r="U79" i="55"/>
  <c r="AF17" i="57"/>
  <c r="U62" i="59"/>
  <c r="U69" i="55"/>
  <c r="AF124" i="55"/>
  <c r="AF127" i="55" s="1"/>
  <c r="U90" i="57"/>
  <c r="AF124" i="57"/>
  <c r="AF127" i="57" s="1"/>
  <c r="U27" i="58"/>
  <c r="U114" i="58"/>
  <c r="U100" i="59"/>
  <c r="AF91" i="59"/>
  <c r="AF90" i="59" s="1"/>
  <c r="U90" i="60"/>
  <c r="AF91" i="60"/>
  <c r="AF90" i="60" s="1"/>
  <c r="U27" i="56"/>
  <c r="U8" i="58"/>
  <c r="AF17" i="58"/>
  <c r="U100" i="60"/>
  <c r="AF101" i="60"/>
  <c r="AF100" i="60" s="1"/>
  <c r="U69" i="56"/>
  <c r="AF101" i="56"/>
  <c r="AF100" i="56" s="1"/>
  <c r="U8" i="60"/>
  <c r="U17" i="60"/>
  <c r="U62" i="60"/>
  <c r="AF18" i="60"/>
  <c r="AF17" i="60" s="1"/>
  <c r="U114" i="55"/>
  <c r="AF18" i="55"/>
  <c r="AF17" i="55" s="1"/>
  <c r="U90" i="56"/>
  <c r="AF91" i="56"/>
  <c r="AF90" i="56" s="1"/>
  <c r="U69" i="57"/>
  <c r="AF29" i="57"/>
  <c r="AF27" i="57" s="1"/>
  <c r="U69" i="58"/>
  <c r="U27" i="59"/>
  <c r="AF124" i="59"/>
  <c r="AF127" i="59" s="1"/>
  <c r="U27" i="60"/>
  <c r="AF27" i="55"/>
  <c r="AF8" i="55"/>
  <c r="U8" i="55"/>
  <c r="U27" i="55"/>
  <c r="U6" i="68" l="1"/>
  <c r="U88" i="56"/>
  <c r="U60" i="67"/>
  <c r="U60" i="63"/>
  <c r="U88" i="68"/>
  <c r="U60" i="68"/>
  <c r="AF88" i="60"/>
  <c r="AF88" i="63"/>
  <c r="AF6" i="57"/>
  <c r="AF41" i="68"/>
  <c r="AF60" i="57"/>
  <c r="U88" i="64"/>
  <c r="AF88" i="68"/>
  <c r="AF60" i="68"/>
  <c r="U60" i="64"/>
  <c r="U6" i="55"/>
  <c r="U39" i="55" s="1"/>
  <c r="U58" i="55" s="1"/>
  <c r="AF88" i="61"/>
  <c r="U88" i="60"/>
  <c r="U6" i="57"/>
  <c r="U39" i="57" s="1"/>
  <c r="U58" i="57" s="1"/>
  <c r="U6" i="63"/>
  <c r="U39" i="63" s="1"/>
  <c r="U58" i="63" s="1"/>
  <c r="U88" i="67"/>
  <c r="U60" i="60"/>
  <c r="AF88" i="59"/>
  <c r="AF60" i="55"/>
  <c r="U60" i="61"/>
  <c r="U39" i="68"/>
  <c r="U58" i="68" s="1"/>
  <c r="U60" i="59"/>
  <c r="AF39" i="68"/>
  <c r="AF88" i="58"/>
  <c r="U60" i="57"/>
  <c r="AF88" i="57"/>
  <c r="AF60" i="56"/>
  <c r="AF60" i="58"/>
  <c r="AF60" i="67"/>
  <c r="U39" i="67"/>
  <c r="U58" i="67" s="1"/>
  <c r="U86" i="67" s="1"/>
  <c r="AF41" i="67"/>
  <c r="AF88" i="67"/>
  <c r="AF6" i="67"/>
  <c r="AF39" i="67" s="1"/>
  <c r="AF6" i="64"/>
  <c r="AF39" i="64" s="1"/>
  <c r="AF58" i="64" s="1"/>
  <c r="AF41" i="63"/>
  <c r="U6" i="64"/>
  <c r="U39" i="64" s="1"/>
  <c r="U58" i="64" s="1"/>
  <c r="U60" i="58"/>
  <c r="U60" i="55"/>
  <c r="U88" i="63"/>
  <c r="AF60" i="64"/>
  <c r="AF41" i="55"/>
  <c r="U6" i="59"/>
  <c r="U39" i="59" s="1"/>
  <c r="U58" i="59" s="1"/>
  <c r="AF6" i="60"/>
  <c r="AF39" i="60" s="1"/>
  <c r="AF58" i="60" s="1"/>
  <c r="AF60" i="60"/>
  <c r="AF6" i="61"/>
  <c r="AF39" i="61" s="1"/>
  <c r="AF58" i="61" s="1"/>
  <c r="AF88" i="56"/>
  <c r="U88" i="57"/>
  <c r="AF60" i="59"/>
  <c r="U6" i="58"/>
  <c r="U39" i="58" s="1"/>
  <c r="U58" i="58" s="1"/>
  <c r="AF88" i="64"/>
  <c r="U6" i="61"/>
  <c r="U39" i="61" s="1"/>
  <c r="U58" i="61" s="1"/>
  <c r="AF60" i="63"/>
  <c r="U88" i="61"/>
  <c r="AF60" i="61"/>
  <c r="AF6" i="63"/>
  <c r="AF39" i="63" s="1"/>
  <c r="U88" i="59"/>
  <c r="U6" i="60"/>
  <c r="U39" i="60" s="1"/>
  <c r="U58" i="60" s="1"/>
  <c r="AF6" i="58"/>
  <c r="AF39" i="58" s="1"/>
  <c r="AF58" i="58" s="1"/>
  <c r="U6" i="56"/>
  <c r="U39" i="56" s="1"/>
  <c r="U58" i="56" s="1"/>
  <c r="AF39" i="59"/>
  <c r="AF58" i="59" s="1"/>
  <c r="AF6" i="56"/>
  <c r="AF39" i="56" s="1"/>
  <c r="AF58" i="56" s="1"/>
  <c r="U60" i="56"/>
  <c r="U88" i="58"/>
  <c r="AF39" i="57"/>
  <c r="AF58" i="57" s="1"/>
  <c r="AF86" i="57" l="1"/>
  <c r="U86" i="57"/>
  <c r="U86" i="63"/>
  <c r="U84" i="63" s="1"/>
  <c r="AF58" i="67"/>
  <c r="U86" i="58"/>
  <c r="U86" i="60"/>
  <c r="U112" i="60" s="1"/>
  <c r="U121" i="60" s="1"/>
  <c r="U86" i="68"/>
  <c r="U112" i="68" s="1"/>
  <c r="U121" i="68" s="1"/>
  <c r="AF86" i="64"/>
  <c r="AF84" i="64" s="1"/>
  <c r="U112" i="63"/>
  <c r="U121" i="63" s="1"/>
  <c r="AF86" i="60"/>
  <c r="AF112" i="60" s="1"/>
  <c r="AF121" i="60" s="1"/>
  <c r="AF58" i="68"/>
  <c r="AF86" i="68" s="1"/>
  <c r="AF84" i="68" s="1"/>
  <c r="U86" i="59"/>
  <c r="U84" i="59" s="1"/>
  <c r="U86" i="61"/>
  <c r="U112" i="61" s="1"/>
  <c r="U121" i="61" s="1"/>
  <c r="U86" i="64"/>
  <c r="U112" i="64" s="1"/>
  <c r="U121" i="64" s="1"/>
  <c r="AF58" i="63"/>
  <c r="AF86" i="63" s="1"/>
  <c r="AF84" i="63" s="1"/>
  <c r="AF86" i="59"/>
  <c r="AF84" i="59" s="1"/>
  <c r="AF86" i="56"/>
  <c r="AF84" i="56" s="1"/>
  <c r="AF86" i="58"/>
  <c r="AF84" i="58" s="1"/>
  <c r="U84" i="58"/>
  <c r="U112" i="58"/>
  <c r="U121" i="58" s="1"/>
  <c r="AF84" i="57"/>
  <c r="AF112" i="57"/>
  <c r="AF121" i="57" s="1"/>
  <c r="AF86" i="67"/>
  <c r="AF112" i="67" s="1"/>
  <c r="AF121" i="67" s="1"/>
  <c r="U112" i="67"/>
  <c r="U121" i="67" s="1"/>
  <c r="U84" i="67"/>
  <c r="U112" i="57"/>
  <c r="U121" i="57" s="1"/>
  <c r="U84" i="57"/>
  <c r="U86" i="56"/>
  <c r="U112" i="56" s="1"/>
  <c r="U121" i="56" s="1"/>
  <c r="U86" i="55"/>
  <c r="AF86" i="61"/>
  <c r="U84" i="60"/>
  <c r="U84" i="68" l="1"/>
  <c r="U84" i="61"/>
  <c r="AF112" i="64"/>
  <c r="AF121" i="64" s="1"/>
  <c r="U84" i="64"/>
  <c r="AF112" i="68"/>
  <c r="AF121" i="68" s="1"/>
  <c r="U112" i="59"/>
  <c r="U121" i="59" s="1"/>
  <c r="AF84" i="60"/>
  <c r="U84" i="55"/>
  <c r="AF112" i="56"/>
  <c r="AF121" i="56" s="1"/>
  <c r="AF112" i="58"/>
  <c r="AF121" i="58" s="1"/>
  <c r="U84" i="56"/>
  <c r="AF112" i="63"/>
  <c r="AF121" i="63" s="1"/>
  <c r="AF84" i="67"/>
  <c r="AF112" i="59"/>
  <c r="AF121" i="59" s="1"/>
  <c r="AF112" i="61"/>
  <c r="AF121" i="61" s="1"/>
  <c r="AF84" i="61"/>
  <c r="J13" i="102"/>
  <c r="J17" i="102"/>
  <c r="J23" i="102"/>
  <c r="J24" i="102"/>
  <c r="J32" i="102"/>
  <c r="J36" i="102"/>
  <c r="J42" i="102"/>
  <c r="J43" i="102"/>
  <c r="J50" i="102"/>
  <c r="J54" i="102"/>
  <c r="J60" i="102"/>
  <c r="J61" i="102"/>
  <c r="J68" i="102"/>
  <c r="J72" i="102"/>
  <c r="J78" i="102"/>
  <c r="J79" i="102"/>
  <c r="J86" i="102"/>
  <c r="J90" i="102"/>
  <c r="J96" i="102"/>
  <c r="J97" i="102"/>
  <c r="J104" i="102"/>
  <c r="J108" i="102"/>
  <c r="J114" i="102"/>
  <c r="J115" i="102"/>
  <c r="J122" i="102"/>
  <c r="J126" i="102"/>
  <c r="J132" i="102"/>
  <c r="J133" i="102"/>
  <c r="J137" i="102"/>
  <c r="J145" i="102"/>
  <c r="J153" i="102"/>
  <c r="J161" i="102"/>
  <c r="J169" i="102"/>
  <c r="J177" i="102"/>
  <c r="J185" i="102"/>
  <c r="J193" i="102"/>
  <c r="J9" i="101"/>
  <c r="J16" i="101"/>
  <c r="J27" i="101"/>
  <c r="J30" i="101"/>
  <c r="J37" i="101"/>
  <c r="J40" i="101"/>
  <c r="J47" i="101"/>
  <c r="J50" i="101"/>
  <c r="J57" i="101"/>
  <c r="J61" i="101"/>
  <c r="J67" i="101"/>
  <c r="J70" i="101"/>
  <c r="J77" i="101"/>
  <c r="J78" i="101"/>
  <c r="J79" i="101"/>
  <c r="J80" i="101"/>
  <c r="J82" i="101"/>
  <c r="J83" i="101"/>
  <c r="J84" i="101"/>
  <c r="AI22" i="41"/>
  <c r="J110" i="102" l="1"/>
  <c r="J112" i="102" s="1"/>
  <c r="J56" i="102"/>
  <c r="J58" i="102" s="1"/>
  <c r="J19" i="102"/>
  <c r="J21" i="102" s="1"/>
  <c r="J38" i="102"/>
  <c r="J40" i="102" s="1"/>
  <c r="J92" i="102"/>
  <c r="J94" i="102" s="1"/>
  <c r="J135" i="102"/>
  <c r="J81" i="101"/>
  <c r="J85" i="101" s="1"/>
  <c r="J195" i="102"/>
  <c r="J128" i="102"/>
  <c r="J130" i="102" s="1"/>
  <c r="J74" i="102"/>
  <c r="J76" i="102" s="1"/>
  <c r="AI25" i="41" l="1"/>
  <c r="T16" i="44" l="1"/>
  <c r="T23" i="44"/>
  <c r="X20" i="5"/>
  <c r="W20" i="5"/>
  <c r="V20" i="5"/>
  <c r="U20" i="5"/>
  <c r="T20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Y20" i="5" l="1"/>
  <c r="AD80" i="41"/>
  <c r="AE80" i="41"/>
  <c r="AF80" i="41"/>
  <c r="AD74" i="41"/>
  <c r="AE74" i="41"/>
  <c r="AF74" i="41"/>
  <c r="W24" i="18"/>
  <c r="AO82" i="3"/>
  <c r="AO76" i="3"/>
  <c r="AO70" i="3"/>
  <c r="AO55" i="3"/>
  <c r="AO48" i="3"/>
  <c r="AO41" i="3"/>
  <c r="AO34" i="3"/>
  <c r="AO27" i="3"/>
  <c r="AO20" i="3"/>
  <c r="AO13" i="3"/>
  <c r="P86" i="9"/>
  <c r="O86" i="9"/>
  <c r="M86" i="9"/>
  <c r="L86" i="9"/>
  <c r="K86" i="9"/>
  <c r="J86" i="9"/>
  <c r="I86" i="9"/>
  <c r="H86" i="9"/>
  <c r="P73" i="9"/>
  <c r="O73" i="9"/>
  <c r="M73" i="9"/>
  <c r="L73" i="9"/>
  <c r="K73" i="9"/>
  <c r="J73" i="9"/>
  <c r="I73" i="9"/>
  <c r="H73" i="9"/>
  <c r="M66" i="9"/>
  <c r="L66" i="9"/>
  <c r="K66" i="9"/>
  <c r="J66" i="9"/>
  <c r="I66" i="9"/>
  <c r="H66" i="9"/>
  <c r="P55" i="9"/>
  <c r="P65" i="9" s="1"/>
  <c r="O55" i="9"/>
  <c r="O65" i="9" s="1"/>
  <c r="M55" i="9"/>
  <c r="M65" i="9" s="1"/>
  <c r="L55" i="9"/>
  <c r="L65" i="9" s="1"/>
  <c r="K55" i="9"/>
  <c r="K65" i="9" s="1"/>
  <c r="J55" i="9"/>
  <c r="J65" i="9" s="1"/>
  <c r="I55" i="9"/>
  <c r="I65" i="9" s="1"/>
  <c r="H55" i="9"/>
  <c r="H65" i="9" s="1"/>
  <c r="P41" i="9"/>
  <c r="O41" i="9"/>
  <c r="M41" i="9"/>
  <c r="L41" i="9"/>
  <c r="K41" i="9"/>
  <c r="J41" i="9"/>
  <c r="I41" i="9"/>
  <c r="H41" i="9"/>
  <c r="P20" i="9"/>
  <c r="O20" i="9"/>
  <c r="M20" i="9"/>
  <c r="L20" i="9"/>
  <c r="K20" i="9"/>
  <c r="J20" i="9"/>
  <c r="I20" i="9"/>
  <c r="H20" i="9"/>
  <c r="P9" i="9"/>
  <c r="P19" i="9" s="1"/>
  <c r="O9" i="9"/>
  <c r="O19" i="9" s="1"/>
  <c r="M9" i="9"/>
  <c r="M19" i="9" s="1"/>
  <c r="L9" i="9"/>
  <c r="L19" i="9" s="1"/>
  <c r="K9" i="9"/>
  <c r="K19" i="9" s="1"/>
  <c r="J9" i="9"/>
  <c r="J19" i="9" s="1"/>
  <c r="I9" i="9"/>
  <c r="I19" i="9" s="1"/>
  <c r="H9" i="9"/>
  <c r="H19" i="9" s="1"/>
  <c r="R197" i="78"/>
  <c r="R202" i="78"/>
  <c r="R254" i="78"/>
  <c r="AB41" i="7"/>
  <c r="AB9" i="7"/>
  <c r="AB19" i="7" s="1"/>
  <c r="BD35" i="8"/>
  <c r="S29" i="45"/>
  <c r="S17" i="45"/>
  <c r="S15" i="45"/>
  <c r="S9" i="45"/>
  <c r="S14" i="45" s="1"/>
  <c r="T39" i="26"/>
  <c r="T19" i="26"/>
  <c r="T9" i="26"/>
  <c r="T18" i="26" s="1"/>
  <c r="X39" i="25"/>
  <c r="X19" i="25"/>
  <c r="X9" i="25"/>
  <c r="X18" i="25" s="1"/>
  <c r="V39" i="24"/>
  <c r="V19" i="24"/>
  <c r="V9" i="24"/>
  <c r="V18" i="24" s="1"/>
  <c r="J60" i="16"/>
  <c r="T56" i="16" s="1"/>
  <c r="J52" i="16"/>
  <c r="T48" i="16" s="1"/>
  <c r="J44" i="16"/>
  <c r="T41" i="16" s="1"/>
  <c r="J36" i="16"/>
  <c r="T33" i="16" s="1"/>
  <c r="J28" i="16"/>
  <c r="T28" i="16" s="1"/>
  <c r="J20" i="16"/>
  <c r="T19" i="16" s="1"/>
  <c r="J12" i="16"/>
  <c r="T8" i="16" s="1"/>
  <c r="AB27" i="108"/>
  <c r="AB105" i="87"/>
  <c r="AB122" i="86"/>
  <c r="AB105" i="86"/>
  <c r="AB48" i="85"/>
  <c r="AB128" i="98"/>
  <c r="AB121" i="98"/>
  <c r="AB104" i="98"/>
  <c r="AB47" i="98"/>
  <c r="AB129" i="84"/>
  <c r="AB122" i="84"/>
  <c r="AB105" i="84"/>
  <c r="AB122" i="83"/>
  <c r="AB105" i="83"/>
  <c r="AB48" i="82"/>
  <c r="AB80" i="82" s="1"/>
  <c r="AB86" i="82" s="1"/>
  <c r="AB129" i="82"/>
  <c r="AB122" i="82"/>
  <c r="AB105" i="82"/>
  <c r="AB122" i="81"/>
  <c r="AB105" i="81"/>
  <c r="AB129" i="80"/>
  <c r="BD54" i="109"/>
  <c r="BC100" i="109"/>
  <c r="BD100" i="109"/>
  <c r="BC80" i="109"/>
  <c r="BD80" i="109"/>
  <c r="BC55" i="109"/>
  <c r="BD55" i="109"/>
  <c r="BC45" i="109"/>
  <c r="BD45" i="109"/>
  <c r="BC29" i="109"/>
  <c r="BD29" i="109"/>
  <c r="BC8" i="109"/>
  <c r="BD8" i="109"/>
  <c r="BD69" i="11"/>
  <c r="BD53" i="11"/>
  <c r="BD52" i="11"/>
  <c r="Q45" i="46"/>
  <c r="Q32" i="46"/>
  <c r="Q45" i="33"/>
  <c r="S40" i="32"/>
  <c r="V81" i="31"/>
  <c r="V24" i="31"/>
  <c r="V8" i="31"/>
  <c r="V46" i="31"/>
  <c r="V45" i="31"/>
  <c r="AJ44" i="30"/>
  <c r="AJ36" i="30"/>
  <c r="AB39" i="29"/>
  <c r="AB81" i="29"/>
  <c r="AB48" i="29"/>
  <c r="AB25" i="29"/>
  <c r="AB69" i="28"/>
  <c r="AB47" i="28"/>
  <c r="AB45" i="27"/>
  <c r="AB24" i="27"/>
  <c r="AB44" i="27"/>
  <c r="AE117" i="70"/>
  <c r="AE118" i="70"/>
  <c r="AE119" i="70"/>
  <c r="T114" i="70"/>
  <c r="AE102" i="70"/>
  <c r="AE103" i="70"/>
  <c r="AE104" i="70"/>
  <c r="AE105" i="70"/>
  <c r="AE106" i="70"/>
  <c r="AE107" i="70"/>
  <c r="AE108" i="70"/>
  <c r="AE109" i="70"/>
  <c r="AE110" i="70"/>
  <c r="AE101" i="70"/>
  <c r="AE92" i="70"/>
  <c r="AE93" i="70"/>
  <c r="AE94" i="70"/>
  <c r="AE95" i="70"/>
  <c r="AE96" i="70"/>
  <c r="AE97" i="70"/>
  <c r="AE98" i="70"/>
  <c r="AE99" i="70"/>
  <c r="AE91" i="70"/>
  <c r="AE81" i="70"/>
  <c r="AE82" i="70"/>
  <c r="T79" i="70"/>
  <c r="AE78" i="70"/>
  <c r="AE77" i="70"/>
  <c r="AE76" i="70"/>
  <c r="AE75" i="70"/>
  <c r="AE74" i="70"/>
  <c r="AE73" i="70"/>
  <c r="AE72" i="70"/>
  <c r="AE71" i="70"/>
  <c r="AE70" i="70"/>
  <c r="AE68" i="70"/>
  <c r="AE67" i="70"/>
  <c r="AE66" i="70"/>
  <c r="AE65" i="70"/>
  <c r="AE64" i="70"/>
  <c r="T62" i="70"/>
  <c r="AE56" i="70"/>
  <c r="AE55" i="70"/>
  <c r="AE54" i="70"/>
  <c r="AE53" i="70"/>
  <c r="AE52" i="70"/>
  <c r="AE51" i="70"/>
  <c r="AE50" i="70"/>
  <c r="AE48" i="70"/>
  <c r="AE47" i="70"/>
  <c r="AE46" i="70"/>
  <c r="AE45" i="70"/>
  <c r="AE43" i="70"/>
  <c r="AE37" i="70"/>
  <c r="AE36" i="70"/>
  <c r="AE35" i="70"/>
  <c r="AE34" i="70"/>
  <c r="AE33" i="70"/>
  <c r="AE32" i="70"/>
  <c r="AE31" i="70"/>
  <c r="AE30" i="70"/>
  <c r="AE25" i="70"/>
  <c r="AE24" i="70"/>
  <c r="AE23" i="70"/>
  <c r="AE22" i="70"/>
  <c r="AE21" i="70"/>
  <c r="AE20" i="70"/>
  <c r="AE19" i="70"/>
  <c r="AE18" i="70"/>
  <c r="AE16" i="70"/>
  <c r="AE15" i="70"/>
  <c r="AE14" i="70"/>
  <c r="AE13" i="70"/>
  <c r="AE12" i="70"/>
  <c r="AE11" i="70"/>
  <c r="AE10" i="70"/>
  <c r="AE9" i="70"/>
  <c r="T49" i="70"/>
  <c r="AE117" i="69"/>
  <c r="AE118" i="69"/>
  <c r="AE119" i="69"/>
  <c r="T114" i="69"/>
  <c r="AE102" i="69"/>
  <c r="AE103" i="69"/>
  <c r="AE104" i="69"/>
  <c r="AE105" i="69"/>
  <c r="AE106" i="69"/>
  <c r="AE107" i="69"/>
  <c r="AE108" i="69"/>
  <c r="AE109" i="69"/>
  <c r="AE110" i="69"/>
  <c r="AE101" i="69"/>
  <c r="AE92" i="69"/>
  <c r="AE93" i="69"/>
  <c r="AE94" i="69"/>
  <c r="AE95" i="69"/>
  <c r="AE96" i="69"/>
  <c r="AE97" i="69"/>
  <c r="AE98" i="69"/>
  <c r="AE99" i="69"/>
  <c r="AE91" i="69"/>
  <c r="AE81" i="69"/>
  <c r="AE82" i="69"/>
  <c r="AE80" i="69"/>
  <c r="AE78" i="69"/>
  <c r="AE77" i="69"/>
  <c r="AE76" i="69"/>
  <c r="AE75" i="69"/>
  <c r="AE74" i="69"/>
  <c r="AE73" i="69"/>
  <c r="AE72" i="69"/>
  <c r="AE71" i="69"/>
  <c r="AE70" i="69"/>
  <c r="AE68" i="69"/>
  <c r="AE67" i="69"/>
  <c r="AE66" i="69"/>
  <c r="AE65" i="69"/>
  <c r="AE64" i="69"/>
  <c r="T62" i="69"/>
  <c r="AE56" i="69"/>
  <c r="AE55" i="69"/>
  <c r="AE54" i="69"/>
  <c r="AE53" i="69"/>
  <c r="AE52" i="69"/>
  <c r="AE51" i="69"/>
  <c r="AE50" i="69"/>
  <c r="AE48" i="69"/>
  <c r="AE47" i="69"/>
  <c r="AE46" i="69"/>
  <c r="AE45" i="69"/>
  <c r="AE43" i="69"/>
  <c r="AE37" i="69"/>
  <c r="AE36" i="69"/>
  <c r="AE35" i="69"/>
  <c r="AE34" i="69"/>
  <c r="AE33" i="69"/>
  <c r="AE32" i="69"/>
  <c r="AE31" i="69"/>
  <c r="AE30" i="69"/>
  <c r="AE29" i="69"/>
  <c r="AE25" i="69"/>
  <c r="AE24" i="69"/>
  <c r="AE23" i="69"/>
  <c r="AE22" i="69"/>
  <c r="AE21" i="69"/>
  <c r="AE20" i="69"/>
  <c r="AE19" i="69"/>
  <c r="AE18" i="69"/>
  <c r="AE16" i="69"/>
  <c r="AE15" i="69"/>
  <c r="AE14" i="69"/>
  <c r="AE13" i="69"/>
  <c r="AE12" i="69"/>
  <c r="AE11" i="69"/>
  <c r="AE9" i="69"/>
  <c r="T79" i="69"/>
  <c r="AE37" i="68"/>
  <c r="AE36" i="68"/>
  <c r="AE24" i="68"/>
  <c r="AE23" i="68"/>
  <c r="AE22" i="68"/>
  <c r="AE21" i="68"/>
  <c r="AE12" i="68"/>
  <c r="AE11" i="68"/>
  <c r="AE10" i="68"/>
  <c r="AE9" i="68"/>
  <c r="AE125" i="68"/>
  <c r="AE117" i="68"/>
  <c r="AE118" i="68"/>
  <c r="AE119" i="68"/>
  <c r="AE102" i="68"/>
  <c r="AE103" i="68"/>
  <c r="AE104" i="68"/>
  <c r="AE105" i="68"/>
  <c r="AE106" i="68"/>
  <c r="AE107" i="68"/>
  <c r="AE108" i="68"/>
  <c r="AE109" i="68"/>
  <c r="AE110" i="68"/>
  <c r="AE101" i="68"/>
  <c r="AE92" i="68"/>
  <c r="AE93" i="68"/>
  <c r="AE94" i="68"/>
  <c r="AE95" i="68"/>
  <c r="AE96" i="68"/>
  <c r="AE97" i="68"/>
  <c r="AE98" i="68"/>
  <c r="AE99" i="68"/>
  <c r="AE81" i="68"/>
  <c r="AE82" i="68"/>
  <c r="AE78" i="68"/>
  <c r="AE77" i="68"/>
  <c r="AE76" i="68"/>
  <c r="AE75" i="68"/>
  <c r="AE74" i="68"/>
  <c r="AE72" i="68"/>
  <c r="AE71" i="68"/>
  <c r="AE70" i="68"/>
  <c r="AE68" i="68"/>
  <c r="AE67" i="68"/>
  <c r="AE66" i="68"/>
  <c r="AE65" i="68"/>
  <c r="AE64" i="68"/>
  <c r="T62" i="68"/>
  <c r="AE56" i="68"/>
  <c r="AE55" i="68"/>
  <c r="AE54" i="68"/>
  <c r="AE53" i="68"/>
  <c r="AE52" i="68"/>
  <c r="AE51" i="68"/>
  <c r="AE50" i="68"/>
  <c r="AE48" i="68"/>
  <c r="AE47" i="68"/>
  <c r="AE46" i="68"/>
  <c r="AE45" i="68"/>
  <c r="AE43" i="68"/>
  <c r="AE35" i="68"/>
  <c r="AE34" i="68"/>
  <c r="AE33" i="68"/>
  <c r="AE32" i="68"/>
  <c r="AE31" i="68"/>
  <c r="AE30" i="68"/>
  <c r="AE29" i="68"/>
  <c r="AE25" i="68"/>
  <c r="AE20" i="68"/>
  <c r="AE19" i="68"/>
  <c r="AE18" i="68"/>
  <c r="AE16" i="68"/>
  <c r="AE15" i="68"/>
  <c r="AE14" i="68"/>
  <c r="AE13" i="68"/>
  <c r="T8" i="68"/>
  <c r="AE43" i="67"/>
  <c r="AE125" i="67"/>
  <c r="T127" i="67"/>
  <c r="AE117" i="67"/>
  <c r="AE118" i="67"/>
  <c r="AE119" i="67"/>
  <c r="AE116" i="67"/>
  <c r="AE102" i="67"/>
  <c r="AE103" i="67"/>
  <c r="AE104" i="67"/>
  <c r="AE105" i="67"/>
  <c r="AE106" i="67"/>
  <c r="AE107" i="67"/>
  <c r="AE108" i="67"/>
  <c r="AE109" i="67"/>
  <c r="AE110" i="67"/>
  <c r="AE101" i="67"/>
  <c r="AE92" i="67"/>
  <c r="AE93" i="67"/>
  <c r="AE94" i="67"/>
  <c r="AE95" i="67"/>
  <c r="AE96" i="67"/>
  <c r="AE97" i="67"/>
  <c r="AE98" i="67"/>
  <c r="AE99" i="67"/>
  <c r="AE91" i="67"/>
  <c r="AE81" i="67"/>
  <c r="AE82" i="67"/>
  <c r="AE80" i="67"/>
  <c r="AE78" i="67"/>
  <c r="AE77" i="67"/>
  <c r="AE76" i="67"/>
  <c r="AE75" i="67"/>
  <c r="AE74" i="67"/>
  <c r="AE73" i="67"/>
  <c r="AE72" i="67"/>
  <c r="AE71" i="67"/>
  <c r="AE70" i="67"/>
  <c r="AE68" i="67"/>
  <c r="AE67" i="67"/>
  <c r="AE66" i="67"/>
  <c r="AE65" i="67"/>
  <c r="AE64" i="67"/>
  <c r="AE63" i="67"/>
  <c r="AE56" i="67"/>
  <c r="AE55" i="67"/>
  <c r="AE54" i="67"/>
  <c r="AE53" i="67"/>
  <c r="AE52" i="67"/>
  <c r="AE51" i="67"/>
  <c r="AE50" i="67"/>
  <c r="AE48" i="67"/>
  <c r="AE47" i="67"/>
  <c r="AE46" i="67"/>
  <c r="AE45" i="67"/>
  <c r="AE37" i="67"/>
  <c r="AE36" i="67"/>
  <c r="AE35" i="67"/>
  <c r="AE34" i="67"/>
  <c r="AE33" i="67"/>
  <c r="AE32" i="67"/>
  <c r="AE31" i="67"/>
  <c r="AE30" i="67"/>
  <c r="AE29" i="67"/>
  <c r="AE25" i="67"/>
  <c r="AE24" i="67"/>
  <c r="AE23" i="67"/>
  <c r="AE22" i="67"/>
  <c r="AE21" i="67"/>
  <c r="AE20" i="67"/>
  <c r="AE19" i="67"/>
  <c r="AE16" i="67"/>
  <c r="AE15" i="67"/>
  <c r="AE14" i="67"/>
  <c r="AE13" i="67"/>
  <c r="AE12" i="67"/>
  <c r="AE11" i="67"/>
  <c r="AE10" i="67"/>
  <c r="T8" i="67"/>
  <c r="T114" i="67"/>
  <c r="T62" i="67"/>
  <c r="T49" i="67"/>
  <c r="T41" i="67" s="1"/>
  <c r="AE125" i="64"/>
  <c r="AE124" i="64"/>
  <c r="AE119" i="64"/>
  <c r="AE118" i="64"/>
  <c r="AE117" i="64"/>
  <c r="AE116" i="64"/>
  <c r="AE110" i="64"/>
  <c r="AE109" i="64"/>
  <c r="AE108" i="64"/>
  <c r="AE107" i="64"/>
  <c r="AE106" i="64"/>
  <c r="AE105" i="64"/>
  <c r="AE104" i="64"/>
  <c r="AE103" i="64"/>
  <c r="AE102" i="64"/>
  <c r="T100" i="64"/>
  <c r="AE99" i="64"/>
  <c r="AE98" i="64"/>
  <c r="AE97" i="64"/>
  <c r="AE96" i="64"/>
  <c r="AE95" i="64"/>
  <c r="AE94" i="64"/>
  <c r="AE93" i="64"/>
  <c r="AE92" i="64"/>
  <c r="AE91" i="64"/>
  <c r="AE82" i="64"/>
  <c r="AE81" i="64"/>
  <c r="T79" i="64"/>
  <c r="AE78" i="64"/>
  <c r="AE77" i="64"/>
  <c r="AE76" i="64"/>
  <c r="AE75" i="64"/>
  <c r="AE74" i="64"/>
  <c r="AE73" i="64"/>
  <c r="AE72" i="64"/>
  <c r="AE71" i="64"/>
  <c r="AE70" i="64"/>
  <c r="AE68" i="64"/>
  <c r="AE67" i="64"/>
  <c r="AE65" i="64"/>
  <c r="AE64" i="64"/>
  <c r="AE63" i="64"/>
  <c r="AE56" i="64"/>
  <c r="AE55" i="64"/>
  <c r="AE54" i="64"/>
  <c r="AE53" i="64"/>
  <c r="AE52" i="64"/>
  <c r="AE51" i="64"/>
  <c r="T49" i="64"/>
  <c r="AE48" i="64"/>
  <c r="AE47" i="64"/>
  <c r="AE46" i="64"/>
  <c r="AE45" i="64"/>
  <c r="AE43" i="64"/>
  <c r="AE37" i="64"/>
  <c r="AE36" i="64"/>
  <c r="AE35" i="64"/>
  <c r="AE34" i="64"/>
  <c r="AE33" i="64"/>
  <c r="AE32" i="64"/>
  <c r="AE31" i="64"/>
  <c r="AE30" i="64"/>
  <c r="T27" i="64"/>
  <c r="AE25" i="64"/>
  <c r="AE24" i="64"/>
  <c r="AE23" i="64"/>
  <c r="AE22" i="64"/>
  <c r="AE21" i="64"/>
  <c r="AE20" i="64"/>
  <c r="AE19" i="64"/>
  <c r="AE18" i="64"/>
  <c r="AE16" i="64"/>
  <c r="AE15" i="64"/>
  <c r="AE14" i="64"/>
  <c r="AE13" i="64"/>
  <c r="AE12" i="64"/>
  <c r="AE11" i="64"/>
  <c r="AE10" i="64"/>
  <c r="AE9" i="64"/>
  <c r="T90" i="64"/>
  <c r="T69" i="64"/>
  <c r="T17" i="64"/>
  <c r="T8" i="64"/>
  <c r="AE124" i="63"/>
  <c r="AE117" i="63"/>
  <c r="AE118" i="63"/>
  <c r="AE119" i="63"/>
  <c r="AE116" i="63"/>
  <c r="AE102" i="63"/>
  <c r="AE103" i="63"/>
  <c r="AE104" i="63"/>
  <c r="AE105" i="63"/>
  <c r="AE106" i="63"/>
  <c r="AE107" i="63"/>
  <c r="AE108" i="63"/>
  <c r="AE109" i="63"/>
  <c r="AE110" i="63"/>
  <c r="AE101" i="63"/>
  <c r="T100" i="63"/>
  <c r="AE92" i="63"/>
  <c r="AE93" i="63"/>
  <c r="AE94" i="63"/>
  <c r="AE95" i="63"/>
  <c r="AE96" i="63"/>
  <c r="AE97" i="63"/>
  <c r="AE98" i="63"/>
  <c r="AE99" i="63"/>
  <c r="AE91" i="63"/>
  <c r="AE81" i="63"/>
  <c r="AE82" i="63"/>
  <c r="AE80" i="63"/>
  <c r="AE125" i="63"/>
  <c r="AE78" i="63"/>
  <c r="AE77" i="63"/>
  <c r="AE76" i="63"/>
  <c r="AE75" i="63"/>
  <c r="AE74" i="63"/>
  <c r="AE73" i="63"/>
  <c r="AE72" i="63"/>
  <c r="AE71" i="63"/>
  <c r="AE70" i="63"/>
  <c r="AE68" i="63"/>
  <c r="AE67" i="63"/>
  <c r="AE66" i="63"/>
  <c r="AE65" i="63"/>
  <c r="AE64" i="63"/>
  <c r="AE63" i="63"/>
  <c r="AE56" i="63"/>
  <c r="AE55" i="63"/>
  <c r="AE54" i="63"/>
  <c r="AE53" i="63"/>
  <c r="AE52" i="63"/>
  <c r="AE51" i="63"/>
  <c r="AE50" i="63"/>
  <c r="AE48" i="63"/>
  <c r="AE46" i="63"/>
  <c r="AE45" i="63"/>
  <c r="AE43" i="63"/>
  <c r="AE37" i="63"/>
  <c r="AE36" i="63"/>
  <c r="AE35" i="63"/>
  <c r="AE34" i="63"/>
  <c r="AE33" i="63"/>
  <c r="AE32" i="63"/>
  <c r="AE31" i="63"/>
  <c r="AE30" i="63"/>
  <c r="T27" i="63"/>
  <c r="AE25" i="63"/>
  <c r="AE24" i="63"/>
  <c r="AE23" i="63"/>
  <c r="AE22" i="63"/>
  <c r="AE21" i="63"/>
  <c r="AE20" i="63"/>
  <c r="AE19" i="63"/>
  <c r="AE18" i="63"/>
  <c r="AE16" i="63"/>
  <c r="AE15" i="63"/>
  <c r="AE14" i="63"/>
  <c r="AE13" i="63"/>
  <c r="AE12" i="63"/>
  <c r="AE11" i="63"/>
  <c r="AE10" i="63"/>
  <c r="AE9" i="63"/>
  <c r="T69" i="63"/>
  <c r="T49" i="63"/>
  <c r="T17" i="63"/>
  <c r="T8" i="63"/>
  <c r="AE125" i="61"/>
  <c r="AE117" i="61"/>
  <c r="AE118" i="61"/>
  <c r="AE119" i="61"/>
  <c r="AE102" i="61"/>
  <c r="AE103" i="61"/>
  <c r="AE104" i="61"/>
  <c r="AE105" i="61"/>
  <c r="AE106" i="61"/>
  <c r="AE107" i="61"/>
  <c r="AE108" i="61"/>
  <c r="AE109" i="61"/>
  <c r="AE110" i="61"/>
  <c r="AE92" i="61"/>
  <c r="AE93" i="61"/>
  <c r="AE94" i="61"/>
  <c r="AE95" i="61"/>
  <c r="AE96" i="61"/>
  <c r="AE97" i="61"/>
  <c r="AE98" i="61"/>
  <c r="AE99" i="61"/>
  <c r="AE81" i="61"/>
  <c r="AE82" i="61"/>
  <c r="AE78" i="61"/>
  <c r="AE77" i="61"/>
  <c r="AE76" i="61"/>
  <c r="AE75" i="61"/>
  <c r="AE74" i="61"/>
  <c r="AE73" i="61"/>
  <c r="AE72" i="61"/>
  <c r="AE71" i="61"/>
  <c r="AE68" i="61"/>
  <c r="AE67" i="61"/>
  <c r="AE66" i="61"/>
  <c r="AE65" i="61"/>
  <c r="AE64" i="61"/>
  <c r="AE56" i="61"/>
  <c r="AE55" i="61"/>
  <c r="AE54" i="61"/>
  <c r="AE53" i="61"/>
  <c r="AE52" i="61"/>
  <c r="AE51" i="61"/>
  <c r="AE48" i="61"/>
  <c r="AE47" i="61"/>
  <c r="AE46" i="61"/>
  <c r="AE45" i="61"/>
  <c r="AE43" i="61"/>
  <c r="AE37" i="61"/>
  <c r="AE36" i="61"/>
  <c r="AE35" i="61"/>
  <c r="AE34" i="61"/>
  <c r="AE33" i="61"/>
  <c r="AE32" i="61"/>
  <c r="AE31" i="61"/>
  <c r="AE30" i="61"/>
  <c r="AE25" i="61"/>
  <c r="AE24" i="61"/>
  <c r="AE23" i="61"/>
  <c r="AE22" i="61"/>
  <c r="AE21" i="61"/>
  <c r="AE20" i="61"/>
  <c r="AE19" i="61"/>
  <c r="AE16" i="61"/>
  <c r="AE15" i="61"/>
  <c r="AE14" i="61"/>
  <c r="AE13" i="61"/>
  <c r="AE12" i="61"/>
  <c r="AE11" i="61"/>
  <c r="AE10" i="61"/>
  <c r="AE125" i="60"/>
  <c r="AE124" i="60"/>
  <c r="AE127" i="60" s="1"/>
  <c r="AE117" i="60"/>
  <c r="AE118" i="60"/>
  <c r="AE116" i="60"/>
  <c r="AE102" i="60"/>
  <c r="AE103" i="60"/>
  <c r="AE104" i="60"/>
  <c r="AE105" i="60"/>
  <c r="AE106" i="60"/>
  <c r="AE107" i="60"/>
  <c r="AE108" i="60"/>
  <c r="AE109" i="60"/>
  <c r="AE110" i="60"/>
  <c r="AE92" i="60"/>
  <c r="AE93" i="60"/>
  <c r="AE94" i="60"/>
  <c r="AE95" i="60"/>
  <c r="AE96" i="60"/>
  <c r="AE97" i="60"/>
  <c r="AE98" i="60"/>
  <c r="AE99" i="60"/>
  <c r="AE81" i="60"/>
  <c r="AE82" i="60"/>
  <c r="AE80" i="60"/>
  <c r="AE119" i="60"/>
  <c r="AE78" i="60"/>
  <c r="AE77" i="60"/>
  <c r="AE75" i="60"/>
  <c r="AE74" i="60"/>
  <c r="AE73" i="60"/>
  <c r="AE72" i="60"/>
  <c r="AE71" i="60"/>
  <c r="AE70" i="60"/>
  <c r="AE68" i="60"/>
  <c r="AE67" i="60"/>
  <c r="AE66" i="60"/>
  <c r="AE65" i="60"/>
  <c r="AE64" i="60"/>
  <c r="AE63" i="60"/>
  <c r="AE56" i="60"/>
  <c r="AE55" i="60"/>
  <c r="AE54" i="60"/>
  <c r="AE53" i="60"/>
  <c r="AE52" i="60"/>
  <c r="AE51" i="60"/>
  <c r="AE50" i="60"/>
  <c r="AE48" i="60"/>
  <c r="AE47" i="60"/>
  <c r="AE46" i="60"/>
  <c r="AE45" i="60"/>
  <c r="AE43" i="60"/>
  <c r="AE37" i="60"/>
  <c r="AE36" i="60"/>
  <c r="AE35" i="60"/>
  <c r="AE34" i="60"/>
  <c r="AE33" i="60"/>
  <c r="AE32" i="60"/>
  <c r="AE31" i="60"/>
  <c r="AE30" i="60"/>
  <c r="AE29" i="60"/>
  <c r="AE25" i="60"/>
  <c r="AE24" i="60"/>
  <c r="AE23" i="60"/>
  <c r="AE22" i="60"/>
  <c r="AE21" i="60"/>
  <c r="AE20" i="60"/>
  <c r="AE19" i="60"/>
  <c r="AE18" i="60"/>
  <c r="AE16" i="60"/>
  <c r="AE15" i="60"/>
  <c r="AE14" i="60"/>
  <c r="AE13" i="60"/>
  <c r="AE12" i="60"/>
  <c r="AE11" i="60"/>
  <c r="AE10" i="60"/>
  <c r="AE9" i="60"/>
  <c r="T8" i="60"/>
  <c r="AE116" i="59"/>
  <c r="AE125" i="59"/>
  <c r="AE102" i="59"/>
  <c r="AE103" i="59"/>
  <c r="AE104" i="59"/>
  <c r="AE105" i="59"/>
  <c r="AE106" i="59"/>
  <c r="AE107" i="59"/>
  <c r="AE108" i="59"/>
  <c r="AE109" i="59"/>
  <c r="AE110" i="59"/>
  <c r="AE92" i="59"/>
  <c r="AE93" i="59"/>
  <c r="AE94" i="59"/>
  <c r="AE95" i="59"/>
  <c r="AE96" i="59"/>
  <c r="AE97" i="59"/>
  <c r="AE98" i="59"/>
  <c r="AE99" i="59"/>
  <c r="AE81" i="59"/>
  <c r="AE82" i="59"/>
  <c r="AE119" i="59"/>
  <c r="AE118" i="59"/>
  <c r="AE78" i="59"/>
  <c r="AE77" i="59"/>
  <c r="AE76" i="59"/>
  <c r="AE75" i="59"/>
  <c r="AE74" i="59"/>
  <c r="AE73" i="59"/>
  <c r="AE72" i="59"/>
  <c r="AE71" i="59"/>
  <c r="AE68" i="59"/>
  <c r="AE67" i="59"/>
  <c r="AE66" i="59"/>
  <c r="AE65" i="59"/>
  <c r="AE64" i="59"/>
  <c r="AE56" i="59"/>
  <c r="AE55" i="59"/>
  <c r="AE54" i="59"/>
  <c r="AE53" i="59"/>
  <c r="AE52" i="59"/>
  <c r="AE51" i="59"/>
  <c r="AE48" i="59"/>
  <c r="AE47" i="59"/>
  <c r="AE46" i="59"/>
  <c r="AE45" i="59"/>
  <c r="AE43" i="59"/>
  <c r="AE37" i="59"/>
  <c r="AE36" i="59"/>
  <c r="AE35" i="59"/>
  <c r="AE34" i="59"/>
  <c r="AE33" i="59"/>
  <c r="AE32" i="59"/>
  <c r="AE31" i="59"/>
  <c r="AE30" i="59"/>
  <c r="AE29" i="59"/>
  <c r="AE25" i="59"/>
  <c r="AE24" i="59"/>
  <c r="AE23" i="59"/>
  <c r="AE22" i="59"/>
  <c r="AE21" i="59"/>
  <c r="AE20" i="59"/>
  <c r="AE19" i="59"/>
  <c r="AE16" i="59"/>
  <c r="AE15" i="59"/>
  <c r="AE14" i="59"/>
  <c r="AE13" i="59"/>
  <c r="AE12" i="59"/>
  <c r="AE11" i="59"/>
  <c r="AE10" i="59"/>
  <c r="AE9" i="59"/>
  <c r="AE130" i="58"/>
  <c r="AE129" i="58"/>
  <c r="AE125" i="58"/>
  <c r="AE124" i="58"/>
  <c r="AE117" i="58"/>
  <c r="AE118" i="58"/>
  <c r="AE119" i="58"/>
  <c r="AE102" i="58"/>
  <c r="AE103" i="58"/>
  <c r="AE104" i="58"/>
  <c r="AE105" i="58"/>
  <c r="AE106" i="58"/>
  <c r="AE107" i="58"/>
  <c r="AE108" i="58"/>
  <c r="AE109" i="58"/>
  <c r="AE110" i="58"/>
  <c r="AE101" i="58"/>
  <c r="AE92" i="58"/>
  <c r="AE93" i="58"/>
  <c r="AE94" i="58"/>
  <c r="AE95" i="58"/>
  <c r="AE96" i="58"/>
  <c r="AE97" i="58"/>
  <c r="AE98" i="58"/>
  <c r="AE99" i="58"/>
  <c r="AE91" i="58"/>
  <c r="AE81" i="58"/>
  <c r="AE82" i="58"/>
  <c r="AE78" i="58"/>
  <c r="AE77" i="58"/>
  <c r="AE76" i="58"/>
  <c r="AE75" i="58"/>
  <c r="AE74" i="58"/>
  <c r="AE73" i="58"/>
  <c r="AE72" i="58"/>
  <c r="AE71" i="58"/>
  <c r="AE70" i="58"/>
  <c r="AE68" i="58"/>
  <c r="AE67" i="58"/>
  <c r="AE66" i="58"/>
  <c r="AE65" i="58"/>
  <c r="AE64" i="58"/>
  <c r="AE63" i="58"/>
  <c r="AE56" i="58"/>
  <c r="AE55" i="58"/>
  <c r="AE54" i="58"/>
  <c r="AE53" i="58"/>
  <c r="AE52" i="58"/>
  <c r="AE51" i="58"/>
  <c r="AE50" i="58"/>
  <c r="AE48" i="58"/>
  <c r="AE47" i="58"/>
  <c r="AE46" i="58"/>
  <c r="AE45" i="58"/>
  <c r="AE43" i="58"/>
  <c r="AE37" i="58"/>
  <c r="AE36" i="58"/>
  <c r="AE35" i="58"/>
  <c r="AE34" i="58"/>
  <c r="AE33" i="58"/>
  <c r="AE32" i="58"/>
  <c r="AE31" i="58"/>
  <c r="AE30" i="58"/>
  <c r="AE29" i="58"/>
  <c r="AE25" i="58"/>
  <c r="AE24" i="58"/>
  <c r="AE23" i="58"/>
  <c r="AE22" i="58"/>
  <c r="AE21" i="58"/>
  <c r="AE20" i="58"/>
  <c r="AE19" i="58"/>
  <c r="AE18" i="58"/>
  <c r="AE16" i="58"/>
  <c r="AE15" i="58"/>
  <c r="AE14" i="58"/>
  <c r="AE13" i="58"/>
  <c r="AE12" i="58"/>
  <c r="AE11" i="58"/>
  <c r="AE10" i="58"/>
  <c r="AE9" i="58"/>
  <c r="T127" i="58"/>
  <c r="AE125" i="57"/>
  <c r="AE117" i="57"/>
  <c r="AE118" i="57"/>
  <c r="AE119" i="57"/>
  <c r="AE102" i="57"/>
  <c r="AE103" i="57"/>
  <c r="AE104" i="57"/>
  <c r="AE105" i="57"/>
  <c r="AE106" i="57"/>
  <c r="AE107" i="57"/>
  <c r="AE108" i="57"/>
  <c r="AE109" i="57"/>
  <c r="AE110" i="57"/>
  <c r="AE92" i="57"/>
  <c r="AE93" i="57"/>
  <c r="AE94" i="57"/>
  <c r="AE95" i="57"/>
  <c r="AE96" i="57"/>
  <c r="AE97" i="57"/>
  <c r="AE98" i="57"/>
  <c r="AE99" i="57"/>
  <c r="AE91" i="57"/>
  <c r="AE81" i="57"/>
  <c r="AE82" i="57"/>
  <c r="AE78" i="57"/>
  <c r="AE77" i="57"/>
  <c r="AE76" i="57"/>
  <c r="AE75" i="57"/>
  <c r="AE74" i="57"/>
  <c r="AE73" i="57"/>
  <c r="AE72" i="57"/>
  <c r="AE71" i="57"/>
  <c r="AE68" i="57"/>
  <c r="AE67" i="57"/>
  <c r="AE66" i="57"/>
  <c r="AE65" i="57"/>
  <c r="AE64" i="57"/>
  <c r="AE56" i="57"/>
  <c r="AE55" i="57"/>
  <c r="AE54" i="57"/>
  <c r="AE53" i="57"/>
  <c r="AE52" i="57"/>
  <c r="AE51" i="57"/>
  <c r="AE48" i="57"/>
  <c r="AE47" i="57"/>
  <c r="AE46" i="57"/>
  <c r="AE45" i="57"/>
  <c r="AE43" i="57"/>
  <c r="AE37" i="57"/>
  <c r="AE36" i="57"/>
  <c r="AE35" i="57"/>
  <c r="AE34" i="57"/>
  <c r="AE32" i="57"/>
  <c r="AE31" i="57"/>
  <c r="AE30" i="57"/>
  <c r="AE29" i="57"/>
  <c r="AE25" i="57"/>
  <c r="AE23" i="57"/>
  <c r="AE22" i="57"/>
  <c r="AE21" i="57"/>
  <c r="AE20" i="57"/>
  <c r="AE19" i="57"/>
  <c r="AE18" i="57"/>
  <c r="AE16" i="57"/>
  <c r="AE15" i="57"/>
  <c r="AE14" i="57"/>
  <c r="AE13" i="57"/>
  <c r="AE12" i="57"/>
  <c r="AE11" i="57"/>
  <c r="AE10" i="57"/>
  <c r="AE9" i="57"/>
  <c r="T8" i="57"/>
  <c r="AE125" i="56"/>
  <c r="AE117" i="56"/>
  <c r="AE118" i="56"/>
  <c r="AE119" i="56"/>
  <c r="AE103" i="56"/>
  <c r="AE104" i="56"/>
  <c r="AE105" i="56"/>
  <c r="AE106" i="56"/>
  <c r="AE107" i="56"/>
  <c r="AE108" i="56"/>
  <c r="AE109" i="56"/>
  <c r="AE110" i="56"/>
  <c r="AE101" i="56"/>
  <c r="AE92" i="56"/>
  <c r="AE93" i="56"/>
  <c r="AE94" i="56"/>
  <c r="AE95" i="56"/>
  <c r="AE96" i="56"/>
  <c r="AE97" i="56"/>
  <c r="AE98" i="56"/>
  <c r="AE99" i="56"/>
  <c r="AE81" i="56"/>
  <c r="AE82" i="56"/>
  <c r="AE80" i="56"/>
  <c r="AE78" i="56"/>
  <c r="AE77" i="56"/>
  <c r="AE76" i="56"/>
  <c r="AE75" i="56"/>
  <c r="AE74" i="56"/>
  <c r="AE73" i="56"/>
  <c r="AE72" i="56"/>
  <c r="AE71" i="56"/>
  <c r="AE68" i="56"/>
  <c r="AE67" i="56"/>
  <c r="AE66" i="56"/>
  <c r="AE65" i="56"/>
  <c r="AE64" i="56"/>
  <c r="AE63" i="56"/>
  <c r="AE56" i="56"/>
  <c r="AE55" i="56"/>
  <c r="AE54" i="56"/>
  <c r="AE53" i="56"/>
  <c r="AE52" i="56"/>
  <c r="AE51" i="56"/>
  <c r="AE50" i="56"/>
  <c r="AE48" i="56"/>
  <c r="AE47" i="56"/>
  <c r="AE46" i="56"/>
  <c r="AE45" i="56"/>
  <c r="AE43" i="56"/>
  <c r="AE37" i="56"/>
  <c r="AE36" i="56"/>
  <c r="AE35" i="56"/>
  <c r="AE34" i="56"/>
  <c r="AE33" i="56"/>
  <c r="AE32" i="56"/>
  <c r="AE31" i="56"/>
  <c r="AE30" i="56"/>
  <c r="AE29" i="56"/>
  <c r="AE25" i="56"/>
  <c r="AE24" i="56"/>
  <c r="AE23" i="56"/>
  <c r="AE22" i="56"/>
  <c r="AE21" i="56"/>
  <c r="AE20" i="56"/>
  <c r="AE19" i="56"/>
  <c r="AE16" i="56"/>
  <c r="AE15" i="56"/>
  <c r="AE14" i="56"/>
  <c r="AE13" i="56"/>
  <c r="AE9" i="56"/>
  <c r="AE12" i="56"/>
  <c r="AE11" i="56"/>
  <c r="AE10" i="56"/>
  <c r="T8" i="56"/>
  <c r="AE125" i="55"/>
  <c r="AE117" i="55"/>
  <c r="AE118" i="55"/>
  <c r="AE119" i="55"/>
  <c r="AE102" i="55"/>
  <c r="AE103" i="55"/>
  <c r="AE104" i="55"/>
  <c r="AE105" i="55"/>
  <c r="AE106" i="55"/>
  <c r="AE107" i="55"/>
  <c r="AE108" i="55"/>
  <c r="AE109" i="55"/>
  <c r="AE110" i="55"/>
  <c r="AE101" i="55"/>
  <c r="AE92" i="55"/>
  <c r="AE93" i="55"/>
  <c r="AE94" i="55"/>
  <c r="AE95" i="55"/>
  <c r="AE96" i="55"/>
  <c r="AE97" i="55"/>
  <c r="AE98" i="55"/>
  <c r="AE99" i="55"/>
  <c r="AE81" i="55"/>
  <c r="AE82" i="55"/>
  <c r="AE78" i="55"/>
  <c r="AE77" i="55"/>
  <c r="AE76" i="55"/>
  <c r="AE75" i="55"/>
  <c r="AE74" i="55"/>
  <c r="AE73" i="55"/>
  <c r="AE72" i="55"/>
  <c r="AE71" i="55"/>
  <c r="AE68" i="55"/>
  <c r="AE67" i="55"/>
  <c r="AE66" i="55"/>
  <c r="AE65" i="55"/>
  <c r="AE64" i="55"/>
  <c r="AE56" i="55"/>
  <c r="AE55" i="55"/>
  <c r="AE54" i="55"/>
  <c r="AE53" i="55"/>
  <c r="AE52" i="55"/>
  <c r="AE51" i="55"/>
  <c r="T49" i="55"/>
  <c r="AE48" i="55"/>
  <c r="AE47" i="55"/>
  <c r="AE46" i="55"/>
  <c r="AE45" i="55"/>
  <c r="AE43" i="55"/>
  <c r="AE37" i="55"/>
  <c r="AE36" i="55"/>
  <c r="AE35" i="55"/>
  <c r="AE34" i="55"/>
  <c r="AE33" i="55"/>
  <c r="AE32" i="55"/>
  <c r="AE31" i="55"/>
  <c r="AE30" i="55"/>
  <c r="AE29" i="55"/>
  <c r="AE25" i="55"/>
  <c r="AE24" i="55"/>
  <c r="AE23" i="55"/>
  <c r="AE22" i="55"/>
  <c r="AE21" i="55"/>
  <c r="AE20" i="55"/>
  <c r="AE19" i="55"/>
  <c r="AE18" i="55"/>
  <c r="AE16" i="55"/>
  <c r="AE15" i="55"/>
  <c r="AE14" i="55"/>
  <c r="AE13" i="55"/>
  <c r="AE12" i="55"/>
  <c r="AE11" i="55"/>
  <c r="AE10" i="55"/>
  <c r="R244" i="78"/>
  <c r="R210" i="78"/>
  <c r="R176" i="78"/>
  <c r="R142" i="78"/>
  <c r="R108" i="78"/>
  <c r="R74" i="78"/>
  <c r="R40" i="78"/>
  <c r="R207" i="78"/>
  <c r="R163" i="78"/>
  <c r="R168" i="78"/>
  <c r="R173" i="78"/>
  <c r="R162" i="78"/>
  <c r="R129" i="78"/>
  <c r="R134" i="78"/>
  <c r="R139" i="78"/>
  <c r="R128" i="78"/>
  <c r="R95" i="78"/>
  <c r="R100" i="78"/>
  <c r="R105" i="78"/>
  <c r="R94" i="78"/>
  <c r="R61" i="78"/>
  <c r="R66" i="78"/>
  <c r="R71" i="78"/>
  <c r="R60" i="78"/>
  <c r="R27" i="78"/>
  <c r="R32" i="78"/>
  <c r="R37" i="78"/>
  <c r="AC50" i="99"/>
  <c r="AD50" i="99"/>
  <c r="AC55" i="99"/>
  <c r="AD55" i="99"/>
  <c r="AC56" i="99"/>
  <c r="AD56" i="99"/>
  <c r="AC58" i="99"/>
  <c r="AD58" i="99"/>
  <c r="AC60" i="99"/>
  <c r="S151" i="2"/>
  <c r="I9" i="2" s="1"/>
  <c r="S152" i="2"/>
  <c r="S157" i="2"/>
  <c r="S250" i="2"/>
  <c r="S246" i="2"/>
  <c r="S213" i="2"/>
  <c r="S209" i="2"/>
  <c r="S176" i="2"/>
  <c r="S180" i="2" s="1"/>
  <c r="S172" i="2"/>
  <c r="S139" i="2"/>
  <c r="S135" i="2"/>
  <c r="S102" i="2"/>
  <c r="S98" i="2"/>
  <c r="S65" i="2"/>
  <c r="S61" i="2"/>
  <c r="W20" i="18"/>
  <c r="W19" i="18"/>
  <c r="W11" i="18"/>
  <c r="W7" i="18"/>
  <c r="L10" i="77"/>
  <c r="Y10" i="42"/>
  <c r="BD12" i="15"/>
  <c r="BD18" i="15" s="1"/>
  <c r="BD24" i="15" s="1"/>
  <c r="BD30" i="15" s="1"/>
  <c r="BD36" i="15" s="1"/>
  <c r="BD42" i="15" s="1"/>
  <c r="AF11" i="104"/>
  <c r="AF15" i="104" s="1"/>
  <c r="AF19" i="104" s="1"/>
  <c r="AF23" i="104" s="1"/>
  <c r="AF27" i="104" s="1"/>
  <c r="AF31" i="104" s="1"/>
  <c r="AF35" i="104" s="1"/>
  <c r="G121" i="110"/>
  <c r="H121" i="110" s="1"/>
  <c r="I121" i="110" s="1"/>
  <c r="J121" i="110" s="1"/>
  <c r="K121" i="110" s="1"/>
  <c r="J55" i="110"/>
  <c r="I55" i="110"/>
  <c r="L23" i="105"/>
  <c r="BB100" i="109"/>
  <c r="BA100" i="109"/>
  <c r="AZ100" i="109"/>
  <c r="AY100" i="109"/>
  <c r="AX100" i="109"/>
  <c r="AW100" i="109"/>
  <c r="AV100" i="109"/>
  <c r="AU100" i="109"/>
  <c r="AT100" i="109"/>
  <c r="AS100" i="109"/>
  <c r="AR100" i="109"/>
  <c r="AQ100" i="109"/>
  <c r="AP100" i="109"/>
  <c r="AO100" i="109"/>
  <c r="AN100" i="109"/>
  <c r="AM100" i="109"/>
  <c r="AL100" i="109"/>
  <c r="AK100" i="109"/>
  <c r="AJ100" i="109"/>
  <c r="AI100" i="109"/>
  <c r="AH100" i="109"/>
  <c r="AG100" i="109"/>
  <c r="AF100" i="109"/>
  <c r="AE100" i="109"/>
  <c r="AD100" i="109"/>
  <c r="AC100" i="109"/>
  <c r="AB100" i="109"/>
  <c r="AA100" i="109"/>
  <c r="Z100" i="109"/>
  <c r="Y100" i="109"/>
  <c r="X100" i="109"/>
  <c r="W100" i="109"/>
  <c r="V100" i="109"/>
  <c r="U100" i="109"/>
  <c r="T100" i="109"/>
  <c r="S100" i="109"/>
  <c r="R100" i="109"/>
  <c r="Q100" i="109"/>
  <c r="P100" i="109"/>
  <c r="O100" i="109"/>
  <c r="N100" i="109"/>
  <c r="M100" i="109"/>
  <c r="L100" i="109"/>
  <c r="K100" i="109"/>
  <c r="J100" i="109"/>
  <c r="I100" i="109"/>
  <c r="H100" i="109"/>
  <c r="G100" i="109"/>
  <c r="F100" i="109"/>
  <c r="E100" i="109"/>
  <c r="D100" i="109"/>
  <c r="AE97" i="109"/>
  <c r="AE80" i="109" s="1"/>
  <c r="L86" i="109"/>
  <c r="L80" i="109" s="1"/>
  <c r="BB80" i="109"/>
  <c r="BA80" i="109"/>
  <c r="AZ80" i="109"/>
  <c r="AY80" i="109"/>
  <c r="AX80" i="109"/>
  <c r="AW80" i="109"/>
  <c r="AV80" i="109"/>
  <c r="AU80" i="109"/>
  <c r="AT80" i="109"/>
  <c r="AS80" i="109"/>
  <c r="AR80" i="109"/>
  <c r="AQ80" i="109"/>
  <c r="AP80" i="109"/>
  <c r="AO80" i="109"/>
  <c r="AN80" i="109"/>
  <c r="AM80" i="109"/>
  <c r="AL80" i="109"/>
  <c r="AK80" i="109"/>
  <c r="AJ80" i="109"/>
  <c r="AI80" i="109"/>
  <c r="AH80" i="109"/>
  <c r="AG80" i="109"/>
  <c r="AF80" i="109"/>
  <c r="AD80" i="109"/>
  <c r="AC80" i="109"/>
  <c r="AB80" i="109"/>
  <c r="AA80" i="109"/>
  <c r="Z80" i="109"/>
  <c r="Y80" i="109"/>
  <c r="X80" i="109"/>
  <c r="W80" i="109"/>
  <c r="V80" i="109"/>
  <c r="U80" i="109"/>
  <c r="T80" i="109"/>
  <c r="S80" i="109"/>
  <c r="R80" i="109"/>
  <c r="Q80" i="109"/>
  <c r="P80" i="109"/>
  <c r="O80" i="109"/>
  <c r="N80" i="109"/>
  <c r="M80" i="109"/>
  <c r="K80" i="109"/>
  <c r="J80" i="109"/>
  <c r="I80" i="109"/>
  <c r="H80" i="109"/>
  <c r="G80" i="109"/>
  <c r="F80" i="109"/>
  <c r="E80" i="109"/>
  <c r="D80" i="109"/>
  <c r="AL59" i="109"/>
  <c r="AL55" i="109" s="1"/>
  <c r="BB55" i="109"/>
  <c r="BA55" i="109"/>
  <c r="AZ55" i="109"/>
  <c r="AY55" i="109"/>
  <c r="AX55" i="109"/>
  <c r="AW55" i="109"/>
  <c r="AV55" i="109"/>
  <c r="AU55" i="109"/>
  <c r="AT55" i="109"/>
  <c r="AS55" i="109"/>
  <c r="AR55" i="109"/>
  <c r="AQ55" i="109"/>
  <c r="AP55" i="109"/>
  <c r="AO55" i="109"/>
  <c r="AN55" i="109"/>
  <c r="AM55" i="109"/>
  <c r="AK55" i="109"/>
  <c r="AJ55" i="109"/>
  <c r="AI55" i="109"/>
  <c r="AH55" i="109"/>
  <c r="AG55" i="109"/>
  <c r="AE55" i="109"/>
  <c r="AD55" i="109"/>
  <c r="AC55" i="109"/>
  <c r="AB55" i="109"/>
  <c r="AA55" i="109"/>
  <c r="Z55" i="109"/>
  <c r="Y55" i="109"/>
  <c r="X55" i="109"/>
  <c r="W55" i="109"/>
  <c r="V55" i="109"/>
  <c r="U55" i="109"/>
  <c r="T55" i="109"/>
  <c r="S55" i="109"/>
  <c r="R55" i="109"/>
  <c r="Q55" i="109"/>
  <c r="P55" i="109"/>
  <c r="O55" i="109"/>
  <c r="N55" i="109"/>
  <c r="M55" i="109"/>
  <c r="L55" i="109"/>
  <c r="K55" i="109"/>
  <c r="J55" i="109"/>
  <c r="I55" i="109"/>
  <c r="H55" i="109"/>
  <c r="G55" i="109"/>
  <c r="F55" i="109"/>
  <c r="E55" i="109"/>
  <c r="D55" i="109"/>
  <c r="BB54" i="109"/>
  <c r="BA54" i="109"/>
  <c r="AY54" i="109"/>
  <c r="AR54" i="109"/>
  <c r="AQ54" i="109"/>
  <c r="AB54" i="109"/>
  <c r="AA54" i="109"/>
  <c r="Y54" i="109"/>
  <c r="X54" i="109"/>
  <c r="W54" i="109"/>
  <c r="V54" i="109"/>
  <c r="U54" i="109"/>
  <c r="T54" i="109"/>
  <c r="S54" i="109"/>
  <c r="R54" i="109"/>
  <c r="Q54" i="109"/>
  <c r="P54" i="109"/>
  <c r="O54" i="109"/>
  <c r="N54" i="109"/>
  <c r="M54" i="109"/>
  <c r="L54" i="109"/>
  <c r="K54" i="109"/>
  <c r="J54" i="109"/>
  <c r="I54" i="109"/>
  <c r="H54" i="109"/>
  <c r="G54" i="109"/>
  <c r="F54" i="109"/>
  <c r="E54" i="109"/>
  <c r="D54" i="109"/>
  <c r="AE49" i="109"/>
  <c r="AE46" i="109"/>
  <c r="AA46" i="109"/>
  <c r="AA45" i="109" s="1"/>
  <c r="BB45" i="109"/>
  <c r="BA45" i="109"/>
  <c r="AZ45" i="109"/>
  <c r="AY45" i="109"/>
  <c r="AX45" i="109"/>
  <c r="AW45" i="109"/>
  <c r="AV45" i="109"/>
  <c r="AU45" i="109"/>
  <c r="AT45" i="109"/>
  <c r="AS45" i="109"/>
  <c r="AR45" i="109"/>
  <c r="AQ45" i="109"/>
  <c r="AP45" i="109"/>
  <c r="AO45" i="109"/>
  <c r="AN45" i="109"/>
  <c r="AM45" i="109"/>
  <c r="AL45" i="109"/>
  <c r="AK45" i="109"/>
  <c r="AJ45" i="109"/>
  <c r="AI45" i="109"/>
  <c r="AH45" i="109"/>
  <c r="AG45" i="109"/>
  <c r="AF45" i="109"/>
  <c r="AD45" i="109"/>
  <c r="AC45" i="109"/>
  <c r="AB45" i="109"/>
  <c r="Z45" i="109"/>
  <c r="Y45" i="109"/>
  <c r="X45" i="109"/>
  <c r="W45" i="109"/>
  <c r="V45" i="109"/>
  <c r="U45" i="109"/>
  <c r="T45" i="109"/>
  <c r="S45" i="109"/>
  <c r="R45" i="109"/>
  <c r="Q45" i="109"/>
  <c r="P45" i="109"/>
  <c r="O45" i="109"/>
  <c r="N45" i="109"/>
  <c r="M45" i="109"/>
  <c r="L45" i="109"/>
  <c r="K45" i="109"/>
  <c r="J45" i="109"/>
  <c r="I45" i="109"/>
  <c r="H45" i="109"/>
  <c r="G45" i="109"/>
  <c r="F45" i="109"/>
  <c r="E45" i="109"/>
  <c r="D45" i="109"/>
  <c r="AE42" i="109"/>
  <c r="AE29" i="109" s="1"/>
  <c r="AA42" i="109"/>
  <c r="AA29" i="109" s="1"/>
  <c r="N37" i="109"/>
  <c r="N29" i="109" s="1"/>
  <c r="L36" i="109"/>
  <c r="L29" i="109" s="1"/>
  <c r="L28" i="109" s="1"/>
  <c r="K36" i="109"/>
  <c r="K29" i="109" s="1"/>
  <c r="K28" i="109" s="1"/>
  <c r="J36" i="109"/>
  <c r="J29" i="109" s="1"/>
  <c r="J28" i="109" s="1"/>
  <c r="I36" i="109"/>
  <c r="I29" i="109" s="1"/>
  <c r="I28" i="109" s="1"/>
  <c r="G36" i="109"/>
  <c r="G29" i="109" s="1"/>
  <c r="W35" i="109"/>
  <c r="W29" i="109" s="1"/>
  <c r="T35" i="109"/>
  <c r="T29" i="109" s="1"/>
  <c r="P35" i="109"/>
  <c r="P29" i="109" s="1"/>
  <c r="O35" i="109"/>
  <c r="O29" i="109" s="1"/>
  <c r="H35" i="109"/>
  <c r="F35" i="109"/>
  <c r="F29" i="109" s="1"/>
  <c r="E35" i="109"/>
  <c r="E29" i="109" s="1"/>
  <c r="BB29" i="109"/>
  <c r="BA29" i="109"/>
  <c r="AZ29" i="109"/>
  <c r="AY29" i="109"/>
  <c r="AX29" i="109"/>
  <c r="AX28" i="109" s="1"/>
  <c r="AW29" i="109"/>
  <c r="AV29" i="109"/>
  <c r="AU29" i="109"/>
  <c r="AU28" i="109" s="1"/>
  <c r="AT29" i="109"/>
  <c r="AS29" i="109"/>
  <c r="AR29" i="109"/>
  <c r="AQ29" i="109"/>
  <c r="AP29" i="109"/>
  <c r="AO29" i="109"/>
  <c r="AO28" i="109" s="1"/>
  <c r="AN29" i="109"/>
  <c r="AM29" i="109"/>
  <c r="AL29" i="109"/>
  <c r="AL28" i="109" s="1"/>
  <c r="AK29" i="109"/>
  <c r="AJ29" i="109"/>
  <c r="AI29" i="109"/>
  <c r="AH29" i="109"/>
  <c r="AG29" i="109"/>
  <c r="AF29" i="109"/>
  <c r="AD29" i="109"/>
  <c r="AC29" i="109"/>
  <c r="AB29" i="109"/>
  <c r="Z29" i="109"/>
  <c r="Y29" i="109"/>
  <c r="X29" i="109"/>
  <c r="X28" i="109" s="1"/>
  <c r="V29" i="109"/>
  <c r="U29" i="109"/>
  <c r="S29" i="109"/>
  <c r="R29" i="109"/>
  <c r="Q29" i="109"/>
  <c r="M29" i="109"/>
  <c r="H29" i="109"/>
  <c r="D29" i="109"/>
  <c r="BB8" i="109"/>
  <c r="BA8" i="109"/>
  <c r="AZ8" i="109"/>
  <c r="AY8" i="109"/>
  <c r="AX8" i="109"/>
  <c r="AW8" i="109"/>
  <c r="AV8" i="109"/>
  <c r="AU8" i="109"/>
  <c r="AT8" i="109"/>
  <c r="AS8" i="109"/>
  <c r="AR8" i="109"/>
  <c r="AQ8" i="109"/>
  <c r="AP8" i="109"/>
  <c r="AO8" i="109"/>
  <c r="AN8" i="109"/>
  <c r="AM8" i="109"/>
  <c r="AL8" i="109"/>
  <c r="AK8" i="109"/>
  <c r="AJ8" i="109"/>
  <c r="AI8" i="109"/>
  <c r="AH8" i="109"/>
  <c r="AG8" i="109"/>
  <c r="AF8" i="109"/>
  <c r="AE8" i="109"/>
  <c r="AD8" i="109"/>
  <c r="AC8" i="109"/>
  <c r="AB8" i="109"/>
  <c r="AA8" i="109"/>
  <c r="Z8" i="109"/>
  <c r="Y8" i="109"/>
  <c r="X8" i="109"/>
  <c r="W8" i="109"/>
  <c r="V8" i="109"/>
  <c r="U8" i="109"/>
  <c r="T8" i="109"/>
  <c r="S8" i="109"/>
  <c r="R8" i="109"/>
  <c r="Q8" i="109"/>
  <c r="P8" i="109"/>
  <c r="O8" i="109"/>
  <c r="N8" i="109"/>
  <c r="M8" i="109"/>
  <c r="L8" i="109"/>
  <c r="K8" i="109"/>
  <c r="J8" i="109"/>
  <c r="I8" i="109"/>
  <c r="H8" i="109"/>
  <c r="G8" i="109"/>
  <c r="F8" i="109"/>
  <c r="E8" i="109"/>
  <c r="D8" i="109"/>
  <c r="Z132" i="108"/>
  <c r="Y132" i="108"/>
  <c r="X132" i="108"/>
  <c r="W132" i="108"/>
  <c r="V132" i="108"/>
  <c r="U132" i="108"/>
  <c r="T132" i="108"/>
  <c r="S132" i="108"/>
  <c r="R132" i="108"/>
  <c r="Q132" i="108"/>
  <c r="P132" i="108"/>
  <c r="O132" i="108"/>
  <c r="N132" i="108"/>
  <c r="M132" i="108"/>
  <c r="L132" i="108"/>
  <c r="K132" i="108"/>
  <c r="J132" i="108"/>
  <c r="I132" i="108"/>
  <c r="H132" i="108"/>
  <c r="G132" i="108"/>
  <c r="F132" i="108"/>
  <c r="E132" i="108"/>
  <c r="D132" i="108"/>
  <c r="Z125" i="108"/>
  <c r="Y125" i="108"/>
  <c r="X125" i="108"/>
  <c r="W125" i="108"/>
  <c r="V125" i="108"/>
  <c r="U125" i="108"/>
  <c r="T125" i="108"/>
  <c r="S125" i="108"/>
  <c r="R125" i="108"/>
  <c r="Q125" i="108"/>
  <c r="P125" i="108"/>
  <c r="O125" i="108"/>
  <c r="N125" i="108"/>
  <c r="M125" i="108"/>
  <c r="L125" i="108"/>
  <c r="K125" i="108"/>
  <c r="J125" i="108"/>
  <c r="I125" i="108"/>
  <c r="H125" i="108"/>
  <c r="G125" i="108"/>
  <c r="F125" i="108"/>
  <c r="E125" i="108"/>
  <c r="D125" i="108"/>
  <c r="Z107" i="108"/>
  <c r="Y107" i="108"/>
  <c r="X107" i="108"/>
  <c r="W107" i="108"/>
  <c r="V107" i="108"/>
  <c r="U107" i="108"/>
  <c r="T107" i="108"/>
  <c r="S107" i="108"/>
  <c r="R107" i="108"/>
  <c r="Q107" i="108"/>
  <c r="P107" i="108"/>
  <c r="O107" i="108"/>
  <c r="N107" i="108"/>
  <c r="M107" i="108"/>
  <c r="L107" i="108"/>
  <c r="K107" i="108"/>
  <c r="J107" i="108"/>
  <c r="I107" i="108"/>
  <c r="H107" i="108"/>
  <c r="G107" i="108"/>
  <c r="F107" i="108"/>
  <c r="E107" i="108"/>
  <c r="D107" i="108"/>
  <c r="Z48" i="108"/>
  <c r="Z80" i="108" s="1"/>
  <c r="Z87" i="108" s="1"/>
  <c r="Y48" i="108"/>
  <c r="Y80" i="108" s="1"/>
  <c r="Y87" i="108" s="1"/>
  <c r="X48" i="108"/>
  <c r="X80" i="108" s="1"/>
  <c r="X87" i="108" s="1"/>
  <c r="X127" i="108" s="1"/>
  <c r="W48" i="108"/>
  <c r="W80" i="108" s="1"/>
  <c r="W87" i="108" s="1"/>
  <c r="V48" i="108"/>
  <c r="V80" i="108" s="1"/>
  <c r="V87" i="108" s="1"/>
  <c r="U48" i="108"/>
  <c r="U80" i="108" s="1"/>
  <c r="U87" i="108" s="1"/>
  <c r="T48" i="108"/>
  <c r="T80" i="108" s="1"/>
  <c r="T87" i="108" s="1"/>
  <c r="S48" i="108"/>
  <c r="S80" i="108" s="1"/>
  <c r="S87" i="108" s="1"/>
  <c r="R48" i="108"/>
  <c r="R80" i="108" s="1"/>
  <c r="R87" i="108" s="1"/>
  <c r="Q48" i="108"/>
  <c r="Q80" i="108" s="1"/>
  <c r="Q87" i="108" s="1"/>
  <c r="P48" i="108"/>
  <c r="P80" i="108" s="1"/>
  <c r="P87" i="108" s="1"/>
  <c r="O48" i="108"/>
  <c r="O80" i="108" s="1"/>
  <c r="O87" i="108" s="1"/>
  <c r="N48" i="108"/>
  <c r="N80" i="108" s="1"/>
  <c r="N87" i="108" s="1"/>
  <c r="M48" i="108"/>
  <c r="M80" i="108" s="1"/>
  <c r="M87" i="108" s="1"/>
  <c r="L48" i="108"/>
  <c r="L80" i="108" s="1"/>
  <c r="L87" i="108" s="1"/>
  <c r="L127" i="108" s="1"/>
  <c r="K48" i="108"/>
  <c r="K80" i="108" s="1"/>
  <c r="K87" i="108" s="1"/>
  <c r="J48" i="108"/>
  <c r="J80" i="108" s="1"/>
  <c r="J87" i="108" s="1"/>
  <c r="I48" i="108"/>
  <c r="I80" i="108" s="1"/>
  <c r="I87" i="108" s="1"/>
  <c r="H48" i="108"/>
  <c r="H80" i="108" s="1"/>
  <c r="H87" i="108" s="1"/>
  <c r="G48" i="108"/>
  <c r="G80" i="108" s="1"/>
  <c r="G87" i="108" s="1"/>
  <c r="F48" i="108"/>
  <c r="F80" i="108" s="1"/>
  <c r="F87" i="108" s="1"/>
  <c r="E48" i="108"/>
  <c r="E80" i="108" s="1"/>
  <c r="E87" i="108" s="1"/>
  <c r="D48" i="108"/>
  <c r="D80" i="108" s="1"/>
  <c r="D87" i="108" s="1"/>
  <c r="D127" i="108" s="1"/>
  <c r="O72" i="72"/>
  <c r="O61" i="72"/>
  <c r="O58" i="72"/>
  <c r="O54" i="72"/>
  <c r="O50" i="72"/>
  <c r="O39" i="72"/>
  <c r="O28" i="72"/>
  <c r="O25" i="72"/>
  <c r="O17" i="72"/>
  <c r="O14" i="72"/>
  <c r="AH45" i="41"/>
  <c r="AH25" i="41"/>
  <c r="V127" i="108" l="1"/>
  <c r="J127" i="108"/>
  <c r="AS28" i="109"/>
  <c r="N28" i="109"/>
  <c r="AC28" i="109"/>
  <c r="I72" i="9"/>
  <c r="I81" i="9" s="1"/>
  <c r="I85" i="9" s="1"/>
  <c r="I89" i="9" s="1"/>
  <c r="I94" i="9" s="1"/>
  <c r="Y28" i="109"/>
  <c r="Y52" i="109" s="1"/>
  <c r="E28" i="109"/>
  <c r="E52" i="109" s="1"/>
  <c r="AR28" i="109"/>
  <c r="F28" i="109"/>
  <c r="F52" i="109" s="1"/>
  <c r="Q28" i="109"/>
  <c r="Q52" i="109" s="1"/>
  <c r="S28" i="109"/>
  <c r="S52" i="109" s="1"/>
  <c r="AI28" i="109"/>
  <c r="AJ28" i="109"/>
  <c r="AJ52" i="109" s="1"/>
  <c r="AV28" i="109"/>
  <c r="AV52" i="109" s="1"/>
  <c r="AK28" i="109"/>
  <c r="AK52" i="109" s="1"/>
  <c r="AW28" i="109"/>
  <c r="AW52" i="109" s="1"/>
  <c r="W28" i="109"/>
  <c r="W52" i="109" s="1"/>
  <c r="AS52" i="109"/>
  <c r="BA110" i="109"/>
  <c r="AL52" i="109"/>
  <c r="AX52" i="109"/>
  <c r="BC110" i="109"/>
  <c r="N52" i="109"/>
  <c r="O28" i="109"/>
  <c r="O52" i="109" s="1"/>
  <c r="AP28" i="109"/>
  <c r="AP52" i="109" s="1"/>
  <c r="AP111" i="109" s="1"/>
  <c r="G28" i="109"/>
  <c r="G52" i="109" s="1"/>
  <c r="H28" i="109"/>
  <c r="H52" i="109" s="1"/>
  <c r="E110" i="109"/>
  <c r="Q110" i="109"/>
  <c r="AC110" i="109"/>
  <c r="Z28" i="109"/>
  <c r="Z52" i="109" s="1"/>
  <c r="AM28" i="109"/>
  <c r="AM52" i="109" s="1"/>
  <c r="AY28" i="109"/>
  <c r="AY52" i="109" s="1"/>
  <c r="I52" i="109"/>
  <c r="AN28" i="109"/>
  <c r="AN52" i="109" s="1"/>
  <c r="AZ28" i="109"/>
  <c r="AZ52" i="109" s="1"/>
  <c r="J52" i="109"/>
  <c r="V28" i="109"/>
  <c r="V52" i="109" s="1"/>
  <c r="P127" i="108"/>
  <c r="AO110" i="109"/>
  <c r="M28" i="109"/>
  <c r="M52" i="109" s="1"/>
  <c r="BB28" i="109"/>
  <c r="BB52" i="109" s="1"/>
  <c r="S153" i="2"/>
  <c r="I10" i="2" s="1"/>
  <c r="BD28" i="109"/>
  <c r="BD52" i="109" s="1"/>
  <c r="AG28" i="109"/>
  <c r="AG52" i="109" s="1"/>
  <c r="AB28" i="109"/>
  <c r="AB52" i="109" s="1"/>
  <c r="BA28" i="109"/>
  <c r="BA52" i="109" s="1"/>
  <c r="AE127" i="64"/>
  <c r="T20" i="16"/>
  <c r="K26" i="9"/>
  <c r="K72" i="9"/>
  <c r="K81" i="9" s="1"/>
  <c r="I127" i="108"/>
  <c r="U127" i="108"/>
  <c r="AC52" i="109"/>
  <c r="T16" i="16"/>
  <c r="O110" i="109"/>
  <c r="AA110" i="109"/>
  <c r="AM110" i="109"/>
  <c r="AY110" i="109"/>
  <c r="AY111" i="109" s="1"/>
  <c r="M26" i="9"/>
  <c r="AF28" i="109"/>
  <c r="AE45" i="109"/>
  <c r="AE28" i="109" s="1"/>
  <c r="AE52" i="109" s="1"/>
  <c r="X52" i="109"/>
  <c r="T18" i="16"/>
  <c r="K52" i="109"/>
  <c r="T17" i="16"/>
  <c r="T27" i="16"/>
  <c r="T34" i="16"/>
  <c r="L52" i="109"/>
  <c r="S254" i="2"/>
  <c r="T32" i="16"/>
  <c r="AD28" i="109"/>
  <c r="AD52" i="109" s="1"/>
  <c r="AQ28" i="109"/>
  <c r="AQ52" i="109" s="1"/>
  <c r="AQ111" i="109" s="1"/>
  <c r="T52" i="16"/>
  <c r="R28" i="109"/>
  <c r="R52" i="109" s="1"/>
  <c r="T51" i="16"/>
  <c r="AI110" i="109"/>
  <c r="AU110" i="109"/>
  <c r="BC28" i="109"/>
  <c r="T50" i="16"/>
  <c r="U28" i="109"/>
  <c r="U52" i="109" s="1"/>
  <c r="AH28" i="109"/>
  <c r="AH52" i="109" s="1"/>
  <c r="AT28" i="109"/>
  <c r="AT52" i="109" s="1"/>
  <c r="D28" i="109"/>
  <c r="D52" i="109" s="1"/>
  <c r="P28" i="109"/>
  <c r="P52" i="109" s="1"/>
  <c r="X110" i="109"/>
  <c r="S106" i="2"/>
  <c r="T49" i="16"/>
  <c r="AK110" i="109"/>
  <c r="AW110" i="109"/>
  <c r="R167" i="78"/>
  <c r="R169" i="78" s="1"/>
  <c r="T28" i="109"/>
  <c r="T52" i="109" s="1"/>
  <c r="AE8" i="60"/>
  <c r="AA28" i="109"/>
  <c r="AA52" i="109" s="1"/>
  <c r="F127" i="108"/>
  <c r="G127" i="108"/>
  <c r="S127" i="108"/>
  <c r="F110" i="109"/>
  <c r="R110" i="109"/>
  <c r="AD110" i="109"/>
  <c r="AP110" i="109"/>
  <c r="BB110" i="109"/>
  <c r="BB111" i="109" s="1"/>
  <c r="S143" i="2"/>
  <c r="T12" i="16"/>
  <c r="T26" i="16"/>
  <c r="T40" i="16"/>
  <c r="O26" i="9"/>
  <c r="H127" i="108"/>
  <c r="T127" i="108"/>
  <c r="G110" i="109"/>
  <c r="S110" i="109"/>
  <c r="AE110" i="109"/>
  <c r="AQ110" i="109"/>
  <c r="R133" i="78"/>
  <c r="R135" i="78" s="1"/>
  <c r="R137" i="78" s="1"/>
  <c r="R140" i="78" s="1"/>
  <c r="AE8" i="68"/>
  <c r="AE49" i="70"/>
  <c r="T11" i="16"/>
  <c r="T25" i="16"/>
  <c r="P26" i="9"/>
  <c r="AI52" i="109"/>
  <c r="AU52" i="109"/>
  <c r="H110" i="109"/>
  <c r="T110" i="109"/>
  <c r="AF110" i="109"/>
  <c r="AR110" i="109"/>
  <c r="AE127" i="58"/>
  <c r="AE8" i="63"/>
  <c r="AE17" i="64"/>
  <c r="AB124" i="82"/>
  <c r="T10" i="16"/>
  <c r="T24" i="16"/>
  <c r="AR52" i="109"/>
  <c r="I110" i="109"/>
  <c r="U110" i="109"/>
  <c r="AG110" i="109"/>
  <c r="AS110" i="109"/>
  <c r="AS111" i="109" s="1"/>
  <c r="T9" i="16"/>
  <c r="T36" i="16"/>
  <c r="K127" i="108"/>
  <c r="W127" i="108"/>
  <c r="J110" i="109"/>
  <c r="V110" i="109"/>
  <c r="AH110" i="109"/>
  <c r="AT110" i="109"/>
  <c r="AE79" i="60"/>
  <c r="T35" i="16"/>
  <c r="M127" i="108"/>
  <c r="Y127" i="108"/>
  <c r="L110" i="109"/>
  <c r="AJ110" i="109"/>
  <c r="AV110" i="109"/>
  <c r="S69" i="2"/>
  <c r="S217" i="2"/>
  <c r="AE49" i="60"/>
  <c r="AE41" i="60" s="1"/>
  <c r="H72" i="9"/>
  <c r="H81" i="9" s="1"/>
  <c r="H85" i="9" s="1"/>
  <c r="H89" i="9" s="1"/>
  <c r="H94" i="9" s="1"/>
  <c r="K110" i="109"/>
  <c r="W110" i="109"/>
  <c r="N127" i="108"/>
  <c r="Z127" i="108"/>
  <c r="M110" i="109"/>
  <c r="Y110" i="109"/>
  <c r="AE49" i="63"/>
  <c r="T59" i="16"/>
  <c r="O127" i="108"/>
  <c r="AO52" i="109"/>
  <c r="AO111" i="109" s="1"/>
  <c r="N110" i="109"/>
  <c r="Z110" i="109"/>
  <c r="AL110" i="109"/>
  <c r="AX110" i="109"/>
  <c r="AX111" i="109" s="1"/>
  <c r="AE8" i="57"/>
  <c r="AE8" i="59"/>
  <c r="AE8" i="70"/>
  <c r="BC52" i="109"/>
  <c r="T44" i="16"/>
  <c r="T58" i="16"/>
  <c r="S16" i="45"/>
  <c r="S25" i="45" s="1"/>
  <c r="S28" i="45" s="1"/>
  <c r="S32" i="45" s="1"/>
  <c r="S37" i="45" s="1"/>
  <c r="J72" i="9"/>
  <c r="J81" i="9" s="1"/>
  <c r="J85" i="9" s="1"/>
  <c r="J89" i="9" s="1"/>
  <c r="J94" i="9" s="1"/>
  <c r="T43" i="16"/>
  <c r="T57" i="16"/>
  <c r="E127" i="108"/>
  <c r="Q127" i="108"/>
  <c r="D110" i="109"/>
  <c r="P110" i="109"/>
  <c r="AB110" i="109"/>
  <c r="AN110" i="109"/>
  <c r="AZ110" i="109"/>
  <c r="AE8" i="58"/>
  <c r="AE17" i="63"/>
  <c r="T42" i="16"/>
  <c r="L26" i="9"/>
  <c r="L72" i="9"/>
  <c r="L81" i="9" s="1"/>
  <c r="L85" i="9" s="1"/>
  <c r="L89" i="9" s="1"/>
  <c r="L94" i="9" s="1"/>
  <c r="R127" i="108"/>
  <c r="M72" i="9"/>
  <c r="M81" i="9" s="1"/>
  <c r="M85" i="9" s="1"/>
  <c r="M89" i="9" s="1"/>
  <c r="M94" i="9" s="1"/>
  <c r="AB105" i="80"/>
  <c r="Q33" i="46"/>
  <c r="AB86" i="28"/>
  <c r="AE62" i="67"/>
  <c r="AE90" i="64"/>
  <c r="AE69" i="64"/>
  <c r="AE69" i="63"/>
  <c r="AE69" i="70"/>
  <c r="AE90" i="70"/>
  <c r="AE17" i="70"/>
  <c r="AB122" i="80"/>
  <c r="BD84" i="11"/>
  <c r="BD93" i="11" s="1"/>
  <c r="AE10" i="69"/>
  <c r="AE8" i="69" s="1"/>
  <c r="T8" i="69"/>
  <c r="AE80" i="68"/>
  <c r="T79" i="68"/>
  <c r="AE9" i="55"/>
  <c r="AE8" i="55" s="1"/>
  <c r="T8" i="55"/>
  <c r="P66" i="9"/>
  <c r="P72" i="9" s="1"/>
  <c r="P81" i="9" s="1"/>
  <c r="O66" i="9"/>
  <c r="O72" i="9" s="1"/>
  <c r="O81" i="9" s="1"/>
  <c r="O85" i="9" s="1"/>
  <c r="O89" i="9" s="1"/>
  <c r="O94" i="9" s="1"/>
  <c r="X25" i="25"/>
  <c r="X36" i="25" s="1"/>
  <c r="X38" i="25" s="1"/>
  <c r="X42" i="25" s="1"/>
  <c r="X47" i="25" s="1"/>
  <c r="R196" i="78"/>
  <c r="R201" i="78" s="1"/>
  <c r="R203" i="78" s="1"/>
  <c r="J26" i="9"/>
  <c r="I26" i="9"/>
  <c r="H26" i="9"/>
  <c r="R65" i="78"/>
  <c r="R67" i="78" s="1"/>
  <c r="R69" i="78" s="1"/>
  <c r="R72" i="78" s="1"/>
  <c r="R99" i="78"/>
  <c r="R101" i="78" s="1"/>
  <c r="R103" i="78" s="1"/>
  <c r="R106" i="78" s="1"/>
  <c r="AB27" i="7"/>
  <c r="K27" i="9"/>
  <c r="J27" i="9"/>
  <c r="I27" i="9"/>
  <c r="H27" i="9"/>
  <c r="P27" i="9"/>
  <c r="O27" i="9"/>
  <c r="M27" i="9"/>
  <c r="L27" i="9"/>
  <c r="BD30" i="8"/>
  <c r="BD32" i="8" s="1"/>
  <c r="BD38" i="8" s="1"/>
  <c r="BD43" i="8" s="1"/>
  <c r="BD22" i="8"/>
  <c r="AB48" i="83"/>
  <c r="AB80" i="83" s="1"/>
  <c r="AB86" i="83" s="1"/>
  <c r="AB124" i="83" s="1"/>
  <c r="V64" i="31"/>
  <c r="V89" i="31" s="1"/>
  <c r="V37" i="31"/>
  <c r="V23" i="31" s="1"/>
  <c r="AJ81" i="30"/>
  <c r="AJ64" i="30"/>
  <c r="AJ45" i="30"/>
  <c r="AJ24" i="30"/>
  <c r="AJ23" i="30" s="1"/>
  <c r="AJ8" i="30"/>
  <c r="AB67" i="29"/>
  <c r="AB49" i="29"/>
  <c r="AB8" i="29"/>
  <c r="AB48" i="28"/>
  <c r="AB79" i="27"/>
  <c r="AB8" i="27"/>
  <c r="AB42" i="27" s="1"/>
  <c r="Y15" i="42"/>
  <c r="L15" i="77"/>
  <c r="L23" i="77"/>
  <c r="T100" i="69"/>
  <c r="T69" i="68"/>
  <c r="T60" i="68" s="1"/>
  <c r="T62" i="64"/>
  <c r="T60" i="64" s="1"/>
  <c r="T41" i="63"/>
  <c r="T41" i="55"/>
  <c r="AB125" i="108"/>
  <c r="AB48" i="86"/>
  <c r="AB80" i="86" s="1"/>
  <c r="AB86" i="86" s="1"/>
  <c r="AB124" i="86" s="1"/>
  <c r="AB79" i="98"/>
  <c r="AB85" i="98" s="1"/>
  <c r="AB123" i="98" s="1"/>
  <c r="T27" i="70"/>
  <c r="AE29" i="70"/>
  <c r="AE27" i="70" s="1"/>
  <c r="AE124" i="68"/>
  <c r="AE127" i="68" s="1"/>
  <c r="T127" i="68"/>
  <c r="AE116" i="68"/>
  <c r="AE114" i="68" s="1"/>
  <c r="T114" i="68"/>
  <c r="T17" i="67"/>
  <c r="T6" i="67" s="1"/>
  <c r="AE18" i="67"/>
  <c r="AE17" i="67" s="1"/>
  <c r="T90" i="56"/>
  <c r="AE91" i="56"/>
  <c r="AE90" i="56" s="1"/>
  <c r="T69" i="56"/>
  <c r="AE70" i="56"/>
  <c r="AE69" i="56" s="1"/>
  <c r="AE18" i="56"/>
  <c r="AE17" i="56" s="1"/>
  <c r="T17" i="56"/>
  <c r="T6" i="56" s="1"/>
  <c r="AE90" i="63"/>
  <c r="AE100" i="63"/>
  <c r="AE62" i="63"/>
  <c r="AE90" i="69"/>
  <c r="AE114" i="67"/>
  <c r="AE27" i="55"/>
  <c r="AE27" i="56"/>
  <c r="AE79" i="56"/>
  <c r="AE79" i="67"/>
  <c r="AE100" i="67"/>
  <c r="AE79" i="69"/>
  <c r="AE100" i="69"/>
  <c r="AE6" i="63"/>
  <c r="AE27" i="67"/>
  <c r="AE27" i="69"/>
  <c r="AE62" i="56"/>
  <c r="AE49" i="56"/>
  <c r="AE41" i="56" s="1"/>
  <c r="AE8" i="64"/>
  <c r="AE49" i="67"/>
  <c r="AE41" i="67" s="1"/>
  <c r="AE27" i="68"/>
  <c r="AE100" i="68"/>
  <c r="AE49" i="69"/>
  <c r="AE41" i="69" s="1"/>
  <c r="AE41" i="70"/>
  <c r="AE69" i="67"/>
  <c r="AE90" i="67"/>
  <c r="AE69" i="69"/>
  <c r="AE17" i="55"/>
  <c r="AE6" i="55" s="1"/>
  <c r="AE49" i="68"/>
  <c r="AE41" i="68" s="1"/>
  <c r="AE79" i="68"/>
  <c r="AE17" i="69"/>
  <c r="AE100" i="70"/>
  <c r="AE114" i="63"/>
  <c r="AE127" i="63"/>
  <c r="AE79" i="63"/>
  <c r="AE114" i="64"/>
  <c r="AE17" i="68"/>
  <c r="AE29" i="64"/>
  <c r="AE27" i="64" s="1"/>
  <c r="T17" i="60"/>
  <c r="T6" i="60" s="1"/>
  <c r="T79" i="63"/>
  <c r="AE47" i="63"/>
  <c r="T69" i="67"/>
  <c r="AE101" i="64"/>
  <c r="AE100" i="64" s="1"/>
  <c r="AE66" i="64"/>
  <c r="AE62" i="64" s="1"/>
  <c r="T8" i="70"/>
  <c r="Q57" i="46"/>
  <c r="T17" i="55"/>
  <c r="AE50" i="55"/>
  <c r="AE49" i="55" s="1"/>
  <c r="AE41" i="55" s="1"/>
  <c r="T27" i="56"/>
  <c r="T127" i="63"/>
  <c r="T114" i="64"/>
  <c r="AE50" i="64"/>
  <c r="AE49" i="64" s="1"/>
  <c r="AE41" i="64" s="1"/>
  <c r="AE9" i="67"/>
  <c r="AE8" i="67" s="1"/>
  <c r="T27" i="68"/>
  <c r="T17" i="69"/>
  <c r="AB63" i="27"/>
  <c r="AE63" i="70"/>
  <c r="AE62" i="70" s="1"/>
  <c r="AE63" i="69"/>
  <c r="AE62" i="69" s="1"/>
  <c r="T17" i="70"/>
  <c r="T27" i="55"/>
  <c r="T49" i="56"/>
  <c r="T41" i="56" s="1"/>
  <c r="T8" i="58"/>
  <c r="AE27" i="58"/>
  <c r="AE100" i="58"/>
  <c r="T49" i="60"/>
  <c r="T41" i="60" s="1"/>
  <c r="AE17" i="60"/>
  <c r="AE6" i="60" s="1"/>
  <c r="T6" i="64"/>
  <c r="T39" i="64" s="1"/>
  <c r="T127" i="64"/>
  <c r="T49" i="68"/>
  <c r="T41" i="68" s="1"/>
  <c r="AE63" i="68"/>
  <c r="AE62" i="68" s="1"/>
  <c r="T27" i="69"/>
  <c r="T41" i="70"/>
  <c r="AB89" i="29"/>
  <c r="AE73" i="68"/>
  <c r="AE69" i="68" s="1"/>
  <c r="AE80" i="64"/>
  <c r="AE79" i="64" s="1"/>
  <c r="T62" i="56"/>
  <c r="T17" i="58"/>
  <c r="AE27" i="59"/>
  <c r="T62" i="60"/>
  <c r="T49" i="69"/>
  <c r="T41" i="69" s="1"/>
  <c r="AE80" i="70"/>
  <c r="AE79" i="70" s="1"/>
  <c r="T90" i="63"/>
  <c r="T88" i="63" s="1"/>
  <c r="T17" i="68"/>
  <c r="T6" i="68" s="1"/>
  <c r="T27" i="58"/>
  <c r="AE49" i="58"/>
  <c r="AE41" i="58" s="1"/>
  <c r="T6" i="63"/>
  <c r="T39" i="63" s="1"/>
  <c r="T58" i="63" s="1"/>
  <c r="T90" i="67"/>
  <c r="T79" i="56"/>
  <c r="T49" i="58"/>
  <c r="T41" i="58" s="1"/>
  <c r="AE69" i="58"/>
  <c r="AE90" i="58"/>
  <c r="T69" i="69"/>
  <c r="T60" i="69" s="1"/>
  <c r="T90" i="69"/>
  <c r="T69" i="70"/>
  <c r="T60" i="70" s="1"/>
  <c r="AE116" i="70"/>
  <c r="AE114" i="70" s="1"/>
  <c r="AB8" i="28"/>
  <c r="AE29" i="63"/>
  <c r="AE27" i="63" s="1"/>
  <c r="T27" i="60"/>
  <c r="T62" i="58"/>
  <c r="T41" i="64"/>
  <c r="T100" i="68"/>
  <c r="T90" i="68"/>
  <c r="T100" i="70"/>
  <c r="AB26" i="28"/>
  <c r="AB45" i="28" s="1"/>
  <c r="AB24" i="29"/>
  <c r="T88" i="64"/>
  <c r="T69" i="58"/>
  <c r="AE62" i="60"/>
  <c r="T79" i="67"/>
  <c r="T100" i="67"/>
  <c r="AE124" i="67"/>
  <c r="AE127" i="67" s="1"/>
  <c r="AE116" i="69"/>
  <c r="AE114" i="69" s="1"/>
  <c r="T90" i="70"/>
  <c r="T90" i="58"/>
  <c r="T8" i="59"/>
  <c r="T27" i="67"/>
  <c r="AE91" i="68"/>
  <c r="AE90" i="68" s="1"/>
  <c r="E90" i="107"/>
  <c r="E83" i="107"/>
  <c r="E70" i="107"/>
  <c r="E31" i="107"/>
  <c r="E53" i="107" s="1"/>
  <c r="E59" i="107" s="1"/>
  <c r="E82" i="106"/>
  <c r="E75" i="106"/>
  <c r="E65" i="106"/>
  <c r="E33" i="106"/>
  <c r="E51" i="106" s="1"/>
  <c r="E57" i="106" s="1"/>
  <c r="AB132" i="108"/>
  <c r="AB107" i="108"/>
  <c r="AB48" i="108"/>
  <c r="AB80" i="108" s="1"/>
  <c r="AB87" i="108" s="1"/>
  <c r="AB123" i="87"/>
  <c r="AB47" i="87"/>
  <c r="AB79" i="87" s="1"/>
  <c r="AB86" i="87" s="1"/>
  <c r="AB130" i="87"/>
  <c r="AB129" i="86"/>
  <c r="AB123" i="85"/>
  <c r="AB106" i="85"/>
  <c r="AB80" i="85"/>
  <c r="AB86" i="85" s="1"/>
  <c r="AB130" i="85"/>
  <c r="AB48" i="84"/>
  <c r="AB80" i="84" s="1"/>
  <c r="AB86" i="84" s="1"/>
  <c r="AB124" i="84" s="1"/>
  <c r="AB129" i="83"/>
  <c r="AB129" i="81"/>
  <c r="AB48" i="81"/>
  <c r="AB80" i="81" s="1"/>
  <c r="AB86" i="81" s="1"/>
  <c r="AB124" i="81" s="1"/>
  <c r="AB48" i="80"/>
  <c r="AB80" i="80" s="1"/>
  <c r="AB86" i="80" s="1"/>
  <c r="BD110" i="109"/>
  <c r="BD111" i="109" s="1"/>
  <c r="V43" i="31"/>
  <c r="Y23" i="42"/>
  <c r="I82" i="19"/>
  <c r="I83" i="19" s="1"/>
  <c r="H82" i="19"/>
  <c r="H83" i="19" s="1"/>
  <c r="J82" i="19"/>
  <c r="J83" i="19" s="1"/>
  <c r="R205" i="78"/>
  <c r="R208" i="78" s="1"/>
  <c r="R171" i="78"/>
  <c r="R174" i="78" s="1"/>
  <c r="T114" i="63"/>
  <c r="AE90" i="57"/>
  <c r="AE124" i="61"/>
  <c r="AE127" i="61" s="1"/>
  <c r="T127" i="61"/>
  <c r="AE101" i="61"/>
  <c r="AE100" i="61" s="1"/>
  <c r="T100" i="61"/>
  <c r="AE70" i="61"/>
  <c r="AE69" i="61" s="1"/>
  <c r="T69" i="61"/>
  <c r="AE63" i="61"/>
  <c r="AE62" i="61" s="1"/>
  <c r="T62" i="61"/>
  <c r="AE50" i="61"/>
  <c r="AE49" i="61" s="1"/>
  <c r="AE41" i="61" s="1"/>
  <c r="T49" i="61"/>
  <c r="T41" i="61" s="1"/>
  <c r="AE29" i="61"/>
  <c r="AE27" i="61" s="1"/>
  <c r="T27" i="61"/>
  <c r="AE18" i="61"/>
  <c r="AE17" i="61" s="1"/>
  <c r="T17" i="61"/>
  <c r="AE9" i="61"/>
  <c r="AE8" i="61" s="1"/>
  <c r="T8" i="61"/>
  <c r="AE24" i="57"/>
  <c r="AE17" i="57" s="1"/>
  <c r="T17" i="57"/>
  <c r="T6" i="57" s="1"/>
  <c r="AE124" i="59"/>
  <c r="AE127" i="59" s="1"/>
  <c r="T127" i="59"/>
  <c r="AE101" i="59"/>
  <c r="AE100" i="59" s="1"/>
  <c r="T100" i="59"/>
  <c r="AE91" i="59"/>
  <c r="AE90" i="59" s="1"/>
  <c r="T90" i="59"/>
  <c r="AE80" i="59"/>
  <c r="AE79" i="59" s="1"/>
  <c r="T79" i="59"/>
  <c r="AE117" i="59"/>
  <c r="AE114" i="59" s="1"/>
  <c r="T114" i="59"/>
  <c r="AE70" i="59"/>
  <c r="AE69" i="59" s="1"/>
  <c r="T69" i="59"/>
  <c r="AE63" i="59"/>
  <c r="AE62" i="59" s="1"/>
  <c r="T62" i="59"/>
  <c r="AE50" i="59"/>
  <c r="AE49" i="59" s="1"/>
  <c r="AE41" i="59" s="1"/>
  <c r="T49" i="59"/>
  <c r="T41" i="59" s="1"/>
  <c r="AE18" i="59"/>
  <c r="AE17" i="59" s="1"/>
  <c r="T17" i="59"/>
  <c r="AE116" i="57"/>
  <c r="AE114" i="57" s="1"/>
  <c r="T114" i="57"/>
  <c r="AE101" i="57"/>
  <c r="AE100" i="57" s="1"/>
  <c r="T100" i="57"/>
  <c r="AE70" i="57"/>
  <c r="AE69" i="57" s="1"/>
  <c r="T69" i="57"/>
  <c r="AE63" i="57"/>
  <c r="AE62" i="57" s="1"/>
  <c r="T62" i="57"/>
  <c r="AE50" i="57"/>
  <c r="AE49" i="57" s="1"/>
  <c r="AE41" i="57" s="1"/>
  <c r="T49" i="57"/>
  <c r="T41" i="57" s="1"/>
  <c r="AE33" i="57"/>
  <c r="AE27" i="57" s="1"/>
  <c r="T27" i="57"/>
  <c r="AE27" i="60"/>
  <c r="T62" i="63"/>
  <c r="T127" i="60"/>
  <c r="T114" i="60"/>
  <c r="T27" i="59"/>
  <c r="T100" i="58"/>
  <c r="T90" i="57"/>
  <c r="T100" i="55"/>
  <c r="L33" i="77"/>
  <c r="Y33" i="42"/>
  <c r="T114" i="61"/>
  <c r="AE116" i="61"/>
  <c r="AE114" i="61" s="1"/>
  <c r="T90" i="61"/>
  <c r="AE91" i="61"/>
  <c r="AE90" i="61" s="1"/>
  <c r="T79" i="61"/>
  <c r="AE80" i="61"/>
  <c r="AE79" i="61" s="1"/>
  <c r="T100" i="60"/>
  <c r="AE101" i="60"/>
  <c r="AE100" i="60" s="1"/>
  <c r="AE91" i="60"/>
  <c r="AE90" i="60" s="1"/>
  <c r="T90" i="60"/>
  <c r="AE76" i="60"/>
  <c r="AE69" i="60" s="1"/>
  <c r="T69" i="60"/>
  <c r="T114" i="58"/>
  <c r="AE116" i="58"/>
  <c r="AE114" i="58" s="1"/>
  <c r="T79" i="58"/>
  <c r="AE80" i="58"/>
  <c r="AE79" i="58" s="1"/>
  <c r="T127" i="57"/>
  <c r="AE124" i="57"/>
  <c r="AE127" i="57" s="1"/>
  <c r="T79" i="57"/>
  <c r="AE80" i="57"/>
  <c r="AE79" i="57" s="1"/>
  <c r="AE124" i="56"/>
  <c r="AE127" i="56" s="1"/>
  <c r="T127" i="56"/>
  <c r="AE116" i="56"/>
  <c r="AE114" i="56" s="1"/>
  <c r="T114" i="56"/>
  <c r="AE102" i="56"/>
  <c r="AE100" i="56" s="1"/>
  <c r="T100" i="56"/>
  <c r="T127" i="55"/>
  <c r="AE124" i="55"/>
  <c r="AE127" i="55" s="1"/>
  <c r="AE116" i="55"/>
  <c r="AE114" i="55" s="1"/>
  <c r="T114" i="55"/>
  <c r="T90" i="55"/>
  <c r="AE91" i="55"/>
  <c r="T79" i="55"/>
  <c r="AE80" i="55"/>
  <c r="AE79" i="55" s="1"/>
  <c r="AE70" i="55"/>
  <c r="AE69" i="55" s="1"/>
  <c r="T69" i="55"/>
  <c r="AE63" i="55"/>
  <c r="AE62" i="55" s="1"/>
  <c r="T62" i="55"/>
  <c r="AE100" i="55"/>
  <c r="AE114" i="60"/>
  <c r="AE62" i="58"/>
  <c r="AE17" i="58"/>
  <c r="AE6" i="58" s="1"/>
  <c r="T79" i="60"/>
  <c r="AE8" i="56"/>
  <c r="W15" i="18"/>
  <c r="W28" i="18"/>
  <c r="J7" i="17"/>
  <c r="H7" i="17"/>
  <c r="G7" i="17"/>
  <c r="F7" i="17"/>
  <c r="E7" i="17"/>
  <c r="D7" i="17"/>
  <c r="AO85" i="3"/>
  <c r="L14" i="77"/>
  <c r="Y14" i="42"/>
  <c r="T25" i="26"/>
  <c r="T36" i="26" s="1"/>
  <c r="T38" i="26" s="1"/>
  <c r="T42" i="26" s="1"/>
  <c r="T47" i="26" s="1"/>
  <c r="T24" i="26"/>
  <c r="X24" i="25"/>
  <c r="V25" i="24"/>
  <c r="V36" i="24" s="1"/>
  <c r="V38" i="24" s="1"/>
  <c r="V42" i="24" s="1"/>
  <c r="V47" i="24" s="1"/>
  <c r="V24" i="24"/>
  <c r="AZ111" i="109"/>
  <c r="AW111" i="109"/>
  <c r="S16" i="44"/>
  <c r="S23" i="44"/>
  <c r="AE90" i="55" l="1"/>
  <c r="AE88" i="55" s="1"/>
  <c r="AF91" i="55"/>
  <c r="T88" i="69"/>
  <c r="P36" i="9"/>
  <c r="P40" i="9" s="1"/>
  <c r="P44" i="9" s="1"/>
  <c r="P49" i="9" s="1"/>
  <c r="AN111" i="109"/>
  <c r="AV111" i="109"/>
  <c r="M36" i="9"/>
  <c r="M40" i="9" s="1"/>
  <c r="M44" i="9" s="1"/>
  <c r="M49" i="9" s="1"/>
  <c r="O36" i="9"/>
  <c r="O40" i="9" s="1"/>
  <c r="O44" i="9" s="1"/>
  <c r="O49" i="9" s="1"/>
  <c r="K36" i="9"/>
  <c r="AE88" i="70"/>
  <c r="T88" i="68"/>
  <c r="AE6" i="67"/>
  <c r="AE6" i="64"/>
  <c r="AE6" i="59"/>
  <c r="T6" i="55"/>
  <c r="AF6" i="55"/>
  <c r="AF39" i="55" s="1"/>
  <c r="AF58" i="55" s="1"/>
  <c r="AF86" i="55" s="1"/>
  <c r="AE88" i="68"/>
  <c r="AE6" i="69"/>
  <c r="AE39" i="69" s="1"/>
  <c r="AE58" i="69" s="1"/>
  <c r="AE86" i="69" s="1"/>
  <c r="AR111" i="109"/>
  <c r="BC111" i="109"/>
  <c r="T60" i="67"/>
  <c r="T6" i="58"/>
  <c r="T39" i="58" s="1"/>
  <c r="T58" i="58" s="1"/>
  <c r="AE60" i="69"/>
  <c r="AE60" i="64"/>
  <c r="BA111" i="109"/>
  <c r="AE88" i="59"/>
  <c r="T6" i="69"/>
  <c r="T39" i="69" s="1"/>
  <c r="T58" i="69" s="1"/>
  <c r="T86" i="69" s="1"/>
  <c r="T88" i="59"/>
  <c r="AE88" i="63"/>
  <c r="AE39" i="59"/>
  <c r="AE58" i="59" s="1"/>
  <c r="T60" i="16"/>
  <c r="AB86" i="27"/>
  <c r="AB87" i="27" s="1"/>
  <c r="AB95" i="28"/>
  <c r="AE39" i="55"/>
  <c r="AE58" i="55" s="1"/>
  <c r="AE86" i="55" s="1"/>
  <c r="T39" i="56"/>
  <c r="T58" i="56" s="1"/>
  <c r="AE88" i="67"/>
  <c r="AE6" i="68"/>
  <c r="AE39" i="68" s="1"/>
  <c r="AE58" i="68" s="1"/>
  <c r="AE6" i="70"/>
  <c r="AE39" i="70" s="1"/>
  <c r="AE58" i="70" s="1"/>
  <c r="T88" i="70"/>
  <c r="AJ90" i="30"/>
  <c r="D8" i="17"/>
  <c r="D9" i="17" s="1"/>
  <c r="D11" i="17" s="1"/>
  <c r="AT111" i="109"/>
  <c r="AU111" i="109"/>
  <c r="AB46" i="29"/>
  <c r="AB90" i="29" s="1"/>
  <c r="AE6" i="56"/>
  <c r="AE39" i="56" s="1"/>
  <c r="AE58" i="56" s="1"/>
  <c r="H36" i="9"/>
  <c r="H40" i="9" s="1"/>
  <c r="H44" i="9" s="1"/>
  <c r="H49" i="9" s="1"/>
  <c r="I36" i="9"/>
  <c r="I40" i="9" s="1"/>
  <c r="I44" i="9" s="1"/>
  <c r="I49" i="9" s="1"/>
  <c r="V90" i="31"/>
  <c r="J36" i="9"/>
  <c r="J40" i="9" s="1"/>
  <c r="J44" i="9" s="1"/>
  <c r="J49" i="9" s="1"/>
  <c r="AE41" i="63"/>
  <c r="AE60" i="67"/>
  <c r="AE88" i="58"/>
  <c r="T39" i="67"/>
  <c r="T58" i="67" s="1"/>
  <c r="T88" i="67"/>
  <c r="AE60" i="63"/>
  <c r="T88" i="56"/>
  <c r="AE6" i="57"/>
  <c r="AE39" i="57" s="1"/>
  <c r="AE58" i="57" s="1"/>
  <c r="AE88" i="64"/>
  <c r="T60" i="59"/>
  <c r="AE88" i="61"/>
  <c r="T88" i="58"/>
  <c r="AE60" i="59"/>
  <c r="AE60" i="55"/>
  <c r="AE88" i="56"/>
  <c r="T6" i="61"/>
  <c r="T39" i="61" s="1"/>
  <c r="T58" i="61" s="1"/>
  <c r="AB124" i="80"/>
  <c r="L36" i="9"/>
  <c r="L40" i="9" s="1"/>
  <c r="L44" i="9" s="1"/>
  <c r="L49" i="9" s="1"/>
  <c r="AB96" i="28"/>
  <c r="F8" i="17"/>
  <c r="F9" i="17" s="1"/>
  <c r="F11" i="17" s="1"/>
  <c r="I8" i="17"/>
  <c r="H8" i="17"/>
  <c r="H9" i="17" s="1"/>
  <c r="H11" i="17" s="1"/>
  <c r="E8" i="17"/>
  <c r="E9" i="17" s="1"/>
  <c r="E11" i="17" s="1"/>
  <c r="G8" i="17"/>
  <c r="G9" i="17" s="1"/>
  <c r="G11" i="17" s="1"/>
  <c r="AE60" i="70"/>
  <c r="T6" i="59"/>
  <c r="T39" i="59" s="1"/>
  <c r="T58" i="59" s="1"/>
  <c r="T39" i="57"/>
  <c r="T58" i="57" s="1"/>
  <c r="T60" i="58"/>
  <c r="AE39" i="58"/>
  <c r="AE58" i="58" s="1"/>
  <c r="L30" i="77"/>
  <c r="L32" i="77" s="1"/>
  <c r="L36" i="77" s="1"/>
  <c r="L39" i="77" s="1"/>
  <c r="T60" i="56"/>
  <c r="J8" i="17"/>
  <c r="J9" i="17" s="1"/>
  <c r="J11" i="17" s="1"/>
  <c r="AJ42" i="30"/>
  <c r="T39" i="55"/>
  <c r="T58" i="55" s="1"/>
  <c r="T39" i="60"/>
  <c r="T58" i="60" s="1"/>
  <c r="AE60" i="61"/>
  <c r="AE39" i="64"/>
  <c r="AE58" i="64" s="1"/>
  <c r="AE88" i="69"/>
  <c r="T58" i="64"/>
  <c r="T86" i="64" s="1"/>
  <c r="T84" i="64" s="1"/>
  <c r="AE39" i="63"/>
  <c r="AE60" i="68"/>
  <c r="T6" i="70"/>
  <c r="T39" i="70" s="1"/>
  <c r="T58" i="70" s="1"/>
  <c r="T86" i="70" s="1"/>
  <c r="T84" i="70" s="1"/>
  <c r="AE60" i="56"/>
  <c r="T88" i="55"/>
  <c r="T60" i="63"/>
  <c r="T86" i="63" s="1"/>
  <c r="AE6" i="61"/>
  <c r="AE39" i="61" s="1"/>
  <c r="AE58" i="61" s="1"/>
  <c r="AE60" i="60"/>
  <c r="AE88" i="60"/>
  <c r="AE39" i="60"/>
  <c r="AE58" i="60" s="1"/>
  <c r="T39" i="68"/>
  <c r="T58" i="68" s="1"/>
  <c r="T86" i="68" s="1"/>
  <c r="T84" i="68" s="1"/>
  <c r="AE39" i="67"/>
  <c r="AE58" i="67" s="1"/>
  <c r="E85" i="107"/>
  <c r="E77" i="106"/>
  <c r="AB127" i="108"/>
  <c r="AB125" i="87"/>
  <c r="AB125" i="85"/>
  <c r="Y30" i="42"/>
  <c r="Y32" i="42" s="1"/>
  <c r="Y36" i="42" s="1"/>
  <c r="Y39" i="42" s="1"/>
  <c r="I85" i="19"/>
  <c r="I89" i="19"/>
  <c r="H85" i="19"/>
  <c r="H89" i="19"/>
  <c r="J85" i="19"/>
  <c r="J89" i="19"/>
  <c r="AE88" i="57"/>
  <c r="T88" i="57"/>
  <c r="T88" i="61"/>
  <c r="T60" i="61"/>
  <c r="T60" i="57"/>
  <c r="AE60" i="57"/>
  <c r="T60" i="55"/>
  <c r="T88" i="60"/>
  <c r="T60" i="60"/>
  <c r="T86" i="60" s="1"/>
  <c r="AE60" i="58"/>
  <c r="I7" i="17"/>
  <c r="I70" i="101"/>
  <c r="I74" i="101" s="1"/>
  <c r="I61" i="101"/>
  <c r="I64" i="101" s="1"/>
  <c r="I50" i="101"/>
  <c r="I54" i="101" s="1"/>
  <c r="I40" i="101"/>
  <c r="I44" i="101" s="1"/>
  <c r="I30" i="101"/>
  <c r="I34" i="101" s="1"/>
  <c r="I20" i="101"/>
  <c r="I24" i="101" s="1"/>
  <c r="I9" i="101"/>
  <c r="I13" i="101" s="1"/>
  <c r="I84" i="101"/>
  <c r="I83" i="101"/>
  <c r="I82" i="101"/>
  <c r="I80" i="101"/>
  <c r="I79" i="101"/>
  <c r="I77" i="101"/>
  <c r="I67" i="101"/>
  <c r="I57" i="101"/>
  <c r="I47" i="101"/>
  <c r="I37" i="101"/>
  <c r="I78" i="101"/>
  <c r="I27" i="101"/>
  <c r="I16" i="101"/>
  <c r="I126" i="102"/>
  <c r="I122" i="102"/>
  <c r="I108" i="102"/>
  <c r="I104" i="102"/>
  <c r="I90" i="102"/>
  <c r="I86" i="102"/>
  <c r="I72" i="102"/>
  <c r="I68" i="102"/>
  <c r="I54" i="102"/>
  <c r="I50" i="102"/>
  <c r="I36" i="102"/>
  <c r="I32" i="102"/>
  <c r="I17" i="102"/>
  <c r="I13" i="102"/>
  <c r="I193" i="102"/>
  <c r="I185" i="102"/>
  <c r="I177" i="102"/>
  <c r="I169" i="102"/>
  <c r="I161" i="102"/>
  <c r="I153" i="102"/>
  <c r="I145" i="102"/>
  <c r="I137" i="102"/>
  <c r="I133" i="102"/>
  <c r="I132" i="102"/>
  <c r="I115" i="102"/>
  <c r="I114" i="102"/>
  <c r="I97" i="102"/>
  <c r="I96" i="102"/>
  <c r="I79" i="102"/>
  <c r="I78" i="102"/>
  <c r="I61" i="102"/>
  <c r="I60" i="102"/>
  <c r="I43" i="102"/>
  <c r="I42" i="102"/>
  <c r="I24" i="102"/>
  <c r="I23" i="102"/>
  <c r="K9" i="2"/>
  <c r="AE86" i="70" l="1"/>
  <c r="AE112" i="70" s="1"/>
  <c r="AE121" i="70" s="1"/>
  <c r="T84" i="69"/>
  <c r="T112" i="69"/>
  <c r="T121" i="69" s="1"/>
  <c r="T86" i="61"/>
  <c r="T84" i="61" s="1"/>
  <c r="AF84" i="55"/>
  <c r="I9" i="17"/>
  <c r="I11" i="17" s="1"/>
  <c r="AJ91" i="30"/>
  <c r="AE86" i="67"/>
  <c r="AE112" i="67" s="1"/>
  <c r="AE121" i="67" s="1"/>
  <c r="T112" i="70"/>
  <c r="T121" i="70" s="1"/>
  <c r="I110" i="102"/>
  <c r="I112" i="102" s="1"/>
  <c r="AE86" i="64"/>
  <c r="AE84" i="64" s="1"/>
  <c r="I19" i="102"/>
  <c r="I21" i="102" s="1"/>
  <c r="I128" i="102"/>
  <c r="I130" i="102" s="1"/>
  <c r="T112" i="64"/>
  <c r="T121" i="64" s="1"/>
  <c r="T86" i="59"/>
  <c r="T84" i="59" s="1"/>
  <c r="T86" i="67"/>
  <c r="T84" i="67" s="1"/>
  <c r="AE86" i="61"/>
  <c r="AE84" i="61" s="1"/>
  <c r="T86" i="57"/>
  <c r="T112" i="57" s="1"/>
  <c r="T121" i="57" s="1"/>
  <c r="AE86" i="59"/>
  <c r="AE112" i="59" s="1"/>
  <c r="AE121" i="59" s="1"/>
  <c r="T86" i="58"/>
  <c r="T112" i="58" s="1"/>
  <c r="T121" i="58" s="1"/>
  <c r="T112" i="68"/>
  <c r="T121" i="68" s="1"/>
  <c r="AE86" i="60"/>
  <c r="AE112" i="60" s="1"/>
  <c r="AE121" i="60" s="1"/>
  <c r="AE86" i="68"/>
  <c r="AE84" i="68" s="1"/>
  <c r="AE86" i="57"/>
  <c r="AE84" i="57" s="1"/>
  <c r="AE84" i="59"/>
  <c r="T86" i="55"/>
  <c r="T84" i="55" s="1"/>
  <c r="AE58" i="63"/>
  <c r="AE86" i="63" s="1"/>
  <c r="AE112" i="63" s="1"/>
  <c r="AE121" i="63" s="1"/>
  <c r="AE84" i="70"/>
  <c r="T112" i="61"/>
  <c r="T121" i="61" s="1"/>
  <c r="AE86" i="58"/>
  <c r="AE84" i="58" s="1"/>
  <c r="I56" i="102"/>
  <c r="I58" i="102" s="1"/>
  <c r="I74" i="102"/>
  <c r="I76" i="102" s="1"/>
  <c r="I92" i="102"/>
  <c r="I94" i="102" s="1"/>
  <c r="I38" i="102"/>
  <c r="I40" i="102" s="1"/>
  <c r="T84" i="60"/>
  <c r="T112" i="60"/>
  <c r="T121" i="60" s="1"/>
  <c r="AE86" i="56"/>
  <c r="AE84" i="56" s="1"/>
  <c r="AE112" i="55"/>
  <c r="AE121" i="55" s="1"/>
  <c r="T86" i="56"/>
  <c r="AE112" i="69"/>
  <c r="AE121" i="69" s="1"/>
  <c r="AE84" i="69"/>
  <c r="AE84" i="63"/>
  <c r="AE84" i="55"/>
  <c r="AE84" i="67"/>
  <c r="T84" i="63"/>
  <c r="T112" i="63"/>
  <c r="T121" i="63" s="1"/>
  <c r="AE112" i="57"/>
  <c r="AE121" i="57" s="1"/>
  <c r="I81" i="101"/>
  <c r="I85" i="101" s="1"/>
  <c r="I135" i="102"/>
  <c r="I195" i="102"/>
  <c r="R231" i="2"/>
  <c r="R227" i="2"/>
  <c r="K10" i="2" s="1"/>
  <c r="L9" i="2"/>
  <c r="J9" i="2"/>
  <c r="H9" i="2"/>
  <c r="F249" i="78"/>
  <c r="G249" i="78"/>
  <c r="H249" i="78"/>
  <c r="I249" i="78"/>
  <c r="J249" i="78"/>
  <c r="K249" i="78"/>
  <c r="L249" i="78"/>
  <c r="M249" i="78"/>
  <c r="N249" i="78"/>
  <c r="O249" i="78"/>
  <c r="P249" i="78"/>
  <c r="Q249" i="78"/>
  <c r="F250" i="78"/>
  <c r="G250" i="78"/>
  <c r="H250" i="78"/>
  <c r="I250" i="78"/>
  <c r="J250" i="78"/>
  <c r="K250" i="78"/>
  <c r="L250" i="78"/>
  <c r="M250" i="78"/>
  <c r="N250" i="78"/>
  <c r="O250" i="78"/>
  <c r="P250" i="78"/>
  <c r="Q250" i="78"/>
  <c r="F251" i="78"/>
  <c r="G251" i="78"/>
  <c r="H251" i="78"/>
  <c r="I251" i="78"/>
  <c r="J251" i="78"/>
  <c r="K251" i="78"/>
  <c r="L251" i="78"/>
  <c r="M251" i="78"/>
  <c r="N251" i="78"/>
  <c r="O251" i="78"/>
  <c r="P251" i="78"/>
  <c r="Q251" i="78"/>
  <c r="F252" i="78"/>
  <c r="G252" i="78"/>
  <c r="H252" i="78"/>
  <c r="I252" i="78"/>
  <c r="J252" i="78"/>
  <c r="K252" i="78"/>
  <c r="L252" i="78"/>
  <c r="M252" i="78"/>
  <c r="N252" i="78"/>
  <c r="O252" i="78"/>
  <c r="P252" i="78"/>
  <c r="Q252" i="78"/>
  <c r="F253" i="78"/>
  <c r="G253" i="78"/>
  <c r="H253" i="78"/>
  <c r="I253" i="78"/>
  <c r="J253" i="78"/>
  <c r="K253" i="78"/>
  <c r="L253" i="78"/>
  <c r="M253" i="78"/>
  <c r="N253" i="78"/>
  <c r="O253" i="78"/>
  <c r="P253" i="78"/>
  <c r="Q253" i="78"/>
  <c r="F254" i="78"/>
  <c r="G254" i="78"/>
  <c r="H254" i="78"/>
  <c r="I254" i="78"/>
  <c r="J254" i="78"/>
  <c r="K254" i="78"/>
  <c r="L254" i="78"/>
  <c r="M254" i="78"/>
  <c r="N254" i="78"/>
  <c r="O254" i="78"/>
  <c r="P254" i="78"/>
  <c r="Q254" i="78"/>
  <c r="F255" i="78"/>
  <c r="G255" i="78"/>
  <c r="H255" i="78"/>
  <c r="I255" i="78"/>
  <c r="J255" i="78"/>
  <c r="K255" i="78"/>
  <c r="L255" i="78"/>
  <c r="M255" i="78"/>
  <c r="N255" i="78"/>
  <c r="O255" i="78"/>
  <c r="P255" i="78"/>
  <c r="Q255" i="78"/>
  <c r="F256" i="78"/>
  <c r="G256" i="78"/>
  <c r="H256" i="78"/>
  <c r="I256" i="78"/>
  <c r="J256" i="78"/>
  <c r="K256" i="78"/>
  <c r="L256" i="78"/>
  <c r="M256" i="78"/>
  <c r="N256" i="78"/>
  <c r="O256" i="78"/>
  <c r="P256" i="78"/>
  <c r="Q256" i="78"/>
  <c r="F257" i="78"/>
  <c r="G257" i="78"/>
  <c r="H257" i="78"/>
  <c r="I257" i="78"/>
  <c r="J257" i="78"/>
  <c r="K257" i="78"/>
  <c r="L257" i="78"/>
  <c r="M257" i="78"/>
  <c r="N257" i="78"/>
  <c r="O257" i="78"/>
  <c r="P257" i="78"/>
  <c r="Q257" i="78"/>
  <c r="F258" i="78"/>
  <c r="G258" i="78"/>
  <c r="H258" i="78"/>
  <c r="I258" i="78"/>
  <c r="J258" i="78"/>
  <c r="K258" i="78"/>
  <c r="L258" i="78"/>
  <c r="M258" i="78"/>
  <c r="N258" i="78"/>
  <c r="O258" i="78"/>
  <c r="P258" i="78"/>
  <c r="Q258" i="78"/>
  <c r="F259" i="78"/>
  <c r="G259" i="78"/>
  <c r="H259" i="78"/>
  <c r="I259" i="78"/>
  <c r="J259" i="78"/>
  <c r="K259" i="78"/>
  <c r="L259" i="78"/>
  <c r="M259" i="78"/>
  <c r="N259" i="78"/>
  <c r="O259" i="78"/>
  <c r="P259" i="78"/>
  <c r="Q259" i="78"/>
  <c r="F260" i="78"/>
  <c r="G260" i="78"/>
  <c r="H260" i="78"/>
  <c r="I260" i="78"/>
  <c r="J260" i="78"/>
  <c r="K260" i="78"/>
  <c r="L260" i="78"/>
  <c r="M260" i="78"/>
  <c r="N260" i="78"/>
  <c r="O260" i="78"/>
  <c r="P260" i="78"/>
  <c r="Q260" i="78"/>
  <c r="F261" i="78"/>
  <c r="G261" i="78"/>
  <c r="H261" i="78"/>
  <c r="I261" i="78"/>
  <c r="J261" i="78"/>
  <c r="K261" i="78"/>
  <c r="L261" i="78"/>
  <c r="M261" i="78"/>
  <c r="N261" i="78"/>
  <c r="O261" i="78"/>
  <c r="P261" i="78"/>
  <c r="Q261" i="78"/>
  <c r="F262" i="78"/>
  <c r="G262" i="78"/>
  <c r="H262" i="78"/>
  <c r="I262" i="78"/>
  <c r="J262" i="78"/>
  <c r="K262" i="78"/>
  <c r="L262" i="78"/>
  <c r="M262" i="78"/>
  <c r="N262" i="78"/>
  <c r="O262" i="78"/>
  <c r="P262" i="78"/>
  <c r="Q262" i="78"/>
  <c r="F263" i="78"/>
  <c r="G263" i="78"/>
  <c r="H263" i="78"/>
  <c r="I263" i="78"/>
  <c r="J263" i="78"/>
  <c r="K263" i="78"/>
  <c r="L263" i="78"/>
  <c r="M263" i="78"/>
  <c r="N263" i="78"/>
  <c r="O263" i="78"/>
  <c r="P263" i="78"/>
  <c r="Q263" i="78"/>
  <c r="F266" i="78"/>
  <c r="G266" i="78"/>
  <c r="H266" i="78"/>
  <c r="I266" i="78"/>
  <c r="J266" i="78"/>
  <c r="K266" i="78"/>
  <c r="L266" i="78"/>
  <c r="M266" i="78"/>
  <c r="N266" i="78"/>
  <c r="O266" i="78"/>
  <c r="P266" i="78"/>
  <c r="Q266" i="78"/>
  <c r="F267" i="78"/>
  <c r="G267" i="78"/>
  <c r="H267" i="78"/>
  <c r="I267" i="78"/>
  <c r="J267" i="78"/>
  <c r="K267" i="78"/>
  <c r="L267" i="78"/>
  <c r="M267" i="78"/>
  <c r="N267" i="78"/>
  <c r="O267" i="78"/>
  <c r="P267" i="78"/>
  <c r="Q267" i="78"/>
  <c r="F268" i="78"/>
  <c r="G268" i="78"/>
  <c r="H268" i="78"/>
  <c r="I268" i="78"/>
  <c r="J268" i="78"/>
  <c r="K268" i="78"/>
  <c r="L268" i="78"/>
  <c r="M268" i="78"/>
  <c r="N268" i="78"/>
  <c r="O268" i="78"/>
  <c r="P268" i="78"/>
  <c r="Q268" i="78"/>
  <c r="F272" i="78"/>
  <c r="G272" i="78"/>
  <c r="H272" i="78"/>
  <c r="I272" i="78"/>
  <c r="J272" i="78"/>
  <c r="K272" i="78"/>
  <c r="L272" i="78"/>
  <c r="M272" i="78"/>
  <c r="N272" i="78"/>
  <c r="O272" i="78"/>
  <c r="P272" i="78"/>
  <c r="Q272" i="78"/>
  <c r="F274" i="78"/>
  <c r="G274" i="78"/>
  <c r="H274" i="78"/>
  <c r="I274" i="78"/>
  <c r="J274" i="78"/>
  <c r="K274" i="78"/>
  <c r="L274" i="78"/>
  <c r="M274" i="78"/>
  <c r="N274" i="78"/>
  <c r="O274" i="78"/>
  <c r="P274" i="78"/>
  <c r="Q274" i="78"/>
  <c r="G248" i="78"/>
  <c r="H248" i="78"/>
  <c r="I248" i="78"/>
  <c r="J248" i="78"/>
  <c r="K248" i="78"/>
  <c r="L248" i="78"/>
  <c r="M248" i="78"/>
  <c r="N248" i="78"/>
  <c r="O248" i="78"/>
  <c r="P248" i="78"/>
  <c r="Q248" i="78"/>
  <c r="F248" i="78"/>
  <c r="T112" i="59" l="1"/>
  <c r="T121" i="59" s="1"/>
  <c r="T84" i="58"/>
  <c r="AE84" i="60"/>
  <c r="T112" i="67"/>
  <c r="T121" i="67" s="1"/>
  <c r="T84" i="57"/>
  <c r="AE112" i="61"/>
  <c r="AE121" i="61" s="1"/>
  <c r="AE112" i="64"/>
  <c r="AE121" i="64" s="1"/>
  <c r="AE112" i="68"/>
  <c r="AE121" i="68" s="1"/>
  <c r="T112" i="55"/>
  <c r="T121" i="55" s="1"/>
  <c r="AE112" i="56"/>
  <c r="AE121" i="56" s="1"/>
  <c r="AE112" i="58"/>
  <c r="AE121" i="58" s="1"/>
  <c r="T84" i="56"/>
  <c r="T112" i="56"/>
  <c r="T121" i="56" s="1"/>
  <c r="E26" i="28"/>
  <c r="F26" i="28"/>
  <c r="G26" i="28"/>
  <c r="H26" i="28"/>
  <c r="I26" i="28"/>
  <c r="J26" i="28"/>
  <c r="K26" i="28"/>
  <c r="L26" i="28"/>
  <c r="M26" i="28"/>
  <c r="N26" i="28"/>
  <c r="O26" i="28"/>
  <c r="P26" i="28"/>
  <c r="Q26" i="28"/>
  <c r="R26" i="28"/>
  <c r="S26" i="28"/>
  <c r="T26" i="28"/>
  <c r="U26" i="28"/>
  <c r="V26" i="28"/>
  <c r="W26" i="28"/>
  <c r="X26" i="28"/>
  <c r="Y26" i="28"/>
  <c r="Z26" i="28"/>
  <c r="AD123" i="70" l="1"/>
  <c r="AD123" i="69"/>
  <c r="AA80" i="41" l="1"/>
  <c r="AB80" i="41"/>
  <c r="AC80" i="41"/>
  <c r="AA74" i="41"/>
  <c r="AB74" i="41"/>
  <c r="AC74" i="41"/>
  <c r="D9" i="101" l="1"/>
  <c r="H9" i="101"/>
  <c r="D83" i="107" l="1"/>
  <c r="D31" i="107"/>
  <c r="D53" i="107" s="1"/>
  <c r="D59" i="107" s="1"/>
  <c r="D70" i="107"/>
  <c r="D90" i="107"/>
  <c r="D85" i="107" l="1"/>
  <c r="BC12" i="15"/>
  <c r="BC18" i="15" s="1"/>
  <c r="BC24" i="15" s="1"/>
  <c r="BC30" i="15" s="1"/>
  <c r="BC36" i="15" s="1"/>
  <c r="BC42" i="15" s="1"/>
  <c r="H12" i="103"/>
  <c r="H18" i="103" s="1"/>
  <c r="H24" i="103" s="1"/>
  <c r="H30" i="103" s="1"/>
  <c r="H36" i="103" s="1"/>
  <c r="H42" i="103" s="1"/>
  <c r="D75" i="106" l="1"/>
  <c r="D82" i="106"/>
  <c r="D33" i="106"/>
  <c r="D51" i="106" s="1"/>
  <c r="D57" i="106" s="1"/>
  <c r="D65" i="106"/>
  <c r="G12" i="103"/>
  <c r="G18" i="103" s="1"/>
  <c r="G24" i="103" s="1"/>
  <c r="G30" i="103" s="1"/>
  <c r="G36" i="103" s="1"/>
  <c r="G42" i="103" s="1"/>
  <c r="F12" i="103"/>
  <c r="F18" i="103" s="1"/>
  <c r="F24" i="103" s="1"/>
  <c r="F30" i="103" s="1"/>
  <c r="F36" i="103" s="1"/>
  <c r="F42" i="103" s="1"/>
  <c r="E12" i="103"/>
  <c r="E18" i="103" s="1"/>
  <c r="E24" i="103" s="1"/>
  <c r="E30" i="103" s="1"/>
  <c r="E36" i="103" s="1"/>
  <c r="E42" i="103" s="1"/>
  <c r="D12" i="103"/>
  <c r="D18" i="103" s="1"/>
  <c r="D24" i="103" s="1"/>
  <c r="D30" i="103" s="1"/>
  <c r="D36" i="103" s="1"/>
  <c r="D42" i="103" s="1"/>
  <c r="D193" i="102"/>
  <c r="E193" i="102"/>
  <c r="F193" i="102"/>
  <c r="E185" i="102"/>
  <c r="F185" i="102"/>
  <c r="D177" i="102"/>
  <c r="E177" i="102"/>
  <c r="F177" i="102"/>
  <c r="E169" i="102"/>
  <c r="F169" i="102"/>
  <c r="E161" i="102"/>
  <c r="F161" i="102"/>
  <c r="E153" i="102"/>
  <c r="F153" i="102"/>
  <c r="D145" i="102"/>
  <c r="E145" i="102"/>
  <c r="F145" i="102"/>
  <c r="G169" i="102"/>
  <c r="G185" i="102"/>
  <c r="G161" i="102"/>
  <c r="G177" i="102"/>
  <c r="G193" i="102"/>
  <c r="G153" i="102"/>
  <c r="G145" i="102"/>
  <c r="G72" i="102" l="1"/>
  <c r="F195" i="102"/>
  <c r="E195" i="102"/>
  <c r="G32" i="102"/>
  <c r="G68" i="102"/>
  <c r="G50" i="102"/>
  <c r="D77" i="106"/>
  <c r="G104" i="102"/>
  <c r="G36" i="102"/>
  <c r="G126" i="102"/>
  <c r="G17" i="102"/>
  <c r="G54" i="102"/>
  <c r="G13" i="102"/>
  <c r="G86" i="102"/>
  <c r="G108" i="102"/>
  <c r="G90" i="102"/>
  <c r="G122" i="102"/>
  <c r="G195" i="102"/>
  <c r="G74" i="102" l="1"/>
  <c r="G76" i="102" s="1"/>
  <c r="G38" i="102"/>
  <c r="G40" i="102" s="1"/>
  <c r="G56" i="102"/>
  <c r="G58" i="102" s="1"/>
  <c r="G19" i="102"/>
  <c r="G21" i="102" s="1"/>
  <c r="G92" i="102"/>
  <c r="G94" i="102" s="1"/>
  <c r="G128" i="102"/>
  <c r="G130" i="102" s="1"/>
  <c r="G110" i="102"/>
  <c r="G112" i="102" s="1"/>
  <c r="H177" i="102"/>
  <c r="H169" i="102"/>
  <c r="H161" i="102"/>
  <c r="H153" i="102"/>
  <c r="H145" i="102"/>
  <c r="G132" i="102" l="1"/>
  <c r="G114" i="102"/>
  <c r="G96" i="102"/>
  <c r="G78" i="102"/>
  <c r="G60" i="102"/>
  <c r="G61" i="102"/>
  <c r="G42" i="102"/>
  <c r="G23" i="102"/>
  <c r="G97" i="102" l="1"/>
  <c r="G24" i="102"/>
  <c r="G115" i="102"/>
  <c r="G43" i="102"/>
  <c r="G133" i="102"/>
  <c r="G79" i="102"/>
  <c r="G81" i="101"/>
  <c r="G80" i="101"/>
  <c r="G82" i="101"/>
  <c r="G84" i="101"/>
  <c r="G79" i="101"/>
  <c r="G83" i="101"/>
  <c r="G77" i="101"/>
  <c r="G67" i="101"/>
  <c r="G78" i="101"/>
  <c r="G57" i="101"/>
  <c r="G47" i="101"/>
  <c r="G37" i="101"/>
  <c r="G27" i="101"/>
  <c r="G16" i="101"/>
  <c r="G135" i="102" l="1"/>
  <c r="G85" i="101"/>
  <c r="Q236" i="78" l="1"/>
  <c r="Q241" i="78"/>
  <c r="Q202" i="78"/>
  <c r="Q207" i="78"/>
  <c r="Q168" i="78"/>
  <c r="Q173" i="78"/>
  <c r="Q134" i="78"/>
  <c r="Q139" i="78"/>
  <c r="Q100" i="78"/>
  <c r="Q105" i="78"/>
  <c r="Q66" i="78"/>
  <c r="Q71" i="78"/>
  <c r="Q32" i="78"/>
  <c r="Q37" i="78"/>
  <c r="Q275" i="78" l="1"/>
  <c r="Q270" i="78"/>
  <c r="Q61" i="78"/>
  <c r="Q129" i="78"/>
  <c r="Q95" i="78"/>
  <c r="Q163" i="78"/>
  <c r="Q197" i="78"/>
  <c r="Q162" i="78"/>
  <c r="Q196" i="78"/>
  <c r="Q26" i="78"/>
  <c r="Q128" i="78"/>
  <c r="Q27" i="78"/>
  <c r="Q60" i="78"/>
  <c r="Q230" i="78"/>
  <c r="Q94" i="78"/>
  <c r="Q231" i="78"/>
  <c r="Q201" i="78" l="1"/>
  <c r="Q203" i="78" s="1"/>
  <c r="Q205" i="78" s="1"/>
  <c r="Q208" i="78" s="1"/>
  <c r="Q65" i="78"/>
  <c r="Q67" i="78" s="1"/>
  <c r="Q69" i="78" s="1"/>
  <c r="Q72" i="78" s="1"/>
  <c r="Q264" i="78"/>
  <c r="Q265" i="78"/>
  <c r="Q235" i="78"/>
  <c r="Q237" i="78" s="1"/>
  <c r="Q239" i="78" s="1"/>
  <c r="Q242" i="78" s="1"/>
  <c r="Q167" i="78"/>
  <c r="Q169" i="78" s="1"/>
  <c r="Q171" i="78" s="1"/>
  <c r="Q174" i="78" s="1"/>
  <c r="Q133" i="78"/>
  <c r="Q135" i="78" s="1"/>
  <c r="Q137" i="78" s="1"/>
  <c r="Q140" i="78" s="1"/>
  <c r="Q99" i="78"/>
  <c r="Q101" i="78" s="1"/>
  <c r="Q103" i="78" s="1"/>
  <c r="Q106" i="78" s="1"/>
  <c r="Q31" i="78"/>
  <c r="R190" i="2"/>
  <c r="J10" i="2" s="1"/>
  <c r="R194" i="2"/>
  <c r="Q83" i="2"/>
  <c r="R83" i="2"/>
  <c r="R120" i="2"/>
  <c r="R116" i="2"/>
  <c r="H10" i="2" s="1"/>
  <c r="Q33" i="78" l="1"/>
  <c r="Q269" i="78"/>
  <c r="AH67" i="19"/>
  <c r="AH68" i="19" s="1"/>
  <c r="AH74" i="19" s="1"/>
  <c r="AK67" i="19"/>
  <c r="AK68" i="19" s="1"/>
  <c r="AK70" i="19" s="1"/>
  <c r="AI67" i="19"/>
  <c r="AI68" i="19" s="1"/>
  <c r="AI70" i="19" s="1"/>
  <c r="AG67" i="19"/>
  <c r="AG68" i="19" s="1"/>
  <c r="AG74" i="19" s="1"/>
  <c r="AF67" i="19"/>
  <c r="AF68" i="19" s="1"/>
  <c r="AF74" i="19" s="1"/>
  <c r="AJ67" i="19"/>
  <c r="AJ68" i="19" s="1"/>
  <c r="AJ74" i="19" s="1"/>
  <c r="AE67" i="19"/>
  <c r="AE68" i="19" s="1"/>
  <c r="AE74" i="19" s="1"/>
  <c r="Q271" i="78" l="1"/>
  <c r="Q35" i="78"/>
  <c r="AK74" i="19"/>
  <c r="AI74" i="19"/>
  <c r="AH70" i="19"/>
  <c r="AG70" i="19"/>
  <c r="AF70" i="19"/>
  <c r="AJ70" i="19"/>
  <c r="AE70" i="19"/>
  <c r="Q273" i="78" l="1"/>
  <c r="Q38" i="78"/>
  <c r="Q276" i="78" s="1"/>
  <c r="V19" i="18"/>
  <c r="V20" i="18" l="1"/>
  <c r="V24" i="18"/>
  <c r="V11" i="18"/>
  <c r="V7" i="18"/>
  <c r="V28" i="18" l="1"/>
  <c r="V15" i="18"/>
  <c r="AN64" i="3"/>
  <c r="AN20" i="3" l="1"/>
  <c r="AN82" i="3"/>
  <c r="AN34" i="3"/>
  <c r="AN70" i="3"/>
  <c r="AN13" i="3"/>
  <c r="AN76" i="3"/>
  <c r="AN27" i="3"/>
  <c r="AN55" i="3"/>
  <c r="AN48" i="3"/>
  <c r="AN41" i="3"/>
  <c r="AN85" i="3" l="1"/>
  <c r="AA105" i="87" l="1"/>
  <c r="AA47" i="87"/>
  <c r="AA79" i="87" s="1"/>
  <c r="AA86" i="87" s="1"/>
  <c r="AA123" i="87"/>
  <c r="AA130" i="87"/>
  <c r="AA125" i="87" l="1"/>
  <c r="AA105" i="86" l="1"/>
  <c r="AA129" i="86"/>
  <c r="AA122" i="86"/>
  <c r="AA48" i="86"/>
  <c r="AA80" i="86" s="1"/>
  <c r="AA86" i="86" s="1"/>
  <c r="AA124" i="86" l="1"/>
  <c r="AA130" i="85" l="1"/>
  <c r="AA106" i="85" l="1"/>
  <c r="AA123" i="85"/>
  <c r="AA48" i="85"/>
  <c r="AA80" i="85" s="1"/>
  <c r="AA86" i="85" s="1"/>
  <c r="AA125" i="85" s="1"/>
  <c r="AA104" i="98" l="1"/>
  <c r="AA121" i="98"/>
  <c r="AA47" i="98"/>
  <c r="AA79" i="98" s="1"/>
  <c r="AA85" i="98" s="1"/>
  <c r="AA128" i="98"/>
  <c r="AA123" i="98" l="1"/>
  <c r="AA122" i="84" l="1"/>
  <c r="AA105" i="84"/>
  <c r="AA105" i="83" l="1"/>
  <c r="AA129" i="83"/>
  <c r="AA48" i="84"/>
  <c r="AA80" i="84" s="1"/>
  <c r="AA86" i="84" s="1"/>
  <c r="AA124" i="84" s="1"/>
  <c r="AA129" i="84"/>
  <c r="AA122" i="83"/>
  <c r="AA48" i="83"/>
  <c r="AA80" i="83" s="1"/>
  <c r="AA86" i="83" s="1"/>
  <c r="AA124" i="83" l="1"/>
  <c r="AA105" i="82" l="1"/>
  <c r="AA129" i="82"/>
  <c r="AA48" i="82"/>
  <c r="AA80" i="82" s="1"/>
  <c r="AA86" i="82" s="1"/>
  <c r="AA122" i="82"/>
  <c r="AA124" i="82" l="1"/>
  <c r="AA129" i="81" l="1"/>
  <c r="AA122" i="81"/>
  <c r="AA105" i="81"/>
  <c r="AA48" i="81"/>
  <c r="AA80" i="81" l="1"/>
  <c r="AA86" i="81" s="1"/>
  <c r="AA124" i="81" s="1"/>
  <c r="AA129" i="80"/>
  <c r="AA122" i="80"/>
  <c r="AA105" i="80"/>
  <c r="L34" i="100"/>
  <c r="AA48" i="80" l="1"/>
  <c r="AA80" i="80" s="1"/>
  <c r="AA86" i="80" s="1"/>
  <c r="AA124" i="80" s="1"/>
  <c r="BC39" i="21" l="1"/>
  <c r="W25" i="25"/>
  <c r="AA41" i="7"/>
  <c r="AA27" i="7"/>
  <c r="AA20" i="7"/>
  <c r="AA9" i="7"/>
  <c r="AA19" i="7" s="1"/>
  <c r="AA26" i="7" s="1"/>
  <c r="BC22" i="8"/>
  <c r="R29" i="45"/>
  <c r="R17" i="45"/>
  <c r="R15" i="45"/>
  <c r="R9" i="45"/>
  <c r="R14" i="45" s="1"/>
  <c r="S19" i="26"/>
  <c r="W39" i="25"/>
  <c r="W19" i="25"/>
  <c r="U39" i="24"/>
  <c r="AI19" i="23"/>
  <c r="BC35" i="8"/>
  <c r="S39" i="26"/>
  <c r="U19" i="24"/>
  <c r="AI39" i="23"/>
  <c r="BC52" i="11"/>
  <c r="P32" i="46"/>
  <c r="P45" i="33"/>
  <c r="R40" i="32"/>
  <c r="U45" i="31"/>
  <c r="AI44" i="30"/>
  <c r="AA48" i="29"/>
  <c r="AA47" i="28"/>
  <c r="AA44" i="27"/>
  <c r="AA26" i="28" l="1"/>
  <c r="K23" i="77"/>
  <c r="R16" i="45"/>
  <c r="R25" i="45" s="1"/>
  <c r="R28" i="45" s="1"/>
  <c r="R32" i="45" s="1"/>
  <c r="R37" i="45" s="1"/>
  <c r="BC69" i="11"/>
  <c r="U37" i="31"/>
  <c r="AA19" i="22"/>
  <c r="AE51" i="71"/>
  <c r="AI25" i="23"/>
  <c r="AA39" i="22"/>
  <c r="AE49" i="71"/>
  <c r="X33" i="42"/>
  <c r="AI36" i="30"/>
  <c r="P45" i="46"/>
  <c r="AA25" i="22"/>
  <c r="U24" i="31"/>
  <c r="AA39" i="29"/>
  <c r="AE50" i="71"/>
  <c r="BC84" i="11"/>
  <c r="AA36" i="7"/>
  <c r="AA38" i="7" s="1"/>
  <c r="AA44" i="7" s="1"/>
  <c r="AA49" i="7" s="1"/>
  <c r="AA51" i="7" s="1"/>
  <c r="BC53" i="11"/>
  <c r="P33" i="46"/>
  <c r="AA25" i="29"/>
  <c r="AA49" i="29"/>
  <c r="AA67" i="29"/>
  <c r="AI45" i="30"/>
  <c r="AI64" i="30"/>
  <c r="U81" i="31"/>
  <c r="S9" i="26"/>
  <c r="S18" i="26" s="1"/>
  <c r="K33" i="77"/>
  <c r="AA8" i="27"/>
  <c r="AA79" i="27"/>
  <c r="AA69" i="28"/>
  <c r="AA86" i="28"/>
  <c r="U46" i="31"/>
  <c r="AA48" i="28"/>
  <c r="AA81" i="29"/>
  <c r="U64" i="31"/>
  <c r="W9" i="25"/>
  <c r="W18" i="25" s="1"/>
  <c r="AI9" i="23"/>
  <c r="AI18" i="23" s="1"/>
  <c r="AI24" i="23" s="1"/>
  <c r="AE52" i="71"/>
  <c r="AI8" i="30"/>
  <c r="AI24" i="30"/>
  <c r="U8" i="31"/>
  <c r="U25" i="24"/>
  <c r="BC9" i="21"/>
  <c r="BC18" i="21" s="1"/>
  <c r="AA63" i="27"/>
  <c r="U9" i="24"/>
  <c r="U18" i="24" s="1"/>
  <c r="U24" i="24" s="1"/>
  <c r="BC19" i="21"/>
  <c r="K10" i="77"/>
  <c r="K14" i="77" s="1"/>
  <c r="S25" i="26"/>
  <c r="AA9" i="22"/>
  <c r="AA18" i="22" s="1"/>
  <c r="BC25" i="21"/>
  <c r="BC30" i="8"/>
  <c r="BC32" i="8" s="1"/>
  <c r="BC38" i="8" s="1"/>
  <c r="BC43" i="8" s="1"/>
  <c r="X10" i="42"/>
  <c r="X14" i="42" s="1"/>
  <c r="AI81" i="30"/>
  <c r="AA8" i="29"/>
  <c r="AA8" i="28"/>
  <c r="AA45" i="27"/>
  <c r="AA24" i="27"/>
  <c r="AA24" i="29" l="1"/>
  <c r="P57" i="46"/>
  <c r="AA95" i="28"/>
  <c r="U23" i="31"/>
  <c r="U43" i="31" s="1"/>
  <c r="AI23" i="30"/>
  <c r="AI42" i="30" s="1"/>
  <c r="BC93" i="11"/>
  <c r="AA42" i="27"/>
  <c r="AA89" i="29"/>
  <c r="AA36" i="22"/>
  <c r="AA38" i="22" s="1"/>
  <c r="AA42" i="22" s="1"/>
  <c r="AA47" i="22" s="1"/>
  <c r="U89" i="31"/>
  <c r="W36" i="25"/>
  <c r="W38" i="25" s="1"/>
  <c r="W42" i="25" s="1"/>
  <c r="W47" i="25" s="1"/>
  <c r="W24" i="25"/>
  <c r="S36" i="26"/>
  <c r="S38" i="26" s="1"/>
  <c r="S42" i="26" s="1"/>
  <c r="S47" i="26" s="1"/>
  <c r="S24" i="26"/>
  <c r="BC24" i="21"/>
  <c r="AI90" i="30"/>
  <c r="AA86" i="27"/>
  <c r="BC36" i="21"/>
  <c r="BC38" i="21" s="1"/>
  <c r="BC42" i="21" s="1"/>
  <c r="BC47" i="21" s="1"/>
  <c r="AI36" i="23"/>
  <c r="AI38" i="23" s="1"/>
  <c r="AI42" i="23" s="1"/>
  <c r="AI47" i="23" s="1"/>
  <c r="AA46" i="29"/>
  <c r="U36" i="24"/>
  <c r="U38" i="24" s="1"/>
  <c r="U42" i="24" s="1"/>
  <c r="U47" i="24" s="1"/>
  <c r="AA24" i="22"/>
  <c r="AA45" i="28"/>
  <c r="AA96" i="28" l="1"/>
  <c r="AA87" i="27"/>
  <c r="U90" i="31"/>
  <c r="AA90" i="29"/>
  <c r="AI91" i="30"/>
  <c r="BC39" i="20" l="1"/>
  <c r="BC19" i="20"/>
  <c r="BC9" i="20"/>
  <c r="AD119" i="70"/>
  <c r="AD118" i="70"/>
  <c r="AD117" i="70"/>
  <c r="AD116" i="70"/>
  <c r="AD110" i="70"/>
  <c r="AD109" i="70"/>
  <c r="AD108" i="70"/>
  <c r="AD107" i="70"/>
  <c r="AD106" i="70"/>
  <c r="AD105" i="70"/>
  <c r="AD104" i="70"/>
  <c r="AD103" i="70"/>
  <c r="AD102" i="70"/>
  <c r="AD101" i="70"/>
  <c r="AD99" i="70"/>
  <c r="AD98" i="70"/>
  <c r="AD97" i="70"/>
  <c r="AD96" i="70"/>
  <c r="AD95" i="70"/>
  <c r="AD94" i="70"/>
  <c r="AD93" i="70"/>
  <c r="AD92" i="70"/>
  <c r="AD91" i="70"/>
  <c r="AD82" i="70"/>
  <c r="AD81" i="70"/>
  <c r="AD80" i="70"/>
  <c r="AD78" i="70"/>
  <c r="AD77" i="70"/>
  <c r="AD76" i="70"/>
  <c r="AD75" i="70"/>
  <c r="AD74" i="70"/>
  <c r="AD73" i="70"/>
  <c r="AD72" i="70"/>
  <c r="AD71" i="70"/>
  <c r="AD70" i="70"/>
  <c r="AD68" i="70"/>
  <c r="AD67" i="70"/>
  <c r="AD66" i="70"/>
  <c r="AD65" i="70"/>
  <c r="AD64" i="70"/>
  <c r="AD63" i="70"/>
  <c r="AD56" i="70"/>
  <c r="AD55" i="70"/>
  <c r="AD54" i="70"/>
  <c r="AD53" i="70"/>
  <c r="AD52" i="70"/>
  <c r="AD51" i="70"/>
  <c r="AD50" i="70"/>
  <c r="AD48" i="70"/>
  <c r="AD47" i="70"/>
  <c r="AD46" i="70"/>
  <c r="AD45" i="70"/>
  <c r="AD43" i="70"/>
  <c r="AD37" i="70"/>
  <c r="AD36" i="70"/>
  <c r="AD35" i="70"/>
  <c r="AD34" i="70"/>
  <c r="AD33" i="70"/>
  <c r="AD32" i="70"/>
  <c r="AD31" i="70"/>
  <c r="AD30" i="70"/>
  <c r="AD29" i="70"/>
  <c r="AD25" i="70"/>
  <c r="AD24" i="70"/>
  <c r="AD23" i="70"/>
  <c r="AD22" i="70"/>
  <c r="AD21" i="70"/>
  <c r="AD20" i="70"/>
  <c r="AD19" i="70"/>
  <c r="AD18" i="70"/>
  <c r="AD16" i="70"/>
  <c r="AD15" i="70"/>
  <c r="AD14" i="70"/>
  <c r="AD13" i="70"/>
  <c r="AD12" i="70"/>
  <c r="AD11" i="70"/>
  <c r="AD10" i="70"/>
  <c r="AD9" i="70"/>
  <c r="AD119" i="69"/>
  <c r="AD118" i="69"/>
  <c r="AD117" i="69"/>
  <c r="AD110" i="69"/>
  <c r="AD109" i="69"/>
  <c r="AD108" i="69"/>
  <c r="AD107" i="69"/>
  <c r="AD106" i="69"/>
  <c r="AD105" i="69"/>
  <c r="AD104" i="69"/>
  <c r="AD103" i="69"/>
  <c r="AD102" i="69"/>
  <c r="AD101" i="69"/>
  <c r="AD99" i="69"/>
  <c r="AD98" i="69"/>
  <c r="AD97" i="69"/>
  <c r="AD96" i="69"/>
  <c r="AD95" i="69"/>
  <c r="AD94" i="69"/>
  <c r="AD93" i="69"/>
  <c r="AD92" i="69"/>
  <c r="AD91" i="69"/>
  <c r="AD82" i="69"/>
  <c r="AD81" i="69"/>
  <c r="AD78" i="69"/>
  <c r="AD77" i="69"/>
  <c r="AD76" i="69"/>
  <c r="AD75" i="69"/>
  <c r="AD74" i="69"/>
  <c r="AD73" i="69"/>
  <c r="AD72" i="69"/>
  <c r="AD71" i="69"/>
  <c r="AD70" i="69"/>
  <c r="AD68" i="69"/>
  <c r="AD67" i="69"/>
  <c r="AD66" i="69"/>
  <c r="AD65" i="69"/>
  <c r="AD64" i="69"/>
  <c r="AD56" i="69"/>
  <c r="AD55" i="69"/>
  <c r="AD54" i="69"/>
  <c r="AD53" i="69"/>
  <c r="AD52" i="69"/>
  <c r="AD51" i="69"/>
  <c r="AD50" i="69"/>
  <c r="AD48" i="69"/>
  <c r="AD47" i="69"/>
  <c r="AD46" i="69"/>
  <c r="AD45" i="69"/>
  <c r="AD43" i="69"/>
  <c r="AD37" i="69"/>
  <c r="AD36" i="69"/>
  <c r="AD35" i="69"/>
  <c r="AD34" i="69"/>
  <c r="AD33" i="69"/>
  <c r="AD32" i="69"/>
  <c r="AD31" i="69"/>
  <c r="AD30" i="69"/>
  <c r="AD29" i="69"/>
  <c r="AD25" i="69"/>
  <c r="AD24" i="69"/>
  <c r="AD23" i="69"/>
  <c r="AD22" i="69"/>
  <c r="AD21" i="69"/>
  <c r="AD20" i="69"/>
  <c r="AD19" i="69"/>
  <c r="AD18" i="69"/>
  <c r="AD16" i="69"/>
  <c r="AD15" i="69"/>
  <c r="AD14" i="69"/>
  <c r="AD13" i="69"/>
  <c r="AD12" i="69"/>
  <c r="AD11" i="69"/>
  <c r="AD10" i="69"/>
  <c r="AD9" i="69"/>
  <c r="AD43" i="67"/>
  <c r="AD124" i="68"/>
  <c r="AD119" i="68"/>
  <c r="AD118" i="68"/>
  <c r="AD117" i="68"/>
  <c r="AD116" i="68"/>
  <c r="AD110" i="68"/>
  <c r="AD109" i="68"/>
  <c r="AD108" i="68"/>
  <c r="AD107" i="68"/>
  <c r="AD106" i="68"/>
  <c r="AD104" i="68"/>
  <c r="AD103" i="68"/>
  <c r="AD102" i="68"/>
  <c r="AD101" i="68"/>
  <c r="AD99" i="68"/>
  <c r="AD98" i="68"/>
  <c r="AD97" i="68"/>
  <c r="AD96" i="68"/>
  <c r="AD95" i="68"/>
  <c r="AD94" i="68"/>
  <c r="AD93" i="68"/>
  <c r="AD91" i="68"/>
  <c r="AD82" i="68"/>
  <c r="AD81" i="68"/>
  <c r="AD78" i="68"/>
  <c r="AD77" i="68"/>
  <c r="AD76" i="68"/>
  <c r="AD75" i="68"/>
  <c r="AD74" i="68"/>
  <c r="AD73" i="68"/>
  <c r="AD72" i="68"/>
  <c r="AD70" i="68"/>
  <c r="AD68" i="68"/>
  <c r="AD67" i="68"/>
  <c r="AD66" i="68"/>
  <c r="AD65" i="68"/>
  <c r="AD64" i="68"/>
  <c r="AD63" i="68"/>
  <c r="AD56" i="68"/>
  <c r="AD55" i="68"/>
  <c r="AD54" i="68"/>
  <c r="AD53" i="68"/>
  <c r="AD52" i="68"/>
  <c r="AD50" i="68"/>
  <c r="AD48" i="68"/>
  <c r="AD47" i="68"/>
  <c r="AD46" i="68"/>
  <c r="AD45" i="68"/>
  <c r="AD43" i="68"/>
  <c r="AD37" i="68"/>
  <c r="AD36" i="68"/>
  <c r="AD35" i="68"/>
  <c r="AD34" i="68"/>
  <c r="AD32" i="68"/>
  <c r="AD31" i="68"/>
  <c r="AD30" i="68"/>
  <c r="AD29" i="68"/>
  <c r="AD25" i="68"/>
  <c r="AD24" i="68"/>
  <c r="AD23" i="68"/>
  <c r="AD22" i="68"/>
  <c r="AD21" i="68"/>
  <c r="AD20" i="68"/>
  <c r="AD19" i="68"/>
  <c r="AD16" i="68"/>
  <c r="AD15" i="68"/>
  <c r="AD14" i="68"/>
  <c r="AD13" i="68"/>
  <c r="AD12" i="68"/>
  <c r="AD11" i="68"/>
  <c r="AD10" i="68"/>
  <c r="AD125" i="67"/>
  <c r="AD119" i="67"/>
  <c r="AD118" i="67"/>
  <c r="AD117" i="67"/>
  <c r="AD116" i="67"/>
  <c r="AD110" i="67"/>
  <c r="AD109" i="67"/>
  <c r="AD108" i="67"/>
  <c r="AD107" i="67"/>
  <c r="AD105" i="67"/>
  <c r="AD104" i="67"/>
  <c r="AD103" i="67"/>
  <c r="AD102" i="67"/>
  <c r="AD101" i="67"/>
  <c r="AD99" i="67"/>
  <c r="AD98" i="67"/>
  <c r="AD97" i="67"/>
  <c r="AD96" i="67"/>
  <c r="AD95" i="67"/>
  <c r="AD94" i="67"/>
  <c r="AD92" i="67"/>
  <c r="AD91" i="67"/>
  <c r="AD82" i="67"/>
  <c r="AD81" i="67"/>
  <c r="AD80" i="67"/>
  <c r="AD78" i="67"/>
  <c r="AD77" i="67"/>
  <c r="AD76" i="67"/>
  <c r="AD75" i="67"/>
  <c r="AD74" i="67"/>
  <c r="AD73" i="67"/>
  <c r="AD71" i="67"/>
  <c r="AD70" i="67"/>
  <c r="AD68" i="67"/>
  <c r="AD67" i="67"/>
  <c r="AD66" i="67"/>
  <c r="AD65" i="67"/>
  <c r="AD64" i="67"/>
  <c r="AD56" i="67"/>
  <c r="AD55" i="67"/>
  <c r="AD54" i="67"/>
  <c r="AD52" i="67"/>
  <c r="AD51" i="67"/>
  <c r="AD50" i="67"/>
  <c r="AD48" i="67"/>
  <c r="AD47" i="67"/>
  <c r="AD46" i="67"/>
  <c r="AD45" i="67"/>
  <c r="AD37" i="67"/>
  <c r="AD36" i="67"/>
  <c r="AD35" i="67"/>
  <c r="AD34" i="67"/>
  <c r="AD33" i="67"/>
  <c r="AD32" i="67"/>
  <c r="AD31" i="67"/>
  <c r="AD30" i="67"/>
  <c r="AD25" i="67"/>
  <c r="AD24" i="67"/>
  <c r="AD23" i="67"/>
  <c r="AD22" i="67"/>
  <c r="AD21" i="67"/>
  <c r="AD20" i="67"/>
  <c r="AD19" i="67"/>
  <c r="AD18" i="67"/>
  <c r="AD16" i="67"/>
  <c r="AD15" i="67"/>
  <c r="AD14" i="67"/>
  <c r="AD13" i="67"/>
  <c r="AD12" i="67"/>
  <c r="AD11" i="67"/>
  <c r="AD10" i="67"/>
  <c r="AD125" i="64"/>
  <c r="AD125" i="63"/>
  <c r="AD124" i="64"/>
  <c r="AD119" i="64"/>
  <c r="AD117" i="64"/>
  <c r="AD116" i="64"/>
  <c r="AD110" i="64"/>
  <c r="AD109" i="64"/>
  <c r="AD108" i="64"/>
  <c r="AD107" i="64"/>
  <c r="AD106" i="64"/>
  <c r="AD105" i="64"/>
  <c r="AD104" i="64"/>
  <c r="AD103" i="64"/>
  <c r="AD102" i="64"/>
  <c r="AD99" i="64"/>
  <c r="AD98" i="64"/>
  <c r="AD97" i="64"/>
  <c r="AD96" i="64"/>
  <c r="AD95" i="64"/>
  <c r="AD93" i="64"/>
  <c r="AD92" i="64"/>
  <c r="AD91" i="64"/>
  <c r="AD82" i="64"/>
  <c r="AD81" i="64"/>
  <c r="AD78" i="64"/>
  <c r="AD77" i="64"/>
  <c r="AD76" i="64"/>
  <c r="AD75" i="64"/>
  <c r="AD74" i="64"/>
  <c r="AD72" i="64"/>
  <c r="AD71" i="64"/>
  <c r="AD70" i="64"/>
  <c r="AD68" i="64"/>
  <c r="AD67" i="64"/>
  <c r="AD65" i="64"/>
  <c r="AD64" i="64"/>
  <c r="AD63" i="64"/>
  <c r="AD56" i="64"/>
  <c r="AD55" i="64"/>
  <c r="AD53" i="64"/>
  <c r="AD52" i="64"/>
  <c r="AD51" i="64"/>
  <c r="AD50" i="64"/>
  <c r="AD48" i="64"/>
  <c r="AD47" i="64"/>
  <c r="AD46" i="64"/>
  <c r="AD45" i="64"/>
  <c r="AD43" i="64"/>
  <c r="AD37" i="64"/>
  <c r="AD36" i="64"/>
  <c r="AD34" i="64"/>
  <c r="AD33" i="64"/>
  <c r="AD32" i="64"/>
  <c r="AD31" i="64"/>
  <c r="AD30" i="64"/>
  <c r="AD29" i="64"/>
  <c r="AD25" i="64"/>
  <c r="AD24" i="64"/>
  <c r="AD23" i="64"/>
  <c r="AD22" i="64"/>
  <c r="AD21" i="64"/>
  <c r="AD20" i="64"/>
  <c r="AD19" i="64"/>
  <c r="AD16" i="64"/>
  <c r="AD15" i="64"/>
  <c r="AD14" i="64"/>
  <c r="AD13" i="64"/>
  <c r="AD12" i="64"/>
  <c r="AD11" i="64"/>
  <c r="AD10" i="64"/>
  <c r="AD124" i="63"/>
  <c r="AD119" i="63"/>
  <c r="AD118" i="63"/>
  <c r="AD117" i="63"/>
  <c r="AD116" i="63"/>
  <c r="AD110" i="63"/>
  <c r="AD109" i="63"/>
  <c r="AD108" i="63"/>
  <c r="AD107" i="63"/>
  <c r="AD106" i="63"/>
  <c r="AD105" i="63"/>
  <c r="AD104" i="63"/>
  <c r="AD103" i="63"/>
  <c r="AD102" i="63"/>
  <c r="AD101" i="63"/>
  <c r="AD99" i="63"/>
  <c r="AD98" i="63"/>
  <c r="AD97" i="63"/>
  <c r="AD96" i="63"/>
  <c r="AD95" i="63"/>
  <c r="AD94" i="63"/>
  <c r="AD93" i="63"/>
  <c r="AD92" i="63"/>
  <c r="AD91" i="63"/>
  <c r="AD82" i="63"/>
  <c r="AD81" i="63"/>
  <c r="AD80" i="63"/>
  <c r="AD78" i="63"/>
  <c r="AD77" i="63"/>
  <c r="AD76" i="63"/>
  <c r="AD75" i="63"/>
  <c r="AD74" i="63"/>
  <c r="AD73" i="63"/>
  <c r="AD72" i="63"/>
  <c r="AD71" i="63"/>
  <c r="AD70" i="63"/>
  <c r="AD68" i="63"/>
  <c r="AD67" i="63"/>
  <c r="AD66" i="63"/>
  <c r="AD65" i="63"/>
  <c r="AD64" i="63"/>
  <c r="AD55" i="63"/>
  <c r="AD54" i="63"/>
  <c r="AD53" i="63"/>
  <c r="AD52" i="63"/>
  <c r="AD51" i="63"/>
  <c r="AD50" i="63"/>
  <c r="AD48" i="63"/>
  <c r="AD47" i="63"/>
  <c r="AD46" i="63"/>
  <c r="AD45" i="63"/>
  <c r="AD43" i="63"/>
  <c r="AD37" i="63"/>
  <c r="AD36" i="63"/>
  <c r="AD35" i="63"/>
  <c r="AD34" i="63"/>
  <c r="AD33" i="63"/>
  <c r="AD32" i="63"/>
  <c r="AD31" i="63"/>
  <c r="AD30" i="63"/>
  <c r="AD29" i="63"/>
  <c r="AD25" i="63"/>
  <c r="AD24" i="63"/>
  <c r="AD23" i="63"/>
  <c r="AD22" i="63"/>
  <c r="AD21" i="63"/>
  <c r="AD20" i="63"/>
  <c r="AD19" i="63"/>
  <c r="AD18" i="63"/>
  <c r="AD16" i="63"/>
  <c r="AD15" i="63"/>
  <c r="AD14" i="63"/>
  <c r="AD13" i="63"/>
  <c r="AD12" i="63"/>
  <c r="AD11" i="63"/>
  <c r="AD10" i="63"/>
  <c r="AD125" i="61"/>
  <c r="AD119" i="61"/>
  <c r="AD118" i="61"/>
  <c r="AD116" i="61"/>
  <c r="AD110" i="61"/>
  <c r="AD109" i="61"/>
  <c r="AD108" i="61"/>
  <c r="AD107" i="61"/>
  <c r="AD106" i="61"/>
  <c r="AD105" i="61"/>
  <c r="AD104" i="61"/>
  <c r="AD103" i="61"/>
  <c r="AD102" i="61"/>
  <c r="AD101" i="61"/>
  <c r="AD99" i="61"/>
  <c r="AD98" i="61"/>
  <c r="AD97" i="61"/>
  <c r="AD96" i="61"/>
  <c r="AD95" i="61"/>
  <c r="AD94" i="61"/>
  <c r="AD93" i="61"/>
  <c r="AD92" i="61"/>
  <c r="AD82" i="61"/>
  <c r="AD81" i="61"/>
  <c r="AD78" i="61"/>
  <c r="AD77" i="61"/>
  <c r="AD76" i="61"/>
  <c r="AD75" i="61"/>
  <c r="AD74" i="61"/>
  <c r="AD73" i="61"/>
  <c r="AD72" i="61"/>
  <c r="AD71" i="61"/>
  <c r="AD68" i="61"/>
  <c r="AD67" i="61"/>
  <c r="AD66" i="61"/>
  <c r="AD65" i="61"/>
  <c r="AD64" i="61"/>
  <c r="AD56" i="61"/>
  <c r="AD55" i="61"/>
  <c r="AD54" i="61"/>
  <c r="AD53" i="61"/>
  <c r="AD52" i="61"/>
  <c r="AD51" i="61"/>
  <c r="AD50" i="61"/>
  <c r="AD48" i="61"/>
  <c r="AD47" i="61"/>
  <c r="AD46" i="61"/>
  <c r="AD45" i="61"/>
  <c r="AD43" i="61"/>
  <c r="AD37" i="61"/>
  <c r="AD36" i="61"/>
  <c r="AD35" i="61"/>
  <c r="AD34" i="61"/>
  <c r="AD33" i="61"/>
  <c r="AD32" i="61"/>
  <c r="AD31" i="61"/>
  <c r="AD30" i="61"/>
  <c r="AD29" i="61"/>
  <c r="AD25" i="61"/>
  <c r="AD24" i="61"/>
  <c r="AD23" i="61"/>
  <c r="AD22" i="61"/>
  <c r="AD21" i="61"/>
  <c r="AD20" i="61"/>
  <c r="AD19" i="61"/>
  <c r="AD18" i="61"/>
  <c r="AD16" i="61"/>
  <c r="AD15" i="61"/>
  <c r="AD14" i="61"/>
  <c r="AD13" i="61"/>
  <c r="AD12" i="61"/>
  <c r="AD11" i="61"/>
  <c r="AD10" i="61"/>
  <c r="AD9" i="61"/>
  <c r="AD125" i="60"/>
  <c r="AD119" i="60"/>
  <c r="AD118" i="60"/>
  <c r="AD117" i="60"/>
  <c r="AD116" i="60"/>
  <c r="AD110" i="60"/>
  <c r="AD109" i="60"/>
  <c r="AD108" i="60"/>
  <c r="AD107" i="60"/>
  <c r="AD106" i="60"/>
  <c r="AD105" i="60"/>
  <c r="AD104" i="60"/>
  <c r="AD103" i="60"/>
  <c r="AD102" i="60"/>
  <c r="AD101" i="60"/>
  <c r="AD99" i="60"/>
  <c r="AD98" i="60"/>
  <c r="AD97" i="60"/>
  <c r="AD96" i="60"/>
  <c r="AD95" i="60"/>
  <c r="AD94" i="60"/>
  <c r="AD93" i="60"/>
  <c r="AD92" i="60"/>
  <c r="AD91" i="60"/>
  <c r="AD82" i="60"/>
  <c r="AD81" i="60"/>
  <c r="AD80" i="60"/>
  <c r="AD78" i="60"/>
  <c r="AD77" i="60"/>
  <c r="AD76" i="60"/>
  <c r="AD75" i="60"/>
  <c r="AD74" i="60"/>
  <c r="AD73" i="60"/>
  <c r="AD72" i="60"/>
  <c r="AD71" i="60"/>
  <c r="AD70" i="60"/>
  <c r="AD68" i="60"/>
  <c r="AD67" i="60"/>
  <c r="AD66" i="60"/>
  <c r="AD65" i="60"/>
  <c r="AD64" i="60"/>
  <c r="AD63" i="60"/>
  <c r="AD56" i="60"/>
  <c r="AD55" i="60"/>
  <c r="AD54" i="60"/>
  <c r="AD53" i="60"/>
  <c r="AD52" i="60"/>
  <c r="AD51" i="60"/>
  <c r="AD50" i="60"/>
  <c r="AD48" i="60"/>
  <c r="AD47" i="60"/>
  <c r="AD46" i="60"/>
  <c r="AD45" i="60"/>
  <c r="AD43" i="60"/>
  <c r="AD37" i="60"/>
  <c r="AD36" i="60"/>
  <c r="AD35" i="60"/>
  <c r="AD34" i="60"/>
  <c r="AD33" i="60"/>
  <c r="AD32" i="60"/>
  <c r="AD31" i="60"/>
  <c r="AD30" i="60"/>
  <c r="AD29" i="60"/>
  <c r="AD25" i="60"/>
  <c r="AD24" i="60"/>
  <c r="AD23" i="60"/>
  <c r="AD22" i="60"/>
  <c r="AD21" i="60"/>
  <c r="AD20" i="60"/>
  <c r="AD19" i="60"/>
  <c r="AD18" i="60"/>
  <c r="AD16" i="60"/>
  <c r="AD15" i="60"/>
  <c r="AD14" i="60"/>
  <c r="AD13" i="60"/>
  <c r="AD12" i="60"/>
  <c r="AD11" i="60"/>
  <c r="AD10" i="60"/>
  <c r="AD9" i="60"/>
  <c r="AD127" i="63" l="1"/>
  <c r="AD8" i="70"/>
  <c r="AD79" i="70"/>
  <c r="AD100" i="70"/>
  <c r="AD27" i="70"/>
  <c r="AD90" i="70"/>
  <c r="AD17" i="70"/>
  <c r="AD6" i="70" s="1"/>
  <c r="AD114" i="70"/>
  <c r="AD62" i="70"/>
  <c r="AD49" i="70"/>
  <c r="AD41" i="70" s="1"/>
  <c r="AD69" i="70"/>
  <c r="AD8" i="60"/>
  <c r="S114" i="70"/>
  <c r="S8" i="70"/>
  <c r="AD8" i="69"/>
  <c r="S79" i="68"/>
  <c r="S127" i="67"/>
  <c r="AD80" i="68"/>
  <c r="AD79" i="68" s="1"/>
  <c r="S62" i="70"/>
  <c r="S127" i="60"/>
  <c r="S8" i="67"/>
  <c r="S62" i="67"/>
  <c r="S127" i="61"/>
  <c r="S114" i="69"/>
  <c r="S8" i="61"/>
  <c r="S127" i="63"/>
  <c r="S8" i="68"/>
  <c r="AD124" i="60"/>
  <c r="AD127" i="60" s="1"/>
  <c r="AD114" i="68"/>
  <c r="S17" i="64"/>
  <c r="S62" i="69"/>
  <c r="AD69" i="60"/>
  <c r="AD69" i="69"/>
  <c r="S8" i="64"/>
  <c r="AD90" i="60"/>
  <c r="S69" i="61"/>
  <c r="S17" i="67"/>
  <c r="S90" i="68"/>
  <c r="AD124" i="67"/>
  <c r="AD127" i="67" s="1"/>
  <c r="S79" i="69"/>
  <c r="S79" i="70"/>
  <c r="AD79" i="63"/>
  <c r="AD9" i="67"/>
  <c r="AD8" i="67" s="1"/>
  <c r="AD8" i="61"/>
  <c r="AD27" i="61"/>
  <c r="AD49" i="61"/>
  <c r="AD41" i="61" s="1"/>
  <c r="S62" i="68"/>
  <c r="AD80" i="69"/>
  <c r="AD79" i="69" s="1"/>
  <c r="AD114" i="67"/>
  <c r="AD62" i="68"/>
  <c r="AD27" i="63"/>
  <c r="AD79" i="67"/>
  <c r="AD69" i="63"/>
  <c r="S79" i="67"/>
  <c r="AD117" i="61"/>
  <c r="AD114" i="61" s="1"/>
  <c r="S114" i="61"/>
  <c r="S79" i="61"/>
  <c r="AD80" i="61"/>
  <c r="AD79" i="61" s="1"/>
  <c r="AD49" i="60"/>
  <c r="AD41" i="60" s="1"/>
  <c r="S49" i="68"/>
  <c r="S41" i="68" s="1"/>
  <c r="AD51" i="68"/>
  <c r="AD49" i="68" s="1"/>
  <c r="AD41" i="68" s="1"/>
  <c r="S127" i="68"/>
  <c r="AD125" i="68"/>
  <c r="AD127" i="68" s="1"/>
  <c r="AD17" i="60"/>
  <c r="S62" i="64"/>
  <c r="AD66" i="64"/>
  <c r="AD62" i="64" s="1"/>
  <c r="AD80" i="64"/>
  <c r="AD79" i="64" s="1"/>
  <c r="S79" i="64"/>
  <c r="S100" i="64"/>
  <c r="AD101" i="64"/>
  <c r="AD100" i="64" s="1"/>
  <c r="S49" i="67"/>
  <c r="S41" i="67" s="1"/>
  <c r="AD53" i="67"/>
  <c r="AD49" i="67" s="1"/>
  <c r="AD41" i="67" s="1"/>
  <c r="AD72" i="67"/>
  <c r="AD69" i="67" s="1"/>
  <c r="S69" i="67"/>
  <c r="S90" i="67"/>
  <c r="AD93" i="67"/>
  <c r="AD90" i="67" s="1"/>
  <c r="S100" i="67"/>
  <c r="AD106" i="67"/>
  <c r="AD100" i="67" s="1"/>
  <c r="S17" i="68"/>
  <c r="AD18" i="68"/>
  <c r="AD17" i="68" s="1"/>
  <c r="S27" i="68"/>
  <c r="AD33" i="68"/>
  <c r="AD27" i="68" s="1"/>
  <c r="AD79" i="60"/>
  <c r="AD118" i="64"/>
  <c r="AD114" i="64" s="1"/>
  <c r="S114" i="64"/>
  <c r="AD63" i="63"/>
  <c r="AD62" i="63" s="1"/>
  <c r="S62" i="63"/>
  <c r="AD100" i="63"/>
  <c r="AD17" i="67"/>
  <c r="AD27" i="60"/>
  <c r="AD100" i="60"/>
  <c r="S8" i="63"/>
  <c r="AD9" i="63"/>
  <c r="AD8" i="63" s="1"/>
  <c r="AD62" i="60"/>
  <c r="AD17" i="61"/>
  <c r="AD90" i="63"/>
  <c r="AD114" i="63"/>
  <c r="AD127" i="64"/>
  <c r="AD49" i="69"/>
  <c r="AD41" i="69" s="1"/>
  <c r="AD100" i="61"/>
  <c r="S49" i="63"/>
  <c r="S41" i="63" s="1"/>
  <c r="AD56" i="63"/>
  <c r="AD49" i="63" s="1"/>
  <c r="AD41" i="63" s="1"/>
  <c r="AD114" i="60"/>
  <c r="AD17" i="63"/>
  <c r="S100" i="68"/>
  <c r="S90" i="61"/>
  <c r="AD18" i="64"/>
  <c r="AD17" i="64" s="1"/>
  <c r="S100" i="69"/>
  <c r="AD124" i="61"/>
  <c r="AD127" i="61" s="1"/>
  <c r="S27" i="64"/>
  <c r="S49" i="64"/>
  <c r="S41" i="64" s="1"/>
  <c r="S69" i="64"/>
  <c r="S90" i="64"/>
  <c r="S127" i="64"/>
  <c r="AD105" i="68"/>
  <c r="AD100" i="68" s="1"/>
  <c r="S69" i="68"/>
  <c r="AD35" i="64"/>
  <c r="AD27" i="64" s="1"/>
  <c r="AD54" i="64"/>
  <c r="AD49" i="64" s="1"/>
  <c r="AD41" i="64" s="1"/>
  <c r="S114" i="68"/>
  <c r="AD63" i="67"/>
  <c r="AD62" i="67" s="1"/>
  <c r="AD9" i="68"/>
  <c r="AD8" i="68" s="1"/>
  <c r="S49" i="69"/>
  <c r="S41" i="69" s="1"/>
  <c r="S69" i="69"/>
  <c r="S90" i="69"/>
  <c r="AD63" i="69"/>
  <c r="AD62" i="69" s="1"/>
  <c r="AD71" i="68"/>
  <c r="AD69" i="68" s="1"/>
  <c r="S79" i="63"/>
  <c r="AD9" i="64"/>
  <c r="AD8" i="64" s="1"/>
  <c r="S27" i="67"/>
  <c r="S17" i="69"/>
  <c r="S27" i="70"/>
  <c r="S100" i="70"/>
  <c r="AD17" i="69"/>
  <c r="S49" i="61"/>
  <c r="S41" i="61" s="1"/>
  <c r="AD27" i="69"/>
  <c r="S17" i="61"/>
  <c r="S114" i="63"/>
  <c r="S17" i="63"/>
  <c r="S69" i="63"/>
  <c r="S90" i="63"/>
  <c r="S100" i="63"/>
  <c r="AD73" i="64"/>
  <c r="AD69" i="64" s="1"/>
  <c r="AD94" i="64"/>
  <c r="AD90" i="64" s="1"/>
  <c r="AD29" i="67"/>
  <c r="AD27" i="67" s="1"/>
  <c r="S49" i="70"/>
  <c r="S41" i="70" s="1"/>
  <c r="S8" i="69"/>
  <c r="AD91" i="61"/>
  <c r="AD90" i="61" s="1"/>
  <c r="AD92" i="68"/>
  <c r="AD90" i="68" s="1"/>
  <c r="S62" i="61"/>
  <c r="S27" i="69"/>
  <c r="S69" i="70"/>
  <c r="S90" i="70"/>
  <c r="S27" i="61"/>
  <c r="AD90" i="69"/>
  <c r="S100" i="61"/>
  <c r="S27" i="63"/>
  <c r="AD70" i="61"/>
  <c r="AD69" i="61" s="1"/>
  <c r="AD100" i="69"/>
  <c r="AD63" i="61"/>
  <c r="AD62" i="61" s="1"/>
  <c r="S114" i="67"/>
  <c r="AD116" i="69"/>
  <c r="AD114" i="69" s="1"/>
  <c r="S17" i="70"/>
  <c r="BC25" i="20"/>
  <c r="BC18" i="20"/>
  <c r="BC24" i="20" s="1"/>
  <c r="AD88" i="70" l="1"/>
  <c r="AD6" i="60"/>
  <c r="AD39" i="60" s="1"/>
  <c r="AD58" i="60" s="1"/>
  <c r="AD60" i="70"/>
  <c r="AD39" i="70"/>
  <c r="AD58" i="70" s="1"/>
  <c r="S6" i="70"/>
  <c r="S39" i="70" s="1"/>
  <c r="S58" i="70" s="1"/>
  <c r="AD6" i="69"/>
  <c r="AD39" i="69" s="1"/>
  <c r="AD58" i="69" s="1"/>
  <c r="S88" i="61"/>
  <c r="S88" i="64"/>
  <c r="S6" i="69"/>
  <c r="S39" i="69" s="1"/>
  <c r="S58" i="69" s="1"/>
  <c r="S88" i="67"/>
  <c r="S88" i="69"/>
  <c r="S60" i="61"/>
  <c r="AD88" i="61"/>
  <c r="AD60" i="68"/>
  <c r="S6" i="67"/>
  <c r="S39" i="67" s="1"/>
  <c r="S58" i="67" s="1"/>
  <c r="AD60" i="60"/>
  <c r="S60" i="68"/>
  <c r="S6" i="68"/>
  <c r="S39" i="68" s="1"/>
  <c r="S58" i="68" s="1"/>
  <c r="S6" i="64"/>
  <c r="S39" i="64" s="1"/>
  <c r="S58" i="64" s="1"/>
  <c r="S60" i="69"/>
  <c r="S60" i="70"/>
  <c r="S88" i="63"/>
  <c r="S6" i="63"/>
  <c r="S39" i="63" s="1"/>
  <c r="S58" i="63" s="1"/>
  <c r="AD6" i="61"/>
  <c r="AD39" i="61" s="1"/>
  <c r="AD58" i="61" s="1"/>
  <c r="AD88" i="68"/>
  <c r="AD88" i="60"/>
  <c r="S6" i="61"/>
  <c r="S39" i="61" s="1"/>
  <c r="S58" i="61" s="1"/>
  <c r="S88" i="70"/>
  <c r="AD60" i="69"/>
  <c r="AD6" i="67"/>
  <c r="AD39" i="67" s="1"/>
  <c r="AD58" i="67" s="1"/>
  <c r="BC36" i="20"/>
  <c r="BC38" i="20" s="1"/>
  <c r="BC42" i="20" s="1"/>
  <c r="BC47" i="20" s="1"/>
  <c r="AD6" i="64"/>
  <c r="AD39" i="64" s="1"/>
  <c r="AD58" i="64" s="1"/>
  <c r="AD60" i="67"/>
  <c r="S88" i="68"/>
  <c r="AD60" i="64"/>
  <c r="AD6" i="68"/>
  <c r="AD39" i="68" s="1"/>
  <c r="AD58" i="68" s="1"/>
  <c r="S60" i="64"/>
  <c r="AD6" i="63"/>
  <c r="AD39" i="63" s="1"/>
  <c r="AD58" i="63" s="1"/>
  <c r="AD88" i="63"/>
  <c r="S60" i="63"/>
  <c r="AD88" i="67"/>
  <c r="AD60" i="63"/>
  <c r="AD88" i="64"/>
  <c r="S60" i="67"/>
  <c r="AD60" i="61"/>
  <c r="AD88" i="69"/>
  <c r="AD86" i="70" l="1"/>
  <c r="S86" i="61"/>
  <c r="S84" i="61" s="1"/>
  <c r="AD86" i="68"/>
  <c r="AD84" i="68" s="1"/>
  <c r="S86" i="68"/>
  <c r="S112" i="68" s="1"/>
  <c r="S121" i="68" s="1"/>
  <c r="S86" i="70"/>
  <c r="S112" i="70" s="1"/>
  <c r="S121" i="70" s="1"/>
  <c r="S86" i="63"/>
  <c r="S84" i="63" s="1"/>
  <c r="S86" i="69"/>
  <c r="S84" i="69" s="1"/>
  <c r="AD86" i="69"/>
  <c r="AD84" i="69" s="1"/>
  <c r="AD86" i="60"/>
  <c r="AD112" i="60" s="1"/>
  <c r="AD121" i="60" s="1"/>
  <c r="S86" i="67"/>
  <c r="S112" i="67" s="1"/>
  <c r="S121" i="67" s="1"/>
  <c r="AD86" i="67"/>
  <c r="AD84" i="67" s="1"/>
  <c r="AD86" i="63"/>
  <c r="AD84" i="63" s="1"/>
  <c r="AD86" i="64"/>
  <c r="AD112" i="64" s="1"/>
  <c r="AD121" i="64" s="1"/>
  <c r="AD86" i="61"/>
  <c r="AD112" i="61" s="1"/>
  <c r="AD121" i="61" s="1"/>
  <c r="S86" i="64"/>
  <c r="S112" i="64" s="1"/>
  <c r="S121" i="64" s="1"/>
  <c r="AD84" i="70" l="1"/>
  <c r="AD112" i="70"/>
  <c r="AD121" i="70" s="1"/>
  <c r="AD84" i="60"/>
  <c r="S84" i="70"/>
  <c r="S112" i="61"/>
  <c r="S121" i="61" s="1"/>
  <c r="AD112" i="68"/>
  <c r="AD121" i="68" s="1"/>
  <c r="S84" i="68"/>
  <c r="S112" i="63"/>
  <c r="S121" i="63" s="1"/>
  <c r="S112" i="69"/>
  <c r="S121" i="69" s="1"/>
  <c r="AD112" i="69"/>
  <c r="AD121" i="69" s="1"/>
  <c r="AD84" i="64"/>
  <c r="AD84" i="61"/>
  <c r="AD112" i="67"/>
  <c r="AD121" i="67" s="1"/>
  <c r="S84" i="67"/>
  <c r="AD112" i="63"/>
  <c r="AD121" i="63" s="1"/>
  <c r="S84" i="64"/>
  <c r="S100" i="60"/>
  <c r="S90" i="60"/>
  <c r="S69" i="60"/>
  <c r="S62" i="60"/>
  <c r="S49" i="60"/>
  <c r="S41" i="60" s="1"/>
  <c r="S27" i="60"/>
  <c r="S17" i="60"/>
  <c r="S114" i="60"/>
  <c r="S79" i="60"/>
  <c r="S8" i="60"/>
  <c r="AD125" i="59"/>
  <c r="AD124" i="59"/>
  <c r="AD119" i="59"/>
  <c r="AD118" i="59"/>
  <c r="AD117" i="59"/>
  <c r="AD116" i="59"/>
  <c r="AD110" i="59"/>
  <c r="AD109" i="59"/>
  <c r="AD108" i="59"/>
  <c r="AD107" i="59"/>
  <c r="AD105" i="59"/>
  <c r="AD104" i="59"/>
  <c r="AD103" i="59"/>
  <c r="AD102" i="59"/>
  <c r="AD101" i="59"/>
  <c r="AD99" i="59"/>
  <c r="AD98" i="59"/>
  <c r="AD97" i="59"/>
  <c r="AD96" i="59"/>
  <c r="AD95" i="59"/>
  <c r="AD94" i="59"/>
  <c r="AD92" i="59"/>
  <c r="AD91" i="59"/>
  <c r="AD82" i="59"/>
  <c r="AD81" i="59"/>
  <c r="AD80" i="59"/>
  <c r="AD78" i="59"/>
  <c r="AD77" i="59"/>
  <c r="AD76" i="59"/>
  <c r="AD75" i="59"/>
  <c r="AD74" i="59"/>
  <c r="AD73" i="59"/>
  <c r="AD71" i="59"/>
  <c r="AD70" i="59"/>
  <c r="AD68" i="59"/>
  <c r="AD67" i="59"/>
  <c r="AD66" i="59"/>
  <c r="AD65" i="59"/>
  <c r="AD64" i="59"/>
  <c r="AD56" i="59"/>
  <c r="AD55" i="59"/>
  <c r="AD54" i="59"/>
  <c r="AD53" i="59"/>
  <c r="AD52" i="59"/>
  <c r="AD51" i="59"/>
  <c r="AD48" i="59"/>
  <c r="AD47" i="59"/>
  <c r="AD46" i="59"/>
  <c r="AD45" i="59"/>
  <c r="AD43" i="59"/>
  <c r="AD37" i="59"/>
  <c r="AD36" i="59"/>
  <c r="AD35" i="59"/>
  <c r="AD34" i="59"/>
  <c r="AD33" i="59"/>
  <c r="AD32" i="59"/>
  <c r="AD31" i="59"/>
  <c r="AD30" i="59"/>
  <c r="AD25" i="59"/>
  <c r="AD24" i="59"/>
  <c r="AD23" i="59"/>
  <c r="AD22" i="59"/>
  <c r="AD21" i="59"/>
  <c r="AD20" i="59"/>
  <c r="AD19" i="59"/>
  <c r="AD18" i="59"/>
  <c r="AD16" i="59"/>
  <c r="AD15" i="59"/>
  <c r="AD14" i="59"/>
  <c r="AD13" i="59"/>
  <c r="AD12" i="59"/>
  <c r="AD11" i="59"/>
  <c r="AD10" i="59"/>
  <c r="AD9" i="59"/>
  <c r="AD125" i="58"/>
  <c r="AD124" i="58"/>
  <c r="AD119" i="58"/>
  <c r="AD118" i="58"/>
  <c r="AD117" i="58"/>
  <c r="AD110" i="58"/>
  <c r="AD109" i="58"/>
  <c r="AD108" i="58"/>
  <c r="AD107" i="58"/>
  <c r="AD106" i="58"/>
  <c r="AD105" i="58"/>
  <c r="AD104" i="58"/>
  <c r="AD103" i="58"/>
  <c r="AD102" i="58"/>
  <c r="AD99" i="58"/>
  <c r="AD98" i="58"/>
  <c r="AD97" i="58"/>
  <c r="AD96" i="58"/>
  <c r="AD95" i="58"/>
  <c r="AD94" i="58"/>
  <c r="AD93" i="58"/>
  <c r="AD92" i="58"/>
  <c r="AD82" i="58"/>
  <c r="AD81" i="58"/>
  <c r="AD80" i="58"/>
  <c r="AD78" i="58"/>
  <c r="AD77" i="58"/>
  <c r="AD76" i="58"/>
  <c r="AD75" i="58"/>
  <c r="AD73" i="58"/>
  <c r="AD72" i="58"/>
  <c r="AD71" i="58"/>
  <c r="AD70" i="58"/>
  <c r="AD68" i="58"/>
  <c r="AD67" i="58"/>
  <c r="AD66" i="58"/>
  <c r="AD65" i="58"/>
  <c r="AD64" i="58"/>
  <c r="AD56" i="58"/>
  <c r="AD55" i="58"/>
  <c r="AD54" i="58"/>
  <c r="AD53" i="58"/>
  <c r="AD52" i="58"/>
  <c r="AD51" i="58"/>
  <c r="AD50" i="58"/>
  <c r="AD48" i="58"/>
  <c r="AD47" i="58"/>
  <c r="AD46" i="58"/>
  <c r="AD45" i="58"/>
  <c r="AD43" i="58"/>
  <c r="AD37" i="58"/>
  <c r="AD35" i="58"/>
  <c r="AD34" i="58"/>
  <c r="AD33" i="58"/>
  <c r="AD32" i="58"/>
  <c r="AD31" i="58"/>
  <c r="AD30" i="58"/>
  <c r="AD29" i="58"/>
  <c r="AD25" i="58"/>
  <c r="AD24" i="58"/>
  <c r="AD23" i="58"/>
  <c r="AD22" i="58"/>
  <c r="AD21" i="58"/>
  <c r="AD20" i="58"/>
  <c r="AD19" i="58"/>
  <c r="AD18" i="58"/>
  <c r="AD16" i="58"/>
  <c r="AD15" i="58"/>
  <c r="AD14" i="58"/>
  <c r="AD13" i="58"/>
  <c r="AD12" i="58"/>
  <c r="AD11" i="58"/>
  <c r="AD10" i="58"/>
  <c r="AD125" i="57"/>
  <c r="AD124" i="57"/>
  <c r="AD119" i="57"/>
  <c r="AD118" i="57"/>
  <c r="AD117" i="57"/>
  <c r="AD116" i="57"/>
  <c r="AD110" i="57"/>
  <c r="AD109" i="57"/>
  <c r="AD108" i="57"/>
  <c r="AD107" i="57"/>
  <c r="AD106" i="57"/>
  <c r="AD104" i="57"/>
  <c r="AD103" i="57"/>
  <c r="AD102" i="57"/>
  <c r="AD101" i="57"/>
  <c r="AD99" i="57"/>
  <c r="AD98" i="57"/>
  <c r="AD97" i="57"/>
  <c r="AD96" i="57"/>
  <c r="AD95" i="57"/>
  <c r="AD94" i="57"/>
  <c r="AD93" i="57"/>
  <c r="AD91" i="57"/>
  <c r="AD82" i="57"/>
  <c r="AD81" i="57"/>
  <c r="AD80" i="57"/>
  <c r="AD78" i="57"/>
  <c r="AD77" i="57"/>
  <c r="AD76" i="57"/>
  <c r="AD75" i="57"/>
  <c r="AD74" i="57"/>
  <c r="AD73" i="57"/>
  <c r="AD72" i="57"/>
  <c r="AD70" i="57"/>
  <c r="AD68" i="57"/>
  <c r="AD67" i="57"/>
  <c r="AD66" i="57"/>
  <c r="AD65" i="57"/>
  <c r="AD64" i="57"/>
  <c r="AD56" i="57"/>
  <c r="AD55" i="57"/>
  <c r="AD54" i="57"/>
  <c r="AD53" i="57"/>
  <c r="AD51" i="57"/>
  <c r="AD50" i="57"/>
  <c r="AD48" i="57"/>
  <c r="AD47" i="57"/>
  <c r="AD46" i="57"/>
  <c r="AD45" i="57"/>
  <c r="AD43" i="57"/>
  <c r="AD37" i="57"/>
  <c r="AD36" i="57"/>
  <c r="AD35" i="57"/>
  <c r="AD34" i="57"/>
  <c r="AD33" i="57"/>
  <c r="AD32" i="57"/>
  <c r="AD31" i="57"/>
  <c r="AD30" i="57"/>
  <c r="AD29" i="57"/>
  <c r="AD25" i="57"/>
  <c r="AD24" i="57"/>
  <c r="AD23" i="57"/>
  <c r="AD22" i="57"/>
  <c r="AD21" i="57"/>
  <c r="AD20" i="57"/>
  <c r="AD19" i="57"/>
  <c r="AD18" i="57"/>
  <c r="AD16" i="57"/>
  <c r="AD15" i="57"/>
  <c r="AD14" i="57"/>
  <c r="AD13" i="57"/>
  <c r="AD12" i="57"/>
  <c r="AD11" i="57"/>
  <c r="AD10" i="57"/>
  <c r="AD9" i="57"/>
  <c r="AD124" i="56"/>
  <c r="AD119" i="56"/>
  <c r="AD118" i="56"/>
  <c r="AD116" i="56"/>
  <c r="AD110" i="56"/>
  <c r="AD109" i="56"/>
  <c r="AD108" i="56"/>
  <c r="AD107" i="56"/>
  <c r="AD106" i="56"/>
  <c r="AD104" i="56"/>
  <c r="AD103" i="56"/>
  <c r="AD102" i="56"/>
  <c r="AD101" i="56"/>
  <c r="AD99" i="56"/>
  <c r="AD98" i="56"/>
  <c r="AD97" i="56"/>
  <c r="AD96" i="56"/>
  <c r="AD95" i="56"/>
  <c r="AD94" i="56"/>
  <c r="AD93" i="56"/>
  <c r="AD92" i="56"/>
  <c r="AD91" i="56"/>
  <c r="AD82" i="56"/>
  <c r="AD81" i="56"/>
  <c r="AD80" i="56"/>
  <c r="AD78" i="56"/>
  <c r="AD77" i="56"/>
  <c r="AD76" i="56"/>
  <c r="AD75" i="56"/>
  <c r="AD74" i="56"/>
  <c r="AD73" i="56"/>
  <c r="AD72" i="56"/>
  <c r="AD71" i="56"/>
  <c r="AD70" i="56"/>
  <c r="AD68" i="56"/>
  <c r="AD67" i="56"/>
  <c r="AD66" i="56"/>
  <c r="AD65" i="56"/>
  <c r="AD64" i="56"/>
  <c r="AD56" i="56"/>
  <c r="AD55" i="56"/>
  <c r="AD54" i="56"/>
  <c r="AD53" i="56"/>
  <c r="AD51" i="56"/>
  <c r="AD50" i="56"/>
  <c r="AD48" i="56"/>
  <c r="AD47" i="56"/>
  <c r="AD46" i="56"/>
  <c r="AD45" i="56"/>
  <c r="AD43" i="56"/>
  <c r="AD37" i="56"/>
  <c r="AD36" i="56"/>
  <c r="AD35" i="56"/>
  <c r="AD34" i="56"/>
  <c r="AD33" i="56"/>
  <c r="AD32" i="56"/>
  <c r="AD31" i="56"/>
  <c r="AD30" i="56"/>
  <c r="AD29" i="56"/>
  <c r="AD25" i="56"/>
  <c r="AD24" i="56"/>
  <c r="AD23" i="56"/>
  <c r="AD22" i="56"/>
  <c r="AD21" i="56"/>
  <c r="AD20" i="56"/>
  <c r="AD19" i="56"/>
  <c r="AD18" i="56"/>
  <c r="AD16" i="56"/>
  <c r="AD15" i="56"/>
  <c r="AD14" i="56"/>
  <c r="AD13" i="56"/>
  <c r="AD12" i="56"/>
  <c r="AD11" i="56"/>
  <c r="AD10" i="56"/>
  <c r="AD9" i="56"/>
  <c r="AD125" i="55"/>
  <c r="AD43" i="55"/>
  <c r="AD124" i="55"/>
  <c r="AD119" i="55"/>
  <c r="AD118" i="55"/>
  <c r="AD117" i="55"/>
  <c r="AD116" i="55"/>
  <c r="AD110" i="55"/>
  <c r="AD109" i="55"/>
  <c r="AD108" i="55"/>
  <c r="AD107" i="55"/>
  <c r="AD106" i="55"/>
  <c r="AD105" i="55"/>
  <c r="AD104" i="55"/>
  <c r="AD103" i="55"/>
  <c r="AD102" i="55"/>
  <c r="AD101" i="55"/>
  <c r="AD99" i="55"/>
  <c r="AD98" i="55"/>
  <c r="AD97" i="55"/>
  <c r="AD96" i="55"/>
  <c r="AD95" i="55"/>
  <c r="AD94" i="55"/>
  <c r="AD93" i="55"/>
  <c r="AD92" i="55"/>
  <c r="AD91" i="55"/>
  <c r="AD82" i="55"/>
  <c r="AD81" i="55"/>
  <c r="AD80" i="55"/>
  <c r="AD78" i="55"/>
  <c r="AD77" i="55"/>
  <c r="AD76" i="55"/>
  <c r="AD75" i="55"/>
  <c r="AD74" i="55"/>
  <c r="AD73" i="55"/>
  <c r="AD72" i="55"/>
  <c r="AD71" i="55"/>
  <c r="AD70" i="55"/>
  <c r="AD68" i="55"/>
  <c r="AD67" i="55"/>
  <c r="AD66" i="55"/>
  <c r="AD65" i="55"/>
  <c r="AD64" i="55"/>
  <c r="AD63" i="55"/>
  <c r="AD56" i="55"/>
  <c r="AD55" i="55"/>
  <c r="AD54" i="55"/>
  <c r="AD53" i="55"/>
  <c r="AD52" i="55"/>
  <c r="AD51" i="55"/>
  <c r="AD50" i="55"/>
  <c r="AD48" i="55"/>
  <c r="AD47" i="55"/>
  <c r="AD46" i="55"/>
  <c r="AD45" i="55"/>
  <c r="AD37" i="55"/>
  <c r="AD36" i="55"/>
  <c r="AD35" i="55"/>
  <c r="AD34" i="55"/>
  <c r="AD33" i="55"/>
  <c r="AD32" i="55"/>
  <c r="AD31" i="55"/>
  <c r="AD30" i="55"/>
  <c r="AD29" i="55"/>
  <c r="AD25" i="55"/>
  <c r="AD24" i="55"/>
  <c r="AD23" i="55"/>
  <c r="AD22" i="55"/>
  <c r="AD21" i="55"/>
  <c r="AD20" i="55"/>
  <c r="AD19" i="55"/>
  <c r="AD16" i="55"/>
  <c r="AD15" i="55"/>
  <c r="AD14" i="55"/>
  <c r="AD13" i="55"/>
  <c r="AD12" i="55"/>
  <c r="AD11" i="55"/>
  <c r="AD10" i="55"/>
  <c r="AD9" i="55"/>
  <c r="AK64" i="13"/>
  <c r="AL64" i="13"/>
  <c r="AM64" i="13"/>
  <c r="AN64" i="13"/>
  <c r="AO64" i="13"/>
  <c r="AP64" i="13"/>
  <c r="AQ64" i="13"/>
  <c r="AR64" i="13"/>
  <c r="AS64" i="13"/>
  <c r="AT64" i="13"/>
  <c r="AU64" i="13"/>
  <c r="AJ64" i="13"/>
  <c r="AK54" i="13"/>
  <c r="AL54" i="13"/>
  <c r="AM54" i="13"/>
  <c r="AN54" i="13"/>
  <c r="AO54" i="13"/>
  <c r="AP54" i="13"/>
  <c r="AQ54" i="13"/>
  <c r="AR54" i="13"/>
  <c r="AS54" i="13"/>
  <c r="AT54" i="13"/>
  <c r="AU54" i="13"/>
  <c r="AC44" i="13"/>
  <c r="AD44" i="13"/>
  <c r="AE44" i="13"/>
  <c r="AF44" i="13"/>
  <c r="AG44" i="13"/>
  <c r="AH44" i="13"/>
  <c r="AI44" i="13"/>
  <c r="AJ44" i="13"/>
  <c r="AK44" i="13"/>
  <c r="AL44" i="13"/>
  <c r="AM44" i="13"/>
  <c r="AN44" i="13"/>
  <c r="AO44" i="13"/>
  <c r="AP44" i="13"/>
  <c r="AQ44" i="13"/>
  <c r="AR44" i="13"/>
  <c r="AS44" i="13"/>
  <c r="AT44" i="13"/>
  <c r="AU44" i="13"/>
  <c r="AB44" i="13"/>
  <c r="AC34" i="13"/>
  <c r="AD34" i="13"/>
  <c r="AE34" i="13"/>
  <c r="AF34" i="13"/>
  <c r="AG34" i="13"/>
  <c r="AH34" i="13"/>
  <c r="AI34" i="13"/>
  <c r="AJ34" i="13"/>
  <c r="AK34" i="13"/>
  <c r="AL34" i="13"/>
  <c r="AM34" i="13"/>
  <c r="AN34" i="13"/>
  <c r="AO34" i="13"/>
  <c r="AP34" i="13"/>
  <c r="AR34" i="13"/>
  <c r="AS34" i="13"/>
  <c r="AT34" i="13"/>
  <c r="AU34" i="13"/>
  <c r="AB34" i="13"/>
  <c r="AH24" i="13"/>
  <c r="AI24" i="13"/>
  <c r="AJ24" i="13"/>
  <c r="AK24" i="13"/>
  <c r="AL24" i="13"/>
  <c r="AM24" i="13"/>
  <c r="AN24" i="13"/>
  <c r="AO24" i="13"/>
  <c r="AP24" i="13"/>
  <c r="AQ24" i="13"/>
  <c r="AR24" i="13"/>
  <c r="AS24" i="13"/>
  <c r="AT24" i="13"/>
  <c r="AU24" i="13"/>
  <c r="AG24" i="13"/>
  <c r="AG13" i="13"/>
  <c r="AC13" i="13"/>
  <c r="AD13" i="13"/>
  <c r="AE13" i="13"/>
  <c r="AF13" i="13"/>
  <c r="AH13" i="13"/>
  <c r="AI13" i="13"/>
  <c r="AJ13" i="13"/>
  <c r="AK13" i="13"/>
  <c r="AL13" i="13"/>
  <c r="AM13" i="13"/>
  <c r="AN13" i="13"/>
  <c r="AO13" i="13"/>
  <c r="AP13" i="13"/>
  <c r="AQ13" i="13"/>
  <c r="AR13" i="13"/>
  <c r="AS13" i="13"/>
  <c r="AT13" i="13"/>
  <c r="AU13" i="13"/>
  <c r="AB13" i="13"/>
  <c r="S8" i="56" l="1"/>
  <c r="S8" i="58"/>
  <c r="AD8" i="59"/>
  <c r="S62" i="57"/>
  <c r="AD114" i="57"/>
  <c r="S49" i="59"/>
  <c r="S41" i="59" s="1"/>
  <c r="AD127" i="59"/>
  <c r="AD9" i="58"/>
  <c r="AD8" i="58" s="1"/>
  <c r="S88" i="60"/>
  <c r="S69" i="56"/>
  <c r="S127" i="56"/>
  <c r="S27" i="59"/>
  <c r="AD17" i="58"/>
  <c r="S79" i="58"/>
  <c r="AD127" i="57"/>
  <c r="S90" i="58"/>
  <c r="AD114" i="55"/>
  <c r="S114" i="56"/>
  <c r="S62" i="59"/>
  <c r="AD8" i="56"/>
  <c r="AD127" i="55"/>
  <c r="S62" i="58"/>
  <c r="AD114" i="59"/>
  <c r="AD79" i="59"/>
  <c r="AD8" i="57"/>
  <c r="AD79" i="58"/>
  <c r="AD8" i="55"/>
  <c r="AD62" i="55"/>
  <c r="AD27" i="57"/>
  <c r="AD79" i="57"/>
  <c r="AD17" i="59"/>
  <c r="AD90" i="55"/>
  <c r="AD100" i="55"/>
  <c r="AD27" i="55"/>
  <c r="AD17" i="57"/>
  <c r="AD49" i="58"/>
  <c r="AD41" i="58" s="1"/>
  <c r="S27" i="55"/>
  <c r="S79" i="56"/>
  <c r="S27" i="56"/>
  <c r="S114" i="55"/>
  <c r="S8" i="57"/>
  <c r="S8" i="59"/>
  <c r="AD117" i="56"/>
  <c r="AD114" i="56" s="1"/>
  <c r="AD127" i="58"/>
  <c r="AD69" i="55"/>
  <c r="AD29" i="59"/>
  <c r="AD27" i="59" s="1"/>
  <c r="S27" i="58"/>
  <c r="S69" i="58"/>
  <c r="S69" i="55"/>
  <c r="S90" i="55"/>
  <c r="S100" i="55"/>
  <c r="AD125" i="56"/>
  <c r="AD127" i="56" s="1"/>
  <c r="S62" i="55"/>
  <c r="S79" i="57"/>
  <c r="S114" i="58"/>
  <c r="AD63" i="58"/>
  <c r="AD62" i="58" s="1"/>
  <c r="S79" i="59"/>
  <c r="S127" i="59"/>
  <c r="S127" i="58"/>
  <c r="AD63" i="59"/>
  <c r="AD62" i="59" s="1"/>
  <c r="AD50" i="59"/>
  <c r="AD49" i="59" s="1"/>
  <c r="AD41" i="59" s="1"/>
  <c r="S127" i="55"/>
  <c r="S114" i="57"/>
  <c r="S17" i="57"/>
  <c r="S49" i="57"/>
  <c r="S41" i="57" s="1"/>
  <c r="S69" i="57"/>
  <c r="S90" i="57"/>
  <c r="S100" i="57"/>
  <c r="S127" i="57"/>
  <c r="AD52" i="57"/>
  <c r="AD49" i="57" s="1"/>
  <c r="AD41" i="57" s="1"/>
  <c r="S114" i="59"/>
  <c r="S17" i="59"/>
  <c r="S69" i="59"/>
  <c r="S90" i="59"/>
  <c r="S100" i="59"/>
  <c r="AD79" i="55"/>
  <c r="AD63" i="57"/>
  <c r="AD62" i="57" s="1"/>
  <c r="AD49" i="55"/>
  <c r="AD41" i="55" s="1"/>
  <c r="S49" i="58"/>
  <c r="S41" i="58" s="1"/>
  <c r="AD36" i="58"/>
  <c r="AD27" i="58" s="1"/>
  <c r="S49" i="55"/>
  <c r="S41" i="55" s="1"/>
  <c r="S49" i="56"/>
  <c r="S41" i="56" s="1"/>
  <c r="AD74" i="58"/>
  <c r="AD69" i="58" s="1"/>
  <c r="S79" i="55"/>
  <c r="S8" i="55"/>
  <c r="AD71" i="57"/>
  <c r="AD69" i="57" s="1"/>
  <c r="AD92" i="57"/>
  <c r="AD90" i="57" s="1"/>
  <c r="S100" i="58"/>
  <c r="AD72" i="59"/>
  <c r="AD69" i="59" s="1"/>
  <c r="AD93" i="59"/>
  <c r="AD90" i="59" s="1"/>
  <c r="AD17" i="56"/>
  <c r="AD91" i="58"/>
  <c r="AD90" i="58" s="1"/>
  <c r="S17" i="58"/>
  <c r="S17" i="55"/>
  <c r="S100" i="56"/>
  <c r="S62" i="56"/>
  <c r="AD105" i="57"/>
  <c r="AD100" i="57" s="1"/>
  <c r="AD116" i="58"/>
  <c r="AD114" i="58" s="1"/>
  <c r="AD106" i="59"/>
  <c r="AD100" i="59" s="1"/>
  <c r="AD79" i="56"/>
  <c r="S27" i="57"/>
  <c r="AD18" i="55"/>
  <c r="AD17" i="55" s="1"/>
  <c r="S17" i="56"/>
  <c r="S6" i="56" s="1"/>
  <c r="AD101" i="58"/>
  <c r="AD100" i="58" s="1"/>
  <c r="S6" i="60"/>
  <c r="S39" i="60" s="1"/>
  <c r="S58" i="60" s="1"/>
  <c r="S60" i="60"/>
  <c r="AD69" i="56"/>
  <c r="AD52" i="56"/>
  <c r="AD49" i="56" s="1"/>
  <c r="AD41" i="56" s="1"/>
  <c r="S90" i="56"/>
  <c r="AD63" i="56"/>
  <c r="AD62" i="56" s="1"/>
  <c r="AD27" i="56"/>
  <c r="AD105" i="56"/>
  <c r="AD100" i="56" s="1"/>
  <c r="AD90" i="56"/>
  <c r="BB83" i="13"/>
  <c r="BA83" i="13"/>
  <c r="AZ83" i="13"/>
  <c r="AY83" i="13"/>
  <c r="AX83" i="13"/>
  <c r="AW83" i="13"/>
  <c r="AL83" i="13"/>
  <c r="AK83" i="13"/>
  <c r="AJ83" i="13"/>
  <c r="AI83" i="13"/>
  <c r="AH83" i="13"/>
  <c r="AG83" i="13"/>
  <c r="AF83" i="13"/>
  <c r="AE83" i="13"/>
  <c r="AD83" i="13"/>
  <c r="AC83" i="13"/>
  <c r="AB83" i="13"/>
  <c r="BB82" i="13"/>
  <c r="BA82" i="13"/>
  <c r="AZ82" i="13"/>
  <c r="AY82" i="13"/>
  <c r="AX82" i="13"/>
  <c r="AW82" i="13"/>
  <c r="AT82" i="13"/>
  <c r="AS82" i="13"/>
  <c r="AR82" i="13"/>
  <c r="AP82" i="13"/>
  <c r="AO82" i="13"/>
  <c r="AN82" i="13"/>
  <c r="AM82" i="13"/>
  <c r="AL82" i="13"/>
  <c r="AK82" i="13"/>
  <c r="AI82" i="13"/>
  <c r="AH82" i="13"/>
  <c r="AG82" i="13"/>
  <c r="AF82" i="13"/>
  <c r="AE82" i="13"/>
  <c r="AD82" i="13"/>
  <c r="AC82" i="13"/>
  <c r="AB82" i="13"/>
  <c r="BB80" i="13"/>
  <c r="BA80" i="13"/>
  <c r="AZ80" i="13"/>
  <c r="AX80" i="13"/>
  <c r="AW80" i="13"/>
  <c r="AT80" i="13"/>
  <c r="AS80" i="13"/>
  <c r="AR80" i="13"/>
  <c r="AQ80" i="13"/>
  <c r="AP80" i="13"/>
  <c r="AO80" i="13"/>
  <c r="AN80" i="13"/>
  <c r="AM80" i="13"/>
  <c r="AL80" i="13"/>
  <c r="AK80" i="13"/>
  <c r="AJ80" i="13"/>
  <c r="AI80" i="13"/>
  <c r="AH80" i="13"/>
  <c r="AG80" i="13"/>
  <c r="AF80" i="13"/>
  <c r="AE80" i="13"/>
  <c r="AD80" i="13"/>
  <c r="AC80" i="13"/>
  <c r="AB80" i="13"/>
  <c r="BB79" i="13"/>
  <c r="BA79" i="13"/>
  <c r="AZ79" i="13"/>
  <c r="AY79" i="13"/>
  <c r="AX79" i="13"/>
  <c r="AW79" i="13"/>
  <c r="AT79" i="13"/>
  <c r="AS79" i="13"/>
  <c r="AR79" i="13"/>
  <c r="AQ79" i="13"/>
  <c r="AP79" i="13"/>
  <c r="AO79" i="13"/>
  <c r="AN79" i="13"/>
  <c r="AM79" i="13"/>
  <c r="AL79" i="13"/>
  <c r="AK79" i="13"/>
  <c r="AJ79" i="13"/>
  <c r="AI79" i="13"/>
  <c r="AH79" i="13"/>
  <c r="AG79" i="13"/>
  <c r="AF79" i="13"/>
  <c r="AE79" i="13"/>
  <c r="AD79" i="13"/>
  <c r="AC79" i="13"/>
  <c r="AB79" i="13"/>
  <c r="BB78" i="13"/>
  <c r="BA78" i="13"/>
  <c r="AZ78" i="13"/>
  <c r="AY78" i="13"/>
  <c r="AX78" i="13"/>
  <c r="AW78" i="13"/>
  <c r="AT78" i="13"/>
  <c r="AS78" i="13"/>
  <c r="AR78" i="13"/>
  <c r="AQ78" i="13"/>
  <c r="AP78" i="13"/>
  <c r="AO78" i="13"/>
  <c r="AN78" i="13"/>
  <c r="AM78" i="13"/>
  <c r="AL78" i="13"/>
  <c r="AK78" i="13"/>
  <c r="AJ78" i="13"/>
  <c r="AI78" i="13"/>
  <c r="AH78" i="13"/>
  <c r="AG78" i="13"/>
  <c r="AF78" i="13"/>
  <c r="AE78" i="13"/>
  <c r="AD78" i="13"/>
  <c r="AC78" i="13"/>
  <c r="AB78" i="13"/>
  <c r="BA77" i="13"/>
  <c r="AZ77" i="13"/>
  <c r="AY77" i="13"/>
  <c r="AX77" i="13"/>
  <c r="AW77" i="13"/>
  <c r="AV77" i="13"/>
  <c r="AU77" i="13"/>
  <c r="AT77" i="13"/>
  <c r="AS77" i="13"/>
  <c r="AU74" i="13"/>
  <c r="AT74" i="13"/>
  <c r="AS74" i="13"/>
  <c r="AN74" i="13"/>
  <c r="BB70" i="13"/>
  <c r="BB73" i="13" s="1"/>
  <c r="BA70" i="13"/>
  <c r="BA73" i="13" s="1"/>
  <c r="AZ70" i="13"/>
  <c r="AZ73" i="13" s="1"/>
  <c r="AX70" i="13"/>
  <c r="AX73" i="13" s="1"/>
  <c r="AW70" i="13"/>
  <c r="AW73" i="13" s="1"/>
  <c r="AV70" i="13"/>
  <c r="AV73" i="13" s="1"/>
  <c r="AU70" i="13"/>
  <c r="AT70" i="13"/>
  <c r="AS70" i="13"/>
  <c r="AR70" i="13"/>
  <c r="AQ70" i="13"/>
  <c r="AP70" i="13"/>
  <c r="AO70" i="13"/>
  <c r="AN70" i="13"/>
  <c r="AM70" i="13"/>
  <c r="AY69" i="13"/>
  <c r="AY80" i="13" s="1"/>
  <c r="BB61" i="13"/>
  <c r="BB63" i="13" s="1"/>
  <c r="BA61" i="13"/>
  <c r="BA63" i="13" s="1"/>
  <c r="AZ61" i="13"/>
  <c r="AZ63" i="13" s="1"/>
  <c r="AY61" i="13"/>
  <c r="AY63" i="13" s="1"/>
  <c r="AX61" i="13"/>
  <c r="AX63" i="13" s="1"/>
  <c r="AW61" i="13"/>
  <c r="AW63" i="13" s="1"/>
  <c r="AV61" i="13"/>
  <c r="AU61" i="13"/>
  <c r="AU63" i="13" s="1"/>
  <c r="AT61" i="13"/>
  <c r="AT63" i="13" s="1"/>
  <c r="AS61" i="13"/>
  <c r="AS63" i="13" s="1"/>
  <c r="AR61" i="13"/>
  <c r="AR63" i="13" s="1"/>
  <c r="AQ61" i="13"/>
  <c r="AP61" i="13"/>
  <c r="AP63" i="13" s="1"/>
  <c r="AO61" i="13"/>
  <c r="AO63" i="13" s="1"/>
  <c r="AN61" i="13"/>
  <c r="AN63" i="13" s="1"/>
  <c r="AM61" i="13"/>
  <c r="AM63" i="13" s="1"/>
  <c r="AL61" i="13"/>
  <c r="AL63" i="13" s="1"/>
  <c r="AK61" i="13"/>
  <c r="AJ61" i="13"/>
  <c r="AJ63" i="13" s="1"/>
  <c r="AI61" i="13"/>
  <c r="AI63" i="13" s="1"/>
  <c r="BA57" i="13"/>
  <c r="BA67" i="13" s="1"/>
  <c r="AZ57" i="13"/>
  <c r="AZ67" i="13" s="1"/>
  <c r="AY57" i="13"/>
  <c r="AY67" i="13" s="1"/>
  <c r="AX57" i="13"/>
  <c r="AX67" i="13" s="1"/>
  <c r="AW57" i="13"/>
  <c r="AW67" i="13" s="1"/>
  <c r="AV57" i="13"/>
  <c r="AV67" i="13" s="1"/>
  <c r="AU57" i="13"/>
  <c r="AU67" i="13" s="1"/>
  <c r="AT57" i="13"/>
  <c r="AT67" i="13" s="1"/>
  <c r="AS57" i="13"/>
  <c r="AS67" i="13" s="1"/>
  <c r="AJ51" i="13"/>
  <c r="AJ54" i="13" s="1"/>
  <c r="BB50" i="13"/>
  <c r="BA50" i="13"/>
  <c r="BA53" i="13" s="1"/>
  <c r="AZ50" i="13"/>
  <c r="AZ53" i="13" s="1"/>
  <c r="AY50" i="13"/>
  <c r="AY53" i="13" s="1"/>
  <c r="AX50" i="13"/>
  <c r="AX53" i="13" s="1"/>
  <c r="AW50" i="13"/>
  <c r="AW53" i="13" s="1"/>
  <c r="AV50" i="13"/>
  <c r="AV53" i="13" s="1"/>
  <c r="AU50" i="13"/>
  <c r="AU53" i="13" s="1"/>
  <c r="AT50" i="13"/>
  <c r="AT53" i="13" s="1"/>
  <c r="AS50" i="13"/>
  <c r="AS53" i="13" s="1"/>
  <c r="AR50" i="13"/>
  <c r="AR53" i="13" s="1"/>
  <c r="AQ50" i="13"/>
  <c r="AQ53" i="13" s="1"/>
  <c r="AP50" i="13"/>
  <c r="AP53" i="13" s="1"/>
  <c r="AO50" i="13"/>
  <c r="AO53" i="13" s="1"/>
  <c r="AN50" i="13"/>
  <c r="AN53" i="13" s="1"/>
  <c r="AM50" i="13"/>
  <c r="AM53" i="13" s="1"/>
  <c r="AL50" i="13"/>
  <c r="AL53" i="13" s="1"/>
  <c r="AK50" i="13"/>
  <c r="AK53" i="13" s="1"/>
  <c r="AJ50" i="13"/>
  <c r="AI50" i="13"/>
  <c r="AI53" i="13" s="1"/>
  <c r="AH50" i="13"/>
  <c r="AH53" i="13" s="1"/>
  <c r="BA47" i="13"/>
  <c r="AZ47" i="13"/>
  <c r="AY47" i="13"/>
  <c r="AX47" i="13"/>
  <c r="AW47" i="13"/>
  <c r="AV47" i="13"/>
  <c r="AU47" i="13"/>
  <c r="AT47" i="13"/>
  <c r="AS47" i="13"/>
  <c r="AH85" i="13"/>
  <c r="AF85" i="13"/>
  <c r="AC85" i="13"/>
  <c r="Y43" i="13"/>
  <c r="X43" i="13"/>
  <c r="W43" i="13"/>
  <c r="V43" i="13"/>
  <c r="U43" i="13"/>
  <c r="T43" i="13"/>
  <c r="BB40" i="13"/>
  <c r="BB43" i="13" s="1"/>
  <c r="BA40" i="13"/>
  <c r="BA43" i="13" s="1"/>
  <c r="AZ40" i="13"/>
  <c r="AZ43" i="13" s="1"/>
  <c r="AY40" i="13"/>
  <c r="AY43" i="13" s="1"/>
  <c r="AX40" i="13"/>
  <c r="AX43" i="13" s="1"/>
  <c r="AW40" i="13"/>
  <c r="AW43" i="13" s="1"/>
  <c r="AV40" i="13"/>
  <c r="AV43" i="13" s="1"/>
  <c r="AU40" i="13"/>
  <c r="AU43" i="13" s="1"/>
  <c r="AT40" i="13"/>
  <c r="AT43" i="13" s="1"/>
  <c r="AS40" i="13"/>
  <c r="AS43" i="13" s="1"/>
  <c r="AR40" i="13"/>
  <c r="AR43" i="13" s="1"/>
  <c r="AQ40" i="13"/>
  <c r="AQ43" i="13" s="1"/>
  <c r="AP40" i="13"/>
  <c r="AP43" i="13" s="1"/>
  <c r="AO40" i="13"/>
  <c r="AO43" i="13" s="1"/>
  <c r="AN40" i="13"/>
  <c r="AN43" i="13" s="1"/>
  <c r="AM40" i="13"/>
  <c r="AM43" i="13" s="1"/>
  <c r="AL40" i="13"/>
  <c r="AL43" i="13" s="1"/>
  <c r="AK40" i="13"/>
  <c r="AK43" i="13" s="1"/>
  <c r="AJ40" i="13"/>
  <c r="AJ43" i="13" s="1"/>
  <c r="AI40" i="13"/>
  <c r="AI43" i="13" s="1"/>
  <c r="AH40" i="13"/>
  <c r="AH43" i="13" s="1"/>
  <c r="AG40" i="13"/>
  <c r="AG43" i="13" s="1"/>
  <c r="AF40" i="13"/>
  <c r="AF43" i="13" s="1"/>
  <c r="AE40" i="13"/>
  <c r="AE43" i="13" s="1"/>
  <c r="AD40" i="13"/>
  <c r="AD43" i="13" s="1"/>
  <c r="AC40" i="13"/>
  <c r="AC43" i="13" s="1"/>
  <c r="AB40" i="13"/>
  <c r="AB43" i="13" s="1"/>
  <c r="AA40" i="13"/>
  <c r="AA43" i="13" s="1"/>
  <c r="Z40" i="13"/>
  <c r="BA37" i="13"/>
  <c r="AZ37" i="13"/>
  <c r="AY37" i="13"/>
  <c r="AX37" i="13"/>
  <c r="AW37" i="13"/>
  <c r="AV37" i="13"/>
  <c r="AU37" i="13"/>
  <c r="AT37" i="13"/>
  <c r="AS37" i="13"/>
  <c r="BB30" i="13"/>
  <c r="BB33" i="13" s="1"/>
  <c r="BA30" i="13"/>
  <c r="BA33" i="13" s="1"/>
  <c r="AZ30" i="13"/>
  <c r="AZ33" i="13" s="1"/>
  <c r="AY30" i="13"/>
  <c r="AY33" i="13" s="1"/>
  <c r="AX30" i="13"/>
  <c r="AX33" i="13" s="1"/>
  <c r="AW30" i="13"/>
  <c r="AW33" i="13" s="1"/>
  <c r="AV30" i="13"/>
  <c r="AV33" i="13" s="1"/>
  <c r="AU30" i="13"/>
  <c r="AU33" i="13" s="1"/>
  <c r="AT30" i="13"/>
  <c r="AT33" i="13" s="1"/>
  <c r="AS30" i="13"/>
  <c r="AS33" i="13" s="1"/>
  <c r="AR30" i="13"/>
  <c r="AR33" i="13" s="1"/>
  <c r="AQ30" i="13"/>
  <c r="AP30" i="13"/>
  <c r="AP33" i="13" s="1"/>
  <c r="AO30" i="13"/>
  <c r="AO33" i="13" s="1"/>
  <c r="AN30" i="13"/>
  <c r="AN33" i="13" s="1"/>
  <c r="AM30" i="13"/>
  <c r="AM33" i="13" s="1"/>
  <c r="AL30" i="13"/>
  <c r="AL33" i="13" s="1"/>
  <c r="AK30" i="13"/>
  <c r="AK33" i="13" s="1"/>
  <c r="AJ30" i="13"/>
  <c r="AJ33" i="13" s="1"/>
  <c r="AI30" i="13"/>
  <c r="AI33" i="13" s="1"/>
  <c r="AH30" i="13"/>
  <c r="AH33" i="13" s="1"/>
  <c r="AG30" i="13"/>
  <c r="AG33" i="13" s="1"/>
  <c r="AF30" i="13"/>
  <c r="AF33" i="13" s="1"/>
  <c r="AE30" i="13"/>
  <c r="AE33" i="13" s="1"/>
  <c r="AD30" i="13"/>
  <c r="AD33" i="13" s="1"/>
  <c r="AC30" i="13"/>
  <c r="AC33" i="13" s="1"/>
  <c r="AB30" i="13"/>
  <c r="AB33" i="13" s="1"/>
  <c r="AA30" i="13"/>
  <c r="AA33" i="13" s="1"/>
  <c r="Z30" i="13"/>
  <c r="Z33" i="13" s="1"/>
  <c r="Y30" i="13"/>
  <c r="Y33" i="13" s="1"/>
  <c r="X30" i="13"/>
  <c r="W30" i="13"/>
  <c r="V30" i="13"/>
  <c r="U30" i="13"/>
  <c r="T30" i="13"/>
  <c r="T33" i="13" s="1"/>
  <c r="S30" i="13"/>
  <c r="R30" i="13"/>
  <c r="R33" i="13" s="1"/>
  <c r="Q30" i="13"/>
  <c r="Q33" i="13" s="1"/>
  <c r="P30" i="13"/>
  <c r="P33" i="13" s="1"/>
  <c r="O30" i="13"/>
  <c r="O33" i="13" s="1"/>
  <c r="N30" i="13"/>
  <c r="N33" i="13" s="1"/>
  <c r="M30" i="13"/>
  <c r="M33" i="13" s="1"/>
  <c r="L30" i="13"/>
  <c r="K30" i="13"/>
  <c r="J30" i="13"/>
  <c r="I30" i="13"/>
  <c r="H30" i="13"/>
  <c r="H33" i="13" s="1"/>
  <c r="G30" i="13"/>
  <c r="G33" i="13" s="1"/>
  <c r="F30" i="13"/>
  <c r="F33" i="13" s="1"/>
  <c r="E30" i="13"/>
  <c r="D30" i="13"/>
  <c r="BA27" i="13"/>
  <c r="AZ27" i="13"/>
  <c r="AY27" i="13"/>
  <c r="AX27" i="13"/>
  <c r="AW27" i="13"/>
  <c r="AV27" i="13"/>
  <c r="AU27" i="13"/>
  <c r="AT27" i="13"/>
  <c r="AS27" i="13"/>
  <c r="AL27" i="13"/>
  <c r="AL37" i="13" s="1"/>
  <c r="AL47" i="13" s="1"/>
  <c r="AL57" i="13" s="1"/>
  <c r="AK27" i="13"/>
  <c r="AK37" i="13" s="1"/>
  <c r="AK47" i="13" s="1"/>
  <c r="AK57" i="13" s="1"/>
  <c r="AJ27" i="13"/>
  <c r="AJ37" i="13" s="1"/>
  <c r="AJ47" i="13" s="1"/>
  <c r="AJ57" i="13" s="1"/>
  <c r="AI27" i="13"/>
  <c r="AI37" i="13" s="1"/>
  <c r="AI47" i="13" s="1"/>
  <c r="AI57" i="13" s="1"/>
  <c r="AH27" i="13"/>
  <c r="AH37" i="13" s="1"/>
  <c r="AH47" i="13" s="1"/>
  <c r="AH57" i="13" s="1"/>
  <c r="AG27" i="13"/>
  <c r="AG37" i="13" s="1"/>
  <c r="AG47" i="13" s="1"/>
  <c r="AG57" i="13" s="1"/>
  <c r="BB20" i="13"/>
  <c r="BB23" i="13" s="1"/>
  <c r="BA20" i="13"/>
  <c r="BA23" i="13" s="1"/>
  <c r="AZ20" i="13"/>
  <c r="AZ23" i="13" s="1"/>
  <c r="AY20" i="13"/>
  <c r="AY23" i="13" s="1"/>
  <c r="AX20" i="13"/>
  <c r="AX23" i="13" s="1"/>
  <c r="AW20" i="13"/>
  <c r="AW23" i="13" s="1"/>
  <c r="AV20" i="13"/>
  <c r="AV23" i="13" s="1"/>
  <c r="AU20" i="13"/>
  <c r="AU23" i="13" s="1"/>
  <c r="AT20" i="13"/>
  <c r="AT23" i="13" s="1"/>
  <c r="AS20" i="13"/>
  <c r="AS23" i="13" s="1"/>
  <c r="AR20" i="13"/>
  <c r="AR23" i="13" s="1"/>
  <c r="AQ20" i="13"/>
  <c r="AQ23" i="13" s="1"/>
  <c r="AP20" i="13"/>
  <c r="AP23" i="13" s="1"/>
  <c r="AO20" i="13"/>
  <c r="AO23" i="13" s="1"/>
  <c r="AN20" i="13"/>
  <c r="AN23" i="13" s="1"/>
  <c r="AM20" i="13"/>
  <c r="AM23" i="13" s="1"/>
  <c r="AL20" i="13"/>
  <c r="AL23" i="13" s="1"/>
  <c r="AK20" i="13"/>
  <c r="AK23" i="13" s="1"/>
  <c r="AJ20" i="13"/>
  <c r="AJ23" i="13" s="1"/>
  <c r="AI20" i="13"/>
  <c r="AI23" i="13" s="1"/>
  <c r="AH20" i="13"/>
  <c r="AH23" i="13" s="1"/>
  <c r="AG20" i="13"/>
  <c r="AG23" i="13" s="1"/>
  <c r="AF20" i="13"/>
  <c r="AF23" i="13" s="1"/>
  <c r="AE20" i="13"/>
  <c r="AE23" i="13" s="1"/>
  <c r="AD20" i="13"/>
  <c r="AD23" i="13" s="1"/>
  <c r="AC20" i="13"/>
  <c r="AC23" i="13" s="1"/>
  <c r="AB20" i="13"/>
  <c r="AB23" i="13" s="1"/>
  <c r="AA20" i="13"/>
  <c r="AA23" i="13" s="1"/>
  <c r="Z20" i="13"/>
  <c r="Z23" i="13" s="1"/>
  <c r="Y20" i="13"/>
  <c r="Y23" i="13" s="1"/>
  <c r="X20" i="13"/>
  <c r="X23" i="13" s="1"/>
  <c r="W20" i="13"/>
  <c r="W23" i="13" s="1"/>
  <c r="V20" i="13"/>
  <c r="V23" i="13" s="1"/>
  <c r="U20" i="13"/>
  <c r="U23" i="13" s="1"/>
  <c r="T20" i="13"/>
  <c r="T23" i="13" s="1"/>
  <c r="S20" i="13"/>
  <c r="S23" i="13" s="1"/>
  <c r="R20" i="13"/>
  <c r="R23" i="13" s="1"/>
  <c r="Q20" i="13"/>
  <c r="Q23" i="13" s="1"/>
  <c r="P20" i="13"/>
  <c r="P23" i="13" s="1"/>
  <c r="O20" i="13"/>
  <c r="O23" i="13" s="1"/>
  <c r="N20" i="13"/>
  <c r="N23" i="13" s="1"/>
  <c r="M20" i="13"/>
  <c r="M23" i="13" s="1"/>
  <c r="L20" i="13"/>
  <c r="L23" i="13" s="1"/>
  <c r="K20" i="13"/>
  <c r="K23" i="13" s="1"/>
  <c r="J20" i="13"/>
  <c r="J23" i="13" s="1"/>
  <c r="I20" i="13"/>
  <c r="I23" i="13" s="1"/>
  <c r="H20" i="13"/>
  <c r="H23" i="13" s="1"/>
  <c r="G20" i="13"/>
  <c r="G23" i="13" s="1"/>
  <c r="F20" i="13"/>
  <c r="F23" i="13" s="1"/>
  <c r="E20" i="13"/>
  <c r="E23" i="13" s="1"/>
  <c r="D20" i="13"/>
  <c r="D23" i="13" s="1"/>
  <c r="BB16" i="13"/>
  <c r="BB27" i="13" s="1"/>
  <c r="BB37" i="13" s="1"/>
  <c r="BB47" i="13" s="1"/>
  <c r="BB57" i="13" s="1"/>
  <c r="BB67" i="13" s="1"/>
  <c r="BA16" i="13"/>
  <c r="AZ16" i="13"/>
  <c r="AY16" i="13"/>
  <c r="AX16" i="13"/>
  <c r="AW16" i="13"/>
  <c r="AV16" i="13"/>
  <c r="AU16" i="13"/>
  <c r="AT16" i="13"/>
  <c r="AS16" i="13"/>
  <c r="AR16" i="13"/>
  <c r="AR27" i="13" s="1"/>
  <c r="AR37" i="13" s="1"/>
  <c r="AR47" i="13" s="1"/>
  <c r="AR57" i="13" s="1"/>
  <c r="AQ16" i="13"/>
  <c r="AQ27" i="13" s="1"/>
  <c r="AQ37" i="13" s="1"/>
  <c r="AQ47" i="13" s="1"/>
  <c r="AQ57" i="13" s="1"/>
  <c r="AP16" i="13"/>
  <c r="AP27" i="13" s="1"/>
  <c r="AP37" i="13" s="1"/>
  <c r="AP47" i="13" s="1"/>
  <c r="AP57" i="13" s="1"/>
  <c r="AO16" i="13"/>
  <c r="AO27" i="13" s="1"/>
  <c r="AO37" i="13" s="1"/>
  <c r="AO47" i="13" s="1"/>
  <c r="AO57" i="13" s="1"/>
  <c r="AN16" i="13"/>
  <c r="AN27" i="13" s="1"/>
  <c r="AN37" i="13" s="1"/>
  <c r="AN47" i="13" s="1"/>
  <c r="AN57" i="13" s="1"/>
  <c r="AM16" i="13"/>
  <c r="AM27" i="13" s="1"/>
  <c r="AM37" i="13" s="1"/>
  <c r="AM47" i="13" s="1"/>
  <c r="AM57" i="13" s="1"/>
  <c r="AL16" i="13"/>
  <c r="AK16" i="13"/>
  <c r="AJ16" i="13"/>
  <c r="AI16" i="13"/>
  <c r="AH16" i="13"/>
  <c r="AG16" i="13"/>
  <c r="AF16" i="13"/>
  <c r="AF27" i="13" s="1"/>
  <c r="AF37" i="13" s="1"/>
  <c r="AF47" i="13" s="1"/>
  <c r="AF57" i="13" s="1"/>
  <c r="AB16" i="13"/>
  <c r="AB27" i="13" s="1"/>
  <c r="AB37" i="13" s="1"/>
  <c r="AB47" i="13" s="1"/>
  <c r="AB57" i="13" s="1"/>
  <c r="BB9" i="13"/>
  <c r="BB12" i="13" s="1"/>
  <c r="BA9" i="13"/>
  <c r="BA12" i="13" s="1"/>
  <c r="AZ9" i="13"/>
  <c r="AZ12" i="13" s="1"/>
  <c r="AY9" i="13"/>
  <c r="AY12" i="13" s="1"/>
  <c r="AX9" i="13"/>
  <c r="AX12" i="13" s="1"/>
  <c r="AW9" i="13"/>
  <c r="AW12" i="13" s="1"/>
  <c r="AV9" i="13"/>
  <c r="AV12" i="13" s="1"/>
  <c r="AU9" i="13"/>
  <c r="AU12" i="13" s="1"/>
  <c r="AT9" i="13"/>
  <c r="AT12" i="13" s="1"/>
  <c r="AS9" i="13"/>
  <c r="AS12" i="13" s="1"/>
  <c r="AR9" i="13"/>
  <c r="AR12" i="13" s="1"/>
  <c r="AQ9" i="13"/>
  <c r="AQ12" i="13" s="1"/>
  <c r="AP9" i="13"/>
  <c r="AP12" i="13" s="1"/>
  <c r="AO9" i="13"/>
  <c r="AO12" i="13" s="1"/>
  <c r="AN9" i="13"/>
  <c r="AN12" i="13" s="1"/>
  <c r="AM9" i="13"/>
  <c r="AM12" i="13" s="1"/>
  <c r="AL9" i="13"/>
  <c r="AL12" i="13" s="1"/>
  <c r="AK9" i="13"/>
  <c r="AK12" i="13" s="1"/>
  <c r="AJ9" i="13"/>
  <c r="AJ12" i="13" s="1"/>
  <c r="AI9" i="13"/>
  <c r="AI12" i="13" s="1"/>
  <c r="AH9" i="13"/>
  <c r="AH12" i="13" s="1"/>
  <c r="AG9" i="13"/>
  <c r="AG12" i="13" s="1"/>
  <c r="AF9" i="13"/>
  <c r="AF12" i="13" s="1"/>
  <c r="AE9" i="13"/>
  <c r="AE12" i="13" s="1"/>
  <c r="AD9" i="13"/>
  <c r="AD12" i="13" s="1"/>
  <c r="AC9" i="13"/>
  <c r="AC12" i="13" s="1"/>
  <c r="AB9" i="13"/>
  <c r="AB12" i="13" s="1"/>
  <c r="AA9" i="13"/>
  <c r="AA12" i="13" s="1"/>
  <c r="Z9" i="13"/>
  <c r="Z12" i="13" s="1"/>
  <c r="Y9" i="13"/>
  <c r="Y12" i="13" s="1"/>
  <c r="X9" i="13"/>
  <c r="X12" i="13" s="1"/>
  <c r="W9" i="13"/>
  <c r="W12" i="13" s="1"/>
  <c r="V9" i="13"/>
  <c r="V12" i="13" s="1"/>
  <c r="U9" i="13"/>
  <c r="U12" i="13" s="1"/>
  <c r="T9" i="13"/>
  <c r="T12" i="13" s="1"/>
  <c r="S9" i="13"/>
  <c r="S12" i="13" s="1"/>
  <c r="R9" i="13"/>
  <c r="Q9" i="13"/>
  <c r="Q12" i="13" s="1"/>
  <c r="P9" i="13"/>
  <c r="P12" i="13" s="1"/>
  <c r="O9" i="13"/>
  <c r="O12" i="13" s="1"/>
  <c r="N9" i="13"/>
  <c r="N12" i="13" s="1"/>
  <c r="M9" i="13"/>
  <c r="M12" i="13" s="1"/>
  <c r="L9" i="13"/>
  <c r="L12" i="13" s="1"/>
  <c r="K9" i="13"/>
  <c r="K12" i="13" s="1"/>
  <c r="J9" i="13"/>
  <c r="J12" i="13" s="1"/>
  <c r="I9" i="13"/>
  <c r="I12" i="13" s="1"/>
  <c r="H9" i="13"/>
  <c r="H12" i="13" s="1"/>
  <c r="G9" i="13"/>
  <c r="G12" i="13" s="1"/>
  <c r="F9" i="13"/>
  <c r="E9" i="13"/>
  <c r="E12" i="13" s="1"/>
  <c r="D9" i="13"/>
  <c r="D12" i="13" s="1"/>
  <c r="BB132" i="12"/>
  <c r="BB74" i="13" s="1"/>
  <c r="BA132" i="12"/>
  <c r="BA74" i="13" s="1"/>
  <c r="AZ132" i="12"/>
  <c r="AZ74" i="13" s="1"/>
  <c r="AY132" i="12"/>
  <c r="AY74" i="13" s="1"/>
  <c r="AX132" i="12"/>
  <c r="AX74" i="13" s="1"/>
  <c r="AW132" i="12"/>
  <c r="AW74" i="13" s="1"/>
  <c r="AV132" i="12"/>
  <c r="AV74" i="13" s="1"/>
  <c r="AL128" i="12"/>
  <c r="AL133" i="12" s="1"/>
  <c r="AK128" i="12"/>
  <c r="AJ128" i="12"/>
  <c r="AJ130" i="12" s="1"/>
  <c r="AI128" i="12"/>
  <c r="AH128" i="12"/>
  <c r="AH133" i="12" s="1"/>
  <c r="AG128" i="12"/>
  <c r="AG130" i="12" s="1"/>
  <c r="AF128" i="12"/>
  <c r="AF130" i="12" s="1"/>
  <c r="AE128" i="12"/>
  <c r="AE130" i="12" s="1"/>
  <c r="AD128" i="12"/>
  <c r="AD130" i="12" s="1"/>
  <c r="AC128" i="12"/>
  <c r="AC133" i="12" s="1"/>
  <c r="AB128" i="12"/>
  <c r="AB130" i="12" s="1"/>
  <c r="AA128" i="12"/>
  <c r="Z128" i="12"/>
  <c r="Z130" i="12" s="1"/>
  <c r="Y128" i="12"/>
  <c r="X128" i="12"/>
  <c r="X130" i="12" s="1"/>
  <c r="W128" i="12"/>
  <c r="V128" i="12"/>
  <c r="U128" i="12"/>
  <c r="U130" i="12" s="1"/>
  <c r="T128" i="12"/>
  <c r="T133" i="12" s="1"/>
  <c r="S128" i="12"/>
  <c r="S133" i="12" s="1"/>
  <c r="R128" i="12"/>
  <c r="R130" i="12" s="1"/>
  <c r="Q128" i="12"/>
  <c r="Q133" i="12" s="1"/>
  <c r="P128" i="12"/>
  <c r="P133" i="12" s="1"/>
  <c r="O128" i="12"/>
  <c r="N128" i="12"/>
  <c r="N133" i="12" s="1"/>
  <c r="M128" i="12"/>
  <c r="L128" i="12"/>
  <c r="L133" i="12" s="1"/>
  <c r="K128" i="12"/>
  <c r="J128" i="12"/>
  <c r="I128" i="12"/>
  <c r="I130" i="12" s="1"/>
  <c r="H128" i="12"/>
  <c r="H130" i="12" s="1"/>
  <c r="G128" i="12"/>
  <c r="G133" i="12" s="1"/>
  <c r="F128" i="12"/>
  <c r="F130" i="12" s="1"/>
  <c r="E128" i="12"/>
  <c r="E133" i="12" s="1"/>
  <c r="D128" i="12"/>
  <c r="D133" i="12" s="1"/>
  <c r="BB126" i="12"/>
  <c r="BA126" i="12"/>
  <c r="AZ126" i="12"/>
  <c r="AY126" i="12"/>
  <c r="AX126" i="12"/>
  <c r="AW126" i="12"/>
  <c r="AV126" i="12"/>
  <c r="AU126" i="12"/>
  <c r="AT126" i="12"/>
  <c r="AS126" i="12"/>
  <c r="AR126" i="12"/>
  <c r="AQ126" i="12"/>
  <c r="AP126" i="12"/>
  <c r="AO126" i="12"/>
  <c r="AN126" i="12"/>
  <c r="AM126" i="12"/>
  <c r="BB122" i="12"/>
  <c r="BA122" i="12"/>
  <c r="AZ122" i="12"/>
  <c r="AY122" i="12"/>
  <c r="AX122" i="12"/>
  <c r="AW122" i="12"/>
  <c r="AV122" i="12"/>
  <c r="AU122" i="12"/>
  <c r="AT122" i="12"/>
  <c r="AS122" i="12"/>
  <c r="AR122" i="12"/>
  <c r="AQ122" i="12"/>
  <c r="AP122" i="12"/>
  <c r="AO122" i="12"/>
  <c r="AN122" i="12"/>
  <c r="AM122" i="12"/>
  <c r="BB114" i="12"/>
  <c r="BB64" i="13" s="1"/>
  <c r="BA114" i="12"/>
  <c r="BA64" i="13" s="1"/>
  <c r="AZ114" i="12"/>
  <c r="AZ64" i="13" s="1"/>
  <c r="AY114" i="12"/>
  <c r="AY64" i="13" s="1"/>
  <c r="AX114" i="12"/>
  <c r="AX64" i="13" s="1"/>
  <c r="AW114" i="12"/>
  <c r="AW64" i="13" s="1"/>
  <c r="AV114" i="12"/>
  <c r="AV64" i="13" s="1"/>
  <c r="AH110" i="12"/>
  <c r="AH112" i="12" s="1"/>
  <c r="AG110" i="12"/>
  <c r="AG112" i="12" s="1"/>
  <c r="AF110" i="12"/>
  <c r="AF115" i="12" s="1"/>
  <c r="AE110" i="12"/>
  <c r="AE115" i="12" s="1"/>
  <c r="AD110" i="12"/>
  <c r="AD112" i="12" s="1"/>
  <c r="AC110" i="12"/>
  <c r="AB110" i="12"/>
  <c r="AB112" i="12" s="1"/>
  <c r="AA110" i="12"/>
  <c r="Z110" i="12"/>
  <c r="Z112" i="12" s="1"/>
  <c r="Y110" i="12"/>
  <c r="X110" i="12"/>
  <c r="X115" i="12" s="1"/>
  <c r="W110" i="12"/>
  <c r="V110" i="12"/>
  <c r="V112" i="12" s="1"/>
  <c r="U110" i="12"/>
  <c r="U112" i="12" s="1"/>
  <c r="T110" i="12"/>
  <c r="S110" i="12"/>
  <c r="R110" i="12"/>
  <c r="R115" i="12" s="1"/>
  <c r="Q110" i="12"/>
  <c r="Q115" i="12" s="1"/>
  <c r="P110" i="12"/>
  <c r="P115" i="12" s="1"/>
  <c r="O110" i="12"/>
  <c r="N110" i="12"/>
  <c r="N115" i="12" s="1"/>
  <c r="M110" i="12"/>
  <c r="L110" i="12"/>
  <c r="L112" i="12" s="1"/>
  <c r="K110" i="12"/>
  <c r="J110" i="12"/>
  <c r="J115" i="12" s="1"/>
  <c r="I110" i="12"/>
  <c r="I112" i="12" s="1"/>
  <c r="H110" i="12"/>
  <c r="H112" i="12" s="1"/>
  <c r="G110" i="12"/>
  <c r="G112" i="12" s="1"/>
  <c r="F110" i="12"/>
  <c r="F112" i="12" s="1"/>
  <c r="E110" i="12"/>
  <c r="D110" i="12"/>
  <c r="D112" i="12" s="1"/>
  <c r="BB108" i="12"/>
  <c r="BA108" i="12"/>
  <c r="AZ108" i="12"/>
  <c r="AY108" i="12"/>
  <c r="AX108" i="12"/>
  <c r="AW108" i="12"/>
  <c r="AV108" i="12"/>
  <c r="AU108" i="12"/>
  <c r="AT108" i="12"/>
  <c r="AS108" i="12"/>
  <c r="AR108" i="12"/>
  <c r="AQ108" i="12"/>
  <c r="AP108" i="12"/>
  <c r="AO108" i="12"/>
  <c r="AN108" i="12"/>
  <c r="AM108" i="12"/>
  <c r="AL108" i="12"/>
  <c r="AK108" i="12"/>
  <c r="AJ108" i="12"/>
  <c r="AI108" i="12"/>
  <c r="BB104" i="12"/>
  <c r="BA104" i="12"/>
  <c r="AZ104" i="12"/>
  <c r="AY104" i="12"/>
  <c r="AX104" i="12"/>
  <c r="AW104" i="12"/>
  <c r="AV104" i="12"/>
  <c r="AU104" i="12"/>
  <c r="AT104" i="12"/>
  <c r="AS104" i="12"/>
  <c r="AR104" i="12"/>
  <c r="AQ104" i="12"/>
  <c r="AP104" i="12"/>
  <c r="AO104" i="12"/>
  <c r="AN104" i="12"/>
  <c r="AM104" i="12"/>
  <c r="AL104" i="12"/>
  <c r="AK104" i="12"/>
  <c r="AJ104" i="12"/>
  <c r="AI104" i="12"/>
  <c r="BB96" i="12"/>
  <c r="BB54" i="13" s="1"/>
  <c r="BA96" i="12"/>
  <c r="BA54" i="13" s="1"/>
  <c r="AZ96" i="12"/>
  <c r="AZ54" i="13" s="1"/>
  <c r="AY96" i="12"/>
  <c r="AY54" i="13" s="1"/>
  <c r="AX96" i="12"/>
  <c r="AX54" i="13" s="1"/>
  <c r="AW96" i="12"/>
  <c r="AW54" i="13" s="1"/>
  <c r="AV96" i="12"/>
  <c r="AV54" i="13" s="1"/>
  <c r="AG92" i="12"/>
  <c r="AF92" i="12"/>
  <c r="AF97" i="12" s="1"/>
  <c r="AE92" i="12"/>
  <c r="AD92" i="12"/>
  <c r="AD94" i="12" s="1"/>
  <c r="AC92" i="12"/>
  <c r="AC94" i="12" s="1"/>
  <c r="AB92" i="12"/>
  <c r="AB94" i="12" s="1"/>
  <c r="AA92" i="12"/>
  <c r="AA97" i="12" s="1"/>
  <c r="Z92" i="12"/>
  <c r="Z94" i="12" s="1"/>
  <c r="Y92" i="12"/>
  <c r="Y97" i="12" s="1"/>
  <c r="X92" i="12"/>
  <c r="X94" i="12" s="1"/>
  <c r="W92" i="12"/>
  <c r="V92" i="12"/>
  <c r="V94" i="12" s="1"/>
  <c r="U92" i="12"/>
  <c r="T92" i="12"/>
  <c r="T94" i="12" s="1"/>
  <c r="S92" i="12"/>
  <c r="R92" i="12"/>
  <c r="R97" i="12" s="1"/>
  <c r="Q92" i="12"/>
  <c r="Q94" i="12" s="1"/>
  <c r="P92" i="12"/>
  <c r="P94" i="12" s="1"/>
  <c r="O92" i="12"/>
  <c r="O94" i="12" s="1"/>
  <c r="N92" i="12"/>
  <c r="N94" i="12" s="1"/>
  <c r="M92" i="12"/>
  <c r="M97" i="12" s="1"/>
  <c r="L92" i="12"/>
  <c r="L94" i="12" s="1"/>
  <c r="K92" i="12"/>
  <c r="J92" i="12"/>
  <c r="J94" i="12" s="1"/>
  <c r="I92" i="12"/>
  <c r="H92" i="12"/>
  <c r="H97" i="12" s="1"/>
  <c r="G92" i="12"/>
  <c r="F92" i="12"/>
  <c r="F97" i="12" s="1"/>
  <c r="E92" i="12"/>
  <c r="E94" i="12" s="1"/>
  <c r="D92" i="12"/>
  <c r="D97" i="12" s="1"/>
  <c r="BB90" i="12"/>
  <c r="BA90" i="12"/>
  <c r="AZ90" i="12"/>
  <c r="AY90" i="12"/>
  <c r="AX90" i="12"/>
  <c r="AW90" i="12"/>
  <c r="AV90" i="12"/>
  <c r="AU90" i="12"/>
  <c r="AT90" i="12"/>
  <c r="AS90" i="12"/>
  <c r="AR90" i="12"/>
  <c r="AQ90" i="12"/>
  <c r="AP90" i="12"/>
  <c r="AO90" i="12"/>
  <c r="AN90" i="12"/>
  <c r="AM90" i="12"/>
  <c r="AL90" i="12"/>
  <c r="AK90" i="12"/>
  <c r="AJ90" i="12"/>
  <c r="AI90" i="12"/>
  <c r="AH90" i="12"/>
  <c r="BB86" i="12"/>
  <c r="BA86" i="12"/>
  <c r="AZ86" i="12"/>
  <c r="AY86" i="12"/>
  <c r="AX86" i="12"/>
  <c r="AW86" i="12"/>
  <c r="AV86" i="12"/>
  <c r="AU86" i="12"/>
  <c r="AT86" i="12"/>
  <c r="AS86" i="12"/>
  <c r="AR86" i="12"/>
  <c r="AQ86" i="12"/>
  <c r="AP86" i="12"/>
  <c r="AO86" i="12"/>
  <c r="AN86" i="12"/>
  <c r="AM86" i="12"/>
  <c r="AL86" i="12"/>
  <c r="AK86" i="12"/>
  <c r="AJ86" i="12"/>
  <c r="AI86" i="12"/>
  <c r="AH86" i="12"/>
  <c r="BB78" i="12"/>
  <c r="BB44" i="13" s="1"/>
  <c r="BA78" i="12"/>
  <c r="BA44" i="13" s="1"/>
  <c r="AZ78" i="12"/>
  <c r="AZ44" i="13" s="1"/>
  <c r="AY78" i="12"/>
  <c r="AY44" i="13" s="1"/>
  <c r="AX78" i="12"/>
  <c r="AX44" i="13" s="1"/>
  <c r="AW78" i="12"/>
  <c r="AW44" i="13" s="1"/>
  <c r="AV78" i="12"/>
  <c r="AV44" i="13" s="1"/>
  <c r="S74" i="12"/>
  <c r="S76" i="12" s="1"/>
  <c r="R74" i="12"/>
  <c r="R79" i="12" s="1"/>
  <c r="Q74" i="12"/>
  <c r="Q79" i="12" s="1"/>
  <c r="P74" i="12"/>
  <c r="P79" i="12" s="1"/>
  <c r="O74" i="12"/>
  <c r="O76" i="12" s="1"/>
  <c r="N74" i="12"/>
  <c r="N79" i="12" s="1"/>
  <c r="M74" i="12"/>
  <c r="M79" i="12" s="1"/>
  <c r="L74" i="12"/>
  <c r="L79" i="12" s="1"/>
  <c r="K74" i="12"/>
  <c r="K76" i="12" s="1"/>
  <c r="J74" i="12"/>
  <c r="J79" i="12" s="1"/>
  <c r="I74" i="12"/>
  <c r="H74" i="12"/>
  <c r="G74" i="12"/>
  <c r="G76" i="12" s="1"/>
  <c r="F74" i="12"/>
  <c r="F76" i="12" s="1"/>
  <c r="E74" i="12"/>
  <c r="E79" i="12" s="1"/>
  <c r="D74" i="12"/>
  <c r="D79" i="12" s="1"/>
  <c r="BB72" i="12"/>
  <c r="BA72" i="12"/>
  <c r="AZ72" i="12"/>
  <c r="AY72" i="12"/>
  <c r="AX72" i="12"/>
  <c r="AW72" i="12"/>
  <c r="AV72" i="12"/>
  <c r="AU72" i="12"/>
  <c r="AT72" i="12"/>
  <c r="AS72" i="12"/>
  <c r="AR72" i="12"/>
  <c r="AQ72" i="12"/>
  <c r="AP72" i="12"/>
  <c r="AO72" i="12"/>
  <c r="AN72" i="12"/>
  <c r="AM72" i="12"/>
  <c r="AL72" i="12"/>
  <c r="AK72" i="12"/>
  <c r="AJ72" i="12"/>
  <c r="AI72" i="12"/>
  <c r="AH72" i="12"/>
  <c r="AG72" i="12"/>
  <c r="AF72" i="12"/>
  <c r="AE72" i="12"/>
  <c r="AD72" i="12"/>
  <c r="AC72" i="12"/>
  <c r="AB72" i="12"/>
  <c r="AA72" i="12"/>
  <c r="Z72" i="12"/>
  <c r="Y72" i="12"/>
  <c r="X72" i="12"/>
  <c r="W72" i="12"/>
  <c r="V72" i="12"/>
  <c r="U72" i="12"/>
  <c r="T72" i="12"/>
  <c r="BB68" i="12"/>
  <c r="BA68" i="12"/>
  <c r="AZ68" i="12"/>
  <c r="AY68" i="12"/>
  <c r="AX68" i="12"/>
  <c r="AW68" i="12"/>
  <c r="AV68" i="12"/>
  <c r="AU68" i="12"/>
  <c r="AT68" i="12"/>
  <c r="AS68" i="12"/>
  <c r="AR68" i="12"/>
  <c r="AQ68" i="12"/>
  <c r="AP68" i="12"/>
  <c r="AO68" i="12"/>
  <c r="AN68" i="12"/>
  <c r="AM68" i="12"/>
  <c r="AL68" i="12"/>
  <c r="AK68" i="12"/>
  <c r="AJ68" i="12"/>
  <c r="AI68" i="12"/>
  <c r="AH68" i="12"/>
  <c r="AG68" i="12"/>
  <c r="AF68" i="12"/>
  <c r="AE68" i="12"/>
  <c r="AD68" i="12"/>
  <c r="AC68" i="12"/>
  <c r="AB68" i="12"/>
  <c r="AA68" i="12"/>
  <c r="Z68" i="12"/>
  <c r="Y68" i="12"/>
  <c r="X68" i="12"/>
  <c r="W68" i="12"/>
  <c r="V68" i="12"/>
  <c r="U68" i="12"/>
  <c r="T68" i="12"/>
  <c r="BB60" i="12"/>
  <c r="BB34" i="13" s="1"/>
  <c r="BA60" i="12"/>
  <c r="BA34" i="13" s="1"/>
  <c r="AZ60" i="12"/>
  <c r="AZ34" i="13" s="1"/>
  <c r="AY60" i="12"/>
  <c r="AY34" i="13" s="1"/>
  <c r="AX60" i="12"/>
  <c r="AX34" i="13" s="1"/>
  <c r="AW60" i="12"/>
  <c r="AW34" i="13" s="1"/>
  <c r="AV60" i="12"/>
  <c r="AV34" i="13" s="1"/>
  <c r="BB54" i="12"/>
  <c r="BA54" i="12"/>
  <c r="AZ54" i="12"/>
  <c r="AY54" i="12"/>
  <c r="AX54" i="12"/>
  <c r="AW54" i="12"/>
  <c r="AV54" i="12"/>
  <c r="AU54" i="12"/>
  <c r="AT54" i="12"/>
  <c r="AS54" i="12"/>
  <c r="AR54" i="12"/>
  <c r="AQ54" i="12"/>
  <c r="AP54" i="12"/>
  <c r="AO54" i="12"/>
  <c r="AN54" i="12"/>
  <c r="AM54" i="12"/>
  <c r="AL54" i="12"/>
  <c r="AK54" i="12"/>
  <c r="AJ54" i="12"/>
  <c r="AI54" i="12"/>
  <c r="AH54" i="12"/>
  <c r="AG54" i="12"/>
  <c r="AF54" i="12"/>
  <c r="AE54" i="12"/>
  <c r="AD54" i="12"/>
  <c r="AC54" i="12"/>
  <c r="AB54" i="12"/>
  <c r="AA54" i="12"/>
  <c r="Z54" i="12"/>
  <c r="Y54" i="12"/>
  <c r="X54" i="12"/>
  <c r="W54" i="12"/>
  <c r="V54" i="12"/>
  <c r="U54" i="12"/>
  <c r="T54" i="12"/>
  <c r="S54" i="12"/>
  <c r="R54" i="12"/>
  <c r="Q54" i="12"/>
  <c r="P54" i="12"/>
  <c r="O54" i="12"/>
  <c r="N54" i="12"/>
  <c r="M54" i="12"/>
  <c r="L54" i="12"/>
  <c r="K54" i="12"/>
  <c r="J54" i="12"/>
  <c r="I54" i="12"/>
  <c r="H54" i="12"/>
  <c r="G54" i="12"/>
  <c r="F54" i="12"/>
  <c r="E54" i="12"/>
  <c r="D54" i="12"/>
  <c r="BB50" i="12"/>
  <c r="BA50" i="12"/>
  <c r="AZ50" i="12"/>
  <c r="AY50" i="12"/>
  <c r="AX50" i="12"/>
  <c r="AW50" i="12"/>
  <c r="AV50" i="12"/>
  <c r="AU50" i="12"/>
  <c r="AT50" i="12"/>
  <c r="AS50" i="12"/>
  <c r="AR50" i="12"/>
  <c r="AQ50" i="12"/>
  <c r="AP50" i="12"/>
  <c r="AO50" i="12"/>
  <c r="AN50" i="12"/>
  <c r="AM50" i="12"/>
  <c r="AL50" i="12"/>
  <c r="AK50" i="12"/>
  <c r="AJ50" i="12"/>
  <c r="AI50" i="12"/>
  <c r="AH50" i="12"/>
  <c r="AG50" i="12"/>
  <c r="AF50" i="12"/>
  <c r="AE50" i="12"/>
  <c r="AD50" i="12"/>
  <c r="AC50" i="12"/>
  <c r="AB50" i="12"/>
  <c r="AA50" i="12"/>
  <c r="Z50" i="12"/>
  <c r="Y50" i="12"/>
  <c r="X50" i="12"/>
  <c r="W50" i="12"/>
  <c r="V50" i="12"/>
  <c r="U50" i="12"/>
  <c r="T50" i="12"/>
  <c r="S50" i="12"/>
  <c r="R50" i="12"/>
  <c r="Q50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BB42" i="12"/>
  <c r="BB24" i="13" s="1"/>
  <c r="BA42" i="12"/>
  <c r="BA24" i="13" s="1"/>
  <c r="AZ42" i="12"/>
  <c r="AZ24" i="13" s="1"/>
  <c r="AY42" i="12"/>
  <c r="AY24" i="13" s="1"/>
  <c r="AX42" i="12"/>
  <c r="AX24" i="13" s="1"/>
  <c r="AW42" i="12"/>
  <c r="AW24" i="13" s="1"/>
  <c r="AV42" i="12"/>
  <c r="AV24" i="13" s="1"/>
  <c r="BB36" i="12"/>
  <c r="BA36" i="12"/>
  <c r="AZ36" i="12"/>
  <c r="AY36" i="12"/>
  <c r="AX36" i="12"/>
  <c r="AW36" i="12"/>
  <c r="AV36" i="12"/>
  <c r="AU36" i="12"/>
  <c r="AT36" i="12"/>
  <c r="AS36" i="12"/>
  <c r="AR36" i="12"/>
  <c r="AQ36" i="12"/>
  <c r="AP36" i="12"/>
  <c r="AO36" i="12"/>
  <c r="AN36" i="12"/>
  <c r="AM36" i="12"/>
  <c r="AL36" i="12"/>
  <c r="AK36" i="12"/>
  <c r="AJ36" i="12"/>
  <c r="AI36" i="12"/>
  <c r="AH36" i="12"/>
  <c r="AG36" i="12"/>
  <c r="AF36" i="12"/>
  <c r="AE36" i="12"/>
  <c r="AD36" i="12"/>
  <c r="AC36" i="12"/>
  <c r="AB36" i="12"/>
  <c r="AA36" i="12"/>
  <c r="Z36" i="12"/>
  <c r="Y36" i="12"/>
  <c r="X36" i="12"/>
  <c r="W36" i="12"/>
  <c r="V36" i="12"/>
  <c r="U36" i="12"/>
  <c r="T36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BB32" i="12"/>
  <c r="BA32" i="12"/>
  <c r="AZ32" i="12"/>
  <c r="AY32" i="12"/>
  <c r="AX32" i="12"/>
  <c r="AW32" i="12"/>
  <c r="AV32" i="12"/>
  <c r="AU32" i="12"/>
  <c r="AT32" i="12"/>
  <c r="AS32" i="12"/>
  <c r="AR32" i="12"/>
  <c r="AQ32" i="12"/>
  <c r="AP32" i="12"/>
  <c r="AO32" i="12"/>
  <c r="AN32" i="12"/>
  <c r="AM32" i="12"/>
  <c r="AL32" i="12"/>
  <c r="AK32" i="12"/>
  <c r="AJ32" i="12"/>
  <c r="AI32" i="12"/>
  <c r="AH32" i="12"/>
  <c r="AG32" i="12"/>
  <c r="AF32" i="12"/>
  <c r="AE32" i="12"/>
  <c r="AD32" i="12"/>
  <c r="AC32" i="12"/>
  <c r="AB32" i="12"/>
  <c r="AA32" i="12"/>
  <c r="Z32" i="12"/>
  <c r="Y32" i="12"/>
  <c r="X32" i="12"/>
  <c r="W32" i="12"/>
  <c r="V32" i="12"/>
  <c r="U32" i="12"/>
  <c r="T32" i="12"/>
  <c r="S32" i="12"/>
  <c r="R32" i="12"/>
  <c r="Q32" i="12"/>
  <c r="P32" i="12"/>
  <c r="O32" i="12"/>
  <c r="N32" i="12"/>
  <c r="M32" i="12"/>
  <c r="L32" i="12"/>
  <c r="K32" i="12"/>
  <c r="J32" i="12"/>
  <c r="I32" i="12"/>
  <c r="H32" i="12"/>
  <c r="G32" i="12"/>
  <c r="F32" i="12"/>
  <c r="E32" i="12"/>
  <c r="D32" i="12"/>
  <c r="BB23" i="12"/>
  <c r="BB13" i="13" s="1"/>
  <c r="BA23" i="12"/>
  <c r="BA13" i="13" s="1"/>
  <c r="AZ23" i="12"/>
  <c r="AZ13" i="13" s="1"/>
  <c r="AY23" i="12"/>
  <c r="AY13" i="13" s="1"/>
  <c r="AX23" i="12"/>
  <c r="AX13" i="13" s="1"/>
  <c r="AW23" i="12"/>
  <c r="AW13" i="13" s="1"/>
  <c r="AV23" i="12"/>
  <c r="AV13" i="13" s="1"/>
  <c r="BB17" i="12"/>
  <c r="BA17" i="12"/>
  <c r="AZ17" i="12"/>
  <c r="AY17" i="12"/>
  <c r="AX17" i="12"/>
  <c r="AW17" i="12"/>
  <c r="AV17" i="12"/>
  <c r="AU17" i="12"/>
  <c r="AT17" i="12"/>
  <c r="AS17" i="12"/>
  <c r="AR17" i="12"/>
  <c r="AQ17" i="12"/>
  <c r="AP17" i="12"/>
  <c r="AO17" i="12"/>
  <c r="AN17" i="12"/>
  <c r="AM17" i="12"/>
  <c r="AL17" i="12"/>
  <c r="AK17" i="12"/>
  <c r="AJ17" i="12"/>
  <c r="AI17" i="12"/>
  <c r="AH17" i="12"/>
  <c r="AG17" i="12"/>
  <c r="AF17" i="12"/>
  <c r="AE17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BB13" i="12"/>
  <c r="BA13" i="12"/>
  <c r="AZ13" i="12"/>
  <c r="AY13" i="12"/>
  <c r="AX13" i="12"/>
  <c r="AW13" i="12"/>
  <c r="AV13" i="12"/>
  <c r="AU13" i="12"/>
  <c r="AT13" i="12"/>
  <c r="AS13" i="12"/>
  <c r="AR13" i="12"/>
  <c r="AQ13" i="12"/>
  <c r="AP13" i="12"/>
  <c r="AO13" i="12"/>
  <c r="AN13" i="12"/>
  <c r="AM13" i="12"/>
  <c r="AL13" i="12"/>
  <c r="AK13" i="12"/>
  <c r="AJ13" i="12"/>
  <c r="AI13" i="12"/>
  <c r="AH13" i="12"/>
  <c r="AG13" i="12"/>
  <c r="AF13" i="12"/>
  <c r="AE13" i="12"/>
  <c r="AD13" i="12"/>
  <c r="AC13" i="12"/>
  <c r="AB13" i="12"/>
  <c r="AA13" i="12"/>
  <c r="Z13" i="12"/>
  <c r="Y13" i="12"/>
  <c r="X13" i="12"/>
  <c r="W13" i="12"/>
  <c r="V13" i="12"/>
  <c r="U13" i="12"/>
  <c r="T13" i="12"/>
  <c r="S13" i="12"/>
  <c r="R13" i="12"/>
  <c r="Q13" i="12"/>
  <c r="P13" i="12"/>
  <c r="O13" i="12"/>
  <c r="N13" i="12"/>
  <c r="M13" i="12"/>
  <c r="L13" i="12"/>
  <c r="K13" i="12"/>
  <c r="J13" i="12"/>
  <c r="I13" i="12"/>
  <c r="H13" i="12"/>
  <c r="G13" i="12"/>
  <c r="F13" i="12"/>
  <c r="E13" i="12"/>
  <c r="D13" i="12"/>
  <c r="AC74" i="12" l="1"/>
  <c r="AC79" i="12" s="1"/>
  <c r="AN110" i="12"/>
  <c r="AN112" i="12" s="1"/>
  <c r="AZ110" i="12"/>
  <c r="BA74" i="12"/>
  <c r="AO74" i="12"/>
  <c r="AI92" i="12"/>
  <c r="D56" i="12"/>
  <c r="P56" i="12"/>
  <c r="P58" i="12" s="1"/>
  <c r="AB56" i="12"/>
  <c r="AN56" i="12"/>
  <c r="AZ56" i="12"/>
  <c r="S88" i="56"/>
  <c r="AQ92" i="12"/>
  <c r="AO128" i="12"/>
  <c r="BA128" i="12"/>
  <c r="BA133" i="12" s="1"/>
  <c r="R133" i="12"/>
  <c r="S6" i="58"/>
  <c r="S39" i="58" s="1"/>
  <c r="S58" i="58" s="1"/>
  <c r="AD6" i="59"/>
  <c r="AD39" i="59" s="1"/>
  <c r="AD58" i="59" s="1"/>
  <c r="AB74" i="12"/>
  <c r="AN74" i="12"/>
  <c r="AN76" i="12" s="1"/>
  <c r="AO92" i="12"/>
  <c r="BA92" i="12"/>
  <c r="H56" i="12"/>
  <c r="T56" i="12"/>
  <c r="AF56" i="12"/>
  <c r="AR56" i="12"/>
  <c r="W74" i="12"/>
  <c r="W76" i="12" s="1"/>
  <c r="AI74" i="12"/>
  <c r="AI76" i="12" s="1"/>
  <c r="AU74" i="12"/>
  <c r="U56" i="12"/>
  <c r="U58" i="12" s="1"/>
  <c r="J56" i="12"/>
  <c r="AH56" i="12"/>
  <c r="AT56" i="12"/>
  <c r="AT58" i="12" s="1"/>
  <c r="Y74" i="12"/>
  <c r="AK74" i="12"/>
  <c r="AW74" i="12"/>
  <c r="S60" i="58"/>
  <c r="S6" i="55"/>
  <c r="S39" i="55" s="1"/>
  <c r="S58" i="55" s="1"/>
  <c r="AD6" i="58"/>
  <c r="AD39" i="58" s="1"/>
  <c r="AD58" i="58" s="1"/>
  <c r="AR73" i="13"/>
  <c r="S60" i="57"/>
  <c r="AD60" i="56"/>
  <c r="S6" i="57"/>
  <c r="S39" i="57" s="1"/>
  <c r="S58" i="57" s="1"/>
  <c r="S39" i="56"/>
  <c r="S58" i="56" s="1"/>
  <c r="S60" i="55"/>
  <c r="S88" i="55"/>
  <c r="S60" i="56"/>
  <c r="S88" i="58"/>
  <c r="AD60" i="57"/>
  <c r="S6" i="59"/>
  <c r="S39" i="59" s="1"/>
  <c r="S58" i="59" s="1"/>
  <c r="AD60" i="59"/>
  <c r="AD60" i="58"/>
  <c r="AD88" i="58"/>
  <c r="S88" i="57"/>
  <c r="AD6" i="55"/>
  <c r="AD39" i="55" s="1"/>
  <c r="AD58" i="55" s="1"/>
  <c r="AD6" i="56"/>
  <c r="AD39" i="56" s="1"/>
  <c r="AD58" i="56" s="1"/>
  <c r="S60" i="59"/>
  <c r="AD60" i="55"/>
  <c r="AD6" i="57"/>
  <c r="AD39" i="57" s="1"/>
  <c r="AD58" i="57" s="1"/>
  <c r="AD88" i="59"/>
  <c r="AD88" i="56"/>
  <c r="AD88" i="55"/>
  <c r="S88" i="59"/>
  <c r="AD88" i="57"/>
  <c r="S86" i="60"/>
  <c r="M19" i="12"/>
  <c r="AK19" i="12"/>
  <c r="N38" i="12"/>
  <c r="N40" i="12" s="1"/>
  <c r="Z38" i="12"/>
  <c r="AL38" i="12"/>
  <c r="AX38" i="12"/>
  <c r="M56" i="12"/>
  <c r="M61" i="12" s="1"/>
  <c r="AK56" i="12"/>
  <c r="AW56" i="12"/>
  <c r="AO110" i="12"/>
  <c r="BA110" i="12"/>
  <c r="BA112" i="12" s="1"/>
  <c r="AO56" i="12"/>
  <c r="E56" i="12"/>
  <c r="Q56" i="12"/>
  <c r="BA56" i="12"/>
  <c r="T74" i="12"/>
  <c r="T79" i="12" s="1"/>
  <c r="AC19" i="12"/>
  <c r="G38" i="12"/>
  <c r="G40" i="12" s="1"/>
  <c r="AE38" i="12"/>
  <c r="AQ38" i="12"/>
  <c r="AQ40" i="12" s="1"/>
  <c r="AB38" i="12"/>
  <c r="AN38" i="12"/>
  <c r="AN40" i="12" s="1"/>
  <c r="F56" i="12"/>
  <c r="AP56" i="12"/>
  <c r="AP61" i="12" s="1"/>
  <c r="BB56" i="12"/>
  <c r="U74" i="12"/>
  <c r="AG74" i="12"/>
  <c r="AG76" i="12" s="1"/>
  <c r="AS74" i="12"/>
  <c r="AS76" i="12" s="1"/>
  <c r="AC56" i="12"/>
  <c r="I19" i="12"/>
  <c r="U19" i="12"/>
  <c r="U21" i="12" s="1"/>
  <c r="AG19" i="12"/>
  <c r="H38" i="12"/>
  <c r="T38" i="12"/>
  <c r="T43" i="12" s="1"/>
  <c r="AF38" i="12"/>
  <c r="AF43" i="12" s="1"/>
  <c r="AR38" i="12"/>
  <c r="AR40" i="12" s="1"/>
  <c r="AM92" i="12"/>
  <c r="AY92" i="12"/>
  <c r="Y19" i="12"/>
  <c r="AW19" i="12"/>
  <c r="AW21" i="12" s="1"/>
  <c r="AT19" i="12"/>
  <c r="N19" i="12"/>
  <c r="Z19" i="12"/>
  <c r="AL19" i="12"/>
  <c r="AL21" i="12" s="1"/>
  <c r="Y38" i="12"/>
  <c r="AM74" i="12"/>
  <c r="AM76" i="12" s="1"/>
  <c r="AU19" i="12"/>
  <c r="AU24" i="12" s="1"/>
  <c r="AZ74" i="12"/>
  <c r="AS73" i="13"/>
  <c r="O38" i="12"/>
  <c r="AA38" i="12"/>
  <c r="AA40" i="12" s="1"/>
  <c r="AM38" i="12"/>
  <c r="AY38" i="12"/>
  <c r="AH92" i="12"/>
  <c r="AT92" i="12"/>
  <c r="V19" i="12"/>
  <c r="V21" i="12" s="1"/>
  <c r="AW38" i="12"/>
  <c r="AU92" i="12"/>
  <c r="AB115" i="12"/>
  <c r="AU73" i="13"/>
  <c r="AE74" i="12"/>
  <c r="AQ74" i="12"/>
  <c r="AQ76" i="12" s="1"/>
  <c r="AQ110" i="12"/>
  <c r="AS19" i="12"/>
  <c r="AS110" i="12"/>
  <c r="AS112" i="12" s="1"/>
  <c r="AK110" i="12"/>
  <c r="AQ128" i="12"/>
  <c r="AQ133" i="12" s="1"/>
  <c r="AU110" i="12"/>
  <c r="K38" i="12"/>
  <c r="K40" i="12" s="1"/>
  <c r="W38" i="12"/>
  <c r="AI38" i="12"/>
  <c r="AP73" i="13"/>
  <c r="J19" i="12"/>
  <c r="J21" i="12" s="1"/>
  <c r="AH19" i="12"/>
  <c r="I38" i="12"/>
  <c r="I43" i="12" s="1"/>
  <c r="U38" i="12"/>
  <c r="AG38" i="12"/>
  <c r="AG43" i="12" s="1"/>
  <c r="AS38" i="12"/>
  <c r="G56" i="12"/>
  <c r="G61" i="12" s="1"/>
  <c r="S56" i="12"/>
  <c r="S61" i="12" s="1"/>
  <c r="AE56" i="12"/>
  <c r="AE61" i="12" s="1"/>
  <c r="AQ56" i="12"/>
  <c r="AQ61" i="12" s="1"/>
  <c r="V74" i="12"/>
  <c r="AH74" i="12"/>
  <c r="AT74" i="12"/>
  <c r="AT79" i="12" s="1"/>
  <c r="P76" i="12"/>
  <c r="R76" i="12"/>
  <c r="AY128" i="12"/>
  <c r="AK81" i="13"/>
  <c r="AK84" i="13" s="1"/>
  <c r="AT73" i="13"/>
  <c r="AL81" i="13"/>
  <c r="AL84" i="13" s="1"/>
  <c r="AX81" i="13"/>
  <c r="AX84" i="13" s="1"/>
  <c r="K56" i="12"/>
  <c r="K61" i="12" s="1"/>
  <c r="W56" i="12"/>
  <c r="W61" i="12" s="1"/>
  <c r="AI56" i="12"/>
  <c r="AI58" i="12" s="1"/>
  <c r="AU56" i="12"/>
  <c r="Z74" i="12"/>
  <c r="AL74" i="12"/>
  <c r="AX74" i="12"/>
  <c r="AX79" i="12" s="1"/>
  <c r="AN92" i="12"/>
  <c r="AN97" i="12" s="1"/>
  <c r="AZ92" i="12"/>
  <c r="AZ94" i="12" s="1"/>
  <c r="AT110" i="12"/>
  <c r="AW128" i="12"/>
  <c r="AW130" i="12" s="1"/>
  <c r="M81" i="13"/>
  <c r="Z81" i="13"/>
  <c r="AM81" i="13"/>
  <c r="X112" i="12"/>
  <c r="AN81" i="13"/>
  <c r="AZ81" i="13"/>
  <c r="AZ84" i="13" s="1"/>
  <c r="L38" i="12"/>
  <c r="L43" i="12" s="1"/>
  <c r="X38" i="12"/>
  <c r="X43" i="12" s="1"/>
  <c r="AJ38" i="12"/>
  <c r="AV38" i="12"/>
  <c r="BB92" i="12"/>
  <c r="D38" i="12"/>
  <c r="D43" i="12" s="1"/>
  <c r="P38" i="12"/>
  <c r="P40" i="12" s="1"/>
  <c r="AZ38" i="12"/>
  <c r="AZ43" i="12" s="1"/>
  <c r="N56" i="12"/>
  <c r="N61" i="12" s="1"/>
  <c r="AW110" i="12"/>
  <c r="AR128" i="12"/>
  <c r="D81" i="13"/>
  <c r="AX19" i="12"/>
  <c r="AX21" i="12" s="1"/>
  <c r="O56" i="12"/>
  <c r="AA56" i="12"/>
  <c r="AM56" i="12"/>
  <c r="AY56" i="12"/>
  <c r="AD74" i="12"/>
  <c r="AD79" i="12" s="1"/>
  <c r="AP74" i="12"/>
  <c r="BB74" i="12"/>
  <c r="BB76" i="12" s="1"/>
  <c r="AR92" i="12"/>
  <c r="AR97" i="12" s="1"/>
  <c r="AS128" i="12"/>
  <c r="E81" i="13"/>
  <c r="Q19" i="12"/>
  <c r="Q21" i="12" s="1"/>
  <c r="F19" i="12"/>
  <c r="R19" i="12"/>
  <c r="AP19" i="12"/>
  <c r="BB19" i="12"/>
  <c r="BB24" i="12" s="1"/>
  <c r="G19" i="12"/>
  <c r="G24" i="12" s="1"/>
  <c r="S19" i="12"/>
  <c r="S24" i="12" s="1"/>
  <c r="AE19" i="12"/>
  <c r="AQ19" i="12"/>
  <c r="AQ24" i="12" s="1"/>
  <c r="K79" i="12"/>
  <c r="AS92" i="12"/>
  <c r="AM110" i="12"/>
  <c r="AY110" i="12"/>
  <c r="AY112" i="12" s="1"/>
  <c r="F81" i="13"/>
  <c r="R81" i="13"/>
  <c r="AD81" i="13"/>
  <c r="AD84" i="13" s="1"/>
  <c r="AK63" i="13"/>
  <c r="AZ85" i="13"/>
  <c r="AT61" i="12"/>
  <c r="R56" i="12"/>
  <c r="AD56" i="12"/>
  <c r="Q76" i="12"/>
  <c r="O79" i="12"/>
  <c r="D94" i="12"/>
  <c r="AF94" i="12"/>
  <c r="J97" i="12"/>
  <c r="N112" i="12"/>
  <c r="U115" i="12"/>
  <c r="AP128" i="12"/>
  <c r="AP133" i="12" s="1"/>
  <c r="BB128" i="12"/>
  <c r="L130" i="12"/>
  <c r="AL130" i="12"/>
  <c r="I133" i="12"/>
  <c r="AJ133" i="12"/>
  <c r="Z43" i="13"/>
  <c r="AQ81" i="13"/>
  <c r="AO83" i="13"/>
  <c r="AO74" i="13"/>
  <c r="AO85" i="13" s="1"/>
  <c r="W19" i="12"/>
  <c r="W21" i="12" s="1"/>
  <c r="AI19" i="12"/>
  <c r="AI24" i="12" s="1"/>
  <c r="O19" i="12"/>
  <c r="O24" i="12" s="1"/>
  <c r="AA19" i="12"/>
  <c r="AM19" i="12"/>
  <c r="AM24" i="12" s="1"/>
  <c r="AY19" i="12"/>
  <c r="AY24" i="12" s="1"/>
  <c r="AJ19" i="12"/>
  <c r="AV19" i="12"/>
  <c r="AV24" i="12" s="1"/>
  <c r="M38" i="12"/>
  <c r="M43" i="12" s="1"/>
  <c r="AK38" i="12"/>
  <c r="AK43" i="12" s="1"/>
  <c r="F94" i="12"/>
  <c r="L97" i="12"/>
  <c r="P112" i="12"/>
  <c r="V115" i="12"/>
  <c r="N130" i="12"/>
  <c r="G81" i="13"/>
  <c r="S81" i="13"/>
  <c r="AQ83" i="13"/>
  <c r="AQ34" i="13"/>
  <c r="AP83" i="13"/>
  <c r="AP74" i="13"/>
  <c r="AP85" i="13" s="1"/>
  <c r="N81" i="13"/>
  <c r="D19" i="12"/>
  <c r="P19" i="12"/>
  <c r="P24" i="12" s="1"/>
  <c r="AB19" i="12"/>
  <c r="AN19" i="12"/>
  <c r="AZ19" i="12"/>
  <c r="H94" i="12"/>
  <c r="N97" i="12"/>
  <c r="Q112" i="12"/>
  <c r="P130" i="12"/>
  <c r="D33" i="13"/>
  <c r="BB81" i="13"/>
  <c r="BB84" i="13" s="1"/>
  <c r="O81" i="13"/>
  <c r="AO81" i="13"/>
  <c r="AO19" i="12"/>
  <c r="AO21" i="12" s="1"/>
  <c r="BA19" i="12"/>
  <c r="BA21" i="12" s="1"/>
  <c r="I56" i="12"/>
  <c r="I58" i="12" s="1"/>
  <c r="AP92" i="12"/>
  <c r="AP94" i="12" s="1"/>
  <c r="O97" i="12"/>
  <c r="R112" i="12"/>
  <c r="Z115" i="12"/>
  <c r="Q130" i="12"/>
  <c r="I81" i="13"/>
  <c r="U81" i="13"/>
  <c r="E33" i="13"/>
  <c r="AR83" i="13"/>
  <c r="AR74" i="13"/>
  <c r="AR85" i="13" s="1"/>
  <c r="P81" i="13"/>
  <c r="AW81" i="13"/>
  <c r="AW84" i="13" s="1"/>
  <c r="AJ82" i="13"/>
  <c r="V56" i="12"/>
  <c r="V61" i="12" s="1"/>
  <c r="AF74" i="12"/>
  <c r="AF79" i="12" s="1"/>
  <c r="AR74" i="12"/>
  <c r="AN79" i="12"/>
  <c r="P97" i="12"/>
  <c r="J81" i="13"/>
  <c r="V81" i="13"/>
  <c r="Q81" i="13"/>
  <c r="F79" i="12"/>
  <c r="T97" i="12"/>
  <c r="D115" i="12"/>
  <c r="AD115" i="12"/>
  <c r="S130" i="12"/>
  <c r="X133" i="12"/>
  <c r="F12" i="13"/>
  <c r="K81" i="13"/>
  <c r="W81" i="13"/>
  <c r="AJ53" i="13"/>
  <c r="AJ81" i="13"/>
  <c r="AV81" i="13"/>
  <c r="Y81" i="13"/>
  <c r="H19" i="12"/>
  <c r="H24" i="12" s="1"/>
  <c r="G79" i="12"/>
  <c r="V97" i="12"/>
  <c r="F115" i="12"/>
  <c r="AH115" i="12"/>
  <c r="T130" i="12"/>
  <c r="Z133" i="12"/>
  <c r="L81" i="13"/>
  <c r="X81" i="13"/>
  <c r="AQ63" i="13"/>
  <c r="AM73" i="13"/>
  <c r="BA81" i="13"/>
  <c r="BA84" i="13" s="1"/>
  <c r="T19" i="12"/>
  <c r="T24" i="12" s="1"/>
  <c r="AR19" i="12"/>
  <c r="AR24" i="12" s="1"/>
  <c r="AD19" i="12"/>
  <c r="AD24" i="12" s="1"/>
  <c r="Y56" i="12"/>
  <c r="Y61" i="12" s="1"/>
  <c r="J76" i="12"/>
  <c r="R94" i="12"/>
  <c r="X97" i="12"/>
  <c r="H115" i="12"/>
  <c r="AB133" i="12"/>
  <c r="AV63" i="13"/>
  <c r="AN73" i="13"/>
  <c r="AA81" i="13"/>
  <c r="AF19" i="12"/>
  <c r="AF24" i="12" s="1"/>
  <c r="E19" i="12"/>
  <c r="E21" i="12" s="1"/>
  <c r="E38" i="12"/>
  <c r="BA38" i="12"/>
  <c r="BA40" i="12" s="1"/>
  <c r="Z56" i="12"/>
  <c r="Z61" i="12" s="1"/>
  <c r="AL56" i="12"/>
  <c r="AL58" i="12" s="1"/>
  <c r="AX56" i="12"/>
  <c r="X74" i="12"/>
  <c r="X79" i="12" s="1"/>
  <c r="AJ74" i="12"/>
  <c r="AJ79" i="12" s="1"/>
  <c r="AV74" i="12"/>
  <c r="AV79" i="12" s="1"/>
  <c r="L76" i="12"/>
  <c r="Z97" i="12"/>
  <c r="AP110" i="12"/>
  <c r="BB110" i="12"/>
  <c r="BB112" i="12" s="1"/>
  <c r="L115" i="12"/>
  <c r="AT128" i="12"/>
  <c r="AD133" i="12"/>
  <c r="AG81" i="13"/>
  <c r="AG84" i="13" s="1"/>
  <c r="AB81" i="13"/>
  <c r="AB84" i="13" s="1"/>
  <c r="P61" i="12"/>
  <c r="M76" i="12"/>
  <c r="AB97" i="12"/>
  <c r="AI110" i="12"/>
  <c r="AI115" i="12" s="1"/>
  <c r="AM128" i="12"/>
  <c r="AU128" i="12"/>
  <c r="AU130" i="12" s="1"/>
  <c r="D130" i="12"/>
  <c r="AE133" i="12"/>
  <c r="R12" i="13"/>
  <c r="AQ82" i="13"/>
  <c r="AQ74" i="13"/>
  <c r="AC81" i="13"/>
  <c r="AC84" i="13" s="1"/>
  <c r="S38" i="12"/>
  <c r="N76" i="12"/>
  <c r="AK92" i="12"/>
  <c r="AK97" i="12" s="1"/>
  <c r="AW92" i="12"/>
  <c r="AW97" i="12" s="1"/>
  <c r="E97" i="12"/>
  <c r="AC97" i="12"/>
  <c r="J112" i="12"/>
  <c r="E130" i="12"/>
  <c r="F133" i="12"/>
  <c r="AF133" i="12"/>
  <c r="S33" i="13"/>
  <c r="AM83" i="13"/>
  <c r="AM74" i="13"/>
  <c r="AM85" i="13" s="1"/>
  <c r="AU38" i="12"/>
  <c r="AU43" i="12" s="1"/>
  <c r="AA74" i="12"/>
  <c r="AA76" i="12" s="1"/>
  <c r="AY74" i="12"/>
  <c r="AY76" i="12" s="1"/>
  <c r="AD97" i="12"/>
  <c r="H133" i="12"/>
  <c r="AG133" i="12"/>
  <c r="AG85" i="13"/>
  <c r="AY85" i="13"/>
  <c r="AL85" i="13"/>
  <c r="AX85" i="13"/>
  <c r="AO73" i="13"/>
  <c r="AT83" i="13"/>
  <c r="AU83" i="13"/>
  <c r="AK85" i="13"/>
  <c r="AI85" i="13"/>
  <c r="AN85" i="13"/>
  <c r="BA85" i="13"/>
  <c r="BB85" i="13"/>
  <c r="AQ73" i="13"/>
  <c r="AQ33" i="13"/>
  <c r="AB85" i="13"/>
  <c r="AD85" i="13"/>
  <c r="AU85" i="13"/>
  <c r="AE85" i="13"/>
  <c r="AJ85" i="13"/>
  <c r="AS83" i="13"/>
  <c r="AB67" i="13"/>
  <c r="AB77" i="13"/>
  <c r="AO77" i="13"/>
  <c r="AO67" i="13"/>
  <c r="AP67" i="13"/>
  <c r="AP77" i="13"/>
  <c r="AR77" i="13"/>
  <c r="AR67" i="13"/>
  <c r="AF77" i="13"/>
  <c r="AF67" i="13"/>
  <c r="AK67" i="13"/>
  <c r="AK77" i="13"/>
  <c r="AJ67" i="13"/>
  <c r="AJ77" i="13"/>
  <c r="AG67" i="13"/>
  <c r="AG77" i="13"/>
  <c r="AL67" i="13"/>
  <c r="AL77" i="13"/>
  <c r="AM67" i="13"/>
  <c r="AM77" i="13"/>
  <c r="AS85" i="13"/>
  <c r="AQ67" i="13"/>
  <c r="AQ77" i="13"/>
  <c r="AH67" i="13"/>
  <c r="AH77" i="13"/>
  <c r="AN67" i="13"/>
  <c r="AN77" i="13"/>
  <c r="AI77" i="13"/>
  <c r="AI67" i="13"/>
  <c r="AT85" i="13"/>
  <c r="U33" i="13"/>
  <c r="J33" i="13"/>
  <c r="V33" i="13"/>
  <c r="AE81" i="13"/>
  <c r="AE84" i="13" s="1"/>
  <c r="I33" i="13"/>
  <c r="AP81" i="13"/>
  <c r="K33" i="13"/>
  <c r="W33" i="13"/>
  <c r="BB53" i="13"/>
  <c r="H81" i="13"/>
  <c r="T81" i="13"/>
  <c r="AF81" i="13"/>
  <c r="AF84" i="13" s="1"/>
  <c r="AR81" i="13"/>
  <c r="AN83" i="13"/>
  <c r="L33" i="13"/>
  <c r="X33" i="13"/>
  <c r="AS81" i="13"/>
  <c r="AH81" i="13"/>
  <c r="AH84" i="13" s="1"/>
  <c r="AT81" i="13"/>
  <c r="AI81" i="13"/>
  <c r="AI84" i="13" s="1"/>
  <c r="AU81" i="13"/>
  <c r="AY70" i="13"/>
  <c r="AC115" i="12"/>
  <c r="AC112" i="12"/>
  <c r="H79" i="12"/>
  <c r="H76" i="12"/>
  <c r="J133" i="12"/>
  <c r="J130" i="12"/>
  <c r="V133" i="12"/>
  <c r="V130" i="12"/>
  <c r="AH130" i="12"/>
  <c r="S115" i="12"/>
  <c r="S112" i="12"/>
  <c r="W130" i="12"/>
  <c r="W133" i="12"/>
  <c r="I94" i="12"/>
  <c r="I97" i="12"/>
  <c r="U94" i="12"/>
  <c r="U97" i="12"/>
  <c r="AG94" i="12"/>
  <c r="AG97" i="12"/>
  <c r="T115" i="12"/>
  <c r="T112" i="12"/>
  <c r="AF112" i="12"/>
  <c r="I79" i="12"/>
  <c r="I76" i="12"/>
  <c r="AE112" i="12"/>
  <c r="K130" i="12"/>
  <c r="K133" i="12"/>
  <c r="AI130" i="12"/>
  <c r="AI133" i="12"/>
  <c r="AG56" i="12"/>
  <c r="AS56" i="12"/>
  <c r="AC76" i="12"/>
  <c r="AR110" i="12"/>
  <c r="M130" i="12"/>
  <c r="M133" i="12"/>
  <c r="Y130" i="12"/>
  <c r="Y133" i="12"/>
  <c r="AK130" i="12"/>
  <c r="AK133" i="12"/>
  <c r="E115" i="12"/>
  <c r="E112" i="12"/>
  <c r="K19" i="12"/>
  <c r="K94" i="12"/>
  <c r="K97" i="12"/>
  <c r="W94" i="12"/>
  <c r="W97" i="12"/>
  <c r="L19" i="12"/>
  <c r="X19" i="12"/>
  <c r="AJ92" i="12"/>
  <c r="AV92" i="12"/>
  <c r="G115" i="12"/>
  <c r="Q38" i="12"/>
  <c r="AC38" i="12"/>
  <c r="AO38" i="12"/>
  <c r="L56" i="12"/>
  <c r="X56" i="12"/>
  <c r="AJ56" i="12"/>
  <c r="AV56" i="12"/>
  <c r="AN115" i="12"/>
  <c r="Y94" i="12"/>
  <c r="I115" i="12"/>
  <c r="D76" i="12"/>
  <c r="AL92" i="12"/>
  <c r="AX92" i="12"/>
  <c r="Q97" i="12"/>
  <c r="O130" i="12"/>
  <c r="O133" i="12"/>
  <c r="AA130" i="12"/>
  <c r="AA133" i="12"/>
  <c r="E76" i="12"/>
  <c r="AA94" i="12"/>
  <c r="K112" i="12"/>
  <c r="K115" i="12"/>
  <c r="W112" i="12"/>
  <c r="W115" i="12"/>
  <c r="G130" i="12"/>
  <c r="F38" i="12"/>
  <c r="R38" i="12"/>
  <c r="AD38" i="12"/>
  <c r="AP38" i="12"/>
  <c r="BB38" i="12"/>
  <c r="S79" i="12"/>
  <c r="AV128" i="12"/>
  <c r="M94" i="12"/>
  <c r="AJ110" i="12"/>
  <c r="AV110" i="12"/>
  <c r="M112" i="12"/>
  <c r="M115" i="12"/>
  <c r="Y112" i="12"/>
  <c r="Y115" i="12"/>
  <c r="AG115" i="12"/>
  <c r="AC130" i="12"/>
  <c r="U133" i="12"/>
  <c r="AX128" i="12"/>
  <c r="G94" i="12"/>
  <c r="G97" i="12"/>
  <c r="S94" i="12"/>
  <c r="S97" i="12"/>
  <c r="AE94" i="12"/>
  <c r="AE97" i="12"/>
  <c r="AL110" i="12"/>
  <c r="AX110" i="12"/>
  <c r="O112" i="12"/>
  <c r="O115" i="12"/>
  <c r="AA112" i="12"/>
  <c r="AA115" i="12"/>
  <c r="J38" i="12"/>
  <c r="V38" i="12"/>
  <c r="AH38" i="12"/>
  <c r="AT38" i="12"/>
  <c r="AN128" i="12"/>
  <c r="AZ128" i="12"/>
  <c r="Z40" i="12" l="1"/>
  <c r="Z43" i="12"/>
  <c r="H58" i="12"/>
  <c r="H61" i="12"/>
  <c r="J61" i="12"/>
  <c r="J58" i="12"/>
  <c r="O40" i="12"/>
  <c r="O43" i="12"/>
  <c r="AB76" i="12"/>
  <c r="AB79" i="12"/>
  <c r="AF58" i="12"/>
  <c r="AF61" i="12"/>
  <c r="AR58" i="12"/>
  <c r="AR61" i="12"/>
  <c r="AU79" i="12"/>
  <c r="AU76" i="12"/>
  <c r="AH61" i="12"/>
  <c r="AH58" i="12"/>
  <c r="Y79" i="12"/>
  <c r="Y76" i="12"/>
  <c r="AK79" i="12"/>
  <c r="AK76" i="12"/>
  <c r="AW79" i="12"/>
  <c r="AW76" i="12"/>
  <c r="BB61" i="12"/>
  <c r="BB58" i="12"/>
  <c r="U79" i="12"/>
  <c r="U76" i="12"/>
  <c r="AQ112" i="12"/>
  <c r="AQ115" i="12"/>
  <c r="Z79" i="12"/>
  <c r="Z76" i="12"/>
  <c r="AS97" i="12"/>
  <c r="AS94" i="12"/>
  <c r="AM115" i="12"/>
  <c r="AM112" i="12"/>
  <c r="AO84" i="13"/>
  <c r="AN84" i="13"/>
  <c r="AZ115" i="12"/>
  <c r="AZ112" i="12"/>
  <c r="BA79" i="12"/>
  <c r="BA76" i="12"/>
  <c r="AO79" i="12"/>
  <c r="AO76" i="12"/>
  <c r="AI94" i="12"/>
  <c r="AI97" i="12"/>
  <c r="D61" i="12"/>
  <c r="D58" i="12"/>
  <c r="AB61" i="12"/>
  <c r="AB58" i="12"/>
  <c r="AN61" i="12"/>
  <c r="AN58" i="12"/>
  <c r="AZ58" i="12"/>
  <c r="AZ61" i="12"/>
  <c r="AQ97" i="12"/>
  <c r="AQ94" i="12"/>
  <c r="AO130" i="12"/>
  <c r="AO133" i="12"/>
  <c r="AO94" i="12"/>
  <c r="AO97" i="12"/>
  <c r="BA94" i="12"/>
  <c r="BA97" i="12"/>
  <c r="T58" i="12"/>
  <c r="T61" i="12"/>
  <c r="M24" i="12"/>
  <c r="M21" i="12"/>
  <c r="AK21" i="12"/>
  <c r="AK24" i="12"/>
  <c r="AL43" i="12"/>
  <c r="AL40" i="12"/>
  <c r="AX40" i="12"/>
  <c r="AX43" i="12"/>
  <c r="AK58" i="12"/>
  <c r="AK61" i="12"/>
  <c r="AW58" i="12"/>
  <c r="AW61" i="12"/>
  <c r="AO115" i="12"/>
  <c r="AO112" i="12"/>
  <c r="AO58" i="12"/>
  <c r="AO61" i="12"/>
  <c r="E58" i="12"/>
  <c r="E61" i="12"/>
  <c r="Q58" i="12"/>
  <c r="Q61" i="12"/>
  <c r="BA58" i="12"/>
  <c r="BA61" i="12"/>
  <c r="AC21" i="12"/>
  <c r="AC24" i="12"/>
  <c r="AE40" i="12"/>
  <c r="AE43" i="12"/>
  <c r="AB40" i="12"/>
  <c r="AB43" i="12"/>
  <c r="F61" i="12"/>
  <c r="F58" i="12"/>
  <c r="AC61" i="12"/>
  <c r="AC58" i="12"/>
  <c r="I24" i="12"/>
  <c r="I21" i="12"/>
  <c r="AG24" i="12"/>
  <c r="AG21" i="12"/>
  <c r="H43" i="12"/>
  <c r="H40" i="12"/>
  <c r="AM94" i="12"/>
  <c r="AM97" i="12"/>
  <c r="AY94" i="12"/>
  <c r="AY97" i="12"/>
  <c r="Y21" i="12"/>
  <c r="Y24" i="12"/>
  <c r="AT24" i="12"/>
  <c r="AT21" i="12"/>
  <c r="N24" i="12"/>
  <c r="N21" i="12"/>
  <c r="Z24" i="12"/>
  <c r="Z21" i="12"/>
  <c r="Y43" i="12"/>
  <c r="Y40" i="12"/>
  <c r="AZ79" i="12"/>
  <c r="AZ76" i="12"/>
  <c r="AM40" i="12"/>
  <c r="AM43" i="12"/>
  <c r="AY40" i="12"/>
  <c r="AY43" i="12"/>
  <c r="AH94" i="12"/>
  <c r="AH97" i="12"/>
  <c r="AT94" i="12"/>
  <c r="AT97" i="12"/>
  <c r="AW43" i="12"/>
  <c r="AW40" i="12"/>
  <c r="AU97" i="12"/>
  <c r="AU94" i="12"/>
  <c r="AE76" i="12"/>
  <c r="AE79" i="12"/>
  <c r="AS21" i="12"/>
  <c r="AS24" i="12"/>
  <c r="AK115" i="12"/>
  <c r="AK112" i="12"/>
  <c r="AU112" i="12"/>
  <c r="AU115" i="12"/>
  <c r="W43" i="12"/>
  <c r="W40" i="12"/>
  <c r="AI43" i="12"/>
  <c r="AI40" i="12"/>
  <c r="AH24" i="12"/>
  <c r="AH21" i="12"/>
  <c r="U43" i="12"/>
  <c r="U40" i="12"/>
  <c r="AS43" i="12"/>
  <c r="AS40" i="12"/>
  <c r="V76" i="12"/>
  <c r="V79" i="12"/>
  <c r="AH76" i="12"/>
  <c r="AH79" i="12"/>
  <c r="AY130" i="12"/>
  <c r="AY133" i="12"/>
  <c r="AU61" i="12"/>
  <c r="AU58" i="12"/>
  <c r="AL76" i="12"/>
  <c r="AL79" i="12"/>
  <c r="AT112" i="12"/>
  <c r="AT115" i="12"/>
  <c r="AJ40" i="12"/>
  <c r="AJ43" i="12"/>
  <c r="AV43" i="12"/>
  <c r="AV40" i="12"/>
  <c r="BB97" i="12"/>
  <c r="BB94" i="12"/>
  <c r="AW112" i="12"/>
  <c r="AW115" i="12"/>
  <c r="AR130" i="12"/>
  <c r="AR133" i="12"/>
  <c r="O61" i="12"/>
  <c r="O58" i="12"/>
  <c r="AA58" i="12"/>
  <c r="AA61" i="12"/>
  <c r="AM61" i="12"/>
  <c r="AM58" i="12"/>
  <c r="AY58" i="12"/>
  <c r="AY61" i="12"/>
  <c r="AP79" i="12"/>
  <c r="AP76" i="12"/>
  <c r="AS130" i="12"/>
  <c r="AS133" i="12"/>
  <c r="F21" i="12"/>
  <c r="F24" i="12"/>
  <c r="R21" i="12"/>
  <c r="R24" i="12"/>
  <c r="AP24" i="12"/>
  <c r="AP21" i="12"/>
  <c r="AE24" i="12"/>
  <c r="AE21" i="12"/>
  <c r="BB133" i="12"/>
  <c r="BB130" i="12"/>
  <c r="AJ24" i="12"/>
  <c r="AJ21" i="12"/>
  <c r="E40" i="12"/>
  <c r="E43" i="12"/>
  <c r="AT130" i="12"/>
  <c r="AT133" i="12"/>
  <c r="AM133" i="12"/>
  <c r="AM130" i="12"/>
  <c r="S40" i="12"/>
  <c r="S43" i="12"/>
  <c r="W79" i="12"/>
  <c r="AE58" i="12"/>
  <c r="AM79" i="12"/>
  <c r="AQ21" i="12"/>
  <c r="T40" i="12"/>
  <c r="AU21" i="12"/>
  <c r="BA130" i="12"/>
  <c r="AI112" i="12"/>
  <c r="AW24" i="12"/>
  <c r="AM84" i="13"/>
  <c r="K43" i="12"/>
  <c r="X40" i="12"/>
  <c r="K58" i="12"/>
  <c r="Y58" i="12"/>
  <c r="BA115" i="12"/>
  <c r="T76" i="12"/>
  <c r="AI79" i="12"/>
  <c r="AD21" i="12"/>
  <c r="N58" i="12"/>
  <c r="AR94" i="12"/>
  <c r="AX76" i="12"/>
  <c r="AQ58" i="12"/>
  <c r="AK40" i="12"/>
  <c r="N43" i="12"/>
  <c r="AG40" i="12"/>
  <c r="G43" i="12"/>
  <c r="L40" i="12"/>
  <c r="AN94" i="12"/>
  <c r="AG79" i="12"/>
  <c r="AS115" i="12"/>
  <c r="AF40" i="12"/>
  <c r="M58" i="12"/>
  <c r="AN43" i="12"/>
  <c r="AQ79" i="12"/>
  <c r="AP97" i="12"/>
  <c r="S86" i="57"/>
  <c r="S84" i="57" s="1"/>
  <c r="AA79" i="12"/>
  <c r="AK94" i="12"/>
  <c r="AA43" i="12"/>
  <c r="I40" i="12"/>
  <c r="E24" i="12"/>
  <c r="AX24" i="12"/>
  <c r="AD86" i="57"/>
  <c r="AD112" i="57" s="1"/>
  <c r="AD121" i="57" s="1"/>
  <c r="AQ43" i="12"/>
  <c r="AR43" i="12"/>
  <c r="AU40" i="12"/>
  <c r="AV21" i="12"/>
  <c r="V24" i="12"/>
  <c r="T21" i="12"/>
  <c r="P21" i="12"/>
  <c r="S21" i="12"/>
  <c r="H21" i="12"/>
  <c r="AL61" i="12"/>
  <c r="O21" i="12"/>
  <c r="AL24" i="12"/>
  <c r="AQ130" i="12"/>
  <c r="AS79" i="12"/>
  <c r="S86" i="58"/>
  <c r="S84" i="58" s="1"/>
  <c r="U61" i="12"/>
  <c r="W24" i="12"/>
  <c r="AV76" i="12"/>
  <c r="U24" i="12"/>
  <c r="W58" i="12"/>
  <c r="G58" i="12"/>
  <c r="AD86" i="56"/>
  <c r="AD84" i="56" s="1"/>
  <c r="S86" i="55"/>
  <c r="S112" i="55" s="1"/>
  <c r="S121" i="55" s="1"/>
  <c r="AQ84" i="13"/>
  <c r="S86" i="56"/>
  <c r="S84" i="56" s="1"/>
  <c r="AD86" i="59"/>
  <c r="AD84" i="59" s="1"/>
  <c r="AD86" i="58"/>
  <c r="AD84" i="58" s="1"/>
  <c r="S86" i="59"/>
  <c r="S84" i="59" s="1"/>
  <c r="AD86" i="55"/>
  <c r="S84" i="60"/>
  <c r="S112" i="60"/>
  <c r="S121" i="60" s="1"/>
  <c r="AP58" i="12"/>
  <c r="AR84" i="13"/>
  <c r="AI61" i="12"/>
  <c r="AZ40" i="12"/>
  <c r="AP130" i="12"/>
  <c r="AF21" i="12"/>
  <c r="AT76" i="12"/>
  <c r="BB79" i="12"/>
  <c r="BA43" i="12"/>
  <c r="X76" i="12"/>
  <c r="Q24" i="12"/>
  <c r="G21" i="12"/>
  <c r="J24" i="12"/>
  <c r="AY21" i="12"/>
  <c r="BA24" i="12"/>
  <c r="V58" i="12"/>
  <c r="AU84" i="13"/>
  <c r="S58" i="12"/>
  <c r="AR21" i="12"/>
  <c r="P43" i="12"/>
  <c r="AY115" i="12"/>
  <c r="AZ97" i="12"/>
  <c r="AO24" i="12"/>
  <c r="AI21" i="12"/>
  <c r="AW133" i="12"/>
  <c r="BB21" i="12"/>
  <c r="AM21" i="12"/>
  <c r="AJ76" i="12"/>
  <c r="AJ84" i="13"/>
  <c r="AD76" i="12"/>
  <c r="D40" i="12"/>
  <c r="AF76" i="12"/>
  <c r="BB115" i="12"/>
  <c r="M40" i="12"/>
  <c r="AY79" i="12"/>
  <c r="AA24" i="12"/>
  <c r="AA21" i="12"/>
  <c r="AW94" i="12"/>
  <c r="AU133" i="12"/>
  <c r="D24" i="12"/>
  <c r="D21" i="12"/>
  <c r="Z58" i="12"/>
  <c r="AX61" i="12"/>
  <c r="AX58" i="12"/>
  <c r="I61" i="12"/>
  <c r="AP112" i="12"/>
  <c r="AP115" i="12"/>
  <c r="AT84" i="13"/>
  <c r="AR79" i="12"/>
  <c r="AR76" i="12"/>
  <c r="AZ24" i="12"/>
  <c r="AZ21" i="12"/>
  <c r="AN21" i="12"/>
  <c r="AN24" i="12"/>
  <c r="AD58" i="12"/>
  <c r="AD61" i="12"/>
  <c r="AP84" i="13"/>
  <c r="AS84" i="13"/>
  <c r="AB21" i="12"/>
  <c r="AB24" i="12"/>
  <c r="R61" i="12"/>
  <c r="R58" i="12"/>
  <c r="AQ85" i="13"/>
  <c r="AY73" i="13"/>
  <c r="AY81" i="13"/>
  <c r="AY84" i="13" s="1"/>
  <c r="F43" i="12"/>
  <c r="F40" i="12"/>
  <c r="AX94" i="12"/>
  <c r="AX97" i="12"/>
  <c r="AV115" i="12"/>
  <c r="AV112" i="12"/>
  <c r="AX133" i="12"/>
  <c r="AX130" i="12"/>
  <c r="AV133" i="12"/>
  <c r="AV130" i="12"/>
  <c r="AL97" i="12"/>
  <c r="AL94" i="12"/>
  <c r="AG58" i="12"/>
  <c r="AG61" i="12"/>
  <c r="AT43" i="12"/>
  <c r="AT40" i="12"/>
  <c r="AV94" i="12"/>
  <c r="AV97" i="12"/>
  <c r="AJ115" i="12"/>
  <c r="AJ112" i="12"/>
  <c r="K24" i="12"/>
  <c r="K21" i="12"/>
  <c r="AS58" i="12"/>
  <c r="AS61" i="12"/>
  <c r="AN133" i="12"/>
  <c r="AN130" i="12"/>
  <c r="AD43" i="12"/>
  <c r="AD40" i="12"/>
  <c r="L24" i="12"/>
  <c r="L21" i="12"/>
  <c r="R43" i="12"/>
  <c r="R40" i="12"/>
  <c r="AH43" i="12"/>
  <c r="AH40" i="12"/>
  <c r="AV58" i="12"/>
  <c r="AV61" i="12"/>
  <c r="AJ94" i="12"/>
  <c r="AJ97" i="12"/>
  <c r="V40" i="12"/>
  <c r="V43" i="12"/>
  <c r="AJ61" i="12"/>
  <c r="AJ58" i="12"/>
  <c r="J43" i="12"/>
  <c r="J40" i="12"/>
  <c r="X61" i="12"/>
  <c r="X58" i="12"/>
  <c r="L61" i="12"/>
  <c r="L58" i="12"/>
  <c r="AO43" i="12"/>
  <c r="AO40" i="12"/>
  <c r="AX115" i="12"/>
  <c r="AX112" i="12"/>
  <c r="BB40" i="12"/>
  <c r="BB43" i="12"/>
  <c r="AC43" i="12"/>
  <c r="AC40" i="12"/>
  <c r="AR112" i="12"/>
  <c r="AR115" i="12"/>
  <c r="AZ133" i="12"/>
  <c r="AZ130" i="12"/>
  <c r="AL115" i="12"/>
  <c r="AL112" i="12"/>
  <c r="AP43" i="12"/>
  <c r="AP40" i="12"/>
  <c r="Q43" i="12"/>
  <c r="Q40" i="12"/>
  <c r="X21" i="12"/>
  <c r="X24" i="12"/>
  <c r="S112" i="57" l="1"/>
  <c r="S121" i="57" s="1"/>
  <c r="AD84" i="57"/>
  <c r="S112" i="58"/>
  <c r="S121" i="58" s="1"/>
  <c r="S112" i="56"/>
  <c r="S121" i="56" s="1"/>
  <c r="AD112" i="56"/>
  <c r="AD121" i="56" s="1"/>
  <c r="S84" i="55"/>
  <c r="AD112" i="59"/>
  <c r="AD121" i="59" s="1"/>
  <c r="AD112" i="58"/>
  <c r="AD121" i="58" s="1"/>
  <c r="S112" i="59"/>
  <c r="S121" i="59" s="1"/>
  <c r="AD84" i="55"/>
  <c r="AD112" i="55"/>
  <c r="AD121" i="55" s="1"/>
  <c r="H132" i="102"/>
  <c r="D132" i="102"/>
  <c r="H114" i="102"/>
  <c r="D114" i="102"/>
  <c r="H96" i="102"/>
  <c r="D96" i="102"/>
  <c r="H78" i="102"/>
  <c r="D78" i="102"/>
  <c r="H60" i="102"/>
  <c r="D60" i="102"/>
  <c r="H42" i="102"/>
  <c r="D42" i="102"/>
  <c r="H23" i="102"/>
  <c r="D23" i="102"/>
  <c r="H133" i="102"/>
  <c r="D133" i="102"/>
  <c r="H115" i="102"/>
  <c r="D115" i="102"/>
  <c r="H97" i="102"/>
  <c r="D97" i="102"/>
  <c r="H79" i="102"/>
  <c r="D79" i="102"/>
  <c r="H61" i="102"/>
  <c r="D61" i="102"/>
  <c r="H43" i="102"/>
  <c r="D43" i="102"/>
  <c r="H126" i="102"/>
  <c r="D126" i="102"/>
  <c r="H122" i="102"/>
  <c r="D122" i="102"/>
  <c r="H108" i="102"/>
  <c r="D108" i="102"/>
  <c r="H104" i="102"/>
  <c r="D104" i="102"/>
  <c r="H90" i="102"/>
  <c r="D90" i="102"/>
  <c r="H86" i="102"/>
  <c r="D86" i="102"/>
  <c r="H72" i="102"/>
  <c r="D72" i="102"/>
  <c r="H68" i="102"/>
  <c r="D68" i="102"/>
  <c r="H54" i="102"/>
  <c r="D54" i="102"/>
  <c r="H50" i="102"/>
  <c r="D50" i="102"/>
  <c r="H36" i="102"/>
  <c r="D36" i="102"/>
  <c r="H32" i="102"/>
  <c r="D32" i="102"/>
  <c r="H13" i="102"/>
  <c r="H17" i="102"/>
  <c r="H24" i="102"/>
  <c r="D24" i="102"/>
  <c r="Z68" i="41"/>
  <c r="D74" i="102" l="1"/>
  <c r="D76" i="102" s="1"/>
  <c r="H92" i="102"/>
  <c r="H94" i="102" s="1"/>
  <c r="H128" i="102"/>
  <c r="H130" i="102" s="1"/>
  <c r="K130" i="102" s="1"/>
  <c r="D56" i="102"/>
  <c r="D58" i="102" s="1"/>
  <c r="D38" i="102"/>
  <c r="D40" i="102" s="1"/>
  <c r="D128" i="102"/>
  <c r="D130" i="102" s="1"/>
  <c r="H38" i="102"/>
  <c r="H40" i="102" s="1"/>
  <c r="H74" i="102"/>
  <c r="H76" i="102" s="1"/>
  <c r="H110" i="102"/>
  <c r="H112" i="102" s="1"/>
  <c r="H56" i="102"/>
  <c r="H58" i="102" s="1"/>
  <c r="D110" i="102"/>
  <c r="D112" i="102" s="1"/>
  <c r="D92" i="102"/>
  <c r="D94" i="102" s="1"/>
  <c r="H135" i="102"/>
  <c r="D135" i="102"/>
  <c r="H19" i="102"/>
  <c r="H21" i="102" s="1"/>
  <c r="AG45" i="41"/>
  <c r="AG25" i="41"/>
  <c r="AG22" i="41"/>
  <c r="H77" i="101" l="1"/>
  <c r="D77" i="101"/>
  <c r="H67" i="101"/>
  <c r="D67" i="101"/>
  <c r="H57" i="101"/>
  <c r="D57" i="101"/>
  <c r="H47" i="101"/>
  <c r="D47" i="101"/>
  <c r="H37" i="101"/>
  <c r="D37" i="101"/>
  <c r="H27" i="101"/>
  <c r="D27" i="101"/>
  <c r="H16" i="101"/>
  <c r="D16" i="101"/>
  <c r="H79" i="101"/>
  <c r="H80" i="101"/>
  <c r="H81" i="101"/>
  <c r="H82" i="101"/>
  <c r="H83" i="101"/>
  <c r="H84" i="101"/>
  <c r="D84" i="101"/>
  <c r="H74" i="101"/>
  <c r="D74" i="101"/>
  <c r="H68" i="101"/>
  <c r="H64" i="101"/>
  <c r="H58" i="101"/>
  <c r="D64" i="101"/>
  <c r="D58" i="101"/>
  <c r="H54" i="101"/>
  <c r="D54" i="101"/>
  <c r="H48" i="101"/>
  <c r="D48" i="101"/>
  <c r="H44" i="101"/>
  <c r="D44" i="101"/>
  <c r="H38" i="101"/>
  <c r="H34" i="101"/>
  <c r="D34" i="101"/>
  <c r="H28" i="101"/>
  <c r="D28" i="101"/>
  <c r="H24" i="101"/>
  <c r="D17" i="101"/>
  <c r="H17" i="101"/>
  <c r="H13" i="101"/>
  <c r="D13" i="101"/>
  <c r="H85" i="101" l="1"/>
  <c r="H78" i="101"/>
  <c r="D68" i="101"/>
  <c r="D24" i="101"/>
  <c r="H193" i="102" l="1"/>
  <c r="H185" i="102"/>
  <c r="D185" i="102"/>
  <c r="D169" i="102"/>
  <c r="D161" i="102"/>
  <c r="D153" i="102"/>
  <c r="H137" i="102"/>
  <c r="D137" i="102"/>
  <c r="D17" i="102"/>
  <c r="D13" i="102"/>
  <c r="D83" i="101"/>
  <c r="D82" i="101"/>
  <c r="D79" i="101"/>
  <c r="D78" i="101"/>
  <c r="D80" i="101"/>
  <c r="D19" i="102" l="1"/>
  <c r="D21" i="102" s="1"/>
  <c r="H195" i="102"/>
  <c r="D195" i="102"/>
  <c r="Z80" i="41"/>
  <c r="Y80" i="41"/>
  <c r="X80" i="41"/>
  <c r="W80" i="41"/>
  <c r="V80" i="41"/>
  <c r="U80" i="41"/>
  <c r="T80" i="41"/>
  <c r="S80" i="41"/>
  <c r="R80" i="41"/>
  <c r="Q80" i="41"/>
  <c r="P80" i="41"/>
  <c r="O80" i="41"/>
  <c r="N80" i="41"/>
  <c r="M80" i="41"/>
  <c r="L80" i="41"/>
  <c r="K80" i="41"/>
  <c r="J80" i="41"/>
  <c r="I80" i="41"/>
  <c r="H80" i="41"/>
  <c r="D81" i="101" l="1"/>
  <c r="D85" i="101" s="1"/>
  <c r="J34" i="100"/>
  <c r="I50" i="100"/>
  <c r="G71" i="100"/>
  <c r="E20" i="100"/>
  <c r="K71" i="100"/>
  <c r="J71" i="100"/>
  <c r="I71" i="100"/>
  <c r="H71" i="100"/>
  <c r="F71" i="100"/>
  <c r="E71" i="100"/>
  <c r="D71" i="100"/>
  <c r="K50" i="100"/>
  <c r="J50" i="100"/>
  <c r="H50" i="100"/>
  <c r="G50" i="100"/>
  <c r="F50" i="100"/>
  <c r="E50" i="100"/>
  <c r="D50" i="100"/>
  <c r="K35" i="100"/>
  <c r="J35" i="100"/>
  <c r="I35" i="100"/>
  <c r="H35" i="100"/>
  <c r="G35" i="100"/>
  <c r="F35" i="100"/>
  <c r="E35" i="100"/>
  <c r="D35" i="100"/>
  <c r="K34" i="100"/>
  <c r="K20" i="100"/>
  <c r="J20" i="100"/>
  <c r="I20" i="100"/>
  <c r="H20" i="100"/>
  <c r="G20" i="100"/>
  <c r="F20" i="100"/>
  <c r="D20" i="100"/>
  <c r="K8" i="100"/>
  <c r="J8" i="100"/>
  <c r="I8" i="100"/>
  <c r="H8" i="100"/>
  <c r="G8" i="100"/>
  <c r="F8" i="100"/>
  <c r="E8" i="100"/>
  <c r="D8" i="100"/>
  <c r="G63" i="100" l="1"/>
  <c r="G72" i="100" s="1"/>
  <c r="D63" i="100"/>
  <c r="D72" i="100" s="1"/>
  <c r="D32" i="100"/>
  <c r="K63" i="100"/>
  <c r="K72" i="100" s="1"/>
  <c r="J63" i="100"/>
  <c r="J72" i="100" s="1"/>
  <c r="H63" i="100"/>
  <c r="H72" i="100" s="1"/>
  <c r="F63" i="100"/>
  <c r="F72" i="100" s="1"/>
  <c r="E63" i="100"/>
  <c r="E72" i="100" s="1"/>
  <c r="J32" i="100"/>
  <c r="G32" i="100"/>
  <c r="F32" i="100"/>
  <c r="E32" i="100"/>
  <c r="I63" i="100"/>
  <c r="I72" i="100" s="1"/>
  <c r="I32" i="100"/>
  <c r="H32" i="100"/>
  <c r="K32" i="100"/>
  <c r="D73" i="100" l="1"/>
  <c r="H73" i="100"/>
  <c r="J73" i="100"/>
  <c r="G73" i="100"/>
  <c r="K73" i="100"/>
  <c r="F73" i="100"/>
  <c r="E73" i="100"/>
  <c r="I73" i="100"/>
  <c r="G22" i="77" l="1"/>
  <c r="G15" i="77" s="1"/>
  <c r="F33" i="77"/>
  <c r="G33" i="77"/>
  <c r="F23" i="77"/>
  <c r="G23" i="77"/>
  <c r="F15" i="77"/>
  <c r="F10" i="77"/>
  <c r="F14" i="77" s="1"/>
  <c r="G10" i="77"/>
  <c r="G14" i="77" s="1"/>
  <c r="G30" i="77" l="1"/>
  <c r="G32" i="77" s="1"/>
  <c r="G36" i="77" s="1"/>
  <c r="G39" i="77" s="1"/>
  <c r="F30" i="77"/>
  <c r="F32" i="77" s="1"/>
  <c r="F36" i="77" s="1"/>
  <c r="F39" i="77" s="1"/>
  <c r="E15" i="77" l="1"/>
  <c r="AC43" i="55" l="1"/>
  <c r="AC125" i="55" l="1"/>
  <c r="AC124" i="55"/>
  <c r="AC119" i="55"/>
  <c r="AC118" i="55"/>
  <c r="AC117" i="55"/>
  <c r="AC116" i="55"/>
  <c r="AC110" i="55"/>
  <c r="AC109" i="55"/>
  <c r="AC108" i="55"/>
  <c r="AC107" i="55"/>
  <c r="AC106" i="55"/>
  <c r="AC105" i="55"/>
  <c r="AC104" i="55"/>
  <c r="AC103" i="55"/>
  <c r="AC102" i="55"/>
  <c r="AC101" i="55"/>
  <c r="AC99" i="55"/>
  <c r="AC98" i="55"/>
  <c r="AC97" i="55"/>
  <c r="AC96" i="55"/>
  <c r="AC95" i="55"/>
  <c r="AC94" i="55"/>
  <c r="AC93" i="55"/>
  <c r="AC92" i="55"/>
  <c r="AC91" i="55"/>
  <c r="AC82" i="55"/>
  <c r="AC81" i="55"/>
  <c r="AC80" i="55"/>
  <c r="AC78" i="55"/>
  <c r="AC77" i="55"/>
  <c r="AC76" i="55"/>
  <c r="AC75" i="55"/>
  <c r="AC74" i="55"/>
  <c r="AC73" i="55"/>
  <c r="AC72" i="55"/>
  <c r="AC71" i="55"/>
  <c r="AC70" i="55"/>
  <c r="AC68" i="55"/>
  <c r="AC67" i="55"/>
  <c r="AC66" i="55"/>
  <c r="AC65" i="55"/>
  <c r="AC64" i="55"/>
  <c r="AC63" i="55"/>
  <c r="AC56" i="55"/>
  <c r="AC55" i="55"/>
  <c r="AC54" i="55"/>
  <c r="AC53" i="55"/>
  <c r="AC52" i="55"/>
  <c r="AC51" i="55"/>
  <c r="AC50" i="55"/>
  <c r="AC48" i="55"/>
  <c r="AC47" i="55"/>
  <c r="AC46" i="55"/>
  <c r="AC45" i="55"/>
  <c r="AC37" i="55"/>
  <c r="AC36" i="55"/>
  <c r="AC35" i="55"/>
  <c r="AC34" i="55"/>
  <c r="AC33" i="55"/>
  <c r="AC32" i="55"/>
  <c r="AC31" i="55"/>
  <c r="AC30" i="55"/>
  <c r="AC29" i="55"/>
  <c r="AC25" i="55"/>
  <c r="AC24" i="55"/>
  <c r="AC23" i="55"/>
  <c r="AC22" i="55"/>
  <c r="AC21" i="55"/>
  <c r="AC20" i="55"/>
  <c r="AC19" i="55"/>
  <c r="AC18" i="55"/>
  <c r="AC16" i="55"/>
  <c r="AC15" i="55"/>
  <c r="AC14" i="55"/>
  <c r="AC13" i="55"/>
  <c r="AC12" i="55"/>
  <c r="AC11" i="55"/>
  <c r="AC10" i="55"/>
  <c r="AC9" i="55"/>
  <c r="AC125" i="56"/>
  <c r="AC124" i="56"/>
  <c r="AC119" i="56"/>
  <c r="AC118" i="56"/>
  <c r="AC117" i="56"/>
  <c r="AC116" i="56"/>
  <c r="AC110" i="56"/>
  <c r="AC109" i="56"/>
  <c r="AC108" i="56"/>
  <c r="AC107" i="56"/>
  <c r="AC106" i="56"/>
  <c r="AC105" i="56"/>
  <c r="AC104" i="56"/>
  <c r="AC103" i="56"/>
  <c r="AC102" i="56"/>
  <c r="AC101" i="56"/>
  <c r="AC99" i="56"/>
  <c r="AC98" i="56"/>
  <c r="AC97" i="56"/>
  <c r="AC96" i="56"/>
  <c r="AC95" i="56"/>
  <c r="AC94" i="56"/>
  <c r="AC93" i="56"/>
  <c r="AC92" i="56"/>
  <c r="AC91" i="56"/>
  <c r="AC82" i="56"/>
  <c r="AC81" i="56"/>
  <c r="AC80" i="56"/>
  <c r="AC78" i="56"/>
  <c r="AC77" i="56"/>
  <c r="AC76" i="56"/>
  <c r="AC75" i="56"/>
  <c r="AC74" i="56"/>
  <c r="AC73" i="56"/>
  <c r="AC72" i="56"/>
  <c r="AC71" i="56"/>
  <c r="AC70" i="56"/>
  <c r="AC68" i="56"/>
  <c r="AC67" i="56"/>
  <c r="AC66" i="56"/>
  <c r="AC65" i="56"/>
  <c r="AC64" i="56"/>
  <c r="AC63" i="56"/>
  <c r="AC56" i="56"/>
  <c r="AC55" i="56"/>
  <c r="AC54" i="56"/>
  <c r="AC53" i="56"/>
  <c r="AC52" i="56"/>
  <c r="AC51" i="56"/>
  <c r="AC50" i="56"/>
  <c r="AC48" i="56"/>
  <c r="AC47" i="56"/>
  <c r="AC46" i="56"/>
  <c r="AC45" i="56"/>
  <c r="AC43" i="56"/>
  <c r="AC37" i="56"/>
  <c r="AC36" i="56"/>
  <c r="AC35" i="56"/>
  <c r="AC34" i="56"/>
  <c r="AC33" i="56"/>
  <c r="AC32" i="56"/>
  <c r="AC31" i="56"/>
  <c r="AC30" i="56"/>
  <c r="AC29" i="56"/>
  <c r="AC25" i="56"/>
  <c r="AC24" i="56"/>
  <c r="AC23" i="56"/>
  <c r="AC22" i="56"/>
  <c r="AC21" i="56"/>
  <c r="AC20" i="56"/>
  <c r="AC19" i="56"/>
  <c r="AC18" i="56"/>
  <c r="AC16" i="56"/>
  <c r="AC15" i="56"/>
  <c r="AC14" i="56"/>
  <c r="AC13" i="56"/>
  <c r="AC12" i="56"/>
  <c r="AC11" i="56"/>
  <c r="AC10" i="56"/>
  <c r="AC9" i="56"/>
  <c r="AC125" i="57"/>
  <c r="AC124" i="57"/>
  <c r="AC119" i="57"/>
  <c r="AC118" i="57"/>
  <c r="AC117" i="57"/>
  <c r="AC116" i="57"/>
  <c r="AC110" i="57"/>
  <c r="AC109" i="57"/>
  <c r="AC108" i="57"/>
  <c r="AC107" i="57"/>
  <c r="AC106" i="57"/>
  <c r="AC105" i="57"/>
  <c r="AC104" i="57"/>
  <c r="AC103" i="57"/>
  <c r="AC102" i="57"/>
  <c r="AC101" i="57"/>
  <c r="AC99" i="57"/>
  <c r="AC98" i="57"/>
  <c r="AC97" i="57"/>
  <c r="AC96" i="57"/>
  <c r="AC95" i="57"/>
  <c r="AC94" i="57"/>
  <c r="AC93" i="57"/>
  <c r="AC92" i="57"/>
  <c r="AC91" i="57"/>
  <c r="AC82" i="57"/>
  <c r="AC81" i="57"/>
  <c r="AC80" i="57"/>
  <c r="AC78" i="57"/>
  <c r="AC77" i="57"/>
  <c r="AC76" i="57"/>
  <c r="AC75" i="57"/>
  <c r="AC74" i="57"/>
  <c r="AC73" i="57"/>
  <c r="AC72" i="57"/>
  <c r="AC71" i="57"/>
  <c r="AC70" i="57"/>
  <c r="AC68" i="57"/>
  <c r="AC67" i="57"/>
  <c r="AC66" i="57"/>
  <c r="AC65" i="57"/>
  <c r="AC64" i="57"/>
  <c r="AC63" i="57"/>
  <c r="AC56" i="57"/>
  <c r="AC55" i="57"/>
  <c r="AC54" i="57"/>
  <c r="AC53" i="57"/>
  <c r="AC52" i="57"/>
  <c r="AC51" i="57"/>
  <c r="AC50" i="57"/>
  <c r="AC48" i="57"/>
  <c r="AC47" i="57"/>
  <c r="AC46" i="57"/>
  <c r="AC45" i="57"/>
  <c r="AC43" i="57"/>
  <c r="AC37" i="57"/>
  <c r="AC36" i="57"/>
  <c r="AC35" i="57"/>
  <c r="AC34" i="57"/>
  <c r="AC33" i="57"/>
  <c r="AC32" i="57"/>
  <c r="AC31" i="57"/>
  <c r="AC30" i="57"/>
  <c r="AC29" i="57"/>
  <c r="AC25" i="57"/>
  <c r="AC24" i="57"/>
  <c r="AC23" i="57"/>
  <c r="AC22" i="57"/>
  <c r="AC21" i="57"/>
  <c r="AC20" i="57"/>
  <c r="AC19" i="57"/>
  <c r="AC18" i="57"/>
  <c r="AC16" i="57"/>
  <c r="AC15" i="57"/>
  <c r="AC14" i="57"/>
  <c r="AC13" i="57"/>
  <c r="AC12" i="57"/>
  <c r="AC11" i="57"/>
  <c r="AC10" i="57"/>
  <c r="AC9" i="57"/>
  <c r="AC125" i="58"/>
  <c r="AC124" i="58"/>
  <c r="AC119" i="58"/>
  <c r="AC118" i="58"/>
  <c r="AC117" i="58"/>
  <c r="AC116" i="58"/>
  <c r="AC110" i="58"/>
  <c r="AC109" i="58"/>
  <c r="AC108" i="58"/>
  <c r="AC107" i="58"/>
  <c r="AC106" i="58"/>
  <c r="AC105" i="58"/>
  <c r="AC104" i="58"/>
  <c r="AC103" i="58"/>
  <c r="AC102" i="58"/>
  <c r="AC101" i="58"/>
  <c r="AC99" i="58"/>
  <c r="AC98" i="58"/>
  <c r="AC97" i="58"/>
  <c r="AC96" i="58"/>
  <c r="AC95" i="58"/>
  <c r="AC94" i="58"/>
  <c r="AC93" i="58"/>
  <c r="AC92" i="58"/>
  <c r="AC91" i="58"/>
  <c r="AC82" i="58"/>
  <c r="AC81" i="58"/>
  <c r="AC80" i="58"/>
  <c r="AC78" i="58"/>
  <c r="AC77" i="58"/>
  <c r="AC76" i="58"/>
  <c r="AC75" i="58"/>
  <c r="AC74" i="58"/>
  <c r="AC73" i="58"/>
  <c r="AC72" i="58"/>
  <c r="AC71" i="58"/>
  <c r="AC70" i="58"/>
  <c r="AC68" i="58"/>
  <c r="AC67" i="58"/>
  <c r="AC66" i="58"/>
  <c r="AC65" i="58"/>
  <c r="AC64" i="58"/>
  <c r="AC63" i="58"/>
  <c r="AC56" i="58"/>
  <c r="AC55" i="58"/>
  <c r="AC54" i="58"/>
  <c r="AC53" i="58"/>
  <c r="AC52" i="58"/>
  <c r="AC51" i="58"/>
  <c r="AC50" i="58"/>
  <c r="AC48" i="58"/>
  <c r="AC47" i="58"/>
  <c r="AC46" i="58"/>
  <c r="AC45" i="58"/>
  <c r="AC43" i="58"/>
  <c r="AC37" i="58"/>
  <c r="AC36" i="58"/>
  <c r="AC35" i="58"/>
  <c r="AC34" i="58"/>
  <c r="AC33" i="58"/>
  <c r="AC32" i="58"/>
  <c r="AC31" i="58"/>
  <c r="AC30" i="58"/>
  <c r="AC29" i="58"/>
  <c r="AC25" i="58"/>
  <c r="AC24" i="58"/>
  <c r="AC23" i="58"/>
  <c r="AC22" i="58"/>
  <c r="AC21" i="58"/>
  <c r="AC20" i="58"/>
  <c r="AC19" i="58"/>
  <c r="AC18" i="58"/>
  <c r="AC16" i="58"/>
  <c r="AC15" i="58"/>
  <c r="AC14" i="58"/>
  <c r="AC13" i="58"/>
  <c r="AC12" i="58"/>
  <c r="AC11" i="58"/>
  <c r="AC10" i="58"/>
  <c r="AC9" i="58"/>
  <c r="AC125" i="59"/>
  <c r="AC124" i="59"/>
  <c r="AC119" i="59"/>
  <c r="AC118" i="59"/>
  <c r="AC117" i="59"/>
  <c r="AC116" i="59"/>
  <c r="AC110" i="59"/>
  <c r="AC109" i="59"/>
  <c r="AC108" i="59"/>
  <c r="AC107" i="59"/>
  <c r="AC106" i="59"/>
  <c r="AC105" i="59"/>
  <c r="AC104" i="59"/>
  <c r="AC103" i="59"/>
  <c r="AC102" i="59"/>
  <c r="AC101" i="59"/>
  <c r="AC99" i="59"/>
  <c r="AC98" i="59"/>
  <c r="AC97" i="59"/>
  <c r="AC96" i="59"/>
  <c r="AC95" i="59"/>
  <c r="AC94" i="59"/>
  <c r="AC93" i="59"/>
  <c r="AC92" i="59"/>
  <c r="AC91" i="59"/>
  <c r="AC82" i="59"/>
  <c r="AC81" i="59"/>
  <c r="AC80" i="59"/>
  <c r="AC78" i="59"/>
  <c r="AC77" i="59"/>
  <c r="AC76" i="59"/>
  <c r="AC75" i="59"/>
  <c r="AC74" i="59"/>
  <c r="AC73" i="59"/>
  <c r="AC72" i="59"/>
  <c r="AC71" i="59"/>
  <c r="AC70" i="59"/>
  <c r="AC68" i="59"/>
  <c r="AC67" i="59"/>
  <c r="AC66" i="59"/>
  <c r="AC65" i="59"/>
  <c r="AC64" i="59"/>
  <c r="AC63" i="59"/>
  <c r="AC56" i="59"/>
  <c r="AC55" i="59"/>
  <c r="AC54" i="59"/>
  <c r="AC53" i="59"/>
  <c r="AC52" i="59"/>
  <c r="AC51" i="59"/>
  <c r="AC50" i="59"/>
  <c r="AC48" i="59"/>
  <c r="AC47" i="59"/>
  <c r="AC46" i="59"/>
  <c r="AC45" i="59"/>
  <c r="AC43" i="59"/>
  <c r="AC37" i="59"/>
  <c r="AC36" i="59"/>
  <c r="AC35" i="59"/>
  <c r="AC34" i="59"/>
  <c r="AC33" i="59"/>
  <c r="AC32" i="59"/>
  <c r="AC31" i="59"/>
  <c r="AC30" i="59"/>
  <c r="AC29" i="59"/>
  <c r="AC25" i="59"/>
  <c r="AC24" i="59"/>
  <c r="AC23" i="59"/>
  <c r="AC22" i="59"/>
  <c r="AC21" i="59"/>
  <c r="AC20" i="59"/>
  <c r="AC19" i="59"/>
  <c r="AC18" i="59"/>
  <c r="AC16" i="59"/>
  <c r="AC15" i="59"/>
  <c r="AC14" i="59"/>
  <c r="AC13" i="59"/>
  <c r="AC12" i="59"/>
  <c r="AC11" i="59"/>
  <c r="AC10" i="59"/>
  <c r="AC9" i="59"/>
  <c r="AC125" i="60"/>
  <c r="AC124" i="60"/>
  <c r="AC119" i="60"/>
  <c r="AC118" i="60"/>
  <c r="AC117" i="60"/>
  <c r="AC116" i="60"/>
  <c r="AC110" i="60"/>
  <c r="AC109" i="60"/>
  <c r="AC108" i="60"/>
  <c r="AC107" i="60"/>
  <c r="AC106" i="60"/>
  <c r="AC105" i="60"/>
  <c r="AC104" i="60"/>
  <c r="AC103" i="60"/>
  <c r="AC102" i="60"/>
  <c r="AC101" i="60"/>
  <c r="AC99" i="60"/>
  <c r="AC98" i="60"/>
  <c r="AC97" i="60"/>
  <c r="AC96" i="60"/>
  <c r="AC95" i="60"/>
  <c r="AC94" i="60"/>
  <c r="AC93" i="60"/>
  <c r="AC92" i="60"/>
  <c r="AC91" i="60"/>
  <c r="AC82" i="60"/>
  <c r="AC81" i="60"/>
  <c r="AC80" i="60"/>
  <c r="AC78" i="60"/>
  <c r="AC77" i="60"/>
  <c r="AC76" i="60"/>
  <c r="AC75" i="60"/>
  <c r="AC74" i="60"/>
  <c r="AC73" i="60"/>
  <c r="AC72" i="60"/>
  <c r="AC71" i="60"/>
  <c r="AC70" i="60"/>
  <c r="AC68" i="60"/>
  <c r="AC67" i="60"/>
  <c r="AC66" i="60"/>
  <c r="AC65" i="60"/>
  <c r="AC64" i="60"/>
  <c r="AC63" i="60"/>
  <c r="AC56" i="60"/>
  <c r="AC55" i="60"/>
  <c r="AC54" i="60"/>
  <c r="AC53" i="60"/>
  <c r="AC52" i="60"/>
  <c r="AC51" i="60"/>
  <c r="AC50" i="60"/>
  <c r="AC48" i="60"/>
  <c r="AC47" i="60"/>
  <c r="AC46" i="60"/>
  <c r="AC45" i="60"/>
  <c r="AC43" i="60"/>
  <c r="AC37" i="60"/>
  <c r="AC36" i="60"/>
  <c r="AC35" i="60"/>
  <c r="AC34" i="60"/>
  <c r="AC33" i="60"/>
  <c r="AC32" i="60"/>
  <c r="AC31" i="60"/>
  <c r="AC30" i="60"/>
  <c r="AC29" i="60"/>
  <c r="AC25" i="60"/>
  <c r="AC24" i="60"/>
  <c r="AC23" i="60"/>
  <c r="AC22" i="60"/>
  <c r="AC21" i="60"/>
  <c r="AC20" i="60"/>
  <c r="AC19" i="60"/>
  <c r="AC18" i="60"/>
  <c r="AC16" i="60"/>
  <c r="AC15" i="60"/>
  <c r="AC14" i="60"/>
  <c r="AC13" i="60"/>
  <c r="AC12" i="60"/>
  <c r="AC11" i="60"/>
  <c r="AC10" i="60"/>
  <c r="AC9" i="60"/>
  <c r="AC125" i="61"/>
  <c r="AC124" i="61"/>
  <c r="AC119" i="61"/>
  <c r="AC118" i="61"/>
  <c r="AC117" i="61"/>
  <c r="AC116" i="61"/>
  <c r="AC110" i="61"/>
  <c r="AC109" i="61"/>
  <c r="AC108" i="61"/>
  <c r="AC107" i="61"/>
  <c r="AC106" i="61"/>
  <c r="AC105" i="61"/>
  <c r="AC104" i="61"/>
  <c r="AC103" i="61"/>
  <c r="AC102" i="61"/>
  <c r="AC101" i="61"/>
  <c r="AC99" i="61"/>
  <c r="AC98" i="61"/>
  <c r="AC97" i="61"/>
  <c r="AC96" i="61"/>
  <c r="AC95" i="61"/>
  <c r="AC94" i="61"/>
  <c r="AC93" i="61"/>
  <c r="AC92" i="61"/>
  <c r="AC91" i="61"/>
  <c r="AC82" i="61"/>
  <c r="AC81" i="61"/>
  <c r="AC80" i="61"/>
  <c r="AC78" i="61"/>
  <c r="AC77" i="61"/>
  <c r="AC76" i="61"/>
  <c r="AC75" i="61"/>
  <c r="AC74" i="61"/>
  <c r="AC73" i="61"/>
  <c r="AC72" i="61"/>
  <c r="AC71" i="61"/>
  <c r="AC70" i="61"/>
  <c r="AC68" i="61"/>
  <c r="AC67" i="61"/>
  <c r="AC66" i="61"/>
  <c r="AC65" i="61"/>
  <c r="AC64" i="61"/>
  <c r="AC63" i="61"/>
  <c r="AC56" i="61"/>
  <c r="AC55" i="61"/>
  <c r="AC54" i="61"/>
  <c r="AC53" i="61"/>
  <c r="AC52" i="61"/>
  <c r="AC51" i="61"/>
  <c r="AC50" i="61"/>
  <c r="AC48" i="61"/>
  <c r="AC47" i="61"/>
  <c r="AC46" i="61"/>
  <c r="AC45" i="61"/>
  <c r="AC43" i="61"/>
  <c r="AC37" i="61"/>
  <c r="AC36" i="61"/>
  <c r="AC35" i="61"/>
  <c r="AC34" i="61"/>
  <c r="AC33" i="61"/>
  <c r="AC32" i="61"/>
  <c r="AC31" i="61"/>
  <c r="AC30" i="61"/>
  <c r="AC29" i="61"/>
  <c r="AC25" i="61"/>
  <c r="AC24" i="61"/>
  <c r="AC23" i="61"/>
  <c r="AC22" i="61"/>
  <c r="AC21" i="61"/>
  <c r="AC20" i="61"/>
  <c r="AC19" i="61"/>
  <c r="AC18" i="61"/>
  <c r="AC16" i="61"/>
  <c r="AC15" i="61"/>
  <c r="AC14" i="61"/>
  <c r="AC13" i="61"/>
  <c r="AC12" i="61"/>
  <c r="AC11" i="61"/>
  <c r="AC10" i="61"/>
  <c r="AC9" i="61"/>
  <c r="AC125" i="63"/>
  <c r="AC124" i="63"/>
  <c r="AC119" i="63"/>
  <c r="AC118" i="63"/>
  <c r="AC117" i="63"/>
  <c r="AC116" i="63"/>
  <c r="AC110" i="63"/>
  <c r="AC109" i="63"/>
  <c r="AC108" i="63"/>
  <c r="AC107" i="63"/>
  <c r="AC106" i="63"/>
  <c r="AC105" i="63"/>
  <c r="AC104" i="63"/>
  <c r="AC103" i="63"/>
  <c r="AC102" i="63"/>
  <c r="AC101" i="63"/>
  <c r="AC99" i="63"/>
  <c r="AC98" i="63"/>
  <c r="AC97" i="63"/>
  <c r="AC96" i="63"/>
  <c r="AC95" i="63"/>
  <c r="AC94" i="63"/>
  <c r="AC93" i="63"/>
  <c r="AC92" i="63"/>
  <c r="AC91" i="63"/>
  <c r="AC82" i="63"/>
  <c r="AC81" i="63"/>
  <c r="AC80" i="63"/>
  <c r="AC78" i="63"/>
  <c r="AC77" i="63"/>
  <c r="AC76" i="63"/>
  <c r="AC75" i="63"/>
  <c r="AC74" i="63"/>
  <c r="AC73" i="63"/>
  <c r="AC72" i="63"/>
  <c r="AC71" i="63"/>
  <c r="AC70" i="63"/>
  <c r="AC68" i="63"/>
  <c r="AC67" i="63"/>
  <c r="AC66" i="63"/>
  <c r="AC65" i="63"/>
  <c r="AC64" i="63"/>
  <c r="AC63" i="63"/>
  <c r="AC56" i="63"/>
  <c r="AC55" i="63"/>
  <c r="AC54" i="63"/>
  <c r="AC53" i="63"/>
  <c r="AC52" i="63"/>
  <c r="AC51" i="63"/>
  <c r="AC50" i="63"/>
  <c r="AC48" i="63"/>
  <c r="AC47" i="63"/>
  <c r="AC46" i="63"/>
  <c r="AC45" i="63"/>
  <c r="AC43" i="63"/>
  <c r="AC37" i="63"/>
  <c r="AC36" i="63"/>
  <c r="AC35" i="63"/>
  <c r="AC34" i="63"/>
  <c r="AC33" i="63"/>
  <c r="AC32" i="63"/>
  <c r="AC31" i="63"/>
  <c r="AC30" i="63"/>
  <c r="AC29" i="63"/>
  <c r="AC25" i="63"/>
  <c r="AC24" i="63"/>
  <c r="AC23" i="63"/>
  <c r="AC22" i="63"/>
  <c r="AC21" i="63"/>
  <c r="AC20" i="63"/>
  <c r="AC19" i="63"/>
  <c r="AC18" i="63"/>
  <c r="AC16" i="63"/>
  <c r="AC15" i="63"/>
  <c r="AC14" i="63"/>
  <c r="AC13" i="63"/>
  <c r="AC12" i="63"/>
  <c r="AC11" i="63"/>
  <c r="AC10" i="63"/>
  <c r="AC9" i="63"/>
  <c r="AC125" i="64"/>
  <c r="AC124" i="64"/>
  <c r="AC119" i="64"/>
  <c r="AC118" i="64"/>
  <c r="AC117" i="64"/>
  <c r="AC116" i="64"/>
  <c r="AC110" i="64"/>
  <c r="AC109" i="64"/>
  <c r="AC108" i="64"/>
  <c r="AC107" i="64"/>
  <c r="AC106" i="64"/>
  <c r="AC105" i="64"/>
  <c r="AC104" i="64"/>
  <c r="AC103" i="64"/>
  <c r="AC102" i="64"/>
  <c r="AC101" i="64"/>
  <c r="AC99" i="64"/>
  <c r="AC98" i="64"/>
  <c r="AC97" i="64"/>
  <c r="AC96" i="64"/>
  <c r="AC95" i="64"/>
  <c r="AC94" i="64"/>
  <c r="AC93" i="64"/>
  <c r="AC92" i="64"/>
  <c r="AC91" i="64"/>
  <c r="AC82" i="64"/>
  <c r="AC81" i="64"/>
  <c r="AC80" i="64"/>
  <c r="AC78" i="64"/>
  <c r="AC77" i="64"/>
  <c r="AC76" i="64"/>
  <c r="AC75" i="64"/>
  <c r="AC74" i="64"/>
  <c r="AC73" i="64"/>
  <c r="AC72" i="64"/>
  <c r="AC71" i="64"/>
  <c r="AC70" i="64"/>
  <c r="AC68" i="64"/>
  <c r="AC67" i="64"/>
  <c r="AC66" i="64"/>
  <c r="AC65" i="64"/>
  <c r="AC64" i="64"/>
  <c r="AC63" i="64"/>
  <c r="AC56" i="64"/>
  <c r="AC55" i="64"/>
  <c r="AC54" i="64"/>
  <c r="AC53" i="64"/>
  <c r="AC52" i="64"/>
  <c r="AC51" i="64"/>
  <c r="AC50" i="64"/>
  <c r="AC48" i="64"/>
  <c r="AC47" i="64"/>
  <c r="AC46" i="64"/>
  <c r="AC45" i="64"/>
  <c r="AC43" i="64"/>
  <c r="AC37" i="64"/>
  <c r="AC36" i="64"/>
  <c r="AC35" i="64"/>
  <c r="AC34" i="64"/>
  <c r="AC33" i="64"/>
  <c r="AC32" i="64"/>
  <c r="AC31" i="64"/>
  <c r="AC30" i="64"/>
  <c r="AC29" i="64"/>
  <c r="AC25" i="64"/>
  <c r="AC24" i="64"/>
  <c r="AC23" i="64"/>
  <c r="AC22" i="64"/>
  <c r="AC21" i="64"/>
  <c r="AC20" i="64"/>
  <c r="AC19" i="64"/>
  <c r="AC18" i="64"/>
  <c r="AC16" i="64"/>
  <c r="AC15" i="64"/>
  <c r="AC14" i="64"/>
  <c r="AC13" i="64"/>
  <c r="AC12" i="64"/>
  <c r="AC11" i="64"/>
  <c r="AC10" i="64"/>
  <c r="AC9" i="64"/>
  <c r="AA124" i="62"/>
  <c r="AA123" i="62"/>
  <c r="AA118" i="62"/>
  <c r="AA117" i="62"/>
  <c r="AA116" i="62"/>
  <c r="AA115" i="62"/>
  <c r="AA109" i="62"/>
  <c r="AA108" i="62"/>
  <c r="AA107" i="62"/>
  <c r="AA106" i="62"/>
  <c r="AA105" i="62"/>
  <c r="AA104" i="62"/>
  <c r="AA103" i="62"/>
  <c r="AA102" i="62"/>
  <c r="AA101" i="62"/>
  <c r="AA100" i="62"/>
  <c r="AA98" i="62"/>
  <c r="AA97" i="62"/>
  <c r="AA96" i="62"/>
  <c r="AA95" i="62"/>
  <c r="AA94" i="62"/>
  <c r="AA93" i="62"/>
  <c r="AA92" i="62"/>
  <c r="AA91" i="62"/>
  <c r="AA90" i="62"/>
  <c r="AA81" i="62"/>
  <c r="AA80" i="62"/>
  <c r="AA79" i="62"/>
  <c r="AA77" i="62"/>
  <c r="AA76" i="62"/>
  <c r="AA75" i="62"/>
  <c r="AA74" i="62"/>
  <c r="AA73" i="62"/>
  <c r="AA72" i="62"/>
  <c r="AA71" i="62"/>
  <c r="AA70" i="62"/>
  <c r="AA69" i="62"/>
  <c r="AA67" i="62"/>
  <c r="AA66" i="62"/>
  <c r="AA65" i="62"/>
  <c r="AA64" i="62"/>
  <c r="AA63" i="62"/>
  <c r="AA62" i="62"/>
  <c r="AA55" i="62"/>
  <c r="AA54" i="62"/>
  <c r="AA53" i="62"/>
  <c r="AA52" i="62"/>
  <c r="AA51" i="62"/>
  <c r="AA50" i="62"/>
  <c r="AA49" i="62"/>
  <c r="AA47" i="62"/>
  <c r="AA46" i="62"/>
  <c r="AA45" i="62"/>
  <c r="AA44" i="62"/>
  <c r="AA43" i="62"/>
  <c r="AA37" i="62"/>
  <c r="AA36" i="62"/>
  <c r="AA35" i="62"/>
  <c r="AA34" i="62"/>
  <c r="AA33" i="62"/>
  <c r="AA32" i="62"/>
  <c r="AA31" i="62"/>
  <c r="AA30" i="62"/>
  <c r="AA29" i="62"/>
  <c r="AA25" i="62"/>
  <c r="AA24" i="62"/>
  <c r="AA23" i="62"/>
  <c r="AA22" i="62"/>
  <c r="AA21" i="62"/>
  <c r="AA20" i="62"/>
  <c r="AA19" i="62"/>
  <c r="AA18" i="62"/>
  <c r="AA16" i="62"/>
  <c r="AA15" i="62"/>
  <c r="AA14" i="62"/>
  <c r="AA13" i="62"/>
  <c r="AA12" i="62"/>
  <c r="AA11" i="62"/>
  <c r="AA10" i="62"/>
  <c r="AA9" i="62"/>
  <c r="AA124" i="65"/>
  <c r="AA123" i="65"/>
  <c r="AA118" i="65"/>
  <c r="AA117" i="65"/>
  <c r="AA116" i="65"/>
  <c r="AA115" i="65"/>
  <c r="AA109" i="65"/>
  <c r="AA108" i="65"/>
  <c r="AA107" i="65"/>
  <c r="AA106" i="65"/>
  <c r="AA105" i="65"/>
  <c r="AA104" i="65"/>
  <c r="AA103" i="65"/>
  <c r="AA102" i="65"/>
  <c r="AA101" i="65"/>
  <c r="AA100" i="65"/>
  <c r="AA98" i="65"/>
  <c r="AA97" i="65"/>
  <c r="AA96" i="65"/>
  <c r="AA95" i="65"/>
  <c r="AA94" i="65"/>
  <c r="AA93" i="65"/>
  <c r="AA92" i="65"/>
  <c r="AA91" i="65"/>
  <c r="AA90" i="65"/>
  <c r="AA81" i="65"/>
  <c r="AA80" i="65"/>
  <c r="AA79" i="65"/>
  <c r="AA77" i="65"/>
  <c r="AA76" i="65"/>
  <c r="AA75" i="65"/>
  <c r="AA74" i="65"/>
  <c r="AA73" i="65"/>
  <c r="AA72" i="65"/>
  <c r="AA71" i="65"/>
  <c r="AA70" i="65"/>
  <c r="AA69" i="65"/>
  <c r="AA67" i="65"/>
  <c r="AA66" i="65"/>
  <c r="AA65" i="65"/>
  <c r="AA64" i="65"/>
  <c r="AA63" i="65"/>
  <c r="AA62" i="65"/>
  <c r="AA55" i="65"/>
  <c r="AA54" i="65"/>
  <c r="AA53" i="65"/>
  <c r="AA52" i="65"/>
  <c r="AA51" i="65"/>
  <c r="AA50" i="65"/>
  <c r="AA49" i="65"/>
  <c r="AA47" i="65"/>
  <c r="AA46" i="65"/>
  <c r="AA45" i="65"/>
  <c r="AA44" i="65"/>
  <c r="AA43" i="65"/>
  <c r="AA37" i="65"/>
  <c r="AA36" i="65"/>
  <c r="AA35" i="65"/>
  <c r="AA34" i="65"/>
  <c r="AA33" i="65"/>
  <c r="AA32" i="65"/>
  <c r="AA31" i="65"/>
  <c r="AA30" i="65"/>
  <c r="AA29" i="65"/>
  <c r="AA25" i="65"/>
  <c r="AA24" i="65"/>
  <c r="AA23" i="65"/>
  <c r="AA22" i="65"/>
  <c r="AA21" i="65"/>
  <c r="AA20" i="65"/>
  <c r="AA19" i="65"/>
  <c r="AA18" i="65"/>
  <c r="AA16" i="65"/>
  <c r="AA15" i="65"/>
  <c r="AA14" i="65"/>
  <c r="AA13" i="65"/>
  <c r="AA12" i="65"/>
  <c r="AA11" i="65"/>
  <c r="AA10" i="65"/>
  <c r="AA9" i="65"/>
  <c r="AC125" i="67"/>
  <c r="AC124" i="67"/>
  <c r="AC119" i="67"/>
  <c r="AC118" i="67"/>
  <c r="AC117" i="67"/>
  <c r="AC116" i="67"/>
  <c r="AC110" i="67"/>
  <c r="AC109" i="67"/>
  <c r="AC108" i="67"/>
  <c r="AC107" i="67"/>
  <c r="AC106" i="67"/>
  <c r="AC105" i="67"/>
  <c r="AC104" i="67"/>
  <c r="AC103" i="67"/>
  <c r="AC102" i="67"/>
  <c r="AC101" i="67"/>
  <c r="AC99" i="67"/>
  <c r="AC98" i="67"/>
  <c r="AC97" i="67"/>
  <c r="AC96" i="67"/>
  <c r="AC95" i="67"/>
  <c r="AC94" i="67"/>
  <c r="AC93" i="67"/>
  <c r="AC92" i="67"/>
  <c r="AC91" i="67"/>
  <c r="AC82" i="67"/>
  <c r="AC81" i="67"/>
  <c r="AC80" i="67"/>
  <c r="AC78" i="67"/>
  <c r="AC77" i="67"/>
  <c r="AC76" i="67"/>
  <c r="AC75" i="67"/>
  <c r="AC74" i="67"/>
  <c r="AC73" i="67"/>
  <c r="AC72" i="67"/>
  <c r="AC71" i="67"/>
  <c r="AC70" i="67"/>
  <c r="AC68" i="67"/>
  <c r="AC67" i="67"/>
  <c r="AC66" i="67"/>
  <c r="AC65" i="67"/>
  <c r="AC64" i="67"/>
  <c r="AC63" i="67"/>
  <c r="AC56" i="67"/>
  <c r="AC55" i="67"/>
  <c r="AC54" i="67"/>
  <c r="AC53" i="67"/>
  <c r="AC52" i="67"/>
  <c r="AC51" i="67"/>
  <c r="AC50" i="67"/>
  <c r="AC48" i="67"/>
  <c r="AC47" i="67"/>
  <c r="AC46" i="67"/>
  <c r="AC45" i="67"/>
  <c r="AC43" i="67"/>
  <c r="AC37" i="67"/>
  <c r="AC36" i="67"/>
  <c r="AC35" i="67"/>
  <c r="AC34" i="67"/>
  <c r="AC33" i="67"/>
  <c r="AC32" i="67"/>
  <c r="AC31" i="67"/>
  <c r="AC30" i="67"/>
  <c r="AC29" i="67"/>
  <c r="AC25" i="67"/>
  <c r="AC24" i="67"/>
  <c r="AC23" i="67"/>
  <c r="AC22" i="67"/>
  <c r="AC21" i="67"/>
  <c r="AC20" i="67"/>
  <c r="AC19" i="67"/>
  <c r="AC18" i="67"/>
  <c r="AC16" i="67"/>
  <c r="AC15" i="67"/>
  <c r="AC14" i="67"/>
  <c r="AC13" i="67"/>
  <c r="AC12" i="67"/>
  <c r="AC11" i="67"/>
  <c r="AC10" i="67"/>
  <c r="AC9" i="67"/>
  <c r="AC125" i="68"/>
  <c r="AC124" i="68"/>
  <c r="AC119" i="68"/>
  <c r="AC118" i="68"/>
  <c r="AC117" i="68"/>
  <c r="AC116" i="68"/>
  <c r="AC110" i="68"/>
  <c r="AC109" i="68"/>
  <c r="AC108" i="68"/>
  <c r="AC107" i="68"/>
  <c r="AC106" i="68"/>
  <c r="AC105" i="68"/>
  <c r="AC104" i="68"/>
  <c r="AC103" i="68"/>
  <c r="AC102" i="68"/>
  <c r="AC101" i="68"/>
  <c r="AC99" i="68"/>
  <c r="AC98" i="68"/>
  <c r="AC97" i="68"/>
  <c r="AC96" i="68"/>
  <c r="AC95" i="68"/>
  <c r="AC94" i="68"/>
  <c r="AC93" i="68"/>
  <c r="AC92" i="68"/>
  <c r="AC91" i="68"/>
  <c r="AC82" i="68"/>
  <c r="AC81" i="68"/>
  <c r="AC80" i="68"/>
  <c r="AC78" i="68"/>
  <c r="AC77" i="68"/>
  <c r="AC76" i="68"/>
  <c r="AC75" i="68"/>
  <c r="AC74" i="68"/>
  <c r="AC73" i="68"/>
  <c r="AC72" i="68"/>
  <c r="AC71" i="68"/>
  <c r="AC70" i="68"/>
  <c r="AC68" i="68"/>
  <c r="AC67" i="68"/>
  <c r="AC66" i="68"/>
  <c r="AC65" i="68"/>
  <c r="AC64" i="68"/>
  <c r="AC63" i="68"/>
  <c r="AC56" i="68"/>
  <c r="AC55" i="68"/>
  <c r="AC54" i="68"/>
  <c r="AC53" i="68"/>
  <c r="AC52" i="68"/>
  <c r="AC51" i="68"/>
  <c r="AC50" i="68"/>
  <c r="AC48" i="68"/>
  <c r="AC47" i="68"/>
  <c r="AC46" i="68"/>
  <c r="AC45" i="68"/>
  <c r="AC43" i="68"/>
  <c r="AC37" i="68"/>
  <c r="AC36" i="68"/>
  <c r="AC35" i="68"/>
  <c r="AC34" i="68"/>
  <c r="AC33" i="68"/>
  <c r="AC32" i="68"/>
  <c r="AC31" i="68"/>
  <c r="AC30" i="68"/>
  <c r="AC29" i="68"/>
  <c r="AC25" i="68"/>
  <c r="AC24" i="68"/>
  <c r="AC23" i="68"/>
  <c r="AC22" i="68"/>
  <c r="AC21" i="68"/>
  <c r="AC20" i="68"/>
  <c r="AC19" i="68"/>
  <c r="AC18" i="68"/>
  <c r="AC16" i="68"/>
  <c r="AC15" i="68"/>
  <c r="AC14" i="68"/>
  <c r="AC13" i="68"/>
  <c r="AC12" i="68"/>
  <c r="AC11" i="68"/>
  <c r="AC10" i="68"/>
  <c r="AC9" i="68"/>
  <c r="AC119" i="69"/>
  <c r="AC118" i="69"/>
  <c r="AC117" i="69"/>
  <c r="AC116" i="69"/>
  <c r="AC110" i="69"/>
  <c r="AC109" i="69"/>
  <c r="AC108" i="69"/>
  <c r="AC107" i="69"/>
  <c r="AC106" i="69"/>
  <c r="AC105" i="69"/>
  <c r="AC104" i="69"/>
  <c r="AC103" i="69"/>
  <c r="AC102" i="69"/>
  <c r="AC101" i="69"/>
  <c r="AC99" i="69"/>
  <c r="AC98" i="69"/>
  <c r="AC97" i="69"/>
  <c r="AC96" i="69"/>
  <c r="AC95" i="69"/>
  <c r="AC94" i="69"/>
  <c r="AC93" i="69"/>
  <c r="AC92" i="69"/>
  <c r="AC91" i="69"/>
  <c r="AC82" i="69"/>
  <c r="AC81" i="69"/>
  <c r="AC80" i="69"/>
  <c r="AC78" i="69"/>
  <c r="AC77" i="69"/>
  <c r="AC76" i="69"/>
  <c r="AC75" i="69"/>
  <c r="AC74" i="69"/>
  <c r="AC73" i="69"/>
  <c r="AC72" i="69"/>
  <c r="AC71" i="69"/>
  <c r="AC70" i="69"/>
  <c r="AC68" i="69"/>
  <c r="AC67" i="69"/>
  <c r="AC66" i="69"/>
  <c r="AC65" i="69"/>
  <c r="AC64" i="69"/>
  <c r="AC63" i="69"/>
  <c r="AC56" i="69"/>
  <c r="AC55" i="69"/>
  <c r="AC54" i="69"/>
  <c r="AC53" i="69"/>
  <c r="AC52" i="69"/>
  <c r="AC51" i="69"/>
  <c r="AC50" i="69"/>
  <c r="AC48" i="69"/>
  <c r="AC47" i="69"/>
  <c r="AC46" i="69"/>
  <c r="AC45" i="69"/>
  <c r="AC43" i="69"/>
  <c r="AC37" i="69"/>
  <c r="AC36" i="69"/>
  <c r="AC35" i="69"/>
  <c r="AC34" i="69"/>
  <c r="AC33" i="69"/>
  <c r="AC32" i="69"/>
  <c r="AC31" i="69"/>
  <c r="AC30" i="69"/>
  <c r="AC29" i="69"/>
  <c r="AC25" i="69"/>
  <c r="AC24" i="69"/>
  <c r="AC23" i="69"/>
  <c r="AC22" i="69"/>
  <c r="AC21" i="69"/>
  <c r="AC20" i="69"/>
  <c r="AC19" i="69"/>
  <c r="AC18" i="69"/>
  <c r="AC16" i="69"/>
  <c r="AC15" i="69"/>
  <c r="AC14" i="69"/>
  <c r="AC13" i="69"/>
  <c r="AC12" i="69"/>
  <c r="AC11" i="69"/>
  <c r="AC10" i="69"/>
  <c r="AC9" i="69"/>
  <c r="AC119" i="70"/>
  <c r="AC118" i="70"/>
  <c r="AC117" i="70"/>
  <c r="AC116" i="70"/>
  <c r="AC110" i="70"/>
  <c r="AC109" i="70"/>
  <c r="AC108" i="70"/>
  <c r="AC107" i="70"/>
  <c r="AC106" i="70"/>
  <c r="AC105" i="70"/>
  <c r="AC104" i="70"/>
  <c r="AC103" i="70"/>
  <c r="AC102" i="70"/>
  <c r="AC101" i="70"/>
  <c r="AC99" i="70"/>
  <c r="AC98" i="70"/>
  <c r="AC97" i="70"/>
  <c r="AC96" i="70"/>
  <c r="AC95" i="70"/>
  <c r="AC94" i="70"/>
  <c r="AC93" i="70"/>
  <c r="AC92" i="70"/>
  <c r="AC91" i="70"/>
  <c r="AC82" i="70"/>
  <c r="AC81" i="70"/>
  <c r="AC80" i="70"/>
  <c r="AC78" i="70"/>
  <c r="AC77" i="70"/>
  <c r="AC76" i="70"/>
  <c r="AC75" i="70"/>
  <c r="AC74" i="70"/>
  <c r="AC73" i="70"/>
  <c r="AC72" i="70"/>
  <c r="AC71" i="70"/>
  <c r="AC70" i="70"/>
  <c r="AC68" i="70"/>
  <c r="AC67" i="70"/>
  <c r="AC66" i="70"/>
  <c r="AC65" i="70"/>
  <c r="AC64" i="70"/>
  <c r="AC63" i="70"/>
  <c r="AC56" i="70"/>
  <c r="AC55" i="70"/>
  <c r="AC54" i="70"/>
  <c r="AC53" i="70"/>
  <c r="AC52" i="70"/>
  <c r="AC51" i="70"/>
  <c r="AC50" i="70"/>
  <c r="Z74" i="41"/>
  <c r="Y74" i="41"/>
  <c r="X74" i="41"/>
  <c r="AC8" i="61" l="1"/>
  <c r="AC79" i="68"/>
  <c r="AC79" i="56"/>
  <c r="AC79" i="61"/>
  <c r="AC114" i="69"/>
  <c r="AC62" i="56"/>
  <c r="AC127" i="59"/>
  <c r="AA113" i="62"/>
  <c r="AC114" i="61"/>
  <c r="AC8" i="69"/>
  <c r="AA126" i="62"/>
  <c r="AC114" i="56"/>
  <c r="AC27" i="69"/>
  <c r="AC114" i="67"/>
  <c r="AC62" i="60"/>
  <c r="AC127" i="56"/>
  <c r="AC62" i="68"/>
  <c r="AC79" i="60"/>
  <c r="AC127" i="64"/>
  <c r="AC62" i="58"/>
  <c r="AC62" i="55"/>
  <c r="AC90" i="59"/>
  <c r="AC27" i="68"/>
  <c r="AC8" i="63"/>
  <c r="AC8" i="56"/>
  <c r="AC127" i="61"/>
  <c r="AA68" i="65"/>
  <c r="AC49" i="59"/>
  <c r="AC41" i="59" s="1"/>
  <c r="AA8" i="62"/>
  <c r="AC8" i="68"/>
  <c r="AC69" i="69"/>
  <c r="AC127" i="67"/>
  <c r="AC79" i="64"/>
  <c r="AC69" i="64"/>
  <c r="AC8" i="55"/>
  <c r="AC8" i="59"/>
  <c r="AC27" i="56"/>
  <c r="AA61" i="65"/>
  <c r="AA68" i="62"/>
  <c r="AC127" i="58"/>
  <c r="AC79" i="63"/>
  <c r="AC49" i="61"/>
  <c r="AC41" i="61" s="1"/>
  <c r="AC8" i="67"/>
  <c r="AC8" i="60"/>
  <c r="AC79" i="59"/>
  <c r="AC62" i="59"/>
  <c r="AC79" i="67"/>
  <c r="AC8" i="58"/>
  <c r="AC114" i="68"/>
  <c r="AC49" i="63"/>
  <c r="AC41" i="63" s="1"/>
  <c r="AC114" i="58"/>
  <c r="AA8" i="65"/>
  <c r="AC127" i="63"/>
  <c r="AC69" i="68"/>
  <c r="AA27" i="62"/>
  <c r="AC79" i="58"/>
  <c r="AC100" i="56"/>
  <c r="AA78" i="62"/>
  <c r="AA48" i="62"/>
  <c r="AA41" i="62" s="1"/>
  <c r="AC114" i="59"/>
  <c r="AC49" i="58"/>
  <c r="AC41" i="58" s="1"/>
  <c r="AC49" i="69"/>
  <c r="AC41" i="69" s="1"/>
  <c r="AA78" i="65"/>
  <c r="AC8" i="64"/>
  <c r="AC49" i="60"/>
  <c r="AC41" i="60" s="1"/>
  <c r="AC17" i="59"/>
  <c r="AC114" i="63"/>
  <c r="AC127" i="60"/>
  <c r="AC114" i="57"/>
  <c r="AC127" i="57"/>
  <c r="AC8" i="57"/>
  <c r="AC79" i="57"/>
  <c r="AA48" i="65"/>
  <c r="AA41" i="65" s="1"/>
  <c r="AC69" i="58"/>
  <c r="AA89" i="65"/>
  <c r="AA17" i="62"/>
  <c r="AC100" i="64"/>
  <c r="AC27" i="61"/>
  <c r="AC114" i="60"/>
  <c r="AC62" i="57"/>
  <c r="AC90" i="67"/>
  <c r="AC90" i="69"/>
  <c r="AA89" i="62"/>
  <c r="AC90" i="64"/>
  <c r="AC17" i="63"/>
  <c r="AC27" i="63"/>
  <c r="AC100" i="63"/>
  <c r="AC17" i="61"/>
  <c r="AC100" i="61"/>
  <c r="AC27" i="59"/>
  <c r="AC17" i="55"/>
  <c r="AC114" i="55"/>
  <c r="AC79" i="69"/>
  <c r="AC90" i="56"/>
  <c r="AC27" i="67"/>
  <c r="AA126" i="65"/>
  <c r="AC114" i="64"/>
  <c r="AC17" i="69"/>
  <c r="AC49" i="68"/>
  <c r="AC41" i="68" s="1"/>
  <c r="AC90" i="63"/>
  <c r="AC90" i="61"/>
  <c r="AC27" i="60"/>
  <c r="AC100" i="60"/>
  <c r="AC49" i="57"/>
  <c r="AC41" i="57" s="1"/>
  <c r="AC79" i="55"/>
  <c r="AC17" i="56"/>
  <c r="AC49" i="64"/>
  <c r="AC41" i="64" s="1"/>
  <c r="AC17" i="68"/>
  <c r="AC100" i="68"/>
  <c r="AC69" i="67"/>
  <c r="AC17" i="60"/>
  <c r="AC90" i="60"/>
  <c r="AC100" i="59"/>
  <c r="AC27" i="58"/>
  <c r="AC49" i="55"/>
  <c r="AC41" i="55" s="1"/>
  <c r="AC100" i="55"/>
  <c r="AC100" i="67"/>
  <c r="AC100" i="69"/>
  <c r="AC90" i="68"/>
  <c r="AC62" i="67"/>
  <c r="AA99" i="62"/>
  <c r="AC17" i="58"/>
  <c r="AC100" i="58"/>
  <c r="AC69" i="57"/>
  <c r="AC27" i="55"/>
  <c r="AA113" i="65"/>
  <c r="AC62" i="64"/>
  <c r="AC90" i="58"/>
  <c r="AC100" i="57"/>
  <c r="AC49" i="56"/>
  <c r="AC41" i="56" s="1"/>
  <c r="AC69" i="56"/>
  <c r="AC69" i="55"/>
  <c r="AA17" i="65"/>
  <c r="AC17" i="67"/>
  <c r="AC62" i="69"/>
  <c r="AA27" i="65"/>
  <c r="AA61" i="62"/>
  <c r="AC69" i="63"/>
  <c r="AC69" i="61"/>
  <c r="AC27" i="57"/>
  <c r="AC90" i="57"/>
  <c r="AC49" i="67"/>
  <c r="AC41" i="67" s="1"/>
  <c r="AA99" i="65"/>
  <c r="AC62" i="63"/>
  <c r="AC62" i="61"/>
  <c r="AC69" i="60"/>
  <c r="AC69" i="59"/>
  <c r="AC17" i="57"/>
  <c r="AC90" i="55"/>
  <c r="AC27" i="64"/>
  <c r="AC17" i="64"/>
  <c r="AC127" i="55"/>
  <c r="AC127" i="68"/>
  <c r="AC6" i="67" l="1"/>
  <c r="AC6" i="61"/>
  <c r="AC6" i="56"/>
  <c r="AC39" i="56" s="1"/>
  <c r="AC58" i="56" s="1"/>
  <c r="AC88" i="59"/>
  <c r="AC6" i="58"/>
  <c r="AC39" i="58" s="1"/>
  <c r="AC58" i="58" s="1"/>
  <c r="AA59" i="65"/>
  <c r="AC6" i="69"/>
  <c r="AC39" i="69" s="1"/>
  <c r="AC58" i="69" s="1"/>
  <c r="AC60" i="58"/>
  <c r="AC60" i="56"/>
  <c r="AC88" i="61"/>
  <c r="AC88" i="56"/>
  <c r="AA59" i="62"/>
  <c r="AC60" i="60"/>
  <c r="AA6" i="62"/>
  <c r="AA39" i="62" s="1"/>
  <c r="AA57" i="62" s="1"/>
  <c r="AC88" i="68"/>
  <c r="AC6" i="68"/>
  <c r="AC39" i="68" s="1"/>
  <c r="AC58" i="68" s="1"/>
  <c r="AC6" i="63"/>
  <c r="AC39" i="63" s="1"/>
  <c r="AC58" i="63" s="1"/>
  <c r="AC6" i="64"/>
  <c r="AC39" i="64" s="1"/>
  <c r="AC58" i="64" s="1"/>
  <c r="AA6" i="65"/>
  <c r="AA39" i="65" s="1"/>
  <c r="AA57" i="65" s="1"/>
  <c r="AC60" i="55"/>
  <c r="AA87" i="62"/>
  <c r="AC6" i="57"/>
  <c r="AC39" i="57" s="1"/>
  <c r="AC58" i="57" s="1"/>
  <c r="AC6" i="55"/>
  <c r="AC39" i="55" s="1"/>
  <c r="AC58" i="55" s="1"/>
  <c r="AC60" i="67"/>
  <c r="AC88" i="55"/>
  <c r="AC60" i="64"/>
  <c r="AC60" i="59"/>
  <c r="AC6" i="59"/>
  <c r="AC39" i="59" s="1"/>
  <c r="AC58" i="59" s="1"/>
  <c r="AC6" i="60"/>
  <c r="AC39" i="60" s="1"/>
  <c r="AC58" i="60" s="1"/>
  <c r="AC60" i="61"/>
  <c r="AC60" i="68"/>
  <c r="AA87" i="65"/>
  <c r="AC60" i="63"/>
  <c r="AC88" i="58"/>
  <c r="AC88" i="60"/>
  <c r="AC88" i="64"/>
  <c r="AC88" i="57"/>
  <c r="AC39" i="61"/>
  <c r="AC58" i="61" s="1"/>
  <c r="AC60" i="69"/>
  <c r="AC88" i="67"/>
  <c r="AC88" i="63"/>
  <c r="AC39" i="67"/>
  <c r="AC58" i="67" s="1"/>
  <c r="AC60" i="57"/>
  <c r="AC88" i="69"/>
  <c r="AB60" i="99"/>
  <c r="AA60" i="99"/>
  <c r="Z60" i="99"/>
  <c r="Y60" i="99"/>
  <c r="X60" i="99"/>
  <c r="W60" i="99"/>
  <c r="V60" i="99"/>
  <c r="U60" i="99"/>
  <c r="T60" i="99"/>
  <c r="S60" i="99"/>
  <c r="R60" i="99"/>
  <c r="Q60" i="99"/>
  <c r="P60" i="99"/>
  <c r="O60" i="99"/>
  <c r="N60" i="99"/>
  <c r="M60" i="99"/>
  <c r="L60" i="99"/>
  <c r="K60" i="99"/>
  <c r="J60" i="99"/>
  <c r="I60" i="99"/>
  <c r="H60" i="99"/>
  <c r="G60" i="99"/>
  <c r="F60" i="99"/>
  <c r="E60" i="99"/>
  <c r="L58" i="99"/>
  <c r="K58" i="99"/>
  <c r="J58" i="99"/>
  <c r="I58" i="99"/>
  <c r="H58" i="99"/>
  <c r="G58" i="99"/>
  <c r="F58" i="99"/>
  <c r="E58" i="99"/>
  <c r="AB56" i="99"/>
  <c r="AA56" i="99"/>
  <c r="Z56" i="99"/>
  <c r="Y56" i="99"/>
  <c r="X56" i="99"/>
  <c r="W56" i="99"/>
  <c r="V56" i="99"/>
  <c r="U56" i="99"/>
  <c r="T56" i="99"/>
  <c r="S56" i="99"/>
  <c r="R56" i="99"/>
  <c r="Q56" i="99"/>
  <c r="P56" i="99"/>
  <c r="O56" i="99"/>
  <c r="N56" i="99"/>
  <c r="M56" i="99"/>
  <c r="L56" i="99"/>
  <c r="K56" i="99"/>
  <c r="J56" i="99"/>
  <c r="I56" i="99"/>
  <c r="H56" i="99"/>
  <c r="G56" i="99"/>
  <c r="F56" i="99"/>
  <c r="E56" i="99"/>
  <c r="AB55" i="99"/>
  <c r="AA55" i="99"/>
  <c r="Z55" i="99"/>
  <c r="L55" i="99"/>
  <c r="K55" i="99"/>
  <c r="J55" i="99"/>
  <c r="I55" i="99"/>
  <c r="H55" i="99"/>
  <c r="G55" i="99"/>
  <c r="F55" i="99"/>
  <c r="E55" i="99"/>
  <c r="AA51" i="99"/>
  <c r="Z51" i="99"/>
  <c r="Y51" i="99"/>
  <c r="X51" i="99"/>
  <c r="W51" i="99"/>
  <c r="V51" i="99"/>
  <c r="U51" i="99"/>
  <c r="T51" i="99"/>
  <c r="S51" i="99"/>
  <c r="R51" i="99"/>
  <c r="Q51" i="99"/>
  <c r="P51" i="99"/>
  <c r="O51" i="99"/>
  <c r="N51" i="99"/>
  <c r="M51" i="99"/>
  <c r="L51" i="99"/>
  <c r="K51" i="99"/>
  <c r="J51" i="99"/>
  <c r="I51" i="99"/>
  <c r="H51" i="99"/>
  <c r="G51" i="99"/>
  <c r="F51" i="99"/>
  <c r="E51" i="99"/>
  <c r="AB50" i="99"/>
  <c r="AA50" i="99"/>
  <c r="Z50" i="99"/>
  <c r="Y50" i="99"/>
  <c r="X50" i="99"/>
  <c r="W50" i="99"/>
  <c r="V50" i="99"/>
  <c r="U50" i="99"/>
  <c r="T50" i="99"/>
  <c r="S50" i="99"/>
  <c r="R50" i="99"/>
  <c r="Q50" i="99"/>
  <c r="P50" i="99"/>
  <c r="O50" i="99"/>
  <c r="N50" i="99"/>
  <c r="M50" i="99"/>
  <c r="L50" i="99"/>
  <c r="K50" i="99"/>
  <c r="J50" i="99"/>
  <c r="I50" i="99"/>
  <c r="H50" i="99"/>
  <c r="G50" i="99"/>
  <c r="F50" i="99"/>
  <c r="E50" i="99"/>
  <c r="AA49" i="99"/>
  <c r="Z49" i="99"/>
  <c r="Y49" i="99"/>
  <c r="X49" i="99"/>
  <c r="W49" i="99"/>
  <c r="V49" i="99"/>
  <c r="U49" i="99"/>
  <c r="T49" i="99"/>
  <c r="S49" i="99"/>
  <c r="R49" i="99"/>
  <c r="Q49" i="99"/>
  <c r="P49" i="99"/>
  <c r="O49" i="99"/>
  <c r="N49" i="99"/>
  <c r="M49" i="99"/>
  <c r="L49" i="99"/>
  <c r="K49" i="99"/>
  <c r="J49" i="99"/>
  <c r="I49" i="99"/>
  <c r="H49" i="99"/>
  <c r="G49" i="99"/>
  <c r="F49" i="99"/>
  <c r="E49" i="99"/>
  <c r="Y48" i="99"/>
  <c r="AB44" i="99"/>
  <c r="AA44" i="99"/>
  <c r="Z44" i="99"/>
  <c r="Y44" i="99"/>
  <c r="X44" i="99"/>
  <c r="W44" i="99"/>
  <c r="V44" i="99"/>
  <c r="U44" i="99"/>
  <c r="U39" i="99"/>
  <c r="V39" i="99" s="1"/>
  <c r="Y34" i="99"/>
  <c r="AB30" i="99"/>
  <c r="AA30" i="99"/>
  <c r="Z30" i="99"/>
  <c r="Y30" i="99"/>
  <c r="X30" i="99"/>
  <c r="W30" i="99"/>
  <c r="V30" i="99"/>
  <c r="U30" i="99"/>
  <c r="T30" i="99"/>
  <c r="S30" i="99"/>
  <c r="R30" i="99"/>
  <c r="R25" i="99"/>
  <c r="S25" i="99" s="1"/>
  <c r="AB20" i="99"/>
  <c r="AB34" i="99" s="1"/>
  <c r="AB48" i="99" s="1"/>
  <c r="AA20" i="99"/>
  <c r="AA34" i="99" s="1"/>
  <c r="AA48" i="99" s="1"/>
  <c r="Y20" i="99"/>
  <c r="AB16" i="99"/>
  <c r="AA16" i="99"/>
  <c r="Z16" i="99"/>
  <c r="Y16" i="99"/>
  <c r="X16" i="99"/>
  <c r="W16" i="99"/>
  <c r="V16" i="99"/>
  <c r="U16" i="99"/>
  <c r="T16" i="99"/>
  <c r="S16" i="99"/>
  <c r="R16" i="99"/>
  <c r="Q16" i="99"/>
  <c r="Q58" i="99" s="1"/>
  <c r="P16" i="99"/>
  <c r="P58" i="99" s="1"/>
  <c r="O16" i="99"/>
  <c r="O58" i="99" s="1"/>
  <c r="N16" i="99"/>
  <c r="N58" i="99" s="1"/>
  <c r="M16" i="99"/>
  <c r="M58" i="99" s="1"/>
  <c r="E11" i="99"/>
  <c r="F11" i="99" s="1"/>
  <c r="G11" i="99" s="1"/>
  <c r="H11" i="99" s="1"/>
  <c r="I11" i="99" s="1"/>
  <c r="J11" i="99" s="1"/>
  <c r="K11" i="99" s="1"/>
  <c r="L11" i="99" s="1"/>
  <c r="M11" i="99" s="1"/>
  <c r="AB51" i="99"/>
  <c r="AB49" i="99"/>
  <c r="AC86" i="59" l="1"/>
  <c r="AC86" i="63"/>
  <c r="AC84" i="63" s="1"/>
  <c r="AA85" i="62"/>
  <c r="AA83" i="62" s="1"/>
  <c r="AC86" i="58"/>
  <c r="AC86" i="56"/>
  <c r="AA85" i="65"/>
  <c r="AC86" i="67"/>
  <c r="AC86" i="60"/>
  <c r="AC86" i="64"/>
  <c r="R58" i="99"/>
  <c r="AC86" i="61"/>
  <c r="AC86" i="55"/>
  <c r="AC112" i="55" s="1"/>
  <c r="AC121" i="55" s="1"/>
  <c r="S58" i="99"/>
  <c r="AB58" i="99"/>
  <c r="AC86" i="68"/>
  <c r="AC84" i="68" s="1"/>
  <c r="AC86" i="69"/>
  <c r="AC112" i="69" s="1"/>
  <c r="AC121" i="69" s="1"/>
  <c r="AA58" i="99"/>
  <c r="E53" i="99"/>
  <c r="F53" i="99" s="1"/>
  <c r="G53" i="99" s="1"/>
  <c r="H53" i="99" s="1"/>
  <c r="I53" i="99" s="1"/>
  <c r="J53" i="99" s="1"/>
  <c r="K53" i="99" s="1"/>
  <c r="L53" i="99" s="1"/>
  <c r="M53" i="99" s="1"/>
  <c r="N53" i="99" s="1"/>
  <c r="O53" i="99" s="1"/>
  <c r="P53" i="99" s="1"/>
  <c r="Q53" i="99" s="1"/>
  <c r="R53" i="99" s="1"/>
  <c r="S53" i="99" s="1"/>
  <c r="T53" i="99" s="1"/>
  <c r="U53" i="99" s="1"/>
  <c r="V53" i="99" s="1"/>
  <c r="W53" i="99" s="1"/>
  <c r="X53" i="99" s="1"/>
  <c r="Y53" i="99" s="1"/>
  <c r="Z53" i="99" s="1"/>
  <c r="AA53" i="99" s="1"/>
  <c r="AB53" i="99" s="1"/>
  <c r="AC53" i="99" s="1"/>
  <c r="AD53" i="99" s="1"/>
  <c r="V58" i="99"/>
  <c r="Z58" i="99"/>
  <c r="AC86" i="57"/>
  <c r="AC84" i="57" s="1"/>
  <c r="W58" i="99"/>
  <c r="T58" i="99"/>
  <c r="X58" i="99"/>
  <c r="U58" i="99"/>
  <c r="AC112" i="63"/>
  <c r="AC121" i="63" s="1"/>
  <c r="Y58" i="99"/>
  <c r="AC84" i="59"/>
  <c r="AC112" i="59"/>
  <c r="AC121" i="59" s="1"/>
  <c r="S27" i="99"/>
  <c r="T25" i="99"/>
  <c r="W39" i="99"/>
  <c r="V41" i="99"/>
  <c r="M13" i="99"/>
  <c r="M55" i="99" s="1"/>
  <c r="N11" i="99"/>
  <c r="U41" i="99"/>
  <c r="R27" i="99"/>
  <c r="AA111" i="62" l="1"/>
  <c r="AA120" i="62" s="1"/>
  <c r="AC84" i="58"/>
  <c r="AC112" i="58"/>
  <c r="AC121" i="58" s="1"/>
  <c r="AC112" i="56"/>
  <c r="AC121" i="56" s="1"/>
  <c r="AC84" i="56"/>
  <c r="AA111" i="65"/>
  <c r="AA120" i="65" s="1"/>
  <c r="AA83" i="65"/>
  <c r="AC84" i="67"/>
  <c r="AC112" i="67"/>
  <c r="AC121" i="67" s="1"/>
  <c r="AC84" i="60"/>
  <c r="AC112" i="60"/>
  <c r="AC121" i="60" s="1"/>
  <c r="AC84" i="64"/>
  <c r="AC112" i="64"/>
  <c r="AC121" i="64" s="1"/>
  <c r="AC84" i="61"/>
  <c r="AC112" i="61"/>
  <c r="AC121" i="61" s="1"/>
  <c r="AC84" i="55"/>
  <c r="AC112" i="68"/>
  <c r="AC121" i="68" s="1"/>
  <c r="AC84" i="69"/>
  <c r="AC112" i="57"/>
  <c r="AC121" i="57" s="1"/>
  <c r="X39" i="99"/>
  <c r="W41" i="99"/>
  <c r="T27" i="99"/>
  <c r="U25" i="99"/>
  <c r="O11" i="99"/>
  <c r="N13" i="99"/>
  <c r="N55" i="99" s="1"/>
  <c r="X41" i="99" l="1"/>
  <c r="Y39" i="99"/>
  <c r="V25" i="99"/>
  <c r="U27" i="99"/>
  <c r="P11" i="99"/>
  <c r="O13" i="99"/>
  <c r="O55" i="99" s="1"/>
  <c r="W25" i="99" l="1"/>
  <c r="V27" i="99"/>
  <c r="Y41" i="99"/>
  <c r="Y55" i="99" s="1"/>
  <c r="Z39" i="99"/>
  <c r="AA39" i="99" s="1"/>
  <c r="AB39" i="99" s="1"/>
  <c r="Q11" i="99"/>
  <c r="P13" i="99"/>
  <c r="P55" i="99" s="1"/>
  <c r="R11" i="99" l="1"/>
  <c r="Q13" i="99"/>
  <c r="Q55" i="99" s="1"/>
  <c r="X25" i="99"/>
  <c r="W27" i="99"/>
  <c r="X27" i="99" l="1"/>
  <c r="Y25" i="99"/>
  <c r="Z25" i="99" s="1"/>
  <c r="AA25" i="99" s="1"/>
  <c r="AB25" i="99" s="1"/>
  <c r="S11" i="99"/>
  <c r="R13" i="99"/>
  <c r="R55" i="99" s="1"/>
  <c r="S13" i="99" l="1"/>
  <c r="S55" i="99" s="1"/>
  <c r="T11" i="99"/>
  <c r="T13" i="99" l="1"/>
  <c r="T55" i="99" s="1"/>
  <c r="U11" i="99"/>
  <c r="V11" i="99" l="1"/>
  <c r="U13" i="99"/>
  <c r="U55" i="99" s="1"/>
  <c r="V13" i="99" l="1"/>
  <c r="V55" i="99" s="1"/>
  <c r="W11" i="99"/>
  <c r="W13" i="99" l="1"/>
  <c r="W55" i="99" s="1"/>
  <c r="X11" i="99"/>
  <c r="Y11" i="99" l="1"/>
  <c r="Z11" i="99" s="1"/>
  <c r="AA11" i="99" s="1"/>
  <c r="AB11" i="99" s="1"/>
  <c r="X13" i="99"/>
  <c r="X55" i="99" s="1"/>
  <c r="AC114" i="70" l="1"/>
  <c r="AC100" i="70"/>
  <c r="AC90" i="70"/>
  <c r="AC79" i="70"/>
  <c r="AC69" i="70"/>
  <c r="AC62" i="70"/>
  <c r="AC49" i="70"/>
  <c r="AC48" i="70"/>
  <c r="AC47" i="70"/>
  <c r="AC46" i="70"/>
  <c r="AC45" i="70"/>
  <c r="AC43" i="70"/>
  <c r="AC37" i="70"/>
  <c r="AC36" i="70"/>
  <c r="AC35" i="70"/>
  <c r="AC34" i="70"/>
  <c r="AC33" i="70"/>
  <c r="AC32" i="70"/>
  <c r="AC31" i="70"/>
  <c r="AC30" i="70"/>
  <c r="AC29" i="70"/>
  <c r="AC25" i="70"/>
  <c r="AC24" i="70"/>
  <c r="AC23" i="70"/>
  <c r="AC22" i="70"/>
  <c r="AC21" i="70"/>
  <c r="AC20" i="70"/>
  <c r="AC19" i="70"/>
  <c r="AC18" i="70"/>
  <c r="AC16" i="70"/>
  <c r="AC15" i="70"/>
  <c r="AC14" i="70"/>
  <c r="AC13" i="70"/>
  <c r="AC12" i="70"/>
  <c r="AC11" i="70"/>
  <c r="AC10" i="70"/>
  <c r="AC9" i="70"/>
  <c r="AC27" i="70" l="1"/>
  <c r="AC8" i="70"/>
  <c r="AC41" i="70"/>
  <c r="AC17" i="70"/>
  <c r="AC88" i="70"/>
  <c r="AC60" i="70"/>
  <c r="AC6" i="70" l="1"/>
  <c r="AC39" i="70" s="1"/>
  <c r="AC58" i="70" s="1"/>
  <c r="AC86" i="70"/>
  <c r="AC112" i="70" s="1"/>
  <c r="AC121" i="70" s="1"/>
  <c r="AC84" i="70" l="1"/>
  <c r="Z48" i="81"/>
  <c r="Z67" i="19" l="1"/>
  <c r="Z68" i="19" s="1"/>
  <c r="Z74" i="19" s="1"/>
  <c r="Y67" i="19"/>
  <c r="Y68" i="19" s="1"/>
  <c r="Y74" i="19" s="1"/>
  <c r="AA67" i="19"/>
  <c r="AA68" i="19" s="1"/>
  <c r="AA74" i="19" s="1"/>
  <c r="X67" i="19"/>
  <c r="X68" i="19" s="1"/>
  <c r="X70" i="19" s="1"/>
  <c r="AB67" i="19"/>
  <c r="AB68" i="19" s="1"/>
  <c r="AB74" i="19" s="1"/>
  <c r="V67" i="19"/>
  <c r="V68" i="19" s="1"/>
  <c r="V74" i="19" s="1"/>
  <c r="W67" i="19"/>
  <c r="W68" i="19" s="1"/>
  <c r="W70" i="19" s="1"/>
  <c r="Z70" i="19" l="1"/>
  <c r="AA70" i="19"/>
  <c r="Y70" i="19"/>
  <c r="X74" i="19"/>
  <c r="AB70" i="19"/>
  <c r="W74" i="19"/>
  <c r="V70" i="19"/>
  <c r="Q15" i="45" l="1"/>
  <c r="AM13" i="3" l="1"/>
  <c r="AD50" i="71"/>
  <c r="AD52" i="71"/>
  <c r="AD51" i="71"/>
  <c r="AD49" i="71"/>
  <c r="R17" i="69"/>
  <c r="R8" i="69"/>
  <c r="R8" i="68"/>
  <c r="R79" i="67"/>
  <c r="R48" i="65"/>
  <c r="R41" i="65" s="1"/>
  <c r="R68" i="62"/>
  <c r="R114" i="64"/>
  <c r="R8" i="64"/>
  <c r="R62" i="70"/>
  <c r="R17" i="70"/>
  <c r="R114" i="69"/>
  <c r="R130" i="67"/>
  <c r="S130" i="67" s="1"/>
  <c r="R129" i="67"/>
  <c r="S129" i="67" s="1"/>
  <c r="R127" i="67"/>
  <c r="R90" i="67"/>
  <c r="R8" i="62"/>
  <c r="R127" i="64"/>
  <c r="R127" i="63"/>
  <c r="R8" i="61"/>
  <c r="R79" i="59"/>
  <c r="R8" i="59"/>
  <c r="T129" i="67" l="1"/>
  <c r="AE129" i="67" s="1"/>
  <c r="U129" i="67"/>
  <c r="AF129" i="67" s="1"/>
  <c r="T130" i="67"/>
  <c r="AE130" i="67" s="1"/>
  <c r="U130" i="67"/>
  <c r="AF130" i="67" s="1"/>
  <c r="Z39" i="22"/>
  <c r="R8" i="55"/>
  <c r="R8" i="65"/>
  <c r="R27" i="69"/>
  <c r="R62" i="68"/>
  <c r="R69" i="69"/>
  <c r="R61" i="62"/>
  <c r="R49" i="58"/>
  <c r="R41" i="58" s="1"/>
  <c r="R69" i="59"/>
  <c r="R49" i="61"/>
  <c r="R41" i="61" s="1"/>
  <c r="R127" i="61"/>
  <c r="R8" i="67"/>
  <c r="R27" i="55"/>
  <c r="R90" i="55"/>
  <c r="R127" i="68"/>
  <c r="R8" i="60"/>
  <c r="R6" i="69"/>
  <c r="R8" i="63"/>
  <c r="R62" i="63"/>
  <c r="R17" i="63"/>
  <c r="R69" i="64"/>
  <c r="R8" i="58"/>
  <c r="R17" i="58"/>
  <c r="R114" i="68"/>
  <c r="R100" i="63"/>
  <c r="R114" i="63"/>
  <c r="R90" i="56"/>
  <c r="R27" i="59"/>
  <c r="R69" i="57"/>
  <c r="R49" i="56"/>
  <c r="R41" i="56" s="1"/>
  <c r="R27" i="60"/>
  <c r="R49" i="60"/>
  <c r="R41" i="60" s="1"/>
  <c r="R27" i="63"/>
  <c r="R17" i="56"/>
  <c r="R78" i="62"/>
  <c r="R79" i="57"/>
  <c r="R17" i="65"/>
  <c r="R68" i="65"/>
  <c r="R89" i="65"/>
  <c r="R62" i="57"/>
  <c r="R69" i="60"/>
  <c r="R8" i="56"/>
  <c r="R62" i="58"/>
  <c r="R17" i="60"/>
  <c r="R90" i="63"/>
  <c r="R79" i="64"/>
  <c r="R100" i="64"/>
  <c r="R49" i="70"/>
  <c r="R41" i="70" s="1"/>
  <c r="R69" i="55"/>
  <c r="R62" i="59"/>
  <c r="R69" i="61"/>
  <c r="R90" i="61"/>
  <c r="R17" i="62"/>
  <c r="R6" i="62" s="1"/>
  <c r="R49" i="67"/>
  <c r="R41" i="67" s="1"/>
  <c r="R69" i="67"/>
  <c r="R62" i="56"/>
  <c r="R27" i="58"/>
  <c r="R114" i="58"/>
  <c r="R17" i="61"/>
  <c r="R6" i="61" s="1"/>
  <c r="R61" i="65"/>
  <c r="R100" i="69"/>
  <c r="R49" i="57"/>
  <c r="R41" i="57" s="1"/>
  <c r="R79" i="58"/>
  <c r="R100" i="61"/>
  <c r="R27" i="67"/>
  <c r="R27" i="64"/>
  <c r="R90" i="64"/>
  <c r="R8" i="70"/>
  <c r="R6" i="70" s="1"/>
  <c r="R100" i="56"/>
  <c r="R17" i="57"/>
  <c r="R100" i="57"/>
  <c r="R79" i="63"/>
  <c r="R113" i="62"/>
  <c r="R49" i="69"/>
  <c r="R41" i="69" s="1"/>
  <c r="R79" i="55"/>
  <c r="R90" i="57"/>
  <c r="R69" i="58"/>
  <c r="R49" i="59"/>
  <c r="R41" i="59" s="1"/>
  <c r="R89" i="62"/>
  <c r="R27" i="65"/>
  <c r="R99" i="65"/>
  <c r="R79" i="68"/>
  <c r="R100" i="58"/>
  <c r="R90" i="58"/>
  <c r="R62" i="61"/>
  <c r="R99" i="62"/>
  <c r="R100" i="68"/>
  <c r="R69" i="56"/>
  <c r="R17" i="59"/>
  <c r="R6" i="59" s="1"/>
  <c r="R79" i="60"/>
  <c r="R49" i="63"/>
  <c r="R41" i="63" s="1"/>
  <c r="R114" i="67"/>
  <c r="R27" i="68"/>
  <c r="R49" i="68"/>
  <c r="R41" i="68" s="1"/>
  <c r="R49" i="55"/>
  <c r="R41" i="55" s="1"/>
  <c r="R8" i="57"/>
  <c r="R100" i="60"/>
  <c r="R69" i="63"/>
  <c r="R62" i="64"/>
  <c r="R27" i="62"/>
  <c r="R126" i="62"/>
  <c r="R90" i="68"/>
  <c r="R27" i="61"/>
  <c r="R27" i="70"/>
  <c r="R90" i="70"/>
  <c r="R79" i="70"/>
  <c r="R90" i="69"/>
  <c r="R79" i="69"/>
  <c r="R62" i="69"/>
  <c r="R69" i="68"/>
  <c r="R17" i="68"/>
  <c r="R6" i="68" s="1"/>
  <c r="R100" i="67"/>
  <c r="R88" i="67" s="1"/>
  <c r="R62" i="67"/>
  <c r="R17" i="67"/>
  <c r="R78" i="65"/>
  <c r="R48" i="62"/>
  <c r="R41" i="62" s="1"/>
  <c r="R49" i="64"/>
  <c r="R41" i="64" s="1"/>
  <c r="R17" i="64"/>
  <c r="R6" i="64" s="1"/>
  <c r="R127" i="60"/>
  <c r="R114" i="60"/>
  <c r="R90" i="60"/>
  <c r="R62" i="60"/>
  <c r="R114" i="61"/>
  <c r="R79" i="61"/>
  <c r="R127" i="59"/>
  <c r="R114" i="59"/>
  <c r="R100" i="59"/>
  <c r="R90" i="59"/>
  <c r="R127" i="58"/>
  <c r="R127" i="57"/>
  <c r="R114" i="57"/>
  <c r="R27" i="57"/>
  <c r="R114" i="56"/>
  <c r="R79" i="56"/>
  <c r="R27" i="56"/>
  <c r="R114" i="55"/>
  <c r="R100" i="55"/>
  <c r="R62" i="55"/>
  <c r="R17" i="55"/>
  <c r="R59" i="62" l="1"/>
  <c r="R87" i="65"/>
  <c r="R88" i="55"/>
  <c r="R6" i="55"/>
  <c r="R39" i="55" s="1"/>
  <c r="R58" i="55" s="1"/>
  <c r="R6" i="63"/>
  <c r="R39" i="63" s="1"/>
  <c r="R58" i="63" s="1"/>
  <c r="R6" i="60"/>
  <c r="R39" i="60" s="1"/>
  <c r="R58" i="60" s="1"/>
  <c r="R39" i="69"/>
  <c r="R58" i="69" s="1"/>
  <c r="R6" i="65"/>
  <c r="R39" i="65" s="1"/>
  <c r="R57" i="65" s="1"/>
  <c r="R60" i="57"/>
  <c r="R39" i="61"/>
  <c r="R58" i="61" s="1"/>
  <c r="R6" i="56"/>
  <c r="R39" i="56" s="1"/>
  <c r="R58" i="56" s="1"/>
  <c r="R6" i="58"/>
  <c r="R39" i="58" s="1"/>
  <c r="R58" i="58" s="1"/>
  <c r="R6" i="67"/>
  <c r="R39" i="67" s="1"/>
  <c r="R58" i="67" s="1"/>
  <c r="R39" i="62"/>
  <c r="R57" i="62" s="1"/>
  <c r="R60" i="64"/>
  <c r="R88" i="68"/>
  <c r="R60" i="58"/>
  <c r="R88" i="63"/>
  <c r="R39" i="64"/>
  <c r="R58" i="64" s="1"/>
  <c r="R39" i="70"/>
  <c r="R58" i="70" s="1"/>
  <c r="R88" i="64"/>
  <c r="R60" i="69"/>
  <c r="R88" i="61"/>
  <c r="R39" i="59"/>
  <c r="R58" i="59" s="1"/>
  <c r="R60" i="63"/>
  <c r="R88" i="56"/>
  <c r="R88" i="69"/>
  <c r="R60" i="59"/>
  <c r="R59" i="65"/>
  <c r="R39" i="68"/>
  <c r="R58" i="68" s="1"/>
  <c r="R88" i="58"/>
  <c r="R88" i="57"/>
  <c r="R6" i="57"/>
  <c r="R39" i="57" s="1"/>
  <c r="R58" i="57" s="1"/>
  <c r="R60" i="60"/>
  <c r="R87" i="62"/>
  <c r="R60" i="61"/>
  <c r="R88" i="59"/>
  <c r="R60" i="68"/>
  <c r="R60" i="67"/>
  <c r="R88" i="60"/>
  <c r="R86" i="57" l="1"/>
  <c r="R85" i="62"/>
  <c r="R86" i="60"/>
  <c r="R86" i="61"/>
  <c r="R86" i="64"/>
  <c r="R112" i="64" s="1"/>
  <c r="R121" i="64" s="1"/>
  <c r="R86" i="69"/>
  <c r="R85" i="65"/>
  <c r="R111" i="65" s="1"/>
  <c r="R86" i="58"/>
  <c r="R84" i="58" s="1"/>
  <c r="R86" i="59"/>
  <c r="R84" i="59" s="1"/>
  <c r="R86" i="63"/>
  <c r="R84" i="63" s="1"/>
  <c r="R86" i="68"/>
  <c r="R112" i="68" s="1"/>
  <c r="R121" i="68" s="1"/>
  <c r="R84" i="57"/>
  <c r="R112" i="57"/>
  <c r="R121" i="57" s="1"/>
  <c r="R86" i="67"/>
  <c r="R112" i="67" s="1"/>
  <c r="R121" i="67" s="1"/>
  <c r="R111" i="62" l="1"/>
  <c r="R120" i="62" s="1"/>
  <c r="R83" i="62"/>
  <c r="R84" i="60"/>
  <c r="R112" i="60"/>
  <c r="R121" i="60" s="1"/>
  <c r="R112" i="61"/>
  <c r="R121" i="61" s="1"/>
  <c r="R84" i="61"/>
  <c r="R84" i="69"/>
  <c r="R112" i="69"/>
  <c r="R121" i="69" s="1"/>
  <c r="R83" i="65"/>
  <c r="R84" i="64"/>
  <c r="R84" i="68"/>
  <c r="R112" i="63"/>
  <c r="R121" i="63" s="1"/>
  <c r="R112" i="58"/>
  <c r="R121" i="58" s="1"/>
  <c r="R112" i="59"/>
  <c r="R121" i="59" s="1"/>
  <c r="R84" i="67"/>
  <c r="R113" i="65"/>
  <c r="R120" i="65" s="1"/>
  <c r="R60" i="55" l="1"/>
  <c r="R86" i="55" s="1"/>
  <c r="R69" i="70"/>
  <c r="R60" i="70" s="1"/>
  <c r="R86" i="70" s="1"/>
  <c r="R84" i="70" s="1"/>
  <c r="R60" i="56" l="1"/>
  <c r="R86" i="56" s="1"/>
  <c r="R84" i="55"/>
  <c r="R112" i="55"/>
  <c r="R121" i="55" s="1"/>
  <c r="R84" i="56" l="1"/>
  <c r="R112" i="56"/>
  <c r="R121" i="56" s="1"/>
  <c r="R126" i="65" l="1"/>
  <c r="R127" i="55" l="1"/>
  <c r="R127" i="56" l="1"/>
  <c r="R100" i="70" l="1"/>
  <c r="R88" i="70" s="1"/>
  <c r="R112" i="70" s="1"/>
  <c r="R114" i="70" l="1"/>
  <c r="R121" i="70" s="1"/>
  <c r="P241" i="78" l="1"/>
  <c r="P207" i="78"/>
  <c r="P173" i="78"/>
  <c r="P139" i="78"/>
  <c r="P105" i="78"/>
  <c r="P71" i="78"/>
  <c r="P37" i="78"/>
  <c r="P275" i="78" l="1"/>
  <c r="P236" i="78"/>
  <c r="P231" i="78"/>
  <c r="P230" i="78"/>
  <c r="P202" i="78"/>
  <c r="P197" i="78"/>
  <c r="P196" i="78"/>
  <c r="P168" i="78"/>
  <c r="P163" i="78"/>
  <c r="P162" i="78"/>
  <c r="P134" i="78"/>
  <c r="P129" i="78"/>
  <c r="P128" i="78"/>
  <c r="P100" i="78"/>
  <c r="P95" i="78"/>
  <c r="P94" i="78"/>
  <c r="P66" i="78"/>
  <c r="P61" i="78"/>
  <c r="P60" i="78"/>
  <c r="P26" i="78"/>
  <c r="P27" i="78"/>
  <c r="P32" i="78"/>
  <c r="U19" i="18"/>
  <c r="U24" i="18"/>
  <c r="U20" i="18"/>
  <c r="U11" i="18"/>
  <c r="U7" i="18"/>
  <c r="AM82" i="3"/>
  <c r="AM76" i="3"/>
  <c r="AM70" i="3"/>
  <c r="AM64" i="3"/>
  <c r="AM55" i="3"/>
  <c r="AM48" i="3"/>
  <c r="AM41" i="3"/>
  <c r="AM34" i="3"/>
  <c r="AM27" i="3"/>
  <c r="AM20" i="3"/>
  <c r="Z130" i="87"/>
  <c r="Z123" i="87"/>
  <c r="Z105" i="87"/>
  <c r="Z47" i="87"/>
  <c r="Z79" i="87" s="1"/>
  <c r="Z86" i="87" s="1"/>
  <c r="Z129" i="86"/>
  <c r="Z122" i="86"/>
  <c r="Z105" i="86"/>
  <c r="Z48" i="86"/>
  <c r="Z80" i="86" s="1"/>
  <c r="Z86" i="86" s="1"/>
  <c r="Z130" i="85"/>
  <c r="Z123" i="85"/>
  <c r="Z106" i="85"/>
  <c r="Z48" i="85"/>
  <c r="Z80" i="85" s="1"/>
  <c r="Z86" i="85" s="1"/>
  <c r="Z128" i="98"/>
  <c r="Z121" i="98"/>
  <c r="Z104" i="98"/>
  <c r="Z47" i="98"/>
  <c r="Z79" i="98" s="1"/>
  <c r="Z85" i="98" s="1"/>
  <c r="Z129" i="84"/>
  <c r="Z122" i="84"/>
  <c r="Z105" i="84"/>
  <c r="Z48" i="84"/>
  <c r="Z80" i="84" s="1"/>
  <c r="Z86" i="84" s="1"/>
  <c r="Z129" i="83"/>
  <c r="Z122" i="83"/>
  <c r="Z105" i="83"/>
  <c r="Z48" i="83"/>
  <c r="Z80" i="83" s="1"/>
  <c r="Z86" i="83" s="1"/>
  <c r="Z129" i="82"/>
  <c r="Z122" i="82"/>
  <c r="Z105" i="82"/>
  <c r="Z48" i="82"/>
  <c r="Z80" i="82" s="1"/>
  <c r="Z86" i="82" s="1"/>
  <c r="Z129" i="81"/>
  <c r="Z122" i="81"/>
  <c r="Z105" i="81"/>
  <c r="Z80" i="81"/>
  <c r="Z86" i="81" s="1"/>
  <c r="Z129" i="80"/>
  <c r="Z122" i="80"/>
  <c r="Z105" i="80"/>
  <c r="Z48" i="80"/>
  <c r="Z80" i="80" s="1"/>
  <c r="Z86" i="80" s="1"/>
  <c r="BB84" i="11"/>
  <c r="BB69" i="11"/>
  <c r="BB53" i="11"/>
  <c r="BB52" i="11"/>
  <c r="BB43" i="11"/>
  <c r="BB29" i="11"/>
  <c r="BB8" i="11"/>
  <c r="AL82" i="39"/>
  <c r="AL67" i="39"/>
  <c r="AL47" i="39"/>
  <c r="AL46" i="39"/>
  <c r="AL37" i="39"/>
  <c r="AL28" i="39"/>
  <c r="AL8" i="39"/>
  <c r="O62" i="46"/>
  <c r="O45" i="46"/>
  <c r="O33" i="46"/>
  <c r="O32" i="46"/>
  <c r="O21" i="46"/>
  <c r="O8" i="46"/>
  <c r="O85" i="33"/>
  <c r="O66" i="33"/>
  <c r="O46" i="33"/>
  <c r="O45" i="33"/>
  <c r="O37" i="33"/>
  <c r="O23" i="33"/>
  <c r="O8" i="33"/>
  <c r="Q67" i="32"/>
  <c r="Q56" i="32"/>
  <c r="Q41" i="32"/>
  <c r="Q40" i="32"/>
  <c r="Q32" i="32"/>
  <c r="Q23" i="32"/>
  <c r="Q8" i="32"/>
  <c r="T81" i="31"/>
  <c r="T64" i="31"/>
  <c r="T46" i="31"/>
  <c r="T45" i="31"/>
  <c r="T37" i="31"/>
  <c r="T24" i="31"/>
  <c r="T8" i="31"/>
  <c r="AH81" i="30"/>
  <c r="AH64" i="30"/>
  <c r="AH45" i="30"/>
  <c r="AH44" i="30"/>
  <c r="AH36" i="30"/>
  <c r="AH24" i="30"/>
  <c r="AH8" i="30"/>
  <c r="Z81" i="29"/>
  <c r="Z67" i="29"/>
  <c r="Z49" i="29"/>
  <c r="Z48" i="29"/>
  <c r="Z39" i="29"/>
  <c r="Z25" i="29"/>
  <c r="Z8" i="29"/>
  <c r="Z86" i="28"/>
  <c r="Z69" i="28"/>
  <c r="Z48" i="28"/>
  <c r="Z47" i="28"/>
  <c r="Z8" i="28"/>
  <c r="Z79" i="27"/>
  <c r="Z63" i="27"/>
  <c r="Z45" i="27"/>
  <c r="Z44" i="27"/>
  <c r="Z24" i="27"/>
  <c r="Z8" i="27"/>
  <c r="Z41" i="7"/>
  <c r="Z27" i="7"/>
  <c r="Z20" i="7"/>
  <c r="Z9" i="7"/>
  <c r="Z19" i="7" s="1"/>
  <c r="Z26" i="7" s="1"/>
  <c r="BB35" i="8"/>
  <c r="BB30" i="8"/>
  <c r="BB32" i="8" s="1"/>
  <c r="BB22" i="8"/>
  <c r="Q29" i="45"/>
  <c r="Q17" i="45"/>
  <c r="Q9" i="45"/>
  <c r="Q14" i="45" s="1"/>
  <c r="Q16" i="45" s="1"/>
  <c r="J33" i="77"/>
  <c r="J23" i="77"/>
  <c r="J15" i="77"/>
  <c r="J10" i="77"/>
  <c r="W33" i="42"/>
  <c r="W23" i="42"/>
  <c r="W15" i="42"/>
  <c r="W10" i="42"/>
  <c r="W14" i="42" s="1"/>
  <c r="Z25" i="38"/>
  <c r="Z14" i="38"/>
  <c r="Z9" i="38"/>
  <c r="Z13" i="38" s="1"/>
  <c r="AL33" i="37"/>
  <c r="AL21" i="37"/>
  <c r="AL9" i="37"/>
  <c r="AL19" i="37" s="1"/>
  <c r="R39" i="26"/>
  <c r="R25" i="26"/>
  <c r="R19" i="26"/>
  <c r="R9" i="26"/>
  <c r="R18" i="26" s="1"/>
  <c r="V39" i="25"/>
  <c r="V25" i="25"/>
  <c r="V19" i="25"/>
  <c r="V9" i="25"/>
  <c r="V18" i="25" s="1"/>
  <c r="T39" i="24"/>
  <c r="T25" i="24"/>
  <c r="T19" i="24"/>
  <c r="T9" i="24"/>
  <c r="T18" i="24" s="1"/>
  <c r="AH39" i="23"/>
  <c r="AH25" i="23"/>
  <c r="AH19" i="23"/>
  <c r="AH9" i="23"/>
  <c r="AH18" i="23" s="1"/>
  <c r="Z25" i="22"/>
  <c r="Z19" i="22"/>
  <c r="Z9" i="22"/>
  <c r="Z18" i="22" s="1"/>
  <c r="BB39" i="21"/>
  <c r="BB25" i="21"/>
  <c r="BB19" i="21"/>
  <c r="BB9" i="21"/>
  <c r="BB18" i="21" s="1"/>
  <c r="BB39" i="20"/>
  <c r="BB25" i="20"/>
  <c r="BB19" i="20"/>
  <c r="BB9" i="20"/>
  <c r="BB18" i="20" s="1"/>
  <c r="BB12" i="15"/>
  <c r="BB18" i="15" s="1"/>
  <c r="BB24" i="15" s="1"/>
  <c r="BB30" i="15" s="1"/>
  <c r="BB36" i="15" s="1"/>
  <c r="BB42" i="15" s="1"/>
  <c r="P264" i="78" l="1"/>
  <c r="P270" i="78"/>
  <c r="P265" i="78"/>
  <c r="P65" i="78"/>
  <c r="P67" i="78" s="1"/>
  <c r="P69" i="78" s="1"/>
  <c r="P72" i="78" s="1"/>
  <c r="T89" i="31"/>
  <c r="BB38" i="8"/>
  <c r="BB43" i="8" s="1"/>
  <c r="J14" i="77"/>
  <c r="J30" i="77" s="1"/>
  <c r="U28" i="18"/>
  <c r="BB28" i="11"/>
  <c r="BB50" i="11" s="1"/>
  <c r="O57" i="46"/>
  <c r="O63" i="46" s="1"/>
  <c r="O30" i="46"/>
  <c r="Q75" i="32"/>
  <c r="Z45" i="28"/>
  <c r="AL29" i="37"/>
  <c r="AL32" i="37" s="1"/>
  <c r="AL36" i="37" s="1"/>
  <c r="AL41" i="37" s="1"/>
  <c r="P235" i="78"/>
  <c r="P237" i="78" s="1"/>
  <c r="P239" i="78" s="1"/>
  <c r="P242" i="78" s="1"/>
  <c r="P201" i="78"/>
  <c r="P203" i="78" s="1"/>
  <c r="P205" i="78" s="1"/>
  <c r="P208" i="78" s="1"/>
  <c r="P167" i="78"/>
  <c r="P169" i="78" s="1"/>
  <c r="P171" i="78" s="1"/>
  <c r="P174" i="78" s="1"/>
  <c r="P133" i="78"/>
  <c r="P135" i="78" s="1"/>
  <c r="P137" i="78" s="1"/>
  <c r="P140" i="78" s="1"/>
  <c r="P99" i="78"/>
  <c r="P101" i="78" s="1"/>
  <c r="P103" i="78" s="1"/>
  <c r="P106" i="78" s="1"/>
  <c r="P31" i="78"/>
  <c r="U15" i="18"/>
  <c r="AM85" i="3"/>
  <c r="Z125" i="87"/>
  <c r="Z124" i="86"/>
  <c r="Z125" i="85"/>
  <c r="Z123" i="98"/>
  <c r="Z124" i="84"/>
  <c r="Z124" i="83"/>
  <c r="Z124" i="82"/>
  <c r="Z124" i="81"/>
  <c r="Z124" i="80"/>
  <c r="BB93" i="11"/>
  <c r="AL92" i="39"/>
  <c r="AL94" i="39" s="1"/>
  <c r="AL27" i="39"/>
  <c r="AL44" i="39" s="1"/>
  <c r="O95" i="33"/>
  <c r="O22" i="33"/>
  <c r="O43" i="33" s="1"/>
  <c r="Q22" i="32"/>
  <c r="Q38" i="32" s="1"/>
  <c r="T23" i="31"/>
  <c r="T43" i="31" s="1"/>
  <c r="AH90" i="30"/>
  <c r="AH23" i="30"/>
  <c r="AH42" i="30" s="1"/>
  <c r="Z89" i="29"/>
  <c r="Z24" i="29"/>
  <c r="Z46" i="29" s="1"/>
  <c r="Z95" i="28"/>
  <c r="Z86" i="27"/>
  <c r="Z42" i="27"/>
  <c r="Z36" i="7"/>
  <c r="Q25" i="45"/>
  <c r="Q28" i="45" s="1"/>
  <c r="Q32" i="45" s="1"/>
  <c r="Q37" i="45" s="1"/>
  <c r="W30" i="42"/>
  <c r="Z22" i="38"/>
  <c r="Z24" i="38" s="1"/>
  <c r="Z28" i="38" s="1"/>
  <c r="Z32" i="38" s="1"/>
  <c r="R36" i="26"/>
  <c r="R38" i="26" s="1"/>
  <c r="R42" i="26" s="1"/>
  <c r="R47" i="26" s="1"/>
  <c r="R24" i="26"/>
  <c r="V36" i="25"/>
  <c r="V38" i="25" s="1"/>
  <c r="V42" i="25" s="1"/>
  <c r="V47" i="25" s="1"/>
  <c r="V24" i="25"/>
  <c r="T24" i="24"/>
  <c r="T36" i="24"/>
  <c r="T38" i="24" s="1"/>
  <c r="T42" i="24" s="1"/>
  <c r="T47" i="24" s="1"/>
  <c r="AH36" i="23"/>
  <c r="AH38" i="23" s="1"/>
  <c r="AH42" i="23" s="1"/>
  <c r="AH47" i="23" s="1"/>
  <c r="AH24" i="23"/>
  <c r="Z36" i="22"/>
  <c r="Z38" i="22" s="1"/>
  <c r="Z42" i="22" s="1"/>
  <c r="Z47" i="22" s="1"/>
  <c r="Z24" i="22"/>
  <c r="BB36" i="21"/>
  <c r="BB38" i="21" s="1"/>
  <c r="BB42" i="21" s="1"/>
  <c r="BB47" i="21" s="1"/>
  <c r="BB24" i="21"/>
  <c r="BB36" i="20"/>
  <c r="BB38" i="20" s="1"/>
  <c r="BB42" i="20" s="1"/>
  <c r="BB47" i="20" s="1"/>
  <c r="BB24" i="20"/>
  <c r="R268" i="2"/>
  <c r="P33" i="78" l="1"/>
  <c r="P269" i="78"/>
  <c r="Z38" i="7"/>
  <c r="Z44" i="7" s="1"/>
  <c r="Z49" i="7" s="1"/>
  <c r="Z90" i="29"/>
  <c r="J32" i="77"/>
  <c r="J36" i="77" s="1"/>
  <c r="J39" i="77" s="1"/>
  <c r="W32" i="42"/>
  <c r="W36" i="42" s="1"/>
  <c r="W39" i="42" s="1"/>
  <c r="O64" i="46"/>
  <c r="Q76" i="32"/>
  <c r="BB94" i="11"/>
  <c r="AL95" i="39"/>
  <c r="O96" i="33"/>
  <c r="T90" i="31"/>
  <c r="AH91" i="30"/>
  <c r="Z96" i="28"/>
  <c r="Z87" i="27"/>
  <c r="AF45" i="41"/>
  <c r="AF25" i="41"/>
  <c r="P271" i="78" l="1"/>
  <c r="P35" i="78"/>
  <c r="Z51" i="7"/>
  <c r="AF22" i="41"/>
  <c r="BB12" i="14"/>
  <c r="BB18" i="14" s="1"/>
  <c r="BB24" i="14" s="1"/>
  <c r="BB30" i="14" s="1"/>
  <c r="BB36" i="14" s="1"/>
  <c r="BB42" i="14" s="1"/>
  <c r="P273" i="78" l="1"/>
  <c r="P38" i="78"/>
  <c r="P276" i="78" s="1"/>
  <c r="BB193" i="12"/>
  <c r="BB185" i="12"/>
  <c r="BB177" i="12"/>
  <c r="BB169" i="12"/>
  <c r="BB161" i="12"/>
  <c r="BB153" i="12"/>
  <c r="BB145" i="12"/>
  <c r="BB137" i="12"/>
  <c r="F8" i="2"/>
  <c r="BB195" i="12" l="1"/>
  <c r="R46" i="2"/>
  <c r="R39" i="2"/>
  <c r="R38" i="2"/>
  <c r="AA82" i="69" l="1"/>
  <c r="AA82" i="68"/>
  <c r="AA82" i="67"/>
  <c r="Y81" i="65"/>
  <c r="Y81" i="62"/>
  <c r="AA82" i="64"/>
  <c r="AA82" i="63"/>
  <c r="AA82" i="61"/>
  <c r="AA82" i="60"/>
  <c r="AA82" i="59"/>
  <c r="AA82" i="58"/>
  <c r="AA82" i="57"/>
  <c r="AA82" i="56"/>
  <c r="AA82" i="55"/>
  <c r="BB135" i="12" l="1"/>
  <c r="O241" i="78"/>
  <c r="N241" i="78"/>
  <c r="M241" i="78"/>
  <c r="L241" i="78"/>
  <c r="K241" i="78"/>
  <c r="J241" i="78"/>
  <c r="I241" i="78"/>
  <c r="H241" i="78"/>
  <c r="G241" i="78"/>
  <c r="F241" i="78"/>
  <c r="O236" i="78"/>
  <c r="N236" i="78"/>
  <c r="M236" i="78"/>
  <c r="L236" i="78"/>
  <c r="K236" i="78"/>
  <c r="J236" i="78"/>
  <c r="I236" i="78"/>
  <c r="H236" i="78"/>
  <c r="G236" i="78"/>
  <c r="F236" i="78"/>
  <c r="O231" i="78"/>
  <c r="N231" i="78"/>
  <c r="M231" i="78"/>
  <c r="L231" i="78"/>
  <c r="K231" i="78"/>
  <c r="J231" i="78"/>
  <c r="I231" i="78"/>
  <c r="H231" i="78"/>
  <c r="G231" i="78"/>
  <c r="F231" i="78"/>
  <c r="O230" i="78"/>
  <c r="N230" i="78"/>
  <c r="M230" i="78"/>
  <c r="L230" i="78"/>
  <c r="K230" i="78"/>
  <c r="J230" i="78"/>
  <c r="I230" i="78"/>
  <c r="H230" i="78"/>
  <c r="G230" i="78"/>
  <c r="F230" i="78"/>
  <c r="O207" i="78"/>
  <c r="N207" i="78"/>
  <c r="M207" i="78"/>
  <c r="L207" i="78"/>
  <c r="K207" i="78"/>
  <c r="J207" i="78"/>
  <c r="I207" i="78"/>
  <c r="H207" i="78"/>
  <c r="G207" i="78"/>
  <c r="F207" i="78"/>
  <c r="O202" i="78"/>
  <c r="N202" i="78"/>
  <c r="M202" i="78"/>
  <c r="L202" i="78"/>
  <c r="K202" i="78"/>
  <c r="J202" i="78"/>
  <c r="I202" i="78"/>
  <c r="H202" i="78"/>
  <c r="G202" i="78"/>
  <c r="F202" i="78"/>
  <c r="O197" i="78"/>
  <c r="N197" i="78"/>
  <c r="M197" i="78"/>
  <c r="L197" i="78"/>
  <c r="K197" i="78"/>
  <c r="J197" i="78"/>
  <c r="I197" i="78"/>
  <c r="H197" i="78"/>
  <c r="G197" i="78"/>
  <c r="F197" i="78"/>
  <c r="O196" i="78"/>
  <c r="N196" i="78"/>
  <c r="M196" i="78"/>
  <c r="L196" i="78"/>
  <c r="K196" i="78"/>
  <c r="J196" i="78"/>
  <c r="I196" i="78"/>
  <c r="H196" i="78"/>
  <c r="G196" i="78"/>
  <c r="F196" i="78"/>
  <c r="O173" i="78"/>
  <c r="N173" i="78"/>
  <c r="M173" i="78"/>
  <c r="L173" i="78"/>
  <c r="K173" i="78"/>
  <c r="J173" i="78"/>
  <c r="I173" i="78"/>
  <c r="H173" i="78"/>
  <c r="G173" i="78"/>
  <c r="F173" i="78"/>
  <c r="O168" i="78"/>
  <c r="N168" i="78"/>
  <c r="M168" i="78"/>
  <c r="L168" i="78"/>
  <c r="K168" i="78"/>
  <c r="J168" i="78"/>
  <c r="I168" i="78"/>
  <c r="H168" i="78"/>
  <c r="G168" i="78"/>
  <c r="F168" i="78"/>
  <c r="O163" i="78"/>
  <c r="N163" i="78"/>
  <c r="M163" i="78"/>
  <c r="L163" i="78"/>
  <c r="K163" i="78"/>
  <c r="J163" i="78"/>
  <c r="I163" i="78"/>
  <c r="H163" i="78"/>
  <c r="G163" i="78"/>
  <c r="F163" i="78"/>
  <c r="O162" i="78"/>
  <c r="N162" i="78"/>
  <c r="M162" i="78"/>
  <c r="L162" i="78"/>
  <c r="K162" i="78"/>
  <c r="J162" i="78"/>
  <c r="I162" i="78"/>
  <c r="H162" i="78"/>
  <c r="G162" i="78"/>
  <c r="F162" i="78"/>
  <c r="O139" i="78"/>
  <c r="N139" i="78"/>
  <c r="M139" i="78"/>
  <c r="L139" i="78"/>
  <c r="K139" i="78"/>
  <c r="J139" i="78"/>
  <c r="I139" i="78"/>
  <c r="H139" i="78"/>
  <c r="G139" i="78"/>
  <c r="F139" i="78"/>
  <c r="O134" i="78"/>
  <c r="N134" i="78"/>
  <c r="M134" i="78"/>
  <c r="L134" i="78"/>
  <c r="K134" i="78"/>
  <c r="J134" i="78"/>
  <c r="I134" i="78"/>
  <c r="H134" i="78"/>
  <c r="G134" i="78"/>
  <c r="F134" i="78"/>
  <c r="O129" i="78"/>
  <c r="N129" i="78"/>
  <c r="M129" i="78"/>
  <c r="L129" i="78"/>
  <c r="K129" i="78"/>
  <c r="J129" i="78"/>
  <c r="I129" i="78"/>
  <c r="H129" i="78"/>
  <c r="G129" i="78"/>
  <c r="F129" i="78"/>
  <c r="O128" i="78"/>
  <c r="N128" i="78"/>
  <c r="M128" i="78"/>
  <c r="L128" i="78"/>
  <c r="K128" i="78"/>
  <c r="J128" i="78"/>
  <c r="I128" i="78"/>
  <c r="H128" i="78"/>
  <c r="G128" i="78"/>
  <c r="F128" i="78"/>
  <c r="O105" i="78"/>
  <c r="N105" i="78"/>
  <c r="M105" i="78"/>
  <c r="L105" i="78"/>
  <c r="K105" i="78"/>
  <c r="J105" i="78"/>
  <c r="I105" i="78"/>
  <c r="H105" i="78"/>
  <c r="G105" i="78"/>
  <c r="F105" i="78"/>
  <c r="O100" i="78"/>
  <c r="N100" i="78"/>
  <c r="M100" i="78"/>
  <c r="L100" i="78"/>
  <c r="K100" i="78"/>
  <c r="J100" i="78"/>
  <c r="I100" i="78"/>
  <c r="H100" i="78"/>
  <c r="G100" i="78"/>
  <c r="F100" i="78"/>
  <c r="O95" i="78"/>
  <c r="N95" i="78"/>
  <c r="M95" i="78"/>
  <c r="L95" i="78"/>
  <c r="K95" i="78"/>
  <c r="J95" i="78"/>
  <c r="I95" i="78"/>
  <c r="H95" i="78"/>
  <c r="G95" i="78"/>
  <c r="F95" i="78"/>
  <c r="O94" i="78"/>
  <c r="N94" i="78"/>
  <c r="M94" i="78"/>
  <c r="L94" i="78"/>
  <c r="K94" i="78"/>
  <c r="J94" i="78"/>
  <c r="I94" i="78"/>
  <c r="H94" i="78"/>
  <c r="G94" i="78"/>
  <c r="F94" i="78"/>
  <c r="O71" i="78"/>
  <c r="N71" i="78"/>
  <c r="M71" i="78"/>
  <c r="L71" i="78"/>
  <c r="K71" i="78"/>
  <c r="J71" i="78"/>
  <c r="I71" i="78"/>
  <c r="H71" i="78"/>
  <c r="G71" i="78"/>
  <c r="F71" i="78"/>
  <c r="O66" i="78"/>
  <c r="N66" i="78"/>
  <c r="M66" i="78"/>
  <c r="L66" i="78"/>
  <c r="K66" i="78"/>
  <c r="J66" i="78"/>
  <c r="I66" i="78"/>
  <c r="H66" i="78"/>
  <c r="G66" i="78"/>
  <c r="F66" i="78"/>
  <c r="O61" i="78"/>
  <c r="N61" i="78"/>
  <c r="M61" i="78"/>
  <c r="L61" i="78"/>
  <c r="K61" i="78"/>
  <c r="J61" i="78"/>
  <c r="I61" i="78"/>
  <c r="H61" i="78"/>
  <c r="G61" i="78"/>
  <c r="F61" i="78"/>
  <c r="O60" i="78"/>
  <c r="N60" i="78"/>
  <c r="M60" i="78"/>
  <c r="L60" i="78"/>
  <c r="K60" i="78"/>
  <c r="J60" i="78"/>
  <c r="I60" i="78"/>
  <c r="H60" i="78"/>
  <c r="G60" i="78"/>
  <c r="F60" i="78"/>
  <c r="O37" i="78"/>
  <c r="N37" i="78"/>
  <c r="M37" i="78"/>
  <c r="L37" i="78"/>
  <c r="K37" i="78"/>
  <c r="J37" i="78"/>
  <c r="I37" i="78"/>
  <c r="H37" i="78"/>
  <c r="G37" i="78"/>
  <c r="F37" i="78"/>
  <c r="O32" i="78"/>
  <c r="O270" i="78" s="1"/>
  <c r="N32" i="78"/>
  <c r="M32" i="78"/>
  <c r="L32" i="78"/>
  <c r="K32" i="78"/>
  <c r="J32" i="78"/>
  <c r="I32" i="78"/>
  <c r="H32" i="78"/>
  <c r="G32" i="78"/>
  <c r="F32" i="78"/>
  <c r="O27" i="78"/>
  <c r="N27" i="78"/>
  <c r="N265" i="78" s="1"/>
  <c r="M27" i="78"/>
  <c r="M265" i="78" s="1"/>
  <c r="L27" i="78"/>
  <c r="K27" i="78"/>
  <c r="J27" i="78"/>
  <c r="I27" i="78"/>
  <c r="H27" i="78"/>
  <c r="G27" i="78"/>
  <c r="F27" i="78"/>
  <c r="O26" i="78"/>
  <c r="N26" i="78"/>
  <c r="M26" i="78"/>
  <c r="L26" i="78"/>
  <c r="L264" i="78" s="1"/>
  <c r="K26" i="78"/>
  <c r="K264" i="78" s="1"/>
  <c r="J26" i="78"/>
  <c r="I26" i="78"/>
  <c r="H26" i="78"/>
  <c r="G26" i="78"/>
  <c r="F26" i="78"/>
  <c r="Q268" i="2"/>
  <c r="P268" i="2"/>
  <c r="O268" i="2"/>
  <c r="N268" i="2"/>
  <c r="M268" i="2"/>
  <c r="L268" i="2"/>
  <c r="K268" i="2"/>
  <c r="J268" i="2"/>
  <c r="I268" i="2"/>
  <c r="H268" i="2"/>
  <c r="G268" i="2"/>
  <c r="F268" i="2"/>
  <c r="R264" i="2"/>
  <c r="L10" i="2" s="1"/>
  <c r="O264" i="2"/>
  <c r="N264" i="2"/>
  <c r="M264" i="2"/>
  <c r="L264" i="2"/>
  <c r="J264" i="2"/>
  <c r="I264" i="2"/>
  <c r="H264" i="2"/>
  <c r="G264" i="2"/>
  <c r="Q263" i="2"/>
  <c r="Q262" i="2"/>
  <c r="F261" i="2"/>
  <c r="P260" i="2"/>
  <c r="K260" i="2"/>
  <c r="F260" i="2"/>
  <c r="R250" i="2"/>
  <c r="Q250" i="2"/>
  <c r="P250" i="2"/>
  <c r="O250" i="2"/>
  <c r="N250" i="2"/>
  <c r="M250" i="2"/>
  <c r="L250" i="2"/>
  <c r="K250" i="2"/>
  <c r="J250" i="2"/>
  <c r="I250" i="2"/>
  <c r="H250" i="2"/>
  <c r="G250" i="2"/>
  <c r="F250" i="2"/>
  <c r="R246" i="2"/>
  <c r="Q246" i="2"/>
  <c r="P246" i="2"/>
  <c r="O246" i="2"/>
  <c r="N246" i="2"/>
  <c r="M246" i="2"/>
  <c r="L246" i="2"/>
  <c r="K246" i="2"/>
  <c r="J246" i="2"/>
  <c r="I246" i="2"/>
  <c r="H246" i="2"/>
  <c r="G246" i="2"/>
  <c r="F246" i="2"/>
  <c r="K238" i="2"/>
  <c r="L238" i="2" s="1"/>
  <c r="M238" i="2" s="1"/>
  <c r="N238" i="2" s="1"/>
  <c r="O238" i="2" s="1"/>
  <c r="P238" i="2" s="1"/>
  <c r="Q238" i="2" s="1"/>
  <c r="R238" i="2" s="1"/>
  <c r="S238" i="2" s="1"/>
  <c r="I238" i="2"/>
  <c r="H238" i="2" s="1"/>
  <c r="G238" i="2" s="1"/>
  <c r="F238" i="2" s="1"/>
  <c r="Q231" i="2"/>
  <c r="P231" i="2"/>
  <c r="O231" i="2"/>
  <c r="N231" i="2"/>
  <c r="M231" i="2"/>
  <c r="L231" i="2"/>
  <c r="K231" i="2"/>
  <c r="J231" i="2"/>
  <c r="I231" i="2"/>
  <c r="H231" i="2"/>
  <c r="G231" i="2"/>
  <c r="F231" i="2"/>
  <c r="Q227" i="2"/>
  <c r="O227" i="2"/>
  <c r="N227" i="2"/>
  <c r="M227" i="2"/>
  <c r="L227" i="2"/>
  <c r="K227" i="2"/>
  <c r="I227" i="2"/>
  <c r="H227" i="2"/>
  <c r="G227" i="2"/>
  <c r="F227" i="2"/>
  <c r="P223" i="2"/>
  <c r="J223" i="2"/>
  <c r="R213" i="2"/>
  <c r="Q213" i="2"/>
  <c r="P213" i="2"/>
  <c r="O213" i="2"/>
  <c r="N213" i="2"/>
  <c r="M213" i="2"/>
  <c r="L213" i="2"/>
  <c r="K213" i="2"/>
  <c r="J213" i="2"/>
  <c r="I213" i="2"/>
  <c r="H213" i="2"/>
  <c r="G213" i="2"/>
  <c r="F213" i="2"/>
  <c r="R209" i="2"/>
  <c r="Q209" i="2"/>
  <c r="P209" i="2"/>
  <c r="O209" i="2"/>
  <c r="N209" i="2"/>
  <c r="M209" i="2"/>
  <c r="L209" i="2"/>
  <c r="K209" i="2"/>
  <c r="J209" i="2"/>
  <c r="I209" i="2"/>
  <c r="H209" i="2"/>
  <c r="G209" i="2"/>
  <c r="F209" i="2"/>
  <c r="K201" i="2"/>
  <c r="L201" i="2" s="1"/>
  <c r="M201" i="2" s="1"/>
  <c r="N201" i="2" s="1"/>
  <c r="O201" i="2" s="1"/>
  <c r="P201" i="2" s="1"/>
  <c r="Q201" i="2" s="1"/>
  <c r="R201" i="2" s="1"/>
  <c r="S201" i="2" s="1"/>
  <c r="I201" i="2"/>
  <c r="H201" i="2" s="1"/>
  <c r="G201" i="2" s="1"/>
  <c r="F201" i="2" s="1"/>
  <c r="Q194" i="2"/>
  <c r="P194" i="2"/>
  <c r="O194" i="2"/>
  <c r="N194" i="2"/>
  <c r="M194" i="2"/>
  <c r="L194" i="2"/>
  <c r="K194" i="2"/>
  <c r="J194" i="2"/>
  <c r="I194" i="2"/>
  <c r="H194" i="2"/>
  <c r="G194" i="2"/>
  <c r="F194" i="2"/>
  <c r="Q190" i="2"/>
  <c r="P190" i="2"/>
  <c r="O190" i="2"/>
  <c r="M190" i="2"/>
  <c r="L190" i="2"/>
  <c r="K190" i="2"/>
  <c r="J190" i="2"/>
  <c r="H190" i="2"/>
  <c r="G190" i="2"/>
  <c r="F190" i="2"/>
  <c r="I187" i="2"/>
  <c r="R176" i="2"/>
  <c r="Q176" i="2"/>
  <c r="P176" i="2"/>
  <c r="O176" i="2"/>
  <c r="N176" i="2"/>
  <c r="M176" i="2"/>
  <c r="L176" i="2"/>
  <c r="K176" i="2"/>
  <c r="J176" i="2"/>
  <c r="I176" i="2"/>
  <c r="H176" i="2"/>
  <c r="G176" i="2"/>
  <c r="F176" i="2"/>
  <c r="R172" i="2"/>
  <c r="Q172" i="2"/>
  <c r="P172" i="2"/>
  <c r="O172" i="2"/>
  <c r="N172" i="2"/>
  <c r="M172" i="2"/>
  <c r="L172" i="2"/>
  <c r="K172" i="2"/>
  <c r="J172" i="2"/>
  <c r="I172" i="2"/>
  <c r="H172" i="2"/>
  <c r="G172" i="2"/>
  <c r="F172" i="2"/>
  <c r="K164" i="2"/>
  <c r="L164" i="2" s="1"/>
  <c r="M164" i="2" s="1"/>
  <c r="N164" i="2" s="1"/>
  <c r="O164" i="2" s="1"/>
  <c r="P164" i="2" s="1"/>
  <c r="Q164" i="2" s="1"/>
  <c r="R164" i="2" s="1"/>
  <c r="S164" i="2" s="1"/>
  <c r="I164" i="2"/>
  <c r="H164" i="2" s="1"/>
  <c r="G164" i="2" s="1"/>
  <c r="F164" i="2" s="1"/>
  <c r="R157" i="2"/>
  <c r="Q157" i="2"/>
  <c r="P157" i="2"/>
  <c r="O157" i="2"/>
  <c r="N157" i="2"/>
  <c r="M157" i="2"/>
  <c r="L157" i="2"/>
  <c r="K157" i="2"/>
  <c r="J157" i="2"/>
  <c r="I157" i="2"/>
  <c r="H157" i="2"/>
  <c r="G157" i="2"/>
  <c r="F157" i="2"/>
  <c r="Q153" i="2"/>
  <c r="P153" i="2"/>
  <c r="O153" i="2"/>
  <c r="N153" i="2"/>
  <c r="L153" i="2"/>
  <c r="K153" i="2"/>
  <c r="J153" i="2"/>
  <c r="I153" i="2"/>
  <c r="H153" i="2"/>
  <c r="G153" i="2"/>
  <c r="R152" i="2"/>
  <c r="R151" i="2"/>
  <c r="F150" i="2"/>
  <c r="Q149" i="2"/>
  <c r="M149" i="2"/>
  <c r="M151" i="2" s="1"/>
  <c r="M153" i="2" s="1"/>
  <c r="F149" i="2"/>
  <c r="F151" i="2" s="1"/>
  <c r="F153" i="2" s="1"/>
  <c r="R139" i="2"/>
  <c r="Q139" i="2"/>
  <c r="P139" i="2"/>
  <c r="O139" i="2"/>
  <c r="N139" i="2"/>
  <c r="M139" i="2"/>
  <c r="L139" i="2"/>
  <c r="K139" i="2"/>
  <c r="J139" i="2"/>
  <c r="I139" i="2"/>
  <c r="H139" i="2"/>
  <c r="G139" i="2"/>
  <c r="F139" i="2"/>
  <c r="R135" i="2"/>
  <c r="Q135" i="2"/>
  <c r="P135" i="2"/>
  <c r="O135" i="2"/>
  <c r="N135" i="2"/>
  <c r="M135" i="2"/>
  <c r="L135" i="2"/>
  <c r="K135" i="2"/>
  <c r="J135" i="2"/>
  <c r="I135" i="2"/>
  <c r="H135" i="2"/>
  <c r="G135" i="2"/>
  <c r="F135" i="2"/>
  <c r="K127" i="2"/>
  <c r="L127" i="2" s="1"/>
  <c r="M127" i="2" s="1"/>
  <c r="N127" i="2" s="1"/>
  <c r="O127" i="2" s="1"/>
  <c r="P127" i="2" s="1"/>
  <c r="Q127" i="2" s="1"/>
  <c r="R127" i="2" s="1"/>
  <c r="S127" i="2" s="1"/>
  <c r="I127" i="2"/>
  <c r="H127" i="2" s="1"/>
  <c r="G127" i="2" s="1"/>
  <c r="F127" i="2" s="1"/>
  <c r="Q120" i="2"/>
  <c r="P120" i="2"/>
  <c r="O120" i="2"/>
  <c r="N120" i="2"/>
  <c r="M120" i="2"/>
  <c r="L120" i="2"/>
  <c r="K120" i="2"/>
  <c r="J120" i="2"/>
  <c r="I120" i="2"/>
  <c r="H120" i="2"/>
  <c r="G120" i="2"/>
  <c r="F120" i="2"/>
  <c r="Q116" i="2"/>
  <c r="O116" i="2"/>
  <c r="N116" i="2"/>
  <c r="L116" i="2"/>
  <c r="K116" i="2"/>
  <c r="J116" i="2"/>
  <c r="I116" i="2"/>
  <c r="H116" i="2"/>
  <c r="G116" i="2"/>
  <c r="F113" i="2"/>
  <c r="P112" i="2"/>
  <c r="M112" i="2"/>
  <c r="M114" i="2" s="1"/>
  <c r="M116" i="2" s="1"/>
  <c r="F112" i="2"/>
  <c r="R102" i="2"/>
  <c r="Q102" i="2"/>
  <c r="P102" i="2"/>
  <c r="O102" i="2"/>
  <c r="N102" i="2"/>
  <c r="M102" i="2"/>
  <c r="L102" i="2"/>
  <c r="K102" i="2"/>
  <c r="J102" i="2"/>
  <c r="I102" i="2"/>
  <c r="H102" i="2"/>
  <c r="G102" i="2"/>
  <c r="F102" i="2"/>
  <c r="R98" i="2"/>
  <c r="Q98" i="2"/>
  <c r="P98" i="2"/>
  <c r="O98" i="2"/>
  <c r="N98" i="2"/>
  <c r="M98" i="2"/>
  <c r="L98" i="2"/>
  <c r="K98" i="2"/>
  <c r="J98" i="2"/>
  <c r="I98" i="2"/>
  <c r="H98" i="2"/>
  <c r="G98" i="2"/>
  <c r="F98" i="2"/>
  <c r="K90" i="2"/>
  <c r="L90" i="2" s="1"/>
  <c r="M90" i="2" s="1"/>
  <c r="N90" i="2" s="1"/>
  <c r="O90" i="2" s="1"/>
  <c r="P90" i="2" s="1"/>
  <c r="Q90" i="2" s="1"/>
  <c r="R90" i="2" s="1"/>
  <c r="S90" i="2" s="1"/>
  <c r="I90" i="2"/>
  <c r="H90" i="2" s="1"/>
  <c r="G90" i="2" s="1"/>
  <c r="F90" i="2" s="1"/>
  <c r="M85" i="2"/>
  <c r="I85" i="2"/>
  <c r="J85" i="2" s="1"/>
  <c r="K85" i="2" s="1"/>
  <c r="M84" i="2"/>
  <c r="N84" i="2" s="1"/>
  <c r="O84" i="2" s="1"/>
  <c r="I84" i="2"/>
  <c r="P83" i="2"/>
  <c r="L83" i="2"/>
  <c r="H83" i="2"/>
  <c r="G83" i="2"/>
  <c r="F83" i="2"/>
  <c r="O79" i="2"/>
  <c r="N79" i="2"/>
  <c r="M79" i="2"/>
  <c r="K79" i="2"/>
  <c r="J79" i="2"/>
  <c r="I79" i="2"/>
  <c r="G79" i="2"/>
  <c r="F79" i="2"/>
  <c r="R78" i="2"/>
  <c r="Q78" i="2"/>
  <c r="R77" i="2"/>
  <c r="Q77" i="2"/>
  <c r="P76" i="2"/>
  <c r="L76" i="2"/>
  <c r="H76" i="2"/>
  <c r="P75" i="2"/>
  <c r="L75" i="2"/>
  <c r="H7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R61" i="2"/>
  <c r="Q61" i="2"/>
  <c r="P61" i="2"/>
  <c r="O61" i="2"/>
  <c r="N61" i="2"/>
  <c r="M61" i="2"/>
  <c r="L61" i="2"/>
  <c r="K61" i="2"/>
  <c r="J61" i="2"/>
  <c r="I61" i="2"/>
  <c r="H61" i="2"/>
  <c r="G61" i="2"/>
  <c r="F61" i="2"/>
  <c r="K53" i="2"/>
  <c r="L53" i="2" s="1"/>
  <c r="M53" i="2" s="1"/>
  <c r="N53" i="2" s="1"/>
  <c r="O53" i="2" s="1"/>
  <c r="P53" i="2" s="1"/>
  <c r="Q53" i="2" s="1"/>
  <c r="R53" i="2" s="1"/>
  <c r="S53" i="2" s="1"/>
  <c r="I53" i="2"/>
  <c r="H53" i="2" s="1"/>
  <c r="G53" i="2" s="1"/>
  <c r="F53" i="2" s="1"/>
  <c r="O48" i="2"/>
  <c r="P48" i="2" s="1"/>
  <c r="K48" i="2"/>
  <c r="L48" i="2" s="1"/>
  <c r="M48" i="2" s="1"/>
  <c r="O47" i="2"/>
  <c r="K47" i="2"/>
  <c r="Q46" i="2"/>
  <c r="N46" i="2"/>
  <c r="J46" i="2"/>
  <c r="I46" i="2"/>
  <c r="H46" i="2"/>
  <c r="G46" i="2"/>
  <c r="F46" i="2"/>
  <c r="P42" i="2"/>
  <c r="O42" i="2"/>
  <c r="M42" i="2"/>
  <c r="L42" i="2"/>
  <c r="K42" i="2"/>
  <c r="I42" i="2"/>
  <c r="H42" i="2"/>
  <c r="G42" i="2"/>
  <c r="Q41" i="2"/>
  <c r="Q42" i="2" s="1"/>
  <c r="N39" i="2"/>
  <c r="J39" i="2"/>
  <c r="F39" i="2"/>
  <c r="N38" i="2"/>
  <c r="J38" i="2"/>
  <c r="F38" i="2"/>
  <c r="R28" i="2"/>
  <c r="Q28" i="2"/>
  <c r="P28" i="2"/>
  <c r="O28" i="2"/>
  <c r="N28" i="2"/>
  <c r="M28" i="2"/>
  <c r="L28" i="2"/>
  <c r="K28" i="2"/>
  <c r="J28" i="2"/>
  <c r="I28" i="2"/>
  <c r="H28" i="2"/>
  <c r="G28" i="2"/>
  <c r="F28" i="2"/>
  <c r="R24" i="2"/>
  <c r="Q24" i="2"/>
  <c r="P24" i="2"/>
  <c r="O24" i="2"/>
  <c r="N24" i="2"/>
  <c r="M24" i="2"/>
  <c r="L24" i="2"/>
  <c r="K24" i="2"/>
  <c r="J24" i="2"/>
  <c r="I24" i="2"/>
  <c r="H24" i="2"/>
  <c r="G24" i="2"/>
  <c r="F24" i="2"/>
  <c r="L17" i="2"/>
  <c r="M17" i="2" s="1"/>
  <c r="H17" i="2"/>
  <c r="I17" i="2" s="1"/>
  <c r="K16" i="2"/>
  <c r="L16" i="2" s="1"/>
  <c r="M16" i="2" s="1"/>
  <c r="N16" i="2" s="1"/>
  <c r="O16" i="2" s="1"/>
  <c r="P16" i="2" s="1"/>
  <c r="Q16" i="2" s="1"/>
  <c r="R16" i="2" s="1"/>
  <c r="S16" i="2" s="1"/>
  <c r="I16" i="2"/>
  <c r="H16" i="2" s="1"/>
  <c r="G16" i="2" s="1"/>
  <c r="F16" i="2" s="1"/>
  <c r="L8" i="2"/>
  <c r="K8" i="2"/>
  <c r="J8" i="2"/>
  <c r="I8" i="2"/>
  <c r="H8" i="2"/>
  <c r="G8" i="2"/>
  <c r="M76" i="72"/>
  <c r="L76" i="72"/>
  <c r="M65" i="72"/>
  <c r="M43" i="72"/>
  <c r="L43" i="72"/>
  <c r="K43" i="72"/>
  <c r="J43" i="72"/>
  <c r="I43" i="72"/>
  <c r="M21" i="72"/>
  <c r="L17" i="72"/>
  <c r="L28" i="72" s="1"/>
  <c r="L39" i="72" s="1"/>
  <c r="L50" i="72" s="1"/>
  <c r="L61" i="72" s="1"/>
  <c r="L72" i="72" s="1"/>
  <c r="M10" i="72"/>
  <c r="S68" i="19"/>
  <c r="S74" i="19" s="1"/>
  <c r="R68" i="19"/>
  <c r="Q68" i="19"/>
  <c r="Q74" i="19" s="1"/>
  <c r="P68" i="19"/>
  <c r="P74" i="19" s="1"/>
  <c r="O68" i="19"/>
  <c r="O70" i="19" s="1"/>
  <c r="N68" i="19"/>
  <c r="N74" i="19" s="1"/>
  <c r="M68" i="19"/>
  <c r="J68" i="19"/>
  <c r="J74" i="19" s="1"/>
  <c r="I68" i="19"/>
  <c r="I74" i="19" s="1"/>
  <c r="H68" i="19"/>
  <c r="G68" i="19"/>
  <c r="F68" i="19"/>
  <c r="F74" i="19" s="1"/>
  <c r="E68" i="19"/>
  <c r="E70" i="19" s="1"/>
  <c r="D68" i="19"/>
  <c r="AK53" i="19"/>
  <c r="AK59" i="19" s="1"/>
  <c r="AJ53" i="19"/>
  <c r="AJ59" i="19" s="1"/>
  <c r="AI53" i="19"/>
  <c r="AI59" i="19" s="1"/>
  <c r="AH53" i="19"/>
  <c r="AH59" i="19" s="1"/>
  <c r="AG53" i="19"/>
  <c r="AG55" i="19" s="1"/>
  <c r="AF53" i="19"/>
  <c r="AF55" i="19" s="1"/>
  <c r="AE53" i="19"/>
  <c r="AE59" i="19" s="1"/>
  <c r="AB53" i="19"/>
  <c r="AB55" i="19" s="1"/>
  <c r="AA53" i="19"/>
  <c r="AA55" i="19" s="1"/>
  <c r="Z53" i="19"/>
  <c r="Y53" i="19"/>
  <c r="Y59" i="19" s="1"/>
  <c r="X53" i="19"/>
  <c r="X55" i="19" s="1"/>
  <c r="W53" i="19"/>
  <c r="V53" i="19"/>
  <c r="V59" i="19" s="1"/>
  <c r="S53" i="19"/>
  <c r="S59" i="19" s="1"/>
  <c r="R53" i="19"/>
  <c r="R59" i="19" s="1"/>
  <c r="Q53" i="19"/>
  <c r="Q59" i="19" s="1"/>
  <c r="P53" i="19"/>
  <c r="P59" i="19" s="1"/>
  <c r="O53" i="19"/>
  <c r="O59" i="19" s="1"/>
  <c r="N53" i="19"/>
  <c r="N55" i="19" s="1"/>
  <c r="M53" i="19"/>
  <c r="M59" i="19" s="1"/>
  <c r="J53" i="19"/>
  <c r="I53" i="19"/>
  <c r="I59" i="19" s="1"/>
  <c r="H53" i="19"/>
  <c r="H59" i="19" s="1"/>
  <c r="G53" i="19"/>
  <c r="F53" i="19"/>
  <c r="F59" i="19" s="1"/>
  <c r="E53" i="19"/>
  <c r="E59" i="19" s="1"/>
  <c r="D53" i="19"/>
  <c r="D59" i="19" s="1"/>
  <c r="AK39" i="19"/>
  <c r="AK41" i="19" s="1"/>
  <c r="AJ39" i="19"/>
  <c r="AJ41" i="19" s="1"/>
  <c r="AI39" i="19"/>
  <c r="AH39" i="19"/>
  <c r="AH45" i="19" s="1"/>
  <c r="AG39" i="19"/>
  <c r="AG45" i="19" s="1"/>
  <c r="AF39" i="19"/>
  <c r="AF41" i="19" s="1"/>
  <c r="AE39" i="19"/>
  <c r="AB39" i="19"/>
  <c r="AB41" i="19" s="1"/>
  <c r="AA39" i="19"/>
  <c r="Z39" i="19"/>
  <c r="Z41" i="19" s="1"/>
  <c r="Y39" i="19"/>
  <c r="Y41" i="19" s="1"/>
  <c r="X39" i="19"/>
  <c r="X45" i="19" s="1"/>
  <c r="W39" i="19"/>
  <c r="W41" i="19" s="1"/>
  <c r="V39" i="19"/>
  <c r="V45" i="19" s="1"/>
  <c r="S39" i="19"/>
  <c r="R39" i="19"/>
  <c r="R45" i="19" s="1"/>
  <c r="Q39" i="19"/>
  <c r="Q45" i="19" s="1"/>
  <c r="P39" i="19"/>
  <c r="P41" i="19" s="1"/>
  <c r="O39" i="19"/>
  <c r="N39" i="19"/>
  <c r="N41" i="19" s="1"/>
  <c r="M39" i="19"/>
  <c r="M41" i="19" s="1"/>
  <c r="J31" i="19"/>
  <c r="I31" i="19"/>
  <c r="J27" i="19"/>
  <c r="I27" i="19"/>
  <c r="Z25" i="19"/>
  <c r="Y25" i="19"/>
  <c r="Y27" i="19" s="1"/>
  <c r="X25" i="19"/>
  <c r="X31" i="19" s="1"/>
  <c r="W25" i="19"/>
  <c r="W27" i="19" s="1"/>
  <c r="V25" i="19"/>
  <c r="S25" i="19"/>
  <c r="S27" i="19" s="1"/>
  <c r="R25" i="19"/>
  <c r="R27" i="19" s="1"/>
  <c r="Q25" i="19"/>
  <c r="Q27" i="19" s="1"/>
  <c r="P25" i="19"/>
  <c r="P27" i="19" s="1"/>
  <c r="O25" i="19"/>
  <c r="O31" i="19" s="1"/>
  <c r="N25" i="19"/>
  <c r="N27" i="19" s="1"/>
  <c r="M25" i="19"/>
  <c r="M31" i="19" s="1"/>
  <c r="H25" i="19"/>
  <c r="H31" i="19" s="1"/>
  <c r="G25" i="19"/>
  <c r="G27" i="19" s="1"/>
  <c r="F25" i="19"/>
  <c r="F27" i="19" s="1"/>
  <c r="E25" i="19"/>
  <c r="E27" i="19" s="1"/>
  <c r="D25" i="19"/>
  <c r="D31" i="19" s="1"/>
  <c r="H11" i="19"/>
  <c r="G11" i="19"/>
  <c r="G13" i="19" s="1"/>
  <c r="F11" i="19"/>
  <c r="F13" i="19" s="1"/>
  <c r="E11" i="19"/>
  <c r="D11" i="19"/>
  <c r="D13" i="19" s="1"/>
  <c r="T24" i="18"/>
  <c r="S24" i="18"/>
  <c r="R24" i="18"/>
  <c r="Q24" i="18"/>
  <c r="P24" i="18"/>
  <c r="O24" i="18"/>
  <c r="N24" i="18"/>
  <c r="M24" i="18"/>
  <c r="L24" i="18"/>
  <c r="K24" i="18"/>
  <c r="J24" i="18"/>
  <c r="I24" i="18"/>
  <c r="H24" i="18"/>
  <c r="G24" i="18"/>
  <c r="F24" i="18"/>
  <c r="E24" i="18"/>
  <c r="D24" i="18"/>
  <c r="T20" i="18"/>
  <c r="S20" i="18"/>
  <c r="R20" i="18"/>
  <c r="Q20" i="18"/>
  <c r="P20" i="18"/>
  <c r="O20" i="18"/>
  <c r="N20" i="18"/>
  <c r="M20" i="18"/>
  <c r="L20" i="18"/>
  <c r="K20" i="18"/>
  <c r="J20" i="18"/>
  <c r="I20" i="18"/>
  <c r="H20" i="18"/>
  <c r="G20" i="18"/>
  <c r="F20" i="18"/>
  <c r="E20" i="18"/>
  <c r="D20" i="18"/>
  <c r="T11" i="18"/>
  <c r="S11" i="18"/>
  <c r="R11" i="18"/>
  <c r="Q11" i="18"/>
  <c r="P11" i="18"/>
  <c r="O11" i="18"/>
  <c r="N11" i="18"/>
  <c r="M11" i="18"/>
  <c r="L11" i="18"/>
  <c r="K11" i="18"/>
  <c r="J11" i="18"/>
  <c r="I11" i="18"/>
  <c r="H11" i="18"/>
  <c r="G11" i="18"/>
  <c r="F11" i="18"/>
  <c r="E11" i="18"/>
  <c r="D11" i="18"/>
  <c r="T7" i="18"/>
  <c r="S7" i="18"/>
  <c r="R7" i="18"/>
  <c r="Q7" i="18"/>
  <c r="P7" i="18"/>
  <c r="O7" i="18"/>
  <c r="N7" i="18"/>
  <c r="M7" i="18"/>
  <c r="L7" i="18"/>
  <c r="K7" i="18"/>
  <c r="J7" i="18"/>
  <c r="I7" i="18"/>
  <c r="H7" i="18"/>
  <c r="G7" i="18"/>
  <c r="F7" i="18"/>
  <c r="E7" i="18"/>
  <c r="D7" i="18"/>
  <c r="AL82" i="3"/>
  <c r="AK82" i="3"/>
  <c r="AJ82" i="3"/>
  <c r="AI82" i="3"/>
  <c r="AH82" i="3"/>
  <c r="AG82" i="3"/>
  <c r="AF82" i="3"/>
  <c r="AE82" i="3"/>
  <c r="AD82" i="3"/>
  <c r="AC82" i="3"/>
  <c r="AB82" i="3"/>
  <c r="AA82" i="3"/>
  <c r="Z82" i="3"/>
  <c r="Y82" i="3"/>
  <c r="X82" i="3"/>
  <c r="W82" i="3"/>
  <c r="V82" i="3"/>
  <c r="U82" i="3"/>
  <c r="T82" i="3"/>
  <c r="S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AL76" i="3"/>
  <c r="AK76" i="3"/>
  <c r="AJ76" i="3"/>
  <c r="AI76" i="3"/>
  <c r="AH76" i="3"/>
  <c r="AG76" i="3"/>
  <c r="AF76" i="3"/>
  <c r="AE76" i="3"/>
  <c r="AD76" i="3"/>
  <c r="AC76" i="3"/>
  <c r="AB76" i="3"/>
  <c r="AA76" i="3"/>
  <c r="Z76" i="3"/>
  <c r="Y76" i="3"/>
  <c r="X76" i="3"/>
  <c r="W76" i="3"/>
  <c r="V76" i="3"/>
  <c r="U76" i="3"/>
  <c r="T76" i="3"/>
  <c r="S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AL70" i="3"/>
  <c r="AK70" i="3"/>
  <c r="AJ70" i="3"/>
  <c r="AI70" i="3"/>
  <c r="AH70" i="3"/>
  <c r="AG70" i="3"/>
  <c r="AF70" i="3"/>
  <c r="AE70" i="3"/>
  <c r="AD70" i="3"/>
  <c r="AC70" i="3"/>
  <c r="AB70" i="3"/>
  <c r="AA70" i="3"/>
  <c r="Z70" i="3"/>
  <c r="Y70" i="3"/>
  <c r="X70" i="3"/>
  <c r="W70" i="3"/>
  <c r="V70" i="3"/>
  <c r="U70" i="3"/>
  <c r="T70" i="3"/>
  <c r="S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AL64" i="3"/>
  <c r="AK64" i="3"/>
  <c r="AJ64" i="3"/>
  <c r="AI64" i="3"/>
  <c r="AH64" i="3"/>
  <c r="AG64" i="3"/>
  <c r="AF64" i="3"/>
  <c r="AE64" i="3"/>
  <c r="AD64" i="3"/>
  <c r="AC64" i="3"/>
  <c r="AB64" i="3"/>
  <c r="AA64" i="3"/>
  <c r="Z64" i="3"/>
  <c r="Y64" i="3"/>
  <c r="X64" i="3"/>
  <c r="W64" i="3"/>
  <c r="V64" i="3"/>
  <c r="U64" i="3"/>
  <c r="T64" i="3"/>
  <c r="S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AE59" i="3"/>
  <c r="AA59" i="3"/>
  <c r="Z59" i="3"/>
  <c r="Y59" i="3"/>
  <c r="X59" i="3"/>
  <c r="W59" i="3"/>
  <c r="V59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AL55" i="3"/>
  <c r="AK55" i="3"/>
  <c r="AJ55" i="3"/>
  <c r="AI55" i="3"/>
  <c r="AH55" i="3"/>
  <c r="AG55" i="3"/>
  <c r="AF55" i="3"/>
  <c r="AE55" i="3"/>
  <c r="AD55" i="3"/>
  <c r="AC55" i="3"/>
  <c r="AB55" i="3"/>
  <c r="AA55" i="3"/>
  <c r="Z55" i="3"/>
  <c r="Y55" i="3"/>
  <c r="X55" i="3"/>
  <c r="W55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AL48" i="3"/>
  <c r="AK48" i="3"/>
  <c r="AJ48" i="3"/>
  <c r="AI48" i="3"/>
  <c r="AH48" i="3"/>
  <c r="AG48" i="3"/>
  <c r="AF48" i="3"/>
  <c r="AE48" i="3"/>
  <c r="AD48" i="3"/>
  <c r="AC48" i="3"/>
  <c r="AB48" i="3"/>
  <c r="AA48" i="3"/>
  <c r="Z48" i="3"/>
  <c r="Y48" i="3"/>
  <c r="X48" i="3"/>
  <c r="W48" i="3"/>
  <c r="V48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AL41" i="3"/>
  <c r="AK41" i="3"/>
  <c r="AJ41" i="3"/>
  <c r="AI41" i="3"/>
  <c r="AH41" i="3"/>
  <c r="AG41" i="3"/>
  <c r="AF41" i="3"/>
  <c r="AE41" i="3"/>
  <c r="AD41" i="3"/>
  <c r="AC41" i="3"/>
  <c r="AB41" i="3"/>
  <c r="AA41" i="3"/>
  <c r="Z41" i="3"/>
  <c r="Y41" i="3"/>
  <c r="X41" i="3"/>
  <c r="W41" i="3"/>
  <c r="V41" i="3"/>
  <c r="U41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AL34" i="3"/>
  <c r="AK34" i="3"/>
  <c r="AJ34" i="3"/>
  <c r="AI34" i="3"/>
  <c r="AH34" i="3"/>
  <c r="AG34" i="3"/>
  <c r="AF34" i="3"/>
  <c r="AE34" i="3"/>
  <c r="AD34" i="3"/>
  <c r="AC34" i="3"/>
  <c r="AB34" i="3"/>
  <c r="AA34" i="3"/>
  <c r="Z34" i="3"/>
  <c r="Y34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AL27" i="3"/>
  <c r="AK27" i="3"/>
  <c r="AJ27" i="3"/>
  <c r="AI27" i="3"/>
  <c r="AH27" i="3"/>
  <c r="AG27" i="3"/>
  <c r="AF27" i="3"/>
  <c r="AE27" i="3"/>
  <c r="AD27" i="3"/>
  <c r="AC27" i="3"/>
  <c r="AB27" i="3"/>
  <c r="AA27" i="3"/>
  <c r="Z27" i="3"/>
  <c r="Y27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AL20" i="3"/>
  <c r="AK20" i="3"/>
  <c r="AJ20" i="3"/>
  <c r="AI20" i="3"/>
  <c r="AH20" i="3"/>
  <c r="AG20" i="3"/>
  <c r="AF20" i="3"/>
  <c r="AE20" i="3"/>
  <c r="AD20" i="3"/>
  <c r="AC20" i="3"/>
  <c r="AB20" i="3"/>
  <c r="AA20" i="3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B18" i="3"/>
  <c r="B25" i="3" s="1"/>
  <c r="B32" i="3" s="1"/>
  <c r="B39" i="3" s="1"/>
  <c r="B46" i="3" s="1"/>
  <c r="B53" i="3" s="1"/>
  <c r="AL13" i="3"/>
  <c r="AK13" i="3"/>
  <c r="AJ13" i="3"/>
  <c r="AI13" i="3"/>
  <c r="AH13" i="3"/>
  <c r="AG13" i="3"/>
  <c r="AF13" i="3"/>
  <c r="AE13" i="3"/>
  <c r="AD13" i="3"/>
  <c r="AC13" i="3"/>
  <c r="AB13" i="3"/>
  <c r="AA13" i="3"/>
  <c r="Z13" i="3"/>
  <c r="Y13" i="3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Y130" i="87"/>
  <c r="X130" i="87"/>
  <c r="W130" i="87"/>
  <c r="V130" i="87"/>
  <c r="U130" i="87"/>
  <c r="T130" i="87"/>
  <c r="S130" i="87"/>
  <c r="R130" i="87"/>
  <c r="Q130" i="87"/>
  <c r="P130" i="87"/>
  <c r="O130" i="87"/>
  <c r="N130" i="87"/>
  <c r="M130" i="87"/>
  <c r="L130" i="87"/>
  <c r="K130" i="87"/>
  <c r="J130" i="87"/>
  <c r="I130" i="87"/>
  <c r="H130" i="87"/>
  <c r="G130" i="87"/>
  <c r="F130" i="87"/>
  <c r="E130" i="87"/>
  <c r="D130" i="87"/>
  <c r="Y123" i="87"/>
  <c r="X123" i="87"/>
  <c r="W123" i="87"/>
  <c r="V123" i="87"/>
  <c r="U123" i="87"/>
  <c r="T123" i="87"/>
  <c r="S123" i="87"/>
  <c r="R123" i="87"/>
  <c r="Q123" i="87"/>
  <c r="P123" i="87"/>
  <c r="O123" i="87"/>
  <c r="N123" i="87"/>
  <c r="M123" i="87"/>
  <c r="L123" i="87"/>
  <c r="K123" i="87"/>
  <c r="J123" i="87"/>
  <c r="I123" i="87"/>
  <c r="H123" i="87"/>
  <c r="G123" i="87"/>
  <c r="F123" i="87"/>
  <c r="E123" i="87"/>
  <c r="D123" i="87"/>
  <c r="Y105" i="87"/>
  <c r="X105" i="87"/>
  <c r="W105" i="87"/>
  <c r="V105" i="87"/>
  <c r="U105" i="87"/>
  <c r="T105" i="87"/>
  <c r="S105" i="87"/>
  <c r="R105" i="87"/>
  <c r="Q105" i="87"/>
  <c r="P105" i="87"/>
  <c r="O105" i="87"/>
  <c r="N105" i="87"/>
  <c r="M105" i="87"/>
  <c r="L105" i="87"/>
  <c r="K105" i="87"/>
  <c r="J105" i="87"/>
  <c r="I105" i="87"/>
  <c r="H105" i="87"/>
  <c r="G105" i="87"/>
  <c r="F105" i="87"/>
  <c r="E105" i="87"/>
  <c r="D105" i="87"/>
  <c r="Y47" i="87"/>
  <c r="Y79" i="87" s="1"/>
  <c r="Y86" i="87" s="1"/>
  <c r="X47" i="87"/>
  <c r="X79" i="87" s="1"/>
  <c r="X86" i="87" s="1"/>
  <c r="W47" i="87"/>
  <c r="W79" i="87" s="1"/>
  <c r="W86" i="87" s="1"/>
  <c r="V47" i="87"/>
  <c r="V79" i="87" s="1"/>
  <c r="V86" i="87" s="1"/>
  <c r="U47" i="87"/>
  <c r="U79" i="87" s="1"/>
  <c r="U86" i="87" s="1"/>
  <c r="T47" i="87"/>
  <c r="T79" i="87" s="1"/>
  <c r="T86" i="87" s="1"/>
  <c r="S47" i="87"/>
  <c r="S79" i="87" s="1"/>
  <c r="S86" i="87" s="1"/>
  <c r="R47" i="87"/>
  <c r="R79" i="87" s="1"/>
  <c r="R86" i="87" s="1"/>
  <c r="Q47" i="87"/>
  <c r="Q79" i="87" s="1"/>
  <c r="Q86" i="87" s="1"/>
  <c r="P47" i="87"/>
  <c r="P79" i="87" s="1"/>
  <c r="P86" i="87" s="1"/>
  <c r="O47" i="87"/>
  <c r="O79" i="87" s="1"/>
  <c r="O86" i="87" s="1"/>
  <c r="N47" i="87"/>
  <c r="N79" i="87" s="1"/>
  <c r="N86" i="87" s="1"/>
  <c r="M47" i="87"/>
  <c r="M79" i="87" s="1"/>
  <c r="M86" i="87" s="1"/>
  <c r="L47" i="87"/>
  <c r="L79" i="87" s="1"/>
  <c r="L86" i="87" s="1"/>
  <c r="K47" i="87"/>
  <c r="K79" i="87" s="1"/>
  <c r="K86" i="87" s="1"/>
  <c r="J47" i="87"/>
  <c r="J79" i="87" s="1"/>
  <c r="J86" i="87" s="1"/>
  <c r="I47" i="87"/>
  <c r="I79" i="87" s="1"/>
  <c r="I86" i="87" s="1"/>
  <c r="H47" i="87"/>
  <c r="H79" i="87" s="1"/>
  <c r="H86" i="87" s="1"/>
  <c r="G47" i="87"/>
  <c r="G79" i="87" s="1"/>
  <c r="G86" i="87" s="1"/>
  <c r="F47" i="87"/>
  <c r="F79" i="87" s="1"/>
  <c r="F86" i="87" s="1"/>
  <c r="E47" i="87"/>
  <c r="E79" i="87" s="1"/>
  <c r="E86" i="87" s="1"/>
  <c r="D47" i="87"/>
  <c r="D79" i="87" s="1"/>
  <c r="D86" i="87" s="1"/>
  <c r="Y129" i="86"/>
  <c r="X129" i="86"/>
  <c r="W129" i="86"/>
  <c r="V129" i="86"/>
  <c r="U129" i="86"/>
  <c r="T129" i="86"/>
  <c r="S129" i="86"/>
  <c r="R129" i="86"/>
  <c r="Q129" i="86"/>
  <c r="P129" i="86"/>
  <c r="O129" i="86"/>
  <c r="N129" i="86"/>
  <c r="M129" i="86"/>
  <c r="L129" i="86"/>
  <c r="K129" i="86"/>
  <c r="J129" i="86"/>
  <c r="I129" i="86"/>
  <c r="H129" i="86"/>
  <c r="G129" i="86"/>
  <c r="F129" i="86"/>
  <c r="E129" i="86"/>
  <c r="D129" i="86"/>
  <c r="Y122" i="86"/>
  <c r="X122" i="86"/>
  <c r="W122" i="86"/>
  <c r="V122" i="86"/>
  <c r="U122" i="86"/>
  <c r="T122" i="86"/>
  <c r="S122" i="86"/>
  <c r="R122" i="86"/>
  <c r="Q122" i="86"/>
  <c r="P122" i="86"/>
  <c r="O122" i="86"/>
  <c r="N122" i="86"/>
  <c r="M122" i="86"/>
  <c r="L122" i="86"/>
  <c r="K122" i="86"/>
  <c r="J122" i="86"/>
  <c r="I122" i="86"/>
  <c r="H122" i="86"/>
  <c r="G122" i="86"/>
  <c r="F122" i="86"/>
  <c r="E122" i="86"/>
  <c r="D122" i="86"/>
  <c r="Y105" i="86"/>
  <c r="X105" i="86"/>
  <c r="W105" i="86"/>
  <c r="V105" i="86"/>
  <c r="U105" i="86"/>
  <c r="T105" i="86"/>
  <c r="S105" i="86"/>
  <c r="R105" i="86"/>
  <c r="Q105" i="86"/>
  <c r="P105" i="86"/>
  <c r="O105" i="86"/>
  <c r="N105" i="86"/>
  <c r="M105" i="86"/>
  <c r="L105" i="86"/>
  <c r="K105" i="86"/>
  <c r="J105" i="86"/>
  <c r="I105" i="86"/>
  <c r="H105" i="86"/>
  <c r="G105" i="86"/>
  <c r="F105" i="86"/>
  <c r="E105" i="86"/>
  <c r="D105" i="86"/>
  <c r="Y48" i="86"/>
  <c r="Y80" i="86" s="1"/>
  <c r="Y86" i="86" s="1"/>
  <c r="X48" i="86"/>
  <c r="X80" i="86" s="1"/>
  <c r="X86" i="86" s="1"/>
  <c r="W48" i="86"/>
  <c r="W80" i="86" s="1"/>
  <c r="W86" i="86" s="1"/>
  <c r="V48" i="86"/>
  <c r="V80" i="86" s="1"/>
  <c r="V86" i="86" s="1"/>
  <c r="U48" i="86"/>
  <c r="U80" i="86" s="1"/>
  <c r="U86" i="86" s="1"/>
  <c r="T48" i="86"/>
  <c r="T80" i="86" s="1"/>
  <c r="T86" i="86" s="1"/>
  <c r="S48" i="86"/>
  <c r="S80" i="86" s="1"/>
  <c r="S86" i="86" s="1"/>
  <c r="R48" i="86"/>
  <c r="R80" i="86" s="1"/>
  <c r="R86" i="86" s="1"/>
  <c r="Q48" i="86"/>
  <c r="Q80" i="86" s="1"/>
  <c r="Q86" i="86" s="1"/>
  <c r="P48" i="86"/>
  <c r="P80" i="86" s="1"/>
  <c r="P86" i="86" s="1"/>
  <c r="O48" i="86"/>
  <c r="O80" i="86" s="1"/>
  <c r="O86" i="86" s="1"/>
  <c r="N48" i="86"/>
  <c r="N80" i="86" s="1"/>
  <c r="N86" i="86" s="1"/>
  <c r="M48" i="86"/>
  <c r="M80" i="86" s="1"/>
  <c r="M86" i="86" s="1"/>
  <c r="L48" i="86"/>
  <c r="L80" i="86" s="1"/>
  <c r="L86" i="86" s="1"/>
  <c r="K48" i="86"/>
  <c r="K80" i="86" s="1"/>
  <c r="K86" i="86" s="1"/>
  <c r="J48" i="86"/>
  <c r="J80" i="86" s="1"/>
  <c r="J86" i="86" s="1"/>
  <c r="I48" i="86"/>
  <c r="I80" i="86" s="1"/>
  <c r="I86" i="86" s="1"/>
  <c r="H48" i="86"/>
  <c r="H80" i="86" s="1"/>
  <c r="H86" i="86" s="1"/>
  <c r="G48" i="86"/>
  <c r="G80" i="86" s="1"/>
  <c r="G86" i="86" s="1"/>
  <c r="F48" i="86"/>
  <c r="F80" i="86" s="1"/>
  <c r="F86" i="86" s="1"/>
  <c r="E48" i="86"/>
  <c r="E80" i="86" s="1"/>
  <c r="E86" i="86" s="1"/>
  <c r="D48" i="86"/>
  <c r="D80" i="86" s="1"/>
  <c r="D86" i="86" s="1"/>
  <c r="Y130" i="85"/>
  <c r="X130" i="85"/>
  <c r="W130" i="85"/>
  <c r="V130" i="85"/>
  <c r="U130" i="85"/>
  <c r="T130" i="85"/>
  <c r="S130" i="85"/>
  <c r="R130" i="85"/>
  <c r="Q130" i="85"/>
  <c r="P130" i="85"/>
  <c r="O130" i="85"/>
  <c r="N130" i="85"/>
  <c r="M130" i="85"/>
  <c r="L130" i="85"/>
  <c r="K130" i="85"/>
  <c r="J130" i="85"/>
  <c r="I130" i="85"/>
  <c r="H130" i="85"/>
  <c r="G130" i="85"/>
  <c r="F130" i="85"/>
  <c r="E130" i="85"/>
  <c r="D130" i="85"/>
  <c r="Y123" i="85"/>
  <c r="X123" i="85"/>
  <c r="W123" i="85"/>
  <c r="V123" i="85"/>
  <c r="U123" i="85"/>
  <c r="T123" i="85"/>
  <c r="S123" i="85"/>
  <c r="R123" i="85"/>
  <c r="Q123" i="85"/>
  <c r="P123" i="85"/>
  <c r="O123" i="85"/>
  <c r="N123" i="85"/>
  <c r="M123" i="85"/>
  <c r="L123" i="85"/>
  <c r="K123" i="85"/>
  <c r="J123" i="85"/>
  <c r="I123" i="85"/>
  <c r="H123" i="85"/>
  <c r="G123" i="85"/>
  <c r="F123" i="85"/>
  <c r="E123" i="85"/>
  <c r="D123" i="85"/>
  <c r="Y106" i="85"/>
  <c r="X106" i="85"/>
  <c r="W106" i="85"/>
  <c r="V106" i="85"/>
  <c r="U106" i="85"/>
  <c r="T106" i="85"/>
  <c r="S106" i="85"/>
  <c r="R106" i="85"/>
  <c r="Q106" i="85"/>
  <c r="P106" i="85"/>
  <c r="O106" i="85"/>
  <c r="N106" i="85"/>
  <c r="M106" i="85"/>
  <c r="L106" i="85"/>
  <c r="K106" i="85"/>
  <c r="J106" i="85"/>
  <c r="I106" i="85"/>
  <c r="H106" i="85"/>
  <c r="G106" i="85"/>
  <c r="F106" i="85"/>
  <c r="E106" i="85"/>
  <c r="D106" i="85"/>
  <c r="Y48" i="85"/>
  <c r="Y80" i="85" s="1"/>
  <c r="Y86" i="85" s="1"/>
  <c r="X48" i="85"/>
  <c r="X80" i="85" s="1"/>
  <c r="X86" i="85" s="1"/>
  <c r="W48" i="85"/>
  <c r="W80" i="85" s="1"/>
  <c r="W86" i="85" s="1"/>
  <c r="V48" i="85"/>
  <c r="V80" i="85" s="1"/>
  <c r="V86" i="85" s="1"/>
  <c r="U48" i="85"/>
  <c r="U80" i="85" s="1"/>
  <c r="U86" i="85" s="1"/>
  <c r="T48" i="85"/>
  <c r="T80" i="85" s="1"/>
  <c r="T86" i="85" s="1"/>
  <c r="S48" i="85"/>
  <c r="S80" i="85" s="1"/>
  <c r="S86" i="85" s="1"/>
  <c r="R48" i="85"/>
  <c r="R80" i="85" s="1"/>
  <c r="R86" i="85" s="1"/>
  <c r="Q48" i="85"/>
  <c r="Q80" i="85" s="1"/>
  <c r="Q86" i="85" s="1"/>
  <c r="P48" i="85"/>
  <c r="P80" i="85" s="1"/>
  <c r="P86" i="85" s="1"/>
  <c r="O48" i="85"/>
  <c r="O80" i="85" s="1"/>
  <c r="O86" i="85" s="1"/>
  <c r="N48" i="85"/>
  <c r="N80" i="85" s="1"/>
  <c r="N86" i="85" s="1"/>
  <c r="M48" i="85"/>
  <c r="M80" i="85" s="1"/>
  <c r="M86" i="85" s="1"/>
  <c r="L48" i="85"/>
  <c r="L80" i="85" s="1"/>
  <c r="L86" i="85" s="1"/>
  <c r="K48" i="85"/>
  <c r="K80" i="85" s="1"/>
  <c r="K86" i="85" s="1"/>
  <c r="J48" i="85"/>
  <c r="J80" i="85" s="1"/>
  <c r="J86" i="85" s="1"/>
  <c r="I48" i="85"/>
  <c r="I80" i="85" s="1"/>
  <c r="I86" i="85" s="1"/>
  <c r="H48" i="85"/>
  <c r="H80" i="85" s="1"/>
  <c r="H86" i="85" s="1"/>
  <c r="G48" i="85"/>
  <c r="G80" i="85" s="1"/>
  <c r="G86" i="85" s="1"/>
  <c r="F48" i="85"/>
  <c r="F80" i="85" s="1"/>
  <c r="F86" i="85" s="1"/>
  <c r="E48" i="85"/>
  <c r="E80" i="85" s="1"/>
  <c r="E86" i="85" s="1"/>
  <c r="D48" i="85"/>
  <c r="D80" i="85" s="1"/>
  <c r="D86" i="85" s="1"/>
  <c r="Y128" i="98"/>
  <c r="X128" i="98"/>
  <c r="W128" i="98"/>
  <c r="V128" i="98"/>
  <c r="U128" i="98"/>
  <c r="T128" i="98"/>
  <c r="S128" i="98"/>
  <c r="R128" i="98"/>
  <c r="Q128" i="98"/>
  <c r="P128" i="98"/>
  <c r="O128" i="98"/>
  <c r="N128" i="98"/>
  <c r="M128" i="98"/>
  <c r="L128" i="98"/>
  <c r="J128" i="98"/>
  <c r="I128" i="98"/>
  <c r="H128" i="98"/>
  <c r="G128" i="98"/>
  <c r="F128" i="98"/>
  <c r="E128" i="98"/>
  <c r="D128" i="98"/>
  <c r="K128" i="98"/>
  <c r="Y121" i="98"/>
  <c r="X121" i="98"/>
  <c r="W121" i="98"/>
  <c r="V121" i="98"/>
  <c r="U121" i="98"/>
  <c r="T121" i="98"/>
  <c r="S121" i="98"/>
  <c r="R121" i="98"/>
  <c r="Q121" i="98"/>
  <c r="P121" i="98"/>
  <c r="O121" i="98"/>
  <c r="N121" i="98"/>
  <c r="M121" i="98"/>
  <c r="L121" i="98"/>
  <c r="K121" i="98"/>
  <c r="J121" i="98"/>
  <c r="I121" i="98"/>
  <c r="H121" i="98"/>
  <c r="G121" i="98"/>
  <c r="F121" i="98"/>
  <c r="E121" i="98"/>
  <c r="D121" i="98"/>
  <c r="Y104" i="98"/>
  <c r="X104" i="98"/>
  <c r="W104" i="98"/>
  <c r="V104" i="98"/>
  <c r="U104" i="98"/>
  <c r="T104" i="98"/>
  <c r="S104" i="98"/>
  <c r="R104" i="98"/>
  <c r="Q104" i="98"/>
  <c r="P104" i="98"/>
  <c r="O104" i="98"/>
  <c r="N104" i="98"/>
  <c r="M104" i="98"/>
  <c r="L104" i="98"/>
  <c r="K104" i="98"/>
  <c r="J104" i="98"/>
  <c r="I104" i="98"/>
  <c r="H104" i="98"/>
  <c r="G104" i="98"/>
  <c r="F104" i="98"/>
  <c r="E104" i="98"/>
  <c r="D104" i="98"/>
  <c r="Y47" i="98"/>
  <c r="Y79" i="98" s="1"/>
  <c r="Y85" i="98" s="1"/>
  <c r="X47" i="98"/>
  <c r="X79" i="98" s="1"/>
  <c r="X85" i="98" s="1"/>
  <c r="W47" i="98"/>
  <c r="W79" i="98" s="1"/>
  <c r="W85" i="98" s="1"/>
  <c r="V47" i="98"/>
  <c r="V79" i="98" s="1"/>
  <c r="V85" i="98" s="1"/>
  <c r="U47" i="98"/>
  <c r="U79" i="98" s="1"/>
  <c r="U85" i="98" s="1"/>
  <c r="T47" i="98"/>
  <c r="T79" i="98" s="1"/>
  <c r="T85" i="98" s="1"/>
  <c r="S47" i="98"/>
  <c r="S79" i="98" s="1"/>
  <c r="S85" i="98" s="1"/>
  <c r="R47" i="98"/>
  <c r="R79" i="98" s="1"/>
  <c r="R85" i="98" s="1"/>
  <c r="Q47" i="98"/>
  <c r="Q79" i="98" s="1"/>
  <c r="Q85" i="98" s="1"/>
  <c r="P47" i="98"/>
  <c r="P79" i="98" s="1"/>
  <c r="P85" i="98" s="1"/>
  <c r="O47" i="98"/>
  <c r="O79" i="98" s="1"/>
  <c r="O85" i="98" s="1"/>
  <c r="N47" i="98"/>
  <c r="N79" i="98" s="1"/>
  <c r="N85" i="98" s="1"/>
  <c r="M47" i="98"/>
  <c r="M79" i="98" s="1"/>
  <c r="M85" i="98" s="1"/>
  <c r="L47" i="98"/>
  <c r="L79" i="98" s="1"/>
  <c r="L85" i="98" s="1"/>
  <c r="J47" i="98"/>
  <c r="J79" i="98" s="1"/>
  <c r="J85" i="98" s="1"/>
  <c r="I47" i="98"/>
  <c r="I79" i="98" s="1"/>
  <c r="I85" i="98" s="1"/>
  <c r="H47" i="98"/>
  <c r="H79" i="98" s="1"/>
  <c r="H85" i="98" s="1"/>
  <c r="G47" i="98"/>
  <c r="G79" i="98" s="1"/>
  <c r="G85" i="98" s="1"/>
  <c r="F47" i="98"/>
  <c r="F79" i="98" s="1"/>
  <c r="F85" i="98" s="1"/>
  <c r="E47" i="98"/>
  <c r="E79" i="98" s="1"/>
  <c r="E85" i="98" s="1"/>
  <c r="D47" i="98"/>
  <c r="D79" i="98" s="1"/>
  <c r="D85" i="98" s="1"/>
  <c r="K47" i="98"/>
  <c r="K79" i="98" s="1"/>
  <c r="K85" i="98" s="1"/>
  <c r="Y129" i="84"/>
  <c r="X129" i="84"/>
  <c r="W129" i="84"/>
  <c r="V129" i="84"/>
  <c r="U129" i="84"/>
  <c r="T129" i="84"/>
  <c r="S129" i="84"/>
  <c r="R129" i="84"/>
  <c r="Q129" i="84"/>
  <c r="P129" i="84"/>
  <c r="O129" i="84"/>
  <c r="N129" i="84"/>
  <c r="M129" i="84"/>
  <c r="L129" i="84"/>
  <c r="K129" i="84"/>
  <c r="J129" i="84"/>
  <c r="I129" i="84"/>
  <c r="H129" i="84"/>
  <c r="G129" i="84"/>
  <c r="F129" i="84"/>
  <c r="E129" i="84"/>
  <c r="D129" i="84"/>
  <c r="Y122" i="84"/>
  <c r="X122" i="84"/>
  <c r="W122" i="84"/>
  <c r="V122" i="84"/>
  <c r="U122" i="84"/>
  <c r="T122" i="84"/>
  <c r="S122" i="84"/>
  <c r="R122" i="84"/>
  <c r="Q122" i="84"/>
  <c r="P122" i="84"/>
  <c r="O122" i="84"/>
  <c r="N122" i="84"/>
  <c r="M122" i="84"/>
  <c r="L122" i="84"/>
  <c r="K122" i="84"/>
  <c r="J122" i="84"/>
  <c r="I122" i="84"/>
  <c r="H122" i="84"/>
  <c r="G122" i="84"/>
  <c r="F122" i="84"/>
  <c r="E122" i="84"/>
  <c r="D122" i="84"/>
  <c r="Y105" i="84"/>
  <c r="X105" i="84"/>
  <c r="W105" i="84"/>
  <c r="V105" i="84"/>
  <c r="U105" i="84"/>
  <c r="T105" i="84"/>
  <c r="S105" i="84"/>
  <c r="R105" i="84"/>
  <c r="Q105" i="84"/>
  <c r="P105" i="84"/>
  <c r="O105" i="84"/>
  <c r="N105" i="84"/>
  <c r="M105" i="84"/>
  <c r="L105" i="84"/>
  <c r="K105" i="84"/>
  <c r="J105" i="84"/>
  <c r="I105" i="84"/>
  <c r="H105" i="84"/>
  <c r="G105" i="84"/>
  <c r="F105" i="84"/>
  <c r="E105" i="84"/>
  <c r="D105" i="84"/>
  <c r="Y48" i="84"/>
  <c r="Y80" i="84" s="1"/>
  <c r="Y86" i="84" s="1"/>
  <c r="X48" i="84"/>
  <c r="X80" i="84" s="1"/>
  <c r="X86" i="84" s="1"/>
  <c r="W48" i="84"/>
  <c r="W80" i="84" s="1"/>
  <c r="W86" i="84" s="1"/>
  <c r="V48" i="84"/>
  <c r="V80" i="84" s="1"/>
  <c r="V86" i="84" s="1"/>
  <c r="U48" i="84"/>
  <c r="U80" i="84" s="1"/>
  <c r="U86" i="84" s="1"/>
  <c r="T48" i="84"/>
  <c r="T80" i="84" s="1"/>
  <c r="T86" i="84" s="1"/>
  <c r="S48" i="84"/>
  <c r="S80" i="84" s="1"/>
  <c r="S86" i="84" s="1"/>
  <c r="R48" i="84"/>
  <c r="R80" i="84" s="1"/>
  <c r="R86" i="84" s="1"/>
  <c r="Q48" i="84"/>
  <c r="Q80" i="84" s="1"/>
  <c r="Q86" i="84" s="1"/>
  <c r="P48" i="84"/>
  <c r="P80" i="84" s="1"/>
  <c r="P86" i="84" s="1"/>
  <c r="O48" i="84"/>
  <c r="O80" i="84" s="1"/>
  <c r="O86" i="84" s="1"/>
  <c r="N48" i="84"/>
  <c r="N80" i="84" s="1"/>
  <c r="N86" i="84" s="1"/>
  <c r="M48" i="84"/>
  <c r="M80" i="84" s="1"/>
  <c r="M86" i="84" s="1"/>
  <c r="L48" i="84"/>
  <c r="L80" i="84" s="1"/>
  <c r="L86" i="84" s="1"/>
  <c r="K48" i="84"/>
  <c r="K80" i="84" s="1"/>
  <c r="K86" i="84" s="1"/>
  <c r="J48" i="84"/>
  <c r="J80" i="84" s="1"/>
  <c r="J86" i="84" s="1"/>
  <c r="I48" i="84"/>
  <c r="I80" i="84" s="1"/>
  <c r="I86" i="84" s="1"/>
  <c r="H48" i="84"/>
  <c r="H80" i="84" s="1"/>
  <c r="H86" i="84" s="1"/>
  <c r="G48" i="84"/>
  <c r="G80" i="84" s="1"/>
  <c r="G86" i="84" s="1"/>
  <c r="F48" i="84"/>
  <c r="F80" i="84" s="1"/>
  <c r="F86" i="84" s="1"/>
  <c r="E48" i="84"/>
  <c r="E80" i="84" s="1"/>
  <c r="E86" i="84" s="1"/>
  <c r="D48" i="84"/>
  <c r="D80" i="84" s="1"/>
  <c r="D86" i="84" s="1"/>
  <c r="Y129" i="83"/>
  <c r="X129" i="83"/>
  <c r="W129" i="83"/>
  <c r="V129" i="83"/>
  <c r="U129" i="83"/>
  <c r="T129" i="83"/>
  <c r="S129" i="83"/>
  <c r="R129" i="83"/>
  <c r="Q129" i="83"/>
  <c r="P129" i="83"/>
  <c r="O129" i="83"/>
  <c r="N129" i="83"/>
  <c r="M129" i="83"/>
  <c r="L129" i="83"/>
  <c r="K129" i="83"/>
  <c r="J129" i="83"/>
  <c r="I129" i="83"/>
  <c r="H129" i="83"/>
  <c r="G129" i="83"/>
  <c r="F129" i="83"/>
  <c r="E129" i="83"/>
  <c r="D129" i="83"/>
  <c r="Y122" i="83"/>
  <c r="X122" i="83"/>
  <c r="W122" i="83"/>
  <c r="V122" i="83"/>
  <c r="U122" i="83"/>
  <c r="T122" i="83"/>
  <c r="S122" i="83"/>
  <c r="R122" i="83"/>
  <c r="Q122" i="83"/>
  <c r="P122" i="83"/>
  <c r="O122" i="83"/>
  <c r="N122" i="83"/>
  <c r="M122" i="83"/>
  <c r="L122" i="83"/>
  <c r="K122" i="83"/>
  <c r="J122" i="83"/>
  <c r="I122" i="83"/>
  <c r="H122" i="83"/>
  <c r="G122" i="83"/>
  <c r="F122" i="83"/>
  <c r="E122" i="83"/>
  <c r="D122" i="83"/>
  <c r="Y105" i="83"/>
  <c r="X105" i="83"/>
  <c r="W105" i="83"/>
  <c r="V105" i="83"/>
  <c r="U105" i="83"/>
  <c r="T105" i="83"/>
  <c r="S105" i="83"/>
  <c r="R105" i="83"/>
  <c r="Q105" i="83"/>
  <c r="P105" i="83"/>
  <c r="O105" i="83"/>
  <c r="N105" i="83"/>
  <c r="M105" i="83"/>
  <c r="L105" i="83"/>
  <c r="K105" i="83"/>
  <c r="J105" i="83"/>
  <c r="I105" i="83"/>
  <c r="H105" i="83"/>
  <c r="G105" i="83"/>
  <c r="F105" i="83"/>
  <c r="E105" i="83"/>
  <c r="D105" i="83"/>
  <c r="Y48" i="83"/>
  <c r="Y80" i="83" s="1"/>
  <c r="Y86" i="83" s="1"/>
  <c r="X48" i="83"/>
  <c r="X80" i="83" s="1"/>
  <c r="X86" i="83" s="1"/>
  <c r="W48" i="83"/>
  <c r="W80" i="83" s="1"/>
  <c r="W86" i="83" s="1"/>
  <c r="V48" i="83"/>
  <c r="V80" i="83" s="1"/>
  <c r="V86" i="83" s="1"/>
  <c r="U48" i="83"/>
  <c r="U80" i="83" s="1"/>
  <c r="U86" i="83" s="1"/>
  <c r="T48" i="83"/>
  <c r="T80" i="83" s="1"/>
  <c r="T86" i="83" s="1"/>
  <c r="S48" i="83"/>
  <c r="S80" i="83" s="1"/>
  <c r="S86" i="83" s="1"/>
  <c r="R48" i="83"/>
  <c r="R80" i="83" s="1"/>
  <c r="R86" i="83" s="1"/>
  <c r="Q48" i="83"/>
  <c r="Q80" i="83" s="1"/>
  <c r="Q86" i="83" s="1"/>
  <c r="P48" i="83"/>
  <c r="P80" i="83" s="1"/>
  <c r="P86" i="83" s="1"/>
  <c r="O48" i="83"/>
  <c r="O80" i="83" s="1"/>
  <c r="O86" i="83" s="1"/>
  <c r="N48" i="83"/>
  <c r="N80" i="83" s="1"/>
  <c r="N86" i="83" s="1"/>
  <c r="M48" i="83"/>
  <c r="M80" i="83" s="1"/>
  <c r="M86" i="83" s="1"/>
  <c r="L48" i="83"/>
  <c r="L80" i="83" s="1"/>
  <c r="L86" i="83" s="1"/>
  <c r="K48" i="83"/>
  <c r="K80" i="83" s="1"/>
  <c r="K86" i="83" s="1"/>
  <c r="J48" i="83"/>
  <c r="J80" i="83" s="1"/>
  <c r="J86" i="83" s="1"/>
  <c r="I48" i="83"/>
  <c r="I80" i="83" s="1"/>
  <c r="I86" i="83" s="1"/>
  <c r="H48" i="83"/>
  <c r="H80" i="83" s="1"/>
  <c r="H86" i="83" s="1"/>
  <c r="G48" i="83"/>
  <c r="G80" i="83" s="1"/>
  <c r="G86" i="83" s="1"/>
  <c r="F48" i="83"/>
  <c r="F80" i="83" s="1"/>
  <c r="F86" i="83" s="1"/>
  <c r="E48" i="83"/>
  <c r="E80" i="83" s="1"/>
  <c r="E86" i="83" s="1"/>
  <c r="D48" i="83"/>
  <c r="D80" i="83" s="1"/>
  <c r="D86" i="83" s="1"/>
  <c r="Y129" i="82"/>
  <c r="X129" i="82"/>
  <c r="W129" i="82"/>
  <c r="V129" i="82"/>
  <c r="U129" i="82"/>
  <c r="T129" i="82"/>
  <c r="S129" i="82"/>
  <c r="R129" i="82"/>
  <c r="Q129" i="82"/>
  <c r="P129" i="82"/>
  <c r="O129" i="82"/>
  <c r="N129" i="82"/>
  <c r="M129" i="82"/>
  <c r="L129" i="82"/>
  <c r="K129" i="82"/>
  <c r="J129" i="82"/>
  <c r="I129" i="82"/>
  <c r="H129" i="82"/>
  <c r="G129" i="82"/>
  <c r="F129" i="82"/>
  <c r="E129" i="82"/>
  <c r="D129" i="82"/>
  <c r="Y122" i="82"/>
  <c r="X122" i="82"/>
  <c r="W122" i="82"/>
  <c r="V122" i="82"/>
  <c r="U122" i="82"/>
  <c r="T122" i="82"/>
  <c r="S122" i="82"/>
  <c r="R122" i="82"/>
  <c r="Q122" i="82"/>
  <c r="P122" i="82"/>
  <c r="O122" i="82"/>
  <c r="N122" i="82"/>
  <c r="M122" i="82"/>
  <c r="L122" i="82"/>
  <c r="K122" i="82"/>
  <c r="J122" i="82"/>
  <c r="I122" i="82"/>
  <c r="H122" i="82"/>
  <c r="G122" i="82"/>
  <c r="F122" i="82"/>
  <c r="E122" i="82"/>
  <c r="D122" i="82"/>
  <c r="Y105" i="82"/>
  <c r="X105" i="82"/>
  <c r="W105" i="82"/>
  <c r="V105" i="82"/>
  <c r="U105" i="82"/>
  <c r="T105" i="82"/>
  <c r="S105" i="82"/>
  <c r="R105" i="82"/>
  <c r="Q105" i="82"/>
  <c r="P105" i="82"/>
  <c r="O105" i="82"/>
  <c r="N105" i="82"/>
  <c r="M105" i="82"/>
  <c r="L105" i="82"/>
  <c r="K105" i="82"/>
  <c r="J105" i="82"/>
  <c r="I105" i="82"/>
  <c r="H105" i="82"/>
  <c r="G105" i="82"/>
  <c r="F105" i="82"/>
  <c r="E105" i="82"/>
  <c r="D105" i="82"/>
  <c r="Y48" i="82"/>
  <c r="Y80" i="82" s="1"/>
  <c r="Y86" i="82" s="1"/>
  <c r="X48" i="82"/>
  <c r="X80" i="82" s="1"/>
  <c r="X86" i="82" s="1"/>
  <c r="W48" i="82"/>
  <c r="W80" i="82" s="1"/>
  <c r="W86" i="82" s="1"/>
  <c r="V48" i="82"/>
  <c r="V80" i="82" s="1"/>
  <c r="V86" i="82" s="1"/>
  <c r="U48" i="82"/>
  <c r="U80" i="82" s="1"/>
  <c r="U86" i="82" s="1"/>
  <c r="T48" i="82"/>
  <c r="T80" i="82" s="1"/>
  <c r="T86" i="82" s="1"/>
  <c r="S48" i="82"/>
  <c r="S80" i="82" s="1"/>
  <c r="S86" i="82" s="1"/>
  <c r="R48" i="82"/>
  <c r="R80" i="82" s="1"/>
  <c r="R86" i="82" s="1"/>
  <c r="Q48" i="82"/>
  <c r="Q80" i="82" s="1"/>
  <c r="Q86" i="82" s="1"/>
  <c r="P48" i="82"/>
  <c r="P80" i="82" s="1"/>
  <c r="P86" i="82" s="1"/>
  <c r="O48" i="82"/>
  <c r="O80" i="82" s="1"/>
  <c r="O86" i="82" s="1"/>
  <c r="N48" i="82"/>
  <c r="N80" i="82" s="1"/>
  <c r="N86" i="82" s="1"/>
  <c r="M48" i="82"/>
  <c r="M80" i="82" s="1"/>
  <c r="M86" i="82" s="1"/>
  <c r="L48" i="82"/>
  <c r="L80" i="82" s="1"/>
  <c r="L86" i="82" s="1"/>
  <c r="K48" i="82"/>
  <c r="K80" i="82" s="1"/>
  <c r="K86" i="82" s="1"/>
  <c r="J48" i="82"/>
  <c r="J80" i="82" s="1"/>
  <c r="J86" i="82" s="1"/>
  <c r="I48" i="82"/>
  <c r="I80" i="82" s="1"/>
  <c r="I86" i="82" s="1"/>
  <c r="H48" i="82"/>
  <c r="H80" i="82" s="1"/>
  <c r="H86" i="82" s="1"/>
  <c r="G48" i="82"/>
  <c r="G80" i="82" s="1"/>
  <c r="G86" i="82" s="1"/>
  <c r="F48" i="82"/>
  <c r="F80" i="82" s="1"/>
  <c r="F86" i="82" s="1"/>
  <c r="E48" i="82"/>
  <c r="E80" i="82" s="1"/>
  <c r="E86" i="82" s="1"/>
  <c r="D48" i="82"/>
  <c r="D80" i="82" s="1"/>
  <c r="D86" i="82" s="1"/>
  <c r="Y129" i="81"/>
  <c r="X129" i="81"/>
  <c r="W129" i="81"/>
  <c r="V129" i="81"/>
  <c r="U129" i="81"/>
  <c r="T129" i="81"/>
  <c r="S129" i="81"/>
  <c r="R129" i="81"/>
  <c r="Q129" i="81"/>
  <c r="P129" i="81"/>
  <c r="O129" i="81"/>
  <c r="N129" i="81"/>
  <c r="M129" i="81"/>
  <c r="L129" i="81"/>
  <c r="K129" i="81"/>
  <c r="J129" i="81"/>
  <c r="I129" i="81"/>
  <c r="H129" i="81"/>
  <c r="G129" i="81"/>
  <c r="F129" i="81"/>
  <c r="E129" i="81"/>
  <c r="D129" i="81"/>
  <c r="Y122" i="81"/>
  <c r="X122" i="81"/>
  <c r="W122" i="81"/>
  <c r="V122" i="81"/>
  <c r="U122" i="81"/>
  <c r="T122" i="81"/>
  <c r="S122" i="81"/>
  <c r="R122" i="81"/>
  <c r="Q122" i="81"/>
  <c r="P122" i="81"/>
  <c r="O122" i="81"/>
  <c r="N122" i="81"/>
  <c r="M122" i="81"/>
  <c r="L122" i="81"/>
  <c r="K122" i="81"/>
  <c r="J122" i="81"/>
  <c r="I122" i="81"/>
  <c r="H122" i="81"/>
  <c r="G122" i="81"/>
  <c r="F122" i="81"/>
  <c r="E122" i="81"/>
  <c r="D122" i="81"/>
  <c r="Y105" i="81"/>
  <c r="X105" i="81"/>
  <c r="W105" i="81"/>
  <c r="V105" i="81"/>
  <c r="U105" i="81"/>
  <c r="T105" i="81"/>
  <c r="S105" i="81"/>
  <c r="R105" i="81"/>
  <c r="Q105" i="81"/>
  <c r="P105" i="81"/>
  <c r="O105" i="81"/>
  <c r="N105" i="81"/>
  <c r="M105" i="81"/>
  <c r="L105" i="81"/>
  <c r="K105" i="81"/>
  <c r="J105" i="81"/>
  <c r="I105" i="81"/>
  <c r="H105" i="81"/>
  <c r="G105" i="81"/>
  <c r="F105" i="81"/>
  <c r="E105" i="81"/>
  <c r="D105" i="81"/>
  <c r="Y48" i="81"/>
  <c r="Y80" i="81" s="1"/>
  <c r="Y86" i="81" s="1"/>
  <c r="X48" i="81"/>
  <c r="X80" i="81" s="1"/>
  <c r="X86" i="81" s="1"/>
  <c r="W48" i="81"/>
  <c r="W80" i="81" s="1"/>
  <c r="W86" i="81" s="1"/>
  <c r="V48" i="81"/>
  <c r="V80" i="81" s="1"/>
  <c r="V86" i="81" s="1"/>
  <c r="U48" i="81"/>
  <c r="U80" i="81" s="1"/>
  <c r="U86" i="81" s="1"/>
  <c r="T48" i="81"/>
  <c r="T80" i="81" s="1"/>
  <c r="T86" i="81" s="1"/>
  <c r="S48" i="81"/>
  <c r="S80" i="81" s="1"/>
  <c r="S86" i="81" s="1"/>
  <c r="R48" i="81"/>
  <c r="R80" i="81" s="1"/>
  <c r="R86" i="81" s="1"/>
  <c r="Q48" i="81"/>
  <c r="Q80" i="81" s="1"/>
  <c r="Q86" i="81" s="1"/>
  <c r="P48" i="81"/>
  <c r="P80" i="81" s="1"/>
  <c r="P86" i="81" s="1"/>
  <c r="O48" i="81"/>
  <c r="O80" i="81" s="1"/>
  <c r="O86" i="81" s="1"/>
  <c r="N48" i="81"/>
  <c r="N80" i="81" s="1"/>
  <c r="N86" i="81" s="1"/>
  <c r="M48" i="81"/>
  <c r="M80" i="81" s="1"/>
  <c r="M86" i="81" s="1"/>
  <c r="L48" i="81"/>
  <c r="L80" i="81" s="1"/>
  <c r="L86" i="81" s="1"/>
  <c r="K48" i="81"/>
  <c r="K80" i="81" s="1"/>
  <c r="K86" i="81" s="1"/>
  <c r="J48" i="81"/>
  <c r="J80" i="81" s="1"/>
  <c r="J86" i="81" s="1"/>
  <c r="I48" i="81"/>
  <c r="I80" i="81" s="1"/>
  <c r="I86" i="81" s="1"/>
  <c r="H48" i="81"/>
  <c r="H80" i="81" s="1"/>
  <c r="H86" i="81" s="1"/>
  <c r="G48" i="81"/>
  <c r="G80" i="81" s="1"/>
  <c r="G86" i="81" s="1"/>
  <c r="F48" i="81"/>
  <c r="F80" i="81" s="1"/>
  <c r="F86" i="81" s="1"/>
  <c r="E48" i="81"/>
  <c r="E80" i="81" s="1"/>
  <c r="E86" i="81" s="1"/>
  <c r="D48" i="81"/>
  <c r="D80" i="81" s="1"/>
  <c r="D86" i="81" s="1"/>
  <c r="Y129" i="80"/>
  <c r="X129" i="80"/>
  <c r="W129" i="80"/>
  <c r="V129" i="80"/>
  <c r="U129" i="80"/>
  <c r="T129" i="80"/>
  <c r="S129" i="80"/>
  <c r="R129" i="80"/>
  <c r="Q129" i="80"/>
  <c r="P129" i="80"/>
  <c r="O129" i="80"/>
  <c r="N129" i="80"/>
  <c r="M129" i="80"/>
  <c r="L129" i="80"/>
  <c r="K129" i="80"/>
  <c r="J129" i="80"/>
  <c r="I129" i="80"/>
  <c r="H129" i="80"/>
  <c r="G129" i="80"/>
  <c r="F129" i="80"/>
  <c r="E129" i="80"/>
  <c r="D129" i="80"/>
  <c r="X122" i="80"/>
  <c r="W122" i="80"/>
  <c r="V122" i="80"/>
  <c r="U122" i="80"/>
  <c r="T122" i="80"/>
  <c r="S122" i="80"/>
  <c r="R122" i="80"/>
  <c r="Q122" i="80"/>
  <c r="P122" i="80"/>
  <c r="O122" i="80"/>
  <c r="N122" i="80"/>
  <c r="M122" i="80"/>
  <c r="L122" i="80"/>
  <c r="K122" i="80"/>
  <c r="J122" i="80"/>
  <c r="I122" i="80"/>
  <c r="H122" i="80"/>
  <c r="G122" i="80"/>
  <c r="F122" i="80"/>
  <c r="E122" i="80"/>
  <c r="D122" i="80"/>
  <c r="Y122" i="80"/>
  <c r="Y105" i="80"/>
  <c r="X105" i="80"/>
  <c r="W105" i="80"/>
  <c r="V105" i="80"/>
  <c r="U105" i="80"/>
  <c r="T105" i="80"/>
  <c r="S105" i="80"/>
  <c r="R105" i="80"/>
  <c r="Q105" i="80"/>
  <c r="P105" i="80"/>
  <c r="O105" i="80"/>
  <c r="N105" i="80"/>
  <c r="M105" i="80"/>
  <c r="L105" i="80"/>
  <c r="K105" i="80"/>
  <c r="J105" i="80"/>
  <c r="I105" i="80"/>
  <c r="H105" i="80"/>
  <c r="G105" i="80"/>
  <c r="F105" i="80"/>
  <c r="E105" i="80"/>
  <c r="D105" i="80"/>
  <c r="X48" i="80"/>
  <c r="X80" i="80" s="1"/>
  <c r="X86" i="80" s="1"/>
  <c r="W48" i="80"/>
  <c r="W80" i="80" s="1"/>
  <c r="W86" i="80" s="1"/>
  <c r="V48" i="80"/>
  <c r="V80" i="80" s="1"/>
  <c r="V86" i="80" s="1"/>
  <c r="U48" i="80"/>
  <c r="U80" i="80" s="1"/>
  <c r="U86" i="80" s="1"/>
  <c r="T48" i="80"/>
  <c r="T80" i="80" s="1"/>
  <c r="T86" i="80" s="1"/>
  <c r="S48" i="80"/>
  <c r="S80" i="80" s="1"/>
  <c r="S86" i="80" s="1"/>
  <c r="R48" i="80"/>
  <c r="R80" i="80" s="1"/>
  <c r="R86" i="80" s="1"/>
  <c r="Q48" i="80"/>
  <c r="Q80" i="80" s="1"/>
  <c r="Q86" i="80" s="1"/>
  <c r="P48" i="80"/>
  <c r="P80" i="80" s="1"/>
  <c r="P86" i="80" s="1"/>
  <c r="O48" i="80"/>
  <c r="O80" i="80" s="1"/>
  <c r="O86" i="80" s="1"/>
  <c r="N48" i="80"/>
  <c r="N80" i="80" s="1"/>
  <c r="N86" i="80" s="1"/>
  <c r="M48" i="80"/>
  <c r="M80" i="80" s="1"/>
  <c r="M86" i="80" s="1"/>
  <c r="L48" i="80"/>
  <c r="L80" i="80" s="1"/>
  <c r="L86" i="80" s="1"/>
  <c r="K48" i="80"/>
  <c r="K80" i="80" s="1"/>
  <c r="K86" i="80" s="1"/>
  <c r="J48" i="80"/>
  <c r="J80" i="80" s="1"/>
  <c r="J86" i="80" s="1"/>
  <c r="I48" i="80"/>
  <c r="I80" i="80" s="1"/>
  <c r="I86" i="80" s="1"/>
  <c r="H48" i="80"/>
  <c r="H80" i="80" s="1"/>
  <c r="H86" i="80" s="1"/>
  <c r="G48" i="80"/>
  <c r="G80" i="80" s="1"/>
  <c r="G86" i="80" s="1"/>
  <c r="F48" i="80"/>
  <c r="F80" i="80" s="1"/>
  <c r="F86" i="80" s="1"/>
  <c r="E48" i="80"/>
  <c r="E80" i="80" s="1"/>
  <c r="E86" i="80" s="1"/>
  <c r="D48" i="80"/>
  <c r="D80" i="80" s="1"/>
  <c r="D86" i="80" s="1"/>
  <c r="Y48" i="80"/>
  <c r="Y80" i="80" s="1"/>
  <c r="Y86" i="80" s="1"/>
  <c r="AC90" i="11"/>
  <c r="AE88" i="11"/>
  <c r="AE84" i="11" s="1"/>
  <c r="AC85" i="11"/>
  <c r="BA84" i="11"/>
  <c r="AZ84" i="11"/>
  <c r="AY84" i="11"/>
  <c r="AX84" i="11"/>
  <c r="AW84" i="11"/>
  <c r="AV84" i="11"/>
  <c r="AU84" i="11"/>
  <c r="AT84" i="11"/>
  <c r="AS84" i="11"/>
  <c r="AR84" i="11"/>
  <c r="AQ84" i="11"/>
  <c r="AP84" i="11"/>
  <c r="AO84" i="11"/>
  <c r="AN84" i="11"/>
  <c r="AM84" i="11"/>
  <c r="AL84" i="11"/>
  <c r="AK84" i="11"/>
  <c r="AJ84" i="11"/>
  <c r="AI84" i="11"/>
  <c r="AH84" i="11"/>
  <c r="AF84" i="11"/>
  <c r="AB84" i="11"/>
  <c r="AA84" i="11"/>
  <c r="Z84" i="11"/>
  <c r="Y84" i="11"/>
  <c r="X84" i="11"/>
  <c r="W84" i="11"/>
  <c r="V84" i="11"/>
  <c r="U84" i="11"/>
  <c r="T84" i="11"/>
  <c r="S84" i="11"/>
  <c r="R84" i="11"/>
  <c r="Q84" i="11"/>
  <c r="P84" i="11"/>
  <c r="O84" i="11"/>
  <c r="N84" i="11"/>
  <c r="M84" i="11"/>
  <c r="L84" i="11"/>
  <c r="K84" i="11"/>
  <c r="J84" i="11"/>
  <c r="I84" i="11"/>
  <c r="H84" i="11"/>
  <c r="G84" i="11"/>
  <c r="F84" i="11"/>
  <c r="E84" i="11"/>
  <c r="D84" i="11"/>
  <c r="AE82" i="11"/>
  <c r="AE69" i="11" s="1"/>
  <c r="BA69" i="11"/>
  <c r="AZ69" i="11"/>
  <c r="AY69" i="11"/>
  <c r="AX69" i="11"/>
  <c r="AW69" i="11"/>
  <c r="AV69" i="11"/>
  <c r="AU69" i="11"/>
  <c r="AT69" i="11"/>
  <c r="AS69" i="11"/>
  <c r="AR69" i="11"/>
  <c r="AQ69" i="11"/>
  <c r="AP69" i="11"/>
  <c r="AO69" i="11"/>
  <c r="AN69" i="11"/>
  <c r="AM69" i="11"/>
  <c r="AL69" i="11"/>
  <c r="AK69" i="11"/>
  <c r="AJ69" i="11"/>
  <c r="AI69" i="11"/>
  <c r="AH69" i="11"/>
  <c r="AF69" i="11"/>
  <c r="AD69" i="11"/>
  <c r="AC69" i="11"/>
  <c r="AB69" i="11"/>
  <c r="AA69" i="11"/>
  <c r="Z69" i="11"/>
  <c r="Y69" i="11"/>
  <c r="X69" i="11"/>
  <c r="W69" i="11"/>
  <c r="V69" i="11"/>
  <c r="U69" i="11"/>
  <c r="T69" i="11"/>
  <c r="S69" i="11"/>
  <c r="R69" i="11"/>
  <c r="Q69" i="11"/>
  <c r="P69" i="11"/>
  <c r="O69" i="11"/>
  <c r="N69" i="11"/>
  <c r="M69" i="11"/>
  <c r="L69" i="11"/>
  <c r="K69" i="11"/>
  <c r="J69" i="11"/>
  <c r="I69" i="11"/>
  <c r="H69" i="11"/>
  <c r="G69" i="11"/>
  <c r="F69" i="11"/>
  <c r="E69" i="11"/>
  <c r="D69" i="11"/>
  <c r="AE68" i="11"/>
  <c r="AE53" i="11" s="1"/>
  <c r="AC68" i="11"/>
  <c r="AC53" i="11" s="1"/>
  <c r="BA53" i="11"/>
  <c r="AZ53" i="11"/>
  <c r="AY53" i="11"/>
  <c r="AX53" i="11"/>
  <c r="AW53" i="11"/>
  <c r="AV53" i="11"/>
  <c r="AU53" i="11"/>
  <c r="AT53" i="11"/>
  <c r="AS53" i="11"/>
  <c r="AR53" i="11"/>
  <c r="AQ53" i="11"/>
  <c r="AP53" i="11"/>
  <c r="AO53" i="11"/>
  <c r="AN53" i="11"/>
  <c r="AM53" i="11"/>
  <c r="AL53" i="11"/>
  <c r="AK53" i="11"/>
  <c r="AJ53" i="11"/>
  <c r="AI53" i="11"/>
  <c r="AH53" i="11"/>
  <c r="AD53" i="11"/>
  <c r="AB53" i="11"/>
  <c r="AA53" i="11"/>
  <c r="Z53" i="11"/>
  <c r="Y53" i="11"/>
  <c r="X53" i="11"/>
  <c r="W53" i="11"/>
  <c r="V53" i="11"/>
  <c r="U53" i="11"/>
  <c r="T53" i="11"/>
  <c r="S53" i="11"/>
  <c r="R53" i="11"/>
  <c r="Q53" i="11"/>
  <c r="P53" i="11"/>
  <c r="O53" i="11"/>
  <c r="N53" i="11"/>
  <c r="M53" i="11"/>
  <c r="L53" i="11"/>
  <c r="K53" i="11"/>
  <c r="J53" i="11"/>
  <c r="I53" i="11"/>
  <c r="H53" i="11"/>
  <c r="G53" i="11"/>
  <c r="F53" i="11"/>
  <c r="E53" i="11"/>
  <c r="D53" i="11"/>
  <c r="BA52" i="11"/>
  <c r="AS52" i="11"/>
  <c r="AR52" i="11"/>
  <c r="AQ52" i="11"/>
  <c r="AP52" i="11"/>
  <c r="AO52" i="11"/>
  <c r="AN52" i="11"/>
  <c r="AM52" i="11"/>
  <c r="AL52" i="11"/>
  <c r="AK52" i="11"/>
  <c r="AJ52" i="11"/>
  <c r="AI52" i="11"/>
  <c r="AH52" i="11"/>
  <c r="AG52" i="11"/>
  <c r="AF52" i="11"/>
  <c r="Y52" i="11"/>
  <c r="X52" i="11"/>
  <c r="W52" i="11"/>
  <c r="V52" i="11"/>
  <c r="U52" i="11"/>
  <c r="T52" i="11"/>
  <c r="S52" i="11"/>
  <c r="R52" i="11"/>
  <c r="Q52" i="11"/>
  <c r="P52" i="11"/>
  <c r="O52" i="11"/>
  <c r="N52" i="11"/>
  <c r="M52" i="11"/>
  <c r="L52" i="11"/>
  <c r="K52" i="11"/>
  <c r="J52" i="11"/>
  <c r="I52" i="11"/>
  <c r="H52" i="11"/>
  <c r="G52" i="11"/>
  <c r="F52" i="11"/>
  <c r="E52" i="11"/>
  <c r="D52" i="11"/>
  <c r="AE48" i="11"/>
  <c r="AE43" i="11" s="1"/>
  <c r="BA43" i="11"/>
  <c r="AZ43" i="11"/>
  <c r="AY43" i="11"/>
  <c r="AX43" i="11"/>
  <c r="AW43" i="11"/>
  <c r="AV43" i="11"/>
  <c r="AU43" i="11"/>
  <c r="AT43" i="11"/>
  <c r="AS43" i="11"/>
  <c r="AR43" i="11"/>
  <c r="AQ43" i="11"/>
  <c r="AP43" i="11"/>
  <c r="AO43" i="11"/>
  <c r="AN43" i="11"/>
  <c r="AM43" i="11"/>
  <c r="AL43" i="11"/>
  <c r="AK43" i="11"/>
  <c r="AJ43" i="11"/>
  <c r="AI43" i="11"/>
  <c r="AH43" i="11"/>
  <c r="AG43" i="11"/>
  <c r="AF43" i="11"/>
  <c r="AD43" i="11"/>
  <c r="AC43" i="11"/>
  <c r="AB43" i="11"/>
  <c r="AA43" i="11"/>
  <c r="Z43" i="11"/>
  <c r="Y43" i="11"/>
  <c r="X43" i="11"/>
  <c r="W43" i="11"/>
  <c r="V43" i="11"/>
  <c r="U43" i="11"/>
  <c r="T43" i="11"/>
  <c r="S43" i="11"/>
  <c r="R43" i="11"/>
  <c r="Q43" i="11"/>
  <c r="P43" i="11"/>
  <c r="O43" i="11"/>
  <c r="N43" i="11"/>
  <c r="M43" i="11"/>
  <c r="L43" i="11"/>
  <c r="K43" i="11"/>
  <c r="J43" i="11"/>
  <c r="I43" i="11"/>
  <c r="H43" i="11"/>
  <c r="G43" i="11"/>
  <c r="F43" i="11"/>
  <c r="E43" i="11"/>
  <c r="D43" i="11"/>
  <c r="BA29" i="11"/>
  <c r="AZ29" i="11"/>
  <c r="AY29" i="11"/>
  <c r="AX29" i="11"/>
  <c r="AW29" i="11"/>
  <c r="AV29" i="11"/>
  <c r="AU29" i="11"/>
  <c r="AT29" i="11"/>
  <c r="AS29" i="11"/>
  <c r="AR29" i="11"/>
  <c r="AQ29" i="11"/>
  <c r="AP29" i="11"/>
  <c r="AO29" i="11"/>
  <c r="AN29" i="11"/>
  <c r="AM29" i="11"/>
  <c r="AL29" i="11"/>
  <c r="AK29" i="11"/>
  <c r="AJ29" i="11"/>
  <c r="AI29" i="11"/>
  <c r="AH29" i="11"/>
  <c r="AG29" i="11"/>
  <c r="AF29" i="11"/>
  <c r="AE29" i="11"/>
  <c r="AE28" i="11" s="1"/>
  <c r="AD29" i="11"/>
  <c r="AC29" i="11"/>
  <c r="AB29" i="11"/>
  <c r="AA29" i="11"/>
  <c r="Z29" i="11"/>
  <c r="Y29" i="11"/>
  <c r="X29" i="11"/>
  <c r="W29" i="11"/>
  <c r="V29" i="11"/>
  <c r="U29" i="11"/>
  <c r="T29" i="11"/>
  <c r="S29" i="11"/>
  <c r="R29" i="11"/>
  <c r="Q29" i="11"/>
  <c r="P29" i="11"/>
  <c r="O29" i="11"/>
  <c r="N29" i="11"/>
  <c r="M29" i="11"/>
  <c r="L29" i="11"/>
  <c r="K29" i="11"/>
  <c r="J29" i="11"/>
  <c r="I29" i="11"/>
  <c r="H29" i="11"/>
  <c r="G29" i="11"/>
  <c r="F29" i="11"/>
  <c r="E29" i="11"/>
  <c r="D29" i="11"/>
  <c r="AC24" i="11"/>
  <c r="AC8" i="11" s="1"/>
  <c r="BA8" i="11"/>
  <c r="AZ8" i="11"/>
  <c r="AY8" i="11"/>
  <c r="AX8" i="11"/>
  <c r="AW8" i="11"/>
  <c r="AV8" i="11"/>
  <c r="AU8" i="11"/>
  <c r="AT8" i="11"/>
  <c r="AS8" i="11"/>
  <c r="AR8" i="11"/>
  <c r="AQ8" i="11"/>
  <c r="AP8" i="11"/>
  <c r="AO8" i="11"/>
  <c r="AN8" i="11"/>
  <c r="AM8" i="11"/>
  <c r="AK8" i="11"/>
  <c r="AJ8" i="11"/>
  <c r="AI8" i="11"/>
  <c r="AH8" i="11"/>
  <c r="AE8" i="11"/>
  <c r="AD8" i="11"/>
  <c r="AD50" i="11" s="1"/>
  <c r="AB8" i="11"/>
  <c r="AA8" i="11"/>
  <c r="Z8" i="11"/>
  <c r="Y8" i="11"/>
  <c r="X8" i="11"/>
  <c r="W8" i="11"/>
  <c r="V8" i="11"/>
  <c r="U8" i="11"/>
  <c r="T8" i="11"/>
  <c r="S8" i="11"/>
  <c r="R8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AE52" i="40"/>
  <c r="AD52" i="40"/>
  <c r="AC52" i="40"/>
  <c r="AB52" i="40"/>
  <c r="AA52" i="40"/>
  <c r="Z52" i="40"/>
  <c r="Y52" i="40"/>
  <c r="X52" i="40"/>
  <c r="W52" i="40"/>
  <c r="V52" i="40"/>
  <c r="U52" i="40"/>
  <c r="T52" i="40"/>
  <c r="S52" i="40"/>
  <c r="R52" i="40"/>
  <c r="Q52" i="40"/>
  <c r="P52" i="40"/>
  <c r="O52" i="40"/>
  <c r="N52" i="40"/>
  <c r="M52" i="40"/>
  <c r="L52" i="40"/>
  <c r="K52" i="40"/>
  <c r="J52" i="40"/>
  <c r="I52" i="40"/>
  <c r="H52" i="40"/>
  <c r="G52" i="40"/>
  <c r="F52" i="40"/>
  <c r="E52" i="40"/>
  <c r="D52" i="40"/>
  <c r="C52" i="40"/>
  <c r="AE46" i="40"/>
  <c r="AD46" i="40"/>
  <c r="AC46" i="40"/>
  <c r="AB46" i="40"/>
  <c r="AA46" i="40"/>
  <c r="Z46" i="40"/>
  <c r="Y46" i="40"/>
  <c r="X46" i="40"/>
  <c r="W46" i="40"/>
  <c r="V46" i="40"/>
  <c r="U46" i="40"/>
  <c r="T46" i="40"/>
  <c r="S46" i="40"/>
  <c r="R46" i="40"/>
  <c r="Q46" i="40"/>
  <c r="P46" i="40"/>
  <c r="O46" i="40"/>
  <c r="N46" i="40"/>
  <c r="M46" i="40"/>
  <c r="L46" i="40"/>
  <c r="K46" i="40"/>
  <c r="J46" i="40"/>
  <c r="I46" i="40"/>
  <c r="H46" i="40"/>
  <c r="G46" i="40"/>
  <c r="F46" i="40"/>
  <c r="E46" i="40"/>
  <c r="D46" i="40"/>
  <c r="C46" i="40"/>
  <c r="T45" i="40"/>
  <c r="AE34" i="40"/>
  <c r="AD34" i="40"/>
  <c r="AC34" i="40"/>
  <c r="AB34" i="40"/>
  <c r="AA34" i="40"/>
  <c r="Z34" i="40"/>
  <c r="Y34" i="40"/>
  <c r="X34" i="40"/>
  <c r="W34" i="40"/>
  <c r="V34" i="40"/>
  <c r="U34" i="40"/>
  <c r="T34" i="40"/>
  <c r="S34" i="40"/>
  <c r="R34" i="40"/>
  <c r="Q34" i="40"/>
  <c r="P34" i="40"/>
  <c r="O34" i="40"/>
  <c r="N34" i="40"/>
  <c r="M34" i="40"/>
  <c r="L34" i="40"/>
  <c r="K34" i="40"/>
  <c r="J34" i="40"/>
  <c r="I34" i="40"/>
  <c r="H34" i="40"/>
  <c r="G34" i="40"/>
  <c r="F34" i="40"/>
  <c r="E34" i="40"/>
  <c r="D34" i="40"/>
  <c r="C34" i="40"/>
  <c r="AA33" i="40"/>
  <c r="Z33" i="40"/>
  <c r="W33" i="40"/>
  <c r="T33" i="40"/>
  <c r="S33" i="40"/>
  <c r="R33" i="40"/>
  <c r="Q33" i="40"/>
  <c r="P33" i="40"/>
  <c r="O33" i="40"/>
  <c r="AE28" i="40"/>
  <c r="AD28" i="40"/>
  <c r="AC28" i="40"/>
  <c r="AB28" i="40"/>
  <c r="AA28" i="40"/>
  <c r="Z28" i="40"/>
  <c r="Y28" i="40"/>
  <c r="X28" i="40"/>
  <c r="W28" i="40"/>
  <c r="V28" i="40"/>
  <c r="U28" i="40"/>
  <c r="T28" i="40"/>
  <c r="S28" i="40"/>
  <c r="R28" i="40"/>
  <c r="Q28" i="40"/>
  <c r="P28" i="40"/>
  <c r="O28" i="40"/>
  <c r="N28" i="40"/>
  <c r="M28" i="40"/>
  <c r="L28" i="40"/>
  <c r="K28" i="40"/>
  <c r="J28" i="40"/>
  <c r="I28" i="40"/>
  <c r="H28" i="40"/>
  <c r="G28" i="40"/>
  <c r="F28" i="40"/>
  <c r="E28" i="40"/>
  <c r="D28" i="40"/>
  <c r="C28" i="40"/>
  <c r="AE19" i="40"/>
  <c r="AD19" i="40"/>
  <c r="AC19" i="40"/>
  <c r="AB19" i="40"/>
  <c r="AA19" i="40"/>
  <c r="Z19" i="40"/>
  <c r="Y19" i="40"/>
  <c r="X19" i="40"/>
  <c r="W19" i="40"/>
  <c r="V19" i="40"/>
  <c r="U19" i="40"/>
  <c r="T19" i="40"/>
  <c r="S19" i="40"/>
  <c r="R19" i="40"/>
  <c r="Q19" i="40"/>
  <c r="P19" i="40"/>
  <c r="O19" i="40"/>
  <c r="N19" i="40"/>
  <c r="M19" i="40"/>
  <c r="L19" i="40"/>
  <c r="K19" i="40"/>
  <c r="J19" i="40"/>
  <c r="I19" i="40"/>
  <c r="H19" i="40"/>
  <c r="G19" i="40"/>
  <c r="F19" i="40"/>
  <c r="E19" i="40"/>
  <c r="D19" i="40"/>
  <c r="C19" i="40"/>
  <c r="X16" i="40"/>
  <c r="X13" i="40"/>
  <c r="N13" i="40"/>
  <c r="N8" i="40" s="1"/>
  <c r="AE8" i="40"/>
  <c r="AD8" i="40"/>
  <c r="AC8" i="40"/>
  <c r="AB8" i="40"/>
  <c r="AA8" i="40"/>
  <c r="Z8" i="40"/>
  <c r="Y8" i="40"/>
  <c r="W8" i="40"/>
  <c r="V8" i="40"/>
  <c r="U8" i="40"/>
  <c r="T8" i="40"/>
  <c r="S8" i="40"/>
  <c r="R8" i="40"/>
  <c r="Q8" i="40"/>
  <c r="P8" i="40"/>
  <c r="O8" i="40"/>
  <c r="M8" i="40"/>
  <c r="L8" i="40"/>
  <c r="K8" i="40"/>
  <c r="J8" i="40"/>
  <c r="I8" i="40"/>
  <c r="H8" i="40"/>
  <c r="G8" i="40"/>
  <c r="F8" i="40"/>
  <c r="E8" i="40"/>
  <c r="D8" i="40"/>
  <c r="C8" i="40"/>
  <c r="T90" i="39"/>
  <c r="T85" i="39"/>
  <c r="AK82" i="39"/>
  <c r="AJ82" i="39"/>
  <c r="AI82" i="39"/>
  <c r="AH82" i="39"/>
  <c r="AG82" i="39"/>
  <c r="AF82" i="39"/>
  <c r="AE82" i="39"/>
  <c r="AD82" i="39"/>
  <c r="AC82" i="39"/>
  <c r="AB82" i="39"/>
  <c r="AA82" i="39"/>
  <c r="Z82" i="39"/>
  <c r="Y82" i="39"/>
  <c r="S82" i="39"/>
  <c r="R82" i="39"/>
  <c r="P82" i="39"/>
  <c r="O82" i="39"/>
  <c r="N82" i="39"/>
  <c r="M82" i="39"/>
  <c r="L82" i="39"/>
  <c r="K82" i="39"/>
  <c r="J82" i="39"/>
  <c r="I82" i="39"/>
  <c r="H82" i="39"/>
  <c r="G82" i="39"/>
  <c r="F82" i="39"/>
  <c r="E82" i="39"/>
  <c r="D82" i="39"/>
  <c r="Y81" i="39"/>
  <c r="Y67" i="39" s="1"/>
  <c r="T81" i="39"/>
  <c r="T67" i="39" s="1"/>
  <c r="O72" i="39"/>
  <c r="O67" i="39" s="1"/>
  <c r="AK67" i="39"/>
  <c r="AJ67" i="39"/>
  <c r="AI67" i="39"/>
  <c r="AH67" i="39"/>
  <c r="AG67" i="39"/>
  <c r="AF67" i="39"/>
  <c r="AE67" i="39"/>
  <c r="AD67" i="39"/>
  <c r="AC67" i="39"/>
  <c r="AB67" i="39"/>
  <c r="AA67" i="39"/>
  <c r="Z67" i="39"/>
  <c r="S67" i="39"/>
  <c r="R67" i="39"/>
  <c r="P67" i="39"/>
  <c r="N67" i="39"/>
  <c r="M67" i="39"/>
  <c r="L67" i="39"/>
  <c r="K67" i="39"/>
  <c r="J67" i="39"/>
  <c r="I67" i="39"/>
  <c r="H67" i="39"/>
  <c r="G67" i="39"/>
  <c r="F67" i="39"/>
  <c r="E67" i="39"/>
  <c r="D67" i="39"/>
  <c r="Y65" i="39"/>
  <c r="Y47" i="39" s="1"/>
  <c r="T65" i="39"/>
  <c r="T47" i="39" s="1"/>
  <c r="O65" i="39"/>
  <c r="O47" i="39" s="1"/>
  <c r="N65" i="39"/>
  <c r="N47" i="39" s="1"/>
  <c r="AK47" i="39"/>
  <c r="AJ47" i="39"/>
  <c r="AI47" i="39"/>
  <c r="AH47" i="39"/>
  <c r="AG47" i="39"/>
  <c r="AF47" i="39"/>
  <c r="AE47" i="39"/>
  <c r="AD47" i="39"/>
  <c r="AC47" i="39"/>
  <c r="AB47" i="39"/>
  <c r="AA47" i="39"/>
  <c r="Z47" i="39"/>
  <c r="S47" i="39"/>
  <c r="R47" i="39"/>
  <c r="P47" i="39"/>
  <c r="M47" i="39"/>
  <c r="L47" i="39"/>
  <c r="K47" i="39"/>
  <c r="J47" i="39"/>
  <c r="I47" i="39"/>
  <c r="H47" i="39"/>
  <c r="G47" i="39"/>
  <c r="F47" i="39"/>
  <c r="E47" i="39"/>
  <c r="D47" i="39"/>
  <c r="AK46" i="39"/>
  <c r="AB46" i="39"/>
  <c r="AA46" i="39"/>
  <c r="U46" i="39"/>
  <c r="AK37" i="39"/>
  <c r="AJ37" i="39"/>
  <c r="AI37" i="39"/>
  <c r="AH37" i="39"/>
  <c r="AG37" i="39"/>
  <c r="AF37" i="39"/>
  <c r="AE37" i="39"/>
  <c r="AD37" i="39"/>
  <c r="AC37" i="39"/>
  <c r="AB37" i="39"/>
  <c r="AA37" i="39"/>
  <c r="Z37" i="39"/>
  <c r="Y37" i="39"/>
  <c r="X37" i="39"/>
  <c r="W37" i="39"/>
  <c r="V37" i="39"/>
  <c r="U37" i="39"/>
  <c r="T37" i="39"/>
  <c r="S37" i="39"/>
  <c r="R37" i="39"/>
  <c r="Q37" i="39"/>
  <c r="P37" i="39"/>
  <c r="O37" i="39"/>
  <c r="N37" i="39"/>
  <c r="M37" i="39"/>
  <c r="L37" i="39"/>
  <c r="K37" i="39"/>
  <c r="J37" i="39"/>
  <c r="I37" i="39"/>
  <c r="H37" i="39"/>
  <c r="G37" i="39"/>
  <c r="F37" i="39"/>
  <c r="E37" i="39"/>
  <c r="D37" i="39"/>
  <c r="Y36" i="39"/>
  <c r="Y32" i="39"/>
  <c r="T29" i="39"/>
  <c r="T28" i="39" s="1"/>
  <c r="AK28" i="39"/>
  <c r="AJ28" i="39"/>
  <c r="AI28" i="39"/>
  <c r="AH28" i="39"/>
  <c r="AG28" i="39"/>
  <c r="AF28" i="39"/>
  <c r="AE28" i="39"/>
  <c r="AD28" i="39"/>
  <c r="AC28" i="39"/>
  <c r="AB28" i="39"/>
  <c r="AA28" i="39"/>
  <c r="Z28" i="39"/>
  <c r="X28" i="39"/>
  <c r="W28" i="39"/>
  <c r="V28" i="39"/>
  <c r="V27" i="39" s="1"/>
  <c r="U28" i="39"/>
  <c r="S28" i="39"/>
  <c r="R28" i="39"/>
  <c r="Q28" i="39"/>
  <c r="P28" i="39"/>
  <c r="O28" i="39"/>
  <c r="N28" i="39"/>
  <c r="M28" i="39"/>
  <c r="L28" i="39"/>
  <c r="K28" i="39"/>
  <c r="J28" i="39"/>
  <c r="I28" i="39"/>
  <c r="H28" i="39"/>
  <c r="G28" i="39"/>
  <c r="F28" i="39"/>
  <c r="E28" i="39"/>
  <c r="D28" i="39"/>
  <c r="O25" i="39"/>
  <c r="O9" i="39"/>
  <c r="M9" i="39"/>
  <c r="M8" i="39" s="1"/>
  <c r="AK8" i="39"/>
  <c r="AJ8" i="39"/>
  <c r="AI8" i="39"/>
  <c r="AH8" i="39"/>
  <c r="AG8" i="39"/>
  <c r="AF8" i="39"/>
  <c r="AE8" i="39"/>
  <c r="AD8" i="39"/>
  <c r="AC8" i="39"/>
  <c r="AB8" i="39"/>
  <c r="AA8" i="39"/>
  <c r="Z8" i="39"/>
  <c r="Y8" i="39"/>
  <c r="X8" i="39"/>
  <c r="W8" i="39"/>
  <c r="V8" i="39"/>
  <c r="U8" i="39"/>
  <c r="T8" i="39"/>
  <c r="S8" i="39"/>
  <c r="R8" i="39"/>
  <c r="Q8" i="39"/>
  <c r="P8" i="39"/>
  <c r="N8" i="39"/>
  <c r="L8" i="39"/>
  <c r="K8" i="39"/>
  <c r="J8" i="39"/>
  <c r="I8" i="39"/>
  <c r="H8" i="39"/>
  <c r="G8" i="39"/>
  <c r="F8" i="39"/>
  <c r="E8" i="39"/>
  <c r="D8" i="39"/>
  <c r="N62" i="46"/>
  <c r="M62" i="46"/>
  <c r="L62" i="46"/>
  <c r="K62" i="46"/>
  <c r="J62" i="46"/>
  <c r="I62" i="46"/>
  <c r="H62" i="46"/>
  <c r="G62" i="46"/>
  <c r="F62" i="46"/>
  <c r="E62" i="46"/>
  <c r="D62" i="46"/>
  <c r="N45" i="46"/>
  <c r="M45" i="46"/>
  <c r="L45" i="46"/>
  <c r="K45" i="46"/>
  <c r="J45" i="46"/>
  <c r="I45" i="46"/>
  <c r="H45" i="46"/>
  <c r="G45" i="46"/>
  <c r="F45" i="46"/>
  <c r="E45" i="46"/>
  <c r="D45" i="46"/>
  <c r="N33" i="46"/>
  <c r="M33" i="46"/>
  <c r="L33" i="46"/>
  <c r="K33" i="46"/>
  <c r="J33" i="46"/>
  <c r="I33" i="46"/>
  <c r="H33" i="46"/>
  <c r="G33" i="46"/>
  <c r="F33" i="46"/>
  <c r="E33" i="46"/>
  <c r="D33" i="46"/>
  <c r="N32" i="46"/>
  <c r="F32" i="46"/>
  <c r="E32" i="46"/>
  <c r="D32" i="46"/>
  <c r="N21" i="46"/>
  <c r="M21" i="46"/>
  <c r="L21" i="46"/>
  <c r="K21" i="46"/>
  <c r="J21" i="46"/>
  <c r="I21" i="46"/>
  <c r="H21" i="46"/>
  <c r="G21" i="46"/>
  <c r="F21" i="46"/>
  <c r="E21" i="46"/>
  <c r="D21" i="46"/>
  <c r="N8" i="46"/>
  <c r="M8" i="46"/>
  <c r="L8" i="46"/>
  <c r="K8" i="46"/>
  <c r="J8" i="46"/>
  <c r="I8" i="46"/>
  <c r="H8" i="46"/>
  <c r="G8" i="46"/>
  <c r="F8" i="46"/>
  <c r="E8" i="46"/>
  <c r="D8" i="46"/>
  <c r="N85" i="33"/>
  <c r="M85" i="33"/>
  <c r="L85" i="33"/>
  <c r="K85" i="33"/>
  <c r="J85" i="33"/>
  <c r="I85" i="33"/>
  <c r="H85" i="33"/>
  <c r="G85" i="33"/>
  <c r="F85" i="33"/>
  <c r="E85" i="33"/>
  <c r="D85" i="33"/>
  <c r="N66" i="33"/>
  <c r="M66" i="33"/>
  <c r="L66" i="33"/>
  <c r="K66" i="33"/>
  <c r="J66" i="33"/>
  <c r="I66" i="33"/>
  <c r="H66" i="33"/>
  <c r="G66" i="33"/>
  <c r="F66" i="33"/>
  <c r="E66" i="33"/>
  <c r="D66" i="33"/>
  <c r="N46" i="33"/>
  <c r="M46" i="33"/>
  <c r="L46" i="33"/>
  <c r="K46" i="33"/>
  <c r="J46" i="33"/>
  <c r="I46" i="33"/>
  <c r="H46" i="33"/>
  <c r="G46" i="33"/>
  <c r="F46" i="33"/>
  <c r="E46" i="33"/>
  <c r="D46" i="33"/>
  <c r="N45" i="33"/>
  <c r="E45" i="33"/>
  <c r="D45" i="33"/>
  <c r="N37" i="33"/>
  <c r="M37" i="33"/>
  <c r="L37" i="33"/>
  <c r="K37" i="33"/>
  <c r="J37" i="33"/>
  <c r="I37" i="33"/>
  <c r="H37" i="33"/>
  <c r="G37" i="33"/>
  <c r="F37" i="33"/>
  <c r="E37" i="33"/>
  <c r="D37" i="33"/>
  <c r="N23" i="33"/>
  <c r="M23" i="33"/>
  <c r="L23" i="33"/>
  <c r="K23" i="33"/>
  <c r="J23" i="33"/>
  <c r="I23" i="33"/>
  <c r="H23" i="33"/>
  <c r="G23" i="33"/>
  <c r="F23" i="33"/>
  <c r="E23" i="33"/>
  <c r="D23" i="33"/>
  <c r="N8" i="33"/>
  <c r="M8" i="33"/>
  <c r="L8" i="33"/>
  <c r="K8" i="33"/>
  <c r="J8" i="33"/>
  <c r="I8" i="33"/>
  <c r="H8" i="33"/>
  <c r="G8" i="33"/>
  <c r="F8" i="33"/>
  <c r="E8" i="33"/>
  <c r="D8" i="33"/>
  <c r="P67" i="32"/>
  <c r="O67" i="32"/>
  <c r="N67" i="32"/>
  <c r="M67" i="32"/>
  <c r="L67" i="32"/>
  <c r="K67" i="32"/>
  <c r="J67" i="32"/>
  <c r="I67" i="32"/>
  <c r="H67" i="32"/>
  <c r="G67" i="32"/>
  <c r="F67" i="32"/>
  <c r="E67" i="32"/>
  <c r="D67" i="32"/>
  <c r="P56" i="32"/>
  <c r="O56" i="32"/>
  <c r="N56" i="32"/>
  <c r="M56" i="32"/>
  <c r="L56" i="32"/>
  <c r="K56" i="32"/>
  <c r="J56" i="32"/>
  <c r="I56" i="32"/>
  <c r="H56" i="32"/>
  <c r="G56" i="32"/>
  <c r="F56" i="32"/>
  <c r="E56" i="32"/>
  <c r="D56" i="32"/>
  <c r="P41" i="32"/>
  <c r="O41" i="32"/>
  <c r="N41" i="32"/>
  <c r="M41" i="32"/>
  <c r="L41" i="32"/>
  <c r="K41" i="32"/>
  <c r="J41" i="32"/>
  <c r="I41" i="32"/>
  <c r="H41" i="32"/>
  <c r="G41" i="32"/>
  <c r="F41" i="32"/>
  <c r="E41" i="32"/>
  <c r="D41" i="32"/>
  <c r="P40" i="32"/>
  <c r="G40" i="32"/>
  <c r="F40" i="32"/>
  <c r="D40" i="32"/>
  <c r="P32" i="32"/>
  <c r="O32" i="32"/>
  <c r="N32" i="32"/>
  <c r="M32" i="32"/>
  <c r="L32" i="32"/>
  <c r="K32" i="32"/>
  <c r="J32" i="32"/>
  <c r="I32" i="32"/>
  <c r="H32" i="32"/>
  <c r="G32" i="32"/>
  <c r="F32" i="32"/>
  <c r="E32" i="32"/>
  <c r="D32" i="32"/>
  <c r="P23" i="32"/>
  <c r="O23" i="32"/>
  <c r="N23" i="32"/>
  <c r="M23" i="32"/>
  <c r="L23" i="32"/>
  <c r="K23" i="32"/>
  <c r="J23" i="32"/>
  <c r="I23" i="32"/>
  <c r="H23" i="32"/>
  <c r="G23" i="32"/>
  <c r="F23" i="32"/>
  <c r="E23" i="32"/>
  <c r="D23" i="32"/>
  <c r="P8" i="32"/>
  <c r="O8" i="32"/>
  <c r="N8" i="32"/>
  <c r="M8" i="32"/>
  <c r="L8" i="32"/>
  <c r="K8" i="32"/>
  <c r="J8" i="32"/>
  <c r="I8" i="32"/>
  <c r="H8" i="32"/>
  <c r="G8" i="32"/>
  <c r="F8" i="32"/>
  <c r="E8" i="32"/>
  <c r="D8" i="32"/>
  <c r="S81" i="31"/>
  <c r="R81" i="31"/>
  <c r="Q81" i="31"/>
  <c r="P81" i="31"/>
  <c r="O81" i="31"/>
  <c r="N81" i="31"/>
  <c r="M81" i="31"/>
  <c r="L81" i="31"/>
  <c r="K81" i="31"/>
  <c r="J81" i="31"/>
  <c r="I81" i="31"/>
  <c r="H81" i="31"/>
  <c r="G81" i="31"/>
  <c r="F81" i="31"/>
  <c r="E81" i="31"/>
  <c r="D81" i="31"/>
  <c r="S64" i="31"/>
  <c r="R64" i="31"/>
  <c r="Q64" i="31"/>
  <c r="P64" i="31"/>
  <c r="O64" i="31"/>
  <c r="N64" i="31"/>
  <c r="M64" i="31"/>
  <c r="L64" i="31"/>
  <c r="K64" i="31"/>
  <c r="J64" i="31"/>
  <c r="I64" i="31"/>
  <c r="H64" i="31"/>
  <c r="G64" i="31"/>
  <c r="F64" i="31"/>
  <c r="E64" i="31"/>
  <c r="D64" i="31"/>
  <c r="S46" i="31"/>
  <c r="R46" i="31"/>
  <c r="Q46" i="31"/>
  <c r="P46" i="31"/>
  <c r="O46" i="31"/>
  <c r="N46" i="31"/>
  <c r="M46" i="31"/>
  <c r="L46" i="31"/>
  <c r="K46" i="31"/>
  <c r="J46" i="31"/>
  <c r="I46" i="31"/>
  <c r="H46" i="31"/>
  <c r="G46" i="31"/>
  <c r="F46" i="31"/>
  <c r="E46" i="31"/>
  <c r="D46" i="31"/>
  <c r="S45" i="31"/>
  <c r="J45" i="31"/>
  <c r="I45" i="31"/>
  <c r="G45" i="31"/>
  <c r="F45" i="31"/>
  <c r="E45" i="31"/>
  <c r="S37" i="31"/>
  <c r="R37" i="31"/>
  <c r="Q37" i="31"/>
  <c r="P37" i="31"/>
  <c r="O37" i="31"/>
  <c r="N37" i="31"/>
  <c r="M37" i="31"/>
  <c r="L37" i="31"/>
  <c r="K37" i="31"/>
  <c r="J37" i="31"/>
  <c r="I37" i="31"/>
  <c r="H37" i="31"/>
  <c r="G37" i="31"/>
  <c r="F37" i="31"/>
  <c r="E37" i="31"/>
  <c r="D37" i="31"/>
  <c r="S24" i="31"/>
  <c r="R24" i="31"/>
  <c r="Q24" i="31"/>
  <c r="P24" i="31"/>
  <c r="O24" i="31"/>
  <c r="N24" i="31"/>
  <c r="M24" i="31"/>
  <c r="L24" i="31"/>
  <c r="K24" i="31"/>
  <c r="J24" i="31"/>
  <c r="I24" i="31"/>
  <c r="H24" i="31"/>
  <c r="G24" i="31"/>
  <c r="F24" i="31"/>
  <c r="E24" i="31"/>
  <c r="D24" i="31"/>
  <c r="S8" i="31"/>
  <c r="R8" i="31"/>
  <c r="Q8" i="31"/>
  <c r="P8" i="31"/>
  <c r="O8" i="31"/>
  <c r="N8" i="31"/>
  <c r="M8" i="31"/>
  <c r="L8" i="31"/>
  <c r="K8" i="31"/>
  <c r="J8" i="31"/>
  <c r="I8" i="31"/>
  <c r="H8" i="31"/>
  <c r="G8" i="31"/>
  <c r="F8" i="31"/>
  <c r="E8" i="31"/>
  <c r="D8" i="31"/>
  <c r="AG81" i="30"/>
  <c r="AF81" i="30"/>
  <c r="AE81" i="30"/>
  <c r="AD81" i="30"/>
  <c r="AC81" i="30"/>
  <c r="AB81" i="30"/>
  <c r="AA81" i="30"/>
  <c r="Z81" i="30"/>
  <c r="Y81" i="30"/>
  <c r="X81" i="30"/>
  <c r="W81" i="30"/>
  <c r="V81" i="30"/>
  <c r="U81" i="30"/>
  <c r="T81" i="30"/>
  <c r="S81" i="30"/>
  <c r="R81" i="30"/>
  <c r="Q81" i="30"/>
  <c r="P81" i="30"/>
  <c r="O81" i="30"/>
  <c r="N81" i="30"/>
  <c r="M81" i="30"/>
  <c r="L81" i="30"/>
  <c r="K81" i="30"/>
  <c r="J81" i="30"/>
  <c r="I81" i="30"/>
  <c r="H81" i="30"/>
  <c r="G81" i="30"/>
  <c r="F81" i="30"/>
  <c r="E81" i="30"/>
  <c r="D81" i="30"/>
  <c r="K69" i="30"/>
  <c r="K64" i="30" s="1"/>
  <c r="AG64" i="30"/>
  <c r="AF64" i="30"/>
  <c r="AE64" i="30"/>
  <c r="AD64" i="30"/>
  <c r="AC64" i="30"/>
  <c r="AB64" i="30"/>
  <c r="AA64" i="30"/>
  <c r="Z64" i="30"/>
  <c r="Y64" i="30"/>
  <c r="X64" i="30"/>
  <c r="W64" i="30"/>
  <c r="V64" i="30"/>
  <c r="U64" i="30"/>
  <c r="T64" i="30"/>
  <c r="S64" i="30"/>
  <c r="R64" i="30"/>
  <c r="Q64" i="30"/>
  <c r="P64" i="30"/>
  <c r="O64" i="30"/>
  <c r="N64" i="30"/>
  <c r="M64" i="30"/>
  <c r="L64" i="30"/>
  <c r="J64" i="30"/>
  <c r="I64" i="30"/>
  <c r="H64" i="30"/>
  <c r="G64" i="30"/>
  <c r="F64" i="30"/>
  <c r="E64" i="30"/>
  <c r="D64" i="30"/>
  <c r="AG45" i="30"/>
  <c r="AF45" i="30"/>
  <c r="AE45" i="30"/>
  <c r="AD45" i="30"/>
  <c r="AC45" i="30"/>
  <c r="AB45" i="30"/>
  <c r="AA45" i="30"/>
  <c r="Z45" i="30"/>
  <c r="Y45" i="30"/>
  <c r="X45" i="30"/>
  <c r="W45" i="30"/>
  <c r="V45" i="30"/>
  <c r="U45" i="30"/>
  <c r="T45" i="30"/>
  <c r="S45" i="30"/>
  <c r="R45" i="30"/>
  <c r="Q45" i="30"/>
  <c r="P45" i="30"/>
  <c r="O45" i="30"/>
  <c r="N45" i="30"/>
  <c r="M45" i="30"/>
  <c r="L45" i="30"/>
  <c r="K45" i="30"/>
  <c r="J45" i="30"/>
  <c r="I45" i="30"/>
  <c r="H45" i="30"/>
  <c r="G45" i="30"/>
  <c r="F45" i="30"/>
  <c r="E45" i="30"/>
  <c r="D45" i="30"/>
  <c r="AG44" i="30"/>
  <c r="X44" i="30"/>
  <c r="W44" i="30"/>
  <c r="Q44" i="30"/>
  <c r="P44" i="30"/>
  <c r="O44" i="30"/>
  <c r="N44" i="30"/>
  <c r="M44" i="30"/>
  <c r="L44" i="30"/>
  <c r="E44" i="30"/>
  <c r="D44" i="30"/>
  <c r="AG36" i="30"/>
  <c r="AF36" i="30"/>
  <c r="AE36" i="30"/>
  <c r="AD36" i="30"/>
  <c r="AC36" i="30"/>
  <c r="AB36" i="30"/>
  <c r="AA36" i="30"/>
  <c r="Z36" i="30"/>
  <c r="Y36" i="30"/>
  <c r="X36" i="30"/>
  <c r="W36" i="30"/>
  <c r="V36" i="30"/>
  <c r="U36" i="30"/>
  <c r="T36" i="30"/>
  <c r="S36" i="30"/>
  <c r="R36" i="30"/>
  <c r="Q36" i="30"/>
  <c r="P36" i="30"/>
  <c r="O36" i="30"/>
  <c r="N36" i="30"/>
  <c r="M36" i="30"/>
  <c r="L36" i="30"/>
  <c r="K36" i="30"/>
  <c r="J36" i="30"/>
  <c r="I36" i="30"/>
  <c r="H36" i="30"/>
  <c r="G36" i="30"/>
  <c r="F36" i="30"/>
  <c r="E36" i="30"/>
  <c r="D36" i="30"/>
  <c r="AG24" i="30"/>
  <c r="AF24" i="30"/>
  <c r="AE24" i="30"/>
  <c r="AD24" i="30"/>
  <c r="AC24" i="30"/>
  <c r="AB24" i="30"/>
  <c r="AA24" i="30"/>
  <c r="Z24" i="30"/>
  <c r="Y24" i="30"/>
  <c r="X24" i="30"/>
  <c r="W24" i="30"/>
  <c r="V24" i="30"/>
  <c r="U24" i="30"/>
  <c r="T24" i="30"/>
  <c r="S24" i="30"/>
  <c r="R24" i="30"/>
  <c r="Q24" i="30"/>
  <c r="P24" i="30"/>
  <c r="O24" i="30"/>
  <c r="N24" i="30"/>
  <c r="M24" i="30"/>
  <c r="L24" i="30"/>
  <c r="K24" i="30"/>
  <c r="J24" i="30"/>
  <c r="I24" i="30"/>
  <c r="H24" i="30"/>
  <c r="G24" i="30"/>
  <c r="F24" i="30"/>
  <c r="E24" i="30"/>
  <c r="D24" i="30"/>
  <c r="AG8" i="30"/>
  <c r="AF8" i="30"/>
  <c r="AE8" i="30"/>
  <c r="AD8" i="30"/>
  <c r="AC8" i="30"/>
  <c r="AB8" i="30"/>
  <c r="AA8" i="30"/>
  <c r="Z8" i="30"/>
  <c r="Y8" i="30"/>
  <c r="X8" i="30"/>
  <c r="W8" i="30"/>
  <c r="V8" i="30"/>
  <c r="U8" i="30"/>
  <c r="T8" i="30"/>
  <c r="S8" i="30"/>
  <c r="R8" i="30"/>
  <c r="Q8" i="30"/>
  <c r="P8" i="30"/>
  <c r="O8" i="30"/>
  <c r="N8" i="30"/>
  <c r="M8" i="30"/>
  <c r="L8" i="30"/>
  <c r="K8" i="30"/>
  <c r="J8" i="30"/>
  <c r="I8" i="30"/>
  <c r="H8" i="30"/>
  <c r="G8" i="30"/>
  <c r="F8" i="30"/>
  <c r="E8" i="30"/>
  <c r="D8" i="30"/>
  <c r="Y81" i="29"/>
  <c r="X81" i="29"/>
  <c r="W81" i="29"/>
  <c r="V81" i="29"/>
  <c r="U81" i="29"/>
  <c r="T81" i="29"/>
  <c r="S81" i="29"/>
  <c r="R81" i="29"/>
  <c r="Q81" i="29"/>
  <c r="P81" i="29"/>
  <c r="O81" i="29"/>
  <c r="N81" i="29"/>
  <c r="M81" i="29"/>
  <c r="L81" i="29"/>
  <c r="K81" i="29"/>
  <c r="J81" i="29"/>
  <c r="I81" i="29"/>
  <c r="H81" i="29"/>
  <c r="G81" i="29"/>
  <c r="F81" i="29"/>
  <c r="E81" i="29"/>
  <c r="D81" i="29"/>
  <c r="Y67" i="29"/>
  <c r="X67" i="29"/>
  <c r="W67" i="29"/>
  <c r="V67" i="29"/>
  <c r="U67" i="29"/>
  <c r="T67" i="29"/>
  <c r="S67" i="29"/>
  <c r="R67" i="29"/>
  <c r="Q67" i="29"/>
  <c r="P67" i="29"/>
  <c r="O67" i="29"/>
  <c r="N67" i="29"/>
  <c r="M67" i="29"/>
  <c r="L67" i="29"/>
  <c r="K67" i="29"/>
  <c r="J67" i="29"/>
  <c r="I67" i="29"/>
  <c r="H67" i="29"/>
  <c r="G67" i="29"/>
  <c r="F67" i="29"/>
  <c r="E67" i="29"/>
  <c r="D67" i="29"/>
  <c r="Y49" i="29"/>
  <c r="X49" i="29"/>
  <c r="W49" i="29"/>
  <c r="V49" i="29"/>
  <c r="U49" i="29"/>
  <c r="T49" i="29"/>
  <c r="S49" i="29"/>
  <c r="R49" i="29"/>
  <c r="Q49" i="29"/>
  <c r="P49" i="29"/>
  <c r="O49" i="29"/>
  <c r="N49" i="29"/>
  <c r="M49" i="29"/>
  <c r="L49" i="29"/>
  <c r="K49" i="29"/>
  <c r="J49" i="29"/>
  <c r="I49" i="29"/>
  <c r="H49" i="29"/>
  <c r="G49" i="29"/>
  <c r="F49" i="29"/>
  <c r="E49" i="29"/>
  <c r="D49" i="29"/>
  <c r="Y48" i="29"/>
  <c r="S48" i="29"/>
  <c r="R48" i="29"/>
  <c r="Q48" i="29"/>
  <c r="P48" i="29"/>
  <c r="O48" i="29"/>
  <c r="L48" i="29"/>
  <c r="K48" i="29"/>
  <c r="J48" i="29"/>
  <c r="I48" i="29"/>
  <c r="H48" i="29"/>
  <c r="G48" i="29"/>
  <c r="F48" i="29"/>
  <c r="E48" i="29"/>
  <c r="D48" i="29"/>
  <c r="Y39" i="29"/>
  <c r="X39" i="29"/>
  <c r="W39" i="29"/>
  <c r="V39" i="29"/>
  <c r="U39" i="29"/>
  <c r="T39" i="29"/>
  <c r="S39" i="29"/>
  <c r="R39" i="29"/>
  <c r="Q39" i="29"/>
  <c r="P39" i="29"/>
  <c r="O39" i="29"/>
  <c r="N39" i="29"/>
  <c r="M39" i="29"/>
  <c r="L39" i="29"/>
  <c r="K39" i="29"/>
  <c r="J39" i="29"/>
  <c r="I39" i="29"/>
  <c r="H39" i="29"/>
  <c r="G39" i="29"/>
  <c r="F39" i="29"/>
  <c r="E39" i="29"/>
  <c r="D39" i="29"/>
  <c r="Y25" i="29"/>
  <c r="X25" i="29"/>
  <c r="W25" i="29"/>
  <c r="V25" i="29"/>
  <c r="U25" i="29"/>
  <c r="T25" i="29"/>
  <c r="S25" i="29"/>
  <c r="R25" i="29"/>
  <c r="Q25" i="29"/>
  <c r="P25" i="29"/>
  <c r="O25" i="29"/>
  <c r="N25" i="29"/>
  <c r="M25" i="29"/>
  <c r="L25" i="29"/>
  <c r="K25" i="29"/>
  <c r="J25" i="29"/>
  <c r="I25" i="29"/>
  <c r="H25" i="29"/>
  <c r="G25" i="29"/>
  <c r="F25" i="29"/>
  <c r="E25" i="29"/>
  <c r="D25" i="29"/>
  <c r="Y8" i="29"/>
  <c r="X8" i="29"/>
  <c r="W8" i="29"/>
  <c r="V8" i="29"/>
  <c r="U8" i="29"/>
  <c r="T8" i="29"/>
  <c r="S8" i="29"/>
  <c r="R8" i="29"/>
  <c r="Q8" i="29"/>
  <c r="P8" i="29"/>
  <c r="O8" i="29"/>
  <c r="N8" i="29"/>
  <c r="M8" i="29"/>
  <c r="L8" i="29"/>
  <c r="K8" i="29"/>
  <c r="J8" i="29"/>
  <c r="I8" i="29"/>
  <c r="H8" i="29"/>
  <c r="G8" i="29"/>
  <c r="F8" i="29"/>
  <c r="E8" i="29"/>
  <c r="D8" i="29"/>
  <c r="Y86" i="28"/>
  <c r="X86" i="28"/>
  <c r="W86" i="28"/>
  <c r="V86" i="28"/>
  <c r="U86" i="28"/>
  <c r="T86" i="28"/>
  <c r="S86" i="28"/>
  <c r="R86" i="28"/>
  <c r="Q86" i="28"/>
  <c r="P86" i="28"/>
  <c r="O86" i="28"/>
  <c r="N86" i="28"/>
  <c r="M86" i="28"/>
  <c r="L86" i="28"/>
  <c r="K86" i="28"/>
  <c r="J86" i="28"/>
  <c r="I86" i="28"/>
  <c r="H86" i="28"/>
  <c r="G86" i="28"/>
  <c r="F86" i="28"/>
  <c r="E86" i="28"/>
  <c r="D86" i="28"/>
  <c r="Y69" i="28"/>
  <c r="X69" i="28"/>
  <c r="W69" i="28"/>
  <c r="V69" i="28"/>
  <c r="U69" i="28"/>
  <c r="T69" i="28"/>
  <c r="S69" i="28"/>
  <c r="R69" i="28"/>
  <c r="Q69" i="28"/>
  <c r="P69" i="28"/>
  <c r="O69" i="28"/>
  <c r="N69" i="28"/>
  <c r="M69" i="28"/>
  <c r="L69" i="28"/>
  <c r="K69" i="28"/>
  <c r="J69" i="28"/>
  <c r="I69" i="28"/>
  <c r="H69" i="28"/>
  <c r="G69" i="28"/>
  <c r="F69" i="28"/>
  <c r="E69" i="28"/>
  <c r="D69" i="28"/>
  <c r="Y48" i="28"/>
  <c r="X48" i="28"/>
  <c r="W48" i="28"/>
  <c r="V48" i="28"/>
  <c r="U48" i="28"/>
  <c r="T48" i="28"/>
  <c r="S48" i="28"/>
  <c r="R48" i="28"/>
  <c r="Q48" i="28"/>
  <c r="P48" i="28"/>
  <c r="O48" i="28"/>
  <c r="N48" i="28"/>
  <c r="M48" i="28"/>
  <c r="L48" i="28"/>
  <c r="K48" i="28"/>
  <c r="J48" i="28"/>
  <c r="I48" i="28"/>
  <c r="H48" i="28"/>
  <c r="G48" i="28"/>
  <c r="F48" i="28"/>
  <c r="E48" i="28"/>
  <c r="D48" i="28"/>
  <c r="Y47" i="28"/>
  <c r="R47" i="28"/>
  <c r="Q47" i="28"/>
  <c r="P47" i="28"/>
  <c r="O47" i="28"/>
  <c r="D47" i="28"/>
  <c r="Y8" i="28"/>
  <c r="X8" i="28"/>
  <c r="W8" i="28"/>
  <c r="V8" i="28"/>
  <c r="U8" i="28"/>
  <c r="T8" i="28"/>
  <c r="S8" i="28"/>
  <c r="R8" i="28"/>
  <c r="Q8" i="28"/>
  <c r="P8" i="28"/>
  <c r="O8" i="28"/>
  <c r="N8" i="28"/>
  <c r="M8" i="28"/>
  <c r="L8" i="28"/>
  <c r="K8" i="28"/>
  <c r="J8" i="28"/>
  <c r="I8" i="28"/>
  <c r="H8" i="28"/>
  <c r="G8" i="28"/>
  <c r="F8" i="28"/>
  <c r="E8" i="28"/>
  <c r="D8" i="28"/>
  <c r="D45" i="28" s="1"/>
  <c r="D96" i="28" s="1"/>
  <c r="D81" i="27"/>
  <c r="D79" i="27" s="1"/>
  <c r="Y79" i="27"/>
  <c r="X79" i="27"/>
  <c r="W79" i="27"/>
  <c r="V79" i="27"/>
  <c r="U79" i="27"/>
  <c r="T79" i="27"/>
  <c r="S79" i="27"/>
  <c r="R79" i="27"/>
  <c r="Q79" i="27"/>
  <c r="P79" i="27"/>
  <c r="O79" i="27"/>
  <c r="N79" i="27"/>
  <c r="M79" i="27"/>
  <c r="L79" i="27"/>
  <c r="K79" i="27"/>
  <c r="J79" i="27"/>
  <c r="I79" i="27"/>
  <c r="H79" i="27"/>
  <c r="G79" i="27"/>
  <c r="F79" i="27"/>
  <c r="E79" i="27"/>
  <c r="Y63" i="27"/>
  <c r="X63" i="27"/>
  <c r="W63" i="27"/>
  <c r="V63" i="27"/>
  <c r="U63" i="27"/>
  <c r="T63" i="27"/>
  <c r="S63" i="27"/>
  <c r="R63" i="27"/>
  <c r="Q63" i="27"/>
  <c r="P63" i="27"/>
  <c r="O63" i="27"/>
  <c r="N63" i="27"/>
  <c r="M63" i="27"/>
  <c r="L63" i="27"/>
  <c r="K63" i="27"/>
  <c r="J63" i="27"/>
  <c r="I63" i="27"/>
  <c r="H63" i="27"/>
  <c r="G63" i="27"/>
  <c r="F63" i="27"/>
  <c r="E63" i="27"/>
  <c r="D63" i="27"/>
  <c r="D58" i="27"/>
  <c r="D54" i="27"/>
  <c r="Y45" i="27"/>
  <c r="X45" i="27"/>
  <c r="W45" i="27"/>
  <c r="V45" i="27"/>
  <c r="U45" i="27"/>
  <c r="T45" i="27"/>
  <c r="S45" i="27"/>
  <c r="R45" i="27"/>
  <c r="Q45" i="27"/>
  <c r="P45" i="27"/>
  <c r="O45" i="27"/>
  <c r="N45" i="27"/>
  <c r="M45" i="27"/>
  <c r="L45" i="27"/>
  <c r="K45" i="27"/>
  <c r="J45" i="27"/>
  <c r="I45" i="27"/>
  <c r="H45" i="27"/>
  <c r="G45" i="27"/>
  <c r="F45" i="27"/>
  <c r="E45" i="27"/>
  <c r="Y44" i="27"/>
  <c r="R44" i="27"/>
  <c r="P44" i="27"/>
  <c r="O44" i="27"/>
  <c r="N44" i="27"/>
  <c r="M44" i="27"/>
  <c r="L44" i="27"/>
  <c r="K44" i="27"/>
  <c r="J44" i="27"/>
  <c r="I44" i="27"/>
  <c r="H44" i="27"/>
  <c r="G44" i="27"/>
  <c r="F44" i="27"/>
  <c r="E44" i="27"/>
  <c r="D44" i="27"/>
  <c r="D38" i="27"/>
  <c r="D37" i="27"/>
  <c r="D34" i="27"/>
  <c r="D32" i="27"/>
  <c r="D28" i="27"/>
  <c r="Y24" i="27"/>
  <c r="X24" i="27"/>
  <c r="W24" i="27"/>
  <c r="V24" i="27"/>
  <c r="U24" i="27"/>
  <c r="T24" i="27"/>
  <c r="S24" i="27"/>
  <c r="R24" i="27"/>
  <c r="Q24" i="27"/>
  <c r="P24" i="27"/>
  <c r="O24" i="27"/>
  <c r="N24" i="27"/>
  <c r="M24" i="27"/>
  <c r="L24" i="27"/>
  <c r="K24" i="27"/>
  <c r="J24" i="27"/>
  <c r="I24" i="27"/>
  <c r="H24" i="27"/>
  <c r="G24" i="27"/>
  <c r="F24" i="27"/>
  <c r="E24" i="27"/>
  <c r="D19" i="27"/>
  <c r="D18" i="27"/>
  <c r="D16" i="27"/>
  <c r="D15" i="27"/>
  <c r="I11" i="27"/>
  <c r="I8" i="27" s="1"/>
  <c r="Y8" i="27"/>
  <c r="X8" i="27"/>
  <c r="W8" i="27"/>
  <c r="V8" i="27"/>
  <c r="U8" i="27"/>
  <c r="T8" i="27"/>
  <c r="S8" i="27"/>
  <c r="R8" i="27"/>
  <c r="Q8" i="27"/>
  <c r="P8" i="27"/>
  <c r="O8" i="27"/>
  <c r="N8" i="27"/>
  <c r="M8" i="27"/>
  <c r="L8" i="27"/>
  <c r="K8" i="27"/>
  <c r="J8" i="27"/>
  <c r="H8" i="27"/>
  <c r="G8" i="27"/>
  <c r="F8" i="27"/>
  <c r="E8" i="27"/>
  <c r="AC52" i="71"/>
  <c r="AB52" i="71"/>
  <c r="AA52" i="71"/>
  <c r="Z52" i="71"/>
  <c r="Y52" i="71"/>
  <c r="X52" i="71"/>
  <c r="W52" i="71"/>
  <c r="V52" i="71"/>
  <c r="U52" i="71"/>
  <c r="T52" i="71"/>
  <c r="S52" i="71"/>
  <c r="R52" i="71"/>
  <c r="Q52" i="71"/>
  <c r="P52" i="71"/>
  <c r="O52" i="71"/>
  <c r="N52" i="71"/>
  <c r="M52" i="71"/>
  <c r="L52" i="71"/>
  <c r="K52" i="71"/>
  <c r="J52" i="71"/>
  <c r="I52" i="71"/>
  <c r="H52" i="71"/>
  <c r="G52" i="71"/>
  <c r="F52" i="71"/>
  <c r="E52" i="71"/>
  <c r="D52" i="71"/>
  <c r="AC51" i="71"/>
  <c r="AB51" i="71"/>
  <c r="AA51" i="71"/>
  <c r="Z51" i="71"/>
  <c r="Y51" i="71"/>
  <c r="X51" i="71"/>
  <c r="W51" i="71"/>
  <c r="V51" i="71"/>
  <c r="U51" i="71"/>
  <c r="T51" i="71"/>
  <c r="S51" i="71"/>
  <c r="R51" i="71"/>
  <c r="Q51" i="71"/>
  <c r="P51" i="71"/>
  <c r="O51" i="71"/>
  <c r="N51" i="71"/>
  <c r="M51" i="71"/>
  <c r="L51" i="71"/>
  <c r="K51" i="71"/>
  <c r="J51" i="71"/>
  <c r="I51" i="71"/>
  <c r="H51" i="71"/>
  <c r="G51" i="71"/>
  <c r="F51" i="71"/>
  <c r="E51" i="71"/>
  <c r="D51" i="71"/>
  <c r="AC50" i="71"/>
  <c r="AB50" i="71"/>
  <c r="AA50" i="71"/>
  <c r="Z50" i="71"/>
  <c r="Y50" i="71"/>
  <c r="X50" i="71"/>
  <c r="W50" i="71"/>
  <c r="V50" i="71"/>
  <c r="U50" i="71"/>
  <c r="T50" i="71"/>
  <c r="S50" i="71"/>
  <c r="R50" i="71"/>
  <c r="Q50" i="71"/>
  <c r="P50" i="71"/>
  <c r="O50" i="71"/>
  <c r="N50" i="71"/>
  <c r="M50" i="71"/>
  <c r="L50" i="71"/>
  <c r="K50" i="71"/>
  <c r="J50" i="71"/>
  <c r="I50" i="71"/>
  <c r="H50" i="71"/>
  <c r="G50" i="71"/>
  <c r="F50" i="71"/>
  <c r="E50" i="71"/>
  <c r="D50" i="71"/>
  <c r="AC49" i="71"/>
  <c r="AB49" i="71"/>
  <c r="AA49" i="71"/>
  <c r="Z49" i="71"/>
  <c r="Y49" i="71"/>
  <c r="X49" i="71"/>
  <c r="W49" i="71"/>
  <c r="V49" i="71"/>
  <c r="U49" i="71"/>
  <c r="T49" i="71"/>
  <c r="S49" i="71"/>
  <c r="R49" i="71"/>
  <c r="Q49" i="71"/>
  <c r="P49" i="71"/>
  <c r="O49" i="71"/>
  <c r="N49" i="71"/>
  <c r="M49" i="71"/>
  <c r="L49" i="71"/>
  <c r="K49" i="71"/>
  <c r="J49" i="71"/>
  <c r="I49" i="71"/>
  <c r="H49" i="71"/>
  <c r="G49" i="71"/>
  <c r="F49" i="71"/>
  <c r="E49" i="71"/>
  <c r="D49" i="71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J41" i="7"/>
  <c r="I41" i="7"/>
  <c r="H41" i="7"/>
  <c r="G41" i="7"/>
  <c r="F41" i="7"/>
  <c r="E41" i="7"/>
  <c r="D41" i="7"/>
  <c r="Y27" i="7"/>
  <c r="X27" i="7"/>
  <c r="W27" i="7"/>
  <c r="V27" i="7"/>
  <c r="U27" i="7"/>
  <c r="T27" i="7"/>
  <c r="S27" i="7"/>
  <c r="R27" i="7"/>
  <c r="Q27" i="7"/>
  <c r="P27" i="7"/>
  <c r="O27" i="7"/>
  <c r="N27" i="7"/>
  <c r="M27" i="7"/>
  <c r="L27" i="7"/>
  <c r="K27" i="7"/>
  <c r="J27" i="7"/>
  <c r="I27" i="7"/>
  <c r="H27" i="7"/>
  <c r="G27" i="7"/>
  <c r="F27" i="7"/>
  <c r="E27" i="7"/>
  <c r="D27" i="7"/>
  <c r="Y20" i="7"/>
  <c r="X20" i="7"/>
  <c r="W20" i="7"/>
  <c r="V20" i="7"/>
  <c r="U20" i="7"/>
  <c r="T20" i="7"/>
  <c r="S20" i="7"/>
  <c r="R20" i="7"/>
  <c r="Q20" i="7"/>
  <c r="P20" i="7"/>
  <c r="O20" i="7"/>
  <c r="N20" i="7"/>
  <c r="M20" i="7"/>
  <c r="L20" i="7"/>
  <c r="K20" i="7"/>
  <c r="J20" i="7"/>
  <c r="I20" i="7"/>
  <c r="H20" i="7"/>
  <c r="G20" i="7"/>
  <c r="F20" i="7"/>
  <c r="E20" i="7"/>
  <c r="D20" i="7"/>
  <c r="Y9" i="7"/>
  <c r="Y19" i="7" s="1"/>
  <c r="Y26" i="7" s="1"/>
  <c r="X9" i="7"/>
  <c r="X19" i="7" s="1"/>
  <c r="X26" i="7" s="1"/>
  <c r="W9" i="7"/>
  <c r="W19" i="7" s="1"/>
  <c r="W26" i="7" s="1"/>
  <c r="V9" i="7"/>
  <c r="V19" i="7" s="1"/>
  <c r="V26" i="7" s="1"/>
  <c r="U9" i="7"/>
  <c r="U19" i="7" s="1"/>
  <c r="U26" i="7" s="1"/>
  <c r="T9" i="7"/>
  <c r="T19" i="7" s="1"/>
  <c r="T26" i="7" s="1"/>
  <c r="S9" i="7"/>
  <c r="S19" i="7" s="1"/>
  <c r="S26" i="7" s="1"/>
  <c r="R9" i="7"/>
  <c r="R19" i="7" s="1"/>
  <c r="R26" i="7" s="1"/>
  <c r="Q9" i="7"/>
  <c r="Q19" i="7" s="1"/>
  <c r="Q26" i="7" s="1"/>
  <c r="P9" i="7"/>
  <c r="P19" i="7" s="1"/>
  <c r="P26" i="7" s="1"/>
  <c r="O9" i="7"/>
  <c r="O19" i="7" s="1"/>
  <c r="O26" i="7" s="1"/>
  <c r="N9" i="7"/>
  <c r="N19" i="7" s="1"/>
  <c r="N26" i="7" s="1"/>
  <c r="M9" i="7"/>
  <c r="M19" i="7" s="1"/>
  <c r="M26" i="7" s="1"/>
  <c r="L9" i="7"/>
  <c r="L19" i="7" s="1"/>
  <c r="L26" i="7" s="1"/>
  <c r="K9" i="7"/>
  <c r="K19" i="7" s="1"/>
  <c r="K26" i="7" s="1"/>
  <c r="J9" i="7"/>
  <c r="J19" i="7" s="1"/>
  <c r="J26" i="7" s="1"/>
  <c r="I9" i="7"/>
  <c r="I19" i="7" s="1"/>
  <c r="I26" i="7" s="1"/>
  <c r="H9" i="7"/>
  <c r="H19" i="7" s="1"/>
  <c r="H26" i="7" s="1"/>
  <c r="G9" i="7"/>
  <c r="G19" i="7" s="1"/>
  <c r="G26" i="7" s="1"/>
  <c r="F9" i="7"/>
  <c r="F19" i="7" s="1"/>
  <c r="F26" i="7" s="1"/>
  <c r="E9" i="7"/>
  <c r="E19" i="7" s="1"/>
  <c r="E26" i="7" s="1"/>
  <c r="D9" i="7"/>
  <c r="D19" i="7" s="1"/>
  <c r="D26" i="7" s="1"/>
  <c r="BA35" i="8"/>
  <c r="AZ35" i="8"/>
  <c r="AY35" i="8"/>
  <c r="AX35" i="8"/>
  <c r="AW35" i="8"/>
  <c r="AV35" i="8"/>
  <c r="AU35" i="8"/>
  <c r="AT35" i="8"/>
  <c r="AS35" i="8"/>
  <c r="AR35" i="8"/>
  <c r="AQ35" i="8"/>
  <c r="AP35" i="8"/>
  <c r="AO35" i="8"/>
  <c r="AN35" i="8"/>
  <c r="AM35" i="8"/>
  <c r="AL35" i="8"/>
  <c r="AK35" i="8"/>
  <c r="AJ35" i="8"/>
  <c r="AI35" i="8"/>
  <c r="AH35" i="8"/>
  <c r="AC35" i="8"/>
  <c r="AB35" i="8"/>
  <c r="AA35" i="8"/>
  <c r="Z35" i="8"/>
  <c r="Y35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BA30" i="8"/>
  <c r="BA32" i="8" s="1"/>
  <c r="AZ30" i="8"/>
  <c r="AZ32" i="8" s="1"/>
  <c r="AW30" i="8"/>
  <c r="AW32" i="8" s="1"/>
  <c r="AC23" i="8"/>
  <c r="AC22" i="8" s="1"/>
  <c r="AC30" i="8" s="1"/>
  <c r="AC32" i="8" s="1"/>
  <c r="BA22" i="8"/>
  <c r="AZ22" i="8"/>
  <c r="AY22" i="8"/>
  <c r="AY30" i="8" s="1"/>
  <c r="AY32" i="8" s="1"/>
  <c r="AX22" i="8"/>
  <c r="AX30" i="8" s="1"/>
  <c r="AX32" i="8" s="1"/>
  <c r="AW22" i="8"/>
  <c r="AV22" i="8"/>
  <c r="AV30" i="8" s="1"/>
  <c r="AV32" i="8" s="1"/>
  <c r="AU22" i="8"/>
  <c r="AU30" i="8" s="1"/>
  <c r="AU32" i="8" s="1"/>
  <c r="AT22" i="8"/>
  <c r="AT30" i="8" s="1"/>
  <c r="AT32" i="8" s="1"/>
  <c r="AS22" i="8"/>
  <c r="AS30" i="8" s="1"/>
  <c r="AS32" i="8" s="1"/>
  <c r="AS38" i="8" s="1"/>
  <c r="AS43" i="8" s="1"/>
  <c r="AR22" i="8"/>
  <c r="AR30" i="8" s="1"/>
  <c r="AR32" i="8" s="1"/>
  <c r="AQ22" i="8"/>
  <c r="AQ30" i="8" s="1"/>
  <c r="AQ32" i="8" s="1"/>
  <c r="AP22" i="8"/>
  <c r="AP30" i="8" s="1"/>
  <c r="AP32" i="8" s="1"/>
  <c r="AO22" i="8"/>
  <c r="AO30" i="8" s="1"/>
  <c r="AO32" i="8" s="1"/>
  <c r="AN22" i="8"/>
  <c r="AN30" i="8" s="1"/>
  <c r="AN32" i="8" s="1"/>
  <c r="AM22" i="8"/>
  <c r="AM30" i="8" s="1"/>
  <c r="AM32" i="8" s="1"/>
  <c r="AL22" i="8"/>
  <c r="AL30" i="8" s="1"/>
  <c r="AL32" i="8" s="1"/>
  <c r="AK22" i="8"/>
  <c r="AK30" i="8" s="1"/>
  <c r="AK32" i="8" s="1"/>
  <c r="AJ22" i="8"/>
  <c r="AJ30" i="8" s="1"/>
  <c r="AJ32" i="8" s="1"/>
  <c r="AI22" i="8"/>
  <c r="AI30" i="8" s="1"/>
  <c r="AI32" i="8" s="1"/>
  <c r="AH22" i="8"/>
  <c r="AH30" i="8" s="1"/>
  <c r="AH32" i="8" s="1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AC21" i="8"/>
  <c r="AB16" i="8"/>
  <c r="AA16" i="8"/>
  <c r="Z16" i="8"/>
  <c r="Y16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AB9" i="8"/>
  <c r="AB15" i="8" s="1"/>
  <c r="AA9" i="8"/>
  <c r="AA15" i="8" s="1"/>
  <c r="Z9" i="8"/>
  <c r="Z15" i="8" s="1"/>
  <c r="Y9" i="8"/>
  <c r="Y15" i="8" s="1"/>
  <c r="X9" i="8"/>
  <c r="X15" i="8" s="1"/>
  <c r="W9" i="8"/>
  <c r="W15" i="8" s="1"/>
  <c r="V9" i="8"/>
  <c r="V15" i="8" s="1"/>
  <c r="U9" i="8"/>
  <c r="U15" i="8" s="1"/>
  <c r="T9" i="8"/>
  <c r="T15" i="8" s="1"/>
  <c r="S9" i="8"/>
  <c r="S15" i="8" s="1"/>
  <c r="R9" i="8"/>
  <c r="R15" i="8" s="1"/>
  <c r="Q9" i="8"/>
  <c r="Q15" i="8" s="1"/>
  <c r="P9" i="8"/>
  <c r="P15" i="8" s="1"/>
  <c r="O9" i="8"/>
  <c r="O15" i="8" s="1"/>
  <c r="N9" i="8"/>
  <c r="N15" i="8" s="1"/>
  <c r="M9" i="8"/>
  <c r="M15" i="8" s="1"/>
  <c r="L9" i="8"/>
  <c r="L15" i="8" s="1"/>
  <c r="K9" i="8"/>
  <c r="K15" i="8" s="1"/>
  <c r="J9" i="8"/>
  <c r="J15" i="8" s="1"/>
  <c r="I9" i="8"/>
  <c r="I15" i="8" s="1"/>
  <c r="H9" i="8"/>
  <c r="H15" i="8" s="1"/>
  <c r="G9" i="8"/>
  <c r="G15" i="8" s="1"/>
  <c r="F9" i="8"/>
  <c r="F15" i="8" s="1"/>
  <c r="E9" i="8"/>
  <c r="E15" i="8" s="1"/>
  <c r="D9" i="8"/>
  <c r="D15" i="8" s="1"/>
  <c r="AI36" i="47"/>
  <c r="AF36" i="47"/>
  <c r="AE36" i="47"/>
  <c r="AD36" i="47"/>
  <c r="AC36" i="47"/>
  <c r="BA28" i="47"/>
  <c r="AZ28" i="47"/>
  <c r="AY28" i="47"/>
  <c r="AX28" i="47"/>
  <c r="AW28" i="47"/>
  <c r="AV28" i="47"/>
  <c r="AU28" i="47"/>
  <c r="AT28" i="47"/>
  <c r="AS28" i="47"/>
  <c r="AR28" i="47"/>
  <c r="AQ28" i="47"/>
  <c r="AP28" i="47"/>
  <c r="AO28" i="47"/>
  <c r="AN28" i="47"/>
  <c r="AM28" i="47"/>
  <c r="AL28" i="47"/>
  <c r="AK28" i="47"/>
  <c r="AJ28" i="47"/>
  <c r="AI28" i="47"/>
  <c r="AH28" i="47"/>
  <c r="AG28" i="47"/>
  <c r="AF28" i="47"/>
  <c r="AE28" i="47"/>
  <c r="AD28" i="47"/>
  <c r="AC28" i="47"/>
  <c r="AB28" i="47"/>
  <c r="AA28" i="47"/>
  <c r="Z28" i="47"/>
  <c r="Y28" i="47"/>
  <c r="X28" i="47"/>
  <c r="W28" i="47"/>
  <c r="V28" i="47"/>
  <c r="U28" i="47"/>
  <c r="T28" i="47"/>
  <c r="S28" i="47"/>
  <c r="R28" i="47"/>
  <c r="Q28" i="47"/>
  <c r="P28" i="47"/>
  <c r="O28" i="47"/>
  <c r="N28" i="47"/>
  <c r="M28" i="47"/>
  <c r="L28" i="47"/>
  <c r="K28" i="47"/>
  <c r="J28" i="47"/>
  <c r="I28" i="47"/>
  <c r="H28" i="47"/>
  <c r="AI27" i="47"/>
  <c r="AG27" i="47"/>
  <c r="AF27" i="47"/>
  <c r="AE27" i="47"/>
  <c r="AD27" i="47"/>
  <c r="AC27" i="47"/>
  <c r="Y21" i="47"/>
  <c r="Y16" i="47" s="1"/>
  <c r="X21" i="47"/>
  <c r="X16" i="47" s="1"/>
  <c r="W21" i="47"/>
  <c r="W16" i="47" s="1"/>
  <c r="BA16" i="47"/>
  <c r="AZ16" i="47"/>
  <c r="AY16" i="47"/>
  <c r="AX16" i="47"/>
  <c r="AW16" i="47"/>
  <c r="AV16" i="47"/>
  <c r="AU16" i="47"/>
  <c r="AT16" i="47"/>
  <c r="AS16" i="47"/>
  <c r="AR16" i="47"/>
  <c r="AQ16" i="47"/>
  <c r="AP16" i="47"/>
  <c r="AO16" i="47"/>
  <c r="AN16" i="47"/>
  <c r="AN24" i="47" s="1"/>
  <c r="AN27" i="47" s="1"/>
  <c r="AM16" i="47"/>
  <c r="AL16" i="47"/>
  <c r="AK16" i="47"/>
  <c r="AJ16" i="47"/>
  <c r="AH16" i="47"/>
  <c r="AG16" i="47"/>
  <c r="AB16" i="47"/>
  <c r="AA16" i="47"/>
  <c r="Z16" i="47"/>
  <c r="V16" i="47"/>
  <c r="U16" i="47"/>
  <c r="T16" i="47"/>
  <c r="S16" i="47"/>
  <c r="R16" i="47"/>
  <c r="Q16" i="47"/>
  <c r="P16" i="47"/>
  <c r="O16" i="47"/>
  <c r="N16" i="47"/>
  <c r="M16" i="47"/>
  <c r="L16" i="47"/>
  <c r="K16" i="47"/>
  <c r="J16" i="47"/>
  <c r="I16" i="47"/>
  <c r="H16" i="47"/>
  <c r="AB15" i="47"/>
  <c r="AB14" i="47" s="1"/>
  <c r="BA14" i="47"/>
  <c r="AZ14" i="47"/>
  <c r="AY14" i="47"/>
  <c r="AX14" i="47"/>
  <c r="AW14" i="47"/>
  <c r="AV14" i="47"/>
  <c r="AU14" i="47"/>
  <c r="AT14" i="47"/>
  <c r="AS14" i="47"/>
  <c r="AR14" i="47"/>
  <c r="AQ14" i="47"/>
  <c r="AP14" i="47"/>
  <c r="AO14" i="47"/>
  <c r="AM14" i="47"/>
  <c r="AL14" i="47"/>
  <c r="AJ14" i="47"/>
  <c r="AH14" i="47"/>
  <c r="AG14" i="47"/>
  <c r="AF14" i="47"/>
  <c r="AE14" i="47"/>
  <c r="AD14" i="47"/>
  <c r="AC14" i="47"/>
  <c r="AA14" i="47"/>
  <c r="Z14" i="47"/>
  <c r="Y14" i="47"/>
  <c r="X14" i="47"/>
  <c r="W14" i="47"/>
  <c r="V14" i="47"/>
  <c r="U14" i="47"/>
  <c r="T14" i="47"/>
  <c r="S14" i="47"/>
  <c r="R14" i="47"/>
  <c r="Q14" i="47"/>
  <c r="P14" i="47"/>
  <c r="O14" i="47"/>
  <c r="N14" i="47"/>
  <c r="M14" i="47"/>
  <c r="L14" i="47"/>
  <c r="K14" i="47"/>
  <c r="J14" i="47"/>
  <c r="I14" i="47"/>
  <c r="H14" i="47"/>
  <c r="BA9" i="47"/>
  <c r="BA13" i="47" s="1"/>
  <c r="AZ9" i="47"/>
  <c r="AZ13" i="47" s="1"/>
  <c r="AY9" i="47"/>
  <c r="AY13" i="47" s="1"/>
  <c r="AX9" i="47"/>
  <c r="AX13" i="47" s="1"/>
  <c r="AW9" i="47"/>
  <c r="AW13" i="47" s="1"/>
  <c r="AV9" i="47"/>
  <c r="AV13" i="47" s="1"/>
  <c r="AU9" i="47"/>
  <c r="AU13" i="47" s="1"/>
  <c r="AT9" i="47"/>
  <c r="AT13" i="47" s="1"/>
  <c r="AS9" i="47"/>
  <c r="AS13" i="47" s="1"/>
  <c r="AR9" i="47"/>
  <c r="AR13" i="47" s="1"/>
  <c r="AQ9" i="47"/>
  <c r="AQ13" i="47" s="1"/>
  <c r="AP9" i="47"/>
  <c r="AP13" i="47" s="1"/>
  <c r="AO9" i="47"/>
  <c r="AO13" i="47" s="1"/>
  <c r="AN9" i="47"/>
  <c r="AM9" i="47"/>
  <c r="AL9" i="47"/>
  <c r="AL13" i="47" s="1"/>
  <c r="AK9" i="47"/>
  <c r="AK13" i="47" s="1"/>
  <c r="AJ9" i="47"/>
  <c r="AI9" i="47"/>
  <c r="AH9" i="47"/>
  <c r="AH13" i="47" s="1"/>
  <c r="AG9" i="47"/>
  <c r="AG13" i="47" s="1"/>
  <c r="AF9" i="47"/>
  <c r="AF13" i="47" s="1"/>
  <c r="AE9" i="47"/>
  <c r="AE13" i="47" s="1"/>
  <c r="AD9" i="47"/>
  <c r="AD13" i="47" s="1"/>
  <c r="AC9" i="47"/>
  <c r="AC13" i="47" s="1"/>
  <c r="AB9" i="47"/>
  <c r="AB13" i="47" s="1"/>
  <c r="AA9" i="47"/>
  <c r="AA13" i="47" s="1"/>
  <c r="Z9" i="47"/>
  <c r="Z13" i="47" s="1"/>
  <c r="Y9" i="47"/>
  <c r="Y13" i="47" s="1"/>
  <c r="X9" i="47"/>
  <c r="X13" i="47" s="1"/>
  <c r="W9" i="47"/>
  <c r="W13" i="47" s="1"/>
  <c r="V9" i="47"/>
  <c r="V13" i="47" s="1"/>
  <c r="U9" i="47"/>
  <c r="U13" i="47" s="1"/>
  <c r="T9" i="47"/>
  <c r="T13" i="47" s="1"/>
  <c r="S9" i="47"/>
  <c r="S13" i="47" s="1"/>
  <c r="R9" i="47"/>
  <c r="R13" i="47" s="1"/>
  <c r="Q9" i="47"/>
  <c r="Q13" i="47" s="1"/>
  <c r="P9" i="47"/>
  <c r="P13" i="47" s="1"/>
  <c r="O9" i="47"/>
  <c r="O13" i="47" s="1"/>
  <c r="N9" i="47"/>
  <c r="N13" i="47" s="1"/>
  <c r="M9" i="47"/>
  <c r="M13" i="47" s="1"/>
  <c r="L9" i="47"/>
  <c r="L13" i="47" s="1"/>
  <c r="K9" i="47"/>
  <c r="K13" i="47" s="1"/>
  <c r="J9" i="47"/>
  <c r="J13" i="47" s="1"/>
  <c r="I9" i="47"/>
  <c r="I13" i="47" s="1"/>
  <c r="H9" i="47"/>
  <c r="H13" i="47" s="1"/>
  <c r="P29" i="45"/>
  <c r="O29" i="45"/>
  <c r="N29" i="45"/>
  <c r="M29" i="45"/>
  <c r="L29" i="45"/>
  <c r="K29" i="45"/>
  <c r="J29" i="45"/>
  <c r="I29" i="45"/>
  <c r="H29" i="45"/>
  <c r="G29" i="45"/>
  <c r="F29" i="45"/>
  <c r="E29" i="45"/>
  <c r="D29" i="45"/>
  <c r="P17" i="45"/>
  <c r="O17" i="45"/>
  <c r="N17" i="45"/>
  <c r="M17" i="45"/>
  <c r="L17" i="45"/>
  <c r="K17" i="45"/>
  <c r="J17" i="45"/>
  <c r="I17" i="45"/>
  <c r="H17" i="45"/>
  <c r="G17" i="45"/>
  <c r="F17" i="45"/>
  <c r="E17" i="45"/>
  <c r="D17" i="45"/>
  <c r="G15" i="45"/>
  <c r="P9" i="45"/>
  <c r="P14" i="45" s="1"/>
  <c r="P16" i="45" s="1"/>
  <c r="O9" i="45"/>
  <c r="O14" i="45" s="1"/>
  <c r="O16" i="45" s="1"/>
  <c r="N9" i="45"/>
  <c r="N14" i="45" s="1"/>
  <c r="N16" i="45" s="1"/>
  <c r="M9" i="45"/>
  <c r="M14" i="45" s="1"/>
  <c r="M16" i="45" s="1"/>
  <c r="L9" i="45"/>
  <c r="L14" i="45" s="1"/>
  <c r="L16" i="45" s="1"/>
  <c r="K9" i="45"/>
  <c r="K14" i="45" s="1"/>
  <c r="K16" i="45" s="1"/>
  <c r="J9" i="45"/>
  <c r="J14" i="45" s="1"/>
  <c r="J16" i="45" s="1"/>
  <c r="I9" i="45"/>
  <c r="I14" i="45" s="1"/>
  <c r="I16" i="45" s="1"/>
  <c r="H9" i="45"/>
  <c r="H14" i="45" s="1"/>
  <c r="H16" i="45" s="1"/>
  <c r="G9" i="45"/>
  <c r="G14" i="45" s="1"/>
  <c r="F9" i="45"/>
  <c r="F14" i="45" s="1"/>
  <c r="F16" i="45" s="1"/>
  <c r="E9" i="45"/>
  <c r="E14" i="45" s="1"/>
  <c r="E16" i="45" s="1"/>
  <c r="D9" i="45"/>
  <c r="D14" i="45" s="1"/>
  <c r="D16" i="45" s="1"/>
  <c r="I33" i="77"/>
  <c r="H33" i="77"/>
  <c r="E33" i="77"/>
  <c r="D33" i="77"/>
  <c r="D27" i="77"/>
  <c r="D23" i="77" s="1"/>
  <c r="I23" i="77"/>
  <c r="H23" i="77"/>
  <c r="E23" i="77"/>
  <c r="I15" i="77"/>
  <c r="D15" i="77"/>
  <c r="H10" i="77"/>
  <c r="H14" i="77" s="1"/>
  <c r="D10" i="77"/>
  <c r="D14" i="77" s="1"/>
  <c r="I10" i="77"/>
  <c r="I14" i="77" s="1"/>
  <c r="E10" i="77"/>
  <c r="E14" i="77" s="1"/>
  <c r="V33" i="42"/>
  <c r="U33" i="42"/>
  <c r="T33" i="42"/>
  <c r="S33" i="42"/>
  <c r="R33" i="42"/>
  <c r="Q33" i="42"/>
  <c r="P33" i="42"/>
  <c r="O33" i="42"/>
  <c r="N33" i="42"/>
  <c r="M33" i="42"/>
  <c r="L33" i="42"/>
  <c r="K33" i="42"/>
  <c r="J33" i="42"/>
  <c r="I33" i="42"/>
  <c r="H33" i="42"/>
  <c r="G33" i="42"/>
  <c r="F33" i="42"/>
  <c r="E33" i="42"/>
  <c r="D33" i="42"/>
  <c r="U31" i="42"/>
  <c r="S31" i="42"/>
  <c r="R31" i="42"/>
  <c r="Q31" i="42"/>
  <c r="M31" i="42"/>
  <c r="S27" i="42"/>
  <c r="S23" i="42" s="1"/>
  <c r="R27" i="42"/>
  <c r="R23" i="42" s="1"/>
  <c r="Q27" i="42"/>
  <c r="M27" i="42"/>
  <c r="M23" i="42" s="1"/>
  <c r="T26" i="42"/>
  <c r="T25" i="42"/>
  <c r="V23" i="42"/>
  <c r="P23" i="42"/>
  <c r="O23" i="42"/>
  <c r="N23" i="42"/>
  <c r="L23" i="42"/>
  <c r="K23" i="42"/>
  <c r="J23" i="42"/>
  <c r="I23" i="42"/>
  <c r="H23" i="42"/>
  <c r="G23" i="42"/>
  <c r="F23" i="42"/>
  <c r="E23" i="42"/>
  <c r="D23" i="42"/>
  <c r="S22" i="42"/>
  <c r="S15" i="42" s="1"/>
  <c r="R22" i="42"/>
  <c r="R15" i="42" s="1"/>
  <c r="Q22" i="42"/>
  <c r="M22" i="42"/>
  <c r="M15" i="42" s="1"/>
  <c r="T21" i="42"/>
  <c r="T20" i="42"/>
  <c r="T19" i="42"/>
  <c r="T18" i="42"/>
  <c r="T17" i="42"/>
  <c r="T16" i="42"/>
  <c r="V15" i="42"/>
  <c r="P15" i="42"/>
  <c r="O15" i="42"/>
  <c r="N15" i="42"/>
  <c r="L15" i="42"/>
  <c r="K15" i="42"/>
  <c r="J15" i="42"/>
  <c r="I15" i="42"/>
  <c r="H15" i="42"/>
  <c r="G15" i="42"/>
  <c r="F15" i="42"/>
  <c r="E15" i="42"/>
  <c r="D15" i="42"/>
  <c r="T14" i="42"/>
  <c r="T12" i="42"/>
  <c r="V10" i="42"/>
  <c r="V14" i="42" s="1"/>
  <c r="U10" i="42"/>
  <c r="U14" i="42" s="1"/>
  <c r="S10" i="42"/>
  <c r="S14" i="42" s="1"/>
  <c r="R10" i="42"/>
  <c r="R14" i="42" s="1"/>
  <c r="Q10" i="42"/>
  <c r="Q14" i="42" s="1"/>
  <c r="P10" i="42"/>
  <c r="P14" i="42" s="1"/>
  <c r="O10" i="42"/>
  <c r="O14" i="42" s="1"/>
  <c r="N10" i="42"/>
  <c r="N14" i="42" s="1"/>
  <c r="M10" i="42"/>
  <c r="M14" i="42" s="1"/>
  <c r="L10" i="42"/>
  <c r="L14" i="42" s="1"/>
  <c r="K10" i="42"/>
  <c r="K14" i="42" s="1"/>
  <c r="J10" i="42"/>
  <c r="J14" i="42" s="1"/>
  <c r="I10" i="42"/>
  <c r="I14" i="42" s="1"/>
  <c r="H10" i="42"/>
  <c r="H14" i="42" s="1"/>
  <c r="G10" i="42"/>
  <c r="G14" i="42" s="1"/>
  <c r="F10" i="42"/>
  <c r="F14" i="42" s="1"/>
  <c r="E10" i="42"/>
  <c r="E14" i="42" s="1"/>
  <c r="D10" i="42"/>
  <c r="D14" i="42" s="1"/>
  <c r="Y25" i="38"/>
  <c r="X25" i="38"/>
  <c r="W25" i="38"/>
  <c r="V25" i="38"/>
  <c r="U25" i="38"/>
  <c r="T25" i="38"/>
  <c r="S25" i="38"/>
  <c r="R25" i="38"/>
  <c r="Q25" i="38"/>
  <c r="P25" i="38"/>
  <c r="O25" i="38"/>
  <c r="N25" i="38"/>
  <c r="M25" i="38"/>
  <c r="L25" i="38"/>
  <c r="K25" i="38"/>
  <c r="J25" i="38"/>
  <c r="I25" i="38"/>
  <c r="H25" i="38"/>
  <c r="G25" i="38"/>
  <c r="F25" i="38"/>
  <c r="E25" i="38"/>
  <c r="D25" i="38"/>
  <c r="Y14" i="38"/>
  <c r="X14" i="38"/>
  <c r="W14" i="38"/>
  <c r="V14" i="38"/>
  <c r="U14" i="38"/>
  <c r="T14" i="38"/>
  <c r="S14" i="38"/>
  <c r="R14" i="38"/>
  <c r="Q14" i="38"/>
  <c r="P14" i="38"/>
  <c r="O14" i="38"/>
  <c r="N14" i="38"/>
  <c r="M14" i="38"/>
  <c r="L14" i="38"/>
  <c r="K14" i="38"/>
  <c r="J14" i="38"/>
  <c r="I14" i="38"/>
  <c r="H14" i="38"/>
  <c r="G14" i="38"/>
  <c r="F14" i="38"/>
  <c r="E14" i="38"/>
  <c r="D14" i="38"/>
  <c r="Y9" i="38"/>
  <c r="Y13" i="38" s="1"/>
  <c r="X9" i="38"/>
  <c r="X13" i="38" s="1"/>
  <c r="W9" i="38"/>
  <c r="W13" i="38" s="1"/>
  <c r="V9" i="38"/>
  <c r="V13" i="38" s="1"/>
  <c r="U9" i="38"/>
  <c r="U13" i="38" s="1"/>
  <c r="T9" i="38"/>
  <c r="T13" i="38" s="1"/>
  <c r="S9" i="38"/>
  <c r="S13" i="38" s="1"/>
  <c r="R9" i="38"/>
  <c r="R13" i="38" s="1"/>
  <c r="Q9" i="38"/>
  <c r="Q13" i="38" s="1"/>
  <c r="P9" i="38"/>
  <c r="P13" i="38" s="1"/>
  <c r="O9" i="38"/>
  <c r="O13" i="38" s="1"/>
  <c r="N9" i="38"/>
  <c r="N13" i="38" s="1"/>
  <c r="M9" i="38"/>
  <c r="M13" i="38" s="1"/>
  <c r="L9" i="38"/>
  <c r="L13" i="38" s="1"/>
  <c r="K9" i="38"/>
  <c r="K13" i="38" s="1"/>
  <c r="J9" i="38"/>
  <c r="J13" i="38" s="1"/>
  <c r="I9" i="38"/>
  <c r="I13" i="38" s="1"/>
  <c r="H9" i="38"/>
  <c r="H13" i="38" s="1"/>
  <c r="G9" i="38"/>
  <c r="G13" i="38" s="1"/>
  <c r="F9" i="38"/>
  <c r="F13" i="38" s="1"/>
  <c r="E9" i="38"/>
  <c r="E13" i="38" s="1"/>
  <c r="D9" i="38"/>
  <c r="D13" i="38" s="1"/>
  <c r="O34" i="37"/>
  <c r="O33" i="37" s="1"/>
  <c r="AK33" i="37"/>
  <c r="AJ33" i="37"/>
  <c r="AI33" i="37"/>
  <c r="AH33" i="37"/>
  <c r="AG33" i="37"/>
  <c r="AF33" i="37"/>
  <c r="AE33" i="37"/>
  <c r="AD33" i="37"/>
  <c r="AC33" i="37"/>
  <c r="AB33" i="37"/>
  <c r="AA33" i="37"/>
  <c r="Z33" i="37"/>
  <c r="Y33" i="37"/>
  <c r="X33" i="37"/>
  <c r="W33" i="37"/>
  <c r="V33" i="37"/>
  <c r="U33" i="37"/>
  <c r="T33" i="37"/>
  <c r="S33" i="37"/>
  <c r="R33" i="37"/>
  <c r="Q33" i="37"/>
  <c r="P33" i="37"/>
  <c r="N33" i="37"/>
  <c r="M33" i="37"/>
  <c r="L33" i="37"/>
  <c r="K33" i="37"/>
  <c r="J33" i="37"/>
  <c r="I33" i="37"/>
  <c r="H33" i="37"/>
  <c r="G33" i="37"/>
  <c r="F33" i="37"/>
  <c r="E33" i="37"/>
  <c r="D33" i="37"/>
  <c r="H25" i="37"/>
  <c r="H21" i="37" s="1"/>
  <c r="AK21" i="37"/>
  <c r="AJ21" i="37"/>
  <c r="AI21" i="37"/>
  <c r="AH21" i="37"/>
  <c r="AG21" i="37"/>
  <c r="AF21" i="37"/>
  <c r="AE21" i="37"/>
  <c r="AD21" i="37"/>
  <c r="AC21" i="37"/>
  <c r="AB21" i="37"/>
  <c r="AA21" i="37"/>
  <c r="Z21" i="37"/>
  <c r="Y21" i="37"/>
  <c r="X21" i="37"/>
  <c r="W21" i="37"/>
  <c r="V21" i="37"/>
  <c r="U21" i="37"/>
  <c r="T21" i="37"/>
  <c r="S21" i="37"/>
  <c r="R21" i="37"/>
  <c r="Q21" i="37"/>
  <c r="P21" i="37"/>
  <c r="O21" i="37"/>
  <c r="N21" i="37"/>
  <c r="M21" i="37"/>
  <c r="L21" i="37"/>
  <c r="K21" i="37"/>
  <c r="J21" i="37"/>
  <c r="I21" i="37"/>
  <c r="G21" i="37"/>
  <c r="F21" i="37"/>
  <c r="E21" i="37"/>
  <c r="D21" i="37"/>
  <c r="AK9" i="37"/>
  <c r="AK19" i="37" s="1"/>
  <c r="AJ9" i="37"/>
  <c r="AJ19" i="37" s="1"/>
  <c r="AI9" i="37"/>
  <c r="AI19" i="37" s="1"/>
  <c r="AH9" i="37"/>
  <c r="AH19" i="37" s="1"/>
  <c r="AG9" i="37"/>
  <c r="AG19" i="37" s="1"/>
  <c r="AF9" i="37"/>
  <c r="AF19" i="37" s="1"/>
  <c r="AE9" i="37"/>
  <c r="AE19" i="37" s="1"/>
  <c r="AD9" i="37"/>
  <c r="AD19" i="37" s="1"/>
  <c r="AC9" i="37"/>
  <c r="AC19" i="37" s="1"/>
  <c r="AB9" i="37"/>
  <c r="AB19" i="37" s="1"/>
  <c r="AA9" i="37"/>
  <c r="AA19" i="37" s="1"/>
  <c r="Z9" i="37"/>
  <c r="Z19" i="37" s="1"/>
  <c r="Y9" i="37"/>
  <c r="Y19" i="37" s="1"/>
  <c r="X9" i="37"/>
  <c r="X19" i="37" s="1"/>
  <c r="W9" i="37"/>
  <c r="W19" i="37" s="1"/>
  <c r="V9" i="37"/>
  <c r="V19" i="37" s="1"/>
  <c r="U9" i="37"/>
  <c r="U19" i="37" s="1"/>
  <c r="T9" i="37"/>
  <c r="T19" i="37" s="1"/>
  <c r="S9" i="37"/>
  <c r="S19" i="37" s="1"/>
  <c r="R9" i="37"/>
  <c r="R19" i="37" s="1"/>
  <c r="Q9" i="37"/>
  <c r="Q19" i="37" s="1"/>
  <c r="P9" i="37"/>
  <c r="P19" i="37" s="1"/>
  <c r="O9" i="37"/>
  <c r="O19" i="37" s="1"/>
  <c r="N9" i="37"/>
  <c r="N19" i="37" s="1"/>
  <c r="M9" i="37"/>
  <c r="M19" i="37" s="1"/>
  <c r="L9" i="37"/>
  <c r="L19" i="37" s="1"/>
  <c r="K9" i="37"/>
  <c r="K19" i="37" s="1"/>
  <c r="J9" i="37"/>
  <c r="J19" i="37" s="1"/>
  <c r="I9" i="37"/>
  <c r="I19" i="37" s="1"/>
  <c r="H9" i="37"/>
  <c r="H19" i="37" s="1"/>
  <c r="G9" i="37"/>
  <c r="G19" i="37" s="1"/>
  <c r="F9" i="37"/>
  <c r="F19" i="37" s="1"/>
  <c r="E9" i="37"/>
  <c r="E19" i="37" s="1"/>
  <c r="D9" i="37"/>
  <c r="D19" i="37" s="1"/>
  <c r="AE25" i="36"/>
  <c r="AD25" i="36"/>
  <c r="AC25" i="36"/>
  <c r="AB25" i="36"/>
  <c r="AA25" i="36"/>
  <c r="Z25" i="36"/>
  <c r="Y25" i="36"/>
  <c r="X25" i="36"/>
  <c r="W25" i="36"/>
  <c r="V25" i="36"/>
  <c r="U25" i="36"/>
  <c r="T25" i="36"/>
  <c r="S25" i="36"/>
  <c r="R25" i="36"/>
  <c r="Q25" i="36"/>
  <c r="P25" i="36"/>
  <c r="O25" i="36"/>
  <c r="N25" i="36"/>
  <c r="M25" i="36"/>
  <c r="L25" i="36"/>
  <c r="K25" i="36"/>
  <c r="J25" i="36"/>
  <c r="I25" i="36"/>
  <c r="H25" i="36"/>
  <c r="G25" i="36"/>
  <c r="F25" i="36"/>
  <c r="E25" i="36"/>
  <c r="D25" i="36"/>
  <c r="C25" i="36"/>
  <c r="O19" i="36"/>
  <c r="O15" i="36" s="1"/>
  <c r="AE15" i="36"/>
  <c r="AD15" i="36"/>
  <c r="AC15" i="36"/>
  <c r="AB15" i="36"/>
  <c r="AA15" i="36"/>
  <c r="Z15" i="36"/>
  <c r="Y15" i="36"/>
  <c r="X15" i="36"/>
  <c r="W15" i="36"/>
  <c r="V15" i="36"/>
  <c r="U15" i="36"/>
  <c r="T15" i="36"/>
  <c r="S15" i="36"/>
  <c r="R15" i="36"/>
  <c r="Q15" i="36"/>
  <c r="P15" i="36"/>
  <c r="N15" i="36"/>
  <c r="M15" i="36"/>
  <c r="L15" i="36"/>
  <c r="K15" i="36"/>
  <c r="J15" i="36"/>
  <c r="I15" i="36"/>
  <c r="H15" i="36"/>
  <c r="G15" i="36"/>
  <c r="F15" i="36"/>
  <c r="E15" i="36"/>
  <c r="D15" i="36"/>
  <c r="C15" i="36"/>
  <c r="AE9" i="36"/>
  <c r="AE14" i="36" s="1"/>
  <c r="AD9" i="36"/>
  <c r="AD14" i="36" s="1"/>
  <c r="AC9" i="36"/>
  <c r="AC14" i="36" s="1"/>
  <c r="AB9" i="36"/>
  <c r="AB14" i="36" s="1"/>
  <c r="AA9" i="36"/>
  <c r="AA14" i="36" s="1"/>
  <c r="Z9" i="36"/>
  <c r="Z14" i="36" s="1"/>
  <c r="Y9" i="36"/>
  <c r="Y14" i="36" s="1"/>
  <c r="X9" i="36"/>
  <c r="X14" i="36" s="1"/>
  <c r="W9" i="36"/>
  <c r="W14" i="36" s="1"/>
  <c r="V9" i="36"/>
  <c r="V14" i="36" s="1"/>
  <c r="U9" i="36"/>
  <c r="U14" i="36" s="1"/>
  <c r="T9" i="36"/>
  <c r="T14" i="36" s="1"/>
  <c r="S9" i="36"/>
  <c r="S14" i="36" s="1"/>
  <c r="R9" i="36"/>
  <c r="R14" i="36" s="1"/>
  <c r="Q9" i="36"/>
  <c r="Q14" i="36" s="1"/>
  <c r="P9" i="36"/>
  <c r="P14" i="36" s="1"/>
  <c r="O9" i="36"/>
  <c r="O14" i="36" s="1"/>
  <c r="N9" i="36"/>
  <c r="N14" i="36" s="1"/>
  <c r="M9" i="36"/>
  <c r="M14" i="36" s="1"/>
  <c r="L9" i="36"/>
  <c r="L14" i="36" s="1"/>
  <c r="K9" i="36"/>
  <c r="K14" i="36" s="1"/>
  <c r="J9" i="36"/>
  <c r="J14" i="36" s="1"/>
  <c r="I9" i="36"/>
  <c r="I14" i="36" s="1"/>
  <c r="H9" i="36"/>
  <c r="H14" i="36" s="1"/>
  <c r="G9" i="36"/>
  <c r="G14" i="36" s="1"/>
  <c r="F9" i="36"/>
  <c r="F14" i="36" s="1"/>
  <c r="E9" i="36"/>
  <c r="E14" i="36" s="1"/>
  <c r="D9" i="36"/>
  <c r="D14" i="36" s="1"/>
  <c r="C9" i="36"/>
  <c r="C14" i="36" s="1"/>
  <c r="L35" i="35"/>
  <c r="AE31" i="35"/>
  <c r="AD31" i="35"/>
  <c r="AC31" i="35"/>
  <c r="AB31" i="35"/>
  <c r="AA31" i="35"/>
  <c r="Z31" i="35"/>
  <c r="Y31" i="35"/>
  <c r="X31" i="35"/>
  <c r="W31" i="35"/>
  <c r="V31" i="35"/>
  <c r="U31" i="35"/>
  <c r="T31" i="35"/>
  <c r="S31" i="35"/>
  <c r="R31" i="35"/>
  <c r="Q31" i="35"/>
  <c r="P31" i="35"/>
  <c r="O31" i="35"/>
  <c r="N31" i="35"/>
  <c r="M31" i="35"/>
  <c r="L31" i="35"/>
  <c r="K31" i="35"/>
  <c r="J31" i="35"/>
  <c r="I31" i="35"/>
  <c r="H31" i="35"/>
  <c r="G31" i="35"/>
  <c r="F31" i="35"/>
  <c r="E31" i="35"/>
  <c r="D31" i="35"/>
  <c r="C31" i="35"/>
  <c r="AE21" i="35"/>
  <c r="AD21" i="35"/>
  <c r="AC21" i="35"/>
  <c r="AB21" i="35"/>
  <c r="AA21" i="35"/>
  <c r="Z21" i="35"/>
  <c r="Y21" i="35"/>
  <c r="X21" i="35"/>
  <c r="W21" i="35"/>
  <c r="V21" i="35"/>
  <c r="U21" i="35"/>
  <c r="T21" i="35"/>
  <c r="S21" i="35"/>
  <c r="R21" i="35"/>
  <c r="Q21" i="35"/>
  <c r="P21" i="35"/>
  <c r="O21" i="35"/>
  <c r="N21" i="35"/>
  <c r="M21" i="35"/>
  <c r="L21" i="35"/>
  <c r="K21" i="35"/>
  <c r="J21" i="35"/>
  <c r="I21" i="35"/>
  <c r="H21" i="35"/>
  <c r="G21" i="35"/>
  <c r="F21" i="35"/>
  <c r="E21" i="35"/>
  <c r="D21" i="35"/>
  <c r="C21" i="35"/>
  <c r="O14" i="35"/>
  <c r="O9" i="35" s="1"/>
  <c r="O19" i="35" s="1"/>
  <c r="AE9" i="35"/>
  <c r="AE19" i="35" s="1"/>
  <c r="AD9" i="35"/>
  <c r="AD19" i="35" s="1"/>
  <c r="AC9" i="35"/>
  <c r="AC19" i="35" s="1"/>
  <c r="AB9" i="35"/>
  <c r="AB19" i="35" s="1"/>
  <c r="AA9" i="35"/>
  <c r="AA19" i="35" s="1"/>
  <c r="Z9" i="35"/>
  <c r="Z19" i="35" s="1"/>
  <c r="Y9" i="35"/>
  <c r="Y19" i="35" s="1"/>
  <c r="X9" i="35"/>
  <c r="X19" i="35" s="1"/>
  <c r="W9" i="35"/>
  <c r="W19" i="35" s="1"/>
  <c r="V9" i="35"/>
  <c r="V19" i="35" s="1"/>
  <c r="U9" i="35"/>
  <c r="U19" i="35" s="1"/>
  <c r="T9" i="35"/>
  <c r="T19" i="35" s="1"/>
  <c r="S9" i="35"/>
  <c r="S19" i="35" s="1"/>
  <c r="R9" i="35"/>
  <c r="R19" i="35" s="1"/>
  <c r="Q9" i="35"/>
  <c r="Q19" i="35" s="1"/>
  <c r="P9" i="35"/>
  <c r="P19" i="35" s="1"/>
  <c r="N9" i="35"/>
  <c r="N19" i="35" s="1"/>
  <c r="M9" i="35"/>
  <c r="M19" i="35" s="1"/>
  <c r="L9" i="35"/>
  <c r="L19" i="35" s="1"/>
  <c r="K9" i="35"/>
  <c r="K19" i="35" s="1"/>
  <c r="J9" i="35"/>
  <c r="J19" i="35" s="1"/>
  <c r="I9" i="35"/>
  <c r="I19" i="35" s="1"/>
  <c r="H9" i="35"/>
  <c r="H19" i="35" s="1"/>
  <c r="G9" i="35"/>
  <c r="G19" i="35" s="1"/>
  <c r="F9" i="35"/>
  <c r="F19" i="35" s="1"/>
  <c r="E9" i="35"/>
  <c r="E19" i="35" s="1"/>
  <c r="D9" i="35"/>
  <c r="D19" i="35" s="1"/>
  <c r="C9" i="35"/>
  <c r="C19" i="35" s="1"/>
  <c r="Q39" i="26"/>
  <c r="P39" i="26"/>
  <c r="O39" i="26"/>
  <c r="N39" i="26"/>
  <c r="M39" i="26"/>
  <c r="L39" i="26"/>
  <c r="K39" i="26"/>
  <c r="J39" i="26"/>
  <c r="I39" i="26"/>
  <c r="H39" i="26"/>
  <c r="G39" i="26"/>
  <c r="F39" i="26"/>
  <c r="E39" i="26"/>
  <c r="D39" i="26"/>
  <c r="N29" i="26"/>
  <c r="N25" i="26" s="1"/>
  <c r="M29" i="26"/>
  <c r="M25" i="26" s="1"/>
  <c r="L29" i="26"/>
  <c r="L25" i="26" s="1"/>
  <c r="K29" i="26"/>
  <c r="K25" i="26" s="1"/>
  <c r="J29" i="26"/>
  <c r="J25" i="26" s="1"/>
  <c r="I29" i="26"/>
  <c r="I25" i="26" s="1"/>
  <c r="H29" i="26"/>
  <c r="H25" i="26" s="1"/>
  <c r="Q25" i="26"/>
  <c r="P25" i="26"/>
  <c r="O25" i="26"/>
  <c r="G25" i="26"/>
  <c r="F25" i="26"/>
  <c r="E25" i="26"/>
  <c r="D25" i="26"/>
  <c r="Q19" i="26"/>
  <c r="P19" i="26"/>
  <c r="O19" i="26"/>
  <c r="N19" i="26"/>
  <c r="M19" i="26"/>
  <c r="L19" i="26"/>
  <c r="K19" i="26"/>
  <c r="J19" i="26"/>
  <c r="I19" i="26"/>
  <c r="H19" i="26"/>
  <c r="G19" i="26"/>
  <c r="F19" i="26"/>
  <c r="E19" i="26"/>
  <c r="D19" i="26"/>
  <c r="N16" i="26"/>
  <c r="N9" i="26" s="1"/>
  <c r="N18" i="26" s="1"/>
  <c r="M16" i="26"/>
  <c r="M9" i="26" s="1"/>
  <c r="M18" i="26" s="1"/>
  <c r="L16" i="26"/>
  <c r="L9" i="26" s="1"/>
  <c r="L18" i="26" s="1"/>
  <c r="K16" i="26"/>
  <c r="K9" i="26" s="1"/>
  <c r="K18" i="26" s="1"/>
  <c r="J16" i="26"/>
  <c r="J9" i="26" s="1"/>
  <c r="J18" i="26" s="1"/>
  <c r="I16" i="26"/>
  <c r="I9" i="26" s="1"/>
  <c r="I18" i="26" s="1"/>
  <c r="H16" i="26"/>
  <c r="H9" i="26" s="1"/>
  <c r="H18" i="26" s="1"/>
  <c r="Q9" i="26"/>
  <c r="Q18" i="26" s="1"/>
  <c r="P9" i="26"/>
  <c r="P18" i="26" s="1"/>
  <c r="O9" i="26"/>
  <c r="O18" i="26" s="1"/>
  <c r="G9" i="26"/>
  <c r="G18" i="26" s="1"/>
  <c r="F9" i="26"/>
  <c r="F18" i="26" s="1"/>
  <c r="E9" i="26"/>
  <c r="E18" i="26" s="1"/>
  <c r="D9" i="26"/>
  <c r="D18" i="26" s="1"/>
  <c r="U39" i="25"/>
  <c r="T39" i="25"/>
  <c r="S39" i="25"/>
  <c r="R39" i="25"/>
  <c r="Q39" i="25"/>
  <c r="P39" i="25"/>
  <c r="O39" i="25"/>
  <c r="N39" i="25"/>
  <c r="M39" i="25"/>
  <c r="L39" i="25"/>
  <c r="K39" i="25"/>
  <c r="J39" i="25"/>
  <c r="I39" i="25"/>
  <c r="H39" i="25"/>
  <c r="G39" i="25"/>
  <c r="E39" i="25"/>
  <c r="D39" i="25"/>
  <c r="G36" i="25"/>
  <c r="G38" i="25" s="1"/>
  <c r="R29" i="25"/>
  <c r="R25" i="25" s="1"/>
  <c r="Q29" i="25"/>
  <c r="Q25" i="25" s="1"/>
  <c r="P29" i="25"/>
  <c r="P25" i="25" s="1"/>
  <c r="O29" i="25"/>
  <c r="O25" i="25" s="1"/>
  <c r="N29" i="25"/>
  <c r="N25" i="25" s="1"/>
  <c r="M29" i="25"/>
  <c r="M25" i="25" s="1"/>
  <c r="L29" i="25"/>
  <c r="L25" i="25" s="1"/>
  <c r="U25" i="25"/>
  <c r="T25" i="25"/>
  <c r="S25" i="25"/>
  <c r="K25" i="25"/>
  <c r="J25" i="25"/>
  <c r="I25" i="25"/>
  <c r="H25" i="25"/>
  <c r="E25" i="25"/>
  <c r="D25" i="25"/>
  <c r="U19" i="25"/>
  <c r="T19" i="25"/>
  <c r="S19" i="25"/>
  <c r="R19" i="25"/>
  <c r="Q19" i="25"/>
  <c r="P19" i="25"/>
  <c r="O19" i="25"/>
  <c r="N19" i="25"/>
  <c r="M19" i="25"/>
  <c r="L19" i="25"/>
  <c r="K19" i="25"/>
  <c r="J19" i="25"/>
  <c r="I19" i="25"/>
  <c r="H19" i="25"/>
  <c r="D19" i="25"/>
  <c r="R16" i="25"/>
  <c r="R9" i="25" s="1"/>
  <c r="R18" i="25" s="1"/>
  <c r="Q16" i="25"/>
  <c r="Q9" i="25" s="1"/>
  <c r="Q18" i="25" s="1"/>
  <c r="P16" i="25"/>
  <c r="P9" i="25" s="1"/>
  <c r="P18" i="25" s="1"/>
  <c r="O16" i="25"/>
  <c r="O9" i="25" s="1"/>
  <c r="O18" i="25" s="1"/>
  <c r="N16" i="25"/>
  <c r="N9" i="25" s="1"/>
  <c r="N18" i="25" s="1"/>
  <c r="M16" i="25"/>
  <c r="M9" i="25" s="1"/>
  <c r="M18" i="25" s="1"/>
  <c r="L16" i="25"/>
  <c r="L9" i="25" s="1"/>
  <c r="L18" i="25" s="1"/>
  <c r="U9" i="25"/>
  <c r="U18" i="25" s="1"/>
  <c r="T9" i="25"/>
  <c r="T18" i="25" s="1"/>
  <c r="S9" i="25"/>
  <c r="S18" i="25" s="1"/>
  <c r="K9" i="25"/>
  <c r="K18" i="25" s="1"/>
  <c r="J9" i="25"/>
  <c r="J18" i="25" s="1"/>
  <c r="I9" i="25"/>
  <c r="I18" i="25" s="1"/>
  <c r="H9" i="25"/>
  <c r="H18" i="25" s="1"/>
  <c r="E9" i="25"/>
  <c r="E18" i="25" s="1"/>
  <c r="D9" i="25"/>
  <c r="D18" i="25" s="1"/>
  <c r="S39" i="24"/>
  <c r="R39" i="24"/>
  <c r="Q39" i="24"/>
  <c r="P39" i="24"/>
  <c r="O39" i="24"/>
  <c r="N39" i="24"/>
  <c r="M39" i="24"/>
  <c r="L39" i="24"/>
  <c r="K39" i="24"/>
  <c r="J39" i="24"/>
  <c r="I39" i="24"/>
  <c r="H39" i="24"/>
  <c r="G39" i="24"/>
  <c r="F39" i="24"/>
  <c r="E39" i="24"/>
  <c r="D39" i="24"/>
  <c r="P29" i="24"/>
  <c r="P25" i="24" s="1"/>
  <c r="O29" i="24"/>
  <c r="O25" i="24" s="1"/>
  <c r="N29" i="24"/>
  <c r="N25" i="24" s="1"/>
  <c r="M29" i="24"/>
  <c r="M25" i="24" s="1"/>
  <c r="L29" i="24"/>
  <c r="L25" i="24" s="1"/>
  <c r="K29" i="24"/>
  <c r="K25" i="24" s="1"/>
  <c r="J29" i="24"/>
  <c r="J25" i="24" s="1"/>
  <c r="S25" i="24"/>
  <c r="R25" i="24"/>
  <c r="Q25" i="24"/>
  <c r="I25" i="24"/>
  <c r="H25" i="24"/>
  <c r="G25" i="24"/>
  <c r="F25" i="24"/>
  <c r="E25" i="24"/>
  <c r="D25" i="24"/>
  <c r="S19" i="24"/>
  <c r="R19" i="24"/>
  <c r="Q19" i="24"/>
  <c r="P19" i="24"/>
  <c r="O19" i="24"/>
  <c r="N19" i="24"/>
  <c r="M19" i="24"/>
  <c r="L19" i="24"/>
  <c r="K19" i="24"/>
  <c r="J19" i="24"/>
  <c r="I19" i="24"/>
  <c r="H19" i="24"/>
  <c r="G19" i="24"/>
  <c r="F19" i="24"/>
  <c r="E19" i="24"/>
  <c r="D19" i="24"/>
  <c r="P16" i="24"/>
  <c r="P9" i="24" s="1"/>
  <c r="P18" i="24" s="1"/>
  <c r="O16" i="24"/>
  <c r="O9" i="24" s="1"/>
  <c r="O18" i="24" s="1"/>
  <c r="N16" i="24"/>
  <c r="N9" i="24" s="1"/>
  <c r="N18" i="24" s="1"/>
  <c r="M16" i="24"/>
  <c r="M9" i="24" s="1"/>
  <c r="M18" i="24" s="1"/>
  <c r="L16" i="24"/>
  <c r="L9" i="24" s="1"/>
  <c r="L18" i="24" s="1"/>
  <c r="K16" i="24"/>
  <c r="K9" i="24" s="1"/>
  <c r="K18" i="24" s="1"/>
  <c r="J16" i="24"/>
  <c r="J9" i="24" s="1"/>
  <c r="J18" i="24" s="1"/>
  <c r="S9" i="24"/>
  <c r="S18" i="24" s="1"/>
  <c r="R9" i="24"/>
  <c r="R18" i="24" s="1"/>
  <c r="Q9" i="24"/>
  <c r="Q18" i="24" s="1"/>
  <c r="I9" i="24"/>
  <c r="I18" i="24" s="1"/>
  <c r="H9" i="24"/>
  <c r="H18" i="24" s="1"/>
  <c r="G9" i="24"/>
  <c r="G18" i="24" s="1"/>
  <c r="F9" i="24"/>
  <c r="F18" i="24" s="1"/>
  <c r="E9" i="24"/>
  <c r="E18" i="24" s="1"/>
  <c r="D9" i="24"/>
  <c r="D18" i="24" s="1"/>
  <c r="AG39" i="23"/>
  <c r="AF39" i="23"/>
  <c r="AE39" i="23"/>
  <c r="AD39" i="23"/>
  <c r="AC39" i="23"/>
  <c r="AB39" i="23"/>
  <c r="AA39" i="23"/>
  <c r="Z39" i="23"/>
  <c r="Y39" i="23"/>
  <c r="X39" i="23"/>
  <c r="W39" i="23"/>
  <c r="V39" i="23"/>
  <c r="U39" i="23"/>
  <c r="AD29" i="23"/>
  <c r="AD25" i="23" s="1"/>
  <c r="AC29" i="23"/>
  <c r="AC25" i="23" s="1"/>
  <c r="AB29" i="23"/>
  <c r="AB25" i="23" s="1"/>
  <c r="AA29" i="23"/>
  <c r="AA25" i="23" s="1"/>
  <c r="Z29" i="23"/>
  <c r="Z25" i="23" s="1"/>
  <c r="Y29" i="23"/>
  <c r="Y25" i="23" s="1"/>
  <c r="X29" i="23"/>
  <c r="X25" i="23" s="1"/>
  <c r="AG25" i="23"/>
  <c r="AF25" i="23"/>
  <c r="AE25" i="23"/>
  <c r="W25" i="23"/>
  <c r="V25" i="23"/>
  <c r="U25" i="23"/>
  <c r="AG19" i="23"/>
  <c r="AF19" i="23"/>
  <c r="AE19" i="23"/>
  <c r="AD19" i="23"/>
  <c r="AC19" i="23"/>
  <c r="AB19" i="23"/>
  <c r="AA19" i="23"/>
  <c r="Z19" i="23"/>
  <c r="Y19" i="23"/>
  <c r="X19" i="23"/>
  <c r="W19" i="23"/>
  <c r="V19" i="23"/>
  <c r="U19" i="23"/>
  <c r="AD16" i="23"/>
  <c r="AD9" i="23" s="1"/>
  <c r="AD18" i="23" s="1"/>
  <c r="AC16" i="23"/>
  <c r="AC9" i="23" s="1"/>
  <c r="AC18" i="23" s="1"/>
  <c r="AB16" i="23"/>
  <c r="AB9" i="23" s="1"/>
  <c r="AB18" i="23" s="1"/>
  <c r="AA16" i="23"/>
  <c r="AA9" i="23" s="1"/>
  <c r="AA18" i="23" s="1"/>
  <c r="Z16" i="23"/>
  <c r="Z9" i="23" s="1"/>
  <c r="Z18" i="23" s="1"/>
  <c r="Y16" i="23"/>
  <c r="Y9" i="23" s="1"/>
  <c r="Y18" i="23" s="1"/>
  <c r="X16" i="23"/>
  <c r="X9" i="23" s="1"/>
  <c r="X18" i="23" s="1"/>
  <c r="AG9" i="23"/>
  <c r="AG18" i="23" s="1"/>
  <c r="AF9" i="23"/>
  <c r="AF18" i="23" s="1"/>
  <c r="AE9" i="23"/>
  <c r="AE18" i="23" s="1"/>
  <c r="W9" i="23"/>
  <c r="W18" i="23" s="1"/>
  <c r="V9" i="23"/>
  <c r="V18" i="23" s="1"/>
  <c r="U9" i="23"/>
  <c r="U18" i="23" s="1"/>
  <c r="Y39" i="22"/>
  <c r="X39" i="22"/>
  <c r="W39" i="22"/>
  <c r="V39" i="22"/>
  <c r="U39" i="22"/>
  <c r="T39" i="22"/>
  <c r="S39" i="22"/>
  <c r="R39" i="22"/>
  <c r="Q39" i="22"/>
  <c r="P39" i="22"/>
  <c r="O39" i="22"/>
  <c r="N39" i="22"/>
  <c r="M39" i="22"/>
  <c r="V29" i="22"/>
  <c r="V25" i="22" s="1"/>
  <c r="U29" i="22"/>
  <c r="U25" i="22" s="1"/>
  <c r="T29" i="22"/>
  <c r="T25" i="22" s="1"/>
  <c r="S29" i="22"/>
  <c r="S25" i="22" s="1"/>
  <c r="R29" i="22"/>
  <c r="R25" i="22" s="1"/>
  <c r="Q29" i="22"/>
  <c r="Q25" i="22" s="1"/>
  <c r="P29" i="22"/>
  <c r="P25" i="22" s="1"/>
  <c r="Y25" i="22"/>
  <c r="X25" i="22"/>
  <c r="W25" i="22"/>
  <c r="O25" i="22"/>
  <c r="N25" i="22"/>
  <c r="M25" i="22"/>
  <c r="L25" i="22"/>
  <c r="K25" i="22"/>
  <c r="J25" i="22"/>
  <c r="I25" i="22"/>
  <c r="H25" i="22"/>
  <c r="G25" i="22"/>
  <c r="F25" i="22"/>
  <c r="E25" i="22"/>
  <c r="D25" i="22"/>
  <c r="Y19" i="22"/>
  <c r="X19" i="22"/>
  <c r="W19" i="22"/>
  <c r="V19" i="22"/>
  <c r="U19" i="22"/>
  <c r="T19" i="22"/>
  <c r="S19" i="22"/>
  <c r="R19" i="22"/>
  <c r="Q19" i="22"/>
  <c r="P19" i="22"/>
  <c r="O19" i="22"/>
  <c r="N19" i="22"/>
  <c r="M19" i="22"/>
  <c r="L19" i="22"/>
  <c r="K19" i="22"/>
  <c r="J19" i="22"/>
  <c r="I19" i="22"/>
  <c r="H19" i="22"/>
  <c r="G19" i="22"/>
  <c r="F19" i="22"/>
  <c r="E19" i="22"/>
  <c r="D19" i="22"/>
  <c r="L18" i="22"/>
  <c r="K18" i="22"/>
  <c r="J18" i="22"/>
  <c r="I18" i="22"/>
  <c r="H18" i="22"/>
  <c r="G18" i="22"/>
  <c r="F18" i="22"/>
  <c r="E18" i="22"/>
  <c r="D18" i="22"/>
  <c r="V16" i="22"/>
  <c r="V9" i="22" s="1"/>
  <c r="V18" i="22" s="1"/>
  <c r="U16" i="22"/>
  <c r="U9" i="22" s="1"/>
  <c r="U18" i="22" s="1"/>
  <c r="T16" i="22"/>
  <c r="T9" i="22" s="1"/>
  <c r="T18" i="22" s="1"/>
  <c r="S16" i="22"/>
  <c r="S9" i="22" s="1"/>
  <c r="S18" i="22" s="1"/>
  <c r="R16" i="22"/>
  <c r="R9" i="22" s="1"/>
  <c r="R18" i="22" s="1"/>
  <c r="Q16" i="22"/>
  <c r="Q9" i="22" s="1"/>
  <c r="Q18" i="22" s="1"/>
  <c r="P16" i="22"/>
  <c r="P9" i="22" s="1"/>
  <c r="P18" i="22" s="1"/>
  <c r="Y9" i="22"/>
  <c r="Y18" i="22" s="1"/>
  <c r="X9" i="22"/>
  <c r="X18" i="22" s="1"/>
  <c r="W9" i="22"/>
  <c r="W18" i="22" s="1"/>
  <c r="O9" i="22"/>
  <c r="O18" i="22" s="1"/>
  <c r="N9" i="22"/>
  <c r="N18" i="22" s="1"/>
  <c r="M9" i="22"/>
  <c r="M18" i="22" s="1"/>
  <c r="BA39" i="21"/>
  <c r="AZ39" i="21"/>
  <c r="AY39" i="21"/>
  <c r="AX39" i="21"/>
  <c r="AW39" i="21"/>
  <c r="AV39" i="21"/>
  <c r="AU39" i="21"/>
  <c r="AT39" i="21"/>
  <c r="AS39" i="21"/>
  <c r="AR39" i="21"/>
  <c r="AQ39" i="21"/>
  <c r="AP39" i="21"/>
  <c r="AO39" i="21"/>
  <c r="AC39" i="21"/>
  <c r="AB39" i="21"/>
  <c r="AA39" i="21"/>
  <c r="Z39" i="21"/>
  <c r="Y39" i="21"/>
  <c r="X39" i="21"/>
  <c r="W39" i="21"/>
  <c r="V39" i="21"/>
  <c r="U39" i="21"/>
  <c r="T39" i="21"/>
  <c r="S39" i="21"/>
  <c r="R39" i="21"/>
  <c r="Q39" i="21"/>
  <c r="P39" i="21"/>
  <c r="O39" i="21"/>
  <c r="N39" i="21"/>
  <c r="M39" i="21"/>
  <c r="L39" i="21"/>
  <c r="K39" i="21"/>
  <c r="J39" i="21"/>
  <c r="I39" i="21"/>
  <c r="H39" i="21"/>
  <c r="G39" i="21"/>
  <c r="F39" i="21"/>
  <c r="E39" i="21"/>
  <c r="D39" i="21"/>
  <c r="AN36" i="21"/>
  <c r="AM36" i="21"/>
  <c r="AL36" i="21"/>
  <c r="AK36" i="21"/>
  <c r="AJ36" i="21"/>
  <c r="AI36" i="21"/>
  <c r="AH36" i="21"/>
  <c r="AG36" i="21"/>
  <c r="AF36" i="21"/>
  <c r="AE36" i="21"/>
  <c r="AD36" i="21"/>
  <c r="AX29" i="21"/>
  <c r="AX25" i="21" s="1"/>
  <c r="AW29" i="21"/>
  <c r="AW25" i="21" s="1"/>
  <c r="AV29" i="21"/>
  <c r="AV25" i="21" s="1"/>
  <c r="AU29" i="21"/>
  <c r="AU25" i="21" s="1"/>
  <c r="AT29" i="21"/>
  <c r="AT25" i="21" s="1"/>
  <c r="AS29" i="21"/>
  <c r="AS25" i="21" s="1"/>
  <c r="AR29" i="21"/>
  <c r="AR25" i="21" s="1"/>
  <c r="BA25" i="21"/>
  <c r="AZ25" i="21"/>
  <c r="AY25" i="21"/>
  <c r="AQ25" i="21"/>
  <c r="AP25" i="21"/>
  <c r="AO25" i="21"/>
  <c r="AC25" i="21"/>
  <c r="AB25" i="21"/>
  <c r="AA25" i="21"/>
  <c r="Z25" i="21"/>
  <c r="Y25" i="21"/>
  <c r="X25" i="21"/>
  <c r="W25" i="21"/>
  <c r="V25" i="21"/>
  <c r="U25" i="21"/>
  <c r="T25" i="21"/>
  <c r="S25" i="21"/>
  <c r="R25" i="21"/>
  <c r="Q25" i="21"/>
  <c r="P25" i="21"/>
  <c r="O25" i="21"/>
  <c r="N25" i="21"/>
  <c r="M25" i="21"/>
  <c r="L25" i="21"/>
  <c r="K25" i="21"/>
  <c r="J25" i="21"/>
  <c r="I25" i="21"/>
  <c r="H25" i="21"/>
  <c r="G25" i="21"/>
  <c r="F25" i="21"/>
  <c r="E25" i="21"/>
  <c r="D25" i="21"/>
  <c r="BA19" i="21"/>
  <c r="AZ19" i="21"/>
  <c r="AY19" i="21"/>
  <c r="AX19" i="21"/>
  <c r="AW19" i="21"/>
  <c r="AV19" i="21"/>
  <c r="AU19" i="21"/>
  <c r="AT19" i="21"/>
  <c r="AS19" i="21"/>
  <c r="AR19" i="21"/>
  <c r="AQ19" i="21"/>
  <c r="AP19" i="21"/>
  <c r="AO19" i="21"/>
  <c r="AC19" i="21"/>
  <c r="AB19" i="21"/>
  <c r="AA19" i="21"/>
  <c r="Z19" i="21"/>
  <c r="Y19" i="21"/>
  <c r="X19" i="21"/>
  <c r="W19" i="21"/>
  <c r="V19" i="21"/>
  <c r="U19" i="21"/>
  <c r="T19" i="21"/>
  <c r="S19" i="21"/>
  <c r="R19" i="21"/>
  <c r="Q19" i="21"/>
  <c r="P19" i="21"/>
  <c r="O19" i="21"/>
  <c r="N19" i="21"/>
  <c r="M19" i="21"/>
  <c r="L19" i="21"/>
  <c r="K19" i="21"/>
  <c r="J19" i="21"/>
  <c r="I19" i="21"/>
  <c r="H19" i="21"/>
  <c r="G19" i="21"/>
  <c r="F19" i="21"/>
  <c r="E19" i="21"/>
  <c r="D19" i="21"/>
  <c r="AX16" i="21"/>
  <c r="AX9" i="21" s="1"/>
  <c r="AX18" i="21" s="1"/>
  <c r="AW16" i="21"/>
  <c r="AW9" i="21" s="1"/>
  <c r="AW18" i="21" s="1"/>
  <c r="AV16" i="21"/>
  <c r="AV9" i="21" s="1"/>
  <c r="AV18" i="21" s="1"/>
  <c r="AU16" i="21"/>
  <c r="AU9" i="21" s="1"/>
  <c r="AU18" i="21" s="1"/>
  <c r="AT16" i="21"/>
  <c r="AT9" i="21" s="1"/>
  <c r="AT18" i="21" s="1"/>
  <c r="AS16" i="21"/>
  <c r="AS9" i="21" s="1"/>
  <c r="AS18" i="21" s="1"/>
  <c r="AR16" i="21"/>
  <c r="AR9" i="21" s="1"/>
  <c r="AR18" i="21" s="1"/>
  <c r="BA9" i="21"/>
  <c r="BA18" i="21" s="1"/>
  <c r="AZ9" i="21"/>
  <c r="AZ18" i="21" s="1"/>
  <c r="AY9" i="21"/>
  <c r="AY18" i="21" s="1"/>
  <c r="AQ9" i="21"/>
  <c r="AQ18" i="21" s="1"/>
  <c r="AP9" i="21"/>
  <c r="AP18" i="21" s="1"/>
  <c r="AO9" i="21"/>
  <c r="AO18" i="21" s="1"/>
  <c r="AN9" i="21"/>
  <c r="AM9" i="21"/>
  <c r="AL9" i="21"/>
  <c r="AK9" i="21"/>
  <c r="AJ9" i="21"/>
  <c r="AI9" i="21"/>
  <c r="AH9" i="21"/>
  <c r="AG9" i="21"/>
  <c r="AF9" i="21"/>
  <c r="AE9" i="21"/>
  <c r="AD9" i="21"/>
  <c r="AC9" i="21"/>
  <c r="AC18" i="21" s="1"/>
  <c r="AB9" i="21"/>
  <c r="AB18" i="21" s="1"/>
  <c r="AA9" i="21"/>
  <c r="AA18" i="21" s="1"/>
  <c r="Z9" i="21"/>
  <c r="Z18" i="21" s="1"/>
  <c r="Y9" i="21"/>
  <c r="Y18" i="21" s="1"/>
  <c r="X9" i="21"/>
  <c r="X18" i="21" s="1"/>
  <c r="W9" i="21"/>
  <c r="W18" i="21" s="1"/>
  <c r="V9" i="21"/>
  <c r="V18" i="21" s="1"/>
  <c r="U9" i="21"/>
  <c r="U18" i="21" s="1"/>
  <c r="T9" i="21"/>
  <c r="T18" i="21" s="1"/>
  <c r="S9" i="21"/>
  <c r="S18" i="21" s="1"/>
  <c r="R9" i="21"/>
  <c r="R18" i="21" s="1"/>
  <c r="Q9" i="21"/>
  <c r="Q18" i="21" s="1"/>
  <c r="P9" i="21"/>
  <c r="P18" i="21" s="1"/>
  <c r="O9" i="21"/>
  <c r="O18" i="21" s="1"/>
  <c r="N9" i="21"/>
  <c r="N18" i="21" s="1"/>
  <c r="M9" i="21"/>
  <c r="M18" i="21" s="1"/>
  <c r="L9" i="21"/>
  <c r="L18" i="21" s="1"/>
  <c r="K9" i="21"/>
  <c r="K18" i="21" s="1"/>
  <c r="J9" i="21"/>
  <c r="J18" i="21" s="1"/>
  <c r="I9" i="21"/>
  <c r="I18" i="21" s="1"/>
  <c r="H9" i="21"/>
  <c r="H18" i="21" s="1"/>
  <c r="G9" i="21"/>
  <c r="G18" i="21" s="1"/>
  <c r="F9" i="21"/>
  <c r="F18" i="21" s="1"/>
  <c r="E9" i="21"/>
  <c r="E18" i="21" s="1"/>
  <c r="D9" i="21"/>
  <c r="D18" i="21" s="1"/>
  <c r="BA39" i="20"/>
  <c r="AZ39" i="20"/>
  <c r="AY39" i="20"/>
  <c r="AX39" i="20"/>
  <c r="AW39" i="20"/>
  <c r="AV39" i="20"/>
  <c r="AU39" i="20"/>
  <c r="AT39" i="20"/>
  <c r="AS39" i="20"/>
  <c r="AR39" i="20"/>
  <c r="AQ39" i="20"/>
  <c r="AP39" i="20"/>
  <c r="AO39" i="20"/>
  <c r="AN39" i="20"/>
  <c r="AM39" i="20"/>
  <c r="AL39" i="20"/>
  <c r="AK39" i="20"/>
  <c r="AJ39" i="20"/>
  <c r="AI39" i="20"/>
  <c r="AH39" i="20"/>
  <c r="AG39" i="20"/>
  <c r="AF39" i="20"/>
  <c r="AE39" i="20"/>
  <c r="AD39" i="20"/>
  <c r="AC39" i="20"/>
  <c r="AB39" i="20"/>
  <c r="AA39" i="20"/>
  <c r="Z39" i="20"/>
  <c r="Y39" i="20"/>
  <c r="X39" i="20"/>
  <c r="W39" i="20"/>
  <c r="V39" i="20"/>
  <c r="U39" i="20"/>
  <c r="T39" i="20"/>
  <c r="S39" i="20"/>
  <c r="R39" i="20"/>
  <c r="Q39" i="20"/>
  <c r="P39" i="20"/>
  <c r="O39" i="20"/>
  <c r="N39" i="20"/>
  <c r="M39" i="20"/>
  <c r="L39" i="20"/>
  <c r="K39" i="20"/>
  <c r="J39" i="20"/>
  <c r="I39" i="20"/>
  <c r="H39" i="20"/>
  <c r="G39" i="20"/>
  <c r="F39" i="20"/>
  <c r="E39" i="20"/>
  <c r="D39" i="20"/>
  <c r="AX29" i="20"/>
  <c r="AX25" i="20" s="1"/>
  <c r="AW29" i="20"/>
  <c r="AW25" i="20" s="1"/>
  <c r="AV29" i="20"/>
  <c r="AV25" i="20" s="1"/>
  <c r="AU29" i="20"/>
  <c r="AU25" i="20" s="1"/>
  <c r="AT29" i="20"/>
  <c r="AT25" i="20" s="1"/>
  <c r="AS29" i="20"/>
  <c r="AS25" i="20" s="1"/>
  <c r="AR29" i="20"/>
  <c r="AR25" i="20" s="1"/>
  <c r="BA25" i="20"/>
  <c r="AZ25" i="20"/>
  <c r="AY25" i="20"/>
  <c r="AQ25" i="20"/>
  <c r="AP25" i="20"/>
  <c r="AO25" i="20"/>
  <c r="AN25" i="20"/>
  <c r="AM25" i="20"/>
  <c r="AL25" i="20"/>
  <c r="AK25" i="20"/>
  <c r="AJ25" i="20"/>
  <c r="AI25" i="20"/>
  <c r="AH25" i="20"/>
  <c r="AG25" i="20"/>
  <c r="AF25" i="20"/>
  <c r="AE25" i="20"/>
  <c r="AD25" i="20"/>
  <c r="AC25" i="20"/>
  <c r="AB25" i="20"/>
  <c r="AA25" i="20"/>
  <c r="Z25" i="20"/>
  <c r="Y25" i="20"/>
  <c r="X25" i="20"/>
  <c r="W25" i="20"/>
  <c r="V25" i="20"/>
  <c r="U25" i="20"/>
  <c r="T25" i="20"/>
  <c r="S25" i="20"/>
  <c r="R25" i="20"/>
  <c r="Q25" i="20"/>
  <c r="P25" i="20"/>
  <c r="O25" i="20"/>
  <c r="N25" i="20"/>
  <c r="M25" i="20"/>
  <c r="L25" i="20"/>
  <c r="K25" i="20"/>
  <c r="J25" i="20"/>
  <c r="I25" i="20"/>
  <c r="H25" i="20"/>
  <c r="G25" i="20"/>
  <c r="F25" i="20"/>
  <c r="E25" i="20"/>
  <c r="D25" i="20"/>
  <c r="BA19" i="20"/>
  <c r="AZ19" i="20"/>
  <c r="AY19" i="20"/>
  <c r="AX19" i="20"/>
  <c r="AW19" i="20"/>
  <c r="AV19" i="20"/>
  <c r="AU19" i="20"/>
  <c r="AT19" i="20"/>
  <c r="AS19" i="20"/>
  <c r="AR19" i="20"/>
  <c r="AQ19" i="20"/>
  <c r="AP19" i="20"/>
  <c r="AO19" i="20"/>
  <c r="AN19" i="20"/>
  <c r="AM19" i="20"/>
  <c r="AL19" i="20"/>
  <c r="AK19" i="20"/>
  <c r="AJ19" i="20"/>
  <c r="AI19" i="20"/>
  <c r="AH19" i="20"/>
  <c r="AG19" i="20"/>
  <c r="AF19" i="20"/>
  <c r="AE19" i="20"/>
  <c r="AD19" i="20"/>
  <c r="AC19" i="20"/>
  <c r="AB19" i="20"/>
  <c r="AA19" i="20"/>
  <c r="Z19" i="20"/>
  <c r="Y19" i="20"/>
  <c r="X19" i="20"/>
  <c r="W19" i="20"/>
  <c r="V19" i="20"/>
  <c r="U19" i="20"/>
  <c r="T19" i="20"/>
  <c r="S19" i="20"/>
  <c r="R19" i="20"/>
  <c r="Q19" i="20"/>
  <c r="P19" i="20"/>
  <c r="O19" i="20"/>
  <c r="N19" i="20"/>
  <c r="M19" i="20"/>
  <c r="L19" i="20"/>
  <c r="K19" i="20"/>
  <c r="J19" i="20"/>
  <c r="I19" i="20"/>
  <c r="H19" i="20"/>
  <c r="G19" i="20"/>
  <c r="F19" i="20"/>
  <c r="E19" i="20"/>
  <c r="D19" i="20"/>
  <c r="AX16" i="20"/>
  <c r="AX9" i="20" s="1"/>
  <c r="AX18" i="20" s="1"/>
  <c r="AW16" i="20"/>
  <c r="AW9" i="20" s="1"/>
  <c r="AW18" i="20" s="1"/>
  <c r="AV16" i="20"/>
  <c r="AV9" i="20" s="1"/>
  <c r="AV18" i="20" s="1"/>
  <c r="AU16" i="20"/>
  <c r="AU9" i="20" s="1"/>
  <c r="AU18" i="20" s="1"/>
  <c r="AT16" i="20"/>
  <c r="AT9" i="20" s="1"/>
  <c r="AT18" i="20" s="1"/>
  <c r="AS16" i="20"/>
  <c r="AS9" i="20" s="1"/>
  <c r="AS18" i="20" s="1"/>
  <c r="AR16" i="20"/>
  <c r="AR9" i="20" s="1"/>
  <c r="AR18" i="20" s="1"/>
  <c r="BA9" i="20"/>
  <c r="BA18" i="20" s="1"/>
  <c r="AZ9" i="20"/>
  <c r="AZ18" i="20" s="1"/>
  <c r="AY9" i="20"/>
  <c r="AY18" i="20" s="1"/>
  <c r="AQ9" i="20"/>
  <c r="AQ18" i="20" s="1"/>
  <c r="AP9" i="20"/>
  <c r="AP18" i="20" s="1"/>
  <c r="AO9" i="20"/>
  <c r="AO18" i="20" s="1"/>
  <c r="AN9" i="20"/>
  <c r="AN18" i="20" s="1"/>
  <c r="AM9" i="20"/>
  <c r="AM18" i="20" s="1"/>
  <c r="AL9" i="20"/>
  <c r="AL18" i="20" s="1"/>
  <c r="AK9" i="20"/>
  <c r="AK18" i="20" s="1"/>
  <c r="AJ9" i="20"/>
  <c r="AJ18" i="20" s="1"/>
  <c r="AI9" i="20"/>
  <c r="AI18" i="20" s="1"/>
  <c r="AH9" i="20"/>
  <c r="AH18" i="20" s="1"/>
  <c r="AG9" i="20"/>
  <c r="AG18" i="20" s="1"/>
  <c r="AF9" i="20"/>
  <c r="AF18" i="20" s="1"/>
  <c r="AE9" i="20"/>
  <c r="AE18" i="20" s="1"/>
  <c r="AD9" i="20"/>
  <c r="AD18" i="20" s="1"/>
  <c r="AC9" i="20"/>
  <c r="AC18" i="20" s="1"/>
  <c r="AB9" i="20"/>
  <c r="AB18" i="20" s="1"/>
  <c r="AA9" i="20"/>
  <c r="AA18" i="20" s="1"/>
  <c r="Z9" i="20"/>
  <c r="Z18" i="20" s="1"/>
  <c r="Y9" i="20"/>
  <c r="Y18" i="20" s="1"/>
  <c r="X9" i="20"/>
  <c r="X18" i="20" s="1"/>
  <c r="W9" i="20"/>
  <c r="W18" i="20" s="1"/>
  <c r="V9" i="20"/>
  <c r="V18" i="20" s="1"/>
  <c r="U9" i="20"/>
  <c r="U18" i="20" s="1"/>
  <c r="T9" i="20"/>
  <c r="T18" i="20" s="1"/>
  <c r="S9" i="20"/>
  <c r="S18" i="20" s="1"/>
  <c r="R9" i="20"/>
  <c r="R18" i="20" s="1"/>
  <c r="Q9" i="20"/>
  <c r="Q18" i="20" s="1"/>
  <c r="P9" i="20"/>
  <c r="P18" i="20" s="1"/>
  <c r="O9" i="20"/>
  <c r="O18" i="20" s="1"/>
  <c r="N9" i="20"/>
  <c r="N18" i="20" s="1"/>
  <c r="M9" i="20"/>
  <c r="M18" i="20" s="1"/>
  <c r="L9" i="20"/>
  <c r="L18" i="20" s="1"/>
  <c r="K9" i="20"/>
  <c r="K18" i="20" s="1"/>
  <c r="J9" i="20"/>
  <c r="J18" i="20" s="1"/>
  <c r="I9" i="20"/>
  <c r="I18" i="20" s="1"/>
  <c r="H9" i="20"/>
  <c r="H18" i="20" s="1"/>
  <c r="G9" i="20"/>
  <c r="G18" i="20" s="1"/>
  <c r="F9" i="20"/>
  <c r="F18" i="20" s="1"/>
  <c r="E9" i="20"/>
  <c r="E18" i="20" s="1"/>
  <c r="D9" i="20"/>
  <c r="D18" i="20" s="1"/>
  <c r="AA119" i="70"/>
  <c r="AB119" i="70" s="1"/>
  <c r="Z119" i="70"/>
  <c r="Y119" i="70"/>
  <c r="W119" i="70"/>
  <c r="X119" i="70" s="1"/>
  <c r="AA118" i="70"/>
  <c r="AB118" i="70" s="1"/>
  <c r="Z118" i="70"/>
  <c r="Y118" i="70"/>
  <c r="W118" i="70"/>
  <c r="X118" i="70" s="1"/>
  <c r="AA117" i="70"/>
  <c r="AB117" i="70" s="1"/>
  <c r="Z117" i="70"/>
  <c r="Y117" i="70"/>
  <c r="W117" i="70"/>
  <c r="AA116" i="70"/>
  <c r="Z116" i="70"/>
  <c r="Y116" i="70"/>
  <c r="W116" i="70"/>
  <c r="X116" i="70" s="1"/>
  <c r="Q114" i="70"/>
  <c r="P114" i="70"/>
  <c r="O114" i="70"/>
  <c r="N114" i="70"/>
  <c r="M114" i="70"/>
  <c r="L114" i="70"/>
  <c r="K114" i="70"/>
  <c r="J114" i="70"/>
  <c r="I114" i="70"/>
  <c r="H114" i="70"/>
  <c r="G114" i="70"/>
  <c r="F114" i="70"/>
  <c r="E114" i="70"/>
  <c r="D114" i="70"/>
  <c r="AA110" i="70"/>
  <c r="AB110" i="70" s="1"/>
  <c r="Z110" i="70"/>
  <c r="Y110" i="70"/>
  <c r="W110" i="70"/>
  <c r="X110" i="70" s="1"/>
  <c r="AA109" i="70"/>
  <c r="AB109" i="70" s="1"/>
  <c r="Z109" i="70"/>
  <c r="Y109" i="70"/>
  <c r="W109" i="70"/>
  <c r="AA108" i="70"/>
  <c r="AB108" i="70" s="1"/>
  <c r="Z108" i="70"/>
  <c r="Y108" i="70"/>
  <c r="W108" i="70"/>
  <c r="X108" i="70" s="1"/>
  <c r="AA107" i="70"/>
  <c r="AB107" i="70" s="1"/>
  <c r="Z107" i="70"/>
  <c r="Y107" i="70"/>
  <c r="W107" i="70"/>
  <c r="X107" i="70" s="1"/>
  <c r="AA106" i="70"/>
  <c r="AB106" i="70" s="1"/>
  <c r="Z106" i="70"/>
  <c r="Y106" i="70"/>
  <c r="W106" i="70"/>
  <c r="X106" i="70" s="1"/>
  <c r="AA105" i="70"/>
  <c r="AB105" i="70" s="1"/>
  <c r="Z105" i="70"/>
  <c r="Y105" i="70"/>
  <c r="W105" i="70"/>
  <c r="X105" i="70" s="1"/>
  <c r="AA104" i="70"/>
  <c r="AB104" i="70" s="1"/>
  <c r="Z104" i="70"/>
  <c r="Y104" i="70"/>
  <c r="W104" i="70"/>
  <c r="X104" i="70" s="1"/>
  <c r="AA103" i="70"/>
  <c r="AB103" i="70" s="1"/>
  <c r="Z103" i="70"/>
  <c r="Y103" i="70"/>
  <c r="W103" i="70"/>
  <c r="X103" i="70" s="1"/>
  <c r="AA102" i="70"/>
  <c r="AB102" i="70" s="1"/>
  <c r="Z102" i="70"/>
  <c r="Y102" i="70"/>
  <c r="W102" i="70"/>
  <c r="X102" i="70" s="1"/>
  <c r="AA101" i="70"/>
  <c r="Z101" i="70"/>
  <c r="Y101" i="70"/>
  <c r="W101" i="70"/>
  <c r="X101" i="70" s="1"/>
  <c r="Q100" i="70"/>
  <c r="P100" i="70"/>
  <c r="O100" i="70"/>
  <c r="N100" i="70"/>
  <c r="M100" i="70"/>
  <c r="L100" i="70"/>
  <c r="K100" i="70"/>
  <c r="J100" i="70"/>
  <c r="I100" i="70"/>
  <c r="H100" i="70"/>
  <c r="G100" i="70"/>
  <c r="F100" i="70"/>
  <c r="E100" i="70"/>
  <c r="D100" i="70"/>
  <c r="AA99" i="70"/>
  <c r="AB99" i="70" s="1"/>
  <c r="Z99" i="70"/>
  <c r="Y99" i="70"/>
  <c r="W99" i="70"/>
  <c r="X99" i="70" s="1"/>
  <c r="AA98" i="70"/>
  <c r="AB98" i="70" s="1"/>
  <c r="Z98" i="70"/>
  <c r="Y98" i="70"/>
  <c r="W98" i="70"/>
  <c r="X98" i="70" s="1"/>
  <c r="AA97" i="70"/>
  <c r="AB97" i="70" s="1"/>
  <c r="Z97" i="70"/>
  <c r="Y97" i="70"/>
  <c r="W97" i="70"/>
  <c r="X97" i="70" s="1"/>
  <c r="AA96" i="70"/>
  <c r="AB96" i="70" s="1"/>
  <c r="Z96" i="70"/>
  <c r="Y96" i="70"/>
  <c r="W96" i="70"/>
  <c r="X96" i="70" s="1"/>
  <c r="AA95" i="70"/>
  <c r="AB95" i="70" s="1"/>
  <c r="Z95" i="70"/>
  <c r="Y95" i="70"/>
  <c r="W95" i="70"/>
  <c r="X95" i="70" s="1"/>
  <c r="AA94" i="70"/>
  <c r="AB94" i="70" s="1"/>
  <c r="Z94" i="70"/>
  <c r="Y94" i="70"/>
  <c r="W94" i="70"/>
  <c r="X94" i="70" s="1"/>
  <c r="AA93" i="70"/>
  <c r="Z93" i="70"/>
  <c r="Y93" i="70"/>
  <c r="W93" i="70"/>
  <c r="X93" i="70" s="1"/>
  <c r="AA92" i="70"/>
  <c r="AB92" i="70" s="1"/>
  <c r="Z92" i="70"/>
  <c r="Y92" i="70"/>
  <c r="W92" i="70"/>
  <c r="X92" i="70" s="1"/>
  <c r="AA91" i="70"/>
  <c r="AB91" i="70" s="1"/>
  <c r="Z91" i="70"/>
  <c r="Y91" i="70"/>
  <c r="W91" i="70"/>
  <c r="X91" i="70" s="1"/>
  <c r="Q90" i="70"/>
  <c r="P90" i="70"/>
  <c r="O90" i="70"/>
  <c r="N90" i="70"/>
  <c r="M90" i="70"/>
  <c r="L90" i="70"/>
  <c r="K90" i="70"/>
  <c r="J90" i="70"/>
  <c r="I90" i="70"/>
  <c r="H90" i="70"/>
  <c r="G90" i="70"/>
  <c r="F90" i="70"/>
  <c r="E90" i="70"/>
  <c r="AA82" i="70"/>
  <c r="AB82" i="70" s="1"/>
  <c r="Z82" i="70"/>
  <c r="Y82" i="70"/>
  <c r="W82" i="70"/>
  <c r="AA81" i="70"/>
  <c r="Z81" i="70"/>
  <c r="Y81" i="70"/>
  <c r="W81" i="70"/>
  <c r="X81" i="70" s="1"/>
  <c r="AA80" i="70"/>
  <c r="AB80" i="70" s="1"/>
  <c r="Z80" i="70"/>
  <c r="Y80" i="70"/>
  <c r="W80" i="70"/>
  <c r="X80" i="70" s="1"/>
  <c r="Q79" i="70"/>
  <c r="P79" i="70"/>
  <c r="O79" i="70"/>
  <c r="N79" i="70"/>
  <c r="M79" i="70"/>
  <c r="L79" i="70"/>
  <c r="K79" i="70"/>
  <c r="J79" i="70"/>
  <c r="I79" i="70"/>
  <c r="H79" i="70"/>
  <c r="G79" i="70"/>
  <c r="F79" i="70"/>
  <c r="E79" i="70"/>
  <c r="D79" i="70"/>
  <c r="AA78" i="70"/>
  <c r="AB78" i="70" s="1"/>
  <c r="Z78" i="70"/>
  <c r="Y78" i="70"/>
  <c r="W78" i="70"/>
  <c r="X78" i="70" s="1"/>
  <c r="AA77" i="70"/>
  <c r="AB77" i="70" s="1"/>
  <c r="Z77" i="70"/>
  <c r="Y77" i="70"/>
  <c r="W77" i="70"/>
  <c r="X77" i="70" s="1"/>
  <c r="AA76" i="70"/>
  <c r="AB76" i="70" s="1"/>
  <c r="Z76" i="70"/>
  <c r="Y76" i="70"/>
  <c r="W76" i="70"/>
  <c r="X76" i="70" s="1"/>
  <c r="AA75" i="70"/>
  <c r="AB75" i="70" s="1"/>
  <c r="Z75" i="70"/>
  <c r="Y75" i="70"/>
  <c r="W75" i="70"/>
  <c r="X75" i="70" s="1"/>
  <c r="AA74" i="70"/>
  <c r="AB74" i="70" s="1"/>
  <c r="Z74" i="70"/>
  <c r="Y74" i="70"/>
  <c r="W74" i="70"/>
  <c r="X74" i="70" s="1"/>
  <c r="AA73" i="70"/>
  <c r="AB73" i="70" s="1"/>
  <c r="Z73" i="70"/>
  <c r="Y73" i="70"/>
  <c r="W73" i="70"/>
  <c r="X73" i="70" s="1"/>
  <c r="AA72" i="70"/>
  <c r="AB72" i="70" s="1"/>
  <c r="Z72" i="70"/>
  <c r="Y72" i="70"/>
  <c r="W72" i="70"/>
  <c r="AA71" i="70"/>
  <c r="AB71" i="70" s="1"/>
  <c r="Z71" i="70"/>
  <c r="Y71" i="70"/>
  <c r="W71" i="70"/>
  <c r="X71" i="70" s="1"/>
  <c r="AA70" i="70"/>
  <c r="AB70" i="70" s="1"/>
  <c r="Z70" i="70"/>
  <c r="Y70" i="70"/>
  <c r="W70" i="70"/>
  <c r="X70" i="70" s="1"/>
  <c r="Q69" i="70"/>
  <c r="P69" i="70"/>
  <c r="O69" i="70"/>
  <c r="N69" i="70"/>
  <c r="M69" i="70"/>
  <c r="L69" i="70"/>
  <c r="K69" i="70"/>
  <c r="J69" i="70"/>
  <c r="I69" i="70"/>
  <c r="H69" i="70"/>
  <c r="G69" i="70"/>
  <c r="F69" i="70"/>
  <c r="E69" i="70"/>
  <c r="D69" i="70"/>
  <c r="AA68" i="70"/>
  <c r="AB68" i="70" s="1"/>
  <c r="Z68" i="70"/>
  <c r="Y68" i="70"/>
  <c r="W68" i="70"/>
  <c r="X68" i="70" s="1"/>
  <c r="AA67" i="70"/>
  <c r="AB67" i="70" s="1"/>
  <c r="Z67" i="70"/>
  <c r="Y67" i="70"/>
  <c r="W67" i="70"/>
  <c r="X67" i="70" s="1"/>
  <c r="AA66" i="70"/>
  <c r="AB66" i="70" s="1"/>
  <c r="Z66" i="70"/>
  <c r="Y66" i="70"/>
  <c r="W66" i="70"/>
  <c r="X66" i="70" s="1"/>
  <c r="AA65" i="70"/>
  <c r="AB65" i="70" s="1"/>
  <c r="Z65" i="70"/>
  <c r="Y65" i="70"/>
  <c r="W65" i="70"/>
  <c r="X65" i="70" s="1"/>
  <c r="AA64" i="70"/>
  <c r="AB64" i="70" s="1"/>
  <c r="Z64" i="70"/>
  <c r="Y64" i="70"/>
  <c r="W64" i="70"/>
  <c r="X64" i="70" s="1"/>
  <c r="AA63" i="70"/>
  <c r="Z63" i="70"/>
  <c r="Y63" i="70"/>
  <c r="W63" i="70"/>
  <c r="Q62" i="70"/>
  <c r="P62" i="70"/>
  <c r="O62" i="70"/>
  <c r="N62" i="70"/>
  <c r="M62" i="70"/>
  <c r="L62" i="70"/>
  <c r="K62" i="70"/>
  <c r="J62" i="70"/>
  <c r="I62" i="70"/>
  <c r="H62" i="70"/>
  <c r="G62" i="70"/>
  <c r="F62" i="70"/>
  <c r="E62" i="70"/>
  <c r="D62" i="70"/>
  <c r="AA56" i="70"/>
  <c r="AB56" i="70" s="1"/>
  <c r="Z56" i="70"/>
  <c r="Y56" i="70"/>
  <c r="W56" i="70"/>
  <c r="X56" i="70" s="1"/>
  <c r="AA55" i="70"/>
  <c r="AB55" i="70" s="1"/>
  <c r="Z55" i="70"/>
  <c r="Y55" i="70"/>
  <c r="W55" i="70"/>
  <c r="X55" i="70" s="1"/>
  <c r="AA54" i="70"/>
  <c r="AB54" i="70" s="1"/>
  <c r="Z54" i="70"/>
  <c r="Y54" i="70"/>
  <c r="W54" i="70"/>
  <c r="X54" i="70" s="1"/>
  <c r="AA53" i="70"/>
  <c r="AB53" i="70" s="1"/>
  <c r="Z53" i="70"/>
  <c r="Y53" i="70"/>
  <c r="W53" i="70"/>
  <c r="X53" i="70" s="1"/>
  <c r="AA52" i="70"/>
  <c r="AB52" i="70" s="1"/>
  <c r="Z52" i="70"/>
  <c r="Y52" i="70"/>
  <c r="W52" i="70"/>
  <c r="X52" i="70" s="1"/>
  <c r="AA51" i="70"/>
  <c r="AB51" i="70" s="1"/>
  <c r="Z51" i="70"/>
  <c r="Y51" i="70"/>
  <c r="W51" i="70"/>
  <c r="X51" i="70" s="1"/>
  <c r="AA50" i="70"/>
  <c r="AB50" i="70" s="1"/>
  <c r="Z50" i="70"/>
  <c r="Y50" i="70"/>
  <c r="W50" i="70"/>
  <c r="Q49" i="70"/>
  <c r="Q41" i="70" s="1"/>
  <c r="P49" i="70"/>
  <c r="P41" i="70" s="1"/>
  <c r="O49" i="70"/>
  <c r="O41" i="70" s="1"/>
  <c r="N49" i="70"/>
  <c r="N41" i="70" s="1"/>
  <c r="M49" i="70"/>
  <c r="M41" i="70" s="1"/>
  <c r="L49" i="70"/>
  <c r="L41" i="70" s="1"/>
  <c r="K49" i="70"/>
  <c r="K41" i="70" s="1"/>
  <c r="J49" i="70"/>
  <c r="J41" i="70" s="1"/>
  <c r="I49" i="70"/>
  <c r="I41" i="70" s="1"/>
  <c r="H49" i="70"/>
  <c r="H41" i="70" s="1"/>
  <c r="G49" i="70"/>
  <c r="G41" i="70" s="1"/>
  <c r="F49" i="70"/>
  <c r="F41" i="70" s="1"/>
  <c r="E49" i="70"/>
  <c r="E41" i="70" s="1"/>
  <c r="D49" i="70"/>
  <c r="D41" i="70" s="1"/>
  <c r="AB48" i="70"/>
  <c r="AA48" i="70"/>
  <c r="Z48" i="70"/>
  <c r="Y48" i="70"/>
  <c r="W48" i="70"/>
  <c r="X48" i="70" s="1"/>
  <c r="AB47" i="70"/>
  <c r="AA47" i="70"/>
  <c r="Z47" i="70"/>
  <c r="Y47" i="70"/>
  <c r="W47" i="70"/>
  <c r="X47" i="70" s="1"/>
  <c r="AB46" i="70"/>
  <c r="AA46" i="70"/>
  <c r="Z46" i="70"/>
  <c r="Y46" i="70"/>
  <c r="W46" i="70"/>
  <c r="X46" i="70" s="1"/>
  <c r="AB45" i="70"/>
  <c r="AA45" i="70"/>
  <c r="Z45" i="70"/>
  <c r="Y45" i="70"/>
  <c r="W45" i="70"/>
  <c r="X45" i="70" s="1"/>
  <c r="AB43" i="70"/>
  <c r="AA43" i="70"/>
  <c r="Z43" i="70"/>
  <c r="Y43" i="70"/>
  <c r="W43" i="70"/>
  <c r="X43" i="70" s="1"/>
  <c r="AB37" i="70"/>
  <c r="AA37" i="70"/>
  <c r="Z37" i="70"/>
  <c r="Y37" i="70"/>
  <c r="W37" i="70"/>
  <c r="X37" i="70" s="1"/>
  <c r="AB36" i="70"/>
  <c r="AA36" i="70"/>
  <c r="Z36" i="70"/>
  <c r="Y36" i="70"/>
  <c r="W36" i="70"/>
  <c r="X36" i="70" s="1"/>
  <c r="AB35" i="70"/>
  <c r="AA35" i="70"/>
  <c r="Z35" i="70"/>
  <c r="Y35" i="70"/>
  <c r="W35" i="70"/>
  <c r="X35" i="70" s="1"/>
  <c r="AB34" i="70"/>
  <c r="AA34" i="70"/>
  <c r="Z34" i="70"/>
  <c r="Y34" i="70"/>
  <c r="W34" i="70"/>
  <c r="X34" i="70" s="1"/>
  <c r="AB33" i="70"/>
  <c r="AA33" i="70"/>
  <c r="Z33" i="70"/>
  <c r="Y33" i="70"/>
  <c r="W33" i="70"/>
  <c r="X33" i="70" s="1"/>
  <c r="AB32" i="70"/>
  <c r="AA32" i="70"/>
  <c r="Z32" i="70"/>
  <c r="Y32" i="70"/>
  <c r="W32" i="70"/>
  <c r="X32" i="70" s="1"/>
  <c r="AB31" i="70"/>
  <c r="AA31" i="70"/>
  <c r="Z31" i="70"/>
  <c r="Y31" i="70"/>
  <c r="W31" i="70"/>
  <c r="X31" i="70" s="1"/>
  <c r="AB30" i="70"/>
  <c r="AA30" i="70"/>
  <c r="Z30" i="70"/>
  <c r="Y30" i="70"/>
  <c r="W30" i="70"/>
  <c r="X30" i="70" s="1"/>
  <c r="AB29" i="70"/>
  <c r="AA29" i="70"/>
  <c r="Z29" i="70"/>
  <c r="Y29" i="70"/>
  <c r="W29" i="70"/>
  <c r="X29" i="70" s="1"/>
  <c r="Q27" i="70"/>
  <c r="P27" i="70"/>
  <c r="O27" i="70"/>
  <c r="N27" i="70"/>
  <c r="M27" i="70"/>
  <c r="L27" i="70"/>
  <c r="K27" i="70"/>
  <c r="J27" i="70"/>
  <c r="I27" i="70"/>
  <c r="H27" i="70"/>
  <c r="G27" i="70"/>
  <c r="F27" i="70"/>
  <c r="E27" i="70"/>
  <c r="D27" i="70"/>
  <c r="AB25" i="70"/>
  <c r="AA25" i="70"/>
  <c r="Z25" i="70"/>
  <c r="Y25" i="70"/>
  <c r="W25" i="70"/>
  <c r="X25" i="70" s="1"/>
  <c r="AB24" i="70"/>
  <c r="AA24" i="70"/>
  <c r="Z24" i="70"/>
  <c r="Y24" i="70"/>
  <c r="W24" i="70"/>
  <c r="X24" i="70" s="1"/>
  <c r="AB23" i="70"/>
  <c r="AA23" i="70"/>
  <c r="Z23" i="70"/>
  <c r="Y23" i="70"/>
  <c r="W23" i="70"/>
  <c r="X23" i="70" s="1"/>
  <c r="AB22" i="70"/>
  <c r="AA22" i="70"/>
  <c r="Z22" i="70"/>
  <c r="Y22" i="70"/>
  <c r="W22" i="70"/>
  <c r="X22" i="70" s="1"/>
  <c r="AB21" i="70"/>
  <c r="AA21" i="70"/>
  <c r="Z21" i="70"/>
  <c r="Y21" i="70"/>
  <c r="W21" i="70"/>
  <c r="X21" i="70" s="1"/>
  <c r="AB20" i="70"/>
  <c r="AA20" i="70"/>
  <c r="Z20" i="70"/>
  <c r="Y20" i="70"/>
  <c r="W20" i="70"/>
  <c r="X20" i="70" s="1"/>
  <c r="AB19" i="70"/>
  <c r="AA19" i="70"/>
  <c r="Z19" i="70"/>
  <c r="Y19" i="70"/>
  <c r="W19" i="70"/>
  <c r="AB18" i="70"/>
  <c r="AA18" i="70"/>
  <c r="Z18" i="70"/>
  <c r="Y18" i="70"/>
  <c r="W18" i="70"/>
  <c r="X18" i="70" s="1"/>
  <c r="Q17" i="70"/>
  <c r="P17" i="70"/>
  <c r="O17" i="70"/>
  <c r="N17" i="70"/>
  <c r="M17" i="70"/>
  <c r="L17" i="70"/>
  <c r="K17" i="70"/>
  <c r="K6" i="70" s="1"/>
  <c r="J17" i="70"/>
  <c r="I17" i="70"/>
  <c r="H17" i="70"/>
  <c r="G17" i="70"/>
  <c r="F17" i="70"/>
  <c r="E17" i="70"/>
  <c r="D17" i="70"/>
  <c r="AB16" i="70"/>
  <c r="AA16" i="70"/>
  <c r="Z16" i="70"/>
  <c r="Y16" i="70"/>
  <c r="W16" i="70"/>
  <c r="X16" i="70" s="1"/>
  <c r="AB15" i="70"/>
  <c r="AA15" i="70"/>
  <c r="Z15" i="70"/>
  <c r="Y15" i="70"/>
  <c r="W15" i="70"/>
  <c r="X15" i="70" s="1"/>
  <c r="AB14" i="70"/>
  <c r="AA14" i="70"/>
  <c r="Z14" i="70"/>
  <c r="Y14" i="70"/>
  <c r="W14" i="70"/>
  <c r="X14" i="70" s="1"/>
  <c r="AB13" i="70"/>
  <c r="AA13" i="70"/>
  <c r="Z13" i="70"/>
  <c r="Y13" i="70"/>
  <c r="W13" i="70"/>
  <c r="X13" i="70" s="1"/>
  <c r="AB12" i="70"/>
  <c r="AA12" i="70"/>
  <c r="Z12" i="70"/>
  <c r="Y12" i="70"/>
  <c r="W12" i="70"/>
  <c r="X12" i="70" s="1"/>
  <c r="AB11" i="70"/>
  <c r="AA11" i="70"/>
  <c r="Z11" i="70"/>
  <c r="Y11" i="70"/>
  <c r="W11" i="70"/>
  <c r="X11" i="70" s="1"/>
  <c r="AB10" i="70"/>
  <c r="AA10" i="70"/>
  <c r="Z10" i="70"/>
  <c r="Y10" i="70"/>
  <c r="W10" i="70"/>
  <c r="X10" i="70" s="1"/>
  <c r="AB9" i="70"/>
  <c r="AA9" i="70"/>
  <c r="Z9" i="70"/>
  <c r="Y9" i="70"/>
  <c r="W9" i="70"/>
  <c r="Q8" i="70"/>
  <c r="P8" i="70"/>
  <c r="O8" i="70"/>
  <c r="N8" i="70"/>
  <c r="M8" i="70"/>
  <c r="L8" i="70"/>
  <c r="J8" i="70"/>
  <c r="I8" i="70"/>
  <c r="H8" i="70"/>
  <c r="G8" i="70"/>
  <c r="F8" i="70"/>
  <c r="E8" i="70"/>
  <c r="D8" i="70"/>
  <c r="AA119" i="69"/>
  <c r="AB119" i="69" s="1"/>
  <c r="Z119" i="69"/>
  <c r="Y119" i="69"/>
  <c r="W119" i="69"/>
  <c r="X119" i="69" s="1"/>
  <c r="AA118" i="69"/>
  <c r="AB118" i="69" s="1"/>
  <c r="Z118" i="69"/>
  <c r="Y118" i="69"/>
  <c r="W118" i="69"/>
  <c r="X118" i="69" s="1"/>
  <c r="AA117" i="69"/>
  <c r="AB117" i="69" s="1"/>
  <c r="Z117" i="69"/>
  <c r="Y117" i="69"/>
  <c r="W117" i="69"/>
  <c r="X117" i="69" s="1"/>
  <c r="AA116" i="69"/>
  <c r="Z116" i="69"/>
  <c r="Y116" i="69"/>
  <c r="W116" i="69"/>
  <c r="Q114" i="69"/>
  <c r="P114" i="69"/>
  <c r="O114" i="69"/>
  <c r="N114" i="69"/>
  <c r="M114" i="69"/>
  <c r="L114" i="69"/>
  <c r="K114" i="69"/>
  <c r="J114" i="69"/>
  <c r="I114" i="69"/>
  <c r="H114" i="69"/>
  <c r="G114" i="69"/>
  <c r="F114" i="69"/>
  <c r="E114" i="69"/>
  <c r="D114" i="69"/>
  <c r="AA110" i="69"/>
  <c r="AB110" i="69" s="1"/>
  <c r="Z110" i="69"/>
  <c r="Y110" i="69"/>
  <c r="W110" i="69"/>
  <c r="X110" i="69" s="1"/>
  <c r="AA109" i="69"/>
  <c r="AB109" i="69" s="1"/>
  <c r="Z109" i="69"/>
  <c r="Y109" i="69"/>
  <c r="W109" i="69"/>
  <c r="X109" i="69" s="1"/>
  <c r="AA108" i="69"/>
  <c r="AB108" i="69" s="1"/>
  <c r="Z108" i="69"/>
  <c r="Y108" i="69"/>
  <c r="W108" i="69"/>
  <c r="X108" i="69" s="1"/>
  <c r="AA107" i="69"/>
  <c r="AB107" i="69" s="1"/>
  <c r="Z107" i="69"/>
  <c r="Y107" i="69"/>
  <c r="W107" i="69"/>
  <c r="X107" i="69" s="1"/>
  <c r="AA106" i="69"/>
  <c r="AB106" i="69" s="1"/>
  <c r="Z106" i="69"/>
  <c r="Y106" i="69"/>
  <c r="W106" i="69"/>
  <c r="X106" i="69" s="1"/>
  <c r="AA105" i="69"/>
  <c r="AB105" i="69" s="1"/>
  <c r="Z105" i="69"/>
  <c r="Y105" i="69"/>
  <c r="W105" i="69"/>
  <c r="X105" i="69" s="1"/>
  <c r="AA104" i="69"/>
  <c r="AB104" i="69" s="1"/>
  <c r="Z104" i="69"/>
  <c r="Y104" i="69"/>
  <c r="W104" i="69"/>
  <c r="X104" i="69" s="1"/>
  <c r="AA103" i="69"/>
  <c r="AB103" i="69" s="1"/>
  <c r="Z103" i="69"/>
  <c r="Y103" i="69"/>
  <c r="W103" i="69"/>
  <c r="X103" i="69" s="1"/>
  <c r="AA102" i="69"/>
  <c r="AB102" i="69" s="1"/>
  <c r="Z102" i="69"/>
  <c r="Y102" i="69"/>
  <c r="W102" i="69"/>
  <c r="X102" i="69" s="1"/>
  <c r="AA101" i="69"/>
  <c r="AB101" i="69" s="1"/>
  <c r="Z101" i="69"/>
  <c r="Y101" i="69"/>
  <c r="W101" i="69"/>
  <c r="Q100" i="69"/>
  <c r="P100" i="69"/>
  <c r="O100" i="69"/>
  <c r="N100" i="69"/>
  <c r="M100" i="69"/>
  <c r="L100" i="69"/>
  <c r="K100" i="69"/>
  <c r="J100" i="69"/>
  <c r="I100" i="69"/>
  <c r="H100" i="69"/>
  <c r="G100" i="69"/>
  <c r="F100" i="69"/>
  <c r="E100" i="69"/>
  <c r="D100" i="69"/>
  <c r="AA99" i="69"/>
  <c r="AB99" i="69" s="1"/>
  <c r="Z99" i="69"/>
  <c r="Y99" i="69"/>
  <c r="W99" i="69"/>
  <c r="X99" i="69" s="1"/>
  <c r="AA98" i="69"/>
  <c r="AB98" i="69" s="1"/>
  <c r="Z98" i="69"/>
  <c r="Y98" i="69"/>
  <c r="W98" i="69"/>
  <c r="X98" i="69" s="1"/>
  <c r="AA97" i="69"/>
  <c r="AB97" i="69" s="1"/>
  <c r="Z97" i="69"/>
  <c r="Y97" i="69"/>
  <c r="W97" i="69"/>
  <c r="X97" i="69" s="1"/>
  <c r="AA96" i="69"/>
  <c r="AB96" i="69" s="1"/>
  <c r="Z96" i="69"/>
  <c r="Y96" i="69"/>
  <c r="W96" i="69"/>
  <c r="X96" i="69" s="1"/>
  <c r="AA95" i="69"/>
  <c r="AB95" i="69" s="1"/>
  <c r="Z95" i="69"/>
  <c r="Y95" i="69"/>
  <c r="W95" i="69"/>
  <c r="X95" i="69" s="1"/>
  <c r="AA94" i="69"/>
  <c r="AB94" i="69" s="1"/>
  <c r="Z94" i="69"/>
  <c r="Y94" i="69"/>
  <c r="W94" i="69"/>
  <c r="X94" i="69" s="1"/>
  <c r="AA93" i="69"/>
  <c r="AB93" i="69" s="1"/>
  <c r="Z93" i="69"/>
  <c r="Y93" i="69"/>
  <c r="W93" i="69"/>
  <c r="X93" i="69" s="1"/>
  <c r="AA92" i="69"/>
  <c r="AB92" i="69" s="1"/>
  <c r="Z92" i="69"/>
  <c r="Y92" i="69"/>
  <c r="W92" i="69"/>
  <c r="X92" i="69" s="1"/>
  <c r="AA91" i="69"/>
  <c r="Z91" i="69"/>
  <c r="Y91" i="69"/>
  <c r="W91" i="69"/>
  <c r="Q90" i="69"/>
  <c r="P90" i="69"/>
  <c r="O90" i="69"/>
  <c r="N90" i="69"/>
  <c r="M90" i="69"/>
  <c r="L90" i="69"/>
  <c r="K90" i="69"/>
  <c r="J90" i="69"/>
  <c r="I90" i="69"/>
  <c r="H90" i="69"/>
  <c r="G90" i="69"/>
  <c r="F90" i="69"/>
  <c r="E90" i="69"/>
  <c r="D90" i="69"/>
  <c r="AB82" i="69"/>
  <c r="Z82" i="69"/>
  <c r="Y82" i="69"/>
  <c r="X82" i="69"/>
  <c r="AA81" i="69"/>
  <c r="AB81" i="69" s="1"/>
  <c r="Z81" i="69"/>
  <c r="Y81" i="69"/>
  <c r="W81" i="69"/>
  <c r="X81" i="69" s="1"/>
  <c r="AA80" i="69"/>
  <c r="Z80" i="69"/>
  <c r="Y80" i="69"/>
  <c r="W80" i="69"/>
  <c r="Q79" i="69"/>
  <c r="P79" i="69"/>
  <c r="O79" i="69"/>
  <c r="N79" i="69"/>
  <c r="M79" i="69"/>
  <c r="L79" i="69"/>
  <c r="K79" i="69"/>
  <c r="J79" i="69"/>
  <c r="I79" i="69"/>
  <c r="H79" i="69"/>
  <c r="G79" i="69"/>
  <c r="F79" i="69"/>
  <c r="E79" i="69"/>
  <c r="D79" i="69"/>
  <c r="AA78" i="69"/>
  <c r="AB78" i="69" s="1"/>
  <c r="Z78" i="69"/>
  <c r="Y78" i="69"/>
  <c r="W78" i="69"/>
  <c r="X78" i="69" s="1"/>
  <c r="AA77" i="69"/>
  <c r="AB77" i="69" s="1"/>
  <c r="Z77" i="69"/>
  <c r="Y77" i="69"/>
  <c r="W77" i="69"/>
  <c r="X77" i="69" s="1"/>
  <c r="AA76" i="69"/>
  <c r="AB76" i="69" s="1"/>
  <c r="Z76" i="69"/>
  <c r="Y76" i="69"/>
  <c r="W76" i="69"/>
  <c r="X76" i="69" s="1"/>
  <c r="AA75" i="69"/>
  <c r="AB75" i="69" s="1"/>
  <c r="Z75" i="69"/>
  <c r="Y75" i="69"/>
  <c r="W75" i="69"/>
  <c r="X75" i="69" s="1"/>
  <c r="AA74" i="69"/>
  <c r="AB74" i="69" s="1"/>
  <c r="Z74" i="69"/>
  <c r="Y74" i="69"/>
  <c r="W74" i="69"/>
  <c r="X74" i="69" s="1"/>
  <c r="AA73" i="69"/>
  <c r="AB73" i="69" s="1"/>
  <c r="Z73" i="69"/>
  <c r="Y73" i="69"/>
  <c r="W73" i="69"/>
  <c r="X73" i="69" s="1"/>
  <c r="AA72" i="69"/>
  <c r="AB72" i="69" s="1"/>
  <c r="Z72" i="69"/>
  <c r="Y72" i="69"/>
  <c r="W72" i="69"/>
  <c r="X72" i="69" s="1"/>
  <c r="AA71" i="69"/>
  <c r="AB71" i="69" s="1"/>
  <c r="Z71" i="69"/>
  <c r="Y71" i="69"/>
  <c r="W71" i="69"/>
  <c r="X71" i="69" s="1"/>
  <c r="AA70" i="69"/>
  <c r="AB70" i="69" s="1"/>
  <c r="Z70" i="69"/>
  <c r="Y70" i="69"/>
  <c r="W70" i="69"/>
  <c r="X70" i="69" s="1"/>
  <c r="Q69" i="69"/>
  <c r="P69" i="69"/>
  <c r="O69" i="69"/>
  <c r="N69" i="69"/>
  <c r="M69" i="69"/>
  <c r="L69" i="69"/>
  <c r="K69" i="69"/>
  <c r="J69" i="69"/>
  <c r="I69" i="69"/>
  <c r="H69" i="69"/>
  <c r="G69" i="69"/>
  <c r="F69" i="69"/>
  <c r="E69" i="69"/>
  <c r="D69" i="69"/>
  <c r="AA68" i="69"/>
  <c r="AB68" i="69" s="1"/>
  <c r="Z68" i="69"/>
  <c r="Y68" i="69"/>
  <c r="W68" i="69"/>
  <c r="X68" i="69" s="1"/>
  <c r="AA67" i="69"/>
  <c r="AB67" i="69" s="1"/>
  <c r="Z67" i="69"/>
  <c r="Y67" i="69"/>
  <c r="W67" i="69"/>
  <c r="X67" i="69" s="1"/>
  <c r="AA66" i="69"/>
  <c r="AB66" i="69" s="1"/>
  <c r="Z66" i="69"/>
  <c r="Y66" i="69"/>
  <c r="W66" i="69"/>
  <c r="X66" i="69" s="1"/>
  <c r="AA65" i="69"/>
  <c r="AB65" i="69" s="1"/>
  <c r="Z65" i="69"/>
  <c r="Y65" i="69"/>
  <c r="W65" i="69"/>
  <c r="X65" i="69" s="1"/>
  <c r="AA64" i="69"/>
  <c r="AB64" i="69" s="1"/>
  <c r="Z64" i="69"/>
  <c r="Y64" i="69"/>
  <c r="W64" i="69"/>
  <c r="X64" i="69" s="1"/>
  <c r="AA63" i="69"/>
  <c r="Z63" i="69"/>
  <c r="Y63" i="69"/>
  <c r="W63" i="69"/>
  <c r="X63" i="69" s="1"/>
  <c r="Q62" i="69"/>
  <c r="P62" i="69"/>
  <c r="O62" i="69"/>
  <c r="N62" i="69"/>
  <c r="M62" i="69"/>
  <c r="L62" i="69"/>
  <c r="K62" i="69"/>
  <c r="J62" i="69"/>
  <c r="I62" i="69"/>
  <c r="H62" i="69"/>
  <c r="G62" i="69"/>
  <c r="F62" i="69"/>
  <c r="E62" i="69"/>
  <c r="D62" i="69"/>
  <c r="AA56" i="69"/>
  <c r="AB56" i="69" s="1"/>
  <c r="Z56" i="69"/>
  <c r="Y56" i="69"/>
  <c r="W56" i="69"/>
  <c r="X56" i="69" s="1"/>
  <c r="AA55" i="69"/>
  <c r="AB55" i="69" s="1"/>
  <c r="Z55" i="69"/>
  <c r="Y55" i="69"/>
  <c r="W55" i="69"/>
  <c r="X55" i="69" s="1"/>
  <c r="AA54" i="69"/>
  <c r="AB54" i="69" s="1"/>
  <c r="Z54" i="69"/>
  <c r="Y54" i="69"/>
  <c r="W54" i="69"/>
  <c r="X54" i="69" s="1"/>
  <c r="AA53" i="69"/>
  <c r="AB53" i="69" s="1"/>
  <c r="Z53" i="69"/>
  <c r="Y53" i="69"/>
  <c r="W53" i="69"/>
  <c r="X53" i="69" s="1"/>
  <c r="AA52" i="69"/>
  <c r="AB52" i="69" s="1"/>
  <c r="Z52" i="69"/>
  <c r="Y52" i="69"/>
  <c r="W52" i="69"/>
  <c r="X52" i="69" s="1"/>
  <c r="AA51" i="69"/>
  <c r="AB51" i="69" s="1"/>
  <c r="Z51" i="69"/>
  <c r="Y51" i="69"/>
  <c r="W51" i="69"/>
  <c r="X51" i="69" s="1"/>
  <c r="AA50" i="69"/>
  <c r="Z50" i="69"/>
  <c r="Y50" i="69"/>
  <c r="W50" i="69"/>
  <c r="Q49" i="69"/>
  <c r="Q41" i="69" s="1"/>
  <c r="P49" i="69"/>
  <c r="P41" i="69" s="1"/>
  <c r="O49" i="69"/>
  <c r="O41" i="69" s="1"/>
  <c r="N49" i="69"/>
  <c r="N41" i="69" s="1"/>
  <c r="M49" i="69"/>
  <c r="M41" i="69" s="1"/>
  <c r="L49" i="69"/>
  <c r="L41" i="69" s="1"/>
  <c r="K49" i="69"/>
  <c r="K41" i="69" s="1"/>
  <c r="J49" i="69"/>
  <c r="J41" i="69" s="1"/>
  <c r="I49" i="69"/>
  <c r="I41" i="69" s="1"/>
  <c r="H49" i="69"/>
  <c r="H41" i="69" s="1"/>
  <c r="G49" i="69"/>
  <c r="G41" i="69" s="1"/>
  <c r="F49" i="69"/>
  <c r="F41" i="69" s="1"/>
  <c r="E49" i="69"/>
  <c r="E41" i="69" s="1"/>
  <c r="D49" i="69"/>
  <c r="D41" i="69" s="1"/>
  <c r="AB48" i="69"/>
  <c r="AA48" i="69"/>
  <c r="Z48" i="69"/>
  <c r="Y48" i="69"/>
  <c r="W48" i="69"/>
  <c r="X48" i="69" s="1"/>
  <c r="AB47" i="69"/>
  <c r="AA47" i="69"/>
  <c r="Z47" i="69"/>
  <c r="Y47" i="69"/>
  <c r="W47" i="69"/>
  <c r="X47" i="69" s="1"/>
  <c r="AB46" i="69"/>
  <c r="AA46" i="69"/>
  <c r="Z46" i="69"/>
  <c r="Y46" i="69"/>
  <c r="W46" i="69"/>
  <c r="X46" i="69" s="1"/>
  <c r="AB45" i="69"/>
  <c r="AA45" i="69"/>
  <c r="Z45" i="69"/>
  <c r="Y45" i="69"/>
  <c r="W45" i="69"/>
  <c r="X45" i="69" s="1"/>
  <c r="AB43" i="69"/>
  <c r="AA43" i="69"/>
  <c r="Z43" i="69"/>
  <c r="Y43" i="69"/>
  <c r="W43" i="69"/>
  <c r="AB37" i="69"/>
  <c r="AA37" i="69"/>
  <c r="Z37" i="69"/>
  <c r="Y37" i="69"/>
  <c r="W37" i="69"/>
  <c r="X37" i="69" s="1"/>
  <c r="AB36" i="69"/>
  <c r="AA36" i="69"/>
  <c r="Z36" i="69"/>
  <c r="Y36" i="69"/>
  <c r="W36" i="69"/>
  <c r="X36" i="69" s="1"/>
  <c r="AB35" i="69"/>
  <c r="AA35" i="69"/>
  <c r="Z35" i="69"/>
  <c r="Y35" i="69"/>
  <c r="W35" i="69"/>
  <c r="X35" i="69" s="1"/>
  <c r="AB34" i="69"/>
  <c r="AA34" i="69"/>
  <c r="Z34" i="69"/>
  <c r="Y34" i="69"/>
  <c r="W34" i="69"/>
  <c r="X34" i="69" s="1"/>
  <c r="AB33" i="69"/>
  <c r="AA33" i="69"/>
  <c r="Z33" i="69"/>
  <c r="Y33" i="69"/>
  <c r="W33" i="69"/>
  <c r="X33" i="69" s="1"/>
  <c r="AB32" i="69"/>
  <c r="AA32" i="69"/>
  <c r="Z32" i="69"/>
  <c r="Y32" i="69"/>
  <c r="W32" i="69"/>
  <c r="X32" i="69" s="1"/>
  <c r="AB31" i="69"/>
  <c r="AA31" i="69"/>
  <c r="Z31" i="69"/>
  <c r="Y31" i="69"/>
  <c r="W31" i="69"/>
  <c r="X31" i="69" s="1"/>
  <c r="AB30" i="69"/>
  <c r="AA30" i="69"/>
  <c r="Z30" i="69"/>
  <c r="Y30" i="69"/>
  <c r="W30" i="69"/>
  <c r="X30" i="69" s="1"/>
  <c r="AB29" i="69"/>
  <c r="AA29" i="69"/>
  <c r="Z29" i="69"/>
  <c r="Y29" i="69"/>
  <c r="W29" i="69"/>
  <c r="X29" i="69" s="1"/>
  <c r="Q27" i="69"/>
  <c r="P27" i="69"/>
  <c r="O27" i="69"/>
  <c r="N27" i="69"/>
  <c r="M27" i="69"/>
  <c r="L27" i="69"/>
  <c r="K27" i="69"/>
  <c r="J27" i="69"/>
  <c r="I27" i="69"/>
  <c r="H27" i="69"/>
  <c r="G27" i="69"/>
  <c r="F27" i="69"/>
  <c r="E27" i="69"/>
  <c r="D27" i="69"/>
  <c r="AB25" i="69"/>
  <c r="AA25" i="69"/>
  <c r="Z25" i="69"/>
  <c r="Y25" i="69"/>
  <c r="W25" i="69"/>
  <c r="X25" i="69" s="1"/>
  <c r="AB24" i="69"/>
  <c r="AA24" i="69"/>
  <c r="Z24" i="69"/>
  <c r="Y24" i="69"/>
  <c r="W24" i="69"/>
  <c r="X24" i="69" s="1"/>
  <c r="AB23" i="69"/>
  <c r="AA23" i="69"/>
  <c r="Z23" i="69"/>
  <c r="Y23" i="69"/>
  <c r="W23" i="69"/>
  <c r="X23" i="69" s="1"/>
  <c r="AB22" i="69"/>
  <c r="AA22" i="69"/>
  <c r="Z22" i="69"/>
  <c r="Y22" i="69"/>
  <c r="W22" i="69"/>
  <c r="X22" i="69" s="1"/>
  <c r="AB21" i="69"/>
  <c r="AA21" i="69"/>
  <c r="Z21" i="69"/>
  <c r="Y21" i="69"/>
  <c r="W21" i="69"/>
  <c r="X21" i="69" s="1"/>
  <c r="AB20" i="69"/>
  <c r="AA20" i="69"/>
  <c r="Z20" i="69"/>
  <c r="Y20" i="69"/>
  <c r="W20" i="69"/>
  <c r="X20" i="69" s="1"/>
  <c r="AB19" i="69"/>
  <c r="AA19" i="69"/>
  <c r="Z19" i="69"/>
  <c r="Y19" i="69"/>
  <c r="W19" i="69"/>
  <c r="X19" i="69" s="1"/>
  <c r="AB18" i="69"/>
  <c r="AA18" i="69"/>
  <c r="Z18" i="69"/>
  <c r="Y18" i="69"/>
  <c r="W18" i="69"/>
  <c r="Q17" i="69"/>
  <c r="P17" i="69"/>
  <c r="O17" i="69"/>
  <c r="N17" i="69"/>
  <c r="M17" i="69"/>
  <c r="L17" i="69"/>
  <c r="K17" i="69"/>
  <c r="J17" i="69"/>
  <c r="I17" i="69"/>
  <c r="H17" i="69"/>
  <c r="G17" i="69"/>
  <c r="F17" i="69"/>
  <c r="E17" i="69"/>
  <c r="D17" i="69"/>
  <c r="AB16" i="69"/>
  <c r="AA16" i="69"/>
  <c r="Z16" i="69"/>
  <c r="Y16" i="69"/>
  <c r="W16" i="69"/>
  <c r="X16" i="69" s="1"/>
  <c r="AB15" i="69"/>
  <c r="AA15" i="69"/>
  <c r="Z15" i="69"/>
  <c r="Y15" i="69"/>
  <c r="W15" i="69"/>
  <c r="X15" i="69" s="1"/>
  <c r="AB14" i="69"/>
  <c r="AA14" i="69"/>
  <c r="Z14" i="69"/>
  <c r="Y14" i="69"/>
  <c r="W14" i="69"/>
  <c r="X14" i="69" s="1"/>
  <c r="AB13" i="69"/>
  <c r="AA13" i="69"/>
  <c r="Z13" i="69"/>
  <c r="Y13" i="69"/>
  <c r="W13" i="69"/>
  <c r="X13" i="69" s="1"/>
  <c r="AB12" i="69"/>
  <c r="AA12" i="69"/>
  <c r="Z12" i="69"/>
  <c r="Y12" i="69"/>
  <c r="W12" i="69"/>
  <c r="X12" i="69" s="1"/>
  <c r="AB11" i="69"/>
  <c r="AA11" i="69"/>
  <c r="Z11" i="69"/>
  <c r="Y11" i="69"/>
  <c r="W11" i="69"/>
  <c r="X11" i="69" s="1"/>
  <c r="AB10" i="69"/>
  <c r="AA10" i="69"/>
  <c r="Z10" i="69"/>
  <c r="Y10" i="69"/>
  <c r="W10" i="69"/>
  <c r="X10" i="69" s="1"/>
  <c r="AB9" i="69"/>
  <c r="AA9" i="69"/>
  <c r="Z9" i="69"/>
  <c r="Y9" i="69"/>
  <c r="W9" i="69"/>
  <c r="X9" i="69" s="1"/>
  <c r="Q8" i="69"/>
  <c r="P8" i="69"/>
  <c r="O8" i="69"/>
  <c r="N8" i="69"/>
  <c r="M8" i="69"/>
  <c r="L8" i="69"/>
  <c r="K8" i="69"/>
  <c r="J8" i="69"/>
  <c r="I8" i="69"/>
  <c r="H8" i="69"/>
  <c r="G8" i="69"/>
  <c r="F8" i="69"/>
  <c r="E8" i="69"/>
  <c r="D8" i="69"/>
  <c r="Y130" i="68"/>
  <c r="Z130" i="68" s="1"/>
  <c r="W130" i="68"/>
  <c r="N130" i="68"/>
  <c r="O130" i="68" s="1"/>
  <c r="P130" i="68" s="1"/>
  <c r="Y129" i="68"/>
  <c r="Z129" i="68" s="1"/>
  <c r="W129" i="68"/>
  <c r="N129" i="68"/>
  <c r="O129" i="68" s="1"/>
  <c r="P129" i="68" s="1"/>
  <c r="Q127" i="68"/>
  <c r="P127" i="68"/>
  <c r="O127" i="68"/>
  <c r="N127" i="68"/>
  <c r="M127" i="68"/>
  <c r="L127" i="68"/>
  <c r="AA125" i="68"/>
  <c r="AB125" i="68" s="1"/>
  <c r="Z125" i="68"/>
  <c r="Y125" i="68"/>
  <c r="W125" i="68"/>
  <c r="X125" i="68" s="1"/>
  <c r="AA124" i="68"/>
  <c r="Z124" i="68"/>
  <c r="Y124" i="68"/>
  <c r="W124" i="68"/>
  <c r="AA119" i="68"/>
  <c r="AB119" i="68" s="1"/>
  <c r="Z119" i="68"/>
  <c r="Y119" i="68"/>
  <c r="W119" i="68"/>
  <c r="X119" i="68" s="1"/>
  <c r="AA118" i="68"/>
  <c r="AB118" i="68" s="1"/>
  <c r="Z118" i="68"/>
  <c r="Y118" i="68"/>
  <c r="W118" i="68"/>
  <c r="X118" i="68" s="1"/>
  <c r="AA117" i="68"/>
  <c r="AB117" i="68" s="1"/>
  <c r="Z117" i="68"/>
  <c r="Y117" i="68"/>
  <c r="W117" i="68"/>
  <c r="X117" i="68" s="1"/>
  <c r="AA116" i="68"/>
  <c r="Z116" i="68"/>
  <c r="Y116" i="68"/>
  <c r="W116" i="68"/>
  <c r="X116" i="68" s="1"/>
  <c r="Q114" i="68"/>
  <c r="P114" i="68"/>
  <c r="O114" i="68"/>
  <c r="N114" i="68"/>
  <c r="M114" i="68"/>
  <c r="L114" i="68"/>
  <c r="K114" i="68"/>
  <c r="J114" i="68"/>
  <c r="I114" i="68"/>
  <c r="H114" i="68"/>
  <c r="G114" i="68"/>
  <c r="F114" i="68"/>
  <c r="E114" i="68"/>
  <c r="D114" i="68"/>
  <c r="AA110" i="68"/>
  <c r="AB110" i="68" s="1"/>
  <c r="Z110" i="68"/>
  <c r="Y110" i="68"/>
  <c r="W110" i="68"/>
  <c r="X110" i="68" s="1"/>
  <c r="AA109" i="68"/>
  <c r="AB109" i="68" s="1"/>
  <c r="Z109" i="68"/>
  <c r="Y109" i="68"/>
  <c r="W109" i="68"/>
  <c r="X109" i="68" s="1"/>
  <c r="AA108" i="68"/>
  <c r="AB108" i="68" s="1"/>
  <c r="Z108" i="68"/>
  <c r="Y108" i="68"/>
  <c r="W108" i="68"/>
  <c r="X108" i="68" s="1"/>
  <c r="AA107" i="68"/>
  <c r="AB107" i="68" s="1"/>
  <c r="Z107" i="68"/>
  <c r="Y107" i="68"/>
  <c r="W107" i="68"/>
  <c r="X107" i="68" s="1"/>
  <c r="AA106" i="68"/>
  <c r="AB106" i="68" s="1"/>
  <c r="Z106" i="68"/>
  <c r="Y106" i="68"/>
  <c r="W106" i="68"/>
  <c r="X106" i="68" s="1"/>
  <c r="AA105" i="68"/>
  <c r="AB105" i="68" s="1"/>
  <c r="Z105" i="68"/>
  <c r="Y105" i="68"/>
  <c r="W105" i="68"/>
  <c r="X105" i="68" s="1"/>
  <c r="AA104" i="68"/>
  <c r="AB104" i="68" s="1"/>
  <c r="Z104" i="68"/>
  <c r="Y104" i="68"/>
  <c r="W104" i="68"/>
  <c r="X104" i="68" s="1"/>
  <c r="AA103" i="68"/>
  <c r="AB103" i="68" s="1"/>
  <c r="Z103" i="68"/>
  <c r="Y103" i="68"/>
  <c r="W103" i="68"/>
  <c r="X103" i="68" s="1"/>
  <c r="AA102" i="68"/>
  <c r="Z102" i="68"/>
  <c r="Y102" i="68"/>
  <c r="W102" i="68"/>
  <c r="X102" i="68" s="1"/>
  <c r="AA101" i="68"/>
  <c r="AB101" i="68" s="1"/>
  <c r="Z101" i="68"/>
  <c r="Y101" i="68"/>
  <c r="W101" i="68"/>
  <c r="X101" i="68" s="1"/>
  <c r="Q100" i="68"/>
  <c r="P100" i="68"/>
  <c r="O100" i="68"/>
  <c r="N100" i="68"/>
  <c r="M100" i="68"/>
  <c r="L100" i="68"/>
  <c r="K100" i="68"/>
  <c r="J100" i="68"/>
  <c r="I100" i="68"/>
  <c r="H100" i="68"/>
  <c r="G100" i="68"/>
  <c r="F100" i="68"/>
  <c r="E100" i="68"/>
  <c r="D100" i="68"/>
  <c r="AA99" i="68"/>
  <c r="AB99" i="68" s="1"/>
  <c r="Z99" i="68"/>
  <c r="Y99" i="68"/>
  <c r="W99" i="68"/>
  <c r="X99" i="68" s="1"/>
  <c r="AA98" i="68"/>
  <c r="AB98" i="68" s="1"/>
  <c r="Z98" i="68"/>
  <c r="Y98" i="68"/>
  <c r="W98" i="68"/>
  <c r="X98" i="68" s="1"/>
  <c r="AA97" i="68"/>
  <c r="AB97" i="68" s="1"/>
  <c r="Z97" i="68"/>
  <c r="Y97" i="68"/>
  <c r="W97" i="68"/>
  <c r="X97" i="68" s="1"/>
  <c r="AA96" i="68"/>
  <c r="AB96" i="68" s="1"/>
  <c r="Z96" i="68"/>
  <c r="Y96" i="68"/>
  <c r="W96" i="68"/>
  <c r="X96" i="68" s="1"/>
  <c r="AA95" i="68"/>
  <c r="AB95" i="68" s="1"/>
  <c r="Z95" i="68"/>
  <c r="Y95" i="68"/>
  <c r="W95" i="68"/>
  <c r="X95" i="68" s="1"/>
  <c r="AA94" i="68"/>
  <c r="AB94" i="68" s="1"/>
  <c r="Z94" i="68"/>
  <c r="Y94" i="68"/>
  <c r="W94" i="68"/>
  <c r="X94" i="68" s="1"/>
  <c r="AA93" i="68"/>
  <c r="Z93" i="68"/>
  <c r="Y93" i="68"/>
  <c r="W93" i="68"/>
  <c r="X93" i="68" s="1"/>
  <c r="AA92" i="68"/>
  <c r="AB92" i="68" s="1"/>
  <c r="Z92" i="68"/>
  <c r="Y92" i="68"/>
  <c r="W92" i="68"/>
  <c r="X92" i="68" s="1"/>
  <c r="AA91" i="68"/>
  <c r="AB91" i="68" s="1"/>
  <c r="Z91" i="68"/>
  <c r="Y91" i="68"/>
  <c r="W91" i="68"/>
  <c r="Q90" i="68"/>
  <c r="P90" i="68"/>
  <c r="O90" i="68"/>
  <c r="N90" i="68"/>
  <c r="M90" i="68"/>
  <c r="L90" i="68"/>
  <c r="K90" i="68"/>
  <c r="J90" i="68"/>
  <c r="I90" i="68"/>
  <c r="H90" i="68"/>
  <c r="G90" i="68"/>
  <c r="F90" i="68"/>
  <c r="E90" i="68"/>
  <c r="D90" i="68"/>
  <c r="AB82" i="68"/>
  <c r="Z82" i="68"/>
  <c r="Y82" i="68"/>
  <c r="X82" i="68"/>
  <c r="AA81" i="68"/>
  <c r="AB81" i="68" s="1"/>
  <c r="Z81" i="68"/>
  <c r="Y81" i="68"/>
  <c r="W81" i="68"/>
  <c r="X81" i="68" s="1"/>
  <c r="AA80" i="68"/>
  <c r="Z80" i="68"/>
  <c r="Y80" i="68"/>
  <c r="W80" i="68"/>
  <c r="X80" i="68" s="1"/>
  <c r="Q79" i="68"/>
  <c r="P79" i="68"/>
  <c r="O79" i="68"/>
  <c r="N79" i="68"/>
  <c r="M79" i="68"/>
  <c r="L79" i="68"/>
  <c r="K79" i="68"/>
  <c r="J79" i="68"/>
  <c r="I79" i="68"/>
  <c r="H79" i="68"/>
  <c r="G79" i="68"/>
  <c r="F79" i="68"/>
  <c r="E79" i="68"/>
  <c r="D79" i="68"/>
  <c r="AA78" i="68"/>
  <c r="AB78" i="68" s="1"/>
  <c r="Z78" i="68"/>
  <c r="Y78" i="68"/>
  <c r="W78" i="68"/>
  <c r="X78" i="68" s="1"/>
  <c r="AA77" i="68"/>
  <c r="AB77" i="68" s="1"/>
  <c r="Z77" i="68"/>
  <c r="Y77" i="68"/>
  <c r="W77" i="68"/>
  <c r="X77" i="68" s="1"/>
  <c r="AA76" i="68"/>
  <c r="AB76" i="68" s="1"/>
  <c r="Z76" i="68"/>
  <c r="Y76" i="68"/>
  <c r="W76" i="68"/>
  <c r="X76" i="68" s="1"/>
  <c r="AA75" i="68"/>
  <c r="AB75" i="68" s="1"/>
  <c r="Z75" i="68"/>
  <c r="Y75" i="68"/>
  <c r="W75" i="68"/>
  <c r="X75" i="68" s="1"/>
  <c r="AA74" i="68"/>
  <c r="AB74" i="68" s="1"/>
  <c r="Z74" i="68"/>
  <c r="Y74" i="68"/>
  <c r="W74" i="68"/>
  <c r="X74" i="68" s="1"/>
  <c r="AA73" i="68"/>
  <c r="Z73" i="68"/>
  <c r="Y73" i="68"/>
  <c r="W73" i="68"/>
  <c r="X73" i="68" s="1"/>
  <c r="AA72" i="68"/>
  <c r="AB72" i="68" s="1"/>
  <c r="Z72" i="68"/>
  <c r="Y72" i="68"/>
  <c r="W72" i="68"/>
  <c r="X72" i="68" s="1"/>
  <c r="AA71" i="68"/>
  <c r="AB71" i="68" s="1"/>
  <c r="Z71" i="68"/>
  <c r="Y71" i="68"/>
  <c r="W71" i="68"/>
  <c r="AA70" i="68"/>
  <c r="AB70" i="68" s="1"/>
  <c r="Z70" i="68"/>
  <c r="Y70" i="68"/>
  <c r="W70" i="68"/>
  <c r="X70" i="68" s="1"/>
  <c r="Q69" i="68"/>
  <c r="P69" i="68"/>
  <c r="O69" i="68"/>
  <c r="N69" i="68"/>
  <c r="M69" i="68"/>
  <c r="L69" i="68"/>
  <c r="K69" i="68"/>
  <c r="J69" i="68"/>
  <c r="I69" i="68"/>
  <c r="H69" i="68"/>
  <c r="G69" i="68"/>
  <c r="F69" i="68"/>
  <c r="E69" i="68"/>
  <c r="D69" i="68"/>
  <c r="AA68" i="68"/>
  <c r="AB68" i="68" s="1"/>
  <c r="Z68" i="68"/>
  <c r="Y68" i="68"/>
  <c r="W68" i="68"/>
  <c r="X68" i="68" s="1"/>
  <c r="AA67" i="68"/>
  <c r="AB67" i="68" s="1"/>
  <c r="Z67" i="68"/>
  <c r="Y67" i="68"/>
  <c r="W67" i="68"/>
  <c r="X67" i="68" s="1"/>
  <c r="AA66" i="68"/>
  <c r="AB66" i="68" s="1"/>
  <c r="Z66" i="68"/>
  <c r="Y66" i="68"/>
  <c r="W66" i="68"/>
  <c r="X66" i="68" s="1"/>
  <c r="AA65" i="68"/>
  <c r="AB65" i="68" s="1"/>
  <c r="Z65" i="68"/>
  <c r="Y65" i="68"/>
  <c r="W65" i="68"/>
  <c r="X65" i="68" s="1"/>
  <c r="AA64" i="68"/>
  <c r="AB64" i="68" s="1"/>
  <c r="Z64" i="68"/>
  <c r="Y64" i="68"/>
  <c r="W64" i="68"/>
  <c r="X64" i="68" s="1"/>
  <c r="AA63" i="68"/>
  <c r="AB63" i="68" s="1"/>
  <c r="Z63" i="68"/>
  <c r="Y63" i="68"/>
  <c r="W63" i="68"/>
  <c r="X63" i="68" s="1"/>
  <c r="Q62" i="68"/>
  <c r="P62" i="68"/>
  <c r="O62" i="68"/>
  <c r="N62" i="68"/>
  <c r="M62" i="68"/>
  <c r="L62" i="68"/>
  <c r="K62" i="68"/>
  <c r="J62" i="68"/>
  <c r="I62" i="68"/>
  <c r="H62" i="68"/>
  <c r="G62" i="68"/>
  <c r="F62" i="68"/>
  <c r="E62" i="68"/>
  <c r="D62" i="68"/>
  <c r="AA56" i="68"/>
  <c r="AB56" i="68" s="1"/>
  <c r="Z56" i="68"/>
  <c r="Y56" i="68"/>
  <c r="W56" i="68"/>
  <c r="X56" i="68" s="1"/>
  <c r="AA55" i="68"/>
  <c r="Z55" i="68"/>
  <c r="Y55" i="68"/>
  <c r="W55" i="68"/>
  <c r="X55" i="68" s="1"/>
  <c r="AA54" i="68"/>
  <c r="AB54" i="68" s="1"/>
  <c r="Z54" i="68"/>
  <c r="Y54" i="68"/>
  <c r="W54" i="68"/>
  <c r="X54" i="68" s="1"/>
  <c r="AA53" i="68"/>
  <c r="AB53" i="68" s="1"/>
  <c r="Z53" i="68"/>
  <c r="Y53" i="68"/>
  <c r="W53" i="68"/>
  <c r="X53" i="68" s="1"/>
  <c r="AA52" i="68"/>
  <c r="AB52" i="68" s="1"/>
  <c r="Z52" i="68"/>
  <c r="Y52" i="68"/>
  <c r="W52" i="68"/>
  <c r="X52" i="68" s="1"/>
  <c r="AA51" i="68"/>
  <c r="AB51" i="68" s="1"/>
  <c r="Z51" i="68"/>
  <c r="Y51" i="68"/>
  <c r="W51" i="68"/>
  <c r="AA50" i="68"/>
  <c r="AB50" i="68" s="1"/>
  <c r="Z50" i="68"/>
  <c r="Y50" i="68"/>
  <c r="W50" i="68"/>
  <c r="X50" i="68" s="1"/>
  <c r="Q49" i="68"/>
  <c r="Q41" i="68" s="1"/>
  <c r="P49" i="68"/>
  <c r="P41" i="68" s="1"/>
  <c r="O49" i="68"/>
  <c r="O41" i="68" s="1"/>
  <c r="N49" i="68"/>
  <c r="N41" i="68" s="1"/>
  <c r="M49" i="68"/>
  <c r="M41" i="68" s="1"/>
  <c r="L49" i="68"/>
  <c r="L41" i="68" s="1"/>
  <c r="K49" i="68"/>
  <c r="K41" i="68" s="1"/>
  <c r="J49" i="68"/>
  <c r="J41" i="68" s="1"/>
  <c r="I49" i="68"/>
  <c r="I41" i="68" s="1"/>
  <c r="H49" i="68"/>
  <c r="H41" i="68" s="1"/>
  <c r="G49" i="68"/>
  <c r="G41" i="68" s="1"/>
  <c r="F49" i="68"/>
  <c r="F41" i="68" s="1"/>
  <c r="E49" i="68"/>
  <c r="E41" i="68" s="1"/>
  <c r="D49" i="68"/>
  <c r="D41" i="68" s="1"/>
  <c r="AB48" i="68"/>
  <c r="AA48" i="68"/>
  <c r="Z48" i="68"/>
  <c r="Y48" i="68"/>
  <c r="W48" i="68"/>
  <c r="X48" i="68" s="1"/>
  <c r="AB47" i="68"/>
  <c r="AA47" i="68"/>
  <c r="Z47" i="68"/>
  <c r="Y47" i="68"/>
  <c r="W47" i="68"/>
  <c r="X47" i="68" s="1"/>
  <c r="AB46" i="68"/>
  <c r="AA46" i="68"/>
  <c r="Z46" i="68"/>
  <c r="Y46" i="68"/>
  <c r="W46" i="68"/>
  <c r="X46" i="68" s="1"/>
  <c r="AB45" i="68"/>
  <c r="AA45" i="68"/>
  <c r="Z45" i="68"/>
  <c r="Y45" i="68"/>
  <c r="W45" i="68"/>
  <c r="X45" i="68" s="1"/>
  <c r="AB43" i="68"/>
  <c r="AA43" i="68"/>
  <c r="Z43" i="68"/>
  <c r="Y43" i="68"/>
  <c r="W43" i="68"/>
  <c r="X43" i="68" s="1"/>
  <c r="AB37" i="68"/>
  <c r="AA37" i="68"/>
  <c r="Z37" i="68"/>
  <c r="Y37" i="68"/>
  <c r="W37" i="68"/>
  <c r="X37" i="68" s="1"/>
  <c r="AB36" i="68"/>
  <c r="AA36" i="68"/>
  <c r="Z36" i="68"/>
  <c r="Y36" i="68"/>
  <c r="W36" i="68"/>
  <c r="X36" i="68" s="1"/>
  <c r="AB35" i="68"/>
  <c r="AA35" i="68"/>
  <c r="Z35" i="68"/>
  <c r="Y35" i="68"/>
  <c r="W35" i="68"/>
  <c r="X35" i="68" s="1"/>
  <c r="AB34" i="68"/>
  <c r="AA34" i="68"/>
  <c r="Z34" i="68"/>
  <c r="Y34" i="68"/>
  <c r="W34" i="68"/>
  <c r="X34" i="68" s="1"/>
  <c r="AB33" i="68"/>
  <c r="AA33" i="68"/>
  <c r="Z33" i="68"/>
  <c r="Y33" i="68"/>
  <c r="W33" i="68"/>
  <c r="X33" i="68" s="1"/>
  <c r="AB32" i="68"/>
  <c r="AA32" i="68"/>
  <c r="Z32" i="68"/>
  <c r="Y32" i="68"/>
  <c r="W32" i="68"/>
  <c r="X32" i="68" s="1"/>
  <c r="AB31" i="68"/>
  <c r="AA31" i="68"/>
  <c r="Z31" i="68"/>
  <c r="Y31" i="68"/>
  <c r="W31" i="68"/>
  <c r="X31" i="68" s="1"/>
  <c r="AB30" i="68"/>
  <c r="AA30" i="68"/>
  <c r="Z30" i="68"/>
  <c r="Y30" i="68"/>
  <c r="W30" i="68"/>
  <c r="X30" i="68" s="1"/>
  <c r="AB29" i="68"/>
  <c r="AA29" i="68"/>
  <c r="Z29" i="68"/>
  <c r="Y29" i="68"/>
  <c r="W29" i="68"/>
  <c r="X29" i="68" s="1"/>
  <c r="Q27" i="68"/>
  <c r="P27" i="68"/>
  <c r="O27" i="68"/>
  <c r="N27" i="68"/>
  <c r="M27" i="68"/>
  <c r="L27" i="68"/>
  <c r="K27" i="68"/>
  <c r="J27" i="68"/>
  <c r="I27" i="68"/>
  <c r="H27" i="68"/>
  <c r="G27" i="68"/>
  <c r="F27" i="68"/>
  <c r="E27" i="68"/>
  <c r="D27" i="68"/>
  <c r="AB25" i="68"/>
  <c r="AA25" i="68"/>
  <c r="Z25" i="68"/>
  <c r="Y25" i="68"/>
  <c r="W25" i="68"/>
  <c r="X25" i="68" s="1"/>
  <c r="AB24" i="68"/>
  <c r="AA24" i="68"/>
  <c r="Z24" i="68"/>
  <c r="Y24" i="68"/>
  <c r="W24" i="68"/>
  <c r="X24" i="68" s="1"/>
  <c r="AB23" i="68"/>
  <c r="AA23" i="68"/>
  <c r="Z23" i="68"/>
  <c r="Y23" i="68"/>
  <c r="W23" i="68"/>
  <c r="X23" i="68" s="1"/>
  <c r="AB22" i="68"/>
  <c r="AA22" i="68"/>
  <c r="Z22" i="68"/>
  <c r="Y22" i="68"/>
  <c r="W22" i="68"/>
  <c r="X22" i="68" s="1"/>
  <c r="AB21" i="68"/>
  <c r="AA21" i="68"/>
  <c r="Z21" i="68"/>
  <c r="Y21" i="68"/>
  <c r="W21" i="68"/>
  <c r="X21" i="68" s="1"/>
  <c r="AB20" i="68"/>
  <c r="AA20" i="68"/>
  <c r="Z20" i="68"/>
  <c r="Y20" i="68"/>
  <c r="W20" i="68"/>
  <c r="X20" i="68" s="1"/>
  <c r="AB19" i="68"/>
  <c r="AA19" i="68"/>
  <c r="Z19" i="68"/>
  <c r="Y19" i="68"/>
  <c r="W19" i="68"/>
  <c r="X19" i="68" s="1"/>
  <c r="AB18" i="68"/>
  <c r="AA18" i="68"/>
  <c r="Z18" i="68"/>
  <c r="Y18" i="68"/>
  <c r="W18" i="68"/>
  <c r="Q17" i="68"/>
  <c r="P17" i="68"/>
  <c r="O17" i="68"/>
  <c r="N17" i="68"/>
  <c r="M17" i="68"/>
  <c r="L17" i="68"/>
  <c r="K17" i="68"/>
  <c r="J17" i="68"/>
  <c r="I17" i="68"/>
  <c r="H17" i="68"/>
  <c r="G17" i="68"/>
  <c r="F17" i="68"/>
  <c r="E17" i="68"/>
  <c r="D17" i="68"/>
  <c r="AB16" i="68"/>
  <c r="AA16" i="68"/>
  <c r="Z16" i="68"/>
  <c r="Y16" i="68"/>
  <c r="W16" i="68"/>
  <c r="X16" i="68" s="1"/>
  <c r="AB15" i="68"/>
  <c r="AA15" i="68"/>
  <c r="Z15" i="68"/>
  <c r="Y15" i="68"/>
  <c r="W15" i="68"/>
  <c r="X15" i="68" s="1"/>
  <c r="AB14" i="68"/>
  <c r="AA14" i="68"/>
  <c r="Z14" i="68"/>
  <c r="Y14" i="68"/>
  <c r="W14" i="68"/>
  <c r="X14" i="68" s="1"/>
  <c r="AB13" i="68"/>
  <c r="AA13" i="68"/>
  <c r="Z13" i="68"/>
  <c r="Y13" i="68"/>
  <c r="W13" i="68"/>
  <c r="X13" i="68" s="1"/>
  <c r="AB12" i="68"/>
  <c r="AA12" i="68"/>
  <c r="Z12" i="68"/>
  <c r="Y12" i="68"/>
  <c r="W12" i="68"/>
  <c r="X12" i="68" s="1"/>
  <c r="AB11" i="68"/>
  <c r="AA11" i="68"/>
  <c r="Z11" i="68"/>
  <c r="Y11" i="68"/>
  <c r="W11" i="68"/>
  <c r="X11" i="68" s="1"/>
  <c r="AB10" i="68"/>
  <c r="AA10" i="68"/>
  <c r="Z10" i="68"/>
  <c r="Y10" i="68"/>
  <c r="W10" i="68"/>
  <c r="X10" i="68" s="1"/>
  <c r="AB9" i="68"/>
  <c r="AA9" i="68"/>
  <c r="Z9" i="68"/>
  <c r="Y9" i="68"/>
  <c r="W9" i="68"/>
  <c r="X9" i="68" s="1"/>
  <c r="Q8" i="68"/>
  <c r="P8" i="68"/>
  <c r="O8" i="68"/>
  <c r="N8" i="68"/>
  <c r="M8" i="68"/>
  <c r="L8" i="68"/>
  <c r="K8" i="68"/>
  <c r="J8" i="68"/>
  <c r="I8" i="68"/>
  <c r="H8" i="68"/>
  <c r="G8" i="68"/>
  <c r="F8" i="68"/>
  <c r="E8" i="68"/>
  <c r="D8" i="68"/>
  <c r="Y130" i="67"/>
  <c r="Z130" i="67" s="1"/>
  <c r="W130" i="67"/>
  <c r="N130" i="67"/>
  <c r="O130" i="67" s="1"/>
  <c r="P130" i="67" s="1"/>
  <c r="AA130" i="67" s="1"/>
  <c r="AB130" i="67" s="1"/>
  <c r="AC130" i="67" s="1"/>
  <c r="AD130" i="67" s="1"/>
  <c r="Y129" i="67"/>
  <c r="Z129" i="67" s="1"/>
  <c r="W129" i="67"/>
  <c r="N129" i="67"/>
  <c r="O129" i="67" s="1"/>
  <c r="P129" i="67" s="1"/>
  <c r="AA129" i="67" s="1"/>
  <c r="AB129" i="67" s="1"/>
  <c r="AC129" i="67" s="1"/>
  <c r="AD129" i="67" s="1"/>
  <c r="Q127" i="67"/>
  <c r="P127" i="67"/>
  <c r="O127" i="67"/>
  <c r="N127" i="67"/>
  <c r="M127" i="67"/>
  <c r="L127" i="67"/>
  <c r="AA125" i="67"/>
  <c r="AB125" i="67" s="1"/>
  <c r="Z125" i="67"/>
  <c r="Y125" i="67"/>
  <c r="W125" i="67"/>
  <c r="X125" i="67" s="1"/>
  <c r="AA124" i="67"/>
  <c r="AB124" i="67" s="1"/>
  <c r="Z124" i="67"/>
  <c r="Y124" i="67"/>
  <c r="W124" i="67"/>
  <c r="AA119" i="67"/>
  <c r="AB119" i="67" s="1"/>
  <c r="Z119" i="67"/>
  <c r="Y119" i="67"/>
  <c r="W119" i="67"/>
  <c r="X119" i="67" s="1"/>
  <c r="AA118" i="67"/>
  <c r="AB118" i="67" s="1"/>
  <c r="Z118" i="67"/>
  <c r="Y118" i="67"/>
  <c r="W118" i="67"/>
  <c r="X118" i="67" s="1"/>
  <c r="AA117" i="67"/>
  <c r="AB117" i="67" s="1"/>
  <c r="Z117" i="67"/>
  <c r="Y117" i="67"/>
  <c r="W117" i="67"/>
  <c r="X117" i="67" s="1"/>
  <c r="AA116" i="67"/>
  <c r="AB116" i="67" s="1"/>
  <c r="Z116" i="67"/>
  <c r="Y116" i="67"/>
  <c r="W116" i="67"/>
  <c r="X116" i="67" s="1"/>
  <c r="Q114" i="67"/>
  <c r="P114" i="67"/>
  <c r="O114" i="67"/>
  <c r="N114" i="67"/>
  <c r="M114" i="67"/>
  <c r="L114" i="67"/>
  <c r="K114" i="67"/>
  <c r="J114" i="67"/>
  <c r="I114" i="67"/>
  <c r="H114" i="67"/>
  <c r="G114" i="67"/>
  <c r="F114" i="67"/>
  <c r="E114" i="67"/>
  <c r="D114" i="67"/>
  <c r="AA110" i="67"/>
  <c r="AB110" i="67" s="1"/>
  <c r="Z110" i="67"/>
  <c r="Y110" i="67"/>
  <c r="W110" i="67"/>
  <c r="X110" i="67" s="1"/>
  <c r="AA109" i="67"/>
  <c r="AB109" i="67" s="1"/>
  <c r="Z109" i="67"/>
  <c r="Y109" i="67"/>
  <c r="W109" i="67"/>
  <c r="X109" i="67" s="1"/>
  <c r="AA108" i="67"/>
  <c r="AB108" i="67" s="1"/>
  <c r="Z108" i="67"/>
  <c r="Y108" i="67"/>
  <c r="W108" i="67"/>
  <c r="X108" i="67" s="1"/>
  <c r="AA107" i="67"/>
  <c r="AB107" i="67" s="1"/>
  <c r="Z107" i="67"/>
  <c r="Y107" i="67"/>
  <c r="W107" i="67"/>
  <c r="X107" i="67" s="1"/>
  <c r="AA106" i="67"/>
  <c r="AB106" i="67" s="1"/>
  <c r="Z106" i="67"/>
  <c r="Y106" i="67"/>
  <c r="W106" i="67"/>
  <c r="AA105" i="67"/>
  <c r="AB105" i="67" s="1"/>
  <c r="Z105" i="67"/>
  <c r="Y105" i="67"/>
  <c r="W105" i="67"/>
  <c r="X105" i="67" s="1"/>
  <c r="AA104" i="67"/>
  <c r="AB104" i="67" s="1"/>
  <c r="Z104" i="67"/>
  <c r="Y104" i="67"/>
  <c r="W104" i="67"/>
  <c r="X104" i="67" s="1"/>
  <c r="AA103" i="67"/>
  <c r="AB103" i="67" s="1"/>
  <c r="Z103" i="67"/>
  <c r="Y103" i="67"/>
  <c r="W103" i="67"/>
  <c r="X103" i="67" s="1"/>
  <c r="AA102" i="67"/>
  <c r="AB102" i="67" s="1"/>
  <c r="Z102" i="67"/>
  <c r="Y102" i="67"/>
  <c r="W102" i="67"/>
  <c r="X102" i="67" s="1"/>
  <c r="AA101" i="67"/>
  <c r="AB101" i="67" s="1"/>
  <c r="Z101" i="67"/>
  <c r="Y101" i="67"/>
  <c r="W101" i="67"/>
  <c r="X101" i="67" s="1"/>
  <c r="Q100" i="67"/>
  <c r="P100" i="67"/>
  <c r="O100" i="67"/>
  <c r="N100" i="67"/>
  <c r="M100" i="67"/>
  <c r="L100" i="67"/>
  <c r="K100" i="67"/>
  <c r="J100" i="67"/>
  <c r="I100" i="67"/>
  <c r="H100" i="67"/>
  <c r="G100" i="67"/>
  <c r="F100" i="67"/>
  <c r="E100" i="67"/>
  <c r="D100" i="67"/>
  <c r="AA99" i="67"/>
  <c r="AB99" i="67" s="1"/>
  <c r="Z99" i="67"/>
  <c r="Y99" i="67"/>
  <c r="W99" i="67"/>
  <c r="X99" i="67" s="1"/>
  <c r="AA98" i="67"/>
  <c r="AB98" i="67" s="1"/>
  <c r="Z98" i="67"/>
  <c r="Y98" i="67"/>
  <c r="W98" i="67"/>
  <c r="X98" i="67" s="1"/>
  <c r="AA97" i="67"/>
  <c r="AB97" i="67" s="1"/>
  <c r="Z97" i="67"/>
  <c r="Y97" i="67"/>
  <c r="W97" i="67"/>
  <c r="X97" i="67" s="1"/>
  <c r="AA96" i="67"/>
  <c r="AB96" i="67" s="1"/>
  <c r="Z96" i="67"/>
  <c r="Y96" i="67"/>
  <c r="W96" i="67"/>
  <c r="X96" i="67" s="1"/>
  <c r="AA95" i="67"/>
  <c r="AB95" i="67" s="1"/>
  <c r="Z95" i="67"/>
  <c r="Y95" i="67"/>
  <c r="W95" i="67"/>
  <c r="X95" i="67" s="1"/>
  <c r="AA94" i="67"/>
  <c r="AB94" i="67" s="1"/>
  <c r="Z94" i="67"/>
  <c r="Y94" i="67"/>
  <c r="W94" i="67"/>
  <c r="X94" i="67" s="1"/>
  <c r="AA93" i="67"/>
  <c r="AB93" i="67" s="1"/>
  <c r="Z93" i="67"/>
  <c r="Y93" i="67"/>
  <c r="W93" i="67"/>
  <c r="X93" i="67" s="1"/>
  <c r="AA92" i="67"/>
  <c r="AB92" i="67" s="1"/>
  <c r="Z92" i="67"/>
  <c r="Y92" i="67"/>
  <c r="W92" i="67"/>
  <c r="X92" i="67" s="1"/>
  <c r="AA91" i="67"/>
  <c r="Z91" i="67"/>
  <c r="Y91" i="67"/>
  <c r="W91" i="67"/>
  <c r="Q90" i="67"/>
  <c r="P90" i="67"/>
  <c r="O90" i="67"/>
  <c r="N90" i="67"/>
  <c r="M90" i="67"/>
  <c r="L90" i="67"/>
  <c r="K90" i="67"/>
  <c r="J90" i="67"/>
  <c r="I90" i="67"/>
  <c r="H90" i="67"/>
  <c r="G90" i="67"/>
  <c r="F90" i="67"/>
  <c r="E90" i="67"/>
  <c r="D90" i="67"/>
  <c r="AB82" i="67"/>
  <c r="Z82" i="67"/>
  <c r="Y82" i="67"/>
  <c r="X82" i="67"/>
  <c r="AA81" i="67"/>
  <c r="AB81" i="67" s="1"/>
  <c r="Z81" i="67"/>
  <c r="Y81" i="67"/>
  <c r="W81" i="67"/>
  <c r="AA80" i="67"/>
  <c r="Z80" i="67"/>
  <c r="Y80" i="67"/>
  <c r="W80" i="67"/>
  <c r="X80" i="67" s="1"/>
  <c r="Q79" i="67"/>
  <c r="P79" i="67"/>
  <c r="O79" i="67"/>
  <c r="N79" i="67"/>
  <c r="M79" i="67"/>
  <c r="L79" i="67"/>
  <c r="K79" i="67"/>
  <c r="J79" i="67"/>
  <c r="I79" i="67"/>
  <c r="H79" i="67"/>
  <c r="G79" i="67"/>
  <c r="F79" i="67"/>
  <c r="E79" i="67"/>
  <c r="D79" i="67"/>
  <c r="AA78" i="67"/>
  <c r="AB78" i="67" s="1"/>
  <c r="Z78" i="67"/>
  <c r="Y78" i="67"/>
  <c r="W78" i="67"/>
  <c r="X78" i="67" s="1"/>
  <c r="AA77" i="67"/>
  <c r="AB77" i="67" s="1"/>
  <c r="Z77" i="67"/>
  <c r="Y77" i="67"/>
  <c r="W77" i="67"/>
  <c r="X77" i="67" s="1"/>
  <c r="AA76" i="67"/>
  <c r="AB76" i="67" s="1"/>
  <c r="Z76" i="67"/>
  <c r="Y76" i="67"/>
  <c r="W76" i="67"/>
  <c r="X76" i="67" s="1"/>
  <c r="AA75" i="67"/>
  <c r="AB75" i="67" s="1"/>
  <c r="Z75" i="67"/>
  <c r="Y75" i="67"/>
  <c r="W75" i="67"/>
  <c r="X75" i="67" s="1"/>
  <c r="AA74" i="67"/>
  <c r="AB74" i="67" s="1"/>
  <c r="Z74" i="67"/>
  <c r="Y74" i="67"/>
  <c r="W74" i="67"/>
  <c r="X74" i="67" s="1"/>
  <c r="AA73" i="67"/>
  <c r="AB73" i="67" s="1"/>
  <c r="Z73" i="67"/>
  <c r="Y73" i="67"/>
  <c r="W73" i="67"/>
  <c r="X73" i="67" s="1"/>
  <c r="AA72" i="67"/>
  <c r="AB72" i="67" s="1"/>
  <c r="Z72" i="67"/>
  <c r="Y72" i="67"/>
  <c r="W72" i="67"/>
  <c r="X72" i="67" s="1"/>
  <c r="AA71" i="67"/>
  <c r="AB71" i="67" s="1"/>
  <c r="Z71" i="67"/>
  <c r="Y71" i="67"/>
  <c r="W71" i="67"/>
  <c r="X71" i="67" s="1"/>
  <c r="AA70" i="67"/>
  <c r="Z70" i="67"/>
  <c r="Y70" i="67"/>
  <c r="W70" i="67"/>
  <c r="X70" i="67" s="1"/>
  <c r="Q69" i="67"/>
  <c r="P69" i="67"/>
  <c r="O69" i="67"/>
  <c r="N69" i="67"/>
  <c r="M69" i="67"/>
  <c r="L69" i="67"/>
  <c r="K69" i="67"/>
  <c r="J69" i="67"/>
  <c r="I69" i="67"/>
  <c r="H69" i="67"/>
  <c r="G69" i="67"/>
  <c r="F69" i="67"/>
  <c r="E69" i="67"/>
  <c r="D69" i="67"/>
  <c r="AA68" i="67"/>
  <c r="AB68" i="67" s="1"/>
  <c r="Z68" i="67"/>
  <c r="Y68" i="67"/>
  <c r="W68" i="67"/>
  <c r="X68" i="67" s="1"/>
  <c r="AA67" i="67"/>
  <c r="AB67" i="67" s="1"/>
  <c r="Z67" i="67"/>
  <c r="Y67" i="67"/>
  <c r="W67" i="67"/>
  <c r="X67" i="67" s="1"/>
  <c r="AA66" i="67"/>
  <c r="AB66" i="67" s="1"/>
  <c r="Z66" i="67"/>
  <c r="Y66" i="67"/>
  <c r="W66" i="67"/>
  <c r="X66" i="67" s="1"/>
  <c r="AA65" i="67"/>
  <c r="AB65" i="67" s="1"/>
  <c r="Z65" i="67"/>
  <c r="Y65" i="67"/>
  <c r="W65" i="67"/>
  <c r="X65" i="67" s="1"/>
  <c r="AA64" i="67"/>
  <c r="AB64" i="67" s="1"/>
  <c r="Z64" i="67"/>
  <c r="Y64" i="67"/>
  <c r="W64" i="67"/>
  <c r="X64" i="67" s="1"/>
  <c r="AA63" i="67"/>
  <c r="Z63" i="67"/>
  <c r="Y63" i="67"/>
  <c r="W63" i="67"/>
  <c r="Q62" i="67"/>
  <c r="P62" i="67"/>
  <c r="O62" i="67"/>
  <c r="N62" i="67"/>
  <c r="M62" i="67"/>
  <c r="L62" i="67"/>
  <c r="K62" i="67"/>
  <c r="J62" i="67"/>
  <c r="I62" i="67"/>
  <c r="H62" i="67"/>
  <c r="G62" i="67"/>
  <c r="F62" i="67"/>
  <c r="E62" i="67"/>
  <c r="D62" i="67"/>
  <c r="AA56" i="67"/>
  <c r="AB56" i="67" s="1"/>
  <c r="Z56" i="67"/>
  <c r="Y56" i="67"/>
  <c r="W56" i="67"/>
  <c r="X56" i="67" s="1"/>
  <c r="AA55" i="67"/>
  <c r="Z55" i="67"/>
  <c r="Y55" i="67"/>
  <c r="W55" i="67"/>
  <c r="X55" i="67" s="1"/>
  <c r="AA54" i="67"/>
  <c r="AB54" i="67" s="1"/>
  <c r="Z54" i="67"/>
  <c r="Y54" i="67"/>
  <c r="W54" i="67"/>
  <c r="X54" i="67" s="1"/>
  <c r="AA53" i="67"/>
  <c r="AB53" i="67" s="1"/>
  <c r="Z53" i="67"/>
  <c r="Y53" i="67"/>
  <c r="W53" i="67"/>
  <c r="X53" i="67" s="1"/>
  <c r="AA52" i="67"/>
  <c r="AB52" i="67" s="1"/>
  <c r="Z52" i="67"/>
  <c r="Y52" i="67"/>
  <c r="W52" i="67"/>
  <c r="X52" i="67" s="1"/>
  <c r="AA51" i="67"/>
  <c r="AB51" i="67" s="1"/>
  <c r="Z51" i="67"/>
  <c r="Y51" i="67"/>
  <c r="W51" i="67"/>
  <c r="X51" i="67" s="1"/>
  <c r="AA50" i="67"/>
  <c r="AB50" i="67" s="1"/>
  <c r="Z50" i="67"/>
  <c r="Y50" i="67"/>
  <c r="W50" i="67"/>
  <c r="Q49" i="67"/>
  <c r="Q41" i="67" s="1"/>
  <c r="P49" i="67"/>
  <c r="P41" i="67" s="1"/>
  <c r="O49" i="67"/>
  <c r="O41" i="67" s="1"/>
  <c r="N49" i="67"/>
  <c r="N41" i="67" s="1"/>
  <c r="M49" i="67"/>
  <c r="M41" i="67" s="1"/>
  <c r="L49" i="67"/>
  <c r="L41" i="67" s="1"/>
  <c r="K49" i="67"/>
  <c r="K41" i="67" s="1"/>
  <c r="J49" i="67"/>
  <c r="J41" i="67" s="1"/>
  <c r="I49" i="67"/>
  <c r="I41" i="67" s="1"/>
  <c r="H49" i="67"/>
  <c r="H41" i="67" s="1"/>
  <c r="G49" i="67"/>
  <c r="G41" i="67" s="1"/>
  <c r="F49" i="67"/>
  <c r="F41" i="67" s="1"/>
  <c r="E49" i="67"/>
  <c r="E41" i="67" s="1"/>
  <c r="D49" i="67"/>
  <c r="D41" i="67" s="1"/>
  <c r="AB48" i="67"/>
  <c r="AA48" i="67"/>
  <c r="Z48" i="67"/>
  <c r="Y48" i="67"/>
  <c r="W48" i="67"/>
  <c r="X48" i="67" s="1"/>
  <c r="AB47" i="67"/>
  <c r="AA47" i="67"/>
  <c r="Z47" i="67"/>
  <c r="Y47" i="67"/>
  <c r="W47" i="67"/>
  <c r="X47" i="67" s="1"/>
  <c r="AB46" i="67"/>
  <c r="AA46" i="67"/>
  <c r="Z46" i="67"/>
  <c r="Y46" i="67"/>
  <c r="W46" i="67"/>
  <c r="X46" i="67" s="1"/>
  <c r="AB45" i="67"/>
  <c r="AA45" i="67"/>
  <c r="Z45" i="67"/>
  <c r="Y45" i="67"/>
  <c r="W45" i="67"/>
  <c r="X45" i="67" s="1"/>
  <c r="AB43" i="67"/>
  <c r="AA43" i="67"/>
  <c r="Z43" i="67"/>
  <c r="Y43" i="67"/>
  <c r="W43" i="67"/>
  <c r="AB37" i="67"/>
  <c r="AA37" i="67"/>
  <c r="Z37" i="67"/>
  <c r="Y37" i="67"/>
  <c r="W37" i="67"/>
  <c r="X37" i="67" s="1"/>
  <c r="AB36" i="67"/>
  <c r="AA36" i="67"/>
  <c r="Z36" i="67"/>
  <c r="Y36" i="67"/>
  <c r="W36" i="67"/>
  <c r="X36" i="67" s="1"/>
  <c r="AB35" i="67"/>
  <c r="AA35" i="67"/>
  <c r="Z35" i="67"/>
  <c r="Y35" i="67"/>
  <c r="W35" i="67"/>
  <c r="X35" i="67" s="1"/>
  <c r="AB34" i="67"/>
  <c r="AA34" i="67"/>
  <c r="Z34" i="67"/>
  <c r="Y34" i="67"/>
  <c r="W34" i="67"/>
  <c r="X34" i="67" s="1"/>
  <c r="AB33" i="67"/>
  <c r="AA33" i="67"/>
  <c r="Z33" i="67"/>
  <c r="Y33" i="67"/>
  <c r="W33" i="67"/>
  <c r="X33" i="67" s="1"/>
  <c r="AB32" i="67"/>
  <c r="AA32" i="67"/>
  <c r="Z32" i="67"/>
  <c r="Y32" i="67"/>
  <c r="W32" i="67"/>
  <c r="X32" i="67" s="1"/>
  <c r="AB31" i="67"/>
  <c r="AA31" i="67"/>
  <c r="Z31" i="67"/>
  <c r="Y31" i="67"/>
  <c r="W31" i="67"/>
  <c r="X31" i="67" s="1"/>
  <c r="AB30" i="67"/>
  <c r="AA30" i="67"/>
  <c r="Z30" i="67"/>
  <c r="Y30" i="67"/>
  <c r="W30" i="67"/>
  <c r="X30" i="67" s="1"/>
  <c r="AB29" i="67"/>
  <c r="AA29" i="67"/>
  <c r="Z29" i="67"/>
  <c r="Y29" i="67"/>
  <c r="W29" i="67"/>
  <c r="Q27" i="67"/>
  <c r="P27" i="67"/>
  <c r="O27" i="67"/>
  <c r="N27" i="67"/>
  <c r="M27" i="67"/>
  <c r="L27" i="67"/>
  <c r="K27" i="67"/>
  <c r="J27" i="67"/>
  <c r="I27" i="67"/>
  <c r="H27" i="67"/>
  <c r="G27" i="67"/>
  <c r="F27" i="67"/>
  <c r="E27" i="67"/>
  <c r="D27" i="67"/>
  <c r="AB25" i="67"/>
  <c r="AA25" i="67"/>
  <c r="Z25" i="67"/>
  <c r="Y25" i="67"/>
  <c r="W25" i="67"/>
  <c r="X25" i="67" s="1"/>
  <c r="AB24" i="67"/>
  <c r="AA24" i="67"/>
  <c r="Z24" i="67"/>
  <c r="Y24" i="67"/>
  <c r="W24" i="67"/>
  <c r="X24" i="67" s="1"/>
  <c r="AB23" i="67"/>
  <c r="AA23" i="67"/>
  <c r="Z23" i="67"/>
  <c r="Y23" i="67"/>
  <c r="W23" i="67"/>
  <c r="X23" i="67" s="1"/>
  <c r="AB22" i="67"/>
  <c r="AA22" i="67"/>
  <c r="Z22" i="67"/>
  <c r="Y22" i="67"/>
  <c r="W22" i="67"/>
  <c r="X22" i="67" s="1"/>
  <c r="AB21" i="67"/>
  <c r="AA21" i="67"/>
  <c r="Z21" i="67"/>
  <c r="Y21" i="67"/>
  <c r="W21" i="67"/>
  <c r="X21" i="67" s="1"/>
  <c r="AB20" i="67"/>
  <c r="AA20" i="67"/>
  <c r="Z20" i="67"/>
  <c r="Y20" i="67"/>
  <c r="W20" i="67"/>
  <c r="X20" i="67" s="1"/>
  <c r="AB19" i="67"/>
  <c r="AA19" i="67"/>
  <c r="Z19" i="67"/>
  <c r="Y19" i="67"/>
  <c r="W19" i="67"/>
  <c r="AB18" i="67"/>
  <c r="AA18" i="67"/>
  <c r="Z18" i="67"/>
  <c r="Y18" i="67"/>
  <c r="W18" i="67"/>
  <c r="X18" i="67" s="1"/>
  <c r="Q17" i="67"/>
  <c r="P17" i="67"/>
  <c r="O17" i="67"/>
  <c r="N17" i="67"/>
  <c r="M17" i="67"/>
  <c r="L17" i="67"/>
  <c r="K17" i="67"/>
  <c r="J17" i="67"/>
  <c r="I17" i="67"/>
  <c r="H17" i="67"/>
  <c r="G17" i="67"/>
  <c r="F17" i="67"/>
  <c r="E17" i="67"/>
  <c r="D17" i="67"/>
  <c r="AB16" i="67"/>
  <c r="AA16" i="67"/>
  <c r="Z16" i="67"/>
  <c r="Y16" i="67"/>
  <c r="W16" i="67"/>
  <c r="X16" i="67" s="1"/>
  <c r="AB15" i="67"/>
  <c r="AA15" i="67"/>
  <c r="Z15" i="67"/>
  <c r="Y15" i="67"/>
  <c r="W15" i="67"/>
  <c r="X15" i="67" s="1"/>
  <c r="AB14" i="67"/>
  <c r="AA14" i="67"/>
  <c r="Z14" i="67"/>
  <c r="Y14" i="67"/>
  <c r="W14" i="67"/>
  <c r="X14" i="67" s="1"/>
  <c r="AB13" i="67"/>
  <c r="AA13" i="67"/>
  <c r="Z13" i="67"/>
  <c r="Y13" i="67"/>
  <c r="W13" i="67"/>
  <c r="X13" i="67" s="1"/>
  <c r="AB12" i="67"/>
  <c r="AA12" i="67"/>
  <c r="Z12" i="67"/>
  <c r="Y12" i="67"/>
  <c r="W12" i="67"/>
  <c r="X12" i="67" s="1"/>
  <c r="AB11" i="67"/>
  <c r="AA11" i="67"/>
  <c r="Z11" i="67"/>
  <c r="Y11" i="67"/>
  <c r="W11" i="67"/>
  <c r="X11" i="67" s="1"/>
  <c r="AB10" i="67"/>
  <c r="AA10" i="67"/>
  <c r="Z10" i="67"/>
  <c r="Y10" i="67"/>
  <c r="W10" i="67"/>
  <c r="X10" i="67" s="1"/>
  <c r="AB9" i="67"/>
  <c r="AA9" i="67"/>
  <c r="Z9" i="67"/>
  <c r="Y9" i="67"/>
  <c r="W9" i="67"/>
  <c r="X9" i="67" s="1"/>
  <c r="Q8" i="67"/>
  <c r="P8" i="67"/>
  <c r="O8" i="67"/>
  <c r="N8" i="67"/>
  <c r="M8" i="67"/>
  <c r="L8" i="67"/>
  <c r="K8" i="67"/>
  <c r="J8" i="67"/>
  <c r="I8" i="67"/>
  <c r="H8" i="67"/>
  <c r="G8" i="67"/>
  <c r="F8" i="67"/>
  <c r="E8" i="67"/>
  <c r="D8" i="67"/>
  <c r="T126" i="66"/>
  <c r="T125" i="66"/>
  <c r="K123" i="66"/>
  <c r="T121" i="66"/>
  <c r="T120" i="66"/>
  <c r="T115" i="66"/>
  <c r="T114" i="66"/>
  <c r="T113" i="66"/>
  <c r="T112" i="66"/>
  <c r="K110" i="66"/>
  <c r="J110" i="66"/>
  <c r="I110" i="66"/>
  <c r="H110" i="66"/>
  <c r="G110" i="66"/>
  <c r="F110" i="66"/>
  <c r="E110" i="66"/>
  <c r="D110" i="66"/>
  <c r="C110" i="66"/>
  <c r="T106" i="66"/>
  <c r="T105" i="66"/>
  <c r="T104" i="66"/>
  <c r="T103" i="66"/>
  <c r="T102" i="66"/>
  <c r="T101" i="66"/>
  <c r="T100" i="66"/>
  <c r="T99" i="66"/>
  <c r="T98" i="66"/>
  <c r="K97" i="66"/>
  <c r="J97" i="66"/>
  <c r="I97" i="66"/>
  <c r="H97" i="66"/>
  <c r="G97" i="66"/>
  <c r="F97" i="66"/>
  <c r="E97" i="66"/>
  <c r="D97" i="66"/>
  <c r="C97" i="66"/>
  <c r="T96" i="66"/>
  <c r="T95" i="66"/>
  <c r="T94" i="66"/>
  <c r="T93" i="66"/>
  <c r="T92" i="66"/>
  <c r="T91" i="66"/>
  <c r="T90" i="66"/>
  <c r="T89" i="66"/>
  <c r="K88" i="66"/>
  <c r="J88" i="66"/>
  <c r="I88" i="66"/>
  <c r="H88" i="66"/>
  <c r="G88" i="66"/>
  <c r="F88" i="66"/>
  <c r="E88" i="66"/>
  <c r="D88" i="66"/>
  <c r="C88" i="66"/>
  <c r="T80" i="66"/>
  <c r="T79" i="66"/>
  <c r="K78" i="66"/>
  <c r="J78" i="66"/>
  <c r="I78" i="66"/>
  <c r="H78" i="66"/>
  <c r="G78" i="66"/>
  <c r="F78" i="66"/>
  <c r="E78" i="66"/>
  <c r="D78" i="66"/>
  <c r="C78" i="66"/>
  <c r="T77" i="66"/>
  <c r="T76" i="66"/>
  <c r="T75" i="66"/>
  <c r="T74" i="66"/>
  <c r="T73" i="66"/>
  <c r="T72" i="66"/>
  <c r="T71" i="66"/>
  <c r="T70" i="66"/>
  <c r="T69" i="66"/>
  <c r="K68" i="66"/>
  <c r="J68" i="66"/>
  <c r="I68" i="66"/>
  <c r="H68" i="66"/>
  <c r="G68" i="66"/>
  <c r="F68" i="66"/>
  <c r="E68" i="66"/>
  <c r="D68" i="66"/>
  <c r="C68" i="66"/>
  <c r="T67" i="66"/>
  <c r="T66" i="66"/>
  <c r="T65" i="66"/>
  <c r="T64" i="66"/>
  <c r="T63" i="66"/>
  <c r="T62" i="66"/>
  <c r="K61" i="66"/>
  <c r="J61" i="66"/>
  <c r="I61" i="66"/>
  <c r="H61" i="66"/>
  <c r="G61" i="66"/>
  <c r="F61" i="66"/>
  <c r="E61" i="66"/>
  <c r="D61" i="66"/>
  <c r="C61" i="66"/>
  <c r="T55" i="66"/>
  <c r="T54" i="66"/>
  <c r="T53" i="66"/>
  <c r="T52" i="66"/>
  <c r="T51" i="66"/>
  <c r="T50" i="66"/>
  <c r="T49" i="66"/>
  <c r="K48" i="66"/>
  <c r="K41" i="66" s="1"/>
  <c r="J48" i="66"/>
  <c r="J41" i="66" s="1"/>
  <c r="I48" i="66"/>
  <c r="I41" i="66" s="1"/>
  <c r="H48" i="66"/>
  <c r="H41" i="66" s="1"/>
  <c r="G48" i="66"/>
  <c r="G41" i="66" s="1"/>
  <c r="F48" i="66"/>
  <c r="F41" i="66" s="1"/>
  <c r="E48" i="66"/>
  <c r="E41" i="66" s="1"/>
  <c r="D48" i="66"/>
  <c r="D41" i="66" s="1"/>
  <c r="C48" i="66"/>
  <c r="C41" i="66" s="1"/>
  <c r="T47" i="66"/>
  <c r="T46" i="66"/>
  <c r="T45" i="66"/>
  <c r="T44" i="66"/>
  <c r="T43" i="66"/>
  <c r="T37" i="66"/>
  <c r="T36" i="66"/>
  <c r="T35" i="66"/>
  <c r="T34" i="66"/>
  <c r="T33" i="66"/>
  <c r="T32" i="66"/>
  <c r="T31" i="66"/>
  <c r="T30" i="66"/>
  <c r="T29" i="66"/>
  <c r="K27" i="66"/>
  <c r="J27" i="66"/>
  <c r="I27" i="66"/>
  <c r="H27" i="66"/>
  <c r="G27" i="66"/>
  <c r="F27" i="66"/>
  <c r="E27" i="66"/>
  <c r="D27" i="66"/>
  <c r="C27" i="66"/>
  <c r="T25" i="66"/>
  <c r="T24" i="66"/>
  <c r="T23" i="66"/>
  <c r="T22" i="66"/>
  <c r="T21" i="66"/>
  <c r="T20" i="66"/>
  <c r="T19" i="66"/>
  <c r="T18" i="66"/>
  <c r="K17" i="66"/>
  <c r="J17" i="66"/>
  <c r="I17" i="66"/>
  <c r="H17" i="66"/>
  <c r="G17" i="66"/>
  <c r="F17" i="66"/>
  <c r="E17" i="66"/>
  <c r="D17" i="66"/>
  <c r="C17" i="66"/>
  <c r="T16" i="66"/>
  <c r="T15" i="66"/>
  <c r="T14" i="66"/>
  <c r="T13" i="66"/>
  <c r="T12" i="66"/>
  <c r="T11" i="66"/>
  <c r="T10" i="66"/>
  <c r="T9" i="66"/>
  <c r="K8" i="66"/>
  <c r="J8" i="66"/>
  <c r="I8" i="66"/>
  <c r="H8" i="66"/>
  <c r="G8" i="66"/>
  <c r="F8" i="66"/>
  <c r="E8" i="66"/>
  <c r="D8" i="66"/>
  <c r="C8" i="66"/>
  <c r="W129" i="65"/>
  <c r="X129" i="65" s="1"/>
  <c r="U129" i="65"/>
  <c r="N129" i="65"/>
  <c r="O129" i="65" s="1"/>
  <c r="P129" i="65" s="1"/>
  <c r="W128" i="65"/>
  <c r="X128" i="65" s="1"/>
  <c r="U128" i="65"/>
  <c r="N128" i="65"/>
  <c r="O128" i="65" s="1"/>
  <c r="P128" i="65" s="1"/>
  <c r="Q128" i="65" s="1"/>
  <c r="R128" i="65" s="1"/>
  <c r="Q126" i="65"/>
  <c r="P126" i="65"/>
  <c r="O126" i="65"/>
  <c r="N126" i="65"/>
  <c r="M126" i="65"/>
  <c r="L126" i="65"/>
  <c r="Y124" i="65"/>
  <c r="Z124" i="65" s="1"/>
  <c r="X124" i="65"/>
  <c r="W124" i="65"/>
  <c r="U124" i="65"/>
  <c r="V124" i="65" s="1"/>
  <c r="Y123" i="65"/>
  <c r="X123" i="65"/>
  <c r="W123" i="65"/>
  <c r="U123" i="65"/>
  <c r="Y118" i="65"/>
  <c r="Z118" i="65" s="1"/>
  <c r="X118" i="65"/>
  <c r="W118" i="65"/>
  <c r="U118" i="65"/>
  <c r="V118" i="65" s="1"/>
  <c r="Y117" i="65"/>
  <c r="Z117" i="65" s="1"/>
  <c r="X117" i="65"/>
  <c r="W117" i="65"/>
  <c r="U117" i="65"/>
  <c r="V117" i="65" s="1"/>
  <c r="Y116" i="65"/>
  <c r="Z116" i="65" s="1"/>
  <c r="X116" i="65"/>
  <c r="W116" i="65"/>
  <c r="U116" i="65"/>
  <c r="V116" i="65" s="1"/>
  <c r="Y115" i="65"/>
  <c r="Z115" i="65" s="1"/>
  <c r="X115" i="65"/>
  <c r="W115" i="65"/>
  <c r="U115" i="65"/>
  <c r="V115" i="65" s="1"/>
  <c r="Q113" i="65"/>
  <c r="P113" i="65"/>
  <c r="O113" i="65"/>
  <c r="N113" i="65"/>
  <c r="M113" i="65"/>
  <c r="L113" i="65"/>
  <c r="K113" i="65"/>
  <c r="J113" i="65"/>
  <c r="I113" i="65"/>
  <c r="H113" i="65"/>
  <c r="G113" i="65"/>
  <c r="F113" i="65"/>
  <c r="E113" i="65"/>
  <c r="D113" i="65"/>
  <c r="Y109" i="65"/>
  <c r="Z109" i="65" s="1"/>
  <c r="X109" i="65"/>
  <c r="W109" i="65"/>
  <c r="U109" i="65"/>
  <c r="V109" i="65" s="1"/>
  <c r="Y108" i="65"/>
  <c r="Z108" i="65" s="1"/>
  <c r="X108" i="65"/>
  <c r="W108" i="65"/>
  <c r="U108" i="65"/>
  <c r="V108" i="65" s="1"/>
  <c r="Y107" i="65"/>
  <c r="Z107" i="65" s="1"/>
  <c r="X107" i="65"/>
  <c r="W107" i="65"/>
  <c r="U107" i="65"/>
  <c r="V107" i="65" s="1"/>
  <c r="Y106" i="65"/>
  <c r="Z106" i="65" s="1"/>
  <c r="X106" i="65"/>
  <c r="W106" i="65"/>
  <c r="U106" i="65"/>
  <c r="V106" i="65" s="1"/>
  <c r="Y105" i="65"/>
  <c r="Z105" i="65" s="1"/>
  <c r="X105" i="65"/>
  <c r="W105" i="65"/>
  <c r="U105" i="65"/>
  <c r="V105" i="65" s="1"/>
  <c r="Y104" i="65"/>
  <c r="Z104" i="65" s="1"/>
  <c r="X104" i="65"/>
  <c r="W104" i="65"/>
  <c r="U104" i="65"/>
  <c r="V104" i="65" s="1"/>
  <c r="Y103" i="65"/>
  <c r="Z103" i="65" s="1"/>
  <c r="X103" i="65"/>
  <c r="W103" i="65"/>
  <c r="U103" i="65"/>
  <c r="V103" i="65" s="1"/>
  <c r="Y102" i="65"/>
  <c r="Z102" i="65" s="1"/>
  <c r="X102" i="65"/>
  <c r="W102" i="65"/>
  <c r="U102" i="65"/>
  <c r="V102" i="65" s="1"/>
  <c r="Y101" i="65"/>
  <c r="Z101" i="65" s="1"/>
  <c r="X101" i="65"/>
  <c r="W101" i="65"/>
  <c r="U101" i="65"/>
  <c r="V101" i="65" s="1"/>
  <c r="Y100" i="65"/>
  <c r="Z100" i="65" s="1"/>
  <c r="X100" i="65"/>
  <c r="W100" i="65"/>
  <c r="U100" i="65"/>
  <c r="Q99" i="65"/>
  <c r="P99" i="65"/>
  <c r="O99" i="65"/>
  <c r="N99" i="65"/>
  <c r="M99" i="65"/>
  <c r="L99" i="65"/>
  <c r="K99" i="65"/>
  <c r="J99" i="65"/>
  <c r="I99" i="65"/>
  <c r="H99" i="65"/>
  <c r="G99" i="65"/>
  <c r="F99" i="65"/>
  <c r="E99" i="65"/>
  <c r="D99" i="65"/>
  <c r="Y98" i="65"/>
  <c r="Z98" i="65" s="1"/>
  <c r="X98" i="65"/>
  <c r="W98" i="65"/>
  <c r="U98" i="65"/>
  <c r="V98" i="65" s="1"/>
  <c r="Y97" i="65"/>
  <c r="Z97" i="65" s="1"/>
  <c r="X97" i="65"/>
  <c r="W97" i="65"/>
  <c r="U97" i="65"/>
  <c r="V97" i="65" s="1"/>
  <c r="Y96" i="65"/>
  <c r="Z96" i="65" s="1"/>
  <c r="X96" i="65"/>
  <c r="W96" i="65"/>
  <c r="U96" i="65"/>
  <c r="V96" i="65" s="1"/>
  <c r="Y95" i="65"/>
  <c r="Z95" i="65" s="1"/>
  <c r="X95" i="65"/>
  <c r="W95" i="65"/>
  <c r="U95" i="65"/>
  <c r="V95" i="65" s="1"/>
  <c r="Y94" i="65"/>
  <c r="Z94" i="65" s="1"/>
  <c r="X94" i="65"/>
  <c r="W94" i="65"/>
  <c r="U94" i="65"/>
  <c r="V94" i="65" s="1"/>
  <c r="Y93" i="65"/>
  <c r="Z93" i="65" s="1"/>
  <c r="X93" i="65"/>
  <c r="W93" i="65"/>
  <c r="U93" i="65"/>
  <c r="V93" i="65" s="1"/>
  <c r="Y92" i="65"/>
  <c r="Z92" i="65" s="1"/>
  <c r="X92" i="65"/>
  <c r="W92" i="65"/>
  <c r="U92" i="65"/>
  <c r="V92" i="65" s="1"/>
  <c r="Y91" i="65"/>
  <c r="Z91" i="65" s="1"/>
  <c r="X91" i="65"/>
  <c r="W91" i="65"/>
  <c r="U91" i="65"/>
  <c r="V91" i="65" s="1"/>
  <c r="Y90" i="65"/>
  <c r="X90" i="65"/>
  <c r="W90" i="65"/>
  <c r="U90" i="65"/>
  <c r="Q89" i="65"/>
  <c r="P89" i="65"/>
  <c r="O89" i="65"/>
  <c r="N89" i="65"/>
  <c r="M89" i="65"/>
  <c r="L89" i="65"/>
  <c r="K89" i="65"/>
  <c r="J89" i="65"/>
  <c r="I89" i="65"/>
  <c r="H89" i="65"/>
  <c r="G89" i="65"/>
  <c r="F89" i="65"/>
  <c r="E89" i="65"/>
  <c r="D89" i="65"/>
  <c r="Z81" i="65"/>
  <c r="X81" i="65"/>
  <c r="W81" i="65"/>
  <c r="V81" i="65"/>
  <c r="Y80" i="65"/>
  <c r="Z80" i="65" s="1"/>
  <c r="X80" i="65"/>
  <c r="W80" i="65"/>
  <c r="U80" i="65"/>
  <c r="V80" i="65" s="1"/>
  <c r="Y79" i="65"/>
  <c r="Z79" i="65" s="1"/>
  <c r="X79" i="65"/>
  <c r="W79" i="65"/>
  <c r="U79" i="65"/>
  <c r="V79" i="65" s="1"/>
  <c r="Q78" i="65"/>
  <c r="P78" i="65"/>
  <c r="O78" i="65"/>
  <c r="N78" i="65"/>
  <c r="M78" i="65"/>
  <c r="L78" i="65"/>
  <c r="K78" i="65"/>
  <c r="J78" i="65"/>
  <c r="I78" i="65"/>
  <c r="H78" i="65"/>
  <c r="G78" i="65"/>
  <c r="F78" i="65"/>
  <c r="E78" i="65"/>
  <c r="D78" i="65"/>
  <c r="Y77" i="65"/>
  <c r="Z77" i="65" s="1"/>
  <c r="X77" i="65"/>
  <c r="W77" i="65"/>
  <c r="U77" i="65"/>
  <c r="V77" i="65" s="1"/>
  <c r="Y76" i="65"/>
  <c r="Z76" i="65" s="1"/>
  <c r="X76" i="65"/>
  <c r="W76" i="65"/>
  <c r="U76" i="65"/>
  <c r="V76" i="65" s="1"/>
  <c r="Y75" i="65"/>
  <c r="Z75" i="65" s="1"/>
  <c r="X75" i="65"/>
  <c r="W75" i="65"/>
  <c r="U75" i="65"/>
  <c r="V75" i="65" s="1"/>
  <c r="Y74" i="65"/>
  <c r="Z74" i="65" s="1"/>
  <c r="X74" i="65"/>
  <c r="W74" i="65"/>
  <c r="U74" i="65"/>
  <c r="V74" i="65" s="1"/>
  <c r="Y73" i="65"/>
  <c r="Z73" i="65" s="1"/>
  <c r="X73" i="65"/>
  <c r="W73" i="65"/>
  <c r="U73" i="65"/>
  <c r="V73" i="65" s="1"/>
  <c r="Y72" i="65"/>
  <c r="Z72" i="65" s="1"/>
  <c r="X72" i="65"/>
  <c r="W72" i="65"/>
  <c r="U72" i="65"/>
  <c r="V72" i="65" s="1"/>
  <c r="Y71" i="65"/>
  <c r="X71" i="65"/>
  <c r="W71" i="65"/>
  <c r="U71" i="65"/>
  <c r="V71" i="65" s="1"/>
  <c r="Y70" i="65"/>
  <c r="Z70" i="65" s="1"/>
  <c r="X70" i="65"/>
  <c r="W70" i="65"/>
  <c r="U70" i="65"/>
  <c r="V70" i="65" s="1"/>
  <c r="Y69" i="65"/>
  <c r="Z69" i="65" s="1"/>
  <c r="X69" i="65"/>
  <c r="W69" i="65"/>
  <c r="U69" i="65"/>
  <c r="Q68" i="65"/>
  <c r="P68" i="65"/>
  <c r="O68" i="65"/>
  <c r="N68" i="65"/>
  <c r="M68" i="65"/>
  <c r="L68" i="65"/>
  <c r="K68" i="65"/>
  <c r="J68" i="65"/>
  <c r="I68" i="65"/>
  <c r="H68" i="65"/>
  <c r="G68" i="65"/>
  <c r="F68" i="65"/>
  <c r="E68" i="65"/>
  <c r="D68" i="65"/>
  <c r="Y67" i="65"/>
  <c r="Z67" i="65" s="1"/>
  <c r="X67" i="65"/>
  <c r="W67" i="65"/>
  <c r="U67" i="65"/>
  <c r="V67" i="65" s="1"/>
  <c r="Y66" i="65"/>
  <c r="Z66" i="65" s="1"/>
  <c r="X66" i="65"/>
  <c r="W66" i="65"/>
  <c r="U66" i="65"/>
  <c r="V66" i="65" s="1"/>
  <c r="Y65" i="65"/>
  <c r="Z65" i="65" s="1"/>
  <c r="X65" i="65"/>
  <c r="W65" i="65"/>
  <c r="U65" i="65"/>
  <c r="V65" i="65" s="1"/>
  <c r="Y64" i="65"/>
  <c r="Z64" i="65" s="1"/>
  <c r="X64" i="65"/>
  <c r="W64" i="65"/>
  <c r="U64" i="65"/>
  <c r="V64" i="65" s="1"/>
  <c r="Y63" i="65"/>
  <c r="Z63" i="65" s="1"/>
  <c r="X63" i="65"/>
  <c r="W63" i="65"/>
  <c r="U63" i="65"/>
  <c r="Y62" i="65"/>
  <c r="Z62" i="65" s="1"/>
  <c r="X62" i="65"/>
  <c r="W62" i="65"/>
  <c r="U62" i="65"/>
  <c r="V62" i="65" s="1"/>
  <c r="Q61" i="65"/>
  <c r="P61" i="65"/>
  <c r="O61" i="65"/>
  <c r="N61" i="65"/>
  <c r="M61" i="65"/>
  <c r="L61" i="65"/>
  <c r="K61" i="65"/>
  <c r="J61" i="65"/>
  <c r="I61" i="65"/>
  <c r="H61" i="65"/>
  <c r="G61" i="65"/>
  <c r="F61" i="65"/>
  <c r="E61" i="65"/>
  <c r="D61" i="65"/>
  <c r="Y55" i="65"/>
  <c r="Z55" i="65" s="1"/>
  <c r="X55" i="65"/>
  <c r="W55" i="65"/>
  <c r="U55" i="65"/>
  <c r="V55" i="65" s="1"/>
  <c r="Y54" i="65"/>
  <c r="Z54" i="65" s="1"/>
  <c r="X54" i="65"/>
  <c r="W54" i="65"/>
  <c r="U54" i="65"/>
  <c r="V54" i="65" s="1"/>
  <c r="Y53" i="65"/>
  <c r="Z53" i="65" s="1"/>
  <c r="X53" i="65"/>
  <c r="W53" i="65"/>
  <c r="U53" i="65"/>
  <c r="V53" i="65" s="1"/>
  <c r="Y52" i="65"/>
  <c r="Z52" i="65" s="1"/>
  <c r="X52" i="65"/>
  <c r="W52" i="65"/>
  <c r="U52" i="65"/>
  <c r="V52" i="65" s="1"/>
  <c r="Y51" i="65"/>
  <c r="Z51" i="65" s="1"/>
  <c r="X51" i="65"/>
  <c r="W51" i="65"/>
  <c r="U51" i="65"/>
  <c r="V51" i="65" s="1"/>
  <c r="Y50" i="65"/>
  <c r="Z50" i="65" s="1"/>
  <c r="X50" i="65"/>
  <c r="W50" i="65"/>
  <c r="U50" i="65"/>
  <c r="Y49" i="65"/>
  <c r="X49" i="65"/>
  <c r="W49" i="65"/>
  <c r="U49" i="65"/>
  <c r="V49" i="65" s="1"/>
  <c r="Q48" i="65"/>
  <c r="Q41" i="65" s="1"/>
  <c r="P48" i="65"/>
  <c r="P41" i="65" s="1"/>
  <c r="O48" i="65"/>
  <c r="O41" i="65" s="1"/>
  <c r="N48" i="65"/>
  <c r="N41" i="65" s="1"/>
  <c r="M48" i="65"/>
  <c r="M41" i="65" s="1"/>
  <c r="L48" i="65"/>
  <c r="L41" i="65" s="1"/>
  <c r="K48" i="65"/>
  <c r="K41" i="65" s="1"/>
  <c r="J48" i="65"/>
  <c r="J41" i="65" s="1"/>
  <c r="I48" i="65"/>
  <c r="I41" i="65" s="1"/>
  <c r="H48" i="65"/>
  <c r="H41" i="65" s="1"/>
  <c r="G48" i="65"/>
  <c r="G41" i="65" s="1"/>
  <c r="F48" i="65"/>
  <c r="F41" i="65" s="1"/>
  <c r="E48" i="65"/>
  <c r="E41" i="65" s="1"/>
  <c r="D48" i="65"/>
  <c r="D41" i="65" s="1"/>
  <c r="Z47" i="65"/>
  <c r="Y47" i="65"/>
  <c r="X47" i="65"/>
  <c r="W47" i="65"/>
  <c r="U47" i="65"/>
  <c r="V47" i="65" s="1"/>
  <c r="Z46" i="65"/>
  <c r="Y46" i="65"/>
  <c r="X46" i="65"/>
  <c r="W46" i="65"/>
  <c r="U46" i="65"/>
  <c r="V46" i="65" s="1"/>
  <c r="Z45" i="65"/>
  <c r="Y45" i="65"/>
  <c r="X45" i="65"/>
  <c r="W45" i="65"/>
  <c r="U45" i="65"/>
  <c r="V45" i="65" s="1"/>
  <c r="Z44" i="65"/>
  <c r="Y44" i="65"/>
  <c r="X44" i="65"/>
  <c r="W44" i="65"/>
  <c r="U44" i="65"/>
  <c r="Z43" i="65"/>
  <c r="Y43" i="65"/>
  <c r="X43" i="65"/>
  <c r="W43" i="65"/>
  <c r="U43" i="65"/>
  <c r="V43" i="65" s="1"/>
  <c r="Z37" i="65"/>
  <c r="Y37" i="65"/>
  <c r="X37" i="65"/>
  <c r="W37" i="65"/>
  <c r="U37" i="65"/>
  <c r="V37" i="65" s="1"/>
  <c r="Z36" i="65"/>
  <c r="Y36" i="65"/>
  <c r="X36" i="65"/>
  <c r="W36" i="65"/>
  <c r="U36" i="65"/>
  <c r="V36" i="65" s="1"/>
  <c r="Z35" i="65"/>
  <c r="Y35" i="65"/>
  <c r="X35" i="65"/>
  <c r="W35" i="65"/>
  <c r="U35" i="65"/>
  <c r="V35" i="65" s="1"/>
  <c r="Z34" i="65"/>
  <c r="Y34" i="65"/>
  <c r="X34" i="65"/>
  <c r="W34" i="65"/>
  <c r="U34" i="65"/>
  <c r="V34" i="65" s="1"/>
  <c r="Z33" i="65"/>
  <c r="Y33" i="65"/>
  <c r="X33" i="65"/>
  <c r="W33" i="65"/>
  <c r="U33" i="65"/>
  <c r="V33" i="65" s="1"/>
  <c r="Z32" i="65"/>
  <c r="Y32" i="65"/>
  <c r="X32" i="65"/>
  <c r="W32" i="65"/>
  <c r="U32" i="65"/>
  <c r="V32" i="65" s="1"/>
  <c r="Z31" i="65"/>
  <c r="Y31" i="65"/>
  <c r="X31" i="65"/>
  <c r="W31" i="65"/>
  <c r="U31" i="65"/>
  <c r="V31" i="65" s="1"/>
  <c r="Z30" i="65"/>
  <c r="Y30" i="65"/>
  <c r="X30" i="65"/>
  <c r="W30" i="65"/>
  <c r="U30" i="65"/>
  <c r="V30" i="65" s="1"/>
  <c r="Z29" i="65"/>
  <c r="Y29" i="65"/>
  <c r="X29" i="65"/>
  <c r="W29" i="65"/>
  <c r="U29" i="65"/>
  <c r="V29" i="65" s="1"/>
  <c r="Q27" i="65"/>
  <c r="P27" i="65"/>
  <c r="O27" i="65"/>
  <c r="N27" i="65"/>
  <c r="M27" i="65"/>
  <c r="L27" i="65"/>
  <c r="K27" i="65"/>
  <c r="J27" i="65"/>
  <c r="I27" i="65"/>
  <c r="H27" i="65"/>
  <c r="G27" i="65"/>
  <c r="F27" i="65"/>
  <c r="E27" i="65"/>
  <c r="D27" i="65"/>
  <c r="Z25" i="65"/>
  <c r="Y25" i="65"/>
  <c r="X25" i="65"/>
  <c r="W25" i="65"/>
  <c r="U25" i="65"/>
  <c r="V25" i="65" s="1"/>
  <c r="Z24" i="65"/>
  <c r="Y24" i="65"/>
  <c r="X24" i="65"/>
  <c r="W24" i="65"/>
  <c r="U24" i="65"/>
  <c r="V24" i="65" s="1"/>
  <c r="Z23" i="65"/>
  <c r="Y23" i="65"/>
  <c r="X23" i="65"/>
  <c r="W23" i="65"/>
  <c r="U23" i="65"/>
  <c r="V23" i="65" s="1"/>
  <c r="Z22" i="65"/>
  <c r="Y22" i="65"/>
  <c r="X22" i="65"/>
  <c r="W22" i="65"/>
  <c r="U22" i="65"/>
  <c r="V22" i="65" s="1"/>
  <c r="Z21" i="65"/>
  <c r="Y21" i="65"/>
  <c r="X21" i="65"/>
  <c r="W21" i="65"/>
  <c r="U21" i="65"/>
  <c r="V21" i="65" s="1"/>
  <c r="Z20" i="65"/>
  <c r="Y20" i="65"/>
  <c r="X20" i="65"/>
  <c r="W20" i="65"/>
  <c r="U20" i="65"/>
  <c r="V20" i="65" s="1"/>
  <c r="Z19" i="65"/>
  <c r="Y19" i="65"/>
  <c r="X19" i="65"/>
  <c r="W19" i="65"/>
  <c r="U19" i="65"/>
  <c r="V19" i="65" s="1"/>
  <c r="Z18" i="65"/>
  <c r="Y18" i="65"/>
  <c r="X18" i="65"/>
  <c r="W18" i="65"/>
  <c r="U18" i="65"/>
  <c r="Q17" i="65"/>
  <c r="P17" i="65"/>
  <c r="O17" i="65"/>
  <c r="N17" i="65"/>
  <c r="M17" i="65"/>
  <c r="L17" i="65"/>
  <c r="K17" i="65"/>
  <c r="J17" i="65"/>
  <c r="I17" i="65"/>
  <c r="H17" i="65"/>
  <c r="G17" i="65"/>
  <c r="F17" i="65"/>
  <c r="E17" i="65"/>
  <c r="D17" i="65"/>
  <c r="Z16" i="65"/>
  <c r="Y16" i="65"/>
  <c r="X16" i="65"/>
  <c r="W16" i="65"/>
  <c r="U16" i="65"/>
  <c r="V16" i="65" s="1"/>
  <c r="Z15" i="65"/>
  <c r="Y15" i="65"/>
  <c r="X15" i="65"/>
  <c r="W15" i="65"/>
  <c r="U15" i="65"/>
  <c r="V15" i="65" s="1"/>
  <c r="Z14" i="65"/>
  <c r="Y14" i="65"/>
  <c r="X14" i="65"/>
  <c r="W14" i="65"/>
  <c r="U14" i="65"/>
  <c r="V14" i="65" s="1"/>
  <c r="Z13" i="65"/>
  <c r="Y13" i="65"/>
  <c r="X13" i="65"/>
  <c r="W13" i="65"/>
  <c r="U13" i="65"/>
  <c r="V13" i="65" s="1"/>
  <c r="Z12" i="65"/>
  <c r="Y12" i="65"/>
  <c r="X12" i="65"/>
  <c r="W12" i="65"/>
  <c r="U12" i="65"/>
  <c r="V12" i="65" s="1"/>
  <c r="Z11" i="65"/>
  <c r="Y11" i="65"/>
  <c r="X11" i="65"/>
  <c r="W11" i="65"/>
  <c r="U11" i="65"/>
  <c r="V11" i="65" s="1"/>
  <c r="Z10" i="65"/>
  <c r="Y10" i="65"/>
  <c r="X10" i="65"/>
  <c r="W10" i="65"/>
  <c r="U10" i="65"/>
  <c r="V10" i="65" s="1"/>
  <c r="Z9" i="65"/>
  <c r="Y9" i="65"/>
  <c r="X9" i="65"/>
  <c r="W9" i="65"/>
  <c r="U9" i="65"/>
  <c r="Q8" i="65"/>
  <c r="P8" i="65"/>
  <c r="O8" i="65"/>
  <c r="N8" i="65"/>
  <c r="M8" i="65"/>
  <c r="L8" i="65"/>
  <c r="K8" i="65"/>
  <c r="J8" i="65"/>
  <c r="I8" i="65"/>
  <c r="H8" i="65"/>
  <c r="G8" i="65"/>
  <c r="F8" i="65"/>
  <c r="E8" i="65"/>
  <c r="D8" i="65"/>
  <c r="W129" i="62"/>
  <c r="X129" i="62" s="1"/>
  <c r="U129" i="62"/>
  <c r="N129" i="62"/>
  <c r="O129" i="62" s="1"/>
  <c r="P129" i="62" s="1"/>
  <c r="W128" i="62"/>
  <c r="X128" i="62" s="1"/>
  <c r="U128" i="62"/>
  <c r="N128" i="62"/>
  <c r="O128" i="62" s="1"/>
  <c r="P128" i="62" s="1"/>
  <c r="Q126" i="62"/>
  <c r="P126" i="62"/>
  <c r="O126" i="62"/>
  <c r="N126" i="62"/>
  <c r="M126" i="62"/>
  <c r="L126" i="62"/>
  <c r="Y124" i="62"/>
  <c r="Z124" i="62" s="1"/>
  <c r="X124" i="62"/>
  <c r="W124" i="62"/>
  <c r="U124" i="62"/>
  <c r="V124" i="62" s="1"/>
  <c r="Y123" i="62"/>
  <c r="Z123" i="62" s="1"/>
  <c r="X123" i="62"/>
  <c r="W123" i="62"/>
  <c r="U123" i="62"/>
  <c r="V123" i="62" s="1"/>
  <c r="Y118" i="62"/>
  <c r="Z118" i="62" s="1"/>
  <c r="X118" i="62"/>
  <c r="W118" i="62"/>
  <c r="U118" i="62"/>
  <c r="V118" i="62" s="1"/>
  <c r="Y117" i="62"/>
  <c r="Z117" i="62" s="1"/>
  <c r="X117" i="62"/>
  <c r="W117" i="62"/>
  <c r="U117" i="62"/>
  <c r="V117" i="62" s="1"/>
  <c r="Y116" i="62"/>
  <c r="Z116" i="62" s="1"/>
  <c r="X116" i="62"/>
  <c r="W116" i="62"/>
  <c r="U116" i="62"/>
  <c r="V116" i="62" s="1"/>
  <c r="Y115" i="62"/>
  <c r="X115" i="62"/>
  <c r="W115" i="62"/>
  <c r="U115" i="62"/>
  <c r="V115" i="62" s="1"/>
  <c r="Q113" i="62"/>
  <c r="P113" i="62"/>
  <c r="O113" i="62"/>
  <c r="N113" i="62"/>
  <c r="M113" i="62"/>
  <c r="L113" i="62"/>
  <c r="K113" i="62"/>
  <c r="J113" i="62"/>
  <c r="I113" i="62"/>
  <c r="H113" i="62"/>
  <c r="G113" i="62"/>
  <c r="F113" i="62"/>
  <c r="E113" i="62"/>
  <c r="D113" i="62"/>
  <c r="Y109" i="62"/>
  <c r="Z109" i="62" s="1"/>
  <c r="X109" i="62"/>
  <c r="W109" i="62"/>
  <c r="U109" i="62"/>
  <c r="V109" i="62" s="1"/>
  <c r="Y108" i="62"/>
  <c r="Z108" i="62" s="1"/>
  <c r="X108" i="62"/>
  <c r="W108" i="62"/>
  <c r="U108" i="62"/>
  <c r="V108" i="62" s="1"/>
  <c r="Y107" i="62"/>
  <c r="Z107" i="62" s="1"/>
  <c r="X107" i="62"/>
  <c r="W107" i="62"/>
  <c r="U107" i="62"/>
  <c r="V107" i="62" s="1"/>
  <c r="Y106" i="62"/>
  <c r="Z106" i="62" s="1"/>
  <c r="X106" i="62"/>
  <c r="W106" i="62"/>
  <c r="U106" i="62"/>
  <c r="V106" i="62" s="1"/>
  <c r="Y105" i="62"/>
  <c r="Z105" i="62" s="1"/>
  <c r="X105" i="62"/>
  <c r="W105" i="62"/>
  <c r="U105" i="62"/>
  <c r="V105" i="62" s="1"/>
  <c r="Y104" i="62"/>
  <c r="Z104" i="62" s="1"/>
  <c r="X104" i="62"/>
  <c r="W104" i="62"/>
  <c r="U104" i="62"/>
  <c r="V104" i="62" s="1"/>
  <c r="Y103" i="62"/>
  <c r="Z103" i="62" s="1"/>
  <c r="X103" i="62"/>
  <c r="W103" i="62"/>
  <c r="U103" i="62"/>
  <c r="V103" i="62" s="1"/>
  <c r="Y102" i="62"/>
  <c r="Z102" i="62" s="1"/>
  <c r="X102" i="62"/>
  <c r="W102" i="62"/>
  <c r="U102" i="62"/>
  <c r="V102" i="62" s="1"/>
  <c r="Y101" i="62"/>
  <c r="Z101" i="62" s="1"/>
  <c r="X101" i="62"/>
  <c r="W101" i="62"/>
  <c r="U101" i="62"/>
  <c r="V101" i="62" s="1"/>
  <c r="Y100" i="62"/>
  <c r="Z100" i="62" s="1"/>
  <c r="X100" i="62"/>
  <c r="W100" i="62"/>
  <c r="U100" i="62"/>
  <c r="V100" i="62" s="1"/>
  <c r="Q99" i="62"/>
  <c r="P99" i="62"/>
  <c r="O99" i="62"/>
  <c r="N99" i="62"/>
  <c r="M99" i="62"/>
  <c r="L99" i="62"/>
  <c r="K99" i="62"/>
  <c r="J99" i="62"/>
  <c r="I99" i="62"/>
  <c r="H99" i="62"/>
  <c r="G99" i="62"/>
  <c r="F99" i="62"/>
  <c r="E99" i="62"/>
  <c r="D99" i="62"/>
  <c r="Y98" i="62"/>
  <c r="Z98" i="62" s="1"/>
  <c r="X98" i="62"/>
  <c r="W98" i="62"/>
  <c r="U98" i="62"/>
  <c r="V98" i="62" s="1"/>
  <c r="Y97" i="62"/>
  <c r="Z97" i="62" s="1"/>
  <c r="X97" i="62"/>
  <c r="W97" i="62"/>
  <c r="U97" i="62"/>
  <c r="V97" i="62" s="1"/>
  <c r="Y96" i="62"/>
  <c r="Z96" i="62" s="1"/>
  <c r="X96" i="62"/>
  <c r="W96" i="62"/>
  <c r="U96" i="62"/>
  <c r="V96" i="62" s="1"/>
  <c r="Y95" i="62"/>
  <c r="Z95" i="62" s="1"/>
  <c r="X95" i="62"/>
  <c r="W95" i="62"/>
  <c r="U95" i="62"/>
  <c r="V95" i="62" s="1"/>
  <c r="Y94" i="62"/>
  <c r="Z94" i="62" s="1"/>
  <c r="X94" i="62"/>
  <c r="W94" i="62"/>
  <c r="U94" i="62"/>
  <c r="V94" i="62" s="1"/>
  <c r="Y93" i="62"/>
  <c r="Z93" i="62" s="1"/>
  <c r="X93" i="62"/>
  <c r="W93" i="62"/>
  <c r="U93" i="62"/>
  <c r="V93" i="62" s="1"/>
  <c r="Y92" i="62"/>
  <c r="Z92" i="62" s="1"/>
  <c r="X92" i="62"/>
  <c r="W92" i="62"/>
  <c r="U92" i="62"/>
  <c r="V92" i="62" s="1"/>
  <c r="Y91" i="62"/>
  <c r="Z91" i="62" s="1"/>
  <c r="X91" i="62"/>
  <c r="W91" i="62"/>
  <c r="U91" i="62"/>
  <c r="Y90" i="62"/>
  <c r="X90" i="62"/>
  <c r="W90" i="62"/>
  <c r="U90" i="62"/>
  <c r="V90" i="62" s="1"/>
  <c r="Q89" i="62"/>
  <c r="P89" i="62"/>
  <c r="O89" i="62"/>
  <c r="N89" i="62"/>
  <c r="M89" i="62"/>
  <c r="L89" i="62"/>
  <c r="K89" i="62"/>
  <c r="J89" i="62"/>
  <c r="I89" i="62"/>
  <c r="H89" i="62"/>
  <c r="G89" i="62"/>
  <c r="F89" i="62"/>
  <c r="E89" i="62"/>
  <c r="D89" i="62"/>
  <c r="Z81" i="62"/>
  <c r="X81" i="62"/>
  <c r="W81" i="62"/>
  <c r="V81" i="62"/>
  <c r="Y80" i="62"/>
  <c r="Z80" i="62" s="1"/>
  <c r="X80" i="62"/>
  <c r="W80" i="62"/>
  <c r="U80" i="62"/>
  <c r="V80" i="62" s="1"/>
  <c r="Y79" i="62"/>
  <c r="X79" i="62"/>
  <c r="W79" i="62"/>
  <c r="U79" i="62"/>
  <c r="V79" i="62" s="1"/>
  <c r="Q78" i="62"/>
  <c r="P78" i="62"/>
  <c r="O78" i="62"/>
  <c r="N78" i="62"/>
  <c r="M78" i="62"/>
  <c r="L78" i="62"/>
  <c r="K78" i="62"/>
  <c r="J78" i="62"/>
  <c r="I78" i="62"/>
  <c r="H78" i="62"/>
  <c r="G78" i="62"/>
  <c r="F78" i="62"/>
  <c r="E78" i="62"/>
  <c r="D78" i="62"/>
  <c r="Y77" i="62"/>
  <c r="Z77" i="62" s="1"/>
  <c r="X77" i="62"/>
  <c r="W77" i="62"/>
  <c r="U77" i="62"/>
  <c r="V77" i="62" s="1"/>
  <c r="Y76" i="62"/>
  <c r="Z76" i="62" s="1"/>
  <c r="X76" i="62"/>
  <c r="W76" i="62"/>
  <c r="U76" i="62"/>
  <c r="V76" i="62" s="1"/>
  <c r="Y75" i="62"/>
  <c r="Z75" i="62" s="1"/>
  <c r="X75" i="62"/>
  <c r="W75" i="62"/>
  <c r="U75" i="62"/>
  <c r="V75" i="62" s="1"/>
  <c r="Y74" i="62"/>
  <c r="Z74" i="62" s="1"/>
  <c r="X74" i="62"/>
  <c r="W74" i="62"/>
  <c r="U74" i="62"/>
  <c r="V74" i="62" s="1"/>
  <c r="Y73" i="62"/>
  <c r="Z73" i="62" s="1"/>
  <c r="X73" i="62"/>
  <c r="W73" i="62"/>
  <c r="U73" i="62"/>
  <c r="V73" i="62" s="1"/>
  <c r="Y72" i="62"/>
  <c r="Z72" i="62" s="1"/>
  <c r="X72" i="62"/>
  <c r="W72" i="62"/>
  <c r="U72" i="62"/>
  <c r="V72" i="62" s="1"/>
  <c r="Y71" i="62"/>
  <c r="Z71" i="62" s="1"/>
  <c r="X71" i="62"/>
  <c r="W71" i="62"/>
  <c r="U71" i="62"/>
  <c r="V71" i="62" s="1"/>
  <c r="Y70" i="62"/>
  <c r="Z70" i="62" s="1"/>
  <c r="X70" i="62"/>
  <c r="W70" i="62"/>
  <c r="U70" i="62"/>
  <c r="V70" i="62" s="1"/>
  <c r="Y69" i="62"/>
  <c r="Z69" i="62" s="1"/>
  <c r="X69" i="62"/>
  <c r="W69" i="62"/>
  <c r="U69" i="62"/>
  <c r="Q68" i="62"/>
  <c r="P68" i="62"/>
  <c r="O68" i="62"/>
  <c r="N68" i="62"/>
  <c r="M68" i="62"/>
  <c r="L68" i="62"/>
  <c r="K68" i="62"/>
  <c r="J68" i="62"/>
  <c r="I68" i="62"/>
  <c r="H68" i="62"/>
  <c r="G68" i="62"/>
  <c r="F68" i="62"/>
  <c r="E68" i="62"/>
  <c r="D68" i="62"/>
  <c r="Y67" i="62"/>
  <c r="Z67" i="62" s="1"/>
  <c r="X67" i="62"/>
  <c r="W67" i="62"/>
  <c r="U67" i="62"/>
  <c r="V67" i="62" s="1"/>
  <c r="Y66" i="62"/>
  <c r="Z66" i="62" s="1"/>
  <c r="X66" i="62"/>
  <c r="W66" i="62"/>
  <c r="U66" i="62"/>
  <c r="V66" i="62" s="1"/>
  <c r="Y65" i="62"/>
  <c r="Z65" i="62" s="1"/>
  <c r="X65" i="62"/>
  <c r="W65" i="62"/>
  <c r="U65" i="62"/>
  <c r="V65" i="62" s="1"/>
  <c r="Y64" i="62"/>
  <c r="Z64" i="62" s="1"/>
  <c r="X64" i="62"/>
  <c r="W64" i="62"/>
  <c r="U64" i="62"/>
  <c r="V64" i="62" s="1"/>
  <c r="Y63" i="62"/>
  <c r="Z63" i="62" s="1"/>
  <c r="X63" i="62"/>
  <c r="W63" i="62"/>
  <c r="U63" i="62"/>
  <c r="Y62" i="62"/>
  <c r="Z62" i="62" s="1"/>
  <c r="X62" i="62"/>
  <c r="W62" i="62"/>
  <c r="U62" i="62"/>
  <c r="V62" i="62" s="1"/>
  <c r="Q61" i="62"/>
  <c r="P61" i="62"/>
  <c r="O61" i="62"/>
  <c r="N61" i="62"/>
  <c r="M61" i="62"/>
  <c r="L61" i="62"/>
  <c r="K61" i="62"/>
  <c r="J61" i="62"/>
  <c r="I61" i="62"/>
  <c r="H61" i="62"/>
  <c r="G61" i="62"/>
  <c r="F61" i="62"/>
  <c r="E61" i="62"/>
  <c r="D61" i="62"/>
  <c r="Y55" i="62"/>
  <c r="Z55" i="62" s="1"/>
  <c r="X55" i="62"/>
  <c r="W55" i="62"/>
  <c r="U55" i="62"/>
  <c r="V55" i="62" s="1"/>
  <c r="Y54" i="62"/>
  <c r="Z54" i="62" s="1"/>
  <c r="X54" i="62"/>
  <c r="W54" i="62"/>
  <c r="U54" i="62"/>
  <c r="V54" i="62" s="1"/>
  <c r="Y53" i="62"/>
  <c r="Z53" i="62" s="1"/>
  <c r="X53" i="62"/>
  <c r="W53" i="62"/>
  <c r="U53" i="62"/>
  <c r="V53" i="62" s="1"/>
  <c r="Y52" i="62"/>
  <c r="Z52" i="62" s="1"/>
  <c r="X52" i="62"/>
  <c r="W52" i="62"/>
  <c r="U52" i="62"/>
  <c r="V52" i="62" s="1"/>
  <c r="Y51" i="62"/>
  <c r="Z51" i="62" s="1"/>
  <c r="X51" i="62"/>
  <c r="W51" i="62"/>
  <c r="U51" i="62"/>
  <c r="V51" i="62" s="1"/>
  <c r="Y50" i="62"/>
  <c r="Z50" i="62" s="1"/>
  <c r="X50" i="62"/>
  <c r="W50" i="62"/>
  <c r="U50" i="62"/>
  <c r="V50" i="62" s="1"/>
  <c r="Y49" i="62"/>
  <c r="Z49" i="62" s="1"/>
  <c r="X49" i="62"/>
  <c r="W49" i="62"/>
  <c r="U49" i="62"/>
  <c r="V49" i="62" s="1"/>
  <c r="Q48" i="62"/>
  <c r="Q41" i="62" s="1"/>
  <c r="P48" i="62"/>
  <c r="P41" i="62" s="1"/>
  <c r="O48" i="62"/>
  <c r="O41" i="62" s="1"/>
  <c r="N48" i="62"/>
  <c r="N41" i="62" s="1"/>
  <c r="M48" i="62"/>
  <c r="M41" i="62" s="1"/>
  <c r="L48" i="62"/>
  <c r="L41" i="62" s="1"/>
  <c r="K48" i="62"/>
  <c r="K41" i="62" s="1"/>
  <c r="J48" i="62"/>
  <c r="J41" i="62" s="1"/>
  <c r="I48" i="62"/>
  <c r="I41" i="62" s="1"/>
  <c r="H48" i="62"/>
  <c r="H41" i="62" s="1"/>
  <c r="G48" i="62"/>
  <c r="G41" i="62" s="1"/>
  <c r="F48" i="62"/>
  <c r="F41" i="62" s="1"/>
  <c r="E48" i="62"/>
  <c r="E41" i="62" s="1"/>
  <c r="D48" i="62"/>
  <c r="D41" i="62" s="1"/>
  <c r="Z47" i="62"/>
  <c r="Y47" i="62"/>
  <c r="X47" i="62"/>
  <c r="W47" i="62"/>
  <c r="U47" i="62"/>
  <c r="V47" i="62" s="1"/>
  <c r="Z46" i="62"/>
  <c r="Y46" i="62"/>
  <c r="X46" i="62"/>
  <c r="W46" i="62"/>
  <c r="U46" i="62"/>
  <c r="V46" i="62" s="1"/>
  <c r="Z45" i="62"/>
  <c r="Y45" i="62"/>
  <c r="X45" i="62"/>
  <c r="W45" i="62"/>
  <c r="U45" i="62"/>
  <c r="V45" i="62" s="1"/>
  <c r="Z44" i="62"/>
  <c r="Y44" i="62"/>
  <c r="X44" i="62"/>
  <c r="W44" i="62"/>
  <c r="U44" i="62"/>
  <c r="V44" i="62" s="1"/>
  <c r="Z43" i="62"/>
  <c r="Y43" i="62"/>
  <c r="X43" i="62"/>
  <c r="W43" i="62"/>
  <c r="U43" i="62"/>
  <c r="V43" i="62" s="1"/>
  <c r="Z37" i="62"/>
  <c r="Y37" i="62"/>
  <c r="X37" i="62"/>
  <c r="W37" i="62"/>
  <c r="U37" i="62"/>
  <c r="V37" i="62" s="1"/>
  <c r="Z36" i="62"/>
  <c r="Y36" i="62"/>
  <c r="X36" i="62"/>
  <c r="W36" i="62"/>
  <c r="U36" i="62"/>
  <c r="V36" i="62" s="1"/>
  <c r="Z35" i="62"/>
  <c r="Y35" i="62"/>
  <c r="X35" i="62"/>
  <c r="W35" i="62"/>
  <c r="U35" i="62"/>
  <c r="V35" i="62" s="1"/>
  <c r="Z34" i="62"/>
  <c r="Y34" i="62"/>
  <c r="X34" i="62"/>
  <c r="W34" i="62"/>
  <c r="U34" i="62"/>
  <c r="V34" i="62" s="1"/>
  <c r="Z33" i="62"/>
  <c r="Y33" i="62"/>
  <c r="X33" i="62"/>
  <c r="W33" i="62"/>
  <c r="U33" i="62"/>
  <c r="V33" i="62" s="1"/>
  <c r="Z32" i="62"/>
  <c r="Y32" i="62"/>
  <c r="X32" i="62"/>
  <c r="W32" i="62"/>
  <c r="U32" i="62"/>
  <c r="V32" i="62" s="1"/>
  <c r="Z31" i="62"/>
  <c r="Y31" i="62"/>
  <c r="X31" i="62"/>
  <c r="W31" i="62"/>
  <c r="U31" i="62"/>
  <c r="V31" i="62" s="1"/>
  <c r="Z30" i="62"/>
  <c r="Y30" i="62"/>
  <c r="X30" i="62"/>
  <c r="W30" i="62"/>
  <c r="U30" i="62"/>
  <c r="V30" i="62" s="1"/>
  <c r="Z29" i="62"/>
  <c r="Y29" i="62"/>
  <c r="X29" i="62"/>
  <c r="W29" i="62"/>
  <c r="U29" i="62"/>
  <c r="V29" i="62" s="1"/>
  <c r="Q27" i="62"/>
  <c r="P27" i="62"/>
  <c r="O27" i="62"/>
  <c r="N27" i="62"/>
  <c r="M27" i="62"/>
  <c r="L27" i="62"/>
  <c r="K27" i="62"/>
  <c r="J27" i="62"/>
  <c r="I27" i="62"/>
  <c r="H27" i="62"/>
  <c r="G27" i="62"/>
  <c r="F27" i="62"/>
  <c r="E27" i="62"/>
  <c r="D27" i="62"/>
  <c r="Z25" i="62"/>
  <c r="Y25" i="62"/>
  <c r="X25" i="62"/>
  <c r="W25" i="62"/>
  <c r="U25" i="62"/>
  <c r="V25" i="62" s="1"/>
  <c r="Z24" i="62"/>
  <c r="Y24" i="62"/>
  <c r="X24" i="62"/>
  <c r="W24" i="62"/>
  <c r="U24" i="62"/>
  <c r="V24" i="62" s="1"/>
  <c r="Z23" i="62"/>
  <c r="Y23" i="62"/>
  <c r="X23" i="62"/>
  <c r="W23" i="62"/>
  <c r="U23" i="62"/>
  <c r="V23" i="62" s="1"/>
  <c r="Z22" i="62"/>
  <c r="Y22" i="62"/>
  <c r="X22" i="62"/>
  <c r="W22" i="62"/>
  <c r="U22" i="62"/>
  <c r="V22" i="62" s="1"/>
  <c r="Z21" i="62"/>
  <c r="Y21" i="62"/>
  <c r="X21" i="62"/>
  <c r="W21" i="62"/>
  <c r="U21" i="62"/>
  <c r="V21" i="62" s="1"/>
  <c r="Z20" i="62"/>
  <c r="Y20" i="62"/>
  <c r="X20" i="62"/>
  <c r="W20" i="62"/>
  <c r="U20" i="62"/>
  <c r="V20" i="62" s="1"/>
  <c r="Z19" i="62"/>
  <c r="Y19" i="62"/>
  <c r="X19" i="62"/>
  <c r="W19" i="62"/>
  <c r="U19" i="62"/>
  <c r="V19" i="62" s="1"/>
  <c r="Z18" i="62"/>
  <c r="Y18" i="62"/>
  <c r="X18" i="62"/>
  <c r="W18" i="62"/>
  <c r="U18" i="62"/>
  <c r="Q17" i="62"/>
  <c r="P17" i="62"/>
  <c r="O17" i="62"/>
  <c r="N17" i="62"/>
  <c r="M17" i="62"/>
  <c r="L17" i="62"/>
  <c r="K17" i="62"/>
  <c r="J17" i="62"/>
  <c r="I17" i="62"/>
  <c r="H17" i="62"/>
  <c r="G17" i="62"/>
  <c r="F17" i="62"/>
  <c r="E17" i="62"/>
  <c r="D17" i="62"/>
  <c r="Z16" i="62"/>
  <c r="Y16" i="62"/>
  <c r="X16" i="62"/>
  <c r="W16" i="62"/>
  <c r="U16" i="62"/>
  <c r="V16" i="62" s="1"/>
  <c r="Z15" i="62"/>
  <c r="Y15" i="62"/>
  <c r="X15" i="62"/>
  <c r="W15" i="62"/>
  <c r="U15" i="62"/>
  <c r="V15" i="62" s="1"/>
  <c r="Z14" i="62"/>
  <c r="Y14" i="62"/>
  <c r="X14" i="62"/>
  <c r="W14" i="62"/>
  <c r="U14" i="62"/>
  <c r="V14" i="62" s="1"/>
  <c r="Z13" i="62"/>
  <c r="Y13" i="62"/>
  <c r="X13" i="62"/>
  <c r="W13" i="62"/>
  <c r="U13" i="62"/>
  <c r="V13" i="62" s="1"/>
  <c r="Z12" i="62"/>
  <c r="Y12" i="62"/>
  <c r="X12" i="62"/>
  <c r="W12" i="62"/>
  <c r="U12" i="62"/>
  <c r="V12" i="62" s="1"/>
  <c r="Z11" i="62"/>
  <c r="Y11" i="62"/>
  <c r="X11" i="62"/>
  <c r="W11" i="62"/>
  <c r="U11" i="62"/>
  <c r="V11" i="62" s="1"/>
  <c r="Z10" i="62"/>
  <c r="Y10" i="62"/>
  <c r="X10" i="62"/>
  <c r="W10" i="62"/>
  <c r="U10" i="62"/>
  <c r="Z9" i="62"/>
  <c r="Y9" i="62"/>
  <c r="X9" i="62"/>
  <c r="W9" i="62"/>
  <c r="U9" i="62"/>
  <c r="V9" i="62" s="1"/>
  <c r="Q8" i="62"/>
  <c r="P8" i="62"/>
  <c r="O8" i="62"/>
  <c r="N8" i="62"/>
  <c r="M8" i="62"/>
  <c r="L8" i="62"/>
  <c r="K8" i="62"/>
  <c r="J8" i="62"/>
  <c r="I8" i="62"/>
  <c r="H8" i="62"/>
  <c r="G8" i="62"/>
  <c r="F8" i="62"/>
  <c r="E8" i="62"/>
  <c r="D8" i="62"/>
  <c r="Y130" i="64"/>
  <c r="Z130" i="64" s="1"/>
  <c r="W130" i="64"/>
  <c r="N130" i="64"/>
  <c r="O130" i="64" s="1"/>
  <c r="P130" i="64" s="1"/>
  <c r="Y129" i="64"/>
  <c r="Z129" i="64" s="1"/>
  <c r="W129" i="64"/>
  <c r="N129" i="64"/>
  <c r="O129" i="64" s="1"/>
  <c r="P129" i="64" s="1"/>
  <c r="Q129" i="64" s="1"/>
  <c r="R129" i="64" s="1"/>
  <c r="S129" i="64" s="1"/>
  <c r="Q127" i="64"/>
  <c r="P127" i="64"/>
  <c r="O127" i="64"/>
  <c r="N127" i="64"/>
  <c r="M127" i="64"/>
  <c r="L127" i="64"/>
  <c r="AA125" i="64"/>
  <c r="AB125" i="64" s="1"/>
  <c r="Z125" i="64"/>
  <c r="Y125" i="64"/>
  <c r="W125" i="64"/>
  <c r="X125" i="64" s="1"/>
  <c r="AA124" i="64"/>
  <c r="Z124" i="64"/>
  <c r="Y124" i="64"/>
  <c r="W124" i="64"/>
  <c r="X124" i="64" s="1"/>
  <c r="AA119" i="64"/>
  <c r="AB119" i="64" s="1"/>
  <c r="Z119" i="64"/>
  <c r="Y119" i="64"/>
  <c r="W119" i="64"/>
  <c r="X119" i="64" s="1"/>
  <c r="AA118" i="64"/>
  <c r="AB118" i="64" s="1"/>
  <c r="Z118" i="64"/>
  <c r="Y118" i="64"/>
  <c r="W118" i="64"/>
  <c r="X118" i="64" s="1"/>
  <c r="AA117" i="64"/>
  <c r="Z117" i="64"/>
  <c r="Y117" i="64"/>
  <c r="W117" i="64"/>
  <c r="X117" i="64" s="1"/>
  <c r="AA116" i="64"/>
  <c r="AB116" i="64" s="1"/>
  <c r="Z116" i="64"/>
  <c r="Y116" i="64"/>
  <c r="W116" i="64"/>
  <c r="Q114" i="64"/>
  <c r="P114" i="64"/>
  <c r="O114" i="64"/>
  <c r="N114" i="64"/>
  <c r="M114" i="64"/>
  <c r="L114" i="64"/>
  <c r="K114" i="64"/>
  <c r="J114" i="64"/>
  <c r="I114" i="64"/>
  <c r="H114" i="64"/>
  <c r="G114" i="64"/>
  <c r="F114" i="64"/>
  <c r="E114" i="64"/>
  <c r="D114" i="64"/>
  <c r="AA110" i="64"/>
  <c r="AB110" i="64" s="1"/>
  <c r="Z110" i="64"/>
  <c r="Y110" i="64"/>
  <c r="W110" i="64"/>
  <c r="X110" i="64" s="1"/>
  <c r="AA109" i="64"/>
  <c r="AB109" i="64" s="1"/>
  <c r="Z109" i="64"/>
  <c r="Y109" i="64"/>
  <c r="W109" i="64"/>
  <c r="X109" i="64" s="1"/>
  <c r="AA108" i="64"/>
  <c r="AB108" i="64" s="1"/>
  <c r="Z108" i="64"/>
  <c r="Y108" i="64"/>
  <c r="W108" i="64"/>
  <c r="X108" i="64" s="1"/>
  <c r="AA107" i="64"/>
  <c r="AB107" i="64" s="1"/>
  <c r="Z107" i="64"/>
  <c r="Y107" i="64"/>
  <c r="W107" i="64"/>
  <c r="X107" i="64" s="1"/>
  <c r="AA106" i="64"/>
  <c r="Z106" i="64"/>
  <c r="Y106" i="64"/>
  <c r="W106" i="64"/>
  <c r="X106" i="64" s="1"/>
  <c r="AA105" i="64"/>
  <c r="AB105" i="64" s="1"/>
  <c r="Z105" i="64"/>
  <c r="Y105" i="64"/>
  <c r="W105" i="64"/>
  <c r="X105" i="64" s="1"/>
  <c r="AA104" i="64"/>
  <c r="AB104" i="64" s="1"/>
  <c r="Z104" i="64"/>
  <c r="Y104" i="64"/>
  <c r="W104" i="64"/>
  <c r="X104" i="64" s="1"/>
  <c r="AA103" i="64"/>
  <c r="AB103" i="64" s="1"/>
  <c r="Z103" i="64"/>
  <c r="Y103" i="64"/>
  <c r="W103" i="64"/>
  <c r="X103" i="64" s="1"/>
  <c r="AA102" i="64"/>
  <c r="AB102" i="64" s="1"/>
  <c r="Z102" i="64"/>
  <c r="Y102" i="64"/>
  <c r="W102" i="64"/>
  <c r="AA101" i="64"/>
  <c r="AB101" i="64" s="1"/>
  <c r="Z101" i="64"/>
  <c r="Y101" i="64"/>
  <c r="W101" i="64"/>
  <c r="X101" i="64" s="1"/>
  <c r="Q100" i="64"/>
  <c r="P100" i="64"/>
  <c r="O100" i="64"/>
  <c r="N100" i="64"/>
  <c r="M100" i="64"/>
  <c r="L100" i="64"/>
  <c r="K100" i="64"/>
  <c r="J100" i="64"/>
  <c r="I100" i="64"/>
  <c r="H100" i="64"/>
  <c r="G100" i="64"/>
  <c r="F100" i="64"/>
  <c r="E100" i="64"/>
  <c r="D100" i="64"/>
  <c r="AA99" i="64"/>
  <c r="AB99" i="64" s="1"/>
  <c r="Z99" i="64"/>
  <c r="Y99" i="64"/>
  <c r="W99" i="64"/>
  <c r="X99" i="64" s="1"/>
  <c r="AA98" i="64"/>
  <c r="AB98" i="64" s="1"/>
  <c r="Z98" i="64"/>
  <c r="Y98" i="64"/>
  <c r="W98" i="64"/>
  <c r="X98" i="64" s="1"/>
  <c r="AA97" i="64"/>
  <c r="AB97" i="64" s="1"/>
  <c r="Z97" i="64"/>
  <c r="Y97" i="64"/>
  <c r="W97" i="64"/>
  <c r="X97" i="64" s="1"/>
  <c r="AA96" i="64"/>
  <c r="AB96" i="64" s="1"/>
  <c r="Z96" i="64"/>
  <c r="Y96" i="64"/>
  <c r="W96" i="64"/>
  <c r="X96" i="64" s="1"/>
  <c r="AA95" i="64"/>
  <c r="AB95" i="64" s="1"/>
  <c r="Z95" i="64"/>
  <c r="Y95" i="64"/>
  <c r="W95" i="64"/>
  <c r="X95" i="64" s="1"/>
  <c r="AA94" i="64"/>
  <c r="AB94" i="64" s="1"/>
  <c r="Z94" i="64"/>
  <c r="Y94" i="64"/>
  <c r="W94" i="64"/>
  <c r="X94" i="64" s="1"/>
  <c r="AA93" i="64"/>
  <c r="AB93" i="64" s="1"/>
  <c r="Z93" i="64"/>
  <c r="Y93" i="64"/>
  <c r="W93" i="64"/>
  <c r="X93" i="64" s="1"/>
  <c r="AA92" i="64"/>
  <c r="AB92" i="64" s="1"/>
  <c r="Z92" i="64"/>
  <c r="Y92" i="64"/>
  <c r="W92" i="64"/>
  <c r="X92" i="64" s="1"/>
  <c r="AA91" i="64"/>
  <c r="Z91" i="64"/>
  <c r="Y91" i="64"/>
  <c r="W91" i="64"/>
  <c r="Q90" i="64"/>
  <c r="P90" i="64"/>
  <c r="O90" i="64"/>
  <c r="N90" i="64"/>
  <c r="M90" i="64"/>
  <c r="L90" i="64"/>
  <c r="K90" i="64"/>
  <c r="J90" i="64"/>
  <c r="I90" i="64"/>
  <c r="H90" i="64"/>
  <c r="G90" i="64"/>
  <c r="F90" i="64"/>
  <c r="E90" i="64"/>
  <c r="D90" i="64"/>
  <c r="AB82" i="64"/>
  <c r="Z82" i="64"/>
  <c r="Y82" i="64"/>
  <c r="X82" i="64"/>
  <c r="AA81" i="64"/>
  <c r="AB81" i="64" s="1"/>
  <c r="Z81" i="64"/>
  <c r="Y81" i="64"/>
  <c r="W81" i="64"/>
  <c r="X81" i="64" s="1"/>
  <c r="AA80" i="64"/>
  <c r="Z80" i="64"/>
  <c r="Y80" i="64"/>
  <c r="W80" i="64"/>
  <c r="X80" i="64" s="1"/>
  <c r="Q79" i="64"/>
  <c r="P79" i="64"/>
  <c r="O79" i="64"/>
  <c r="N79" i="64"/>
  <c r="M79" i="64"/>
  <c r="L79" i="64"/>
  <c r="K79" i="64"/>
  <c r="J79" i="64"/>
  <c r="I79" i="64"/>
  <c r="H79" i="64"/>
  <c r="G79" i="64"/>
  <c r="F79" i="64"/>
  <c r="E79" i="64"/>
  <c r="D79" i="64"/>
  <c r="AA78" i="64"/>
  <c r="AB78" i="64" s="1"/>
  <c r="Z78" i="64"/>
  <c r="Y78" i="64"/>
  <c r="W78" i="64"/>
  <c r="X78" i="64" s="1"/>
  <c r="AA77" i="64"/>
  <c r="AB77" i="64" s="1"/>
  <c r="Z77" i="64"/>
  <c r="Y77" i="64"/>
  <c r="W77" i="64"/>
  <c r="X77" i="64" s="1"/>
  <c r="AA76" i="64"/>
  <c r="AB76" i="64" s="1"/>
  <c r="Z76" i="64"/>
  <c r="Y76" i="64"/>
  <c r="W76" i="64"/>
  <c r="X76" i="64" s="1"/>
  <c r="AA75" i="64"/>
  <c r="AB75" i="64" s="1"/>
  <c r="Z75" i="64"/>
  <c r="Y75" i="64"/>
  <c r="W75" i="64"/>
  <c r="X75" i="64" s="1"/>
  <c r="AA74" i="64"/>
  <c r="AB74" i="64" s="1"/>
  <c r="Z74" i="64"/>
  <c r="Y74" i="64"/>
  <c r="W74" i="64"/>
  <c r="X74" i="64" s="1"/>
  <c r="AA73" i="64"/>
  <c r="AB73" i="64" s="1"/>
  <c r="Z73" i="64"/>
  <c r="Y73" i="64"/>
  <c r="W73" i="64"/>
  <c r="X73" i="64" s="1"/>
  <c r="AA72" i="64"/>
  <c r="AB72" i="64" s="1"/>
  <c r="Z72" i="64"/>
  <c r="Y72" i="64"/>
  <c r="W72" i="64"/>
  <c r="X72" i="64" s="1"/>
  <c r="AA71" i="64"/>
  <c r="AB71" i="64" s="1"/>
  <c r="Z71" i="64"/>
  <c r="Y71" i="64"/>
  <c r="W71" i="64"/>
  <c r="X71" i="64" s="1"/>
  <c r="AA70" i="64"/>
  <c r="Z70" i="64"/>
  <c r="Y70" i="64"/>
  <c r="W70" i="64"/>
  <c r="X70" i="64" s="1"/>
  <c r="Q69" i="64"/>
  <c r="P69" i="64"/>
  <c r="O69" i="64"/>
  <c r="N69" i="64"/>
  <c r="M69" i="64"/>
  <c r="L69" i="64"/>
  <c r="K69" i="64"/>
  <c r="J69" i="64"/>
  <c r="I69" i="64"/>
  <c r="H69" i="64"/>
  <c r="G69" i="64"/>
  <c r="F69" i="64"/>
  <c r="E69" i="64"/>
  <c r="D69" i="64"/>
  <c r="AA68" i="64"/>
  <c r="AB68" i="64" s="1"/>
  <c r="Z68" i="64"/>
  <c r="Y68" i="64"/>
  <c r="W68" i="64"/>
  <c r="X68" i="64" s="1"/>
  <c r="AA67" i="64"/>
  <c r="AB67" i="64" s="1"/>
  <c r="Z67" i="64"/>
  <c r="Y67" i="64"/>
  <c r="W67" i="64"/>
  <c r="X67" i="64" s="1"/>
  <c r="AA66" i="64"/>
  <c r="AB66" i="64" s="1"/>
  <c r="Z66" i="64"/>
  <c r="Y66" i="64"/>
  <c r="W66" i="64"/>
  <c r="X66" i="64" s="1"/>
  <c r="AA65" i="64"/>
  <c r="AB65" i="64" s="1"/>
  <c r="Z65" i="64"/>
  <c r="Y65" i="64"/>
  <c r="W65" i="64"/>
  <c r="X65" i="64" s="1"/>
  <c r="AA64" i="64"/>
  <c r="AB64" i="64" s="1"/>
  <c r="Z64" i="64"/>
  <c r="Y64" i="64"/>
  <c r="W64" i="64"/>
  <c r="X64" i="64" s="1"/>
  <c r="AA63" i="64"/>
  <c r="AB63" i="64" s="1"/>
  <c r="Z63" i="64"/>
  <c r="Y63" i="64"/>
  <c r="W63" i="64"/>
  <c r="X63" i="64" s="1"/>
  <c r="Q62" i="64"/>
  <c r="P62" i="64"/>
  <c r="O62" i="64"/>
  <c r="N62" i="64"/>
  <c r="L62" i="64"/>
  <c r="K62" i="64"/>
  <c r="J62" i="64"/>
  <c r="I62" i="64"/>
  <c r="H62" i="64"/>
  <c r="G62" i="64"/>
  <c r="F62" i="64"/>
  <c r="E62" i="64"/>
  <c r="D62" i="64"/>
  <c r="AA56" i="64"/>
  <c r="AB56" i="64" s="1"/>
  <c r="Z56" i="64"/>
  <c r="Y56" i="64"/>
  <c r="W56" i="64"/>
  <c r="X56" i="64" s="1"/>
  <c r="AA55" i="64"/>
  <c r="AB55" i="64" s="1"/>
  <c r="Z55" i="64"/>
  <c r="Y55" i="64"/>
  <c r="W55" i="64"/>
  <c r="X55" i="64" s="1"/>
  <c r="AA54" i="64"/>
  <c r="AB54" i="64" s="1"/>
  <c r="Z54" i="64"/>
  <c r="Y54" i="64"/>
  <c r="W54" i="64"/>
  <c r="X54" i="64" s="1"/>
  <c r="AA53" i="64"/>
  <c r="AB53" i="64" s="1"/>
  <c r="Z53" i="64"/>
  <c r="Y53" i="64"/>
  <c r="W53" i="64"/>
  <c r="X53" i="64" s="1"/>
  <c r="AA52" i="64"/>
  <c r="AB52" i="64" s="1"/>
  <c r="Z52" i="64"/>
  <c r="Y52" i="64"/>
  <c r="W52" i="64"/>
  <c r="X52" i="64" s="1"/>
  <c r="AA51" i="64"/>
  <c r="AB51" i="64" s="1"/>
  <c r="Z51" i="64"/>
  <c r="Y51" i="64"/>
  <c r="W51" i="64"/>
  <c r="AA50" i="64"/>
  <c r="Z50" i="64"/>
  <c r="Y50" i="64"/>
  <c r="W50" i="64"/>
  <c r="X50" i="64" s="1"/>
  <c r="Q49" i="64"/>
  <c r="Q41" i="64" s="1"/>
  <c r="P49" i="64"/>
  <c r="P41" i="64" s="1"/>
  <c r="O49" i="64"/>
  <c r="O41" i="64" s="1"/>
  <c r="N49" i="64"/>
  <c r="N41" i="64" s="1"/>
  <c r="M49" i="64"/>
  <c r="M41" i="64" s="1"/>
  <c r="L49" i="64"/>
  <c r="L41" i="64" s="1"/>
  <c r="K49" i="64"/>
  <c r="K41" i="64" s="1"/>
  <c r="J49" i="64"/>
  <c r="J41" i="64" s="1"/>
  <c r="I49" i="64"/>
  <c r="I41" i="64" s="1"/>
  <c r="H49" i="64"/>
  <c r="H41" i="64" s="1"/>
  <c r="G49" i="64"/>
  <c r="G41" i="64" s="1"/>
  <c r="F49" i="64"/>
  <c r="F41" i="64" s="1"/>
  <c r="E49" i="64"/>
  <c r="E41" i="64" s="1"/>
  <c r="D49" i="64"/>
  <c r="D41" i="64" s="1"/>
  <c r="AB48" i="64"/>
  <c r="AA48" i="64"/>
  <c r="Z48" i="64"/>
  <c r="Y48" i="64"/>
  <c r="W48" i="64"/>
  <c r="X48" i="64" s="1"/>
  <c r="AB47" i="64"/>
  <c r="AA47" i="64"/>
  <c r="Z47" i="64"/>
  <c r="Y47" i="64"/>
  <c r="W47" i="64"/>
  <c r="X47" i="64" s="1"/>
  <c r="AB46" i="64"/>
  <c r="AA46" i="64"/>
  <c r="Z46" i="64"/>
  <c r="Y46" i="64"/>
  <c r="W46" i="64"/>
  <c r="X46" i="64" s="1"/>
  <c r="AB45" i="64"/>
  <c r="AA45" i="64"/>
  <c r="Z45" i="64"/>
  <c r="Y45" i="64"/>
  <c r="W45" i="64"/>
  <c r="X45" i="64" s="1"/>
  <c r="AB43" i="64"/>
  <c r="AA43" i="64"/>
  <c r="Z43" i="64"/>
  <c r="Y43" i="64"/>
  <c r="W43" i="64"/>
  <c r="X43" i="64" s="1"/>
  <c r="AB37" i="64"/>
  <c r="AA37" i="64"/>
  <c r="Z37" i="64"/>
  <c r="Y37" i="64"/>
  <c r="W37" i="64"/>
  <c r="X37" i="64" s="1"/>
  <c r="AB36" i="64"/>
  <c r="AA36" i="64"/>
  <c r="Z36" i="64"/>
  <c r="Y36" i="64"/>
  <c r="W36" i="64"/>
  <c r="X36" i="64" s="1"/>
  <c r="AB35" i="64"/>
  <c r="AA35" i="64"/>
  <c r="Z35" i="64"/>
  <c r="Y35" i="64"/>
  <c r="W35" i="64"/>
  <c r="X35" i="64" s="1"/>
  <c r="AB34" i="64"/>
  <c r="AA34" i="64"/>
  <c r="Z34" i="64"/>
  <c r="Y34" i="64"/>
  <c r="W34" i="64"/>
  <c r="X34" i="64" s="1"/>
  <c r="AB33" i="64"/>
  <c r="AA33" i="64"/>
  <c r="Z33" i="64"/>
  <c r="Y33" i="64"/>
  <c r="W33" i="64"/>
  <c r="X33" i="64" s="1"/>
  <c r="AB32" i="64"/>
  <c r="AA32" i="64"/>
  <c r="Z32" i="64"/>
  <c r="Y32" i="64"/>
  <c r="W32" i="64"/>
  <c r="X32" i="64" s="1"/>
  <c r="AB31" i="64"/>
  <c r="AA31" i="64"/>
  <c r="Z31" i="64"/>
  <c r="Y31" i="64"/>
  <c r="W31" i="64"/>
  <c r="X31" i="64" s="1"/>
  <c r="AB30" i="64"/>
  <c r="AA30" i="64"/>
  <c r="Z30" i="64"/>
  <c r="Y30" i="64"/>
  <c r="W30" i="64"/>
  <c r="AB29" i="64"/>
  <c r="AA29" i="64"/>
  <c r="Z29" i="64"/>
  <c r="Y29" i="64"/>
  <c r="W29" i="64"/>
  <c r="X29" i="64" s="1"/>
  <c r="Q27" i="64"/>
  <c r="P27" i="64"/>
  <c r="O27" i="64"/>
  <c r="N27" i="64"/>
  <c r="M27" i="64"/>
  <c r="L27" i="64"/>
  <c r="K27" i="64"/>
  <c r="J27" i="64"/>
  <c r="I27" i="64"/>
  <c r="H27" i="64"/>
  <c r="G27" i="64"/>
  <c r="F27" i="64"/>
  <c r="E27" i="64"/>
  <c r="D27" i="64"/>
  <c r="AB25" i="64"/>
  <c r="AA25" i="64"/>
  <c r="Z25" i="64"/>
  <c r="Y25" i="64"/>
  <c r="W25" i="64"/>
  <c r="X25" i="64" s="1"/>
  <c r="AB24" i="64"/>
  <c r="AA24" i="64"/>
  <c r="Z24" i="64"/>
  <c r="Y24" i="64"/>
  <c r="W24" i="64"/>
  <c r="X24" i="64" s="1"/>
  <c r="AB23" i="64"/>
  <c r="AA23" i="64"/>
  <c r="Z23" i="64"/>
  <c r="Y23" i="64"/>
  <c r="W23" i="64"/>
  <c r="X23" i="64" s="1"/>
  <c r="AB22" i="64"/>
  <c r="AA22" i="64"/>
  <c r="Z22" i="64"/>
  <c r="Y22" i="64"/>
  <c r="W22" i="64"/>
  <c r="X22" i="64" s="1"/>
  <c r="AB21" i="64"/>
  <c r="AA21" i="64"/>
  <c r="Z21" i="64"/>
  <c r="Y21" i="64"/>
  <c r="W21" i="64"/>
  <c r="X21" i="64" s="1"/>
  <c r="AB20" i="64"/>
  <c r="AA20" i="64"/>
  <c r="Z20" i="64"/>
  <c r="Y20" i="64"/>
  <c r="W20" i="64"/>
  <c r="X20" i="64" s="1"/>
  <c r="AB19" i="64"/>
  <c r="AA19" i="64"/>
  <c r="Z19" i="64"/>
  <c r="Y19" i="64"/>
  <c r="W19" i="64"/>
  <c r="X19" i="64" s="1"/>
  <c r="AB18" i="64"/>
  <c r="AA18" i="64"/>
  <c r="Z18" i="64"/>
  <c r="Y18" i="64"/>
  <c r="W18" i="64"/>
  <c r="X18" i="64" s="1"/>
  <c r="Q17" i="64"/>
  <c r="P17" i="64"/>
  <c r="O17" i="64"/>
  <c r="N17" i="64"/>
  <c r="M17" i="64"/>
  <c r="L17" i="64"/>
  <c r="K17" i="64"/>
  <c r="J17" i="64"/>
  <c r="I17" i="64"/>
  <c r="H17" i="64"/>
  <c r="G17" i="64"/>
  <c r="F17" i="64"/>
  <c r="E17" i="64"/>
  <c r="D17" i="64"/>
  <c r="AB16" i="64"/>
  <c r="AA16" i="64"/>
  <c r="Z16" i="64"/>
  <c r="Y16" i="64"/>
  <c r="W16" i="64"/>
  <c r="X16" i="64" s="1"/>
  <c r="AB15" i="64"/>
  <c r="AA15" i="64"/>
  <c r="Z15" i="64"/>
  <c r="Y15" i="64"/>
  <c r="W15" i="64"/>
  <c r="X15" i="64" s="1"/>
  <c r="AB14" i="64"/>
  <c r="AA14" i="64"/>
  <c r="Z14" i="64"/>
  <c r="Y14" i="64"/>
  <c r="W14" i="64"/>
  <c r="X14" i="64" s="1"/>
  <c r="AB13" i="64"/>
  <c r="AA13" i="64"/>
  <c r="Z13" i="64"/>
  <c r="Y13" i="64"/>
  <c r="W13" i="64"/>
  <c r="X13" i="64" s="1"/>
  <c r="AB12" i="64"/>
  <c r="AA12" i="64"/>
  <c r="Z12" i="64"/>
  <c r="Y12" i="64"/>
  <c r="W12" i="64"/>
  <c r="X12" i="64" s="1"/>
  <c r="AB11" i="64"/>
  <c r="AA11" i="64"/>
  <c r="Z11" i="64"/>
  <c r="Y11" i="64"/>
  <c r="W11" i="64"/>
  <c r="X11" i="64" s="1"/>
  <c r="AB10" i="64"/>
  <c r="AA10" i="64"/>
  <c r="Z10" i="64"/>
  <c r="Y10" i="64"/>
  <c r="W10" i="64"/>
  <c r="X10" i="64" s="1"/>
  <c r="AB9" i="64"/>
  <c r="AA9" i="64"/>
  <c r="Z9" i="64"/>
  <c r="Y9" i="64"/>
  <c r="W9" i="64"/>
  <c r="X9" i="64" s="1"/>
  <c r="Q8" i="64"/>
  <c r="P8" i="64"/>
  <c r="O8" i="64"/>
  <c r="N8" i="64"/>
  <c r="M8" i="64"/>
  <c r="L8" i="64"/>
  <c r="K8" i="64"/>
  <c r="J8" i="64"/>
  <c r="I8" i="64"/>
  <c r="H8" i="64"/>
  <c r="G8" i="64"/>
  <c r="F8" i="64"/>
  <c r="E8" i="64"/>
  <c r="D8" i="64"/>
  <c r="Y130" i="63"/>
  <c r="Z130" i="63" s="1"/>
  <c r="W130" i="63"/>
  <c r="N130" i="63"/>
  <c r="O130" i="63" s="1"/>
  <c r="P130" i="63" s="1"/>
  <c r="Y129" i="63"/>
  <c r="Z129" i="63" s="1"/>
  <c r="W129" i="63"/>
  <c r="N129" i="63"/>
  <c r="O129" i="63" s="1"/>
  <c r="P129" i="63" s="1"/>
  <c r="AA129" i="63" s="1"/>
  <c r="AB129" i="63" s="1"/>
  <c r="AC129" i="63" s="1"/>
  <c r="AD129" i="63" s="1"/>
  <c r="Q127" i="63"/>
  <c r="P127" i="63"/>
  <c r="O127" i="63"/>
  <c r="N127" i="63"/>
  <c r="M127" i="63"/>
  <c r="L127" i="63"/>
  <c r="AA125" i="63"/>
  <c r="AB125" i="63" s="1"/>
  <c r="Z125" i="63"/>
  <c r="Y125" i="63"/>
  <c r="W125" i="63"/>
  <c r="X125" i="63" s="1"/>
  <c r="AA124" i="63"/>
  <c r="Z124" i="63"/>
  <c r="Y124" i="63"/>
  <c r="W124" i="63"/>
  <c r="AA119" i="63"/>
  <c r="AB119" i="63" s="1"/>
  <c r="Z119" i="63"/>
  <c r="Y119" i="63"/>
  <c r="W119" i="63"/>
  <c r="X119" i="63" s="1"/>
  <c r="AA118" i="63"/>
  <c r="AB118" i="63" s="1"/>
  <c r="Z118" i="63"/>
  <c r="Y118" i="63"/>
  <c r="W118" i="63"/>
  <c r="X118" i="63" s="1"/>
  <c r="AA117" i="63"/>
  <c r="Z117" i="63"/>
  <c r="Y117" i="63"/>
  <c r="W117" i="63"/>
  <c r="AA116" i="63"/>
  <c r="AB116" i="63" s="1"/>
  <c r="Z116" i="63"/>
  <c r="Y116" i="63"/>
  <c r="W116" i="63"/>
  <c r="X116" i="63" s="1"/>
  <c r="Q114" i="63"/>
  <c r="P114" i="63"/>
  <c r="O114" i="63"/>
  <c r="N114" i="63"/>
  <c r="M114" i="63"/>
  <c r="L114" i="63"/>
  <c r="K114" i="63"/>
  <c r="J114" i="63"/>
  <c r="I114" i="63"/>
  <c r="H114" i="63"/>
  <c r="G114" i="63"/>
  <c r="F114" i="63"/>
  <c r="E114" i="63"/>
  <c r="D114" i="63"/>
  <c r="AA110" i="63"/>
  <c r="AB110" i="63" s="1"/>
  <c r="Z110" i="63"/>
  <c r="Y110" i="63"/>
  <c r="W110" i="63"/>
  <c r="X110" i="63" s="1"/>
  <c r="AA109" i="63"/>
  <c r="AB109" i="63" s="1"/>
  <c r="Z109" i="63"/>
  <c r="Y109" i="63"/>
  <c r="W109" i="63"/>
  <c r="X109" i="63" s="1"/>
  <c r="AA108" i="63"/>
  <c r="AB108" i="63" s="1"/>
  <c r="Z108" i="63"/>
  <c r="Y108" i="63"/>
  <c r="W108" i="63"/>
  <c r="X108" i="63" s="1"/>
  <c r="AA107" i="63"/>
  <c r="AB107" i="63" s="1"/>
  <c r="Z107" i="63"/>
  <c r="Y107" i="63"/>
  <c r="W107" i="63"/>
  <c r="X107" i="63" s="1"/>
  <c r="AA106" i="63"/>
  <c r="AB106" i="63" s="1"/>
  <c r="Z106" i="63"/>
  <c r="Y106" i="63"/>
  <c r="W106" i="63"/>
  <c r="X106" i="63" s="1"/>
  <c r="AA105" i="63"/>
  <c r="AB105" i="63" s="1"/>
  <c r="Z105" i="63"/>
  <c r="Y105" i="63"/>
  <c r="W105" i="63"/>
  <c r="X105" i="63" s="1"/>
  <c r="AA104" i="63"/>
  <c r="AB104" i="63" s="1"/>
  <c r="Z104" i="63"/>
  <c r="Y104" i="63"/>
  <c r="W104" i="63"/>
  <c r="X104" i="63" s="1"/>
  <c r="AA103" i="63"/>
  <c r="AB103" i="63" s="1"/>
  <c r="Z103" i="63"/>
  <c r="Y103" i="63"/>
  <c r="W103" i="63"/>
  <c r="X103" i="63" s="1"/>
  <c r="AA102" i="63"/>
  <c r="AB102" i="63" s="1"/>
  <c r="Z102" i="63"/>
  <c r="Y102" i="63"/>
  <c r="W102" i="63"/>
  <c r="X102" i="63" s="1"/>
  <c r="AA101" i="63"/>
  <c r="AB101" i="63" s="1"/>
  <c r="Z101" i="63"/>
  <c r="Y101" i="63"/>
  <c r="W101" i="63"/>
  <c r="X101" i="63" s="1"/>
  <c r="Q100" i="63"/>
  <c r="P100" i="63"/>
  <c r="O100" i="63"/>
  <c r="N100" i="63"/>
  <c r="M100" i="63"/>
  <c r="L100" i="63"/>
  <c r="K100" i="63"/>
  <c r="J100" i="63"/>
  <c r="I100" i="63"/>
  <c r="H100" i="63"/>
  <c r="G100" i="63"/>
  <c r="F100" i="63"/>
  <c r="E100" i="63"/>
  <c r="D100" i="63"/>
  <c r="AA99" i="63"/>
  <c r="AB99" i="63" s="1"/>
  <c r="Z99" i="63"/>
  <c r="Y99" i="63"/>
  <c r="W99" i="63"/>
  <c r="X99" i="63" s="1"/>
  <c r="AA98" i="63"/>
  <c r="AB98" i="63" s="1"/>
  <c r="Z98" i="63"/>
  <c r="Y98" i="63"/>
  <c r="W98" i="63"/>
  <c r="X98" i="63" s="1"/>
  <c r="AA97" i="63"/>
  <c r="AB97" i="63" s="1"/>
  <c r="Z97" i="63"/>
  <c r="Y97" i="63"/>
  <c r="W97" i="63"/>
  <c r="X97" i="63" s="1"/>
  <c r="AA96" i="63"/>
  <c r="AB96" i="63" s="1"/>
  <c r="Z96" i="63"/>
  <c r="Y96" i="63"/>
  <c r="W96" i="63"/>
  <c r="X96" i="63" s="1"/>
  <c r="AA95" i="63"/>
  <c r="AB95" i="63" s="1"/>
  <c r="Z95" i="63"/>
  <c r="Y95" i="63"/>
  <c r="W95" i="63"/>
  <c r="X95" i="63" s="1"/>
  <c r="AA94" i="63"/>
  <c r="AB94" i="63" s="1"/>
  <c r="Z94" i="63"/>
  <c r="Y94" i="63"/>
  <c r="W94" i="63"/>
  <c r="X94" i="63" s="1"/>
  <c r="AA93" i="63"/>
  <c r="AB93" i="63" s="1"/>
  <c r="Z93" i="63"/>
  <c r="Y93" i="63"/>
  <c r="W93" i="63"/>
  <c r="X93" i="63" s="1"/>
  <c r="AA92" i="63"/>
  <c r="AB92" i="63" s="1"/>
  <c r="Z92" i="63"/>
  <c r="Y92" i="63"/>
  <c r="W92" i="63"/>
  <c r="X92" i="63" s="1"/>
  <c r="AA91" i="63"/>
  <c r="Z91" i="63"/>
  <c r="Y91" i="63"/>
  <c r="W91" i="63"/>
  <c r="X91" i="63" s="1"/>
  <c r="Q90" i="63"/>
  <c r="P90" i="63"/>
  <c r="O90" i="63"/>
  <c r="N90" i="63"/>
  <c r="M90" i="63"/>
  <c r="L90" i="63"/>
  <c r="K90" i="63"/>
  <c r="J90" i="63"/>
  <c r="I90" i="63"/>
  <c r="H90" i="63"/>
  <c r="G90" i="63"/>
  <c r="F90" i="63"/>
  <c r="E90" i="63"/>
  <c r="D90" i="63"/>
  <c r="AB82" i="63"/>
  <c r="Z82" i="63"/>
  <c r="Y82" i="63"/>
  <c r="X82" i="63"/>
  <c r="AA81" i="63"/>
  <c r="AB81" i="63" s="1"/>
  <c r="Z81" i="63"/>
  <c r="Y81" i="63"/>
  <c r="W81" i="63"/>
  <c r="X81" i="63" s="1"/>
  <c r="AA80" i="63"/>
  <c r="Z80" i="63"/>
  <c r="Y80" i="63"/>
  <c r="W80" i="63"/>
  <c r="X80" i="63" s="1"/>
  <c r="Q79" i="63"/>
  <c r="P79" i="63"/>
  <c r="O79" i="63"/>
  <c r="N79" i="63"/>
  <c r="M79" i="63"/>
  <c r="L79" i="63"/>
  <c r="K79" i="63"/>
  <c r="J79" i="63"/>
  <c r="I79" i="63"/>
  <c r="H79" i="63"/>
  <c r="G79" i="63"/>
  <c r="F79" i="63"/>
  <c r="E79" i="63"/>
  <c r="D79" i="63"/>
  <c r="AA78" i="63"/>
  <c r="AB78" i="63" s="1"/>
  <c r="Z78" i="63"/>
  <c r="Y78" i="63"/>
  <c r="W78" i="63"/>
  <c r="X78" i="63" s="1"/>
  <c r="AA77" i="63"/>
  <c r="AB77" i="63" s="1"/>
  <c r="Z77" i="63"/>
  <c r="Y77" i="63"/>
  <c r="W77" i="63"/>
  <c r="X77" i="63" s="1"/>
  <c r="AA76" i="63"/>
  <c r="AB76" i="63" s="1"/>
  <c r="Z76" i="63"/>
  <c r="Y76" i="63"/>
  <c r="W76" i="63"/>
  <c r="X76" i="63" s="1"/>
  <c r="AA75" i="63"/>
  <c r="AB75" i="63" s="1"/>
  <c r="Z75" i="63"/>
  <c r="Y75" i="63"/>
  <c r="W75" i="63"/>
  <c r="X75" i="63" s="1"/>
  <c r="AA74" i="63"/>
  <c r="AB74" i="63" s="1"/>
  <c r="Z74" i="63"/>
  <c r="Y74" i="63"/>
  <c r="W74" i="63"/>
  <c r="X74" i="63" s="1"/>
  <c r="AA73" i="63"/>
  <c r="AB73" i="63" s="1"/>
  <c r="Z73" i="63"/>
  <c r="Y73" i="63"/>
  <c r="W73" i="63"/>
  <c r="X73" i="63" s="1"/>
  <c r="AA72" i="63"/>
  <c r="AB72" i="63" s="1"/>
  <c r="Z72" i="63"/>
  <c r="Y72" i="63"/>
  <c r="W72" i="63"/>
  <c r="X72" i="63" s="1"/>
  <c r="AA71" i="63"/>
  <c r="Z71" i="63"/>
  <c r="Y71" i="63"/>
  <c r="W71" i="63"/>
  <c r="AA70" i="63"/>
  <c r="AB70" i="63" s="1"/>
  <c r="Z70" i="63"/>
  <c r="Y70" i="63"/>
  <c r="W70" i="63"/>
  <c r="X70" i="63" s="1"/>
  <c r="Q69" i="63"/>
  <c r="P69" i="63"/>
  <c r="O69" i="63"/>
  <c r="N69" i="63"/>
  <c r="M69" i="63"/>
  <c r="L69" i="63"/>
  <c r="K69" i="63"/>
  <c r="J69" i="63"/>
  <c r="I69" i="63"/>
  <c r="H69" i="63"/>
  <c r="G69" i="63"/>
  <c r="F69" i="63"/>
  <c r="E69" i="63"/>
  <c r="D69" i="63"/>
  <c r="AA68" i="63"/>
  <c r="AB68" i="63" s="1"/>
  <c r="Z68" i="63"/>
  <c r="Y68" i="63"/>
  <c r="W68" i="63"/>
  <c r="X68" i="63" s="1"/>
  <c r="AA67" i="63"/>
  <c r="AB67" i="63" s="1"/>
  <c r="Z67" i="63"/>
  <c r="Y67" i="63"/>
  <c r="W67" i="63"/>
  <c r="X67" i="63" s="1"/>
  <c r="AA66" i="63"/>
  <c r="AB66" i="63" s="1"/>
  <c r="Z66" i="63"/>
  <c r="Y66" i="63"/>
  <c r="W66" i="63"/>
  <c r="AA65" i="63"/>
  <c r="AB65" i="63" s="1"/>
  <c r="Z65" i="63"/>
  <c r="Y65" i="63"/>
  <c r="W65" i="63"/>
  <c r="X65" i="63" s="1"/>
  <c r="AA64" i="63"/>
  <c r="Z64" i="63"/>
  <c r="Y64" i="63"/>
  <c r="W64" i="63"/>
  <c r="X64" i="63" s="1"/>
  <c r="AA63" i="63"/>
  <c r="AB63" i="63" s="1"/>
  <c r="Z63" i="63"/>
  <c r="Y63" i="63"/>
  <c r="W63" i="63"/>
  <c r="X63" i="63" s="1"/>
  <c r="Q62" i="63"/>
  <c r="P62" i="63"/>
  <c r="O62" i="63"/>
  <c r="N62" i="63"/>
  <c r="M62" i="63"/>
  <c r="L62" i="63"/>
  <c r="K62" i="63"/>
  <c r="J62" i="63"/>
  <c r="I62" i="63"/>
  <c r="H62" i="63"/>
  <c r="G62" i="63"/>
  <c r="F62" i="63"/>
  <c r="E62" i="63"/>
  <c r="D62" i="63"/>
  <c r="AA56" i="63"/>
  <c r="AB56" i="63" s="1"/>
  <c r="Z56" i="63"/>
  <c r="Y56" i="63"/>
  <c r="W56" i="63"/>
  <c r="X56" i="63" s="1"/>
  <c r="AA55" i="63"/>
  <c r="AB55" i="63" s="1"/>
  <c r="Z55" i="63"/>
  <c r="Y55" i="63"/>
  <c r="W55" i="63"/>
  <c r="X55" i="63" s="1"/>
  <c r="AA54" i="63"/>
  <c r="AB54" i="63" s="1"/>
  <c r="Z54" i="63"/>
  <c r="Y54" i="63"/>
  <c r="W54" i="63"/>
  <c r="X54" i="63" s="1"/>
  <c r="AA53" i="63"/>
  <c r="AB53" i="63" s="1"/>
  <c r="Z53" i="63"/>
  <c r="Y53" i="63"/>
  <c r="W53" i="63"/>
  <c r="X53" i="63" s="1"/>
  <c r="AA52" i="63"/>
  <c r="AB52" i="63" s="1"/>
  <c r="Z52" i="63"/>
  <c r="Y52" i="63"/>
  <c r="W52" i="63"/>
  <c r="X52" i="63" s="1"/>
  <c r="AA51" i="63"/>
  <c r="AB51" i="63" s="1"/>
  <c r="Z51" i="63"/>
  <c r="Y51" i="63"/>
  <c r="W51" i="63"/>
  <c r="X51" i="63" s="1"/>
  <c r="AA50" i="63"/>
  <c r="AB50" i="63" s="1"/>
  <c r="Z50" i="63"/>
  <c r="Y50" i="63"/>
  <c r="W50" i="63"/>
  <c r="X50" i="63" s="1"/>
  <c r="Q49" i="63"/>
  <c r="Q41" i="63" s="1"/>
  <c r="P49" i="63"/>
  <c r="P41" i="63" s="1"/>
  <c r="O49" i="63"/>
  <c r="O41" i="63" s="1"/>
  <c r="N49" i="63"/>
  <c r="N41" i="63" s="1"/>
  <c r="M49" i="63"/>
  <c r="M41" i="63" s="1"/>
  <c r="L49" i="63"/>
  <c r="L41" i="63" s="1"/>
  <c r="K49" i="63"/>
  <c r="K41" i="63" s="1"/>
  <c r="J49" i="63"/>
  <c r="J41" i="63" s="1"/>
  <c r="I49" i="63"/>
  <c r="I41" i="63" s="1"/>
  <c r="H49" i="63"/>
  <c r="H41" i="63" s="1"/>
  <c r="G49" i="63"/>
  <c r="G41" i="63" s="1"/>
  <c r="F49" i="63"/>
  <c r="F41" i="63" s="1"/>
  <c r="E49" i="63"/>
  <c r="E41" i="63" s="1"/>
  <c r="D49" i="63"/>
  <c r="D41" i="63" s="1"/>
  <c r="AB48" i="63"/>
  <c r="AA48" i="63"/>
  <c r="Z48" i="63"/>
  <c r="Y48" i="63"/>
  <c r="W48" i="63"/>
  <c r="X48" i="63" s="1"/>
  <c r="AB47" i="63"/>
  <c r="AA47" i="63"/>
  <c r="Z47" i="63"/>
  <c r="Y47" i="63"/>
  <c r="W47" i="63"/>
  <c r="X47" i="63" s="1"/>
  <c r="AB46" i="63"/>
  <c r="AA46" i="63"/>
  <c r="Z46" i="63"/>
  <c r="Y46" i="63"/>
  <c r="W46" i="63"/>
  <c r="X46" i="63" s="1"/>
  <c r="AB45" i="63"/>
  <c r="AA45" i="63"/>
  <c r="Z45" i="63"/>
  <c r="Y45" i="63"/>
  <c r="W45" i="63"/>
  <c r="X45" i="63" s="1"/>
  <c r="AB43" i="63"/>
  <c r="AA43" i="63"/>
  <c r="Z43" i="63"/>
  <c r="Y43" i="63"/>
  <c r="W43" i="63"/>
  <c r="AB37" i="63"/>
  <c r="AA37" i="63"/>
  <c r="Z37" i="63"/>
  <c r="Y37" i="63"/>
  <c r="W37" i="63"/>
  <c r="X37" i="63" s="1"/>
  <c r="AB36" i="63"/>
  <c r="AA36" i="63"/>
  <c r="Z36" i="63"/>
  <c r="Y36" i="63"/>
  <c r="W36" i="63"/>
  <c r="X36" i="63" s="1"/>
  <c r="AB35" i="63"/>
  <c r="AA35" i="63"/>
  <c r="Z35" i="63"/>
  <c r="Y35" i="63"/>
  <c r="W35" i="63"/>
  <c r="X35" i="63" s="1"/>
  <c r="AB34" i="63"/>
  <c r="AA34" i="63"/>
  <c r="Z34" i="63"/>
  <c r="Y34" i="63"/>
  <c r="W34" i="63"/>
  <c r="X34" i="63" s="1"/>
  <c r="AB33" i="63"/>
  <c r="AA33" i="63"/>
  <c r="Z33" i="63"/>
  <c r="Y33" i="63"/>
  <c r="W33" i="63"/>
  <c r="X33" i="63" s="1"/>
  <c r="AB32" i="63"/>
  <c r="AA32" i="63"/>
  <c r="Z32" i="63"/>
  <c r="Y32" i="63"/>
  <c r="W32" i="63"/>
  <c r="X32" i="63" s="1"/>
  <c r="AB31" i="63"/>
  <c r="AA31" i="63"/>
  <c r="Z31" i="63"/>
  <c r="Y31" i="63"/>
  <c r="W31" i="63"/>
  <c r="X31" i="63" s="1"/>
  <c r="AB30" i="63"/>
  <c r="AA30" i="63"/>
  <c r="Z30" i="63"/>
  <c r="Y30" i="63"/>
  <c r="W30" i="63"/>
  <c r="AB29" i="63"/>
  <c r="AA29" i="63"/>
  <c r="Z29" i="63"/>
  <c r="Y29" i="63"/>
  <c r="W29" i="63"/>
  <c r="X29" i="63" s="1"/>
  <c r="Q27" i="63"/>
  <c r="P27" i="63"/>
  <c r="O27" i="63"/>
  <c r="N27" i="63"/>
  <c r="M27" i="63"/>
  <c r="L27" i="63"/>
  <c r="K27" i="63"/>
  <c r="J27" i="63"/>
  <c r="I27" i="63"/>
  <c r="H27" i="63"/>
  <c r="G27" i="63"/>
  <c r="F27" i="63"/>
  <c r="E27" i="63"/>
  <c r="D27" i="63"/>
  <c r="AB25" i="63"/>
  <c r="AA25" i="63"/>
  <c r="Z25" i="63"/>
  <c r="Y25" i="63"/>
  <c r="W25" i="63"/>
  <c r="X25" i="63" s="1"/>
  <c r="AB24" i="63"/>
  <c r="AA24" i="63"/>
  <c r="Z24" i="63"/>
  <c r="Y24" i="63"/>
  <c r="W24" i="63"/>
  <c r="X24" i="63" s="1"/>
  <c r="AB23" i="63"/>
  <c r="AA23" i="63"/>
  <c r="Z23" i="63"/>
  <c r="Y23" i="63"/>
  <c r="W23" i="63"/>
  <c r="X23" i="63" s="1"/>
  <c r="AB22" i="63"/>
  <c r="AA22" i="63"/>
  <c r="Z22" i="63"/>
  <c r="Y22" i="63"/>
  <c r="W22" i="63"/>
  <c r="X22" i="63" s="1"/>
  <c r="AB21" i="63"/>
  <c r="AA21" i="63"/>
  <c r="Z21" i="63"/>
  <c r="Y21" i="63"/>
  <c r="W21" i="63"/>
  <c r="X21" i="63" s="1"/>
  <c r="AB20" i="63"/>
  <c r="AA20" i="63"/>
  <c r="Z20" i="63"/>
  <c r="Y20" i="63"/>
  <c r="W20" i="63"/>
  <c r="X20" i="63" s="1"/>
  <c r="AB19" i="63"/>
  <c r="AA19" i="63"/>
  <c r="Z19" i="63"/>
  <c r="Y19" i="63"/>
  <c r="W19" i="63"/>
  <c r="X19" i="63" s="1"/>
  <c r="AB18" i="63"/>
  <c r="AA18" i="63"/>
  <c r="Z18" i="63"/>
  <c r="Y18" i="63"/>
  <c r="W18" i="63"/>
  <c r="X18" i="63" s="1"/>
  <c r="Q17" i="63"/>
  <c r="P17" i="63"/>
  <c r="O17" i="63"/>
  <c r="N17" i="63"/>
  <c r="M17" i="63"/>
  <c r="L17" i="63"/>
  <c r="K17" i="63"/>
  <c r="J17" i="63"/>
  <c r="I17" i="63"/>
  <c r="H17" i="63"/>
  <c r="G17" i="63"/>
  <c r="F17" i="63"/>
  <c r="E17" i="63"/>
  <c r="D17" i="63"/>
  <c r="AB16" i="63"/>
  <c r="AA16" i="63"/>
  <c r="Z16" i="63"/>
  <c r="Y16" i="63"/>
  <c r="W16" i="63"/>
  <c r="X16" i="63" s="1"/>
  <c r="AB15" i="63"/>
  <c r="AA15" i="63"/>
  <c r="Z15" i="63"/>
  <c r="Y15" i="63"/>
  <c r="W15" i="63"/>
  <c r="X15" i="63" s="1"/>
  <c r="AB14" i="63"/>
  <c r="AA14" i="63"/>
  <c r="Z14" i="63"/>
  <c r="Y14" i="63"/>
  <c r="W14" i="63"/>
  <c r="X14" i="63" s="1"/>
  <c r="AB13" i="63"/>
  <c r="AA13" i="63"/>
  <c r="Z13" i="63"/>
  <c r="Y13" i="63"/>
  <c r="W13" i="63"/>
  <c r="X13" i="63" s="1"/>
  <c r="AB12" i="63"/>
  <c r="AA12" i="63"/>
  <c r="Z12" i="63"/>
  <c r="Y12" i="63"/>
  <c r="W12" i="63"/>
  <c r="X12" i="63" s="1"/>
  <c r="AB11" i="63"/>
  <c r="AA11" i="63"/>
  <c r="Z11" i="63"/>
  <c r="Y11" i="63"/>
  <c r="W11" i="63"/>
  <c r="X11" i="63" s="1"/>
  <c r="AB10" i="63"/>
  <c r="AA10" i="63"/>
  <c r="Z10" i="63"/>
  <c r="Y10" i="63"/>
  <c r="W10" i="63"/>
  <c r="X10" i="63" s="1"/>
  <c r="AB9" i="63"/>
  <c r="AA9" i="63"/>
  <c r="Z9" i="63"/>
  <c r="Y9" i="63"/>
  <c r="W9" i="63"/>
  <c r="X9" i="63" s="1"/>
  <c r="Q8" i="63"/>
  <c r="P8" i="63"/>
  <c r="O8" i="63"/>
  <c r="N8" i="63"/>
  <c r="M8" i="63"/>
  <c r="L8" i="63"/>
  <c r="K8" i="63"/>
  <c r="J8" i="63"/>
  <c r="I8" i="63"/>
  <c r="H8" i="63"/>
  <c r="G8" i="63"/>
  <c r="F8" i="63"/>
  <c r="E8" i="63"/>
  <c r="D8" i="63"/>
  <c r="Y130" i="61"/>
  <c r="Z130" i="61" s="1"/>
  <c r="W130" i="61"/>
  <c r="N130" i="61"/>
  <c r="O130" i="61" s="1"/>
  <c r="P130" i="61" s="1"/>
  <c r="AA130" i="61" s="1"/>
  <c r="AB130" i="61" s="1"/>
  <c r="AC130" i="61" s="1"/>
  <c r="AD130" i="61" s="1"/>
  <c r="Y129" i="61"/>
  <c r="Z129" i="61" s="1"/>
  <c r="W129" i="61"/>
  <c r="N129" i="61"/>
  <c r="O129" i="61" s="1"/>
  <c r="P129" i="61" s="1"/>
  <c r="Q127" i="61"/>
  <c r="P127" i="61"/>
  <c r="O127" i="61"/>
  <c r="N127" i="61"/>
  <c r="M127" i="61"/>
  <c r="L127" i="61"/>
  <c r="I127" i="61"/>
  <c r="H127" i="61"/>
  <c r="G127" i="61"/>
  <c r="F127" i="61"/>
  <c r="E127" i="61"/>
  <c r="D127" i="61"/>
  <c r="AA125" i="61"/>
  <c r="AB125" i="61" s="1"/>
  <c r="Z125" i="61"/>
  <c r="Y125" i="61"/>
  <c r="W125" i="61"/>
  <c r="X125" i="61" s="1"/>
  <c r="AA124" i="61"/>
  <c r="AB124" i="61" s="1"/>
  <c r="Z124" i="61"/>
  <c r="Y124" i="61"/>
  <c r="W124" i="61"/>
  <c r="X124" i="61" s="1"/>
  <c r="AA119" i="61"/>
  <c r="AB119" i="61" s="1"/>
  <c r="Z119" i="61"/>
  <c r="Y119" i="61"/>
  <c r="W119" i="61"/>
  <c r="X119" i="61" s="1"/>
  <c r="AA118" i="61"/>
  <c r="Z118" i="61"/>
  <c r="Y118" i="61"/>
  <c r="W118" i="61"/>
  <c r="X118" i="61" s="1"/>
  <c r="AA117" i="61"/>
  <c r="AB117" i="61" s="1"/>
  <c r="Z117" i="61"/>
  <c r="Y117" i="61"/>
  <c r="W117" i="61"/>
  <c r="X117" i="61" s="1"/>
  <c r="AA116" i="61"/>
  <c r="AB116" i="61" s="1"/>
  <c r="Z116" i="61"/>
  <c r="Y116" i="61"/>
  <c r="W116" i="61"/>
  <c r="X116" i="61" s="1"/>
  <c r="Q114" i="61"/>
  <c r="P114" i="61"/>
  <c r="O114" i="61"/>
  <c r="N114" i="61"/>
  <c r="M114" i="61"/>
  <c r="L114" i="61"/>
  <c r="K114" i="61"/>
  <c r="J114" i="61"/>
  <c r="I114" i="61"/>
  <c r="H114" i="61"/>
  <c r="G114" i="61"/>
  <c r="F114" i="61"/>
  <c r="E114" i="61"/>
  <c r="D114" i="61"/>
  <c r="AA110" i="61"/>
  <c r="AB110" i="61" s="1"/>
  <c r="Z110" i="61"/>
  <c r="Y110" i="61"/>
  <c r="W110" i="61"/>
  <c r="X110" i="61" s="1"/>
  <c r="AA109" i="61"/>
  <c r="AB109" i="61" s="1"/>
  <c r="Z109" i="61"/>
  <c r="Y109" i="61"/>
  <c r="W109" i="61"/>
  <c r="X109" i="61" s="1"/>
  <c r="AA108" i="61"/>
  <c r="AB108" i="61" s="1"/>
  <c r="Z108" i="61"/>
  <c r="Y108" i="61"/>
  <c r="W108" i="61"/>
  <c r="X108" i="61" s="1"/>
  <c r="AA107" i="61"/>
  <c r="AB107" i="61" s="1"/>
  <c r="Z107" i="61"/>
  <c r="Y107" i="61"/>
  <c r="W107" i="61"/>
  <c r="X107" i="61" s="1"/>
  <c r="AA106" i="61"/>
  <c r="AB106" i="61" s="1"/>
  <c r="Z106" i="61"/>
  <c r="Y106" i="61"/>
  <c r="W106" i="61"/>
  <c r="X106" i="61" s="1"/>
  <c r="AA105" i="61"/>
  <c r="AB105" i="61" s="1"/>
  <c r="Z105" i="61"/>
  <c r="Y105" i="61"/>
  <c r="W105" i="61"/>
  <c r="X105" i="61" s="1"/>
  <c r="AA104" i="61"/>
  <c r="Z104" i="61"/>
  <c r="Y104" i="61"/>
  <c r="W104" i="61"/>
  <c r="X104" i="61" s="1"/>
  <c r="AA103" i="61"/>
  <c r="AB103" i="61" s="1"/>
  <c r="Z103" i="61"/>
  <c r="Y103" i="61"/>
  <c r="W103" i="61"/>
  <c r="X103" i="61" s="1"/>
  <c r="AA102" i="61"/>
  <c r="AB102" i="61" s="1"/>
  <c r="Z102" i="61"/>
  <c r="Y102" i="61"/>
  <c r="W102" i="61"/>
  <c r="X102" i="61" s="1"/>
  <c r="AA101" i="61"/>
  <c r="AB101" i="61" s="1"/>
  <c r="Z101" i="61"/>
  <c r="Y101" i="61"/>
  <c r="W101" i="61"/>
  <c r="X101" i="61" s="1"/>
  <c r="Q100" i="61"/>
  <c r="P100" i="61"/>
  <c r="O100" i="61"/>
  <c r="N100" i="61"/>
  <c r="M100" i="61"/>
  <c r="L100" i="61"/>
  <c r="K100" i="61"/>
  <c r="J100" i="61"/>
  <c r="I100" i="61"/>
  <c r="H100" i="61"/>
  <c r="G100" i="61"/>
  <c r="F100" i="61"/>
  <c r="E100" i="61"/>
  <c r="D100" i="61"/>
  <c r="AA99" i="61"/>
  <c r="AB99" i="61" s="1"/>
  <c r="Z99" i="61"/>
  <c r="Y99" i="61"/>
  <c r="W99" i="61"/>
  <c r="X99" i="61" s="1"/>
  <c r="AA98" i="61"/>
  <c r="AB98" i="61" s="1"/>
  <c r="Z98" i="61"/>
  <c r="Y98" i="61"/>
  <c r="W98" i="61"/>
  <c r="X98" i="61" s="1"/>
  <c r="AA97" i="61"/>
  <c r="AB97" i="61" s="1"/>
  <c r="Z97" i="61"/>
  <c r="Y97" i="61"/>
  <c r="W97" i="61"/>
  <c r="X97" i="61" s="1"/>
  <c r="AA96" i="61"/>
  <c r="AB96" i="61" s="1"/>
  <c r="Z96" i="61"/>
  <c r="Y96" i="61"/>
  <c r="W96" i="61"/>
  <c r="X96" i="61" s="1"/>
  <c r="AA95" i="61"/>
  <c r="AB95" i="61" s="1"/>
  <c r="Z95" i="61"/>
  <c r="Y95" i="61"/>
  <c r="W95" i="61"/>
  <c r="X95" i="61" s="1"/>
  <c r="AA94" i="61"/>
  <c r="AB94" i="61" s="1"/>
  <c r="Z94" i="61"/>
  <c r="Y94" i="61"/>
  <c r="W94" i="61"/>
  <c r="X94" i="61" s="1"/>
  <c r="AA93" i="61"/>
  <c r="AB93" i="61" s="1"/>
  <c r="Z93" i="61"/>
  <c r="Y93" i="61"/>
  <c r="W93" i="61"/>
  <c r="X93" i="61" s="1"/>
  <c r="AA92" i="61"/>
  <c r="AB92" i="61" s="1"/>
  <c r="Z92" i="61"/>
  <c r="Y92" i="61"/>
  <c r="W92" i="61"/>
  <c r="X92" i="61" s="1"/>
  <c r="AA91" i="61"/>
  <c r="AB91" i="61" s="1"/>
  <c r="Z91" i="61"/>
  <c r="Y91" i="61"/>
  <c r="W91" i="61"/>
  <c r="Q90" i="61"/>
  <c r="P90" i="61"/>
  <c r="O90" i="61"/>
  <c r="N90" i="61"/>
  <c r="M90" i="61"/>
  <c r="L90" i="61"/>
  <c r="K90" i="61"/>
  <c r="J90" i="61"/>
  <c r="I90" i="61"/>
  <c r="H90" i="61"/>
  <c r="G90" i="61"/>
  <c r="F90" i="61"/>
  <c r="E90" i="61"/>
  <c r="D90" i="61"/>
  <c r="AB82" i="61"/>
  <c r="Z82" i="61"/>
  <c r="Y82" i="61"/>
  <c r="X82" i="61"/>
  <c r="AA81" i="61"/>
  <c r="Z81" i="61"/>
  <c r="Y81" i="61"/>
  <c r="W81" i="61"/>
  <c r="X81" i="61" s="1"/>
  <c r="AA80" i="61"/>
  <c r="AB80" i="61" s="1"/>
  <c r="Z80" i="61"/>
  <c r="Y80" i="61"/>
  <c r="W80" i="61"/>
  <c r="X80" i="61" s="1"/>
  <c r="Q79" i="61"/>
  <c r="P79" i="61"/>
  <c r="O79" i="61"/>
  <c r="N79" i="61"/>
  <c r="M79" i="61"/>
  <c r="L79" i="61"/>
  <c r="K79" i="61"/>
  <c r="J79" i="61"/>
  <c r="I79" i="61"/>
  <c r="H79" i="61"/>
  <c r="G79" i="61"/>
  <c r="F79" i="61"/>
  <c r="E79" i="61"/>
  <c r="D79" i="61"/>
  <c r="AA78" i="61"/>
  <c r="AB78" i="61" s="1"/>
  <c r="Z78" i="61"/>
  <c r="Y78" i="61"/>
  <c r="W78" i="61"/>
  <c r="X78" i="61" s="1"/>
  <c r="AA77" i="61"/>
  <c r="AB77" i="61" s="1"/>
  <c r="Z77" i="61"/>
  <c r="Y77" i="61"/>
  <c r="W77" i="61"/>
  <c r="X77" i="61" s="1"/>
  <c r="AA76" i="61"/>
  <c r="AB76" i="61" s="1"/>
  <c r="Z76" i="61"/>
  <c r="Y76" i="61"/>
  <c r="W76" i="61"/>
  <c r="X76" i="61" s="1"/>
  <c r="AA75" i="61"/>
  <c r="AB75" i="61" s="1"/>
  <c r="Z75" i="61"/>
  <c r="Y75" i="61"/>
  <c r="W75" i="61"/>
  <c r="X75" i="61" s="1"/>
  <c r="AA74" i="61"/>
  <c r="AB74" i="61" s="1"/>
  <c r="Z74" i="61"/>
  <c r="Y74" i="61"/>
  <c r="W74" i="61"/>
  <c r="X74" i="61" s="1"/>
  <c r="AA73" i="61"/>
  <c r="AB73" i="61" s="1"/>
  <c r="Z73" i="61"/>
  <c r="Y73" i="61"/>
  <c r="W73" i="61"/>
  <c r="X73" i="61" s="1"/>
  <c r="AA72" i="61"/>
  <c r="AB72" i="61" s="1"/>
  <c r="Z72" i="61"/>
  <c r="Y72" i="61"/>
  <c r="W72" i="61"/>
  <c r="X72" i="61" s="1"/>
  <c r="AA71" i="61"/>
  <c r="Z71" i="61"/>
  <c r="Y71" i="61"/>
  <c r="W71" i="61"/>
  <c r="X71" i="61" s="1"/>
  <c r="AA70" i="61"/>
  <c r="AB70" i="61" s="1"/>
  <c r="Z70" i="61"/>
  <c r="Y70" i="61"/>
  <c r="W70" i="61"/>
  <c r="X70" i="61" s="1"/>
  <c r="Q69" i="61"/>
  <c r="P69" i="61"/>
  <c r="O69" i="61"/>
  <c r="N69" i="61"/>
  <c r="M69" i="61"/>
  <c r="L69" i="61"/>
  <c r="K69" i="61"/>
  <c r="J69" i="61"/>
  <c r="I69" i="61"/>
  <c r="H69" i="61"/>
  <c r="G69" i="61"/>
  <c r="F69" i="61"/>
  <c r="E69" i="61"/>
  <c r="D69" i="61"/>
  <c r="AA68" i="61"/>
  <c r="AB68" i="61" s="1"/>
  <c r="Z68" i="61"/>
  <c r="Y68" i="61"/>
  <c r="W68" i="61"/>
  <c r="X68" i="61" s="1"/>
  <c r="AA67" i="61"/>
  <c r="AB67" i="61" s="1"/>
  <c r="Z67" i="61"/>
  <c r="Y67" i="61"/>
  <c r="W67" i="61"/>
  <c r="X67" i="61" s="1"/>
  <c r="AA66" i="61"/>
  <c r="AB66" i="61" s="1"/>
  <c r="Z66" i="61"/>
  <c r="Y66" i="61"/>
  <c r="W66" i="61"/>
  <c r="X66" i="61" s="1"/>
  <c r="AA65" i="61"/>
  <c r="AB65" i="61" s="1"/>
  <c r="Z65" i="61"/>
  <c r="Y65" i="61"/>
  <c r="W65" i="61"/>
  <c r="X65" i="61" s="1"/>
  <c r="AA64" i="61"/>
  <c r="AB64" i="61" s="1"/>
  <c r="Z64" i="61"/>
  <c r="Y64" i="61"/>
  <c r="W64" i="61"/>
  <c r="X64" i="61" s="1"/>
  <c r="AA63" i="61"/>
  <c r="Z63" i="61"/>
  <c r="Y63" i="61"/>
  <c r="W63" i="61"/>
  <c r="Q62" i="61"/>
  <c r="P62" i="61"/>
  <c r="O62" i="61"/>
  <c r="N62" i="61"/>
  <c r="M62" i="61"/>
  <c r="L62" i="61"/>
  <c r="K62" i="61"/>
  <c r="J62" i="61"/>
  <c r="I62" i="61"/>
  <c r="H62" i="61"/>
  <c r="G62" i="61"/>
  <c r="F62" i="61"/>
  <c r="E62" i="61"/>
  <c r="D62" i="61"/>
  <c r="AA56" i="61"/>
  <c r="AB56" i="61" s="1"/>
  <c r="Z56" i="61"/>
  <c r="Y56" i="61"/>
  <c r="W56" i="61"/>
  <c r="X56" i="61" s="1"/>
  <c r="AA55" i="61"/>
  <c r="AB55" i="61" s="1"/>
  <c r="Z55" i="61"/>
  <c r="Y55" i="61"/>
  <c r="W55" i="61"/>
  <c r="X55" i="61" s="1"/>
  <c r="AA54" i="61"/>
  <c r="AB54" i="61" s="1"/>
  <c r="Z54" i="61"/>
  <c r="Y54" i="61"/>
  <c r="W54" i="61"/>
  <c r="X54" i="61" s="1"/>
  <c r="AA53" i="61"/>
  <c r="AB53" i="61" s="1"/>
  <c r="Z53" i="61"/>
  <c r="Y53" i="61"/>
  <c r="W53" i="61"/>
  <c r="X53" i="61" s="1"/>
  <c r="AA52" i="61"/>
  <c r="AB52" i="61" s="1"/>
  <c r="Z52" i="61"/>
  <c r="Y52" i="61"/>
  <c r="W52" i="61"/>
  <c r="AA51" i="61"/>
  <c r="AB51" i="61" s="1"/>
  <c r="Z51" i="61"/>
  <c r="Y51" i="61"/>
  <c r="W51" i="61"/>
  <c r="X51" i="61" s="1"/>
  <c r="AA50" i="61"/>
  <c r="AB50" i="61" s="1"/>
  <c r="Z50" i="61"/>
  <c r="Y50" i="61"/>
  <c r="W50" i="61"/>
  <c r="X50" i="61" s="1"/>
  <c r="Q49" i="61"/>
  <c r="Q41" i="61" s="1"/>
  <c r="P49" i="61"/>
  <c r="P41" i="61" s="1"/>
  <c r="O49" i="61"/>
  <c r="O41" i="61" s="1"/>
  <c r="N49" i="61"/>
  <c r="M49" i="61"/>
  <c r="M41" i="61" s="1"/>
  <c r="L49" i="61"/>
  <c r="L41" i="61" s="1"/>
  <c r="K49" i="61"/>
  <c r="K41" i="61" s="1"/>
  <c r="J49" i="61"/>
  <c r="J41" i="61" s="1"/>
  <c r="I49" i="61"/>
  <c r="I41" i="61" s="1"/>
  <c r="H49" i="61"/>
  <c r="H41" i="61" s="1"/>
  <c r="G49" i="61"/>
  <c r="G41" i="61" s="1"/>
  <c r="F49" i="61"/>
  <c r="F41" i="61" s="1"/>
  <c r="E49" i="61"/>
  <c r="E41" i="61" s="1"/>
  <c r="D49" i="61"/>
  <c r="D41" i="61" s="1"/>
  <c r="AB48" i="61"/>
  <c r="AA48" i="61"/>
  <c r="Z48" i="61"/>
  <c r="Y48" i="61"/>
  <c r="W48" i="61"/>
  <c r="X48" i="61" s="1"/>
  <c r="AB47" i="61"/>
  <c r="AA47" i="61"/>
  <c r="Z47" i="61"/>
  <c r="Y47" i="61"/>
  <c r="W47" i="61"/>
  <c r="X47" i="61" s="1"/>
  <c r="AB46" i="61"/>
  <c r="AA46" i="61"/>
  <c r="Z46" i="61"/>
  <c r="Y46" i="61"/>
  <c r="W46" i="61"/>
  <c r="X46" i="61" s="1"/>
  <c r="AB45" i="61"/>
  <c r="AA45" i="61"/>
  <c r="Z45" i="61"/>
  <c r="Y45" i="61"/>
  <c r="W45" i="61"/>
  <c r="AB43" i="61"/>
  <c r="AA43" i="61"/>
  <c r="Z43" i="61"/>
  <c r="Y43" i="61"/>
  <c r="W43" i="61"/>
  <c r="X43" i="61" s="1"/>
  <c r="N41" i="61"/>
  <c r="AB37" i="61"/>
  <c r="AA37" i="61"/>
  <c r="Z37" i="61"/>
  <c r="Y37" i="61"/>
  <c r="W37" i="61"/>
  <c r="X37" i="61" s="1"/>
  <c r="AB36" i="61"/>
  <c r="AA36" i="61"/>
  <c r="Z36" i="61"/>
  <c r="Y36" i="61"/>
  <c r="W36" i="61"/>
  <c r="X36" i="61" s="1"/>
  <c r="AB35" i="61"/>
  <c r="AA35" i="61"/>
  <c r="Z35" i="61"/>
  <c r="Y35" i="61"/>
  <c r="W35" i="61"/>
  <c r="X35" i="61" s="1"/>
  <c r="AB34" i="61"/>
  <c r="AA34" i="61"/>
  <c r="Z34" i="61"/>
  <c r="Y34" i="61"/>
  <c r="W34" i="61"/>
  <c r="X34" i="61" s="1"/>
  <c r="AB33" i="61"/>
  <c r="AA33" i="61"/>
  <c r="Z33" i="61"/>
  <c r="Y33" i="61"/>
  <c r="W33" i="61"/>
  <c r="X33" i="61" s="1"/>
  <c r="AB32" i="61"/>
  <c r="AA32" i="61"/>
  <c r="Z32" i="61"/>
  <c r="Y32" i="61"/>
  <c r="W32" i="61"/>
  <c r="X32" i="61" s="1"/>
  <c r="AB31" i="61"/>
  <c r="AA31" i="61"/>
  <c r="Z31" i="61"/>
  <c r="Y31" i="61"/>
  <c r="W31" i="61"/>
  <c r="AB30" i="61"/>
  <c r="AA30" i="61"/>
  <c r="Z30" i="61"/>
  <c r="Y30" i="61"/>
  <c r="W30" i="61"/>
  <c r="X30" i="61" s="1"/>
  <c r="AB29" i="61"/>
  <c r="AA29" i="61"/>
  <c r="Z29" i="61"/>
  <c r="Y29" i="61"/>
  <c r="W29" i="61"/>
  <c r="X29" i="61" s="1"/>
  <c r="Q27" i="61"/>
  <c r="P27" i="61"/>
  <c r="O27" i="61"/>
  <c r="N27" i="61"/>
  <c r="M27" i="61"/>
  <c r="L27" i="61"/>
  <c r="K27" i="61"/>
  <c r="J27" i="61"/>
  <c r="I27" i="61"/>
  <c r="H27" i="61"/>
  <c r="G27" i="61"/>
  <c r="F27" i="61"/>
  <c r="E27" i="61"/>
  <c r="D27" i="61"/>
  <c r="AB25" i="61"/>
  <c r="AA25" i="61"/>
  <c r="Z25" i="61"/>
  <c r="Y25" i="61"/>
  <c r="W25" i="61"/>
  <c r="X25" i="61" s="1"/>
  <c r="AB24" i="61"/>
  <c r="AA24" i="61"/>
  <c r="Z24" i="61"/>
  <c r="Y24" i="61"/>
  <c r="W24" i="61"/>
  <c r="X24" i="61" s="1"/>
  <c r="AB23" i="61"/>
  <c r="AA23" i="61"/>
  <c r="Z23" i="61"/>
  <c r="Y23" i="61"/>
  <c r="W23" i="61"/>
  <c r="X23" i="61" s="1"/>
  <c r="AB22" i="61"/>
  <c r="AA22" i="61"/>
  <c r="Z22" i="61"/>
  <c r="Y22" i="61"/>
  <c r="W22" i="61"/>
  <c r="X22" i="61" s="1"/>
  <c r="AB21" i="61"/>
  <c r="AA21" i="61"/>
  <c r="Z21" i="61"/>
  <c r="Y21" i="61"/>
  <c r="W21" i="61"/>
  <c r="X21" i="61" s="1"/>
  <c r="AB20" i="61"/>
  <c r="AA20" i="61"/>
  <c r="Z20" i="61"/>
  <c r="Y20" i="61"/>
  <c r="W20" i="61"/>
  <c r="X20" i="61" s="1"/>
  <c r="AB19" i="61"/>
  <c r="AA19" i="61"/>
  <c r="Z19" i="61"/>
  <c r="Y19" i="61"/>
  <c r="W19" i="61"/>
  <c r="X19" i="61" s="1"/>
  <c r="AB18" i="61"/>
  <c r="AA18" i="61"/>
  <c r="Z18" i="61"/>
  <c r="Y18" i="61"/>
  <c r="W18" i="61"/>
  <c r="X18" i="61" s="1"/>
  <c r="Q17" i="61"/>
  <c r="P17" i="61"/>
  <c r="O17" i="61"/>
  <c r="N17" i="61"/>
  <c r="M17" i="61"/>
  <c r="L17" i="61"/>
  <c r="K17" i="61"/>
  <c r="J17" i="61"/>
  <c r="I17" i="61"/>
  <c r="H17" i="61"/>
  <c r="G17" i="61"/>
  <c r="F17" i="61"/>
  <c r="E17" i="61"/>
  <c r="D17" i="61"/>
  <c r="AB16" i="61"/>
  <c r="AA16" i="61"/>
  <c r="Z16" i="61"/>
  <c r="Y16" i="61"/>
  <c r="W16" i="61"/>
  <c r="X16" i="61" s="1"/>
  <c r="AB15" i="61"/>
  <c r="AA15" i="61"/>
  <c r="Z15" i="61"/>
  <c r="Y15" i="61"/>
  <c r="W15" i="61"/>
  <c r="X15" i="61" s="1"/>
  <c r="AB14" i="61"/>
  <c r="AA14" i="61"/>
  <c r="Z14" i="61"/>
  <c r="Y14" i="61"/>
  <c r="W14" i="61"/>
  <c r="X14" i="61" s="1"/>
  <c r="AB13" i="61"/>
  <c r="AA13" i="61"/>
  <c r="Z13" i="61"/>
  <c r="Y13" i="61"/>
  <c r="W13" i="61"/>
  <c r="X13" i="61" s="1"/>
  <c r="AB12" i="61"/>
  <c r="AA12" i="61"/>
  <c r="Z12" i="61"/>
  <c r="Y12" i="61"/>
  <c r="W12" i="61"/>
  <c r="X12" i="61" s="1"/>
  <c r="AB11" i="61"/>
  <c r="AA11" i="61"/>
  <c r="Z11" i="61"/>
  <c r="Y11" i="61"/>
  <c r="W11" i="61"/>
  <c r="X11" i="61" s="1"/>
  <c r="AB10" i="61"/>
  <c r="AA10" i="61"/>
  <c r="Z10" i="61"/>
  <c r="Y10" i="61"/>
  <c r="W10" i="61"/>
  <c r="X10" i="61" s="1"/>
  <c r="AB9" i="61"/>
  <c r="AA9" i="61"/>
  <c r="Z9" i="61"/>
  <c r="Y9" i="61"/>
  <c r="W9" i="61"/>
  <c r="X9" i="61" s="1"/>
  <c r="Q8" i="61"/>
  <c r="P8" i="61"/>
  <c r="O8" i="61"/>
  <c r="N8" i="61"/>
  <c r="M8" i="61"/>
  <c r="L8" i="61"/>
  <c r="K8" i="61"/>
  <c r="J8" i="61"/>
  <c r="I8" i="61"/>
  <c r="H8" i="61"/>
  <c r="G8" i="61"/>
  <c r="F8" i="61"/>
  <c r="E8" i="61"/>
  <c r="D8" i="61"/>
  <c r="Y130" i="60"/>
  <c r="Z130" i="60" s="1"/>
  <c r="W130" i="60"/>
  <c r="N130" i="60"/>
  <c r="O130" i="60" s="1"/>
  <c r="P130" i="60" s="1"/>
  <c r="Y129" i="60"/>
  <c r="Z129" i="60" s="1"/>
  <c r="W129" i="60"/>
  <c r="N129" i="60"/>
  <c r="O129" i="60" s="1"/>
  <c r="P129" i="60" s="1"/>
  <c r="AA129" i="60" s="1"/>
  <c r="AB129" i="60" s="1"/>
  <c r="AC129" i="60" s="1"/>
  <c r="AD129" i="60" s="1"/>
  <c r="Q127" i="60"/>
  <c r="P127" i="60"/>
  <c r="O127" i="60"/>
  <c r="N127" i="60"/>
  <c r="M127" i="60"/>
  <c r="L127" i="60"/>
  <c r="AA125" i="60"/>
  <c r="AB125" i="60" s="1"/>
  <c r="Z125" i="60"/>
  <c r="Y125" i="60"/>
  <c r="W125" i="60"/>
  <c r="X125" i="60" s="1"/>
  <c r="AA124" i="60"/>
  <c r="Z124" i="60"/>
  <c r="Y124" i="60"/>
  <c r="W124" i="60"/>
  <c r="X124" i="60" s="1"/>
  <c r="AA119" i="60"/>
  <c r="AB119" i="60" s="1"/>
  <c r="Z119" i="60"/>
  <c r="Y119" i="60"/>
  <c r="W119" i="60"/>
  <c r="AA118" i="60"/>
  <c r="AB118" i="60" s="1"/>
  <c r="Z118" i="60"/>
  <c r="Y118" i="60"/>
  <c r="W118" i="60"/>
  <c r="X118" i="60" s="1"/>
  <c r="AA117" i="60"/>
  <c r="AB117" i="60" s="1"/>
  <c r="Z117" i="60"/>
  <c r="Y117" i="60"/>
  <c r="W117" i="60"/>
  <c r="X117" i="60" s="1"/>
  <c r="AA116" i="60"/>
  <c r="AB116" i="60" s="1"/>
  <c r="Z116" i="60"/>
  <c r="Y116" i="60"/>
  <c r="W116" i="60"/>
  <c r="X116" i="60" s="1"/>
  <c r="Q114" i="60"/>
  <c r="P114" i="60"/>
  <c r="O114" i="60"/>
  <c r="N114" i="60"/>
  <c r="M114" i="60"/>
  <c r="L114" i="60"/>
  <c r="K114" i="60"/>
  <c r="J114" i="60"/>
  <c r="I114" i="60"/>
  <c r="H114" i="60"/>
  <c r="G114" i="60"/>
  <c r="F114" i="60"/>
  <c r="E114" i="60"/>
  <c r="D114" i="60"/>
  <c r="AA110" i="60"/>
  <c r="AB110" i="60" s="1"/>
  <c r="Z110" i="60"/>
  <c r="Y110" i="60"/>
  <c r="W110" i="60"/>
  <c r="X110" i="60" s="1"/>
  <c r="AA109" i="60"/>
  <c r="AB109" i="60" s="1"/>
  <c r="Z109" i="60"/>
  <c r="Y109" i="60"/>
  <c r="W109" i="60"/>
  <c r="X109" i="60" s="1"/>
  <c r="AA108" i="60"/>
  <c r="AB108" i="60" s="1"/>
  <c r="Z108" i="60"/>
  <c r="Y108" i="60"/>
  <c r="W108" i="60"/>
  <c r="X108" i="60" s="1"/>
  <c r="AA107" i="60"/>
  <c r="AB107" i="60" s="1"/>
  <c r="Z107" i="60"/>
  <c r="Y107" i="60"/>
  <c r="W107" i="60"/>
  <c r="X107" i="60" s="1"/>
  <c r="AA106" i="60"/>
  <c r="AB106" i="60" s="1"/>
  <c r="Z106" i="60"/>
  <c r="Y106" i="60"/>
  <c r="W106" i="60"/>
  <c r="X106" i="60" s="1"/>
  <c r="AA105" i="60"/>
  <c r="AB105" i="60" s="1"/>
  <c r="Z105" i="60"/>
  <c r="Y105" i="60"/>
  <c r="W105" i="60"/>
  <c r="X105" i="60" s="1"/>
  <c r="AA104" i="60"/>
  <c r="AB104" i="60" s="1"/>
  <c r="Z104" i="60"/>
  <c r="Y104" i="60"/>
  <c r="W104" i="60"/>
  <c r="X104" i="60" s="1"/>
  <c r="AA103" i="60"/>
  <c r="AB103" i="60" s="1"/>
  <c r="Z103" i="60"/>
  <c r="Y103" i="60"/>
  <c r="W103" i="60"/>
  <c r="X103" i="60" s="1"/>
  <c r="AA102" i="60"/>
  <c r="AB102" i="60" s="1"/>
  <c r="Z102" i="60"/>
  <c r="Y102" i="60"/>
  <c r="W102" i="60"/>
  <c r="X102" i="60" s="1"/>
  <c r="AA101" i="60"/>
  <c r="Z101" i="60"/>
  <c r="Y101" i="60"/>
  <c r="W101" i="60"/>
  <c r="X101" i="60" s="1"/>
  <c r="Q100" i="60"/>
  <c r="P100" i="60"/>
  <c r="O100" i="60"/>
  <c r="N100" i="60"/>
  <c r="M100" i="60"/>
  <c r="L100" i="60"/>
  <c r="K100" i="60"/>
  <c r="J100" i="60"/>
  <c r="I100" i="60"/>
  <c r="H100" i="60"/>
  <c r="G100" i="60"/>
  <c r="F100" i="60"/>
  <c r="E100" i="60"/>
  <c r="D100" i="60"/>
  <c r="AA99" i="60"/>
  <c r="AB99" i="60" s="1"/>
  <c r="Z99" i="60"/>
  <c r="Y99" i="60"/>
  <c r="W99" i="60"/>
  <c r="X99" i="60" s="1"/>
  <c r="AA98" i="60"/>
  <c r="AB98" i="60" s="1"/>
  <c r="Z98" i="60"/>
  <c r="Y98" i="60"/>
  <c r="W98" i="60"/>
  <c r="X98" i="60" s="1"/>
  <c r="AA97" i="60"/>
  <c r="AB97" i="60" s="1"/>
  <c r="Z97" i="60"/>
  <c r="Y97" i="60"/>
  <c r="W97" i="60"/>
  <c r="X97" i="60" s="1"/>
  <c r="AA96" i="60"/>
  <c r="AB96" i="60" s="1"/>
  <c r="Z96" i="60"/>
  <c r="Y96" i="60"/>
  <c r="W96" i="60"/>
  <c r="X96" i="60" s="1"/>
  <c r="AA95" i="60"/>
  <c r="AB95" i="60" s="1"/>
  <c r="Z95" i="60"/>
  <c r="Y95" i="60"/>
  <c r="W95" i="60"/>
  <c r="X95" i="60" s="1"/>
  <c r="AA94" i="60"/>
  <c r="AB94" i="60" s="1"/>
  <c r="Z94" i="60"/>
  <c r="Y94" i="60"/>
  <c r="W94" i="60"/>
  <c r="X94" i="60" s="1"/>
  <c r="AA93" i="60"/>
  <c r="AB93" i="60" s="1"/>
  <c r="Z93" i="60"/>
  <c r="Y93" i="60"/>
  <c r="W93" i="60"/>
  <c r="X93" i="60" s="1"/>
  <c r="AA92" i="60"/>
  <c r="AB92" i="60" s="1"/>
  <c r="Z92" i="60"/>
  <c r="Y92" i="60"/>
  <c r="W92" i="60"/>
  <c r="X92" i="60" s="1"/>
  <c r="AA91" i="60"/>
  <c r="AB91" i="60" s="1"/>
  <c r="Z91" i="60"/>
  <c r="Y91" i="60"/>
  <c r="W91" i="60"/>
  <c r="X91" i="60" s="1"/>
  <c r="Q90" i="60"/>
  <c r="P90" i="60"/>
  <c r="O90" i="60"/>
  <c r="N90" i="60"/>
  <c r="M90" i="60"/>
  <c r="L90" i="60"/>
  <c r="K90" i="60"/>
  <c r="J90" i="60"/>
  <c r="I90" i="60"/>
  <c r="H90" i="60"/>
  <c r="G90" i="60"/>
  <c r="F90" i="60"/>
  <c r="E90" i="60"/>
  <c r="D90" i="60"/>
  <c r="AB82" i="60"/>
  <c r="Z82" i="60"/>
  <c r="Y82" i="60"/>
  <c r="X82" i="60"/>
  <c r="AA81" i="60"/>
  <c r="AB81" i="60" s="1"/>
  <c r="Z81" i="60"/>
  <c r="Y81" i="60"/>
  <c r="W81" i="60"/>
  <c r="X81" i="60" s="1"/>
  <c r="AA80" i="60"/>
  <c r="Z80" i="60"/>
  <c r="Y80" i="60"/>
  <c r="W80" i="60"/>
  <c r="Q79" i="60"/>
  <c r="P79" i="60"/>
  <c r="O79" i="60"/>
  <c r="N79" i="60"/>
  <c r="M79" i="60"/>
  <c r="L79" i="60"/>
  <c r="K79" i="60"/>
  <c r="J79" i="60"/>
  <c r="I79" i="60"/>
  <c r="H79" i="60"/>
  <c r="G79" i="60"/>
  <c r="F79" i="60"/>
  <c r="E79" i="60"/>
  <c r="D79" i="60"/>
  <c r="AA78" i="60"/>
  <c r="AB78" i="60" s="1"/>
  <c r="Z78" i="60"/>
  <c r="Y78" i="60"/>
  <c r="W78" i="60"/>
  <c r="X78" i="60" s="1"/>
  <c r="AA77" i="60"/>
  <c r="AB77" i="60" s="1"/>
  <c r="Z77" i="60"/>
  <c r="Y77" i="60"/>
  <c r="W77" i="60"/>
  <c r="X77" i="60" s="1"/>
  <c r="AA76" i="60"/>
  <c r="AB76" i="60" s="1"/>
  <c r="Z76" i="60"/>
  <c r="Y76" i="60"/>
  <c r="W76" i="60"/>
  <c r="X76" i="60" s="1"/>
  <c r="AA75" i="60"/>
  <c r="AB75" i="60" s="1"/>
  <c r="Z75" i="60"/>
  <c r="Y75" i="60"/>
  <c r="W75" i="60"/>
  <c r="X75" i="60" s="1"/>
  <c r="AA74" i="60"/>
  <c r="AB74" i="60" s="1"/>
  <c r="Z74" i="60"/>
  <c r="Y74" i="60"/>
  <c r="W74" i="60"/>
  <c r="X74" i="60" s="1"/>
  <c r="AA73" i="60"/>
  <c r="AB73" i="60" s="1"/>
  <c r="Z73" i="60"/>
  <c r="Y73" i="60"/>
  <c r="W73" i="60"/>
  <c r="X73" i="60" s="1"/>
  <c r="AA72" i="60"/>
  <c r="AB72" i="60" s="1"/>
  <c r="Z72" i="60"/>
  <c r="Y72" i="60"/>
  <c r="W72" i="60"/>
  <c r="X72" i="60" s="1"/>
  <c r="AA71" i="60"/>
  <c r="AB71" i="60" s="1"/>
  <c r="Z71" i="60"/>
  <c r="Y71" i="60"/>
  <c r="W71" i="60"/>
  <c r="AA70" i="60"/>
  <c r="AB70" i="60" s="1"/>
  <c r="Z70" i="60"/>
  <c r="Y70" i="60"/>
  <c r="W70" i="60"/>
  <c r="X70" i="60" s="1"/>
  <c r="Q69" i="60"/>
  <c r="P69" i="60"/>
  <c r="O69" i="60"/>
  <c r="N69" i="60"/>
  <c r="M69" i="60"/>
  <c r="L69" i="60"/>
  <c r="K69" i="60"/>
  <c r="J69" i="60"/>
  <c r="I69" i="60"/>
  <c r="H69" i="60"/>
  <c r="G69" i="60"/>
  <c r="F69" i="60"/>
  <c r="E69" i="60"/>
  <c r="D69" i="60"/>
  <c r="AA68" i="60"/>
  <c r="AB68" i="60" s="1"/>
  <c r="Z68" i="60"/>
  <c r="Y68" i="60"/>
  <c r="W68" i="60"/>
  <c r="X68" i="60" s="1"/>
  <c r="AA67" i="60"/>
  <c r="AB67" i="60" s="1"/>
  <c r="Z67" i="60"/>
  <c r="Y67" i="60"/>
  <c r="W67" i="60"/>
  <c r="X67" i="60" s="1"/>
  <c r="AA66" i="60"/>
  <c r="AB66" i="60" s="1"/>
  <c r="Z66" i="60"/>
  <c r="Y66" i="60"/>
  <c r="W66" i="60"/>
  <c r="X66" i="60" s="1"/>
  <c r="AA65" i="60"/>
  <c r="AB65" i="60" s="1"/>
  <c r="Z65" i="60"/>
  <c r="Y65" i="60"/>
  <c r="W65" i="60"/>
  <c r="X65" i="60" s="1"/>
  <c r="AA64" i="60"/>
  <c r="AB64" i="60" s="1"/>
  <c r="Z64" i="60"/>
  <c r="Y64" i="60"/>
  <c r="W64" i="60"/>
  <c r="X64" i="60" s="1"/>
  <c r="AA63" i="60"/>
  <c r="Z63" i="60"/>
  <c r="Y63" i="60"/>
  <c r="W63" i="60"/>
  <c r="Q62" i="60"/>
  <c r="P62" i="60"/>
  <c r="O62" i="60"/>
  <c r="N62" i="60"/>
  <c r="M62" i="60"/>
  <c r="L62" i="60"/>
  <c r="K62" i="60"/>
  <c r="J62" i="60"/>
  <c r="I62" i="60"/>
  <c r="H62" i="60"/>
  <c r="G62" i="60"/>
  <c r="F62" i="60"/>
  <c r="E62" i="60"/>
  <c r="D62" i="60"/>
  <c r="AA56" i="60"/>
  <c r="AB56" i="60" s="1"/>
  <c r="Z56" i="60"/>
  <c r="Y56" i="60"/>
  <c r="W56" i="60"/>
  <c r="X56" i="60" s="1"/>
  <c r="AA55" i="60"/>
  <c r="AB55" i="60" s="1"/>
  <c r="Z55" i="60"/>
  <c r="Y55" i="60"/>
  <c r="W55" i="60"/>
  <c r="X55" i="60" s="1"/>
  <c r="AA54" i="60"/>
  <c r="AB54" i="60" s="1"/>
  <c r="Z54" i="60"/>
  <c r="Y54" i="60"/>
  <c r="W54" i="60"/>
  <c r="AA53" i="60"/>
  <c r="AB53" i="60" s="1"/>
  <c r="Z53" i="60"/>
  <c r="Y53" i="60"/>
  <c r="W53" i="60"/>
  <c r="X53" i="60" s="1"/>
  <c r="AA52" i="60"/>
  <c r="AB52" i="60" s="1"/>
  <c r="Z52" i="60"/>
  <c r="Y52" i="60"/>
  <c r="W52" i="60"/>
  <c r="X52" i="60" s="1"/>
  <c r="AA51" i="60"/>
  <c r="AB51" i="60" s="1"/>
  <c r="Z51" i="60"/>
  <c r="Y51" i="60"/>
  <c r="W51" i="60"/>
  <c r="X51" i="60" s="1"/>
  <c r="AA50" i="60"/>
  <c r="Z50" i="60"/>
  <c r="Y50" i="60"/>
  <c r="W50" i="60"/>
  <c r="X50" i="60" s="1"/>
  <c r="Q49" i="60"/>
  <c r="Q41" i="60" s="1"/>
  <c r="P49" i="60"/>
  <c r="P41" i="60" s="1"/>
  <c r="O49" i="60"/>
  <c r="O41" i="60" s="1"/>
  <c r="N49" i="60"/>
  <c r="N41" i="60" s="1"/>
  <c r="M49" i="60"/>
  <c r="M41" i="60" s="1"/>
  <c r="L49" i="60"/>
  <c r="L41" i="60" s="1"/>
  <c r="K49" i="60"/>
  <c r="K41" i="60" s="1"/>
  <c r="J49" i="60"/>
  <c r="J41" i="60" s="1"/>
  <c r="I49" i="60"/>
  <c r="I41" i="60" s="1"/>
  <c r="H49" i="60"/>
  <c r="H41" i="60" s="1"/>
  <c r="G49" i="60"/>
  <c r="G41" i="60" s="1"/>
  <c r="F49" i="60"/>
  <c r="F41" i="60" s="1"/>
  <c r="E49" i="60"/>
  <c r="E41" i="60" s="1"/>
  <c r="D49" i="60"/>
  <c r="D41" i="60" s="1"/>
  <c r="AB48" i="60"/>
  <c r="AA48" i="60"/>
  <c r="Z48" i="60"/>
  <c r="Y48" i="60"/>
  <c r="W48" i="60"/>
  <c r="X48" i="60" s="1"/>
  <c r="AB47" i="60"/>
  <c r="AA47" i="60"/>
  <c r="Z47" i="60"/>
  <c r="Y47" i="60"/>
  <c r="W47" i="60"/>
  <c r="X47" i="60" s="1"/>
  <c r="AB46" i="60"/>
  <c r="AA46" i="60"/>
  <c r="Z46" i="60"/>
  <c r="Y46" i="60"/>
  <c r="W46" i="60"/>
  <c r="X46" i="60" s="1"/>
  <c r="AB45" i="60"/>
  <c r="AA45" i="60"/>
  <c r="Z45" i="60"/>
  <c r="Y45" i="60"/>
  <c r="W45" i="60"/>
  <c r="AB43" i="60"/>
  <c r="AA43" i="60"/>
  <c r="Z43" i="60"/>
  <c r="Y43" i="60"/>
  <c r="W43" i="60"/>
  <c r="X43" i="60" s="1"/>
  <c r="AB37" i="60"/>
  <c r="AA37" i="60"/>
  <c r="Z37" i="60"/>
  <c r="Y37" i="60"/>
  <c r="W37" i="60"/>
  <c r="X37" i="60" s="1"/>
  <c r="AB36" i="60"/>
  <c r="AA36" i="60"/>
  <c r="Z36" i="60"/>
  <c r="Y36" i="60"/>
  <c r="W36" i="60"/>
  <c r="X36" i="60" s="1"/>
  <c r="AB35" i="60"/>
  <c r="AA35" i="60"/>
  <c r="Z35" i="60"/>
  <c r="Y35" i="60"/>
  <c r="W35" i="60"/>
  <c r="X35" i="60" s="1"/>
  <c r="AB34" i="60"/>
  <c r="AA34" i="60"/>
  <c r="Z34" i="60"/>
  <c r="Y34" i="60"/>
  <c r="W34" i="60"/>
  <c r="X34" i="60" s="1"/>
  <c r="AB33" i="60"/>
  <c r="AA33" i="60"/>
  <c r="Z33" i="60"/>
  <c r="Y33" i="60"/>
  <c r="W33" i="60"/>
  <c r="X33" i="60" s="1"/>
  <c r="AB32" i="60"/>
  <c r="AA32" i="60"/>
  <c r="Z32" i="60"/>
  <c r="Y32" i="60"/>
  <c r="W32" i="60"/>
  <c r="AB31" i="60"/>
  <c r="AA31" i="60"/>
  <c r="Z31" i="60"/>
  <c r="Y31" i="60"/>
  <c r="W31" i="60"/>
  <c r="X31" i="60" s="1"/>
  <c r="AB30" i="60"/>
  <c r="AA30" i="60"/>
  <c r="Z30" i="60"/>
  <c r="Y30" i="60"/>
  <c r="W30" i="60"/>
  <c r="X30" i="60" s="1"/>
  <c r="AB29" i="60"/>
  <c r="AA29" i="60"/>
  <c r="Z29" i="60"/>
  <c r="Y29" i="60"/>
  <c r="W29" i="60"/>
  <c r="X29" i="60" s="1"/>
  <c r="Q27" i="60"/>
  <c r="P27" i="60"/>
  <c r="O27" i="60"/>
  <c r="N27" i="60"/>
  <c r="M27" i="60"/>
  <c r="L27" i="60"/>
  <c r="K27" i="60"/>
  <c r="J27" i="60"/>
  <c r="I27" i="60"/>
  <c r="H27" i="60"/>
  <c r="G27" i="60"/>
  <c r="F27" i="60"/>
  <c r="E27" i="60"/>
  <c r="D27" i="60"/>
  <c r="AB25" i="60"/>
  <c r="AA25" i="60"/>
  <c r="Z25" i="60"/>
  <c r="Y25" i="60"/>
  <c r="W25" i="60"/>
  <c r="X25" i="60" s="1"/>
  <c r="AB24" i="60"/>
  <c r="AA24" i="60"/>
  <c r="Z24" i="60"/>
  <c r="Y24" i="60"/>
  <c r="W24" i="60"/>
  <c r="X24" i="60" s="1"/>
  <c r="AB23" i="60"/>
  <c r="AA23" i="60"/>
  <c r="Z23" i="60"/>
  <c r="Y23" i="60"/>
  <c r="W23" i="60"/>
  <c r="X23" i="60" s="1"/>
  <c r="AB22" i="60"/>
  <c r="AA22" i="60"/>
  <c r="Z22" i="60"/>
  <c r="Y22" i="60"/>
  <c r="W22" i="60"/>
  <c r="X22" i="60" s="1"/>
  <c r="AB21" i="60"/>
  <c r="AA21" i="60"/>
  <c r="Z21" i="60"/>
  <c r="Y21" i="60"/>
  <c r="W21" i="60"/>
  <c r="X21" i="60" s="1"/>
  <c r="AB20" i="60"/>
  <c r="AA20" i="60"/>
  <c r="Z20" i="60"/>
  <c r="Y20" i="60"/>
  <c r="W20" i="60"/>
  <c r="X20" i="60" s="1"/>
  <c r="AB19" i="60"/>
  <c r="AA19" i="60"/>
  <c r="Z19" i="60"/>
  <c r="Y19" i="60"/>
  <c r="W19" i="60"/>
  <c r="X19" i="60" s="1"/>
  <c r="AB18" i="60"/>
  <c r="AA18" i="60"/>
  <c r="Z18" i="60"/>
  <c r="Y18" i="60"/>
  <c r="W18" i="60"/>
  <c r="X18" i="60" s="1"/>
  <c r="Q17" i="60"/>
  <c r="P17" i="60"/>
  <c r="O17" i="60"/>
  <c r="N17" i="60"/>
  <c r="M17" i="60"/>
  <c r="L17" i="60"/>
  <c r="K17" i="60"/>
  <c r="J17" i="60"/>
  <c r="I17" i="60"/>
  <c r="H17" i="60"/>
  <c r="G17" i="60"/>
  <c r="F17" i="60"/>
  <c r="E17" i="60"/>
  <c r="D17" i="60"/>
  <c r="AB16" i="60"/>
  <c r="AA16" i="60"/>
  <c r="Z16" i="60"/>
  <c r="Y16" i="60"/>
  <c r="W16" i="60"/>
  <c r="X16" i="60" s="1"/>
  <c r="AB15" i="60"/>
  <c r="AA15" i="60"/>
  <c r="Z15" i="60"/>
  <c r="Y15" i="60"/>
  <c r="W15" i="60"/>
  <c r="X15" i="60" s="1"/>
  <c r="AB14" i="60"/>
  <c r="AA14" i="60"/>
  <c r="Z14" i="60"/>
  <c r="Y14" i="60"/>
  <c r="W14" i="60"/>
  <c r="X14" i="60" s="1"/>
  <c r="AB13" i="60"/>
  <c r="AA13" i="60"/>
  <c r="Z13" i="60"/>
  <c r="Y13" i="60"/>
  <c r="W13" i="60"/>
  <c r="X13" i="60" s="1"/>
  <c r="AB12" i="60"/>
  <c r="AA12" i="60"/>
  <c r="Z12" i="60"/>
  <c r="Y12" i="60"/>
  <c r="W12" i="60"/>
  <c r="X12" i="60" s="1"/>
  <c r="AB11" i="60"/>
  <c r="AA11" i="60"/>
  <c r="Z11" i="60"/>
  <c r="Y11" i="60"/>
  <c r="W11" i="60"/>
  <c r="X11" i="60" s="1"/>
  <c r="AB10" i="60"/>
  <c r="AA10" i="60"/>
  <c r="Z10" i="60"/>
  <c r="Y10" i="60"/>
  <c r="W10" i="60"/>
  <c r="X10" i="60" s="1"/>
  <c r="AB9" i="60"/>
  <c r="AA9" i="60"/>
  <c r="Z9" i="60"/>
  <c r="Y9" i="60"/>
  <c r="W9" i="60"/>
  <c r="Q8" i="60"/>
  <c r="P8" i="60"/>
  <c r="O8" i="60"/>
  <c r="N8" i="60"/>
  <c r="M8" i="60"/>
  <c r="L8" i="60"/>
  <c r="K8" i="60"/>
  <c r="J8" i="60"/>
  <c r="I8" i="60"/>
  <c r="H8" i="60"/>
  <c r="G8" i="60"/>
  <c r="F8" i="60"/>
  <c r="E8" i="60"/>
  <c r="D8" i="60"/>
  <c r="Y130" i="59"/>
  <c r="Z130" i="59" s="1"/>
  <c r="W130" i="59"/>
  <c r="N130" i="59"/>
  <c r="O130" i="59" s="1"/>
  <c r="P130" i="59" s="1"/>
  <c r="Y129" i="59"/>
  <c r="Z129" i="59" s="1"/>
  <c r="W129" i="59"/>
  <c r="N129" i="59"/>
  <c r="O129" i="59" s="1"/>
  <c r="P129" i="59" s="1"/>
  <c r="Q127" i="59"/>
  <c r="P127" i="59"/>
  <c r="O127" i="59"/>
  <c r="N127" i="59"/>
  <c r="M127" i="59"/>
  <c r="L127" i="59"/>
  <c r="AA125" i="59"/>
  <c r="AB125" i="59" s="1"/>
  <c r="Z125" i="59"/>
  <c r="Y125" i="59"/>
  <c r="W125" i="59"/>
  <c r="X125" i="59" s="1"/>
  <c r="AA124" i="59"/>
  <c r="Z124" i="59"/>
  <c r="Y124" i="59"/>
  <c r="W124" i="59"/>
  <c r="X124" i="59" s="1"/>
  <c r="AA119" i="59"/>
  <c r="AB119" i="59" s="1"/>
  <c r="Z119" i="59"/>
  <c r="Y119" i="59"/>
  <c r="W119" i="59"/>
  <c r="X119" i="59" s="1"/>
  <c r="AA118" i="59"/>
  <c r="AB118" i="59" s="1"/>
  <c r="Z118" i="59"/>
  <c r="Y118" i="59"/>
  <c r="W118" i="59"/>
  <c r="X118" i="59" s="1"/>
  <c r="AA117" i="59"/>
  <c r="AB117" i="59" s="1"/>
  <c r="Z117" i="59"/>
  <c r="Y117" i="59"/>
  <c r="W117" i="59"/>
  <c r="X117" i="59" s="1"/>
  <c r="AA116" i="59"/>
  <c r="Z116" i="59"/>
  <c r="Y116" i="59"/>
  <c r="W116" i="59"/>
  <c r="X116" i="59" s="1"/>
  <c r="Q114" i="59"/>
  <c r="P114" i="59"/>
  <c r="O114" i="59"/>
  <c r="N114" i="59"/>
  <c r="M114" i="59"/>
  <c r="L114" i="59"/>
  <c r="K114" i="59"/>
  <c r="J114" i="59"/>
  <c r="I114" i="59"/>
  <c r="H114" i="59"/>
  <c r="G114" i="59"/>
  <c r="F114" i="59"/>
  <c r="E114" i="59"/>
  <c r="D114" i="59"/>
  <c r="AA110" i="59"/>
  <c r="AB110" i="59" s="1"/>
  <c r="Z110" i="59"/>
  <c r="Y110" i="59"/>
  <c r="W110" i="59"/>
  <c r="X110" i="59" s="1"/>
  <c r="AA109" i="59"/>
  <c r="AB109" i="59" s="1"/>
  <c r="Z109" i="59"/>
  <c r="Y109" i="59"/>
  <c r="W109" i="59"/>
  <c r="X109" i="59" s="1"/>
  <c r="AA108" i="59"/>
  <c r="AB108" i="59" s="1"/>
  <c r="Z108" i="59"/>
  <c r="Y108" i="59"/>
  <c r="W108" i="59"/>
  <c r="X108" i="59" s="1"/>
  <c r="AA107" i="59"/>
  <c r="AB107" i="59" s="1"/>
  <c r="Z107" i="59"/>
  <c r="Y107" i="59"/>
  <c r="W107" i="59"/>
  <c r="X107" i="59" s="1"/>
  <c r="AA106" i="59"/>
  <c r="AB106" i="59" s="1"/>
  <c r="Z106" i="59"/>
  <c r="Y106" i="59"/>
  <c r="W106" i="59"/>
  <c r="X106" i="59" s="1"/>
  <c r="AA105" i="59"/>
  <c r="AB105" i="59" s="1"/>
  <c r="Z105" i="59"/>
  <c r="Y105" i="59"/>
  <c r="W105" i="59"/>
  <c r="X105" i="59" s="1"/>
  <c r="AA104" i="59"/>
  <c r="AB104" i="59" s="1"/>
  <c r="Z104" i="59"/>
  <c r="Y104" i="59"/>
  <c r="W104" i="59"/>
  <c r="X104" i="59" s="1"/>
  <c r="AA103" i="59"/>
  <c r="AB103" i="59" s="1"/>
  <c r="Z103" i="59"/>
  <c r="Y103" i="59"/>
  <c r="W103" i="59"/>
  <c r="X103" i="59" s="1"/>
  <c r="AA102" i="59"/>
  <c r="AB102" i="59" s="1"/>
  <c r="Z102" i="59"/>
  <c r="Y102" i="59"/>
  <c r="W102" i="59"/>
  <c r="X102" i="59" s="1"/>
  <c r="AA101" i="59"/>
  <c r="Z101" i="59"/>
  <c r="Y101" i="59"/>
  <c r="W101" i="59"/>
  <c r="X101" i="59" s="1"/>
  <c r="Q100" i="59"/>
  <c r="P100" i="59"/>
  <c r="O100" i="59"/>
  <c r="N100" i="59"/>
  <c r="M100" i="59"/>
  <c r="L100" i="59"/>
  <c r="K100" i="59"/>
  <c r="J100" i="59"/>
  <c r="I100" i="59"/>
  <c r="H100" i="59"/>
  <c r="G100" i="59"/>
  <c r="F100" i="59"/>
  <c r="E100" i="59"/>
  <c r="D100" i="59"/>
  <c r="AA99" i="59"/>
  <c r="AB99" i="59" s="1"/>
  <c r="Z99" i="59"/>
  <c r="Y99" i="59"/>
  <c r="W99" i="59"/>
  <c r="X99" i="59" s="1"/>
  <c r="AA98" i="59"/>
  <c r="AB98" i="59" s="1"/>
  <c r="Z98" i="59"/>
  <c r="Y98" i="59"/>
  <c r="W98" i="59"/>
  <c r="X98" i="59" s="1"/>
  <c r="AA97" i="59"/>
  <c r="AB97" i="59" s="1"/>
  <c r="Z97" i="59"/>
  <c r="Y97" i="59"/>
  <c r="W97" i="59"/>
  <c r="X97" i="59" s="1"/>
  <c r="AA96" i="59"/>
  <c r="AB96" i="59" s="1"/>
  <c r="Z96" i="59"/>
  <c r="Y96" i="59"/>
  <c r="W96" i="59"/>
  <c r="X96" i="59" s="1"/>
  <c r="AA95" i="59"/>
  <c r="AB95" i="59" s="1"/>
  <c r="Z95" i="59"/>
  <c r="Y95" i="59"/>
  <c r="W95" i="59"/>
  <c r="X95" i="59" s="1"/>
  <c r="AA94" i="59"/>
  <c r="AB94" i="59" s="1"/>
  <c r="Z94" i="59"/>
  <c r="Y94" i="59"/>
  <c r="W94" i="59"/>
  <c r="X94" i="59" s="1"/>
  <c r="AA93" i="59"/>
  <c r="AB93" i="59" s="1"/>
  <c r="Z93" i="59"/>
  <c r="Y93" i="59"/>
  <c r="W93" i="59"/>
  <c r="X93" i="59" s="1"/>
  <c r="AA92" i="59"/>
  <c r="AB92" i="59" s="1"/>
  <c r="Z92" i="59"/>
  <c r="Y92" i="59"/>
  <c r="W92" i="59"/>
  <c r="X92" i="59" s="1"/>
  <c r="AA91" i="59"/>
  <c r="Z91" i="59"/>
  <c r="Y91" i="59"/>
  <c r="W91" i="59"/>
  <c r="Q90" i="59"/>
  <c r="P90" i="59"/>
  <c r="O90" i="59"/>
  <c r="N90" i="59"/>
  <c r="M90" i="59"/>
  <c r="L90" i="59"/>
  <c r="K90" i="59"/>
  <c r="J90" i="59"/>
  <c r="I90" i="59"/>
  <c r="H90" i="59"/>
  <c r="G90" i="59"/>
  <c r="F90" i="59"/>
  <c r="E90" i="59"/>
  <c r="D90" i="59"/>
  <c r="AB82" i="59"/>
  <c r="Z82" i="59"/>
  <c r="Y82" i="59"/>
  <c r="X82" i="59"/>
  <c r="AA81" i="59"/>
  <c r="AB81" i="59" s="1"/>
  <c r="Z81" i="59"/>
  <c r="Y81" i="59"/>
  <c r="W81" i="59"/>
  <c r="X81" i="59" s="1"/>
  <c r="AA80" i="59"/>
  <c r="Z80" i="59"/>
  <c r="Y80" i="59"/>
  <c r="W80" i="59"/>
  <c r="Q79" i="59"/>
  <c r="P79" i="59"/>
  <c r="O79" i="59"/>
  <c r="N79" i="59"/>
  <c r="M79" i="59"/>
  <c r="L79" i="59"/>
  <c r="K79" i="59"/>
  <c r="J79" i="59"/>
  <c r="I79" i="59"/>
  <c r="H79" i="59"/>
  <c r="G79" i="59"/>
  <c r="F79" i="59"/>
  <c r="E79" i="59"/>
  <c r="D79" i="59"/>
  <c r="AA78" i="59"/>
  <c r="AB78" i="59" s="1"/>
  <c r="Z78" i="59"/>
  <c r="Y78" i="59"/>
  <c r="W78" i="59"/>
  <c r="X78" i="59" s="1"/>
  <c r="AA77" i="59"/>
  <c r="AB77" i="59" s="1"/>
  <c r="Z77" i="59"/>
  <c r="Y77" i="59"/>
  <c r="W77" i="59"/>
  <c r="X77" i="59" s="1"/>
  <c r="AA76" i="59"/>
  <c r="AB76" i="59" s="1"/>
  <c r="Z76" i="59"/>
  <c r="Y76" i="59"/>
  <c r="W76" i="59"/>
  <c r="X76" i="59" s="1"/>
  <c r="AA75" i="59"/>
  <c r="AB75" i="59" s="1"/>
  <c r="Z75" i="59"/>
  <c r="Y75" i="59"/>
  <c r="W75" i="59"/>
  <c r="X75" i="59" s="1"/>
  <c r="AA74" i="59"/>
  <c r="AB74" i="59" s="1"/>
  <c r="Z74" i="59"/>
  <c r="Y74" i="59"/>
  <c r="W74" i="59"/>
  <c r="AA73" i="59"/>
  <c r="AB73" i="59" s="1"/>
  <c r="Z73" i="59"/>
  <c r="Y73" i="59"/>
  <c r="W73" i="59"/>
  <c r="X73" i="59" s="1"/>
  <c r="AA72" i="59"/>
  <c r="AB72" i="59" s="1"/>
  <c r="Z72" i="59"/>
  <c r="Y72" i="59"/>
  <c r="W72" i="59"/>
  <c r="X72" i="59" s="1"/>
  <c r="AA71" i="59"/>
  <c r="Z71" i="59"/>
  <c r="Y71" i="59"/>
  <c r="W71" i="59"/>
  <c r="X71" i="59" s="1"/>
  <c r="AA70" i="59"/>
  <c r="AB70" i="59" s="1"/>
  <c r="Z70" i="59"/>
  <c r="Y70" i="59"/>
  <c r="W70" i="59"/>
  <c r="X70" i="59" s="1"/>
  <c r="Q69" i="59"/>
  <c r="P69" i="59"/>
  <c r="O69" i="59"/>
  <c r="N69" i="59"/>
  <c r="M69" i="59"/>
  <c r="L69" i="59"/>
  <c r="K69" i="59"/>
  <c r="J69" i="59"/>
  <c r="I69" i="59"/>
  <c r="H69" i="59"/>
  <c r="G69" i="59"/>
  <c r="F69" i="59"/>
  <c r="E69" i="59"/>
  <c r="D69" i="59"/>
  <c r="AA68" i="59"/>
  <c r="AB68" i="59" s="1"/>
  <c r="Z68" i="59"/>
  <c r="Y68" i="59"/>
  <c r="W68" i="59"/>
  <c r="X68" i="59" s="1"/>
  <c r="AA67" i="59"/>
  <c r="AB67" i="59" s="1"/>
  <c r="Z67" i="59"/>
  <c r="Y67" i="59"/>
  <c r="W67" i="59"/>
  <c r="X67" i="59" s="1"/>
  <c r="AA66" i="59"/>
  <c r="AB66" i="59" s="1"/>
  <c r="Z66" i="59"/>
  <c r="Y66" i="59"/>
  <c r="W66" i="59"/>
  <c r="X66" i="59" s="1"/>
  <c r="AA65" i="59"/>
  <c r="AB65" i="59" s="1"/>
  <c r="Z65" i="59"/>
  <c r="Y65" i="59"/>
  <c r="W65" i="59"/>
  <c r="X65" i="59" s="1"/>
  <c r="AA64" i="59"/>
  <c r="AB64" i="59" s="1"/>
  <c r="Z64" i="59"/>
  <c r="Y64" i="59"/>
  <c r="W64" i="59"/>
  <c r="X64" i="59" s="1"/>
  <c r="AA63" i="59"/>
  <c r="Z63" i="59"/>
  <c r="Y63" i="59"/>
  <c r="W63" i="59"/>
  <c r="Q62" i="59"/>
  <c r="P62" i="59"/>
  <c r="O62" i="59"/>
  <c r="N62" i="59"/>
  <c r="M62" i="59"/>
  <c r="L62" i="59"/>
  <c r="K62" i="59"/>
  <c r="J62" i="59"/>
  <c r="I62" i="59"/>
  <c r="H62" i="59"/>
  <c r="G62" i="59"/>
  <c r="F62" i="59"/>
  <c r="E62" i="59"/>
  <c r="D62" i="59"/>
  <c r="AA56" i="59"/>
  <c r="AB56" i="59" s="1"/>
  <c r="Z56" i="59"/>
  <c r="Y56" i="59"/>
  <c r="W56" i="59"/>
  <c r="X56" i="59" s="1"/>
  <c r="AA55" i="59"/>
  <c r="AB55" i="59" s="1"/>
  <c r="Z55" i="59"/>
  <c r="Y55" i="59"/>
  <c r="W55" i="59"/>
  <c r="X55" i="59" s="1"/>
  <c r="AA54" i="59"/>
  <c r="AB54" i="59" s="1"/>
  <c r="Z54" i="59"/>
  <c r="Y54" i="59"/>
  <c r="W54" i="59"/>
  <c r="X54" i="59" s="1"/>
  <c r="AA53" i="59"/>
  <c r="AB53" i="59" s="1"/>
  <c r="Z53" i="59"/>
  <c r="Y53" i="59"/>
  <c r="W53" i="59"/>
  <c r="X53" i="59" s="1"/>
  <c r="AA52" i="59"/>
  <c r="AB52" i="59" s="1"/>
  <c r="Z52" i="59"/>
  <c r="Y52" i="59"/>
  <c r="W52" i="59"/>
  <c r="X52" i="59" s="1"/>
  <c r="AA51" i="59"/>
  <c r="Z51" i="59"/>
  <c r="Y51" i="59"/>
  <c r="W51" i="59"/>
  <c r="X51" i="59" s="1"/>
  <c r="AA50" i="59"/>
  <c r="AB50" i="59" s="1"/>
  <c r="Z50" i="59"/>
  <c r="Y50" i="59"/>
  <c r="W50" i="59"/>
  <c r="X50" i="59" s="1"/>
  <c r="Q49" i="59"/>
  <c r="Q41" i="59" s="1"/>
  <c r="P49" i="59"/>
  <c r="P41" i="59" s="1"/>
  <c r="O49" i="59"/>
  <c r="O41" i="59" s="1"/>
  <c r="N49" i="59"/>
  <c r="N41" i="59" s="1"/>
  <c r="M49" i="59"/>
  <c r="M41" i="59" s="1"/>
  <c r="L49" i="59"/>
  <c r="L41" i="59" s="1"/>
  <c r="K49" i="59"/>
  <c r="K41" i="59" s="1"/>
  <c r="J49" i="59"/>
  <c r="J41" i="59" s="1"/>
  <c r="I49" i="59"/>
  <c r="I41" i="59" s="1"/>
  <c r="H49" i="59"/>
  <c r="H41" i="59" s="1"/>
  <c r="G49" i="59"/>
  <c r="G41" i="59" s="1"/>
  <c r="F49" i="59"/>
  <c r="F41" i="59" s="1"/>
  <c r="E49" i="59"/>
  <c r="E41" i="59" s="1"/>
  <c r="D49" i="59"/>
  <c r="D41" i="59" s="1"/>
  <c r="AB48" i="59"/>
  <c r="AA48" i="59"/>
  <c r="Z48" i="59"/>
  <c r="Y48" i="59"/>
  <c r="W48" i="59"/>
  <c r="X48" i="59" s="1"/>
  <c r="AB47" i="59"/>
  <c r="AA47" i="59"/>
  <c r="Z47" i="59"/>
  <c r="Y47" i="59"/>
  <c r="W47" i="59"/>
  <c r="X47" i="59" s="1"/>
  <c r="AB46" i="59"/>
  <c r="AA46" i="59"/>
  <c r="Z46" i="59"/>
  <c r="Y46" i="59"/>
  <c r="W46" i="59"/>
  <c r="X46" i="59" s="1"/>
  <c r="AB45" i="59"/>
  <c r="AA45" i="59"/>
  <c r="Z45" i="59"/>
  <c r="Y45" i="59"/>
  <c r="W45" i="59"/>
  <c r="X45" i="59" s="1"/>
  <c r="AB43" i="59"/>
  <c r="AA43" i="59"/>
  <c r="Z43" i="59"/>
  <c r="Y43" i="59"/>
  <c r="W43" i="59"/>
  <c r="AB37" i="59"/>
  <c r="AA37" i="59"/>
  <c r="Z37" i="59"/>
  <c r="Y37" i="59"/>
  <c r="W37" i="59"/>
  <c r="X37" i="59" s="1"/>
  <c r="AB36" i="59"/>
  <c r="AA36" i="59"/>
  <c r="Z36" i="59"/>
  <c r="Y36" i="59"/>
  <c r="W36" i="59"/>
  <c r="X36" i="59" s="1"/>
  <c r="AB35" i="59"/>
  <c r="AA35" i="59"/>
  <c r="Z35" i="59"/>
  <c r="Y35" i="59"/>
  <c r="W35" i="59"/>
  <c r="X35" i="59" s="1"/>
  <c r="AB34" i="59"/>
  <c r="AA34" i="59"/>
  <c r="Z34" i="59"/>
  <c r="Y34" i="59"/>
  <c r="W34" i="59"/>
  <c r="X34" i="59" s="1"/>
  <c r="AB33" i="59"/>
  <c r="AA33" i="59"/>
  <c r="Z33" i="59"/>
  <c r="Y33" i="59"/>
  <c r="W33" i="59"/>
  <c r="X33" i="59" s="1"/>
  <c r="AB32" i="59"/>
  <c r="AA32" i="59"/>
  <c r="Z32" i="59"/>
  <c r="Y32" i="59"/>
  <c r="W32" i="59"/>
  <c r="X32" i="59" s="1"/>
  <c r="AB31" i="59"/>
  <c r="AA31" i="59"/>
  <c r="Z31" i="59"/>
  <c r="Y31" i="59"/>
  <c r="W31" i="59"/>
  <c r="X31" i="59" s="1"/>
  <c r="AB30" i="59"/>
  <c r="AA30" i="59"/>
  <c r="Z30" i="59"/>
  <c r="Y30" i="59"/>
  <c r="W30" i="59"/>
  <c r="X30" i="59" s="1"/>
  <c r="AB29" i="59"/>
  <c r="AA29" i="59"/>
  <c r="Z29" i="59"/>
  <c r="Y29" i="59"/>
  <c r="W29" i="59"/>
  <c r="X29" i="59" s="1"/>
  <c r="Q27" i="59"/>
  <c r="P27" i="59"/>
  <c r="O27" i="59"/>
  <c r="N27" i="59"/>
  <c r="M27" i="59"/>
  <c r="L27" i="59"/>
  <c r="K27" i="59"/>
  <c r="J27" i="59"/>
  <c r="I27" i="59"/>
  <c r="H27" i="59"/>
  <c r="G27" i="59"/>
  <c r="F27" i="59"/>
  <c r="E27" i="59"/>
  <c r="D27" i="59"/>
  <c r="AB25" i="59"/>
  <c r="AA25" i="59"/>
  <c r="Z25" i="59"/>
  <c r="Y25" i="59"/>
  <c r="W25" i="59"/>
  <c r="X25" i="59" s="1"/>
  <c r="AB24" i="59"/>
  <c r="AA24" i="59"/>
  <c r="Z24" i="59"/>
  <c r="Y24" i="59"/>
  <c r="W24" i="59"/>
  <c r="X24" i="59" s="1"/>
  <c r="AB23" i="59"/>
  <c r="AA23" i="59"/>
  <c r="Z23" i="59"/>
  <c r="Y23" i="59"/>
  <c r="W23" i="59"/>
  <c r="X23" i="59" s="1"/>
  <c r="AB22" i="59"/>
  <c r="AA22" i="59"/>
  <c r="Z22" i="59"/>
  <c r="Y22" i="59"/>
  <c r="W22" i="59"/>
  <c r="X22" i="59" s="1"/>
  <c r="AB21" i="59"/>
  <c r="AA21" i="59"/>
  <c r="Z21" i="59"/>
  <c r="Y21" i="59"/>
  <c r="W21" i="59"/>
  <c r="X21" i="59" s="1"/>
  <c r="AB20" i="59"/>
  <c r="AA20" i="59"/>
  <c r="Z20" i="59"/>
  <c r="Y20" i="59"/>
  <c r="W20" i="59"/>
  <c r="X20" i="59" s="1"/>
  <c r="AB19" i="59"/>
  <c r="AA19" i="59"/>
  <c r="Z19" i="59"/>
  <c r="Y19" i="59"/>
  <c r="W19" i="59"/>
  <c r="X19" i="59" s="1"/>
  <c r="AB18" i="59"/>
  <c r="AA18" i="59"/>
  <c r="Z18" i="59"/>
  <c r="Y18" i="59"/>
  <c r="W18" i="59"/>
  <c r="Q17" i="59"/>
  <c r="P17" i="59"/>
  <c r="O17" i="59"/>
  <c r="N17" i="59"/>
  <c r="M17" i="59"/>
  <c r="L17" i="59"/>
  <c r="K17" i="59"/>
  <c r="J17" i="59"/>
  <c r="I17" i="59"/>
  <c r="H17" i="59"/>
  <c r="G17" i="59"/>
  <c r="F17" i="59"/>
  <c r="E17" i="59"/>
  <c r="D17" i="59"/>
  <c r="AB16" i="59"/>
  <c r="AA16" i="59"/>
  <c r="Z16" i="59"/>
  <c r="Y16" i="59"/>
  <c r="W16" i="59"/>
  <c r="X16" i="59" s="1"/>
  <c r="AB15" i="59"/>
  <c r="AA15" i="59"/>
  <c r="Z15" i="59"/>
  <c r="Y15" i="59"/>
  <c r="W15" i="59"/>
  <c r="X15" i="59" s="1"/>
  <c r="AB14" i="59"/>
  <c r="AA14" i="59"/>
  <c r="Z14" i="59"/>
  <c r="Y14" i="59"/>
  <c r="W14" i="59"/>
  <c r="X14" i="59" s="1"/>
  <c r="AB13" i="59"/>
  <c r="AA13" i="59"/>
  <c r="Z13" i="59"/>
  <c r="Y13" i="59"/>
  <c r="W13" i="59"/>
  <c r="X13" i="59" s="1"/>
  <c r="AB12" i="59"/>
  <c r="AA12" i="59"/>
  <c r="Z12" i="59"/>
  <c r="Y12" i="59"/>
  <c r="W12" i="59"/>
  <c r="X12" i="59" s="1"/>
  <c r="AB11" i="59"/>
  <c r="AA11" i="59"/>
  <c r="Z11" i="59"/>
  <c r="Y11" i="59"/>
  <c r="W11" i="59"/>
  <c r="X11" i="59" s="1"/>
  <c r="AB10" i="59"/>
  <c r="AA10" i="59"/>
  <c r="Z10" i="59"/>
  <c r="Y10" i="59"/>
  <c r="W10" i="59"/>
  <c r="AB9" i="59"/>
  <c r="AA9" i="59"/>
  <c r="Z9" i="59"/>
  <c r="Y9" i="59"/>
  <c r="W9" i="59"/>
  <c r="X9" i="59" s="1"/>
  <c r="Q8" i="59"/>
  <c r="P8" i="59"/>
  <c r="O8" i="59"/>
  <c r="N8" i="59"/>
  <c r="M8" i="59"/>
  <c r="L8" i="59"/>
  <c r="K8" i="59"/>
  <c r="J8" i="59"/>
  <c r="I8" i="59"/>
  <c r="H8" i="59"/>
  <c r="G8" i="59"/>
  <c r="F8" i="59"/>
  <c r="E8" i="59"/>
  <c r="D8" i="59"/>
  <c r="Y130" i="58"/>
  <c r="Z130" i="58" s="1"/>
  <c r="W130" i="58"/>
  <c r="N130" i="58"/>
  <c r="O130" i="58" s="1"/>
  <c r="P130" i="58" s="1"/>
  <c r="Y129" i="58"/>
  <c r="Z129" i="58" s="1"/>
  <c r="W129" i="58"/>
  <c r="N129" i="58"/>
  <c r="O129" i="58" s="1"/>
  <c r="P129" i="58" s="1"/>
  <c r="Q127" i="58"/>
  <c r="P127" i="58"/>
  <c r="O127" i="58"/>
  <c r="N127" i="58"/>
  <c r="M127" i="58"/>
  <c r="L127" i="58"/>
  <c r="AA125" i="58"/>
  <c r="AB125" i="58" s="1"/>
  <c r="Z125" i="58"/>
  <c r="Y125" i="58"/>
  <c r="W125" i="58"/>
  <c r="X125" i="58" s="1"/>
  <c r="AA124" i="58"/>
  <c r="Z124" i="58"/>
  <c r="Y124" i="58"/>
  <c r="W124" i="58"/>
  <c r="X124" i="58" s="1"/>
  <c r="AA119" i="58"/>
  <c r="AB119" i="58" s="1"/>
  <c r="Z119" i="58"/>
  <c r="Y119" i="58"/>
  <c r="W119" i="58"/>
  <c r="X119" i="58" s="1"/>
  <c r="AA118" i="58"/>
  <c r="AB118" i="58" s="1"/>
  <c r="Z118" i="58"/>
  <c r="Y118" i="58"/>
  <c r="W118" i="58"/>
  <c r="X118" i="58" s="1"/>
  <c r="AA117" i="58"/>
  <c r="AB117" i="58" s="1"/>
  <c r="Z117" i="58"/>
  <c r="Y117" i="58"/>
  <c r="W117" i="58"/>
  <c r="X117" i="58" s="1"/>
  <c r="AA116" i="58"/>
  <c r="AB116" i="58" s="1"/>
  <c r="Z116" i="58"/>
  <c r="Y116" i="58"/>
  <c r="W116" i="58"/>
  <c r="X116" i="58" s="1"/>
  <c r="Q114" i="58"/>
  <c r="P114" i="58"/>
  <c r="O114" i="58"/>
  <c r="N114" i="58"/>
  <c r="M114" i="58"/>
  <c r="L114" i="58"/>
  <c r="K114" i="58"/>
  <c r="J114" i="58"/>
  <c r="I114" i="58"/>
  <c r="H114" i="58"/>
  <c r="G114" i="58"/>
  <c r="F114" i="58"/>
  <c r="E114" i="58"/>
  <c r="D114" i="58"/>
  <c r="AA110" i="58"/>
  <c r="AB110" i="58" s="1"/>
  <c r="Z110" i="58"/>
  <c r="Y110" i="58"/>
  <c r="W110" i="58"/>
  <c r="X110" i="58" s="1"/>
  <c r="AA109" i="58"/>
  <c r="AB109" i="58" s="1"/>
  <c r="Z109" i="58"/>
  <c r="Y109" i="58"/>
  <c r="W109" i="58"/>
  <c r="X109" i="58" s="1"/>
  <c r="AA108" i="58"/>
  <c r="AB108" i="58" s="1"/>
  <c r="Z108" i="58"/>
  <c r="Y108" i="58"/>
  <c r="W108" i="58"/>
  <c r="X108" i="58" s="1"/>
  <c r="AA107" i="58"/>
  <c r="AB107" i="58" s="1"/>
  <c r="Z107" i="58"/>
  <c r="Y107" i="58"/>
  <c r="W107" i="58"/>
  <c r="X107" i="58" s="1"/>
  <c r="AA106" i="58"/>
  <c r="AB106" i="58" s="1"/>
  <c r="Z106" i="58"/>
  <c r="Y106" i="58"/>
  <c r="W106" i="58"/>
  <c r="X106" i="58" s="1"/>
  <c r="AA105" i="58"/>
  <c r="AB105" i="58" s="1"/>
  <c r="Z105" i="58"/>
  <c r="Y105" i="58"/>
  <c r="W105" i="58"/>
  <c r="X105" i="58" s="1"/>
  <c r="AA104" i="58"/>
  <c r="AB104" i="58" s="1"/>
  <c r="Z104" i="58"/>
  <c r="Y104" i="58"/>
  <c r="W104" i="58"/>
  <c r="X104" i="58" s="1"/>
  <c r="AA103" i="58"/>
  <c r="AB103" i="58" s="1"/>
  <c r="Z103" i="58"/>
  <c r="Y103" i="58"/>
  <c r="W103" i="58"/>
  <c r="X103" i="58" s="1"/>
  <c r="AA102" i="58"/>
  <c r="AB102" i="58" s="1"/>
  <c r="Z102" i="58"/>
  <c r="Y102" i="58"/>
  <c r="W102" i="58"/>
  <c r="X102" i="58" s="1"/>
  <c r="AA101" i="58"/>
  <c r="AB101" i="58" s="1"/>
  <c r="Z101" i="58"/>
  <c r="Y101" i="58"/>
  <c r="W101" i="58"/>
  <c r="Q100" i="58"/>
  <c r="P100" i="58"/>
  <c r="O100" i="58"/>
  <c r="N100" i="58"/>
  <c r="M100" i="58"/>
  <c r="L100" i="58"/>
  <c r="K100" i="58"/>
  <c r="J100" i="58"/>
  <c r="I100" i="58"/>
  <c r="H100" i="58"/>
  <c r="G100" i="58"/>
  <c r="F100" i="58"/>
  <c r="E100" i="58"/>
  <c r="D100" i="58"/>
  <c r="AA99" i="58"/>
  <c r="AB99" i="58" s="1"/>
  <c r="Z99" i="58"/>
  <c r="Y99" i="58"/>
  <c r="W99" i="58"/>
  <c r="X99" i="58" s="1"/>
  <c r="AA98" i="58"/>
  <c r="AB98" i="58" s="1"/>
  <c r="Z98" i="58"/>
  <c r="Y98" i="58"/>
  <c r="W98" i="58"/>
  <c r="X98" i="58" s="1"/>
  <c r="AA97" i="58"/>
  <c r="AB97" i="58" s="1"/>
  <c r="Z97" i="58"/>
  <c r="Y97" i="58"/>
  <c r="W97" i="58"/>
  <c r="X97" i="58" s="1"/>
  <c r="AA96" i="58"/>
  <c r="AB96" i="58" s="1"/>
  <c r="Z96" i="58"/>
  <c r="Y96" i="58"/>
  <c r="W96" i="58"/>
  <c r="X96" i="58" s="1"/>
  <c r="AA95" i="58"/>
  <c r="AB95" i="58" s="1"/>
  <c r="Z95" i="58"/>
  <c r="Y95" i="58"/>
  <c r="W95" i="58"/>
  <c r="X95" i="58" s="1"/>
  <c r="AA94" i="58"/>
  <c r="AB94" i="58" s="1"/>
  <c r="Z94" i="58"/>
  <c r="Y94" i="58"/>
  <c r="W94" i="58"/>
  <c r="X94" i="58" s="1"/>
  <c r="AA93" i="58"/>
  <c r="AB93" i="58" s="1"/>
  <c r="Z93" i="58"/>
  <c r="Y93" i="58"/>
  <c r="W93" i="58"/>
  <c r="X93" i="58" s="1"/>
  <c r="AA92" i="58"/>
  <c r="AB92" i="58" s="1"/>
  <c r="Z92" i="58"/>
  <c r="Y92" i="58"/>
  <c r="W92" i="58"/>
  <c r="X92" i="58" s="1"/>
  <c r="AA91" i="58"/>
  <c r="Z91" i="58"/>
  <c r="Y91" i="58"/>
  <c r="W91" i="58"/>
  <c r="X91" i="58" s="1"/>
  <c r="Q90" i="58"/>
  <c r="P90" i="58"/>
  <c r="O90" i="58"/>
  <c r="N90" i="58"/>
  <c r="M90" i="58"/>
  <c r="L90" i="58"/>
  <c r="K90" i="58"/>
  <c r="J90" i="58"/>
  <c r="I90" i="58"/>
  <c r="H90" i="58"/>
  <c r="G90" i="58"/>
  <c r="F90" i="58"/>
  <c r="E90" i="58"/>
  <c r="D90" i="58"/>
  <c r="AB82" i="58"/>
  <c r="Z82" i="58"/>
  <c r="Y82" i="58"/>
  <c r="X82" i="58"/>
  <c r="AA81" i="58"/>
  <c r="AB81" i="58" s="1"/>
  <c r="Z81" i="58"/>
  <c r="Y81" i="58"/>
  <c r="W81" i="58"/>
  <c r="X81" i="58" s="1"/>
  <c r="AA80" i="58"/>
  <c r="AB80" i="58" s="1"/>
  <c r="Z80" i="58"/>
  <c r="Y80" i="58"/>
  <c r="W80" i="58"/>
  <c r="Q79" i="58"/>
  <c r="P79" i="58"/>
  <c r="O79" i="58"/>
  <c r="N79" i="58"/>
  <c r="M79" i="58"/>
  <c r="L79" i="58"/>
  <c r="K79" i="58"/>
  <c r="J79" i="58"/>
  <c r="I79" i="58"/>
  <c r="H79" i="58"/>
  <c r="G79" i="58"/>
  <c r="F79" i="58"/>
  <c r="E79" i="58"/>
  <c r="D79" i="58"/>
  <c r="AA78" i="58"/>
  <c r="AB78" i="58" s="1"/>
  <c r="Z78" i="58"/>
  <c r="Y78" i="58"/>
  <c r="W78" i="58"/>
  <c r="X78" i="58" s="1"/>
  <c r="AA77" i="58"/>
  <c r="AB77" i="58" s="1"/>
  <c r="Z77" i="58"/>
  <c r="Y77" i="58"/>
  <c r="W77" i="58"/>
  <c r="X77" i="58" s="1"/>
  <c r="AA76" i="58"/>
  <c r="AB76" i="58" s="1"/>
  <c r="Z76" i="58"/>
  <c r="Y76" i="58"/>
  <c r="W76" i="58"/>
  <c r="X76" i="58" s="1"/>
  <c r="AA75" i="58"/>
  <c r="AB75" i="58" s="1"/>
  <c r="Z75" i="58"/>
  <c r="Y75" i="58"/>
  <c r="W75" i="58"/>
  <c r="X75" i="58" s="1"/>
  <c r="AA74" i="58"/>
  <c r="AB74" i="58" s="1"/>
  <c r="Z74" i="58"/>
  <c r="Y74" i="58"/>
  <c r="W74" i="58"/>
  <c r="X74" i="58" s="1"/>
  <c r="AA73" i="58"/>
  <c r="AB73" i="58" s="1"/>
  <c r="Z73" i="58"/>
  <c r="Y73" i="58"/>
  <c r="W73" i="58"/>
  <c r="X73" i="58" s="1"/>
  <c r="AA72" i="58"/>
  <c r="AB72" i="58" s="1"/>
  <c r="Z72" i="58"/>
  <c r="Y72" i="58"/>
  <c r="W72" i="58"/>
  <c r="X72" i="58" s="1"/>
  <c r="AA71" i="58"/>
  <c r="AB71" i="58" s="1"/>
  <c r="Z71" i="58"/>
  <c r="Y71" i="58"/>
  <c r="W71" i="58"/>
  <c r="X71" i="58" s="1"/>
  <c r="AA70" i="58"/>
  <c r="Z70" i="58"/>
  <c r="Y70" i="58"/>
  <c r="W70" i="58"/>
  <c r="Q69" i="58"/>
  <c r="P69" i="58"/>
  <c r="O69" i="58"/>
  <c r="N69" i="58"/>
  <c r="M69" i="58"/>
  <c r="L69" i="58"/>
  <c r="K69" i="58"/>
  <c r="J69" i="58"/>
  <c r="I69" i="58"/>
  <c r="H69" i="58"/>
  <c r="G69" i="58"/>
  <c r="F69" i="58"/>
  <c r="E69" i="58"/>
  <c r="D69" i="58"/>
  <c r="AA68" i="58"/>
  <c r="AB68" i="58" s="1"/>
  <c r="Z68" i="58"/>
  <c r="Y68" i="58"/>
  <c r="W68" i="58"/>
  <c r="X68" i="58" s="1"/>
  <c r="AA67" i="58"/>
  <c r="AB67" i="58" s="1"/>
  <c r="Z67" i="58"/>
  <c r="Y67" i="58"/>
  <c r="W67" i="58"/>
  <c r="X67" i="58" s="1"/>
  <c r="AA66" i="58"/>
  <c r="AB66" i="58" s="1"/>
  <c r="Z66" i="58"/>
  <c r="Y66" i="58"/>
  <c r="W66" i="58"/>
  <c r="X66" i="58" s="1"/>
  <c r="AA65" i="58"/>
  <c r="AB65" i="58" s="1"/>
  <c r="Z65" i="58"/>
  <c r="Y65" i="58"/>
  <c r="W65" i="58"/>
  <c r="X65" i="58" s="1"/>
  <c r="AA64" i="58"/>
  <c r="AB64" i="58" s="1"/>
  <c r="Z64" i="58"/>
  <c r="Y64" i="58"/>
  <c r="W64" i="58"/>
  <c r="X64" i="58" s="1"/>
  <c r="AA63" i="58"/>
  <c r="AB63" i="58" s="1"/>
  <c r="Z63" i="58"/>
  <c r="Y63" i="58"/>
  <c r="W63" i="58"/>
  <c r="X63" i="58" s="1"/>
  <c r="Q62" i="58"/>
  <c r="P62" i="58"/>
  <c r="O62" i="58"/>
  <c r="N62" i="58"/>
  <c r="M62" i="58"/>
  <c r="L62" i="58"/>
  <c r="K62" i="58"/>
  <c r="J62" i="58"/>
  <c r="I62" i="58"/>
  <c r="H62" i="58"/>
  <c r="G62" i="58"/>
  <c r="F62" i="58"/>
  <c r="E62" i="58"/>
  <c r="D62" i="58"/>
  <c r="AA56" i="58"/>
  <c r="AB56" i="58" s="1"/>
  <c r="Z56" i="58"/>
  <c r="Y56" i="58"/>
  <c r="W56" i="58"/>
  <c r="X56" i="58" s="1"/>
  <c r="AA55" i="58"/>
  <c r="AB55" i="58" s="1"/>
  <c r="Z55" i="58"/>
  <c r="Y55" i="58"/>
  <c r="W55" i="58"/>
  <c r="X55" i="58" s="1"/>
  <c r="AA54" i="58"/>
  <c r="AB54" i="58" s="1"/>
  <c r="Z54" i="58"/>
  <c r="Y54" i="58"/>
  <c r="W54" i="58"/>
  <c r="X54" i="58" s="1"/>
  <c r="AA53" i="58"/>
  <c r="AB53" i="58" s="1"/>
  <c r="Z53" i="58"/>
  <c r="Y53" i="58"/>
  <c r="W53" i="58"/>
  <c r="X53" i="58" s="1"/>
  <c r="AA52" i="58"/>
  <c r="AB52" i="58" s="1"/>
  <c r="Z52" i="58"/>
  <c r="Y52" i="58"/>
  <c r="W52" i="58"/>
  <c r="X52" i="58" s="1"/>
  <c r="AA51" i="58"/>
  <c r="AB51" i="58" s="1"/>
  <c r="Z51" i="58"/>
  <c r="Y51" i="58"/>
  <c r="W51" i="58"/>
  <c r="X51" i="58" s="1"/>
  <c r="AA50" i="58"/>
  <c r="AB50" i="58" s="1"/>
  <c r="Z50" i="58"/>
  <c r="Y50" i="58"/>
  <c r="W50" i="58"/>
  <c r="X50" i="58" s="1"/>
  <c r="Q49" i="58"/>
  <c r="Q41" i="58" s="1"/>
  <c r="P49" i="58"/>
  <c r="P41" i="58" s="1"/>
  <c r="O49" i="58"/>
  <c r="O41" i="58" s="1"/>
  <c r="N49" i="58"/>
  <c r="N41" i="58" s="1"/>
  <c r="M49" i="58"/>
  <c r="M41" i="58" s="1"/>
  <c r="L49" i="58"/>
  <c r="L41" i="58" s="1"/>
  <c r="K49" i="58"/>
  <c r="K41" i="58" s="1"/>
  <c r="J49" i="58"/>
  <c r="J41" i="58" s="1"/>
  <c r="I49" i="58"/>
  <c r="I41" i="58" s="1"/>
  <c r="H49" i="58"/>
  <c r="H41" i="58" s="1"/>
  <c r="G49" i="58"/>
  <c r="G41" i="58" s="1"/>
  <c r="F49" i="58"/>
  <c r="F41" i="58" s="1"/>
  <c r="E49" i="58"/>
  <c r="E41" i="58" s="1"/>
  <c r="D49" i="58"/>
  <c r="D41" i="58" s="1"/>
  <c r="AB48" i="58"/>
  <c r="AA48" i="58"/>
  <c r="Z48" i="58"/>
  <c r="Y48" i="58"/>
  <c r="W48" i="58"/>
  <c r="X48" i="58" s="1"/>
  <c r="AB47" i="58"/>
  <c r="AA47" i="58"/>
  <c r="Z47" i="58"/>
  <c r="Y47" i="58"/>
  <c r="W47" i="58"/>
  <c r="X47" i="58" s="1"/>
  <c r="AB46" i="58"/>
  <c r="AA46" i="58"/>
  <c r="Z46" i="58"/>
  <c r="Y46" i="58"/>
  <c r="W46" i="58"/>
  <c r="X46" i="58" s="1"/>
  <c r="AB45" i="58"/>
  <c r="AA45" i="58"/>
  <c r="Z45" i="58"/>
  <c r="Y45" i="58"/>
  <c r="W45" i="58"/>
  <c r="X45" i="58" s="1"/>
  <c r="AB43" i="58"/>
  <c r="AA43" i="58"/>
  <c r="Z43" i="58"/>
  <c r="Y43" i="58"/>
  <c r="W43" i="58"/>
  <c r="X43" i="58" s="1"/>
  <c r="AB37" i="58"/>
  <c r="AA37" i="58"/>
  <c r="Z37" i="58"/>
  <c r="Y37" i="58"/>
  <c r="W37" i="58"/>
  <c r="X37" i="58" s="1"/>
  <c r="AB36" i="58"/>
  <c r="AA36" i="58"/>
  <c r="Z36" i="58"/>
  <c r="Y36" i="58"/>
  <c r="W36" i="58"/>
  <c r="X36" i="58" s="1"/>
  <c r="AB35" i="58"/>
  <c r="AA35" i="58"/>
  <c r="Z35" i="58"/>
  <c r="Y35" i="58"/>
  <c r="W35" i="58"/>
  <c r="X35" i="58" s="1"/>
  <c r="AB34" i="58"/>
  <c r="AA34" i="58"/>
  <c r="Z34" i="58"/>
  <c r="Y34" i="58"/>
  <c r="W34" i="58"/>
  <c r="X34" i="58" s="1"/>
  <c r="AB33" i="58"/>
  <c r="AA33" i="58"/>
  <c r="Z33" i="58"/>
  <c r="Y33" i="58"/>
  <c r="W33" i="58"/>
  <c r="X33" i="58" s="1"/>
  <c r="AB32" i="58"/>
  <c r="AA32" i="58"/>
  <c r="Z32" i="58"/>
  <c r="Y32" i="58"/>
  <c r="W32" i="58"/>
  <c r="X32" i="58" s="1"/>
  <c r="AB31" i="58"/>
  <c r="AA31" i="58"/>
  <c r="Z31" i="58"/>
  <c r="Y31" i="58"/>
  <c r="W31" i="58"/>
  <c r="X31" i="58" s="1"/>
  <c r="AB30" i="58"/>
  <c r="AA30" i="58"/>
  <c r="Z30" i="58"/>
  <c r="Y30" i="58"/>
  <c r="W30" i="58"/>
  <c r="X30" i="58" s="1"/>
  <c r="AB29" i="58"/>
  <c r="AA29" i="58"/>
  <c r="Z29" i="58"/>
  <c r="Y29" i="58"/>
  <c r="W29" i="58"/>
  <c r="X29" i="58" s="1"/>
  <c r="Q27" i="58"/>
  <c r="P27" i="58"/>
  <c r="O27" i="58"/>
  <c r="N27" i="58"/>
  <c r="M27" i="58"/>
  <c r="L27" i="58"/>
  <c r="K27" i="58"/>
  <c r="J27" i="58"/>
  <c r="I27" i="58"/>
  <c r="H27" i="58"/>
  <c r="G27" i="58"/>
  <c r="F27" i="58"/>
  <c r="E27" i="58"/>
  <c r="D27" i="58"/>
  <c r="AB25" i="58"/>
  <c r="AA25" i="58"/>
  <c r="Z25" i="58"/>
  <c r="Y25" i="58"/>
  <c r="W25" i="58"/>
  <c r="X25" i="58" s="1"/>
  <c r="AB24" i="58"/>
  <c r="AA24" i="58"/>
  <c r="Z24" i="58"/>
  <c r="Y24" i="58"/>
  <c r="W24" i="58"/>
  <c r="X24" i="58" s="1"/>
  <c r="AB23" i="58"/>
  <c r="AA23" i="58"/>
  <c r="Z23" i="58"/>
  <c r="Y23" i="58"/>
  <c r="W23" i="58"/>
  <c r="X23" i="58" s="1"/>
  <c r="AB22" i="58"/>
  <c r="AA22" i="58"/>
  <c r="Z22" i="58"/>
  <c r="Y22" i="58"/>
  <c r="W22" i="58"/>
  <c r="X22" i="58" s="1"/>
  <c r="AB21" i="58"/>
  <c r="AA21" i="58"/>
  <c r="Z21" i="58"/>
  <c r="Y21" i="58"/>
  <c r="W21" i="58"/>
  <c r="X21" i="58" s="1"/>
  <c r="AB20" i="58"/>
  <c r="AA20" i="58"/>
  <c r="Z20" i="58"/>
  <c r="Y20" i="58"/>
  <c r="W20" i="58"/>
  <c r="X20" i="58" s="1"/>
  <c r="AB19" i="58"/>
  <c r="AA19" i="58"/>
  <c r="Z19" i="58"/>
  <c r="Y19" i="58"/>
  <c r="W19" i="58"/>
  <c r="X19" i="58" s="1"/>
  <c r="AB18" i="58"/>
  <c r="AA18" i="58"/>
  <c r="Z18" i="58"/>
  <c r="Y18" i="58"/>
  <c r="W18" i="58"/>
  <c r="X18" i="58" s="1"/>
  <c r="Q17" i="58"/>
  <c r="P17" i="58"/>
  <c r="O17" i="58"/>
  <c r="N17" i="58"/>
  <c r="M17" i="58"/>
  <c r="L17" i="58"/>
  <c r="K17" i="58"/>
  <c r="J17" i="58"/>
  <c r="I17" i="58"/>
  <c r="H17" i="58"/>
  <c r="G17" i="58"/>
  <c r="F17" i="58"/>
  <c r="E17" i="58"/>
  <c r="D17" i="58"/>
  <c r="AB16" i="58"/>
  <c r="AA16" i="58"/>
  <c r="Z16" i="58"/>
  <c r="Y16" i="58"/>
  <c r="W16" i="58"/>
  <c r="X16" i="58" s="1"/>
  <c r="AB15" i="58"/>
  <c r="AA15" i="58"/>
  <c r="Z15" i="58"/>
  <c r="Y15" i="58"/>
  <c r="W15" i="58"/>
  <c r="X15" i="58" s="1"/>
  <c r="AB14" i="58"/>
  <c r="AA14" i="58"/>
  <c r="Z14" i="58"/>
  <c r="Y14" i="58"/>
  <c r="W14" i="58"/>
  <c r="X14" i="58" s="1"/>
  <c r="AB13" i="58"/>
  <c r="AA13" i="58"/>
  <c r="Z13" i="58"/>
  <c r="Y13" i="58"/>
  <c r="W13" i="58"/>
  <c r="X13" i="58" s="1"/>
  <c r="AB12" i="58"/>
  <c r="AA12" i="58"/>
  <c r="Z12" i="58"/>
  <c r="Y12" i="58"/>
  <c r="W12" i="58"/>
  <c r="X12" i="58" s="1"/>
  <c r="AB11" i="58"/>
  <c r="AA11" i="58"/>
  <c r="Z11" i="58"/>
  <c r="Y11" i="58"/>
  <c r="W11" i="58"/>
  <c r="X11" i="58" s="1"/>
  <c r="AB10" i="58"/>
  <c r="AA10" i="58"/>
  <c r="Z10" i="58"/>
  <c r="Y10" i="58"/>
  <c r="W10" i="58"/>
  <c r="X10" i="58" s="1"/>
  <c r="AB9" i="58"/>
  <c r="AA9" i="58"/>
  <c r="Z9" i="58"/>
  <c r="Y9" i="58"/>
  <c r="W9" i="58"/>
  <c r="Q8" i="58"/>
  <c r="P8" i="58"/>
  <c r="O8" i="58"/>
  <c r="N8" i="58"/>
  <c r="M8" i="58"/>
  <c r="L8" i="58"/>
  <c r="K8" i="58"/>
  <c r="J8" i="58"/>
  <c r="I8" i="58"/>
  <c r="H8" i="58"/>
  <c r="G8" i="58"/>
  <c r="F8" i="58"/>
  <c r="E8" i="58"/>
  <c r="D8" i="58"/>
  <c r="X130" i="57"/>
  <c r="Y130" i="57" s="1"/>
  <c r="Z130" i="57" s="1"/>
  <c r="W130" i="57"/>
  <c r="N130" i="57"/>
  <c r="O130" i="57" s="1"/>
  <c r="P130" i="57" s="1"/>
  <c r="X129" i="57"/>
  <c r="Y129" i="57" s="1"/>
  <c r="Z129" i="57" s="1"/>
  <c r="W129" i="57"/>
  <c r="N129" i="57"/>
  <c r="O129" i="57" s="1"/>
  <c r="P129" i="57" s="1"/>
  <c r="Q127" i="57"/>
  <c r="P127" i="57"/>
  <c r="O127" i="57"/>
  <c r="N127" i="57"/>
  <c r="M127" i="57"/>
  <c r="L127" i="57"/>
  <c r="AA125" i="57"/>
  <c r="AB125" i="57" s="1"/>
  <c r="Z125" i="57"/>
  <c r="Y125" i="57"/>
  <c r="W125" i="57"/>
  <c r="AA124" i="57"/>
  <c r="Z124" i="57"/>
  <c r="Y124" i="57"/>
  <c r="W124" i="57"/>
  <c r="X124" i="57" s="1"/>
  <c r="AA119" i="57"/>
  <c r="AB119" i="57" s="1"/>
  <c r="Z119" i="57"/>
  <c r="Y119" i="57"/>
  <c r="W119" i="57"/>
  <c r="X119" i="57" s="1"/>
  <c r="AA118" i="57"/>
  <c r="AB118" i="57" s="1"/>
  <c r="Z118" i="57"/>
  <c r="Y118" i="57"/>
  <c r="W118" i="57"/>
  <c r="X118" i="57" s="1"/>
  <c r="AA117" i="57"/>
  <c r="AB117" i="57" s="1"/>
  <c r="Z117" i="57"/>
  <c r="Y117" i="57"/>
  <c r="W117" i="57"/>
  <c r="X117" i="57" s="1"/>
  <c r="AA116" i="57"/>
  <c r="Z116" i="57"/>
  <c r="Y116" i="57"/>
  <c r="W116" i="57"/>
  <c r="X116" i="57" s="1"/>
  <c r="Q114" i="57"/>
  <c r="P114" i="57"/>
  <c r="O114" i="57"/>
  <c r="N114" i="57"/>
  <c r="M114" i="57"/>
  <c r="L114" i="57"/>
  <c r="K114" i="57"/>
  <c r="J114" i="57"/>
  <c r="I114" i="57"/>
  <c r="H114" i="57"/>
  <c r="G114" i="57"/>
  <c r="F114" i="57"/>
  <c r="E114" i="57"/>
  <c r="D114" i="57"/>
  <c r="AA110" i="57"/>
  <c r="AB110" i="57" s="1"/>
  <c r="Z110" i="57"/>
  <c r="Y110" i="57"/>
  <c r="W110" i="57"/>
  <c r="X110" i="57" s="1"/>
  <c r="AA109" i="57"/>
  <c r="AB109" i="57" s="1"/>
  <c r="Z109" i="57"/>
  <c r="Y109" i="57"/>
  <c r="W109" i="57"/>
  <c r="X109" i="57" s="1"/>
  <c r="AA108" i="57"/>
  <c r="AB108" i="57" s="1"/>
  <c r="Z108" i="57"/>
  <c r="Y108" i="57"/>
  <c r="W108" i="57"/>
  <c r="X108" i="57" s="1"/>
  <c r="AA107" i="57"/>
  <c r="AB107" i="57" s="1"/>
  <c r="Z107" i="57"/>
  <c r="Y107" i="57"/>
  <c r="W107" i="57"/>
  <c r="X107" i="57" s="1"/>
  <c r="AA106" i="57"/>
  <c r="AB106" i="57" s="1"/>
  <c r="Z106" i="57"/>
  <c r="Y106" i="57"/>
  <c r="W106" i="57"/>
  <c r="X106" i="57" s="1"/>
  <c r="AA105" i="57"/>
  <c r="AB105" i="57" s="1"/>
  <c r="Z105" i="57"/>
  <c r="Y105" i="57"/>
  <c r="W105" i="57"/>
  <c r="X105" i="57" s="1"/>
  <c r="AA104" i="57"/>
  <c r="AB104" i="57" s="1"/>
  <c r="Z104" i="57"/>
  <c r="Y104" i="57"/>
  <c r="W104" i="57"/>
  <c r="X104" i="57" s="1"/>
  <c r="AA103" i="57"/>
  <c r="AB103" i="57" s="1"/>
  <c r="Z103" i="57"/>
  <c r="Y103" i="57"/>
  <c r="W103" i="57"/>
  <c r="X103" i="57" s="1"/>
  <c r="AA102" i="57"/>
  <c r="AB102" i="57" s="1"/>
  <c r="Z102" i="57"/>
  <c r="Y102" i="57"/>
  <c r="W102" i="57"/>
  <c r="X102" i="57" s="1"/>
  <c r="AA101" i="57"/>
  <c r="Z101" i="57"/>
  <c r="Y101" i="57"/>
  <c r="W101" i="57"/>
  <c r="Q100" i="57"/>
  <c r="P100" i="57"/>
  <c r="O100" i="57"/>
  <c r="N100" i="57"/>
  <c r="M100" i="57"/>
  <c r="L100" i="57"/>
  <c r="K100" i="57"/>
  <c r="J100" i="57"/>
  <c r="I100" i="57"/>
  <c r="H100" i="57"/>
  <c r="G100" i="57"/>
  <c r="F100" i="57"/>
  <c r="E100" i="57"/>
  <c r="D100" i="57"/>
  <c r="AA99" i="57"/>
  <c r="AB99" i="57" s="1"/>
  <c r="Z99" i="57"/>
  <c r="Y99" i="57"/>
  <c r="W99" i="57"/>
  <c r="X99" i="57" s="1"/>
  <c r="AA98" i="57"/>
  <c r="AB98" i="57" s="1"/>
  <c r="Z98" i="57"/>
  <c r="Y98" i="57"/>
  <c r="W98" i="57"/>
  <c r="X98" i="57" s="1"/>
  <c r="AA97" i="57"/>
  <c r="AB97" i="57" s="1"/>
  <c r="Z97" i="57"/>
  <c r="W97" i="57"/>
  <c r="AA96" i="57"/>
  <c r="AB96" i="57" s="1"/>
  <c r="Z96" i="57"/>
  <c r="Y96" i="57"/>
  <c r="W96" i="57"/>
  <c r="X96" i="57" s="1"/>
  <c r="AA95" i="57"/>
  <c r="AB95" i="57" s="1"/>
  <c r="Z95" i="57"/>
  <c r="Y95" i="57"/>
  <c r="W95" i="57"/>
  <c r="AA94" i="57"/>
  <c r="AB94" i="57" s="1"/>
  <c r="Z94" i="57"/>
  <c r="Y94" i="57"/>
  <c r="W94" i="57"/>
  <c r="X94" i="57" s="1"/>
  <c r="AA93" i="57"/>
  <c r="AB93" i="57" s="1"/>
  <c r="Z93" i="57"/>
  <c r="Y93" i="57"/>
  <c r="W93" i="57"/>
  <c r="X93" i="57" s="1"/>
  <c r="AA92" i="57"/>
  <c r="AB92" i="57" s="1"/>
  <c r="Z92" i="57"/>
  <c r="Y92" i="57"/>
  <c r="W92" i="57"/>
  <c r="X92" i="57" s="1"/>
  <c r="AA91" i="57"/>
  <c r="AB91" i="57" s="1"/>
  <c r="Z91" i="57"/>
  <c r="Y91" i="57"/>
  <c r="W91" i="57"/>
  <c r="X91" i="57" s="1"/>
  <c r="Q90" i="57"/>
  <c r="P90" i="57"/>
  <c r="O90" i="57"/>
  <c r="N90" i="57"/>
  <c r="L90" i="57"/>
  <c r="K90" i="57"/>
  <c r="I90" i="57"/>
  <c r="H90" i="57"/>
  <c r="G90" i="57"/>
  <c r="F90" i="57"/>
  <c r="E90" i="57"/>
  <c r="D90" i="57"/>
  <c r="AB82" i="57"/>
  <c r="Z82" i="57"/>
  <c r="Y82" i="57"/>
  <c r="X82" i="57"/>
  <c r="AA81" i="57"/>
  <c r="AB81" i="57" s="1"/>
  <c r="Z81" i="57"/>
  <c r="Y81" i="57"/>
  <c r="W81" i="57"/>
  <c r="X81" i="57" s="1"/>
  <c r="AA80" i="57"/>
  <c r="AB80" i="57" s="1"/>
  <c r="Z80" i="57"/>
  <c r="Y80" i="57"/>
  <c r="W80" i="57"/>
  <c r="Q79" i="57"/>
  <c r="P79" i="57"/>
  <c r="O79" i="57"/>
  <c r="N79" i="57"/>
  <c r="M79" i="57"/>
  <c r="L79" i="57"/>
  <c r="K79" i="57"/>
  <c r="J79" i="57"/>
  <c r="I79" i="57"/>
  <c r="H79" i="57"/>
  <c r="G79" i="57"/>
  <c r="F79" i="57"/>
  <c r="E79" i="57"/>
  <c r="D79" i="57"/>
  <c r="AA78" i="57"/>
  <c r="AB78" i="57" s="1"/>
  <c r="Z78" i="57"/>
  <c r="Y78" i="57"/>
  <c r="W78" i="57"/>
  <c r="X78" i="57" s="1"/>
  <c r="AA77" i="57"/>
  <c r="AB77" i="57" s="1"/>
  <c r="Z77" i="57"/>
  <c r="Y77" i="57"/>
  <c r="W77" i="57"/>
  <c r="X77" i="57" s="1"/>
  <c r="AA76" i="57"/>
  <c r="AB76" i="57" s="1"/>
  <c r="Z76" i="57"/>
  <c r="Y76" i="57"/>
  <c r="W76" i="57"/>
  <c r="X76" i="57" s="1"/>
  <c r="AA75" i="57"/>
  <c r="AB75" i="57" s="1"/>
  <c r="Z75" i="57"/>
  <c r="Y75" i="57"/>
  <c r="W75" i="57"/>
  <c r="X75" i="57" s="1"/>
  <c r="AA74" i="57"/>
  <c r="AB74" i="57" s="1"/>
  <c r="Z74" i="57"/>
  <c r="Y74" i="57"/>
  <c r="W74" i="57"/>
  <c r="X74" i="57" s="1"/>
  <c r="AA73" i="57"/>
  <c r="AB73" i="57" s="1"/>
  <c r="Z73" i="57"/>
  <c r="Y73" i="57"/>
  <c r="W73" i="57"/>
  <c r="X73" i="57" s="1"/>
  <c r="AA72" i="57"/>
  <c r="AB72" i="57" s="1"/>
  <c r="Z72" i="57"/>
  <c r="Y72" i="57"/>
  <c r="W72" i="57"/>
  <c r="X72" i="57" s="1"/>
  <c r="AA71" i="57"/>
  <c r="AB71" i="57" s="1"/>
  <c r="Z71" i="57"/>
  <c r="Y71" i="57"/>
  <c r="W71" i="57"/>
  <c r="X71" i="57" s="1"/>
  <c r="AA70" i="57"/>
  <c r="AB70" i="57" s="1"/>
  <c r="Z70" i="57"/>
  <c r="Y70" i="57"/>
  <c r="W70" i="57"/>
  <c r="Q69" i="57"/>
  <c r="P69" i="57"/>
  <c r="O69" i="57"/>
  <c r="N69" i="57"/>
  <c r="M69" i="57"/>
  <c r="L69" i="57"/>
  <c r="K69" i="57"/>
  <c r="J69" i="57"/>
  <c r="I69" i="57"/>
  <c r="H69" i="57"/>
  <c r="G69" i="57"/>
  <c r="F69" i="57"/>
  <c r="E69" i="57"/>
  <c r="D69" i="57"/>
  <c r="AA68" i="57"/>
  <c r="AB68" i="57" s="1"/>
  <c r="Z68" i="57"/>
  <c r="Y68" i="57"/>
  <c r="W68" i="57"/>
  <c r="X68" i="57" s="1"/>
  <c r="AA67" i="57"/>
  <c r="AB67" i="57" s="1"/>
  <c r="Z67" i="57"/>
  <c r="Y67" i="57"/>
  <c r="W67" i="57"/>
  <c r="X67" i="57" s="1"/>
  <c r="AA66" i="57"/>
  <c r="AB66" i="57" s="1"/>
  <c r="Z66" i="57"/>
  <c r="Y66" i="57"/>
  <c r="W66" i="57"/>
  <c r="X66" i="57" s="1"/>
  <c r="AA65" i="57"/>
  <c r="AB65" i="57" s="1"/>
  <c r="Z65" i="57"/>
  <c r="Y65" i="57"/>
  <c r="W65" i="57"/>
  <c r="X65" i="57" s="1"/>
  <c r="AA64" i="57"/>
  <c r="AB64" i="57" s="1"/>
  <c r="Z64" i="57"/>
  <c r="Y64" i="57"/>
  <c r="W64" i="57"/>
  <c r="X64" i="57" s="1"/>
  <c r="AA63" i="57"/>
  <c r="AB63" i="57" s="1"/>
  <c r="Z63" i="57"/>
  <c r="Y63" i="57"/>
  <c r="W63" i="57"/>
  <c r="Q62" i="57"/>
  <c r="P62" i="57"/>
  <c r="O62" i="57"/>
  <c r="N62" i="57"/>
  <c r="M62" i="57"/>
  <c r="L62" i="57"/>
  <c r="K62" i="57"/>
  <c r="J62" i="57"/>
  <c r="I62" i="57"/>
  <c r="H62" i="57"/>
  <c r="G62" i="57"/>
  <c r="F62" i="57"/>
  <c r="E62" i="57"/>
  <c r="D62" i="57"/>
  <c r="AA56" i="57"/>
  <c r="AB56" i="57" s="1"/>
  <c r="Z56" i="57"/>
  <c r="Y56" i="57"/>
  <c r="W56" i="57"/>
  <c r="X56" i="57" s="1"/>
  <c r="AA55" i="57"/>
  <c r="AB55" i="57" s="1"/>
  <c r="Z55" i="57"/>
  <c r="Y55" i="57"/>
  <c r="W55" i="57"/>
  <c r="X55" i="57" s="1"/>
  <c r="AA54" i="57"/>
  <c r="AB54" i="57" s="1"/>
  <c r="Z54" i="57"/>
  <c r="Y54" i="57"/>
  <c r="W54" i="57"/>
  <c r="X54" i="57" s="1"/>
  <c r="AA53" i="57"/>
  <c r="AB53" i="57" s="1"/>
  <c r="Z53" i="57"/>
  <c r="Y53" i="57"/>
  <c r="W53" i="57"/>
  <c r="X53" i="57" s="1"/>
  <c r="AA52" i="57"/>
  <c r="AB52" i="57" s="1"/>
  <c r="Z52" i="57"/>
  <c r="Y52" i="57"/>
  <c r="W52" i="57"/>
  <c r="X52" i="57" s="1"/>
  <c r="AA51" i="57"/>
  <c r="Z51" i="57"/>
  <c r="Y51" i="57"/>
  <c r="W51" i="57"/>
  <c r="X51" i="57" s="1"/>
  <c r="AA50" i="57"/>
  <c r="AB50" i="57" s="1"/>
  <c r="Z50" i="57"/>
  <c r="Y50" i="57"/>
  <c r="W50" i="57"/>
  <c r="Q49" i="57"/>
  <c r="Q41" i="57" s="1"/>
  <c r="P49" i="57"/>
  <c r="P41" i="57" s="1"/>
  <c r="O49" i="57"/>
  <c r="O41" i="57" s="1"/>
  <c r="N49" i="57"/>
  <c r="N41" i="57" s="1"/>
  <c r="M49" i="57"/>
  <c r="M41" i="57" s="1"/>
  <c r="L49" i="57"/>
  <c r="L41" i="57" s="1"/>
  <c r="K49" i="57"/>
  <c r="K41" i="57" s="1"/>
  <c r="J49" i="57"/>
  <c r="J41" i="57" s="1"/>
  <c r="I49" i="57"/>
  <c r="I41" i="57" s="1"/>
  <c r="H49" i="57"/>
  <c r="H41" i="57" s="1"/>
  <c r="G49" i="57"/>
  <c r="G41" i="57" s="1"/>
  <c r="F49" i="57"/>
  <c r="F41" i="57" s="1"/>
  <c r="E49" i="57"/>
  <c r="E41" i="57" s="1"/>
  <c r="D49" i="57"/>
  <c r="D41" i="57" s="1"/>
  <c r="AB48" i="57"/>
  <c r="AA48" i="57"/>
  <c r="Z48" i="57"/>
  <c r="Y48" i="57"/>
  <c r="W48" i="57"/>
  <c r="X48" i="57" s="1"/>
  <c r="AB47" i="57"/>
  <c r="AA47" i="57"/>
  <c r="Z47" i="57"/>
  <c r="Y47" i="57"/>
  <c r="W47" i="57"/>
  <c r="X47" i="57" s="1"/>
  <c r="AB46" i="57"/>
  <c r="AA46" i="57"/>
  <c r="Z46" i="57"/>
  <c r="Y46" i="57"/>
  <c r="W46" i="57"/>
  <c r="X46" i="57" s="1"/>
  <c r="AB45" i="57"/>
  <c r="AA45" i="57"/>
  <c r="Z45" i="57"/>
  <c r="Y45" i="57"/>
  <c r="W45" i="57"/>
  <c r="X45" i="57" s="1"/>
  <c r="AB43" i="57"/>
  <c r="AA43" i="57"/>
  <c r="Z43" i="57"/>
  <c r="Y43" i="57"/>
  <c r="W43" i="57"/>
  <c r="X43" i="57" s="1"/>
  <c r="AB37" i="57"/>
  <c r="AA37" i="57"/>
  <c r="Z37" i="57"/>
  <c r="Y37" i="57"/>
  <c r="W37" i="57"/>
  <c r="X37" i="57" s="1"/>
  <c r="AB36" i="57"/>
  <c r="AA36" i="57"/>
  <c r="Z36" i="57"/>
  <c r="Y36" i="57"/>
  <c r="W36" i="57"/>
  <c r="X36" i="57" s="1"/>
  <c r="AB35" i="57"/>
  <c r="AA35" i="57"/>
  <c r="Z35" i="57"/>
  <c r="Y35" i="57"/>
  <c r="W35" i="57"/>
  <c r="X35" i="57" s="1"/>
  <c r="AB34" i="57"/>
  <c r="AA34" i="57"/>
  <c r="Z34" i="57"/>
  <c r="Y34" i="57"/>
  <c r="W34" i="57"/>
  <c r="X34" i="57" s="1"/>
  <c r="AB33" i="57"/>
  <c r="AA33" i="57"/>
  <c r="Z33" i="57"/>
  <c r="Y33" i="57"/>
  <c r="W33" i="57"/>
  <c r="X33" i="57" s="1"/>
  <c r="AB32" i="57"/>
  <c r="AA32" i="57"/>
  <c r="Z32" i="57"/>
  <c r="Y32" i="57"/>
  <c r="W32" i="57"/>
  <c r="X32" i="57" s="1"/>
  <c r="AB31" i="57"/>
  <c r="AA31" i="57"/>
  <c r="Z31" i="57"/>
  <c r="Y31" i="57"/>
  <c r="W31" i="57"/>
  <c r="X31" i="57" s="1"/>
  <c r="AB30" i="57"/>
  <c r="AA30" i="57"/>
  <c r="Z30" i="57"/>
  <c r="Y30" i="57"/>
  <c r="W30" i="57"/>
  <c r="X30" i="57" s="1"/>
  <c r="AB29" i="57"/>
  <c r="AA29" i="57"/>
  <c r="Z29" i="57"/>
  <c r="Y29" i="57"/>
  <c r="W29" i="57"/>
  <c r="Q27" i="57"/>
  <c r="P27" i="57"/>
  <c r="O27" i="57"/>
  <c r="N27" i="57"/>
  <c r="M27" i="57"/>
  <c r="L27" i="57"/>
  <c r="K27" i="57"/>
  <c r="J27" i="57"/>
  <c r="I27" i="57"/>
  <c r="H27" i="57"/>
  <c r="G27" i="57"/>
  <c r="F27" i="57"/>
  <c r="E27" i="57"/>
  <c r="D27" i="57"/>
  <c r="AB25" i="57"/>
  <c r="AA25" i="57"/>
  <c r="Z25" i="57"/>
  <c r="Y25" i="57"/>
  <c r="W25" i="57"/>
  <c r="X25" i="57" s="1"/>
  <c r="AB24" i="57"/>
  <c r="AA24" i="57"/>
  <c r="Z24" i="57"/>
  <c r="Y24" i="57"/>
  <c r="W24" i="57"/>
  <c r="X24" i="57" s="1"/>
  <c r="AB23" i="57"/>
  <c r="AA23" i="57"/>
  <c r="Z23" i="57"/>
  <c r="Y23" i="57"/>
  <c r="W23" i="57"/>
  <c r="X23" i="57" s="1"/>
  <c r="AB22" i="57"/>
  <c r="AA22" i="57"/>
  <c r="Z22" i="57"/>
  <c r="Y22" i="57"/>
  <c r="W22" i="57"/>
  <c r="X22" i="57" s="1"/>
  <c r="AB21" i="57"/>
  <c r="AA21" i="57"/>
  <c r="Z21" i="57"/>
  <c r="Y21" i="57"/>
  <c r="W21" i="57"/>
  <c r="X21" i="57" s="1"/>
  <c r="AB20" i="57"/>
  <c r="AA20" i="57"/>
  <c r="Z20" i="57"/>
  <c r="Y20" i="57"/>
  <c r="W20" i="57"/>
  <c r="X20" i="57" s="1"/>
  <c r="AB19" i="57"/>
  <c r="AA19" i="57"/>
  <c r="Z19" i="57"/>
  <c r="Y19" i="57"/>
  <c r="W19" i="57"/>
  <c r="AB18" i="57"/>
  <c r="AA18" i="57"/>
  <c r="Z18" i="57"/>
  <c r="Y18" i="57"/>
  <c r="W18" i="57"/>
  <c r="X18" i="57" s="1"/>
  <c r="Q17" i="57"/>
  <c r="P17" i="57"/>
  <c r="O17" i="57"/>
  <c r="N17" i="57"/>
  <c r="M17" i="57"/>
  <c r="L17" i="57"/>
  <c r="K17" i="57"/>
  <c r="J17" i="57"/>
  <c r="I17" i="57"/>
  <c r="H17" i="57"/>
  <c r="G17" i="57"/>
  <c r="F17" i="57"/>
  <c r="E17" i="57"/>
  <c r="D17" i="57"/>
  <c r="AB16" i="57"/>
  <c r="AA16" i="57"/>
  <c r="Z16" i="57"/>
  <c r="Y16" i="57"/>
  <c r="W16" i="57"/>
  <c r="X16" i="57" s="1"/>
  <c r="AB15" i="57"/>
  <c r="AA15" i="57"/>
  <c r="Z15" i="57"/>
  <c r="Y15" i="57"/>
  <c r="W15" i="57"/>
  <c r="X15" i="57" s="1"/>
  <c r="AB14" i="57"/>
  <c r="AA14" i="57"/>
  <c r="Z14" i="57"/>
  <c r="Y14" i="57"/>
  <c r="W14" i="57"/>
  <c r="X14" i="57" s="1"/>
  <c r="AB13" i="57"/>
  <c r="AA13" i="57"/>
  <c r="Z13" i="57"/>
  <c r="Y13" i="57"/>
  <c r="W13" i="57"/>
  <c r="X13" i="57" s="1"/>
  <c r="AB12" i="57"/>
  <c r="AA12" i="57"/>
  <c r="Z12" i="57"/>
  <c r="Y12" i="57"/>
  <c r="W12" i="57"/>
  <c r="X12" i="57" s="1"/>
  <c r="AB11" i="57"/>
  <c r="AA11" i="57"/>
  <c r="Z11" i="57"/>
  <c r="Y11" i="57"/>
  <c r="W11" i="57"/>
  <c r="X11" i="57" s="1"/>
  <c r="AB10" i="57"/>
  <c r="AA10" i="57"/>
  <c r="Z10" i="57"/>
  <c r="Y10" i="57"/>
  <c r="W10" i="57"/>
  <c r="X10" i="57" s="1"/>
  <c r="AB9" i="57"/>
  <c r="AA9" i="57"/>
  <c r="Z9" i="57"/>
  <c r="Y9" i="57"/>
  <c r="W9" i="57"/>
  <c r="Q8" i="57"/>
  <c r="P8" i="57"/>
  <c r="O8" i="57"/>
  <c r="N8" i="57"/>
  <c r="M8" i="57"/>
  <c r="L8" i="57"/>
  <c r="K8" i="57"/>
  <c r="J8" i="57"/>
  <c r="I8" i="57"/>
  <c r="H8" i="57"/>
  <c r="G8" i="57"/>
  <c r="F8" i="57"/>
  <c r="E8" i="57"/>
  <c r="D8" i="57"/>
  <c r="K130" i="56"/>
  <c r="L130" i="56" s="1"/>
  <c r="M130" i="56" s="1"/>
  <c r="N130" i="56" s="1"/>
  <c r="O130" i="56" s="1"/>
  <c r="P130" i="56" s="1"/>
  <c r="AA130" i="56" s="1"/>
  <c r="AB130" i="56" s="1"/>
  <c r="AC130" i="56" s="1"/>
  <c r="AD130" i="56" s="1"/>
  <c r="K129" i="56"/>
  <c r="L129" i="56" s="1"/>
  <c r="Q127" i="56"/>
  <c r="P127" i="56"/>
  <c r="O127" i="56"/>
  <c r="N127" i="56"/>
  <c r="M127" i="56"/>
  <c r="L127" i="56"/>
  <c r="AA125" i="56"/>
  <c r="AB125" i="56" s="1"/>
  <c r="Z125" i="56"/>
  <c r="Y125" i="56"/>
  <c r="W125" i="56"/>
  <c r="X125" i="56" s="1"/>
  <c r="AA124" i="56"/>
  <c r="Z124" i="56"/>
  <c r="Y124" i="56"/>
  <c r="W124" i="56"/>
  <c r="X124" i="56" s="1"/>
  <c r="AA119" i="56"/>
  <c r="AB119" i="56" s="1"/>
  <c r="Z119" i="56"/>
  <c r="Y119" i="56"/>
  <c r="W119" i="56"/>
  <c r="X119" i="56" s="1"/>
  <c r="AA118" i="56"/>
  <c r="AB118" i="56" s="1"/>
  <c r="Z118" i="56"/>
  <c r="Y118" i="56"/>
  <c r="W118" i="56"/>
  <c r="X118" i="56" s="1"/>
  <c r="AA117" i="56"/>
  <c r="AB117" i="56" s="1"/>
  <c r="Z117" i="56"/>
  <c r="Y117" i="56"/>
  <c r="W117" i="56"/>
  <c r="X117" i="56" s="1"/>
  <c r="AA116" i="56"/>
  <c r="Z116" i="56"/>
  <c r="Y116" i="56"/>
  <c r="W116" i="56"/>
  <c r="Q114" i="56"/>
  <c r="P114" i="56"/>
  <c r="O114" i="56"/>
  <c r="N114" i="56"/>
  <c r="M114" i="56"/>
  <c r="L114" i="56"/>
  <c r="K114" i="56"/>
  <c r="J114" i="56"/>
  <c r="I114" i="56"/>
  <c r="H114" i="56"/>
  <c r="G114" i="56"/>
  <c r="F114" i="56"/>
  <c r="E114" i="56"/>
  <c r="D114" i="56"/>
  <c r="AA110" i="56"/>
  <c r="AB110" i="56" s="1"/>
  <c r="Z110" i="56"/>
  <c r="Y110" i="56"/>
  <c r="W110" i="56"/>
  <c r="X110" i="56" s="1"/>
  <c r="AA109" i="56"/>
  <c r="AB109" i="56" s="1"/>
  <c r="Z109" i="56"/>
  <c r="Y109" i="56"/>
  <c r="W109" i="56"/>
  <c r="X109" i="56" s="1"/>
  <c r="AA108" i="56"/>
  <c r="AB108" i="56" s="1"/>
  <c r="Z108" i="56"/>
  <c r="Y108" i="56"/>
  <c r="W108" i="56"/>
  <c r="X108" i="56" s="1"/>
  <c r="AA107" i="56"/>
  <c r="AB107" i="56" s="1"/>
  <c r="Z107" i="56"/>
  <c r="Y107" i="56"/>
  <c r="W107" i="56"/>
  <c r="X107" i="56" s="1"/>
  <c r="AA106" i="56"/>
  <c r="AB106" i="56" s="1"/>
  <c r="Z106" i="56"/>
  <c r="Y106" i="56"/>
  <c r="W106" i="56"/>
  <c r="X106" i="56" s="1"/>
  <c r="AA105" i="56"/>
  <c r="AB105" i="56" s="1"/>
  <c r="Z105" i="56"/>
  <c r="Y105" i="56"/>
  <c r="W105" i="56"/>
  <c r="X105" i="56" s="1"/>
  <c r="AA104" i="56"/>
  <c r="AB104" i="56" s="1"/>
  <c r="Z104" i="56"/>
  <c r="Y104" i="56"/>
  <c r="W104" i="56"/>
  <c r="X104" i="56" s="1"/>
  <c r="AA103" i="56"/>
  <c r="AB103" i="56" s="1"/>
  <c r="Z103" i="56"/>
  <c r="Y103" i="56"/>
  <c r="W103" i="56"/>
  <c r="X103" i="56" s="1"/>
  <c r="AA102" i="56"/>
  <c r="AB102" i="56" s="1"/>
  <c r="Z102" i="56"/>
  <c r="Y102" i="56"/>
  <c r="W102" i="56"/>
  <c r="X102" i="56" s="1"/>
  <c r="AA101" i="56"/>
  <c r="Z101" i="56"/>
  <c r="Y101" i="56"/>
  <c r="W101" i="56"/>
  <c r="X101" i="56" s="1"/>
  <c r="Q100" i="56"/>
  <c r="P100" i="56"/>
  <c r="O100" i="56"/>
  <c r="N100" i="56"/>
  <c r="M100" i="56"/>
  <c r="L100" i="56"/>
  <c r="K100" i="56"/>
  <c r="J100" i="56"/>
  <c r="I100" i="56"/>
  <c r="H100" i="56"/>
  <c r="G100" i="56"/>
  <c r="F100" i="56"/>
  <c r="E100" i="56"/>
  <c r="D100" i="56"/>
  <c r="AA99" i="56"/>
  <c r="AB99" i="56" s="1"/>
  <c r="Z99" i="56"/>
  <c r="Y99" i="56"/>
  <c r="W99" i="56"/>
  <c r="X99" i="56" s="1"/>
  <c r="AA98" i="56"/>
  <c r="AB98" i="56" s="1"/>
  <c r="Z98" i="56"/>
  <c r="Y98" i="56"/>
  <c r="W98" i="56"/>
  <c r="X98" i="56" s="1"/>
  <c r="AA97" i="56"/>
  <c r="AB97" i="56" s="1"/>
  <c r="Z97" i="56"/>
  <c r="Y97" i="56"/>
  <c r="W97" i="56"/>
  <c r="X97" i="56" s="1"/>
  <c r="AA96" i="56"/>
  <c r="AB96" i="56" s="1"/>
  <c r="Z96" i="56"/>
  <c r="Y96" i="56"/>
  <c r="W96" i="56"/>
  <c r="X96" i="56" s="1"/>
  <c r="AA95" i="56"/>
  <c r="AB95" i="56" s="1"/>
  <c r="Z95" i="56"/>
  <c r="Y95" i="56"/>
  <c r="W95" i="56"/>
  <c r="X95" i="56" s="1"/>
  <c r="AA94" i="56"/>
  <c r="AB94" i="56" s="1"/>
  <c r="Z94" i="56"/>
  <c r="Y94" i="56"/>
  <c r="W94" i="56"/>
  <c r="X94" i="56" s="1"/>
  <c r="AA93" i="56"/>
  <c r="AB93" i="56" s="1"/>
  <c r="Z93" i="56"/>
  <c r="Y93" i="56"/>
  <c r="W93" i="56"/>
  <c r="X93" i="56" s="1"/>
  <c r="AA92" i="56"/>
  <c r="AB92" i="56" s="1"/>
  <c r="Z92" i="56"/>
  <c r="Y92" i="56"/>
  <c r="W92" i="56"/>
  <c r="X92" i="56" s="1"/>
  <c r="AA91" i="56"/>
  <c r="Z91" i="56"/>
  <c r="Y91" i="56"/>
  <c r="W91" i="56"/>
  <c r="X91" i="56" s="1"/>
  <c r="Q90" i="56"/>
  <c r="P90" i="56"/>
  <c r="O90" i="56"/>
  <c r="N90" i="56"/>
  <c r="M90" i="56"/>
  <c r="L90" i="56"/>
  <c r="K90" i="56"/>
  <c r="J90" i="56"/>
  <c r="I90" i="56"/>
  <c r="H90" i="56"/>
  <c r="G90" i="56"/>
  <c r="F90" i="56"/>
  <c r="E90" i="56"/>
  <c r="D90" i="56"/>
  <c r="AB82" i="56"/>
  <c r="Z82" i="56"/>
  <c r="Y82" i="56"/>
  <c r="X82" i="56"/>
  <c r="AA81" i="56"/>
  <c r="AB81" i="56" s="1"/>
  <c r="Z81" i="56"/>
  <c r="Y81" i="56"/>
  <c r="W81" i="56"/>
  <c r="X81" i="56" s="1"/>
  <c r="AA80" i="56"/>
  <c r="AB80" i="56" s="1"/>
  <c r="Z80" i="56"/>
  <c r="Y80" i="56"/>
  <c r="W80" i="56"/>
  <c r="X80" i="56" s="1"/>
  <c r="Q79" i="56"/>
  <c r="P79" i="56"/>
  <c r="O79" i="56"/>
  <c r="N79" i="56"/>
  <c r="M79" i="56"/>
  <c r="L79" i="56"/>
  <c r="K79" i="56"/>
  <c r="J79" i="56"/>
  <c r="I79" i="56"/>
  <c r="H79" i="56"/>
  <c r="G79" i="56"/>
  <c r="F79" i="56"/>
  <c r="E79" i="56"/>
  <c r="D79" i="56"/>
  <c r="AA78" i="56"/>
  <c r="AB78" i="56" s="1"/>
  <c r="Z78" i="56"/>
  <c r="Y78" i="56"/>
  <c r="W78" i="56"/>
  <c r="AA77" i="56"/>
  <c r="AB77" i="56" s="1"/>
  <c r="Z77" i="56"/>
  <c r="Y77" i="56"/>
  <c r="W77" i="56"/>
  <c r="X77" i="56" s="1"/>
  <c r="AA76" i="56"/>
  <c r="AB76" i="56" s="1"/>
  <c r="Z76" i="56"/>
  <c r="Y76" i="56"/>
  <c r="W76" i="56"/>
  <c r="X76" i="56" s="1"/>
  <c r="AA75" i="56"/>
  <c r="AB75" i="56" s="1"/>
  <c r="Z75" i="56"/>
  <c r="Y75" i="56"/>
  <c r="W75" i="56"/>
  <c r="X75" i="56" s="1"/>
  <c r="AA74" i="56"/>
  <c r="AB74" i="56" s="1"/>
  <c r="Z74" i="56"/>
  <c r="Y74" i="56"/>
  <c r="W74" i="56"/>
  <c r="X74" i="56" s="1"/>
  <c r="AA73" i="56"/>
  <c r="AB73" i="56" s="1"/>
  <c r="Z73" i="56"/>
  <c r="Y73" i="56"/>
  <c r="W73" i="56"/>
  <c r="X73" i="56" s="1"/>
  <c r="AA72" i="56"/>
  <c r="AB72" i="56" s="1"/>
  <c r="Z72" i="56"/>
  <c r="Y72" i="56"/>
  <c r="W72" i="56"/>
  <c r="X72" i="56" s="1"/>
  <c r="AA71" i="56"/>
  <c r="AB71" i="56" s="1"/>
  <c r="Z71" i="56"/>
  <c r="Y71" i="56"/>
  <c r="W71" i="56"/>
  <c r="AA70" i="56"/>
  <c r="Z70" i="56"/>
  <c r="Y70" i="56"/>
  <c r="W70" i="56"/>
  <c r="X70" i="56" s="1"/>
  <c r="Q69" i="56"/>
  <c r="P69" i="56"/>
  <c r="O69" i="56"/>
  <c r="N69" i="56"/>
  <c r="M69" i="56"/>
  <c r="L69" i="56"/>
  <c r="K69" i="56"/>
  <c r="J69" i="56"/>
  <c r="I69" i="56"/>
  <c r="H69" i="56"/>
  <c r="G69" i="56"/>
  <c r="F69" i="56"/>
  <c r="E69" i="56"/>
  <c r="D69" i="56"/>
  <c r="AA68" i="56"/>
  <c r="AB68" i="56" s="1"/>
  <c r="Z68" i="56"/>
  <c r="Y68" i="56"/>
  <c r="W68" i="56"/>
  <c r="X68" i="56" s="1"/>
  <c r="AA67" i="56"/>
  <c r="AB67" i="56" s="1"/>
  <c r="Z67" i="56"/>
  <c r="Y67" i="56"/>
  <c r="W67" i="56"/>
  <c r="X67" i="56" s="1"/>
  <c r="AA66" i="56"/>
  <c r="AB66" i="56" s="1"/>
  <c r="Z66" i="56"/>
  <c r="Y66" i="56"/>
  <c r="W66" i="56"/>
  <c r="X66" i="56" s="1"/>
  <c r="AA65" i="56"/>
  <c r="AB65" i="56" s="1"/>
  <c r="Z65" i="56"/>
  <c r="Y65" i="56"/>
  <c r="W65" i="56"/>
  <c r="X65" i="56" s="1"/>
  <c r="AA64" i="56"/>
  <c r="AB64" i="56" s="1"/>
  <c r="Z64" i="56"/>
  <c r="Y64" i="56"/>
  <c r="W64" i="56"/>
  <c r="X64" i="56" s="1"/>
  <c r="AA63" i="56"/>
  <c r="AB63" i="56" s="1"/>
  <c r="Z63" i="56"/>
  <c r="Y63" i="56"/>
  <c r="W63" i="56"/>
  <c r="Q62" i="56"/>
  <c r="P62" i="56"/>
  <c r="O62" i="56"/>
  <c r="N62" i="56"/>
  <c r="M62" i="56"/>
  <c r="L62" i="56"/>
  <c r="K62" i="56"/>
  <c r="J62" i="56"/>
  <c r="I62" i="56"/>
  <c r="H62" i="56"/>
  <c r="G62" i="56"/>
  <c r="F62" i="56"/>
  <c r="E62" i="56"/>
  <c r="D62" i="56"/>
  <c r="AA56" i="56"/>
  <c r="AB56" i="56" s="1"/>
  <c r="Z56" i="56"/>
  <c r="Y56" i="56"/>
  <c r="W56" i="56"/>
  <c r="X56" i="56" s="1"/>
  <c r="AA55" i="56"/>
  <c r="AB55" i="56" s="1"/>
  <c r="Z55" i="56"/>
  <c r="Y55" i="56"/>
  <c r="W55" i="56"/>
  <c r="X55" i="56" s="1"/>
  <c r="AA54" i="56"/>
  <c r="AB54" i="56" s="1"/>
  <c r="Z54" i="56"/>
  <c r="Y54" i="56"/>
  <c r="W54" i="56"/>
  <c r="X54" i="56" s="1"/>
  <c r="AA53" i="56"/>
  <c r="AB53" i="56" s="1"/>
  <c r="Z53" i="56"/>
  <c r="Y53" i="56"/>
  <c r="W53" i="56"/>
  <c r="X53" i="56" s="1"/>
  <c r="AA52" i="56"/>
  <c r="AB52" i="56" s="1"/>
  <c r="Z52" i="56"/>
  <c r="Y52" i="56"/>
  <c r="W52" i="56"/>
  <c r="X52" i="56" s="1"/>
  <c r="AA51" i="56"/>
  <c r="AB51" i="56" s="1"/>
  <c r="Z51" i="56"/>
  <c r="Y51" i="56"/>
  <c r="W51" i="56"/>
  <c r="X51" i="56" s="1"/>
  <c r="AA50" i="56"/>
  <c r="Z50" i="56"/>
  <c r="Y50" i="56"/>
  <c r="W50" i="56"/>
  <c r="X50" i="56" s="1"/>
  <c r="Q49" i="56"/>
  <c r="Q41" i="56" s="1"/>
  <c r="P49" i="56"/>
  <c r="P41" i="56" s="1"/>
  <c r="O49" i="56"/>
  <c r="O41" i="56" s="1"/>
  <c r="N49" i="56"/>
  <c r="N41" i="56" s="1"/>
  <c r="M49" i="56"/>
  <c r="M41" i="56" s="1"/>
  <c r="L49" i="56"/>
  <c r="L41" i="56" s="1"/>
  <c r="K49" i="56"/>
  <c r="K41" i="56" s="1"/>
  <c r="J49" i="56"/>
  <c r="J41" i="56" s="1"/>
  <c r="I49" i="56"/>
  <c r="I41" i="56" s="1"/>
  <c r="H49" i="56"/>
  <c r="H41" i="56" s="1"/>
  <c r="G49" i="56"/>
  <c r="G41" i="56" s="1"/>
  <c r="F49" i="56"/>
  <c r="F41" i="56" s="1"/>
  <c r="E49" i="56"/>
  <c r="E41" i="56" s="1"/>
  <c r="D49" i="56"/>
  <c r="D41" i="56" s="1"/>
  <c r="AB48" i="56"/>
  <c r="AA48" i="56"/>
  <c r="Z48" i="56"/>
  <c r="Y48" i="56"/>
  <c r="W48" i="56"/>
  <c r="X48" i="56" s="1"/>
  <c r="AB47" i="56"/>
  <c r="AA47" i="56"/>
  <c r="Z47" i="56"/>
  <c r="Y47" i="56"/>
  <c r="W47" i="56"/>
  <c r="X47" i="56" s="1"/>
  <c r="AB46" i="56"/>
  <c r="AA46" i="56"/>
  <c r="Z46" i="56"/>
  <c r="Y46" i="56"/>
  <c r="W46" i="56"/>
  <c r="X46" i="56" s="1"/>
  <c r="AB45" i="56"/>
  <c r="AA45" i="56"/>
  <c r="Z45" i="56"/>
  <c r="Y45" i="56"/>
  <c r="W45" i="56"/>
  <c r="X45" i="56" s="1"/>
  <c r="AB43" i="56"/>
  <c r="AA43" i="56"/>
  <c r="Z43" i="56"/>
  <c r="Y43" i="56"/>
  <c r="W43" i="56"/>
  <c r="AB37" i="56"/>
  <c r="AA37" i="56"/>
  <c r="Z37" i="56"/>
  <c r="Y37" i="56"/>
  <c r="W37" i="56"/>
  <c r="X37" i="56" s="1"/>
  <c r="AB36" i="56"/>
  <c r="AA36" i="56"/>
  <c r="Z36" i="56"/>
  <c r="Y36" i="56"/>
  <c r="W36" i="56"/>
  <c r="X36" i="56" s="1"/>
  <c r="AB35" i="56"/>
  <c r="AA35" i="56"/>
  <c r="Z35" i="56"/>
  <c r="Y35" i="56"/>
  <c r="W35" i="56"/>
  <c r="X35" i="56" s="1"/>
  <c r="AB34" i="56"/>
  <c r="AA34" i="56"/>
  <c r="Z34" i="56"/>
  <c r="Y34" i="56"/>
  <c r="W34" i="56"/>
  <c r="X34" i="56" s="1"/>
  <c r="AB33" i="56"/>
  <c r="AA33" i="56"/>
  <c r="Z33" i="56"/>
  <c r="Y33" i="56"/>
  <c r="W33" i="56"/>
  <c r="X33" i="56" s="1"/>
  <c r="AB32" i="56"/>
  <c r="AA32" i="56"/>
  <c r="Z32" i="56"/>
  <c r="Y32" i="56"/>
  <c r="W32" i="56"/>
  <c r="X32" i="56" s="1"/>
  <c r="AB31" i="56"/>
  <c r="AA31" i="56"/>
  <c r="Z31" i="56"/>
  <c r="Y31" i="56"/>
  <c r="W31" i="56"/>
  <c r="X31" i="56" s="1"/>
  <c r="AB30" i="56"/>
  <c r="AA30" i="56"/>
  <c r="Z30" i="56"/>
  <c r="Y30" i="56"/>
  <c r="W30" i="56"/>
  <c r="AB29" i="56"/>
  <c r="AA29" i="56"/>
  <c r="Z29" i="56"/>
  <c r="Y29" i="56"/>
  <c r="W29" i="56"/>
  <c r="X29" i="56" s="1"/>
  <c r="Q27" i="56"/>
  <c r="P27" i="56"/>
  <c r="O27" i="56"/>
  <c r="N27" i="56"/>
  <c r="M27" i="56"/>
  <c r="L27" i="56"/>
  <c r="K27" i="56"/>
  <c r="J27" i="56"/>
  <c r="I27" i="56"/>
  <c r="H27" i="56"/>
  <c r="G27" i="56"/>
  <c r="F27" i="56"/>
  <c r="E27" i="56"/>
  <c r="D27" i="56"/>
  <c r="AB25" i="56"/>
  <c r="AA25" i="56"/>
  <c r="Z25" i="56"/>
  <c r="Y25" i="56"/>
  <c r="W25" i="56"/>
  <c r="X25" i="56" s="1"/>
  <c r="AB24" i="56"/>
  <c r="AA24" i="56"/>
  <c r="Z24" i="56"/>
  <c r="Y24" i="56"/>
  <c r="W24" i="56"/>
  <c r="X24" i="56" s="1"/>
  <c r="AB23" i="56"/>
  <c r="AA23" i="56"/>
  <c r="Z23" i="56"/>
  <c r="Y23" i="56"/>
  <c r="W23" i="56"/>
  <c r="X23" i="56" s="1"/>
  <c r="AB22" i="56"/>
  <c r="AA22" i="56"/>
  <c r="Z22" i="56"/>
  <c r="Y22" i="56"/>
  <c r="W22" i="56"/>
  <c r="X22" i="56" s="1"/>
  <c r="AB21" i="56"/>
  <c r="AA21" i="56"/>
  <c r="Z21" i="56"/>
  <c r="Y21" i="56"/>
  <c r="W21" i="56"/>
  <c r="X21" i="56" s="1"/>
  <c r="AB20" i="56"/>
  <c r="AA20" i="56"/>
  <c r="Z20" i="56"/>
  <c r="Y20" i="56"/>
  <c r="W20" i="56"/>
  <c r="X20" i="56" s="1"/>
  <c r="AB19" i="56"/>
  <c r="AA19" i="56"/>
  <c r="Z19" i="56"/>
  <c r="Y19" i="56"/>
  <c r="W19" i="56"/>
  <c r="X19" i="56" s="1"/>
  <c r="AB18" i="56"/>
  <c r="AA18" i="56"/>
  <c r="Z18" i="56"/>
  <c r="Y18" i="56"/>
  <c r="W18" i="56"/>
  <c r="X18" i="56" s="1"/>
  <c r="Q17" i="56"/>
  <c r="P17" i="56"/>
  <c r="O17" i="56"/>
  <c r="N17" i="56"/>
  <c r="M17" i="56"/>
  <c r="L17" i="56"/>
  <c r="K17" i="56"/>
  <c r="J17" i="56"/>
  <c r="I17" i="56"/>
  <c r="H17" i="56"/>
  <c r="G17" i="56"/>
  <c r="F17" i="56"/>
  <c r="E17" i="56"/>
  <c r="D17" i="56"/>
  <c r="AB16" i="56"/>
  <c r="AA16" i="56"/>
  <c r="Z16" i="56"/>
  <c r="Y16" i="56"/>
  <c r="W16" i="56"/>
  <c r="X16" i="56" s="1"/>
  <c r="AB15" i="56"/>
  <c r="AA15" i="56"/>
  <c r="Z15" i="56"/>
  <c r="Y15" i="56"/>
  <c r="W15" i="56"/>
  <c r="X15" i="56" s="1"/>
  <c r="AB14" i="56"/>
  <c r="AA14" i="56"/>
  <c r="Z14" i="56"/>
  <c r="Y14" i="56"/>
  <c r="W14" i="56"/>
  <c r="X14" i="56" s="1"/>
  <c r="AB13" i="56"/>
  <c r="AA13" i="56"/>
  <c r="Z13" i="56"/>
  <c r="Y13" i="56"/>
  <c r="W13" i="56"/>
  <c r="X13" i="56" s="1"/>
  <c r="AB12" i="56"/>
  <c r="AA12" i="56"/>
  <c r="Z12" i="56"/>
  <c r="Y12" i="56"/>
  <c r="W12" i="56"/>
  <c r="X12" i="56" s="1"/>
  <c r="AB11" i="56"/>
  <c r="AA11" i="56"/>
  <c r="Z11" i="56"/>
  <c r="Y11" i="56"/>
  <c r="W11" i="56"/>
  <c r="X11" i="56" s="1"/>
  <c r="AB10" i="56"/>
  <c r="AA10" i="56"/>
  <c r="Z10" i="56"/>
  <c r="Y10" i="56"/>
  <c r="W10" i="56"/>
  <c r="X10" i="56" s="1"/>
  <c r="AB9" i="56"/>
  <c r="AA9" i="56"/>
  <c r="Z9" i="56"/>
  <c r="Y9" i="56"/>
  <c r="W9" i="56"/>
  <c r="X9" i="56" s="1"/>
  <c r="Q8" i="56"/>
  <c r="P8" i="56"/>
  <c r="O8" i="56"/>
  <c r="N8" i="56"/>
  <c r="M8" i="56"/>
  <c r="L8" i="56"/>
  <c r="K8" i="56"/>
  <c r="J8" i="56"/>
  <c r="I8" i="56"/>
  <c r="H8" i="56"/>
  <c r="G8" i="56"/>
  <c r="F8" i="56"/>
  <c r="E8" i="56"/>
  <c r="D8" i="56"/>
  <c r="K130" i="55"/>
  <c r="L130" i="55" s="1"/>
  <c r="K129" i="55"/>
  <c r="L129" i="55" s="1"/>
  <c r="M129" i="55" s="1"/>
  <c r="N129" i="55" s="1"/>
  <c r="O129" i="55" s="1"/>
  <c r="P129" i="55" s="1"/>
  <c r="Q127" i="55"/>
  <c r="P127" i="55"/>
  <c r="O127" i="55"/>
  <c r="N127" i="55"/>
  <c r="M127" i="55"/>
  <c r="L127" i="55"/>
  <c r="AA125" i="55"/>
  <c r="AB125" i="55" s="1"/>
  <c r="Z125" i="55"/>
  <c r="Y125" i="55"/>
  <c r="W125" i="55"/>
  <c r="X125" i="55" s="1"/>
  <c r="AA124" i="55"/>
  <c r="Z124" i="55"/>
  <c r="Y124" i="55"/>
  <c r="W124" i="55"/>
  <c r="X124" i="55" s="1"/>
  <c r="AA119" i="55"/>
  <c r="AB119" i="55" s="1"/>
  <c r="Z119" i="55"/>
  <c r="Y119" i="55"/>
  <c r="W119" i="55"/>
  <c r="X119" i="55" s="1"/>
  <c r="AA118" i="55"/>
  <c r="AB118" i="55" s="1"/>
  <c r="Z118" i="55"/>
  <c r="Y118" i="55"/>
  <c r="W118" i="55"/>
  <c r="X118" i="55" s="1"/>
  <c r="AA117" i="55"/>
  <c r="AB117" i="55" s="1"/>
  <c r="Z117" i="55"/>
  <c r="Y117" i="55"/>
  <c r="W117" i="55"/>
  <c r="X117" i="55" s="1"/>
  <c r="AA116" i="55"/>
  <c r="Z116" i="55"/>
  <c r="Y116" i="55"/>
  <c r="W116" i="55"/>
  <c r="X116" i="55" s="1"/>
  <c r="Q114" i="55"/>
  <c r="P114" i="55"/>
  <c r="O114" i="55"/>
  <c r="N114" i="55"/>
  <c r="M114" i="55"/>
  <c r="L114" i="55"/>
  <c r="K114" i="55"/>
  <c r="J114" i="55"/>
  <c r="I114" i="55"/>
  <c r="H114" i="55"/>
  <c r="G114" i="55"/>
  <c r="F114" i="55"/>
  <c r="E114" i="55"/>
  <c r="D114" i="55"/>
  <c r="AA110" i="55"/>
  <c r="AB110" i="55" s="1"/>
  <c r="Z110" i="55"/>
  <c r="Y110" i="55"/>
  <c r="W110" i="55"/>
  <c r="X110" i="55" s="1"/>
  <c r="AA109" i="55"/>
  <c r="AB109" i="55" s="1"/>
  <c r="Z109" i="55"/>
  <c r="Y109" i="55"/>
  <c r="W109" i="55"/>
  <c r="X109" i="55" s="1"/>
  <c r="AA108" i="55"/>
  <c r="AB108" i="55" s="1"/>
  <c r="Z108" i="55"/>
  <c r="Y108" i="55"/>
  <c r="W108" i="55"/>
  <c r="AA107" i="55"/>
  <c r="AB107" i="55" s="1"/>
  <c r="Z107" i="55"/>
  <c r="Y107" i="55"/>
  <c r="W107" i="55"/>
  <c r="X107" i="55" s="1"/>
  <c r="AA106" i="55"/>
  <c r="AB106" i="55" s="1"/>
  <c r="Z106" i="55"/>
  <c r="Y106" i="55"/>
  <c r="W106" i="55"/>
  <c r="X106" i="55" s="1"/>
  <c r="AA105" i="55"/>
  <c r="AB105" i="55" s="1"/>
  <c r="Z105" i="55"/>
  <c r="Y105" i="55"/>
  <c r="W105" i="55"/>
  <c r="X105" i="55" s="1"/>
  <c r="AA104" i="55"/>
  <c r="AB104" i="55" s="1"/>
  <c r="Z104" i="55"/>
  <c r="Y104" i="55"/>
  <c r="W104" i="55"/>
  <c r="X104" i="55" s="1"/>
  <c r="AA103" i="55"/>
  <c r="AB103" i="55" s="1"/>
  <c r="Z103" i="55"/>
  <c r="Y103" i="55"/>
  <c r="W103" i="55"/>
  <c r="X103" i="55" s="1"/>
  <c r="AA102" i="55"/>
  <c r="Z102" i="55"/>
  <c r="Y102" i="55"/>
  <c r="W102" i="55"/>
  <c r="X102" i="55" s="1"/>
  <c r="AA101" i="55"/>
  <c r="AB101" i="55" s="1"/>
  <c r="Z101" i="55"/>
  <c r="Y101" i="55"/>
  <c r="W101" i="55"/>
  <c r="X101" i="55" s="1"/>
  <c r="Q100" i="55"/>
  <c r="P100" i="55"/>
  <c r="O100" i="55"/>
  <c r="N100" i="55"/>
  <c r="M100" i="55"/>
  <c r="L100" i="55"/>
  <c r="K100" i="55"/>
  <c r="J100" i="55"/>
  <c r="I100" i="55"/>
  <c r="H100" i="55"/>
  <c r="G100" i="55"/>
  <c r="F100" i="55"/>
  <c r="E100" i="55"/>
  <c r="D100" i="55"/>
  <c r="AA99" i="55"/>
  <c r="AB99" i="55" s="1"/>
  <c r="Z99" i="55"/>
  <c r="Y99" i="55"/>
  <c r="W99" i="55"/>
  <c r="X99" i="55" s="1"/>
  <c r="AA98" i="55"/>
  <c r="AB98" i="55" s="1"/>
  <c r="Z98" i="55"/>
  <c r="Y98" i="55"/>
  <c r="W98" i="55"/>
  <c r="X98" i="55" s="1"/>
  <c r="AA97" i="55"/>
  <c r="AB97" i="55" s="1"/>
  <c r="Z97" i="55"/>
  <c r="Y97" i="55"/>
  <c r="W97" i="55"/>
  <c r="X97" i="55" s="1"/>
  <c r="AA96" i="55"/>
  <c r="AB96" i="55" s="1"/>
  <c r="Z96" i="55"/>
  <c r="Y96" i="55"/>
  <c r="W96" i="55"/>
  <c r="X96" i="55" s="1"/>
  <c r="AA95" i="55"/>
  <c r="AB95" i="55" s="1"/>
  <c r="Z95" i="55"/>
  <c r="Y95" i="55"/>
  <c r="W95" i="55"/>
  <c r="X95" i="55" s="1"/>
  <c r="AA94" i="55"/>
  <c r="AB94" i="55" s="1"/>
  <c r="Z94" i="55"/>
  <c r="Y94" i="55"/>
  <c r="W94" i="55"/>
  <c r="X94" i="55" s="1"/>
  <c r="AA93" i="55"/>
  <c r="AB93" i="55" s="1"/>
  <c r="Z93" i="55"/>
  <c r="Y93" i="55"/>
  <c r="W93" i="55"/>
  <c r="X93" i="55" s="1"/>
  <c r="AA92" i="55"/>
  <c r="AB92" i="55" s="1"/>
  <c r="Z92" i="55"/>
  <c r="Y92" i="55"/>
  <c r="W92" i="55"/>
  <c r="X92" i="55" s="1"/>
  <c r="AA91" i="55"/>
  <c r="Z91" i="55"/>
  <c r="W91" i="55"/>
  <c r="Q90" i="55"/>
  <c r="P90" i="55"/>
  <c r="O90" i="55"/>
  <c r="N90" i="55"/>
  <c r="M90" i="55"/>
  <c r="L90" i="55"/>
  <c r="K90" i="55"/>
  <c r="J90" i="55"/>
  <c r="H90" i="55"/>
  <c r="G90" i="55"/>
  <c r="F90" i="55"/>
  <c r="E90" i="55"/>
  <c r="D90" i="55"/>
  <c r="AB82" i="55"/>
  <c r="Z82" i="55"/>
  <c r="Y82" i="55"/>
  <c r="X82" i="55"/>
  <c r="AA81" i="55"/>
  <c r="AB81" i="55" s="1"/>
  <c r="Z81" i="55"/>
  <c r="Y81" i="55"/>
  <c r="W81" i="55"/>
  <c r="X81" i="55" s="1"/>
  <c r="AA80" i="55"/>
  <c r="AB80" i="55" s="1"/>
  <c r="Z80" i="55"/>
  <c r="Y80" i="55"/>
  <c r="W80" i="55"/>
  <c r="X80" i="55" s="1"/>
  <c r="Q79" i="55"/>
  <c r="P79" i="55"/>
  <c r="O79" i="55"/>
  <c r="N79" i="55"/>
  <c r="M79" i="55"/>
  <c r="L79" i="55"/>
  <c r="K79" i="55"/>
  <c r="J79" i="55"/>
  <c r="I79" i="55"/>
  <c r="H79" i="55"/>
  <c r="G79" i="55"/>
  <c r="F79" i="55"/>
  <c r="E79" i="55"/>
  <c r="D79" i="55"/>
  <c r="AA78" i="55"/>
  <c r="AB78" i="55" s="1"/>
  <c r="Z78" i="55"/>
  <c r="Y78" i="55"/>
  <c r="W78" i="55"/>
  <c r="X78" i="55" s="1"/>
  <c r="AA77" i="55"/>
  <c r="AB77" i="55" s="1"/>
  <c r="Z77" i="55"/>
  <c r="Y77" i="55"/>
  <c r="W77" i="55"/>
  <c r="X77" i="55" s="1"/>
  <c r="AA76" i="55"/>
  <c r="AB76" i="55" s="1"/>
  <c r="Z76" i="55"/>
  <c r="Y76" i="55"/>
  <c r="W76" i="55"/>
  <c r="X76" i="55" s="1"/>
  <c r="AA75" i="55"/>
  <c r="AB75" i="55" s="1"/>
  <c r="Z75" i="55"/>
  <c r="Y75" i="55"/>
  <c r="W75" i="55"/>
  <c r="X75" i="55" s="1"/>
  <c r="AA74" i="55"/>
  <c r="AB74" i="55" s="1"/>
  <c r="Z74" i="55"/>
  <c r="Y74" i="55"/>
  <c r="W74" i="55"/>
  <c r="X74" i="55" s="1"/>
  <c r="AA73" i="55"/>
  <c r="AB73" i="55" s="1"/>
  <c r="Z73" i="55"/>
  <c r="Y73" i="55"/>
  <c r="W73" i="55"/>
  <c r="X73" i="55" s="1"/>
  <c r="AA72" i="55"/>
  <c r="AB72" i="55" s="1"/>
  <c r="Z72" i="55"/>
  <c r="Y72" i="55"/>
  <c r="W72" i="55"/>
  <c r="X72" i="55" s="1"/>
  <c r="AA71" i="55"/>
  <c r="AB71" i="55" s="1"/>
  <c r="Z71" i="55"/>
  <c r="Y71" i="55"/>
  <c r="W71" i="55"/>
  <c r="X71" i="55" s="1"/>
  <c r="AA70" i="55"/>
  <c r="AB70" i="55" s="1"/>
  <c r="Z70" i="55"/>
  <c r="Y70" i="55"/>
  <c r="W70" i="55"/>
  <c r="X70" i="55" s="1"/>
  <c r="Q69" i="55"/>
  <c r="P69" i="55"/>
  <c r="O69" i="55"/>
  <c r="N69" i="55"/>
  <c r="M69" i="55"/>
  <c r="L69" i="55"/>
  <c r="K69" i="55"/>
  <c r="J69" i="55"/>
  <c r="I69" i="55"/>
  <c r="H69" i="55"/>
  <c r="G69" i="55"/>
  <c r="F69" i="55"/>
  <c r="E69" i="55"/>
  <c r="D69" i="55"/>
  <c r="AA68" i="55"/>
  <c r="AB68" i="55" s="1"/>
  <c r="Z68" i="55"/>
  <c r="Y68" i="55"/>
  <c r="W68" i="55"/>
  <c r="X68" i="55" s="1"/>
  <c r="AA67" i="55"/>
  <c r="AB67" i="55" s="1"/>
  <c r="Z67" i="55"/>
  <c r="Y67" i="55"/>
  <c r="W67" i="55"/>
  <c r="X67" i="55" s="1"/>
  <c r="AA66" i="55"/>
  <c r="AB66" i="55" s="1"/>
  <c r="Z66" i="55"/>
  <c r="Y66" i="55"/>
  <c r="W66" i="55"/>
  <c r="X66" i="55" s="1"/>
  <c r="AA65" i="55"/>
  <c r="AB65" i="55" s="1"/>
  <c r="Z65" i="55"/>
  <c r="Y65" i="55"/>
  <c r="W65" i="55"/>
  <c r="X65" i="55" s="1"/>
  <c r="AA64" i="55"/>
  <c r="AB64" i="55" s="1"/>
  <c r="Z64" i="55"/>
  <c r="Y64" i="55"/>
  <c r="W64" i="55"/>
  <c r="X64" i="55" s="1"/>
  <c r="AA63" i="55"/>
  <c r="Z63" i="55"/>
  <c r="Y63" i="55"/>
  <c r="W63" i="55"/>
  <c r="Q62" i="55"/>
  <c r="P62" i="55"/>
  <c r="O62" i="55"/>
  <c r="N62" i="55"/>
  <c r="M62" i="55"/>
  <c r="L62" i="55"/>
  <c r="K62" i="55"/>
  <c r="J62" i="55"/>
  <c r="I62" i="55"/>
  <c r="H62" i="55"/>
  <c r="G62" i="55"/>
  <c r="F62" i="55"/>
  <c r="E62" i="55"/>
  <c r="D62" i="55"/>
  <c r="AA56" i="55"/>
  <c r="AB56" i="55" s="1"/>
  <c r="Z56" i="55"/>
  <c r="Y56" i="55"/>
  <c r="W56" i="55"/>
  <c r="X56" i="55" s="1"/>
  <c r="AA55" i="55"/>
  <c r="AB55" i="55" s="1"/>
  <c r="Z55" i="55"/>
  <c r="Y55" i="55"/>
  <c r="W55" i="55"/>
  <c r="X55" i="55" s="1"/>
  <c r="AA54" i="55"/>
  <c r="AB54" i="55" s="1"/>
  <c r="Z54" i="55"/>
  <c r="Y54" i="55"/>
  <c r="W54" i="55"/>
  <c r="X54" i="55" s="1"/>
  <c r="AA53" i="55"/>
  <c r="AB53" i="55" s="1"/>
  <c r="Z53" i="55"/>
  <c r="Y53" i="55"/>
  <c r="W53" i="55"/>
  <c r="X53" i="55" s="1"/>
  <c r="AA52" i="55"/>
  <c r="AB52" i="55" s="1"/>
  <c r="Z52" i="55"/>
  <c r="Y52" i="55"/>
  <c r="W52" i="55"/>
  <c r="X52" i="55" s="1"/>
  <c r="AA51" i="55"/>
  <c r="Z51" i="55"/>
  <c r="Y51" i="55"/>
  <c r="W51" i="55"/>
  <c r="X51" i="55" s="1"/>
  <c r="AA50" i="55"/>
  <c r="AB50" i="55" s="1"/>
  <c r="Z50" i="55"/>
  <c r="Y50" i="55"/>
  <c r="W50" i="55"/>
  <c r="Q49" i="55"/>
  <c r="Q41" i="55" s="1"/>
  <c r="P49" i="55"/>
  <c r="P41" i="55" s="1"/>
  <c r="O49" i="55"/>
  <c r="O41" i="55" s="1"/>
  <c r="N49" i="55"/>
  <c r="N41" i="55" s="1"/>
  <c r="M49" i="55"/>
  <c r="M41" i="55" s="1"/>
  <c r="L49" i="55"/>
  <c r="L41" i="55" s="1"/>
  <c r="K49" i="55"/>
  <c r="K41" i="55" s="1"/>
  <c r="J49" i="55"/>
  <c r="J41" i="55" s="1"/>
  <c r="I49" i="55"/>
  <c r="I41" i="55" s="1"/>
  <c r="H49" i="55"/>
  <c r="H41" i="55" s="1"/>
  <c r="G49" i="55"/>
  <c r="G41" i="55" s="1"/>
  <c r="F49" i="55"/>
  <c r="F41" i="55" s="1"/>
  <c r="E49" i="55"/>
  <c r="E41" i="55" s="1"/>
  <c r="D49" i="55"/>
  <c r="D41" i="55" s="1"/>
  <c r="AB48" i="55"/>
  <c r="AA48" i="55"/>
  <c r="Z48" i="55"/>
  <c r="Y48" i="55"/>
  <c r="X48" i="55"/>
  <c r="W48" i="55"/>
  <c r="AB47" i="55"/>
  <c r="AA47" i="55"/>
  <c r="Z47" i="55"/>
  <c r="Y47" i="55"/>
  <c r="X47" i="55"/>
  <c r="W47" i="55"/>
  <c r="AB46" i="55"/>
  <c r="AA46" i="55"/>
  <c r="Z46" i="55"/>
  <c r="Y46" i="55"/>
  <c r="X46" i="55"/>
  <c r="W46" i="55"/>
  <c r="AB45" i="55"/>
  <c r="AA45" i="55"/>
  <c r="Z45" i="55"/>
  <c r="Y45" i="55"/>
  <c r="X45" i="55"/>
  <c r="W45" i="55"/>
  <c r="AB43" i="55"/>
  <c r="AA43" i="55"/>
  <c r="Z43" i="55"/>
  <c r="Y43" i="55"/>
  <c r="X43" i="55"/>
  <c r="W43" i="55"/>
  <c r="AB37" i="55"/>
  <c r="AA37" i="55"/>
  <c r="Z37" i="55"/>
  <c r="Y37" i="55"/>
  <c r="X37" i="55"/>
  <c r="W37" i="55"/>
  <c r="AB36" i="55"/>
  <c r="AA36" i="55"/>
  <c r="Z36" i="55"/>
  <c r="Y36" i="55"/>
  <c r="X36" i="55"/>
  <c r="W36" i="55"/>
  <c r="AB35" i="55"/>
  <c r="AA35" i="55"/>
  <c r="Z35" i="55"/>
  <c r="Y35" i="55"/>
  <c r="X35" i="55"/>
  <c r="W35" i="55"/>
  <c r="AB34" i="55"/>
  <c r="AA34" i="55"/>
  <c r="Z34" i="55"/>
  <c r="Y34" i="55"/>
  <c r="X34" i="55"/>
  <c r="W34" i="55"/>
  <c r="AB33" i="55"/>
  <c r="AA33" i="55"/>
  <c r="Z33" i="55"/>
  <c r="Y33" i="55"/>
  <c r="X33" i="55"/>
  <c r="W33" i="55"/>
  <c r="AB32" i="55"/>
  <c r="AA32" i="55"/>
  <c r="Z32" i="55"/>
  <c r="Y32" i="55"/>
  <c r="X32" i="55"/>
  <c r="W32" i="55"/>
  <c r="AB31" i="55"/>
  <c r="AA31" i="55"/>
  <c r="Z31" i="55"/>
  <c r="Y31" i="55"/>
  <c r="X31" i="55"/>
  <c r="W31" i="55"/>
  <c r="AB30" i="55"/>
  <c r="AA30" i="55"/>
  <c r="Z30" i="55"/>
  <c r="Y30" i="55"/>
  <c r="X30" i="55"/>
  <c r="W30" i="55"/>
  <c r="AB29" i="55"/>
  <c r="AA29" i="55"/>
  <c r="Z29" i="55"/>
  <c r="Y29" i="55"/>
  <c r="X29" i="55"/>
  <c r="W29" i="55"/>
  <c r="Q27" i="55"/>
  <c r="P27" i="55"/>
  <c r="O27" i="55"/>
  <c r="N27" i="55"/>
  <c r="M27" i="55"/>
  <c r="L27" i="55"/>
  <c r="K27" i="55"/>
  <c r="J27" i="55"/>
  <c r="I27" i="55"/>
  <c r="H27" i="55"/>
  <c r="G27" i="55"/>
  <c r="F27" i="55"/>
  <c r="E27" i="55"/>
  <c r="D27" i="55"/>
  <c r="AB25" i="55"/>
  <c r="AA25" i="55"/>
  <c r="Z25" i="55"/>
  <c r="Y25" i="55"/>
  <c r="X25" i="55"/>
  <c r="W25" i="55"/>
  <c r="AB24" i="55"/>
  <c r="AA24" i="55"/>
  <c r="Z24" i="55"/>
  <c r="Y24" i="55"/>
  <c r="X24" i="55"/>
  <c r="W24" i="55"/>
  <c r="AB23" i="55"/>
  <c r="AA23" i="55"/>
  <c r="Z23" i="55"/>
  <c r="Y23" i="55"/>
  <c r="X23" i="55"/>
  <c r="W23" i="55"/>
  <c r="AB22" i="55"/>
  <c r="AA22" i="55"/>
  <c r="Z22" i="55"/>
  <c r="Y22" i="55"/>
  <c r="X22" i="55"/>
  <c r="W22" i="55"/>
  <c r="AB21" i="55"/>
  <c r="AA21" i="55"/>
  <c r="Z21" i="55"/>
  <c r="Y21" i="55"/>
  <c r="X21" i="55"/>
  <c r="W21" i="55"/>
  <c r="AB20" i="55"/>
  <c r="AA20" i="55"/>
  <c r="Z20" i="55"/>
  <c r="Y20" i="55"/>
  <c r="X20" i="55"/>
  <c r="W20" i="55"/>
  <c r="AB19" i="55"/>
  <c r="AA19" i="55"/>
  <c r="Z19" i="55"/>
  <c r="Y19" i="55"/>
  <c r="X19" i="55"/>
  <c r="W19" i="55"/>
  <c r="AB18" i="55"/>
  <c r="AA18" i="55"/>
  <c r="Z18" i="55"/>
  <c r="Y18" i="55"/>
  <c r="X18" i="55"/>
  <c r="W18" i="55"/>
  <c r="Q17" i="55"/>
  <c r="P17" i="55"/>
  <c r="O17" i="55"/>
  <c r="N17" i="55"/>
  <c r="M17" i="55"/>
  <c r="L17" i="55"/>
  <c r="K17" i="55"/>
  <c r="J17" i="55"/>
  <c r="I17" i="55"/>
  <c r="H17" i="55"/>
  <c r="G17" i="55"/>
  <c r="F17" i="55"/>
  <c r="E17" i="55"/>
  <c r="D17" i="55"/>
  <c r="AB16" i="55"/>
  <c r="AA16" i="55"/>
  <c r="Z16" i="55"/>
  <c r="Y16" i="55"/>
  <c r="X16" i="55"/>
  <c r="W16" i="55"/>
  <c r="AB15" i="55"/>
  <c r="AA15" i="55"/>
  <c r="Z15" i="55"/>
  <c r="Y15" i="55"/>
  <c r="X15" i="55"/>
  <c r="W15" i="55"/>
  <c r="AB14" i="55"/>
  <c r="AA14" i="55"/>
  <c r="Z14" i="55"/>
  <c r="Y14" i="55"/>
  <c r="X14" i="55"/>
  <c r="W14" i="55"/>
  <c r="AB13" i="55"/>
  <c r="AA13" i="55"/>
  <c r="Z13" i="55"/>
  <c r="Y13" i="55"/>
  <c r="X13" i="55"/>
  <c r="W13" i="55"/>
  <c r="AB12" i="55"/>
  <c r="AA12" i="55"/>
  <c r="Z12" i="55"/>
  <c r="Y12" i="55"/>
  <c r="X12" i="55"/>
  <c r="W12" i="55"/>
  <c r="AB11" i="55"/>
  <c r="AA11" i="55"/>
  <c r="Z11" i="55"/>
  <c r="Y11" i="55"/>
  <c r="X11" i="55"/>
  <c r="W11" i="55"/>
  <c r="AB10" i="55"/>
  <c r="AA10" i="55"/>
  <c r="Z10" i="55"/>
  <c r="Y10" i="55"/>
  <c r="X10" i="55"/>
  <c r="W10" i="55"/>
  <c r="AB9" i="55"/>
  <c r="AA9" i="55"/>
  <c r="Z9" i="55"/>
  <c r="Y9" i="55"/>
  <c r="X9" i="55"/>
  <c r="W9" i="55"/>
  <c r="Q8" i="55"/>
  <c r="P8" i="55"/>
  <c r="O8" i="55"/>
  <c r="N8" i="55"/>
  <c r="M8" i="55"/>
  <c r="L8" i="55"/>
  <c r="K8" i="55"/>
  <c r="J8" i="55"/>
  <c r="I8" i="55"/>
  <c r="H8" i="55"/>
  <c r="G8" i="55"/>
  <c r="F8" i="55"/>
  <c r="E8" i="55"/>
  <c r="D8" i="55"/>
  <c r="I10" i="44"/>
  <c r="H10" i="44"/>
  <c r="G10" i="44"/>
  <c r="F10" i="44"/>
  <c r="E10" i="44"/>
  <c r="I60" i="16"/>
  <c r="S56" i="16" s="1"/>
  <c r="H60" i="16"/>
  <c r="G60" i="16"/>
  <c r="F60" i="16"/>
  <c r="E60" i="16"/>
  <c r="I52" i="16"/>
  <c r="S49" i="16" s="1"/>
  <c r="H52" i="16"/>
  <c r="R51" i="16" s="1"/>
  <c r="G52" i="16"/>
  <c r="Q51" i="16" s="1"/>
  <c r="F52" i="16"/>
  <c r="P51" i="16" s="1"/>
  <c r="E52" i="16"/>
  <c r="O51" i="16" s="1"/>
  <c r="I44" i="16"/>
  <c r="S41" i="16" s="1"/>
  <c r="H44" i="16"/>
  <c r="G44" i="16"/>
  <c r="F44" i="16"/>
  <c r="P41" i="16" s="1"/>
  <c r="E44" i="16"/>
  <c r="O44" i="16" s="1"/>
  <c r="I36" i="16"/>
  <c r="S34" i="16" s="1"/>
  <c r="H36" i="16"/>
  <c r="R34" i="16" s="1"/>
  <c r="G36" i="16"/>
  <c r="F36" i="16"/>
  <c r="P36" i="16" s="1"/>
  <c r="E36" i="16"/>
  <c r="O34" i="16" s="1"/>
  <c r="D36" i="16"/>
  <c r="N34" i="16" s="1"/>
  <c r="I28" i="16"/>
  <c r="H28" i="16"/>
  <c r="G28" i="16"/>
  <c r="F28" i="16"/>
  <c r="E28" i="16"/>
  <c r="O26" i="16" s="1"/>
  <c r="D28" i="16"/>
  <c r="N24" i="16" s="1"/>
  <c r="I20" i="16"/>
  <c r="S18" i="16" s="1"/>
  <c r="H20" i="16"/>
  <c r="R16" i="16" s="1"/>
  <c r="G20" i="16"/>
  <c r="Q19" i="16" s="1"/>
  <c r="F20" i="16"/>
  <c r="E20" i="16"/>
  <c r="D20" i="16"/>
  <c r="S15" i="16"/>
  <c r="S23" i="16" s="1"/>
  <c r="S31" i="16" s="1"/>
  <c r="S39" i="16" s="1"/>
  <c r="S47" i="16" s="1"/>
  <c r="S55" i="16" s="1"/>
  <c r="R15" i="16"/>
  <c r="R23" i="16" s="1"/>
  <c r="R31" i="16" s="1"/>
  <c r="R39" i="16" s="1"/>
  <c r="R47" i="16" s="1"/>
  <c r="R55" i="16" s="1"/>
  <c r="Q15" i="16"/>
  <c r="Q23" i="16" s="1"/>
  <c r="Q31" i="16" s="1"/>
  <c r="Q39" i="16" s="1"/>
  <c r="Q47" i="16" s="1"/>
  <c r="Q55" i="16" s="1"/>
  <c r="P15" i="16"/>
  <c r="P23" i="16" s="1"/>
  <c r="P31" i="16" s="1"/>
  <c r="P39" i="16" s="1"/>
  <c r="P47" i="16" s="1"/>
  <c r="P55" i="16" s="1"/>
  <c r="O15" i="16"/>
  <c r="O23" i="16" s="1"/>
  <c r="O31" i="16" s="1"/>
  <c r="O39" i="16" s="1"/>
  <c r="O47" i="16" s="1"/>
  <c r="O55" i="16" s="1"/>
  <c r="N15" i="16"/>
  <c r="N23" i="16" s="1"/>
  <c r="N31" i="16" s="1"/>
  <c r="N39" i="16" s="1"/>
  <c r="N47" i="16" s="1"/>
  <c r="N55" i="16" s="1"/>
  <c r="L15" i="16"/>
  <c r="L23" i="16" s="1"/>
  <c r="L31" i="16" s="1"/>
  <c r="L39" i="16" s="1"/>
  <c r="L47" i="16" s="1"/>
  <c r="L55" i="16" s="1"/>
  <c r="I12" i="16"/>
  <c r="S11" i="16" s="1"/>
  <c r="H12" i="16"/>
  <c r="G12" i="16"/>
  <c r="Q11" i="16" s="1"/>
  <c r="F12" i="16"/>
  <c r="P11" i="16" s="1"/>
  <c r="E12" i="16"/>
  <c r="O8" i="16" s="1"/>
  <c r="D12" i="16"/>
  <c r="N8" i="16" s="1"/>
  <c r="BA12" i="15"/>
  <c r="BA18" i="15" s="1"/>
  <c r="BA24" i="15" s="1"/>
  <c r="BA30" i="15" s="1"/>
  <c r="BA36" i="15" s="1"/>
  <c r="BA42" i="15" s="1"/>
  <c r="AW12" i="15"/>
  <c r="AW18" i="15" s="1"/>
  <c r="AW24" i="15" s="1"/>
  <c r="AW30" i="15" s="1"/>
  <c r="AW36" i="15" s="1"/>
  <c r="AW42" i="15" s="1"/>
  <c r="AV12" i="15"/>
  <c r="AV18" i="15" s="1"/>
  <c r="AV24" i="15" s="1"/>
  <c r="AV30" i="15" s="1"/>
  <c r="AV36" i="15" s="1"/>
  <c r="AV42" i="15" s="1"/>
  <c r="AU12" i="15"/>
  <c r="AU18" i="15" s="1"/>
  <c r="AU24" i="15" s="1"/>
  <c r="AU30" i="15" s="1"/>
  <c r="AU36" i="15" s="1"/>
  <c r="AU42" i="15" s="1"/>
  <c r="AT12" i="15"/>
  <c r="AT18" i="15" s="1"/>
  <c r="AT24" i="15" s="1"/>
  <c r="AT30" i="15" s="1"/>
  <c r="AT36" i="15" s="1"/>
  <c r="AT42" i="15" s="1"/>
  <c r="AS12" i="15"/>
  <c r="AS18" i="15" s="1"/>
  <c r="AS24" i="15" s="1"/>
  <c r="AS30" i="15" s="1"/>
  <c r="AS36" i="15" s="1"/>
  <c r="AS42" i="15" s="1"/>
  <c r="AR12" i="15"/>
  <c r="AR18" i="15" s="1"/>
  <c r="AR24" i="15" s="1"/>
  <c r="AR30" i="15" s="1"/>
  <c r="AR36" i="15" s="1"/>
  <c r="AR42" i="15" s="1"/>
  <c r="AQ12" i="15"/>
  <c r="AQ18" i="15" s="1"/>
  <c r="AQ24" i="15" s="1"/>
  <c r="AQ30" i="15" s="1"/>
  <c r="AQ36" i="15" s="1"/>
  <c r="AQ42" i="15" s="1"/>
  <c r="AP12" i="15"/>
  <c r="AP18" i="15" s="1"/>
  <c r="AP24" i="15" s="1"/>
  <c r="AP30" i="15" s="1"/>
  <c r="AP36" i="15" s="1"/>
  <c r="AP42" i="15" s="1"/>
  <c r="AO12" i="15"/>
  <c r="AO18" i="15" s="1"/>
  <c r="AO24" i="15" s="1"/>
  <c r="AO30" i="15" s="1"/>
  <c r="AO36" i="15" s="1"/>
  <c r="AO42" i="15" s="1"/>
  <c r="AN12" i="15"/>
  <c r="AN18" i="15" s="1"/>
  <c r="AN24" i="15" s="1"/>
  <c r="AN30" i="15" s="1"/>
  <c r="AN36" i="15" s="1"/>
  <c r="AN42" i="15" s="1"/>
  <c r="AM12" i="15"/>
  <c r="AM18" i="15" s="1"/>
  <c r="AM24" i="15" s="1"/>
  <c r="AM30" i="15" s="1"/>
  <c r="AM36" i="15" s="1"/>
  <c r="AM42" i="15" s="1"/>
  <c r="AL12" i="15"/>
  <c r="AL18" i="15" s="1"/>
  <c r="AL24" i="15" s="1"/>
  <c r="AL30" i="15" s="1"/>
  <c r="AL36" i="15" s="1"/>
  <c r="AL42" i="15" s="1"/>
  <c r="AK12" i="15"/>
  <c r="AK18" i="15" s="1"/>
  <c r="AK24" i="15" s="1"/>
  <c r="AK30" i="15" s="1"/>
  <c r="AK36" i="15" s="1"/>
  <c r="AK42" i="15" s="1"/>
  <c r="AJ12" i="15"/>
  <c r="AJ18" i="15" s="1"/>
  <c r="AJ24" i="15" s="1"/>
  <c r="AJ30" i="15" s="1"/>
  <c r="AJ36" i="15" s="1"/>
  <c r="AJ42" i="15" s="1"/>
  <c r="AI12" i="15"/>
  <c r="AI18" i="15" s="1"/>
  <c r="AI24" i="15" s="1"/>
  <c r="AI30" i="15" s="1"/>
  <c r="AI36" i="15" s="1"/>
  <c r="AI42" i="15" s="1"/>
  <c r="AH12" i="15"/>
  <c r="AH18" i="15" s="1"/>
  <c r="AH24" i="15" s="1"/>
  <c r="AH30" i="15" s="1"/>
  <c r="AH36" i="15" s="1"/>
  <c r="AH42" i="15" s="1"/>
  <c r="AG12" i="15"/>
  <c r="AG18" i="15" s="1"/>
  <c r="AG24" i="15" s="1"/>
  <c r="AG30" i="15" s="1"/>
  <c r="AG36" i="15" s="1"/>
  <c r="AG42" i="15" s="1"/>
  <c r="AF12" i="15"/>
  <c r="AF18" i="15" s="1"/>
  <c r="AF24" i="15" s="1"/>
  <c r="AF30" i="15" s="1"/>
  <c r="AF36" i="15" s="1"/>
  <c r="AF42" i="15" s="1"/>
  <c r="AE12" i="15"/>
  <c r="AE18" i="15" s="1"/>
  <c r="AE24" i="15" s="1"/>
  <c r="AE30" i="15" s="1"/>
  <c r="AE36" i="15" s="1"/>
  <c r="AE42" i="15" s="1"/>
  <c r="AD12" i="15"/>
  <c r="AD18" i="15" s="1"/>
  <c r="AD24" i="15" s="1"/>
  <c r="AD30" i="15" s="1"/>
  <c r="AD36" i="15" s="1"/>
  <c r="AD42" i="15" s="1"/>
  <c r="AC12" i="15"/>
  <c r="AC18" i="15" s="1"/>
  <c r="AC24" i="15" s="1"/>
  <c r="AC30" i="15" s="1"/>
  <c r="AC36" i="15" s="1"/>
  <c r="AC42" i="15" s="1"/>
  <c r="AB12" i="15"/>
  <c r="AB18" i="15" s="1"/>
  <c r="AB24" i="15" s="1"/>
  <c r="AB30" i="15" s="1"/>
  <c r="AB36" i="15" s="1"/>
  <c r="AB42" i="15" s="1"/>
  <c r="W74" i="41"/>
  <c r="V74" i="41"/>
  <c r="U74" i="41"/>
  <c r="T74" i="41"/>
  <c r="S74" i="41"/>
  <c r="R74" i="41"/>
  <c r="Q74" i="41"/>
  <c r="P74" i="41"/>
  <c r="O74" i="41"/>
  <c r="N74" i="41"/>
  <c r="M74" i="41"/>
  <c r="L74" i="41"/>
  <c r="K74" i="41"/>
  <c r="J74" i="41"/>
  <c r="I74" i="41"/>
  <c r="H74" i="41"/>
  <c r="G74" i="41"/>
  <c r="F74" i="41"/>
  <c r="AC68" i="41"/>
  <c r="AB68" i="41"/>
  <c r="AA68" i="41"/>
  <c r="Y68" i="41"/>
  <c r="X68" i="41"/>
  <c r="W68" i="41"/>
  <c r="V68" i="41"/>
  <c r="U68" i="41"/>
  <c r="T68" i="41"/>
  <c r="S68" i="41"/>
  <c r="R68" i="41"/>
  <c r="Q68" i="41"/>
  <c r="P68" i="41"/>
  <c r="O68" i="41"/>
  <c r="N68" i="41"/>
  <c r="M68" i="41"/>
  <c r="L68" i="41"/>
  <c r="K68" i="41"/>
  <c r="J68" i="41"/>
  <c r="I68" i="41"/>
  <c r="H68" i="41"/>
  <c r="G68" i="41"/>
  <c r="F68" i="41"/>
  <c r="AD67" i="41"/>
  <c r="AD66" i="41"/>
  <c r="AD65" i="41"/>
  <c r="AE45" i="41"/>
  <c r="AD45" i="41"/>
  <c r="AE25" i="41"/>
  <c r="AD25" i="41"/>
  <c r="AE22" i="41"/>
  <c r="AD22" i="41"/>
  <c r="AC22" i="41"/>
  <c r="AB22" i="41"/>
  <c r="AA22" i="41"/>
  <c r="Z22" i="41"/>
  <c r="Y22" i="41"/>
  <c r="X22" i="41"/>
  <c r="W22" i="41"/>
  <c r="V22" i="41"/>
  <c r="U22" i="41"/>
  <c r="T22" i="41"/>
  <c r="S22" i="41"/>
  <c r="R22" i="41"/>
  <c r="Q22" i="41"/>
  <c r="P22" i="41"/>
  <c r="O22" i="41"/>
  <c r="N22" i="41"/>
  <c r="M22" i="41"/>
  <c r="L22" i="41"/>
  <c r="K22" i="41"/>
  <c r="J22" i="41"/>
  <c r="I22" i="41"/>
  <c r="H22" i="41"/>
  <c r="G22" i="41"/>
  <c r="F22" i="41"/>
  <c r="BA12" i="14"/>
  <c r="BA18" i="14" s="1"/>
  <c r="BA24" i="14" s="1"/>
  <c r="BA30" i="14" s="1"/>
  <c r="BA36" i="14" s="1"/>
  <c r="BA42" i="14" s="1"/>
  <c r="AZ12" i="14"/>
  <c r="AZ18" i="14" s="1"/>
  <c r="AZ24" i="14" s="1"/>
  <c r="AZ30" i="14" s="1"/>
  <c r="AZ36" i="14" s="1"/>
  <c r="AZ42" i="14" s="1"/>
  <c r="AY12" i="14"/>
  <c r="AY18" i="14" s="1"/>
  <c r="AY24" i="14" s="1"/>
  <c r="AY30" i="14" s="1"/>
  <c r="AY36" i="14" s="1"/>
  <c r="AY42" i="14" s="1"/>
  <c r="AW12" i="14"/>
  <c r="AW18" i="14" s="1"/>
  <c r="AW24" i="14" s="1"/>
  <c r="AW30" i="14" s="1"/>
  <c r="AW36" i="14" s="1"/>
  <c r="AW42" i="14" s="1"/>
  <c r="AV12" i="14"/>
  <c r="AV18" i="14" s="1"/>
  <c r="AV24" i="14" s="1"/>
  <c r="AV30" i="14" s="1"/>
  <c r="AV36" i="14" s="1"/>
  <c r="AV42" i="14" s="1"/>
  <c r="AU12" i="14"/>
  <c r="AU18" i="14" s="1"/>
  <c r="AU24" i="14" s="1"/>
  <c r="AU30" i="14" s="1"/>
  <c r="AU36" i="14" s="1"/>
  <c r="AU42" i="14" s="1"/>
  <c r="AT12" i="14"/>
  <c r="AT18" i="14" s="1"/>
  <c r="AT24" i="14" s="1"/>
  <c r="AT30" i="14" s="1"/>
  <c r="AT36" i="14" s="1"/>
  <c r="AT42" i="14" s="1"/>
  <c r="AS12" i="14"/>
  <c r="AS18" i="14" s="1"/>
  <c r="AS24" i="14" s="1"/>
  <c r="AS30" i="14" s="1"/>
  <c r="AS36" i="14" s="1"/>
  <c r="AS42" i="14" s="1"/>
  <c r="AR12" i="14"/>
  <c r="AR18" i="14" s="1"/>
  <c r="AR24" i="14" s="1"/>
  <c r="AR30" i="14" s="1"/>
  <c r="AR36" i="14" s="1"/>
  <c r="AR42" i="14" s="1"/>
  <c r="AQ12" i="14"/>
  <c r="AQ18" i="14" s="1"/>
  <c r="AQ24" i="14" s="1"/>
  <c r="AQ30" i="14" s="1"/>
  <c r="AQ36" i="14" s="1"/>
  <c r="AQ42" i="14" s="1"/>
  <c r="AP12" i="14"/>
  <c r="AP18" i="14" s="1"/>
  <c r="AP24" i="14" s="1"/>
  <c r="AP30" i="14" s="1"/>
  <c r="AP36" i="14" s="1"/>
  <c r="AP42" i="14" s="1"/>
  <c r="AO12" i="14"/>
  <c r="AO18" i="14" s="1"/>
  <c r="AO24" i="14" s="1"/>
  <c r="AO30" i="14" s="1"/>
  <c r="AO36" i="14" s="1"/>
  <c r="AO42" i="14" s="1"/>
  <c r="AN12" i="14"/>
  <c r="AN18" i="14" s="1"/>
  <c r="AN24" i="14" s="1"/>
  <c r="AN30" i="14" s="1"/>
  <c r="AN36" i="14" s="1"/>
  <c r="AN42" i="14" s="1"/>
  <c r="AM12" i="14"/>
  <c r="AM18" i="14" s="1"/>
  <c r="AM24" i="14" s="1"/>
  <c r="AM30" i="14" s="1"/>
  <c r="AM36" i="14" s="1"/>
  <c r="AM42" i="14" s="1"/>
  <c r="AL12" i="14"/>
  <c r="AL18" i="14" s="1"/>
  <c r="AL24" i="14" s="1"/>
  <c r="AL30" i="14" s="1"/>
  <c r="AL36" i="14" s="1"/>
  <c r="AL42" i="14" s="1"/>
  <c r="AK12" i="14"/>
  <c r="AK18" i="14" s="1"/>
  <c r="AK24" i="14" s="1"/>
  <c r="AK30" i="14" s="1"/>
  <c r="AK36" i="14" s="1"/>
  <c r="AK42" i="14" s="1"/>
  <c r="AJ12" i="14"/>
  <c r="AJ18" i="14" s="1"/>
  <c r="AJ24" i="14" s="1"/>
  <c r="AJ30" i="14" s="1"/>
  <c r="AJ36" i="14" s="1"/>
  <c r="AJ42" i="14" s="1"/>
  <c r="AI12" i="14"/>
  <c r="AI18" i="14" s="1"/>
  <c r="AI24" i="14" s="1"/>
  <c r="AI30" i="14" s="1"/>
  <c r="AI36" i="14" s="1"/>
  <c r="AI42" i="14" s="1"/>
  <c r="AH12" i="14"/>
  <c r="AH18" i="14" s="1"/>
  <c r="AH24" i="14" s="1"/>
  <c r="AH30" i="14" s="1"/>
  <c r="AH36" i="14" s="1"/>
  <c r="AH42" i="14" s="1"/>
  <c r="AG12" i="14"/>
  <c r="AG18" i="14" s="1"/>
  <c r="AG24" i="14" s="1"/>
  <c r="AG30" i="14" s="1"/>
  <c r="AG36" i="14" s="1"/>
  <c r="AG42" i="14" s="1"/>
  <c r="AF12" i="14"/>
  <c r="AF18" i="14" s="1"/>
  <c r="AF24" i="14" s="1"/>
  <c r="AF30" i="14" s="1"/>
  <c r="AF36" i="14" s="1"/>
  <c r="AF42" i="14" s="1"/>
  <c r="AE12" i="14"/>
  <c r="AE18" i="14" s="1"/>
  <c r="AE24" i="14" s="1"/>
  <c r="AE30" i="14" s="1"/>
  <c r="AE36" i="14" s="1"/>
  <c r="AE42" i="14" s="1"/>
  <c r="AD12" i="14"/>
  <c r="AD18" i="14" s="1"/>
  <c r="AD24" i="14" s="1"/>
  <c r="AD30" i="14" s="1"/>
  <c r="AD36" i="14" s="1"/>
  <c r="AD42" i="14" s="1"/>
  <c r="AC12" i="14"/>
  <c r="AC18" i="14" s="1"/>
  <c r="AC24" i="14" s="1"/>
  <c r="AC30" i="14" s="1"/>
  <c r="AC36" i="14" s="1"/>
  <c r="AC42" i="14" s="1"/>
  <c r="AB12" i="14"/>
  <c r="AB18" i="14" s="1"/>
  <c r="AB24" i="14" s="1"/>
  <c r="AB30" i="14" s="1"/>
  <c r="AB36" i="14" s="1"/>
  <c r="AB42" i="14" s="1"/>
  <c r="BA193" i="12"/>
  <c r="AZ193" i="12"/>
  <c r="AY193" i="12"/>
  <c r="AX193" i="12"/>
  <c r="AW193" i="12"/>
  <c r="AV193" i="12"/>
  <c r="AU193" i="12"/>
  <c r="AT193" i="12"/>
  <c r="AS193" i="12"/>
  <c r="AR193" i="12"/>
  <c r="AQ193" i="12"/>
  <c r="AP193" i="12"/>
  <c r="AO193" i="12"/>
  <c r="AN193" i="12"/>
  <c r="AM193" i="12"/>
  <c r="BA185" i="12"/>
  <c r="AZ185" i="12"/>
  <c r="AY185" i="12"/>
  <c r="AX185" i="12"/>
  <c r="AW185" i="12"/>
  <c r="AV185" i="12"/>
  <c r="AU185" i="12"/>
  <c r="AT185" i="12"/>
  <c r="AS185" i="12"/>
  <c r="AR185" i="12"/>
  <c r="AQ185" i="12"/>
  <c r="AP185" i="12"/>
  <c r="AO185" i="12"/>
  <c r="AN185" i="12"/>
  <c r="AM185" i="12"/>
  <c r="AL185" i="12"/>
  <c r="AK185" i="12"/>
  <c r="AJ185" i="12"/>
  <c r="AI185" i="12"/>
  <c r="AH185" i="12"/>
  <c r="AG185" i="12"/>
  <c r="AF185" i="12"/>
  <c r="AE185" i="12"/>
  <c r="AD185" i="12"/>
  <c r="AC185" i="12"/>
  <c r="AB185" i="12"/>
  <c r="AA185" i="12"/>
  <c r="Z185" i="12"/>
  <c r="Y185" i="12"/>
  <c r="X185" i="12"/>
  <c r="W185" i="12"/>
  <c r="V185" i="12"/>
  <c r="U185" i="12"/>
  <c r="T185" i="12"/>
  <c r="S185" i="12"/>
  <c r="R185" i="12"/>
  <c r="Q185" i="12"/>
  <c r="P185" i="12"/>
  <c r="O185" i="12"/>
  <c r="N185" i="12"/>
  <c r="M185" i="12"/>
  <c r="L185" i="12"/>
  <c r="K185" i="12"/>
  <c r="J185" i="12"/>
  <c r="I185" i="12"/>
  <c r="H185" i="12"/>
  <c r="G185" i="12"/>
  <c r="F185" i="12"/>
  <c r="E185" i="12"/>
  <c r="D185" i="12"/>
  <c r="BA177" i="12"/>
  <c r="AZ177" i="12"/>
  <c r="AY177" i="12"/>
  <c r="AX177" i="12"/>
  <c r="AW177" i="12"/>
  <c r="AV177" i="12"/>
  <c r="AU177" i="12"/>
  <c r="AT177" i="12"/>
  <c r="AS177" i="12"/>
  <c r="AR177" i="12"/>
  <c r="AQ177" i="12"/>
  <c r="AP177" i="12"/>
  <c r="AO177" i="12"/>
  <c r="AN177" i="12"/>
  <c r="AM177" i="12"/>
  <c r="AL177" i="12"/>
  <c r="AK177" i="12"/>
  <c r="AJ177" i="12"/>
  <c r="AI177" i="12"/>
  <c r="AH177" i="12"/>
  <c r="AG177" i="12"/>
  <c r="AF177" i="12"/>
  <c r="AE177" i="12"/>
  <c r="AD177" i="12"/>
  <c r="AC177" i="12"/>
  <c r="AB177" i="12"/>
  <c r="AA177" i="12"/>
  <c r="Z177" i="12"/>
  <c r="Y177" i="12"/>
  <c r="X177" i="12"/>
  <c r="W177" i="12"/>
  <c r="V177" i="12"/>
  <c r="U177" i="12"/>
  <c r="T177" i="12"/>
  <c r="S177" i="12"/>
  <c r="R177" i="12"/>
  <c r="Q177" i="12"/>
  <c r="P177" i="12"/>
  <c r="O177" i="12"/>
  <c r="N177" i="12"/>
  <c r="M177" i="12"/>
  <c r="L177" i="12"/>
  <c r="K177" i="12"/>
  <c r="J177" i="12"/>
  <c r="I177" i="12"/>
  <c r="H177" i="12"/>
  <c r="G177" i="12"/>
  <c r="F177" i="12"/>
  <c r="E177" i="12"/>
  <c r="D177" i="12"/>
  <c r="BA169" i="12"/>
  <c r="AZ169" i="12"/>
  <c r="AY169" i="12"/>
  <c r="AX169" i="12"/>
  <c r="AW169" i="12"/>
  <c r="AV169" i="12"/>
  <c r="AU169" i="12"/>
  <c r="AT169" i="12"/>
  <c r="AS169" i="12"/>
  <c r="AR169" i="12"/>
  <c r="AQ169" i="12"/>
  <c r="AP169" i="12"/>
  <c r="AO169" i="12"/>
  <c r="AN169" i="12"/>
  <c r="AM169" i="12"/>
  <c r="AL169" i="12"/>
  <c r="AK169" i="12"/>
  <c r="AJ169" i="12"/>
  <c r="AI169" i="12"/>
  <c r="AH169" i="12"/>
  <c r="AG169" i="12"/>
  <c r="AF169" i="12"/>
  <c r="AE169" i="12"/>
  <c r="AD169" i="12"/>
  <c r="AC169" i="12"/>
  <c r="AB169" i="12"/>
  <c r="AA169" i="12"/>
  <c r="Z169" i="12"/>
  <c r="Y169" i="12"/>
  <c r="X169" i="12"/>
  <c r="W169" i="12"/>
  <c r="V169" i="12"/>
  <c r="U169" i="12"/>
  <c r="T169" i="12"/>
  <c r="S169" i="12"/>
  <c r="R169" i="12"/>
  <c r="Q169" i="12"/>
  <c r="P169" i="12"/>
  <c r="O169" i="12"/>
  <c r="N169" i="12"/>
  <c r="M169" i="12"/>
  <c r="L169" i="12"/>
  <c r="K169" i="12"/>
  <c r="J169" i="12"/>
  <c r="I169" i="12"/>
  <c r="H169" i="12"/>
  <c r="G169" i="12"/>
  <c r="F169" i="12"/>
  <c r="E169" i="12"/>
  <c r="D169" i="12"/>
  <c r="BA161" i="12"/>
  <c r="AZ161" i="12"/>
  <c r="AY161" i="12"/>
  <c r="AX161" i="12"/>
  <c r="AW161" i="12"/>
  <c r="AV161" i="12"/>
  <c r="AU161" i="12"/>
  <c r="AT161" i="12"/>
  <c r="AS161" i="12"/>
  <c r="AR161" i="12"/>
  <c r="AQ161" i="12"/>
  <c r="AP161" i="12"/>
  <c r="AO161" i="12"/>
  <c r="AN161" i="12"/>
  <c r="AM161" i="12"/>
  <c r="AL161" i="12"/>
  <c r="AK161" i="12"/>
  <c r="AJ161" i="12"/>
  <c r="AI161" i="12"/>
  <c r="AH161" i="12"/>
  <c r="AG161" i="12"/>
  <c r="AF161" i="12"/>
  <c r="AE161" i="12"/>
  <c r="AD161" i="12"/>
  <c r="AC161" i="12"/>
  <c r="AB161" i="12"/>
  <c r="AA161" i="12"/>
  <c r="Z161" i="12"/>
  <c r="Y161" i="12"/>
  <c r="X161" i="12"/>
  <c r="W161" i="12"/>
  <c r="V161" i="12"/>
  <c r="U161" i="12"/>
  <c r="T161" i="12"/>
  <c r="S161" i="12"/>
  <c r="R161" i="12"/>
  <c r="Q161" i="12"/>
  <c r="P161" i="12"/>
  <c r="O161" i="12"/>
  <c r="N161" i="12"/>
  <c r="M161" i="12"/>
  <c r="L161" i="12"/>
  <c r="K161" i="12"/>
  <c r="J161" i="12"/>
  <c r="I161" i="12"/>
  <c r="H161" i="12"/>
  <c r="G161" i="12"/>
  <c r="F161" i="12"/>
  <c r="E161" i="12"/>
  <c r="D161" i="12"/>
  <c r="BA153" i="12"/>
  <c r="AZ153" i="12"/>
  <c r="AY153" i="12"/>
  <c r="AX153" i="12"/>
  <c r="AW153" i="12"/>
  <c r="AV153" i="12"/>
  <c r="AU153" i="12"/>
  <c r="AT153" i="12"/>
  <c r="AS153" i="12"/>
  <c r="AR153" i="12"/>
  <c r="AQ153" i="12"/>
  <c r="AP153" i="12"/>
  <c r="AO153" i="12"/>
  <c r="AN153" i="12"/>
  <c r="AM153" i="12"/>
  <c r="AL153" i="12"/>
  <c r="AK153" i="12"/>
  <c r="AJ153" i="12"/>
  <c r="AI153" i="12"/>
  <c r="AH153" i="12"/>
  <c r="AG153" i="12"/>
  <c r="AF153" i="12"/>
  <c r="AE153" i="12"/>
  <c r="AD153" i="12"/>
  <c r="AC153" i="12"/>
  <c r="AB153" i="12"/>
  <c r="AA153" i="12"/>
  <c r="Z153" i="12"/>
  <c r="Y153" i="12"/>
  <c r="X153" i="12"/>
  <c r="W153" i="12"/>
  <c r="V153" i="12"/>
  <c r="U153" i="12"/>
  <c r="T153" i="12"/>
  <c r="S153" i="12"/>
  <c r="R153" i="12"/>
  <c r="Q153" i="12"/>
  <c r="P153" i="12"/>
  <c r="O153" i="12"/>
  <c r="N153" i="12"/>
  <c r="M153" i="12"/>
  <c r="L153" i="12"/>
  <c r="K153" i="12"/>
  <c r="J153" i="12"/>
  <c r="I153" i="12"/>
  <c r="H153" i="12"/>
  <c r="G153" i="12"/>
  <c r="F153" i="12"/>
  <c r="E153" i="12"/>
  <c r="D153" i="12"/>
  <c r="BA145" i="12"/>
  <c r="AZ145" i="12"/>
  <c r="AY145" i="12"/>
  <c r="AX145" i="12"/>
  <c r="AW145" i="12"/>
  <c r="AV145" i="12"/>
  <c r="AU145" i="12"/>
  <c r="AT145" i="12"/>
  <c r="AS145" i="12"/>
  <c r="AR145" i="12"/>
  <c r="AQ145" i="12"/>
  <c r="AP145" i="12"/>
  <c r="AO145" i="12"/>
  <c r="AN145" i="12"/>
  <c r="AM145" i="12"/>
  <c r="AL145" i="12"/>
  <c r="AK145" i="12"/>
  <c r="AJ145" i="12"/>
  <c r="AI145" i="12"/>
  <c r="AH145" i="12"/>
  <c r="AG145" i="12"/>
  <c r="AF145" i="12"/>
  <c r="AE145" i="12"/>
  <c r="AD145" i="12"/>
  <c r="AC145" i="12"/>
  <c r="AB145" i="12"/>
  <c r="AA145" i="12"/>
  <c r="Z145" i="12"/>
  <c r="Y145" i="12"/>
  <c r="X145" i="12"/>
  <c r="W145" i="12"/>
  <c r="V145" i="12"/>
  <c r="U145" i="12"/>
  <c r="T145" i="12"/>
  <c r="S145" i="12"/>
  <c r="R145" i="12"/>
  <c r="Q145" i="12"/>
  <c r="P145" i="12"/>
  <c r="O145" i="12"/>
  <c r="N145" i="12"/>
  <c r="M145" i="12"/>
  <c r="L145" i="12"/>
  <c r="K145" i="12"/>
  <c r="J145" i="12"/>
  <c r="I145" i="12"/>
  <c r="H145" i="12"/>
  <c r="G145" i="12"/>
  <c r="F145" i="12"/>
  <c r="E145" i="12"/>
  <c r="D145" i="12"/>
  <c r="BA137" i="12"/>
  <c r="AZ137" i="12"/>
  <c r="AY137" i="12"/>
  <c r="AW137" i="12"/>
  <c r="AV137" i="12"/>
  <c r="AT137" i="12"/>
  <c r="AS137" i="12"/>
  <c r="AR137" i="12"/>
  <c r="AQ137" i="12"/>
  <c r="AP137" i="12"/>
  <c r="AO137" i="12"/>
  <c r="AN137" i="12"/>
  <c r="AM137" i="12"/>
  <c r="AL137" i="12"/>
  <c r="AK137" i="12"/>
  <c r="AJ137" i="12"/>
  <c r="T129" i="64" l="1"/>
  <c r="AE129" i="64" s="1"/>
  <c r="U129" i="64"/>
  <c r="AF129" i="64" s="1"/>
  <c r="M264" i="78"/>
  <c r="O265" i="78"/>
  <c r="G275" i="78"/>
  <c r="F270" i="78"/>
  <c r="H275" i="78"/>
  <c r="H22" i="33"/>
  <c r="F275" i="78"/>
  <c r="F42" i="27"/>
  <c r="G265" i="78"/>
  <c r="I270" i="78"/>
  <c r="K275" i="78"/>
  <c r="I264" i="78"/>
  <c r="K265" i="78"/>
  <c r="M270" i="78"/>
  <c r="O275" i="78"/>
  <c r="M133" i="78"/>
  <c r="M135" i="78" s="1"/>
  <c r="M137" i="78" s="1"/>
  <c r="M140" i="78" s="1"/>
  <c r="I167" i="78"/>
  <c r="M235" i="78"/>
  <c r="M237" i="78" s="1"/>
  <c r="M239" i="78" s="1"/>
  <c r="M242" i="78" s="1"/>
  <c r="J65" i="78"/>
  <c r="J67" i="78" s="1"/>
  <c r="J69" i="78" s="1"/>
  <c r="F99" i="78"/>
  <c r="F201" i="78"/>
  <c r="F203" i="78" s="1"/>
  <c r="F205" i="78" s="1"/>
  <c r="F208" i="78" s="1"/>
  <c r="N235" i="78"/>
  <c r="N237" i="78" s="1"/>
  <c r="N239" i="78" s="1"/>
  <c r="N242" i="78" s="1"/>
  <c r="O264" i="78"/>
  <c r="G270" i="78"/>
  <c r="I275" i="78"/>
  <c r="F265" i="78"/>
  <c r="H270" i="78"/>
  <c r="J275" i="78"/>
  <c r="F264" i="78"/>
  <c r="H265" i="78"/>
  <c r="J270" i="78"/>
  <c r="L275" i="78"/>
  <c r="D22" i="36"/>
  <c r="D24" i="36" s="1"/>
  <c r="G264" i="78"/>
  <c r="I265" i="78"/>
  <c r="K270" i="78"/>
  <c r="M275" i="78"/>
  <c r="H264" i="78"/>
  <c r="J265" i="78"/>
  <c r="L270" i="78"/>
  <c r="N275" i="78"/>
  <c r="J264" i="78"/>
  <c r="L265" i="78"/>
  <c r="N270" i="78"/>
  <c r="D28" i="36"/>
  <c r="D31" i="36" s="1"/>
  <c r="J235" i="78"/>
  <c r="J237" i="78" s="1"/>
  <c r="J239" i="78" s="1"/>
  <c r="J242" i="78" s="1"/>
  <c r="I6" i="56"/>
  <c r="I39" i="56" s="1"/>
  <c r="I58" i="56" s="1"/>
  <c r="N31" i="78"/>
  <c r="N33" i="78" s="1"/>
  <c r="N264" i="78"/>
  <c r="BA38" i="8"/>
  <c r="BA43" i="8" s="1"/>
  <c r="V42" i="27"/>
  <c r="M24" i="24"/>
  <c r="Q22" i="36"/>
  <c r="Q24" i="36" s="1"/>
  <c r="Q28" i="36" s="1"/>
  <c r="Q31" i="36" s="1"/>
  <c r="AC22" i="36"/>
  <c r="AC24" i="36" s="1"/>
  <c r="P24" i="24"/>
  <c r="Y28" i="35"/>
  <c r="Y30" i="35" s="1"/>
  <c r="E6" i="60"/>
  <c r="Q6" i="60"/>
  <c r="I24" i="24"/>
  <c r="I36" i="24" s="1"/>
  <c r="I38" i="24" s="1"/>
  <c r="I42" i="24" s="1"/>
  <c r="I47" i="24" s="1"/>
  <c r="M28" i="35"/>
  <c r="M30" i="35" s="1"/>
  <c r="AL38" i="8"/>
  <c r="AL43" i="8" s="1"/>
  <c r="AX38" i="8"/>
  <c r="AX43" i="8" s="1"/>
  <c r="L235" i="78"/>
  <c r="L237" i="78" s="1"/>
  <c r="L239" i="78" s="1"/>
  <c r="L242" i="78" s="1"/>
  <c r="X8" i="40"/>
  <c r="K88" i="56"/>
  <c r="H88" i="59"/>
  <c r="K88" i="68"/>
  <c r="AZ24" i="20"/>
  <c r="R21" i="8"/>
  <c r="Q36" i="7"/>
  <c r="Q38" i="7" s="1"/>
  <c r="Q44" i="7" s="1"/>
  <c r="Q49" i="7" s="1"/>
  <c r="Q24" i="24"/>
  <c r="Q36" i="24" s="1"/>
  <c r="Q38" i="24" s="1"/>
  <c r="Q42" i="24" s="1"/>
  <c r="Q47" i="24" s="1"/>
  <c r="AB8" i="63"/>
  <c r="G36" i="7"/>
  <c r="G38" i="7" s="1"/>
  <c r="S36" i="7"/>
  <c r="S38" i="7" s="1"/>
  <c r="S44" i="7" s="1"/>
  <c r="S49" i="7" s="1"/>
  <c r="AD93" i="11"/>
  <c r="Y49" i="61"/>
  <c r="Y41" i="61" s="1"/>
  <c r="Y114" i="60"/>
  <c r="L88" i="63"/>
  <c r="M6" i="64"/>
  <c r="M39" i="64" s="1"/>
  <c r="M58" i="64" s="1"/>
  <c r="O88" i="70"/>
  <c r="W8" i="58"/>
  <c r="U23" i="42"/>
  <c r="X23" i="42"/>
  <c r="I6" i="59"/>
  <c r="I39" i="59" s="1"/>
  <c r="I58" i="59" s="1"/>
  <c r="J88" i="61"/>
  <c r="I6" i="65"/>
  <c r="I39" i="65" s="1"/>
  <c r="I57" i="65" s="1"/>
  <c r="AC38" i="8"/>
  <c r="AC43" i="8" s="1"/>
  <c r="U15" i="42"/>
  <c r="X15" i="42"/>
  <c r="I125" i="87"/>
  <c r="F57" i="46"/>
  <c r="H15" i="77"/>
  <c r="H30" i="77" s="1"/>
  <c r="H32" i="77" s="1"/>
  <c r="H36" i="77" s="1"/>
  <c r="H39" i="77" s="1"/>
  <c r="K15" i="77"/>
  <c r="K30" i="77" s="1"/>
  <c r="K32" i="77" s="1"/>
  <c r="K36" i="77" s="1"/>
  <c r="K39" i="77" s="1"/>
  <c r="G27" i="39"/>
  <c r="S27" i="39"/>
  <c r="AG27" i="39"/>
  <c r="AG44" i="39" s="1"/>
  <c r="L99" i="78"/>
  <c r="L101" i="78" s="1"/>
  <c r="L103" i="78" s="1"/>
  <c r="L106" i="78" s="1"/>
  <c r="D6" i="62"/>
  <c r="P6" i="62"/>
  <c r="D87" i="62"/>
  <c r="P87" i="62"/>
  <c r="H86" i="27"/>
  <c r="O6" i="67"/>
  <c r="O39" i="67" s="1"/>
  <c r="O58" i="67" s="1"/>
  <c r="D28" i="35"/>
  <c r="D30" i="35" s="1"/>
  <c r="D34" i="35" s="1"/>
  <c r="D38" i="35" s="1"/>
  <c r="Z24" i="47"/>
  <c r="Z27" i="47" s="1"/>
  <c r="AO38" i="8"/>
  <c r="AO43" i="8" s="1"/>
  <c r="M27" i="39"/>
  <c r="M44" i="39" s="1"/>
  <c r="N28" i="11"/>
  <c r="N50" i="11" s="1"/>
  <c r="AM28" i="11"/>
  <c r="AY28" i="11"/>
  <c r="E60" i="59"/>
  <c r="F60" i="60"/>
  <c r="G6" i="63"/>
  <c r="G39" i="63" s="1"/>
  <c r="G58" i="63" s="1"/>
  <c r="G88" i="64"/>
  <c r="E6" i="68"/>
  <c r="E39" i="68" s="1"/>
  <c r="E58" i="68" s="1"/>
  <c r="Q6" i="68"/>
  <c r="Q39" i="68" s="1"/>
  <c r="Q58" i="68" s="1"/>
  <c r="M6" i="61"/>
  <c r="G6" i="61"/>
  <c r="G39" i="61" s="1"/>
  <c r="G58" i="61" s="1"/>
  <c r="L88" i="61"/>
  <c r="AA22" i="36"/>
  <c r="AA24" i="36" s="1"/>
  <c r="AA28" i="36" s="1"/>
  <c r="AA31" i="36" s="1"/>
  <c r="M29" i="37"/>
  <c r="M32" i="37" s="1"/>
  <c r="M36" i="37" s="1"/>
  <c r="M41" i="37" s="1"/>
  <c r="Y29" i="37"/>
  <c r="Y32" i="37" s="1"/>
  <c r="Y36" i="37" s="1"/>
  <c r="Y41" i="37" s="1"/>
  <c r="AK29" i="37"/>
  <c r="AK32" i="37" s="1"/>
  <c r="AK36" i="37" s="1"/>
  <c r="AK41" i="37" s="1"/>
  <c r="F22" i="38"/>
  <c r="F24" i="38" s="1"/>
  <c r="R22" i="38"/>
  <c r="R24" i="38" s="1"/>
  <c r="R28" i="38" s="1"/>
  <c r="R32" i="38" s="1"/>
  <c r="R42" i="27"/>
  <c r="E45" i="28"/>
  <c r="O23" i="31"/>
  <c r="O43" i="31" s="1"/>
  <c r="D88" i="59"/>
  <c r="P88" i="59"/>
  <c r="AC24" i="21"/>
  <c r="F36" i="7"/>
  <c r="F38" i="7" s="1"/>
  <c r="F44" i="7" s="1"/>
  <c r="F49" i="7" s="1"/>
  <c r="F51" i="7" s="1"/>
  <c r="R36" i="7"/>
  <c r="R38" i="7" s="1"/>
  <c r="R44" i="7" s="1"/>
  <c r="R49" i="7" s="1"/>
  <c r="F27" i="39"/>
  <c r="F44" i="39" s="1"/>
  <c r="R27" i="39"/>
  <c r="R44" i="39" s="1"/>
  <c r="L60" i="58"/>
  <c r="K88" i="64"/>
  <c r="I87" i="62"/>
  <c r="D88" i="70"/>
  <c r="P88" i="70"/>
  <c r="F31" i="78"/>
  <c r="N65" i="78"/>
  <c r="J99" i="78"/>
  <c r="J6" i="65"/>
  <c r="J39" i="65" s="1"/>
  <c r="J57" i="65" s="1"/>
  <c r="J6" i="67"/>
  <c r="J39" i="67" s="1"/>
  <c r="J58" i="67" s="1"/>
  <c r="E29" i="37"/>
  <c r="E32" i="37" s="1"/>
  <c r="Z8" i="58"/>
  <c r="H22" i="36"/>
  <c r="H24" i="36" s="1"/>
  <c r="H28" i="36" s="1"/>
  <c r="H31" i="36" s="1"/>
  <c r="AC24" i="23"/>
  <c r="M34" i="35"/>
  <c r="M38" i="35" s="1"/>
  <c r="I23" i="31"/>
  <c r="I43" i="31" s="1"/>
  <c r="O6" i="56"/>
  <c r="O39" i="56" s="1"/>
  <c r="O58" i="56" s="1"/>
  <c r="J6" i="60"/>
  <c r="J39" i="60" s="1"/>
  <c r="J58" i="60" s="1"/>
  <c r="H6" i="61"/>
  <c r="H39" i="61" s="1"/>
  <c r="H58" i="61" s="1"/>
  <c r="J24" i="22"/>
  <c r="J36" i="22" s="1"/>
  <c r="F23" i="31"/>
  <c r="F43" i="31" s="1"/>
  <c r="R23" i="31"/>
  <c r="R43" i="31" s="1"/>
  <c r="D88" i="64"/>
  <c r="P88" i="64"/>
  <c r="N6" i="65"/>
  <c r="N39" i="65" s="1"/>
  <c r="N57" i="65" s="1"/>
  <c r="C6" i="66"/>
  <c r="C39" i="66" s="1"/>
  <c r="C57" i="66" s="1"/>
  <c r="N6" i="68"/>
  <c r="N39" i="68" s="1"/>
  <c r="N58" i="68" s="1"/>
  <c r="AK24" i="47"/>
  <c r="AK27" i="47" s="1"/>
  <c r="AK31" i="47" s="1"/>
  <c r="AK36" i="47" s="1"/>
  <c r="X125" i="85"/>
  <c r="U27" i="39"/>
  <c r="I27" i="39"/>
  <c r="J27" i="39"/>
  <c r="J44" i="39" s="1"/>
  <c r="D124" i="82"/>
  <c r="Z8" i="55"/>
  <c r="Y8" i="55"/>
  <c r="AA8" i="55"/>
  <c r="K6" i="59"/>
  <c r="K39" i="59" s="1"/>
  <c r="K58" i="59" s="1"/>
  <c r="N6" i="69"/>
  <c r="N39" i="69" s="1"/>
  <c r="N58" i="69" s="1"/>
  <c r="K24" i="29"/>
  <c r="K46" i="29" s="1"/>
  <c r="W24" i="29"/>
  <c r="W46" i="29" s="1"/>
  <c r="P124" i="82"/>
  <c r="Y24" i="23"/>
  <c r="I28" i="35"/>
  <c r="I30" i="35" s="1"/>
  <c r="I34" i="35" s="1"/>
  <c r="I38" i="35" s="1"/>
  <c r="AC28" i="36"/>
  <c r="AC31" i="36" s="1"/>
  <c r="AQ24" i="47"/>
  <c r="AQ27" i="47" s="1"/>
  <c r="AQ31" i="47" s="1"/>
  <c r="AQ36" i="47" s="1"/>
  <c r="D57" i="46"/>
  <c r="D63" i="46" s="1"/>
  <c r="Q123" i="98"/>
  <c r="F60" i="58"/>
  <c r="X8" i="61"/>
  <c r="AA8" i="64"/>
  <c r="X113" i="65"/>
  <c r="AA127" i="68"/>
  <c r="K6" i="69"/>
  <c r="K39" i="69" s="1"/>
  <c r="K58" i="69" s="1"/>
  <c r="AM24" i="20"/>
  <c r="J28" i="35"/>
  <c r="J30" i="35" s="1"/>
  <c r="J34" i="35" s="1"/>
  <c r="J38" i="35" s="1"/>
  <c r="D29" i="37"/>
  <c r="D32" i="37" s="1"/>
  <c r="D36" i="37" s="1"/>
  <c r="D41" i="37" s="1"/>
  <c r="H24" i="47"/>
  <c r="H27" i="47" s="1"/>
  <c r="H31" i="47" s="1"/>
  <c r="H36" i="47" s="1"/>
  <c r="T24" i="47"/>
  <c r="T27" i="47" s="1"/>
  <c r="T31" i="47" s="1"/>
  <c r="T36" i="47" s="1"/>
  <c r="G44" i="7"/>
  <c r="G49" i="7" s="1"/>
  <c r="G51" i="7" s="1"/>
  <c r="T45" i="28"/>
  <c r="L24" i="29"/>
  <c r="X24" i="29"/>
  <c r="D23" i="31"/>
  <c r="D43" i="31" s="1"/>
  <c r="P23" i="31"/>
  <c r="P43" i="31" s="1"/>
  <c r="D27" i="39"/>
  <c r="D44" i="39" s="1"/>
  <c r="P27" i="39"/>
  <c r="P44" i="39" s="1"/>
  <c r="N124" i="83"/>
  <c r="L60" i="55"/>
  <c r="E6" i="58"/>
  <c r="E39" i="58" s="1"/>
  <c r="E58" i="58" s="1"/>
  <c r="Q6" i="58"/>
  <c r="Q39" i="58" s="1"/>
  <c r="Q58" i="58" s="1"/>
  <c r="Y8" i="61"/>
  <c r="L60" i="61"/>
  <c r="M88" i="64"/>
  <c r="I86" i="66"/>
  <c r="L6" i="69"/>
  <c r="L39" i="69" s="1"/>
  <c r="L58" i="69" s="1"/>
  <c r="J88" i="69"/>
  <c r="K28" i="35"/>
  <c r="K30" i="35" s="1"/>
  <c r="Q29" i="37"/>
  <c r="Q32" i="37" s="1"/>
  <c r="Q36" i="37" s="1"/>
  <c r="Q41" i="37" s="1"/>
  <c r="AC29" i="37"/>
  <c r="AC32" i="37" s="1"/>
  <c r="AC36" i="37" s="1"/>
  <c r="AC41" i="37" s="1"/>
  <c r="J22" i="38"/>
  <c r="J24" i="38" s="1"/>
  <c r="J28" i="38" s="1"/>
  <c r="J32" i="38" s="1"/>
  <c r="G45" i="28"/>
  <c r="S45" i="28"/>
  <c r="K124" i="81"/>
  <c r="W124" i="81"/>
  <c r="L60" i="56"/>
  <c r="J88" i="56"/>
  <c r="Y49" i="60"/>
  <c r="Y41" i="60" s="1"/>
  <c r="K88" i="69"/>
  <c r="AG31" i="47"/>
  <c r="AG36" i="47" s="1"/>
  <c r="W21" i="8"/>
  <c r="D45" i="27"/>
  <c r="D86" i="27" s="1"/>
  <c r="L124" i="86"/>
  <c r="T125" i="87"/>
  <c r="M6" i="56"/>
  <c r="M39" i="56" s="1"/>
  <c r="M58" i="56" s="1"/>
  <c r="H6" i="58"/>
  <c r="H39" i="58" s="1"/>
  <c r="H58" i="58" s="1"/>
  <c r="G6" i="68"/>
  <c r="G39" i="68" s="1"/>
  <c r="G58" i="68" s="1"/>
  <c r="AA28" i="35"/>
  <c r="AA30" i="35" s="1"/>
  <c r="AA34" i="35" s="1"/>
  <c r="AA38" i="35" s="1"/>
  <c r="L25" i="45"/>
  <c r="L28" i="45" s="1"/>
  <c r="L32" i="45" s="1"/>
  <c r="L37" i="45" s="1"/>
  <c r="AM38" i="8"/>
  <c r="AM43" i="8" s="1"/>
  <c r="AY38" i="8"/>
  <c r="AY43" i="8" s="1"/>
  <c r="K42" i="27"/>
  <c r="W42" i="27"/>
  <c r="E23" i="30"/>
  <c r="E42" i="30" s="1"/>
  <c r="W23" i="30"/>
  <c r="W42" i="30" s="1"/>
  <c r="K28" i="11"/>
  <c r="K50" i="11" s="1"/>
  <c r="W28" i="11"/>
  <c r="W50" i="11" s="1"/>
  <c r="AI28" i="11"/>
  <c r="AI50" i="11" s="1"/>
  <c r="AU28" i="11"/>
  <c r="AU50" i="11" s="1"/>
  <c r="F93" i="11"/>
  <c r="G60" i="60"/>
  <c r="Z8" i="68"/>
  <c r="R24" i="22"/>
  <c r="R36" i="22" s="1"/>
  <c r="R38" i="22" s="1"/>
  <c r="R42" i="22" s="1"/>
  <c r="R47" i="22" s="1"/>
  <c r="H24" i="25"/>
  <c r="O124" i="81"/>
  <c r="K124" i="82"/>
  <c r="W124" i="82"/>
  <c r="N60" i="67"/>
  <c r="Y79" i="67"/>
  <c r="S24" i="22"/>
  <c r="Z31" i="47"/>
  <c r="Z36" i="47" s="1"/>
  <c r="L89" i="31"/>
  <c r="E74" i="19"/>
  <c r="F60" i="61"/>
  <c r="O60" i="61"/>
  <c r="F88" i="61"/>
  <c r="N87" i="62"/>
  <c r="I88" i="67"/>
  <c r="D88" i="69"/>
  <c r="P88" i="69"/>
  <c r="O6" i="70"/>
  <c r="O39" i="70" s="1"/>
  <c r="O58" i="70" s="1"/>
  <c r="BA24" i="20"/>
  <c r="AE24" i="23"/>
  <c r="O25" i="45"/>
  <c r="O28" i="45" s="1"/>
  <c r="O32" i="45" s="1"/>
  <c r="O37" i="45" s="1"/>
  <c r="AA24" i="47"/>
  <c r="AA27" i="47" s="1"/>
  <c r="AA31" i="47" s="1"/>
  <c r="AA36" i="47" s="1"/>
  <c r="K27" i="39"/>
  <c r="K44" i="39" s="1"/>
  <c r="E124" i="86"/>
  <c r="Q124" i="86"/>
  <c r="M125" i="87"/>
  <c r="J31" i="78"/>
  <c r="J133" i="78"/>
  <c r="J135" i="78" s="1"/>
  <c r="J137" i="78" s="1"/>
  <c r="J140" i="78" s="1"/>
  <c r="L88" i="55"/>
  <c r="G60" i="61"/>
  <c r="Z127" i="63"/>
  <c r="F6" i="65"/>
  <c r="F39" i="65" s="1"/>
  <c r="F57" i="65" s="1"/>
  <c r="T8" i="66"/>
  <c r="H6" i="66"/>
  <c r="H39" i="66" s="1"/>
  <c r="H57" i="66" s="1"/>
  <c r="O60" i="70"/>
  <c r="J24" i="29"/>
  <c r="J46" i="29" s="1"/>
  <c r="V24" i="29"/>
  <c r="V46" i="29" s="1"/>
  <c r="I22" i="32"/>
  <c r="I38" i="32" s="1"/>
  <c r="F124" i="84"/>
  <c r="R124" i="84"/>
  <c r="V125" i="85"/>
  <c r="AX195" i="12"/>
  <c r="O88" i="63"/>
  <c r="G60" i="67"/>
  <c r="F88" i="68"/>
  <c r="J6" i="70"/>
  <c r="J39" i="70" s="1"/>
  <c r="J58" i="70" s="1"/>
  <c r="O22" i="38"/>
  <c r="O24" i="38" s="1"/>
  <c r="O28" i="38" s="1"/>
  <c r="O32" i="38" s="1"/>
  <c r="AN38" i="8"/>
  <c r="AN43" i="8" s="1"/>
  <c r="L36" i="7"/>
  <c r="L38" i="7" s="1"/>
  <c r="L44" i="7" s="1"/>
  <c r="L49" i="7" s="1"/>
  <c r="L51" i="7" s="1"/>
  <c r="X36" i="7"/>
  <c r="X38" i="7" s="1"/>
  <c r="X44" i="7" s="1"/>
  <c r="X49" i="7" s="1"/>
  <c r="E124" i="80"/>
  <c r="Q124" i="80"/>
  <c r="S123" i="98"/>
  <c r="H65" i="78"/>
  <c r="H67" i="78" s="1"/>
  <c r="H69" i="78" s="1"/>
  <c r="H72" i="78" s="1"/>
  <c r="L133" i="78"/>
  <c r="L135" i="78" s="1"/>
  <c r="L137" i="78" s="1"/>
  <c r="L140" i="78" s="1"/>
  <c r="Q9" i="16"/>
  <c r="F6" i="58"/>
  <c r="F39" i="58" s="1"/>
  <c r="F58" i="58" s="1"/>
  <c r="Y100" i="58"/>
  <c r="L6" i="59"/>
  <c r="L39" i="59" s="1"/>
  <c r="L58" i="59" s="1"/>
  <c r="N6" i="62"/>
  <c r="N39" i="62" s="1"/>
  <c r="N57" i="62" s="1"/>
  <c r="F59" i="65"/>
  <c r="L88" i="67"/>
  <c r="AA79" i="68"/>
  <c r="Y8" i="70"/>
  <c r="H24" i="24"/>
  <c r="H36" i="24" s="1"/>
  <c r="H38" i="24" s="1"/>
  <c r="H42" i="24" s="1"/>
  <c r="H47" i="24" s="1"/>
  <c r="G28" i="35"/>
  <c r="G30" i="35" s="1"/>
  <c r="G34" i="35" s="1"/>
  <c r="G38" i="35" s="1"/>
  <c r="T28" i="35"/>
  <c r="T30" i="35" s="1"/>
  <c r="T34" i="35" s="1"/>
  <c r="T38" i="35" s="1"/>
  <c r="O28" i="35"/>
  <c r="O30" i="35" s="1"/>
  <c r="O34" i="35" s="1"/>
  <c r="O38" i="35" s="1"/>
  <c r="N22" i="36"/>
  <c r="N24" i="36" s="1"/>
  <c r="N28" i="36" s="1"/>
  <c r="N31" i="36" s="1"/>
  <c r="N25" i="45"/>
  <c r="N28" i="45" s="1"/>
  <c r="N32" i="45" s="1"/>
  <c r="N37" i="45" s="1"/>
  <c r="F60" i="40"/>
  <c r="R124" i="80"/>
  <c r="T123" i="98"/>
  <c r="L28" i="18"/>
  <c r="O48" i="16"/>
  <c r="J60" i="58"/>
  <c r="J60" i="61"/>
  <c r="X126" i="65"/>
  <c r="Y8" i="67"/>
  <c r="H88" i="68"/>
  <c r="Q6" i="69"/>
  <c r="Q39" i="69" s="1"/>
  <c r="Q58" i="69" s="1"/>
  <c r="O88" i="69"/>
  <c r="Z8" i="70"/>
  <c r="AZ24" i="21"/>
  <c r="H28" i="35"/>
  <c r="H30" i="35" s="1"/>
  <c r="H34" i="35" s="1"/>
  <c r="H38" i="35" s="1"/>
  <c r="U28" i="35"/>
  <c r="U30" i="35" s="1"/>
  <c r="U34" i="35" s="1"/>
  <c r="U38" i="35" s="1"/>
  <c r="C22" i="36"/>
  <c r="C24" i="36" s="1"/>
  <c r="C28" i="36" s="1"/>
  <c r="C31" i="36" s="1"/>
  <c r="N29" i="37"/>
  <c r="N32" i="37" s="1"/>
  <c r="N36" i="37" s="1"/>
  <c r="N41" i="37" s="1"/>
  <c r="Z29" i="37"/>
  <c r="Z32" i="37" s="1"/>
  <c r="Z36" i="37" s="1"/>
  <c r="Z41" i="37" s="1"/>
  <c r="Y28" i="39"/>
  <c r="Y27" i="39" s="1"/>
  <c r="Y44" i="39" s="1"/>
  <c r="D28" i="11"/>
  <c r="D50" i="11" s="1"/>
  <c r="P28" i="11"/>
  <c r="P50" i="11" s="1"/>
  <c r="M124" i="84"/>
  <c r="Y124" i="84"/>
  <c r="H88" i="63"/>
  <c r="F88" i="63"/>
  <c r="D59" i="62"/>
  <c r="P59" i="62"/>
  <c r="N59" i="62"/>
  <c r="AB8" i="68"/>
  <c r="Z114" i="68"/>
  <c r="F6" i="69"/>
  <c r="F39" i="69" s="1"/>
  <c r="F58" i="69" s="1"/>
  <c r="Z114" i="69"/>
  <c r="Z114" i="70"/>
  <c r="I24" i="22"/>
  <c r="I36" i="22" s="1"/>
  <c r="F24" i="26"/>
  <c r="F36" i="26" s="1"/>
  <c r="F38" i="26" s="1"/>
  <c r="F42" i="26" s="1"/>
  <c r="F47" i="26" s="1"/>
  <c r="V28" i="35"/>
  <c r="V30" i="35" s="1"/>
  <c r="V34" i="35" s="1"/>
  <c r="V38" i="35" s="1"/>
  <c r="AQ38" i="8"/>
  <c r="AQ43" i="8" s="1"/>
  <c r="U45" i="28"/>
  <c r="G95" i="28"/>
  <c r="H92" i="39"/>
  <c r="O92" i="39"/>
  <c r="Z18" i="40"/>
  <c r="Z31" i="40" s="1"/>
  <c r="E88" i="58"/>
  <c r="Q88" i="58"/>
  <c r="Y17" i="60"/>
  <c r="E6" i="62"/>
  <c r="E39" i="62" s="1"/>
  <c r="E57" i="62" s="1"/>
  <c r="Q6" i="62"/>
  <c r="Q39" i="62" s="1"/>
  <c r="Q57" i="62" s="1"/>
  <c r="I6" i="67"/>
  <c r="I39" i="67" s="1"/>
  <c r="I58" i="67" s="1"/>
  <c r="L6" i="67"/>
  <c r="L39" i="67" s="1"/>
  <c r="L58" i="67" s="1"/>
  <c r="Q24" i="22"/>
  <c r="Q36" i="22" s="1"/>
  <c r="Q38" i="22" s="1"/>
  <c r="Q42" i="22" s="1"/>
  <c r="Q47" i="22" s="1"/>
  <c r="M24" i="25"/>
  <c r="AO24" i="47"/>
  <c r="AO27" i="47" s="1"/>
  <c r="AO31" i="47" s="1"/>
  <c r="AO36" i="47" s="1"/>
  <c r="AR38" i="8"/>
  <c r="AR43" i="8" s="1"/>
  <c r="AZ38" i="8"/>
  <c r="AZ43" i="8" s="1"/>
  <c r="AD27" i="39"/>
  <c r="AD44" i="39" s="1"/>
  <c r="AI92" i="39"/>
  <c r="C18" i="40"/>
  <c r="C31" i="40" s="1"/>
  <c r="O18" i="40"/>
  <c r="O31" i="40" s="1"/>
  <c r="AA18" i="40"/>
  <c r="Z8" i="57"/>
  <c r="Z8" i="60"/>
  <c r="Z17" i="60"/>
  <c r="H60" i="60"/>
  <c r="E6" i="63"/>
  <c r="E39" i="63" s="1"/>
  <c r="E58" i="63" s="1"/>
  <c r="Q6" i="63"/>
  <c r="Q39" i="63" s="1"/>
  <c r="Q58" i="63" s="1"/>
  <c r="J88" i="63"/>
  <c r="P88" i="67"/>
  <c r="N88" i="67"/>
  <c r="AD24" i="23"/>
  <c r="X28" i="35"/>
  <c r="X30" i="35" s="1"/>
  <c r="X34" i="35" s="1"/>
  <c r="X38" i="35" s="1"/>
  <c r="R24" i="47"/>
  <c r="R27" i="47" s="1"/>
  <c r="R31" i="47" s="1"/>
  <c r="R36" i="47" s="1"/>
  <c r="G125" i="85"/>
  <c r="S125" i="85"/>
  <c r="N124" i="86"/>
  <c r="AA27" i="55"/>
  <c r="O6" i="57"/>
  <c r="O39" i="57" s="1"/>
  <c r="O58" i="57" s="1"/>
  <c r="L88" i="59"/>
  <c r="Y127" i="59"/>
  <c r="O6" i="61"/>
  <c r="O39" i="61" s="1"/>
  <c r="O58" i="61" s="1"/>
  <c r="M6" i="62"/>
  <c r="F60" i="68"/>
  <c r="L24" i="22"/>
  <c r="L36" i="22" s="1"/>
  <c r="AQ93" i="11"/>
  <c r="H125" i="85"/>
  <c r="O124" i="86"/>
  <c r="X8" i="62"/>
  <c r="I6" i="66"/>
  <c r="G60" i="68"/>
  <c r="AI38" i="8"/>
  <c r="AI43" i="8" s="1"/>
  <c r="AU38" i="8"/>
  <c r="AU43" i="8" s="1"/>
  <c r="G24" i="29"/>
  <c r="S24" i="29"/>
  <c r="K75" i="32"/>
  <c r="I28" i="11"/>
  <c r="I50" i="11" s="1"/>
  <c r="U28" i="11"/>
  <c r="U50" i="11" s="1"/>
  <c r="N123" i="98"/>
  <c r="F28" i="18"/>
  <c r="R28" i="18"/>
  <c r="O52" i="16"/>
  <c r="N6" i="55"/>
  <c r="N39" i="55" s="1"/>
  <c r="N58" i="55" s="1"/>
  <c r="Q88" i="56"/>
  <c r="I88" i="58"/>
  <c r="G6" i="59"/>
  <c r="G39" i="59" s="1"/>
  <c r="G58" i="59" s="1"/>
  <c r="J60" i="59"/>
  <c r="K6" i="60"/>
  <c r="D88" i="60"/>
  <c r="P88" i="60"/>
  <c r="K6" i="61"/>
  <c r="K39" i="61" s="1"/>
  <c r="K58" i="61" s="1"/>
  <c r="H6" i="63"/>
  <c r="K6" i="64"/>
  <c r="H6" i="65"/>
  <c r="G88" i="67"/>
  <c r="K22" i="38"/>
  <c r="K24" i="38" s="1"/>
  <c r="K28" i="38" s="1"/>
  <c r="K32" i="38" s="1"/>
  <c r="W22" i="38"/>
  <c r="W24" i="38" s="1"/>
  <c r="W28" i="38" s="1"/>
  <c r="W32" i="38" s="1"/>
  <c r="I25" i="45"/>
  <c r="I28" i="45" s="1"/>
  <c r="I32" i="45" s="1"/>
  <c r="I37" i="45" s="1"/>
  <c r="AS24" i="47"/>
  <c r="AS27" i="47" s="1"/>
  <c r="H36" i="7"/>
  <c r="H38" i="7" s="1"/>
  <c r="AH27" i="39"/>
  <c r="AH44" i="39" s="1"/>
  <c r="L15" i="18"/>
  <c r="J6" i="56"/>
  <c r="J39" i="56" s="1"/>
  <c r="J58" i="56" s="1"/>
  <c r="AA8" i="56"/>
  <c r="H6" i="59"/>
  <c r="H39" i="59" s="1"/>
  <c r="H58" i="59" s="1"/>
  <c r="Z8" i="59"/>
  <c r="L6" i="60"/>
  <c r="L39" i="60" s="1"/>
  <c r="L58" i="60" s="1"/>
  <c r="Z127" i="60"/>
  <c r="L6" i="61"/>
  <c r="I6" i="63"/>
  <c r="I39" i="63" s="1"/>
  <c r="I58" i="63" s="1"/>
  <c r="G60" i="63"/>
  <c r="N88" i="63"/>
  <c r="J6" i="62"/>
  <c r="J39" i="62" s="1"/>
  <c r="J57" i="62" s="1"/>
  <c r="M87" i="62"/>
  <c r="E87" i="65"/>
  <c r="Q87" i="65"/>
  <c r="D6" i="66"/>
  <c r="D39" i="66" s="1"/>
  <c r="D57" i="66" s="1"/>
  <c r="J24" i="25"/>
  <c r="I24" i="26"/>
  <c r="I36" i="26" s="1"/>
  <c r="I38" i="26" s="1"/>
  <c r="I42" i="26" s="1"/>
  <c r="I47" i="26" s="1"/>
  <c r="P28" i="35"/>
  <c r="P30" i="35" s="1"/>
  <c r="P34" i="35" s="1"/>
  <c r="P38" i="35" s="1"/>
  <c r="AB28" i="35"/>
  <c r="AB30" i="35" s="1"/>
  <c r="AB34" i="35" s="1"/>
  <c r="AB38" i="35" s="1"/>
  <c r="L22" i="38"/>
  <c r="L24" i="38" s="1"/>
  <c r="L28" i="38" s="1"/>
  <c r="L32" i="38" s="1"/>
  <c r="X22" i="38"/>
  <c r="X24" i="38" s="1"/>
  <c r="X28" i="38" s="1"/>
  <c r="X32" i="38" s="1"/>
  <c r="N89" i="29"/>
  <c r="H23" i="31"/>
  <c r="H43" i="31" s="1"/>
  <c r="N124" i="80"/>
  <c r="H124" i="84"/>
  <c r="Z27" i="70"/>
  <c r="O86" i="27"/>
  <c r="F124" i="82"/>
  <c r="D123" i="98"/>
  <c r="G124" i="86"/>
  <c r="S124" i="86"/>
  <c r="G15" i="18"/>
  <c r="S15" i="18"/>
  <c r="D6" i="58"/>
  <c r="D39" i="58" s="1"/>
  <c r="P6" i="58"/>
  <c r="P39" i="58" s="1"/>
  <c r="P58" i="58" s="1"/>
  <c r="J6" i="59"/>
  <c r="J39" i="59" s="1"/>
  <c r="J58" i="59" s="1"/>
  <c r="D6" i="59"/>
  <c r="D39" i="59" s="1"/>
  <c r="D58" i="59" s="1"/>
  <c r="K6" i="63"/>
  <c r="K39" i="63" s="1"/>
  <c r="K58" i="63" s="1"/>
  <c r="H6" i="64"/>
  <c r="H39" i="64" s="1"/>
  <c r="H58" i="64" s="1"/>
  <c r="AA79" i="64"/>
  <c r="O87" i="62"/>
  <c r="K6" i="65"/>
  <c r="F60" i="67"/>
  <c r="Y79" i="68"/>
  <c r="O24" i="22"/>
  <c r="O36" i="22" s="1"/>
  <c r="O38" i="22" s="1"/>
  <c r="O42" i="22" s="1"/>
  <c r="O47" i="22" s="1"/>
  <c r="M36" i="24"/>
  <c r="M38" i="24" s="1"/>
  <c r="M42" i="24" s="1"/>
  <c r="M47" i="24" s="1"/>
  <c r="J22" i="32"/>
  <c r="J38" i="32" s="1"/>
  <c r="D75" i="32"/>
  <c r="E30" i="46"/>
  <c r="AK27" i="39"/>
  <c r="AK44" i="39" s="1"/>
  <c r="J124" i="84"/>
  <c r="V124" i="84"/>
  <c r="R123" i="98"/>
  <c r="J28" i="18"/>
  <c r="K31" i="78"/>
  <c r="K235" i="78"/>
  <c r="K237" i="78" s="1"/>
  <c r="K239" i="78" s="1"/>
  <c r="K242" i="78" s="1"/>
  <c r="P35" i="16"/>
  <c r="O42" i="16"/>
  <c r="P60" i="55"/>
  <c r="G60" i="56"/>
  <c r="Y62" i="56"/>
  <c r="D60" i="57"/>
  <c r="D60" i="60"/>
  <c r="P60" i="60"/>
  <c r="Z127" i="61"/>
  <c r="H60" i="64"/>
  <c r="I87" i="65"/>
  <c r="L88" i="68"/>
  <c r="M88" i="69"/>
  <c r="N6" i="70"/>
  <c r="N39" i="70" s="1"/>
  <c r="N58" i="70" s="1"/>
  <c r="K88" i="70"/>
  <c r="H24" i="21"/>
  <c r="AP24" i="47"/>
  <c r="AP27" i="47" s="1"/>
  <c r="AP31" i="47" s="1"/>
  <c r="AP36" i="47" s="1"/>
  <c r="L89" i="29"/>
  <c r="X89" i="29"/>
  <c r="F22" i="32"/>
  <c r="F38" i="32" s="1"/>
  <c r="S44" i="39"/>
  <c r="O24" i="16"/>
  <c r="R35" i="16"/>
  <c r="O43" i="16"/>
  <c r="E60" i="60"/>
  <c r="F6" i="61"/>
  <c r="F39" i="61" s="1"/>
  <c r="F58" i="61" s="1"/>
  <c r="D6" i="63"/>
  <c r="D39" i="63" s="1"/>
  <c r="D58" i="63" s="1"/>
  <c r="P6" i="63"/>
  <c r="P39" i="63" s="1"/>
  <c r="P58" i="63" s="1"/>
  <c r="M88" i="63"/>
  <c r="X8" i="64"/>
  <c r="U8" i="62"/>
  <c r="E87" i="62"/>
  <c r="D6" i="67"/>
  <c r="D39" i="67" s="1"/>
  <c r="D58" i="67" s="1"/>
  <c r="P6" i="67"/>
  <c r="F6" i="67"/>
  <c r="F39" i="67" s="1"/>
  <c r="F58" i="67" s="1"/>
  <c r="M88" i="68"/>
  <c r="N60" i="70"/>
  <c r="AI29" i="37"/>
  <c r="AI32" i="37" s="1"/>
  <c r="AI36" i="37" s="1"/>
  <c r="AI41" i="37" s="1"/>
  <c r="S24" i="47"/>
  <c r="S27" i="47" s="1"/>
  <c r="S31" i="47" s="1"/>
  <c r="S36" i="47" s="1"/>
  <c r="L22" i="33"/>
  <c r="L43" i="33" s="1"/>
  <c r="H60" i="40"/>
  <c r="T60" i="40"/>
  <c r="AM50" i="11"/>
  <c r="AY50" i="11"/>
  <c r="I93" i="11"/>
  <c r="U93" i="11"/>
  <c r="AW93" i="11"/>
  <c r="M124" i="83"/>
  <c r="Y124" i="83"/>
  <c r="V123" i="98"/>
  <c r="F15" i="18"/>
  <c r="R15" i="18"/>
  <c r="M28" i="18"/>
  <c r="O25" i="16"/>
  <c r="P43" i="16"/>
  <c r="K88" i="55"/>
  <c r="N6" i="58"/>
  <c r="N39" i="58" s="1"/>
  <c r="N58" i="58" s="1"/>
  <c r="Y17" i="58"/>
  <c r="N6" i="61"/>
  <c r="N39" i="61" s="1"/>
  <c r="N58" i="61" s="1"/>
  <c r="AA8" i="61"/>
  <c r="Z49" i="61"/>
  <c r="Z41" i="61" s="1"/>
  <c r="N60" i="63"/>
  <c r="J60" i="64"/>
  <c r="AA79" i="67"/>
  <c r="D88" i="67"/>
  <c r="BA24" i="21"/>
  <c r="N30" i="8"/>
  <c r="N32" i="8" s="1"/>
  <c r="N38" i="8" s="1"/>
  <c r="N43" i="8" s="1"/>
  <c r="G22" i="32"/>
  <c r="G38" i="32" s="1"/>
  <c r="L57" i="46"/>
  <c r="L63" i="46" s="1"/>
  <c r="AC92" i="39"/>
  <c r="I28" i="18"/>
  <c r="Y127" i="56"/>
  <c r="I60" i="60"/>
  <c r="W8" i="63"/>
  <c r="Y127" i="63"/>
  <c r="Z17" i="68"/>
  <c r="Q6" i="70"/>
  <c r="Q39" i="70" s="1"/>
  <c r="Q58" i="70" s="1"/>
  <c r="AA27" i="70"/>
  <c r="O36" i="7"/>
  <c r="O38" i="7" s="1"/>
  <c r="O44" i="7" s="1"/>
  <c r="O49" i="7" s="1"/>
  <c r="O51" i="7" s="1"/>
  <c r="N95" i="33"/>
  <c r="V44" i="39"/>
  <c r="V95" i="39" s="1"/>
  <c r="F28" i="11"/>
  <c r="F50" i="11" s="1"/>
  <c r="R28" i="11"/>
  <c r="AP28" i="11"/>
  <c r="AP50" i="11" s="1"/>
  <c r="M15" i="18"/>
  <c r="O31" i="78"/>
  <c r="K65" i="78"/>
  <c r="K67" i="78" s="1"/>
  <c r="K69" i="78" s="1"/>
  <c r="K72" i="78" s="1"/>
  <c r="G99" i="78"/>
  <c r="G101" i="78" s="1"/>
  <c r="G103" i="78" s="1"/>
  <c r="G106" i="78" s="1"/>
  <c r="I99" i="78"/>
  <c r="I101" i="78" s="1"/>
  <c r="I103" i="78" s="1"/>
  <c r="I106" i="78" s="1"/>
  <c r="K167" i="78"/>
  <c r="K169" i="78" s="1"/>
  <c r="K171" i="78" s="1"/>
  <c r="K174" i="78" s="1"/>
  <c r="Q16" i="16"/>
  <c r="G88" i="61"/>
  <c r="I60" i="64"/>
  <c r="K59" i="65"/>
  <c r="O29" i="37"/>
  <c r="O32" i="37" s="1"/>
  <c r="O36" i="37" s="1"/>
  <c r="O41" i="37" s="1"/>
  <c r="F28" i="38"/>
  <c r="F32" i="38" s="1"/>
  <c r="P95" i="28"/>
  <c r="D30" i="46"/>
  <c r="AQ28" i="11"/>
  <c r="AQ50" i="11" s="1"/>
  <c r="N124" i="81"/>
  <c r="I124" i="82"/>
  <c r="U124" i="82"/>
  <c r="N15" i="18"/>
  <c r="D28" i="18"/>
  <c r="P28" i="18"/>
  <c r="S16" i="16"/>
  <c r="P52" i="16"/>
  <c r="K60" i="55"/>
  <c r="X127" i="55"/>
  <c r="Y79" i="56"/>
  <c r="J88" i="58"/>
  <c r="I88" i="59"/>
  <c r="AB17" i="60"/>
  <c r="H88" i="61"/>
  <c r="O88" i="61"/>
  <c r="Z114" i="61"/>
  <c r="J6" i="64"/>
  <c r="J39" i="64" s="1"/>
  <c r="J58" i="64" s="1"/>
  <c r="W8" i="65"/>
  <c r="L59" i="65"/>
  <c r="T78" i="66"/>
  <c r="L60" i="67"/>
  <c r="K39" i="70"/>
  <c r="K58" i="70" s="1"/>
  <c r="G22" i="36"/>
  <c r="G24" i="36" s="1"/>
  <c r="G28" i="36" s="1"/>
  <c r="G31" i="36" s="1"/>
  <c r="AE22" i="36"/>
  <c r="AE24" i="36" s="1"/>
  <c r="AE28" i="36" s="1"/>
  <c r="AE31" i="36" s="1"/>
  <c r="AJ24" i="47"/>
  <c r="AJ27" i="47" s="1"/>
  <c r="AJ31" i="47" s="1"/>
  <c r="AJ36" i="47" s="1"/>
  <c r="E95" i="28"/>
  <c r="Q95" i="28"/>
  <c r="X46" i="29"/>
  <c r="Y89" i="29"/>
  <c r="Z92" i="39"/>
  <c r="N92" i="39"/>
  <c r="J15" i="18"/>
  <c r="AA59" i="19"/>
  <c r="I201" i="78"/>
  <c r="I203" i="78" s="1"/>
  <c r="I205" i="78" s="1"/>
  <c r="I208" i="78" s="1"/>
  <c r="X17" i="56"/>
  <c r="Z62" i="56"/>
  <c r="X127" i="56"/>
  <c r="K88" i="58"/>
  <c r="Z48" i="62"/>
  <c r="Z41" i="62" s="1"/>
  <c r="V78" i="65"/>
  <c r="D6" i="70"/>
  <c r="D39" i="70" s="1"/>
  <c r="D58" i="70" s="1"/>
  <c r="Z17" i="70"/>
  <c r="M88" i="70"/>
  <c r="T36" i="25"/>
  <c r="T38" i="25" s="1"/>
  <c r="T42" i="25" s="1"/>
  <c r="T47" i="25" s="1"/>
  <c r="P29" i="37"/>
  <c r="P32" i="37" s="1"/>
  <c r="P36" i="37" s="1"/>
  <c r="P41" i="37" s="1"/>
  <c r="AB29" i="37"/>
  <c r="AB32" i="37" s="1"/>
  <c r="AB36" i="37" s="1"/>
  <c r="AB41" i="37" s="1"/>
  <c r="T86" i="27"/>
  <c r="F89" i="29"/>
  <c r="R89" i="29"/>
  <c r="K23" i="31"/>
  <c r="K43" i="31" s="1"/>
  <c r="D22" i="33"/>
  <c r="D43" i="33" s="1"/>
  <c r="G30" i="46"/>
  <c r="AR28" i="11"/>
  <c r="AR50" i="11" s="1"/>
  <c r="N67" i="78"/>
  <c r="N69" i="78" s="1"/>
  <c r="N72" i="78" s="1"/>
  <c r="J101" i="78"/>
  <c r="J103" i="78" s="1"/>
  <c r="J106" i="78" s="1"/>
  <c r="O6" i="55"/>
  <c r="O39" i="55" s="1"/>
  <c r="O58" i="55" s="1"/>
  <c r="M60" i="55"/>
  <c r="D6" i="56"/>
  <c r="D39" i="56" s="1"/>
  <c r="D58" i="56" s="1"/>
  <c r="P6" i="56"/>
  <c r="P39" i="56" s="1"/>
  <c r="P58" i="56" s="1"/>
  <c r="H60" i="56"/>
  <c r="AA49" i="59"/>
  <c r="AA41" i="59" s="1"/>
  <c r="G60" i="59"/>
  <c r="Q88" i="60"/>
  <c r="L6" i="64"/>
  <c r="L39" i="64" s="1"/>
  <c r="L58" i="64" s="1"/>
  <c r="Y8" i="64"/>
  <c r="F6" i="64"/>
  <c r="F39" i="64" s="1"/>
  <c r="F58" i="64" s="1"/>
  <c r="Y100" i="64"/>
  <c r="Z126" i="62"/>
  <c r="T123" i="66"/>
  <c r="O88" i="68"/>
  <c r="U22" i="36"/>
  <c r="U24" i="36" s="1"/>
  <c r="U28" i="36" s="1"/>
  <c r="U31" i="36" s="1"/>
  <c r="E36" i="37"/>
  <c r="E41" i="37" s="1"/>
  <c r="AW24" i="47"/>
  <c r="AW27" i="47" s="1"/>
  <c r="AW31" i="47" s="1"/>
  <c r="AW36" i="47" s="1"/>
  <c r="N60" i="40"/>
  <c r="L124" i="82"/>
  <c r="G124" i="83"/>
  <c r="S124" i="83"/>
  <c r="N124" i="84"/>
  <c r="H123" i="98"/>
  <c r="O125" i="87"/>
  <c r="G235" i="78"/>
  <c r="G237" i="78" s="1"/>
  <c r="G239" i="78" s="1"/>
  <c r="G242" i="78" s="1"/>
  <c r="S36" i="16"/>
  <c r="P44" i="16"/>
  <c r="H6" i="55"/>
  <c r="H39" i="55" s="1"/>
  <c r="H58" i="55" s="1"/>
  <c r="AA8" i="59"/>
  <c r="L88" i="60"/>
  <c r="Z62" i="63"/>
  <c r="K86" i="66"/>
  <c r="Z17" i="67"/>
  <c r="W62" i="68"/>
  <c r="G88" i="69"/>
  <c r="Y100" i="69"/>
  <c r="AQ36" i="21"/>
  <c r="AQ38" i="21" s="1"/>
  <c r="AQ42" i="21" s="1"/>
  <c r="AQ47" i="21" s="1"/>
  <c r="J22" i="36"/>
  <c r="J24" i="36" s="1"/>
  <c r="J28" i="36" s="1"/>
  <c r="J31" i="36" s="1"/>
  <c r="AL24" i="47"/>
  <c r="AL27" i="47" s="1"/>
  <c r="AL31" i="47" s="1"/>
  <c r="AL36" i="47" s="1"/>
  <c r="I23" i="30"/>
  <c r="I42" i="30" s="1"/>
  <c r="F22" i="33"/>
  <c r="F43" i="33" s="1"/>
  <c r="O124" i="84"/>
  <c r="J124" i="86"/>
  <c r="V124" i="86"/>
  <c r="L201" i="78"/>
  <c r="L203" i="78" s="1"/>
  <c r="L205" i="78" s="1"/>
  <c r="L208" i="78" s="1"/>
  <c r="H235" i="78"/>
  <c r="H237" i="78" s="1"/>
  <c r="H239" i="78" s="1"/>
  <c r="H242" i="78" s="1"/>
  <c r="P32" i="16"/>
  <c r="O40" i="16"/>
  <c r="X8" i="55"/>
  <c r="F88" i="55"/>
  <c r="Y114" i="55"/>
  <c r="F6" i="56"/>
  <c r="F39" i="56" s="1"/>
  <c r="F58" i="56" s="1"/>
  <c r="W8" i="56"/>
  <c r="E88" i="56"/>
  <c r="X100" i="63"/>
  <c r="W113" i="65"/>
  <c r="I6" i="69"/>
  <c r="I39" i="69" s="1"/>
  <c r="I58" i="69" s="1"/>
  <c r="H88" i="69"/>
  <c r="G29" i="37"/>
  <c r="G32" i="37" s="1"/>
  <c r="G36" i="37" s="1"/>
  <c r="G41" i="37" s="1"/>
  <c r="M30" i="8"/>
  <c r="M32" i="8" s="1"/>
  <c r="M38" i="8" s="1"/>
  <c r="M43" i="8" s="1"/>
  <c r="D23" i="30"/>
  <c r="D42" i="30" s="1"/>
  <c r="P23" i="30"/>
  <c r="P42" i="30" s="1"/>
  <c r="AB23" i="30"/>
  <c r="AB42" i="30" s="1"/>
  <c r="J23" i="30"/>
  <c r="J42" i="30" s="1"/>
  <c r="V23" i="30"/>
  <c r="V42" i="30" s="1"/>
  <c r="E90" i="30"/>
  <c r="AC90" i="30"/>
  <c r="G22" i="33"/>
  <c r="G43" i="33" s="1"/>
  <c r="I30" i="46"/>
  <c r="G57" i="46"/>
  <c r="G63" i="46" s="1"/>
  <c r="N124" i="82"/>
  <c r="I124" i="83"/>
  <c r="U124" i="83"/>
  <c r="W123" i="98"/>
  <c r="P33" i="16"/>
  <c r="P40" i="16"/>
  <c r="Q48" i="16"/>
  <c r="O88" i="55"/>
  <c r="E60" i="56"/>
  <c r="F88" i="56"/>
  <c r="J88" i="59"/>
  <c r="O6" i="68"/>
  <c r="O39" i="68" s="1"/>
  <c r="O58" i="68" s="1"/>
  <c r="H60" i="68"/>
  <c r="M60" i="70"/>
  <c r="R24" i="21"/>
  <c r="V24" i="22"/>
  <c r="V36" i="22" s="1"/>
  <c r="V38" i="22" s="1"/>
  <c r="V42" i="22" s="1"/>
  <c r="V47" i="22" s="1"/>
  <c r="H25" i="45"/>
  <c r="H28" i="45" s="1"/>
  <c r="H32" i="45" s="1"/>
  <c r="H37" i="45" s="1"/>
  <c r="J95" i="28"/>
  <c r="V95" i="28"/>
  <c r="K23" i="30"/>
  <c r="K42" i="30" s="1"/>
  <c r="F90" i="30"/>
  <c r="AD90" i="30"/>
  <c r="G23" i="31"/>
  <c r="G43" i="31" s="1"/>
  <c r="S23" i="31"/>
  <c r="S43" i="31" s="1"/>
  <c r="Q60" i="40"/>
  <c r="L124" i="80"/>
  <c r="X124" i="80"/>
  <c r="X124" i="86"/>
  <c r="N35" i="16"/>
  <c r="O41" i="16"/>
  <c r="G88" i="56"/>
  <c r="I88" i="61"/>
  <c r="P60" i="63"/>
  <c r="O6" i="62"/>
  <c r="O39" i="62" s="1"/>
  <c r="O57" i="62" s="1"/>
  <c r="G6" i="65"/>
  <c r="G39" i="65" s="1"/>
  <c r="G57" i="65" s="1"/>
  <c r="X8" i="68"/>
  <c r="AQ24" i="21"/>
  <c r="S42" i="27"/>
  <c r="L23" i="30"/>
  <c r="L42" i="30" s="1"/>
  <c r="X23" i="30"/>
  <c r="X42" i="30" s="1"/>
  <c r="F89" i="31"/>
  <c r="R89" i="31"/>
  <c r="E22" i="32"/>
  <c r="E38" i="32" s="1"/>
  <c r="S93" i="11"/>
  <c r="U124" i="81"/>
  <c r="I15" i="18"/>
  <c r="P8" i="16"/>
  <c r="K6" i="56"/>
  <c r="K39" i="56" s="1"/>
  <c r="K58" i="56" s="1"/>
  <c r="W130" i="56"/>
  <c r="X130" i="56" s="1"/>
  <c r="Y130" i="56" s="1"/>
  <c r="Z130" i="56" s="1"/>
  <c r="M6" i="58"/>
  <c r="M39" i="58" s="1"/>
  <c r="M58" i="58" s="1"/>
  <c r="Z79" i="58"/>
  <c r="H88" i="58"/>
  <c r="N32" i="16"/>
  <c r="R48" i="16"/>
  <c r="AB8" i="55"/>
  <c r="X27" i="55"/>
  <c r="Z127" i="55"/>
  <c r="Y8" i="56"/>
  <c r="AB79" i="56"/>
  <c r="AB79" i="58"/>
  <c r="O88" i="58"/>
  <c r="P6" i="59"/>
  <c r="P39" i="59" s="1"/>
  <c r="P58" i="59" s="1"/>
  <c r="S9" i="16"/>
  <c r="O32" i="16"/>
  <c r="P42" i="16"/>
  <c r="R49" i="16"/>
  <c r="R52" i="16"/>
  <c r="Z8" i="56"/>
  <c r="O60" i="56"/>
  <c r="O6" i="58"/>
  <c r="O39" i="58" s="1"/>
  <c r="O58" i="58" s="1"/>
  <c r="AA8" i="58"/>
  <c r="E60" i="58"/>
  <c r="Q60" i="58"/>
  <c r="D88" i="58"/>
  <c r="P88" i="58"/>
  <c r="W127" i="58"/>
  <c r="N60" i="59"/>
  <c r="S57" i="16"/>
  <c r="E88" i="55"/>
  <c r="Q88" i="55"/>
  <c r="Y114" i="56"/>
  <c r="AA90" i="64"/>
  <c r="AB91" i="64"/>
  <c r="AB90" i="64" s="1"/>
  <c r="O33" i="16"/>
  <c r="Q50" i="16"/>
  <c r="D60" i="58"/>
  <c r="P60" i="58"/>
  <c r="Y127" i="58"/>
  <c r="AB118" i="61"/>
  <c r="AB114" i="61" s="1"/>
  <c r="AA114" i="61"/>
  <c r="R50" i="16"/>
  <c r="N6" i="56"/>
  <c r="N39" i="56" s="1"/>
  <c r="N58" i="56" s="1"/>
  <c r="AB62" i="56"/>
  <c r="Y62" i="58"/>
  <c r="N195" i="12"/>
  <c r="N26" i="16"/>
  <c r="P34" i="16"/>
  <c r="N36" i="16"/>
  <c r="F60" i="56"/>
  <c r="X9" i="58"/>
  <c r="X8" i="58" s="1"/>
  <c r="Q17" i="16"/>
  <c r="O36" i="16"/>
  <c r="W17" i="56"/>
  <c r="AA62" i="56"/>
  <c r="W49" i="58"/>
  <c r="W41" i="58" s="1"/>
  <c r="Y27" i="59"/>
  <c r="R18" i="16"/>
  <c r="Z114" i="55"/>
  <c r="E6" i="56"/>
  <c r="E39" i="56" s="1"/>
  <c r="E58" i="56" s="1"/>
  <c r="K60" i="58"/>
  <c r="AB63" i="59"/>
  <c r="AB62" i="59" s="1"/>
  <c r="AA62" i="59"/>
  <c r="F60" i="55"/>
  <c r="W79" i="55"/>
  <c r="Y17" i="56"/>
  <c r="K6" i="58"/>
  <c r="K39" i="58" s="1"/>
  <c r="K58" i="58" s="1"/>
  <c r="K86" i="58" s="1"/>
  <c r="K84" i="58" s="1"/>
  <c r="AB8" i="58"/>
  <c r="L88" i="58"/>
  <c r="X79" i="55"/>
  <c r="H6" i="56"/>
  <c r="H39" i="56" s="1"/>
  <c r="H58" i="56" s="1"/>
  <c r="Q130" i="56"/>
  <c r="R130" i="56" s="1"/>
  <c r="S130" i="56" s="1"/>
  <c r="T130" i="56" s="1"/>
  <c r="AE130" i="56" s="1"/>
  <c r="L6" i="58"/>
  <c r="L39" i="58" s="1"/>
  <c r="L58" i="58" s="1"/>
  <c r="Y114" i="58"/>
  <c r="K60" i="61"/>
  <c r="F88" i="64"/>
  <c r="U27" i="62"/>
  <c r="W61" i="62"/>
  <c r="H87" i="65"/>
  <c r="X99" i="65"/>
  <c r="I60" i="67"/>
  <c r="E88" i="67"/>
  <c r="Q88" i="67"/>
  <c r="Z79" i="68"/>
  <c r="L88" i="69"/>
  <c r="P24" i="22"/>
  <c r="P36" i="22" s="1"/>
  <c r="P38" i="22" s="1"/>
  <c r="P42" i="22" s="1"/>
  <c r="P47" i="22" s="1"/>
  <c r="D24" i="24"/>
  <c r="D36" i="24" s="1"/>
  <c r="D38" i="24" s="1"/>
  <c r="D42" i="24" s="1"/>
  <c r="D47" i="24" s="1"/>
  <c r="N28" i="35"/>
  <c r="N30" i="35" s="1"/>
  <c r="N34" i="35" s="1"/>
  <c r="N38" i="35" s="1"/>
  <c r="M22" i="36"/>
  <c r="M24" i="36" s="1"/>
  <c r="M28" i="36" s="1"/>
  <c r="M31" i="36" s="1"/>
  <c r="E21" i="8"/>
  <c r="G42" i="27"/>
  <c r="G23" i="30"/>
  <c r="G42" i="30" s="1"/>
  <c r="S23" i="30"/>
  <c r="S42" i="30" s="1"/>
  <c r="AE23" i="30"/>
  <c r="M23" i="30"/>
  <c r="Y23" i="30"/>
  <c r="Y42" i="30" s="1"/>
  <c r="S90" i="30"/>
  <c r="AE90" i="30"/>
  <c r="P75" i="32"/>
  <c r="J22" i="33"/>
  <c r="J43" i="33" s="1"/>
  <c r="I95" i="33"/>
  <c r="M30" i="46"/>
  <c r="W27" i="39"/>
  <c r="G92" i="39"/>
  <c r="AE92" i="39"/>
  <c r="H124" i="81"/>
  <c r="T124" i="81"/>
  <c r="F123" i="98"/>
  <c r="E28" i="18"/>
  <c r="Q28" i="18"/>
  <c r="V41" i="19"/>
  <c r="I6" i="60"/>
  <c r="I39" i="60" s="1"/>
  <c r="I58" i="60" s="1"/>
  <c r="AA49" i="63"/>
  <c r="AA41" i="63" s="1"/>
  <c r="E60" i="63"/>
  <c r="Z8" i="64"/>
  <c r="G6" i="64"/>
  <c r="G39" i="64" s="1"/>
  <c r="G58" i="64" s="1"/>
  <c r="AA129" i="64"/>
  <c r="AB129" i="64" s="1"/>
  <c r="AC129" i="64" s="1"/>
  <c r="AD129" i="64" s="1"/>
  <c r="I6" i="62"/>
  <c r="I39" i="62" s="1"/>
  <c r="I57" i="62" s="1"/>
  <c r="I59" i="62"/>
  <c r="O59" i="62"/>
  <c r="U78" i="65"/>
  <c r="Y8" i="68"/>
  <c r="F60" i="69"/>
  <c r="D60" i="69"/>
  <c r="I6" i="70"/>
  <c r="I39" i="70" s="1"/>
  <c r="I58" i="70" s="1"/>
  <c r="O24" i="20"/>
  <c r="AA24" i="20"/>
  <c r="K30" i="42"/>
  <c r="K32" i="42" s="1"/>
  <c r="K36" i="42" s="1"/>
  <c r="K39" i="42" s="1"/>
  <c r="K95" i="28"/>
  <c r="W95" i="28"/>
  <c r="M95" i="28"/>
  <c r="Y95" i="28"/>
  <c r="N24" i="29"/>
  <c r="N46" i="29" s="1"/>
  <c r="N90" i="29" s="1"/>
  <c r="H90" i="30"/>
  <c r="J124" i="83"/>
  <c r="V124" i="83"/>
  <c r="D124" i="84"/>
  <c r="P124" i="84"/>
  <c r="F85" i="3"/>
  <c r="AD85" i="3"/>
  <c r="W31" i="19"/>
  <c r="X17" i="60"/>
  <c r="Y100" i="63"/>
  <c r="X8" i="65"/>
  <c r="AB8" i="69"/>
  <c r="Y69" i="69"/>
  <c r="R29" i="37"/>
  <c r="R32" i="37" s="1"/>
  <c r="R36" i="37" s="1"/>
  <c r="R41" i="37" s="1"/>
  <c r="AT24" i="47"/>
  <c r="AT27" i="47" s="1"/>
  <c r="AT31" i="47" s="1"/>
  <c r="AT36" i="47" s="1"/>
  <c r="J42" i="27"/>
  <c r="H42" i="27"/>
  <c r="H87" i="27" s="1"/>
  <c r="T42" i="27"/>
  <c r="O24" i="29"/>
  <c r="O46" i="29" s="1"/>
  <c r="E24" i="29"/>
  <c r="E46" i="29" s="1"/>
  <c r="Q24" i="29"/>
  <c r="Q46" i="29" s="1"/>
  <c r="U23" i="30"/>
  <c r="AG23" i="30"/>
  <c r="AG42" i="30" s="1"/>
  <c r="N30" i="46"/>
  <c r="O8" i="39"/>
  <c r="T82" i="39"/>
  <c r="T92" i="39" s="1"/>
  <c r="M18" i="40"/>
  <c r="M31" i="40" s="1"/>
  <c r="Y18" i="40"/>
  <c r="Y31" i="40" s="1"/>
  <c r="R93" i="11"/>
  <c r="J124" i="81"/>
  <c r="V124" i="81"/>
  <c r="K124" i="83"/>
  <c r="W124" i="83"/>
  <c r="U123" i="98"/>
  <c r="M125" i="85"/>
  <c r="Y125" i="85"/>
  <c r="G125" i="87"/>
  <c r="S125" i="87"/>
  <c r="H15" i="18"/>
  <c r="T15" i="18"/>
  <c r="G28" i="18"/>
  <c r="S28" i="18"/>
  <c r="N28" i="18"/>
  <c r="Y31" i="19"/>
  <c r="W45" i="19"/>
  <c r="G88" i="59"/>
  <c r="AB8" i="60"/>
  <c r="D6" i="60"/>
  <c r="D39" i="60" s="1"/>
  <c r="D58" i="60" s="1"/>
  <c r="Z62" i="61"/>
  <c r="P88" i="61"/>
  <c r="X127" i="61"/>
  <c r="AA127" i="63"/>
  <c r="AB80" i="64"/>
  <c r="AB79" i="64" s="1"/>
  <c r="Y78" i="62"/>
  <c r="Z8" i="67"/>
  <c r="G6" i="67"/>
  <c r="G39" i="67" s="1"/>
  <c r="G58" i="67" s="1"/>
  <c r="AB27" i="67"/>
  <c r="J60" i="67"/>
  <c r="H88" i="67"/>
  <c r="X27" i="68"/>
  <c r="H6" i="69"/>
  <c r="H39" i="69" s="1"/>
  <c r="H58" i="69" s="1"/>
  <c r="Y114" i="69"/>
  <c r="L88" i="70"/>
  <c r="X29" i="37"/>
  <c r="X32" i="37" s="1"/>
  <c r="X36" i="37" s="1"/>
  <c r="X41" i="37" s="1"/>
  <c r="G22" i="38"/>
  <c r="G24" i="38" s="1"/>
  <c r="G28" i="38" s="1"/>
  <c r="G32" i="38" s="1"/>
  <c r="F25" i="45"/>
  <c r="F28" i="45" s="1"/>
  <c r="F32" i="45" s="1"/>
  <c r="F37" i="45" s="1"/>
  <c r="U42" i="27"/>
  <c r="N86" i="27"/>
  <c r="E86" i="27"/>
  <c r="Q86" i="27"/>
  <c r="O45" i="28"/>
  <c r="I89" i="29"/>
  <c r="U89" i="29"/>
  <c r="I89" i="31"/>
  <c r="M22" i="33"/>
  <c r="M43" i="33" s="1"/>
  <c r="N18" i="40"/>
  <c r="N31" i="40" s="1"/>
  <c r="R60" i="40"/>
  <c r="AD60" i="40"/>
  <c r="AL28" i="11"/>
  <c r="AL50" i="11" s="1"/>
  <c r="AX28" i="11"/>
  <c r="AX50" i="11" s="1"/>
  <c r="G93" i="11"/>
  <c r="E124" i="82"/>
  <c r="Q124" i="82"/>
  <c r="O85" i="3"/>
  <c r="AJ45" i="19"/>
  <c r="G65" i="78"/>
  <c r="G67" i="78" s="1"/>
  <c r="G69" i="78" s="1"/>
  <c r="G72" i="78" s="1"/>
  <c r="M99" i="78"/>
  <c r="M101" i="78" s="1"/>
  <c r="M103" i="78" s="1"/>
  <c r="M106" i="78" s="1"/>
  <c r="G133" i="78"/>
  <c r="G135" i="78" s="1"/>
  <c r="G137" i="78" s="1"/>
  <c r="G140" i="78" s="1"/>
  <c r="O235" i="78"/>
  <c r="O237" i="78" s="1"/>
  <c r="O239" i="78" s="1"/>
  <c r="O242" i="78" s="1"/>
  <c r="Z27" i="59"/>
  <c r="J60" i="60"/>
  <c r="N60" i="60"/>
  <c r="J88" i="60"/>
  <c r="D6" i="61"/>
  <c r="D39" i="61" s="1"/>
  <c r="D58" i="61" s="1"/>
  <c r="P6" i="61"/>
  <c r="P39" i="61" s="1"/>
  <c r="P58" i="61" s="1"/>
  <c r="W17" i="61"/>
  <c r="L6" i="63"/>
  <c r="L39" i="63" s="1"/>
  <c r="L58" i="63" s="1"/>
  <c r="Y27" i="63"/>
  <c r="Y79" i="63"/>
  <c r="AB124" i="63"/>
  <c r="AB127" i="63" s="1"/>
  <c r="X79" i="64"/>
  <c r="Z79" i="62"/>
  <c r="Z78" i="62" s="1"/>
  <c r="H39" i="65"/>
  <c r="H57" i="65" s="1"/>
  <c r="AA8" i="67"/>
  <c r="H6" i="67"/>
  <c r="H39" i="67" s="1"/>
  <c r="H58" i="67" s="1"/>
  <c r="Y17" i="67"/>
  <c r="AA90" i="67"/>
  <c r="AA17" i="68"/>
  <c r="L60" i="68"/>
  <c r="L60" i="69"/>
  <c r="AB17" i="70"/>
  <c r="R24" i="20"/>
  <c r="AR24" i="20"/>
  <c r="E22" i="36"/>
  <c r="E24" i="36" s="1"/>
  <c r="E28" i="36" s="1"/>
  <c r="E31" i="36" s="1"/>
  <c r="AJ38" i="8"/>
  <c r="AJ43" i="8" s="1"/>
  <c r="I36" i="7"/>
  <c r="I38" i="7" s="1"/>
  <c r="I44" i="7" s="1"/>
  <c r="I49" i="7" s="1"/>
  <c r="I51" i="7" s="1"/>
  <c r="U36" i="7"/>
  <c r="L42" i="27"/>
  <c r="X42" i="27"/>
  <c r="R95" i="28"/>
  <c r="Q23" i="30"/>
  <c r="Q42" i="30" s="1"/>
  <c r="AC23" i="30"/>
  <c r="AC42" i="30" s="1"/>
  <c r="N89" i="31"/>
  <c r="J89" i="31"/>
  <c r="H18" i="40"/>
  <c r="H31" i="40" s="1"/>
  <c r="T18" i="40"/>
  <c r="T31" i="40" s="1"/>
  <c r="AE60" i="40"/>
  <c r="Z60" i="40"/>
  <c r="AE50" i="11"/>
  <c r="O125" i="85"/>
  <c r="U125" i="87"/>
  <c r="N99" i="78"/>
  <c r="N101" i="78" s="1"/>
  <c r="N103" i="78" s="1"/>
  <c r="N106" i="78" s="1"/>
  <c r="N167" i="78"/>
  <c r="N169" i="78" s="1"/>
  <c r="N171" i="78" s="1"/>
  <c r="N174" i="78" s="1"/>
  <c r="J201" i="78"/>
  <c r="J203" i="78" s="1"/>
  <c r="J205" i="78" s="1"/>
  <c r="J208" i="78" s="1"/>
  <c r="Y8" i="60"/>
  <c r="Z69" i="60"/>
  <c r="K88" i="60"/>
  <c r="M88" i="61"/>
  <c r="X8" i="63"/>
  <c r="D88" i="63"/>
  <c r="P88" i="63"/>
  <c r="M60" i="64"/>
  <c r="W17" i="62"/>
  <c r="K6" i="67"/>
  <c r="K39" i="67" s="1"/>
  <c r="K58" i="67" s="1"/>
  <c r="AB8" i="67"/>
  <c r="J88" i="67"/>
  <c r="AB91" i="67"/>
  <c r="AB90" i="67" s="1"/>
  <c r="L6" i="68"/>
  <c r="L39" i="68" s="1"/>
  <c r="L58" i="68" s="1"/>
  <c r="E60" i="68"/>
  <c r="Q60" i="68"/>
  <c r="G6" i="69"/>
  <c r="G39" i="69" s="1"/>
  <c r="G58" i="69" s="1"/>
  <c r="M60" i="69"/>
  <c r="E88" i="69"/>
  <c r="Q88" i="69"/>
  <c r="G60" i="70"/>
  <c r="M24" i="22"/>
  <c r="M36" i="22" s="1"/>
  <c r="M38" i="22" s="1"/>
  <c r="M42" i="22" s="1"/>
  <c r="M47" i="22" s="1"/>
  <c r="D22" i="38"/>
  <c r="D24" i="38" s="1"/>
  <c r="D28" i="38" s="1"/>
  <c r="D32" i="38" s="1"/>
  <c r="P22" i="38"/>
  <c r="P24" i="38" s="1"/>
  <c r="P28" i="38" s="1"/>
  <c r="P32" i="38" s="1"/>
  <c r="S86" i="27"/>
  <c r="G46" i="29"/>
  <c r="K89" i="29"/>
  <c r="W89" i="29"/>
  <c r="O22" i="32"/>
  <c r="O38" i="32" s="1"/>
  <c r="R92" i="39"/>
  <c r="K92" i="39"/>
  <c r="I18" i="40"/>
  <c r="I31" i="40" s="1"/>
  <c r="U18" i="40"/>
  <c r="U31" i="40" s="1"/>
  <c r="D18" i="40"/>
  <c r="D31" i="40" s="1"/>
  <c r="P18" i="40"/>
  <c r="P31" i="40" s="1"/>
  <c r="AB18" i="40"/>
  <c r="AB31" i="40" s="1"/>
  <c r="G124" i="82"/>
  <c r="S124" i="82"/>
  <c r="X124" i="83"/>
  <c r="M31" i="78"/>
  <c r="I65" i="78"/>
  <c r="I67" i="78" s="1"/>
  <c r="I69" i="78" s="1"/>
  <c r="I72" i="78" s="1"/>
  <c r="O99" i="78"/>
  <c r="O101" i="78" s="1"/>
  <c r="O103" i="78" s="1"/>
  <c r="O106" i="78" s="1"/>
  <c r="I133" i="78"/>
  <c r="I135" i="78" s="1"/>
  <c r="I137" i="78" s="1"/>
  <c r="I140" i="78" s="1"/>
  <c r="K201" i="78"/>
  <c r="K203" i="78" s="1"/>
  <c r="K205" i="78" s="1"/>
  <c r="K208" i="78" s="1"/>
  <c r="M201" i="78"/>
  <c r="M203" i="78" s="1"/>
  <c r="M205" i="78" s="1"/>
  <c r="M208" i="78" s="1"/>
  <c r="N6" i="59"/>
  <c r="N39" i="59" s="1"/>
  <c r="N58" i="59" s="1"/>
  <c r="O60" i="59"/>
  <c r="Z79" i="59"/>
  <c r="F60" i="63"/>
  <c r="E88" i="63"/>
  <c r="Q88" i="63"/>
  <c r="Q129" i="63"/>
  <c r="R129" i="63" s="1"/>
  <c r="S129" i="63" s="1"/>
  <c r="Z114" i="64"/>
  <c r="W127" i="64"/>
  <c r="L6" i="65"/>
  <c r="L39" i="65" s="1"/>
  <c r="L57" i="65" s="1"/>
  <c r="W126" i="65"/>
  <c r="AA17" i="67"/>
  <c r="Y62" i="67"/>
  <c r="M6" i="68"/>
  <c r="M39" i="68" s="1"/>
  <c r="M58" i="68" s="1"/>
  <c r="N60" i="68"/>
  <c r="H60" i="70"/>
  <c r="F28" i="35"/>
  <c r="F30" i="35" s="1"/>
  <c r="F34" i="35" s="1"/>
  <c r="F38" i="35" s="1"/>
  <c r="J29" i="37"/>
  <c r="J32" i="37" s="1"/>
  <c r="J36" i="37" s="1"/>
  <c r="J41" i="37" s="1"/>
  <c r="V29" i="37"/>
  <c r="V32" i="37" s="1"/>
  <c r="V36" i="37" s="1"/>
  <c r="V41" i="37" s="1"/>
  <c r="AH29" i="37"/>
  <c r="AH32" i="37" s="1"/>
  <c r="AH36" i="37" s="1"/>
  <c r="AH41" i="37" s="1"/>
  <c r="AK92" i="39"/>
  <c r="AK94" i="39" s="1"/>
  <c r="E18" i="40"/>
  <c r="E31" i="40" s="1"/>
  <c r="E28" i="11"/>
  <c r="E50" i="11" s="1"/>
  <c r="Q28" i="11"/>
  <c r="Q50" i="11" s="1"/>
  <c r="AC28" i="11"/>
  <c r="AC50" i="11" s="1"/>
  <c r="AO28" i="11"/>
  <c r="AO50" i="11" s="1"/>
  <c r="BA28" i="11"/>
  <c r="BA50" i="11" s="1"/>
  <c r="X93" i="11"/>
  <c r="W93" i="11"/>
  <c r="H124" i="80"/>
  <c r="T124" i="80"/>
  <c r="O124" i="83"/>
  <c r="I124" i="84"/>
  <c r="U124" i="84"/>
  <c r="D125" i="85"/>
  <c r="P125" i="85"/>
  <c r="J72" i="78"/>
  <c r="Z69" i="59"/>
  <c r="M60" i="59"/>
  <c r="K88" i="59"/>
  <c r="AA8" i="60"/>
  <c r="M88" i="60"/>
  <c r="Z79" i="61"/>
  <c r="Z8" i="63"/>
  <c r="Y62" i="63"/>
  <c r="I6" i="64"/>
  <c r="I39" i="64" s="1"/>
  <c r="I58" i="64" s="1"/>
  <c r="X127" i="64"/>
  <c r="Z113" i="65"/>
  <c r="Y49" i="67"/>
  <c r="Y41" i="67" s="1"/>
  <c r="AB124" i="68"/>
  <c r="AB127" i="68" s="1"/>
  <c r="AA8" i="70"/>
  <c r="J88" i="70"/>
  <c r="K29" i="37"/>
  <c r="K32" i="37" s="1"/>
  <c r="K36" i="37" s="1"/>
  <c r="K41" i="37" s="1"/>
  <c r="W29" i="37"/>
  <c r="W32" i="37" s="1"/>
  <c r="W36" i="37" s="1"/>
  <c r="W41" i="37" s="1"/>
  <c r="S22" i="38"/>
  <c r="S24" i="38" s="1"/>
  <c r="S28" i="38" s="1"/>
  <c r="S32" i="38" s="1"/>
  <c r="J25" i="45"/>
  <c r="J28" i="45" s="1"/>
  <c r="J32" i="45" s="1"/>
  <c r="J37" i="45" s="1"/>
  <c r="S95" i="28"/>
  <c r="M89" i="29"/>
  <c r="N23" i="30"/>
  <c r="N42" i="30" s="1"/>
  <c r="Z23" i="30"/>
  <c r="Z42" i="30" s="1"/>
  <c r="H23" i="30"/>
  <c r="H42" i="30" s="1"/>
  <c r="T23" i="30"/>
  <c r="T42" i="30" s="1"/>
  <c r="AF23" i="30"/>
  <c r="AF42" i="30" s="1"/>
  <c r="D22" i="32"/>
  <c r="D38" i="32" s="1"/>
  <c r="P22" i="32"/>
  <c r="P38" i="32" s="1"/>
  <c r="AE27" i="39"/>
  <c r="AE44" i="39" s="1"/>
  <c r="K18" i="40"/>
  <c r="K31" i="40" s="1"/>
  <c r="E123" i="98"/>
  <c r="F125" i="85"/>
  <c r="R125" i="85"/>
  <c r="O60" i="67"/>
  <c r="AB80" i="67"/>
  <c r="AB79" i="67" s="1"/>
  <c r="Y114" i="67"/>
  <c r="AA8" i="68"/>
  <c r="J88" i="68"/>
  <c r="E88" i="68"/>
  <c r="Q88" i="68"/>
  <c r="K60" i="69"/>
  <c r="Z90" i="69"/>
  <c r="F88" i="69"/>
  <c r="E88" i="70"/>
  <c r="Q24" i="21"/>
  <c r="AO36" i="21"/>
  <c r="AO38" i="21" s="1"/>
  <c r="AO42" i="21" s="1"/>
  <c r="AO47" i="21" s="1"/>
  <c r="E24" i="22"/>
  <c r="E36" i="22" s="1"/>
  <c r="I22" i="36"/>
  <c r="I24" i="36" s="1"/>
  <c r="I28" i="36" s="1"/>
  <c r="I31" i="36" s="1"/>
  <c r="L29" i="37"/>
  <c r="L32" i="37" s="1"/>
  <c r="L36" i="37" s="1"/>
  <c r="L41" i="37" s="1"/>
  <c r="AJ29" i="37"/>
  <c r="AJ32" i="37" s="1"/>
  <c r="AJ36" i="37" s="1"/>
  <c r="AJ41" i="37" s="1"/>
  <c r="K25" i="45"/>
  <c r="K28" i="45" s="1"/>
  <c r="K32" i="45" s="1"/>
  <c r="K37" i="45" s="1"/>
  <c r="E25" i="45"/>
  <c r="E28" i="45" s="1"/>
  <c r="E32" i="45" s="1"/>
  <c r="E37" i="45" s="1"/>
  <c r="M36" i="7"/>
  <c r="M38" i="7" s="1"/>
  <c r="M44" i="7" s="1"/>
  <c r="M49" i="7" s="1"/>
  <c r="M51" i="7" s="1"/>
  <c r="J36" i="7"/>
  <c r="J38" i="7" s="1"/>
  <c r="J44" i="7" s="1"/>
  <c r="J49" i="7" s="1"/>
  <c r="J51" i="7" s="1"/>
  <c r="D24" i="27"/>
  <c r="D42" i="27" s="1"/>
  <c r="H45" i="28"/>
  <c r="I24" i="29"/>
  <c r="I46" i="29" s="1"/>
  <c r="U24" i="29"/>
  <c r="U46" i="29" s="1"/>
  <c r="O90" i="30"/>
  <c r="AA90" i="30"/>
  <c r="G95" i="33"/>
  <c r="H30" i="46"/>
  <c r="AN93" i="11"/>
  <c r="AZ93" i="11"/>
  <c r="K124" i="84"/>
  <c r="W124" i="84"/>
  <c r="O123" i="98"/>
  <c r="Y125" i="87"/>
  <c r="F88" i="60"/>
  <c r="Z8" i="61"/>
  <c r="Z49" i="64"/>
  <c r="Z41" i="64" s="1"/>
  <c r="Z69" i="64"/>
  <c r="Y8" i="65"/>
  <c r="N59" i="65"/>
  <c r="F59" i="66"/>
  <c r="G36" i="21"/>
  <c r="G38" i="21" s="1"/>
  <c r="G42" i="21" s="1"/>
  <c r="G47" i="21" s="1"/>
  <c r="S24" i="21"/>
  <c r="U24" i="25"/>
  <c r="V22" i="36"/>
  <c r="V24" i="36" s="1"/>
  <c r="V28" i="36" s="1"/>
  <c r="V31" i="36" s="1"/>
  <c r="Q42" i="27"/>
  <c r="K86" i="27"/>
  <c r="W86" i="27"/>
  <c r="I45" i="28"/>
  <c r="M23" i="31"/>
  <c r="M43" i="31" s="1"/>
  <c r="K89" i="31"/>
  <c r="G89" i="31"/>
  <c r="S89" i="31"/>
  <c r="O89" i="31"/>
  <c r="H95" i="33"/>
  <c r="AG92" i="39"/>
  <c r="E124" i="81"/>
  <c r="L124" i="84"/>
  <c r="X124" i="84"/>
  <c r="P123" i="98"/>
  <c r="T125" i="85"/>
  <c r="K124" i="86"/>
  <c r="W124" i="86"/>
  <c r="G167" i="78"/>
  <c r="G169" i="78" s="1"/>
  <c r="G171" i="78" s="1"/>
  <c r="G174" i="78" s="1"/>
  <c r="O201" i="78"/>
  <c r="O203" i="78" s="1"/>
  <c r="O205" i="78" s="1"/>
  <c r="O208" i="78" s="1"/>
  <c r="F6" i="60"/>
  <c r="F39" i="60" s="1"/>
  <c r="F58" i="60" s="1"/>
  <c r="G88" i="60"/>
  <c r="F6" i="63"/>
  <c r="F39" i="63" s="1"/>
  <c r="F58" i="63" s="1"/>
  <c r="J60" i="63"/>
  <c r="I88" i="63"/>
  <c r="W79" i="64"/>
  <c r="E59" i="62"/>
  <c r="J87" i="62"/>
  <c r="Y89" i="62"/>
  <c r="Z8" i="65"/>
  <c r="O59" i="65"/>
  <c r="AO24" i="21"/>
  <c r="Y34" i="35"/>
  <c r="Y38" i="35" s="1"/>
  <c r="W22" i="36"/>
  <c r="W24" i="36" s="1"/>
  <c r="W28" i="36" s="1"/>
  <c r="W31" i="36" s="1"/>
  <c r="E42" i="27"/>
  <c r="H89" i="31"/>
  <c r="D89" i="31"/>
  <c r="P89" i="31"/>
  <c r="S92" i="39"/>
  <c r="D92" i="39"/>
  <c r="S28" i="11"/>
  <c r="S50" i="11" s="1"/>
  <c r="N93" i="11"/>
  <c r="Z93" i="11"/>
  <c r="AC84" i="11"/>
  <c r="AC93" i="11" s="1"/>
  <c r="D15" i="18"/>
  <c r="P15" i="18"/>
  <c r="N133" i="78"/>
  <c r="N135" i="78" s="1"/>
  <c r="N137" i="78" s="1"/>
  <c r="N140" i="78" s="1"/>
  <c r="H167" i="78"/>
  <c r="H169" i="78" s="1"/>
  <c r="H171" i="78" s="1"/>
  <c r="H174" i="78" s="1"/>
  <c r="E88" i="60"/>
  <c r="I60" i="61"/>
  <c r="G88" i="63"/>
  <c r="AA100" i="63"/>
  <c r="Q6" i="64"/>
  <c r="Q39" i="64" s="1"/>
  <c r="Q58" i="64" s="1"/>
  <c r="G59" i="62"/>
  <c r="D59" i="65"/>
  <c r="P59" i="65"/>
  <c r="W61" i="65"/>
  <c r="J59" i="65"/>
  <c r="L87" i="65"/>
  <c r="E6" i="66"/>
  <c r="E39" i="66" s="1"/>
  <c r="E57" i="66" s="1"/>
  <c r="H60" i="67"/>
  <c r="M60" i="67"/>
  <c r="Z79" i="67"/>
  <c r="AB27" i="70"/>
  <c r="W24" i="22"/>
  <c r="W36" i="22" s="1"/>
  <c r="W38" i="22" s="1"/>
  <c r="W42" i="22" s="1"/>
  <c r="W47" i="22" s="1"/>
  <c r="J24" i="24"/>
  <c r="J36" i="24" s="1"/>
  <c r="J38" i="24" s="1"/>
  <c r="J42" i="24" s="1"/>
  <c r="J47" i="24" s="1"/>
  <c r="L22" i="36"/>
  <c r="L24" i="36" s="1"/>
  <c r="L28" i="36" s="1"/>
  <c r="L31" i="36" s="1"/>
  <c r="X22" i="36"/>
  <c r="X24" i="36" s="1"/>
  <c r="X28" i="36" s="1"/>
  <c r="X31" i="36" s="1"/>
  <c r="AA29" i="37"/>
  <c r="AA32" i="37" s="1"/>
  <c r="AA36" i="37" s="1"/>
  <c r="AA41" i="37" s="1"/>
  <c r="V22" i="38"/>
  <c r="V24" i="38" s="1"/>
  <c r="V28" i="38" s="1"/>
  <c r="V32" i="38" s="1"/>
  <c r="D21" i="8"/>
  <c r="P21" i="8"/>
  <c r="K30" i="46"/>
  <c r="L30" i="46"/>
  <c r="I57" i="46"/>
  <c r="I63" i="46" s="1"/>
  <c r="F92" i="39"/>
  <c r="AS28" i="11"/>
  <c r="AS50" i="11" s="1"/>
  <c r="AR93" i="11"/>
  <c r="D93" i="11"/>
  <c r="AB93" i="11"/>
  <c r="AP93" i="11"/>
  <c r="O93" i="11"/>
  <c r="AA93" i="11"/>
  <c r="M124" i="82"/>
  <c r="J125" i="85"/>
  <c r="G31" i="78"/>
  <c r="O133" i="78"/>
  <c r="O135" i="78" s="1"/>
  <c r="O137" i="78" s="1"/>
  <c r="O140" i="78" s="1"/>
  <c r="I169" i="78"/>
  <c r="I171" i="78" s="1"/>
  <c r="I174" i="78" s="1"/>
  <c r="E6" i="55"/>
  <c r="E39" i="55" s="1"/>
  <c r="E58" i="55" s="1"/>
  <c r="F6" i="55"/>
  <c r="F39" i="55" s="1"/>
  <c r="F58" i="55" s="1"/>
  <c r="G6" i="55"/>
  <c r="G39" i="55" s="1"/>
  <c r="G58" i="55" s="1"/>
  <c r="W8" i="57"/>
  <c r="N88" i="57"/>
  <c r="G6" i="57"/>
  <c r="G39" i="57" s="1"/>
  <c r="G58" i="57" s="1"/>
  <c r="P60" i="57"/>
  <c r="AA8" i="57"/>
  <c r="H6" i="57"/>
  <c r="H39" i="57" s="1"/>
  <c r="H58" i="57" s="1"/>
  <c r="Y79" i="57"/>
  <c r="J6" i="57"/>
  <c r="J39" i="57" s="1"/>
  <c r="J58" i="57" s="1"/>
  <c r="AA79" i="57"/>
  <c r="K60" i="57"/>
  <c r="E88" i="57"/>
  <c r="Q88" i="57"/>
  <c r="O88" i="57"/>
  <c r="Y17" i="57"/>
  <c r="Y62" i="57"/>
  <c r="AB8" i="57"/>
  <c r="W79" i="57"/>
  <c r="G60" i="57"/>
  <c r="AA62" i="57"/>
  <c r="W90" i="57"/>
  <c r="D88" i="57"/>
  <c r="P88" i="57"/>
  <c r="Z114" i="57"/>
  <c r="AA114" i="57"/>
  <c r="Y100" i="57"/>
  <c r="J60" i="57"/>
  <c r="Z62" i="57"/>
  <c r="E60" i="57"/>
  <c r="Q60" i="57"/>
  <c r="P6" i="57"/>
  <c r="P39" i="57" s="1"/>
  <c r="P58" i="57" s="1"/>
  <c r="L60" i="57"/>
  <c r="H88" i="57"/>
  <c r="AB17" i="57"/>
  <c r="M60" i="57"/>
  <c r="I88" i="57"/>
  <c r="Q130" i="58"/>
  <c r="R130" i="58" s="1"/>
  <c r="S130" i="58" s="1"/>
  <c r="AA130" i="58"/>
  <c r="AB130" i="58" s="1"/>
  <c r="AC130" i="58" s="1"/>
  <c r="AD130" i="58" s="1"/>
  <c r="Y90" i="55"/>
  <c r="Z17" i="58"/>
  <c r="AA127" i="59"/>
  <c r="AB124" i="59"/>
  <c r="AB127" i="59" s="1"/>
  <c r="P19" i="16"/>
  <c r="P20" i="16"/>
  <c r="P16" i="16"/>
  <c r="P18" i="16"/>
  <c r="R59" i="16"/>
  <c r="R58" i="16"/>
  <c r="R56" i="16"/>
  <c r="J60" i="55"/>
  <c r="AA127" i="56"/>
  <c r="AB124" i="56"/>
  <c r="AB127" i="56" s="1"/>
  <c r="AB62" i="57"/>
  <c r="I6" i="58"/>
  <c r="I39" i="58" s="1"/>
  <c r="I58" i="58" s="1"/>
  <c r="Y114" i="59"/>
  <c r="Y27" i="60"/>
  <c r="N88" i="60"/>
  <c r="Z114" i="59"/>
  <c r="V27" i="65"/>
  <c r="AB17" i="68"/>
  <c r="L86" i="27"/>
  <c r="X86" i="27"/>
  <c r="D195" i="12"/>
  <c r="P195" i="12"/>
  <c r="AB195" i="12"/>
  <c r="AN195" i="12"/>
  <c r="Z195" i="12"/>
  <c r="AL195" i="12"/>
  <c r="F195" i="12"/>
  <c r="R195" i="12"/>
  <c r="AD195" i="12"/>
  <c r="AP195" i="12"/>
  <c r="N17" i="16"/>
  <c r="N19" i="16"/>
  <c r="N16" i="16"/>
  <c r="Q40" i="16"/>
  <c r="Q43" i="16"/>
  <c r="Q44" i="16"/>
  <c r="Q42" i="16"/>
  <c r="AA17" i="58"/>
  <c r="O17" i="16"/>
  <c r="O19" i="16"/>
  <c r="O20" i="16"/>
  <c r="O18" i="16"/>
  <c r="R40" i="16"/>
  <c r="R44" i="16"/>
  <c r="R42" i="16"/>
  <c r="Q59" i="16"/>
  <c r="Q58" i="16"/>
  <c r="Q57" i="16"/>
  <c r="W27" i="57"/>
  <c r="X29" i="57"/>
  <c r="X27" i="57" s="1"/>
  <c r="X95" i="57"/>
  <c r="AB17" i="58"/>
  <c r="X114" i="59"/>
  <c r="AB90" i="60"/>
  <c r="Z90" i="60"/>
  <c r="Q129" i="61"/>
  <c r="R129" i="61" s="1"/>
  <c r="S129" i="61" s="1"/>
  <c r="AA129" i="61"/>
  <c r="AB129" i="61" s="1"/>
  <c r="AC129" i="61" s="1"/>
  <c r="AD129" i="61" s="1"/>
  <c r="N12" i="16"/>
  <c r="N11" i="16"/>
  <c r="N10" i="16"/>
  <c r="Y62" i="55"/>
  <c r="Y69" i="55"/>
  <c r="G88" i="55"/>
  <c r="W90" i="55"/>
  <c r="O9" i="16"/>
  <c r="O11" i="16"/>
  <c r="O10" i="16"/>
  <c r="O12" i="16"/>
  <c r="O16" i="16"/>
  <c r="Q41" i="16"/>
  <c r="H88" i="55"/>
  <c r="W114" i="55"/>
  <c r="K60" i="56"/>
  <c r="AB51" i="57"/>
  <c r="AB49" i="57" s="1"/>
  <c r="AB41" i="57" s="1"/>
  <c r="AA49" i="57"/>
  <c r="AA41" i="57" s="1"/>
  <c r="AA69" i="57"/>
  <c r="Z69" i="57"/>
  <c r="F88" i="57"/>
  <c r="AA27" i="59"/>
  <c r="Q129" i="60"/>
  <c r="R129" i="60" s="1"/>
  <c r="S129" i="60" s="1"/>
  <c r="T129" i="60" s="1"/>
  <c r="AE129" i="60" s="1"/>
  <c r="Z90" i="62"/>
  <c r="Z89" i="62" s="1"/>
  <c r="Y126" i="65"/>
  <c r="Z123" i="65"/>
  <c r="Z126" i="65" s="1"/>
  <c r="I195" i="12"/>
  <c r="U195" i="12"/>
  <c r="AG195" i="12"/>
  <c r="AS195" i="12"/>
  <c r="M195" i="12"/>
  <c r="AW195" i="12"/>
  <c r="S52" i="16"/>
  <c r="S48" i="16"/>
  <c r="S51" i="16"/>
  <c r="S50" i="16"/>
  <c r="L6" i="57"/>
  <c r="L39" i="57" s="1"/>
  <c r="L58" i="57" s="1"/>
  <c r="W69" i="57"/>
  <c r="X70" i="57"/>
  <c r="X69" i="57" s="1"/>
  <c r="Z114" i="58"/>
  <c r="X18" i="59"/>
  <c r="X17" i="59" s="1"/>
  <c r="W17" i="59"/>
  <c r="AB27" i="59"/>
  <c r="Z62" i="59"/>
  <c r="Y62" i="60"/>
  <c r="AB100" i="63"/>
  <c r="E6" i="64"/>
  <c r="E39" i="64" s="1"/>
  <c r="E58" i="64" s="1"/>
  <c r="U89" i="62"/>
  <c r="V91" i="62"/>
  <c r="V89" i="62" s="1"/>
  <c r="J195" i="12"/>
  <c r="V195" i="12"/>
  <c r="AH195" i="12"/>
  <c r="AT195" i="12"/>
  <c r="N20" i="16"/>
  <c r="Z17" i="56"/>
  <c r="Z100" i="56"/>
  <c r="W27" i="59"/>
  <c r="X101" i="69"/>
  <c r="X100" i="69" s="1"/>
  <c r="W100" i="69"/>
  <c r="P17" i="16"/>
  <c r="R33" i="16"/>
  <c r="R36" i="16"/>
  <c r="R32" i="16"/>
  <c r="S42" i="16"/>
  <c r="O60" i="55"/>
  <c r="AA17" i="56"/>
  <c r="AA6" i="56" s="1"/>
  <c r="D88" i="56"/>
  <c r="P88" i="56"/>
  <c r="N6" i="57"/>
  <c r="N39" i="57" s="1"/>
  <c r="N58" i="57" s="1"/>
  <c r="AB91" i="58"/>
  <c r="AB90" i="58" s="1"/>
  <c r="AA90" i="58"/>
  <c r="Z100" i="58"/>
  <c r="AB51" i="59"/>
  <c r="AB49" i="59" s="1"/>
  <c r="AB41" i="59" s="1"/>
  <c r="AA62" i="60"/>
  <c r="AA90" i="60"/>
  <c r="Q130" i="64"/>
  <c r="R130" i="64" s="1"/>
  <c r="S130" i="64" s="1"/>
  <c r="AA130" i="64"/>
  <c r="AB130" i="64" s="1"/>
  <c r="AC130" i="64" s="1"/>
  <c r="AD130" i="64" s="1"/>
  <c r="W62" i="67"/>
  <c r="X63" i="67"/>
  <c r="X62" i="67" s="1"/>
  <c r="S10" i="16"/>
  <c r="S12" i="16"/>
  <c r="S8" i="16"/>
  <c r="S33" i="16"/>
  <c r="S35" i="16"/>
  <c r="S32" i="16"/>
  <c r="D60" i="55"/>
  <c r="Y100" i="55"/>
  <c r="D60" i="56"/>
  <c r="P60" i="56"/>
  <c r="F60" i="57"/>
  <c r="Y27" i="58"/>
  <c r="O6" i="60"/>
  <c r="O39" i="60" s="1"/>
  <c r="O58" i="60" s="1"/>
  <c r="U27" i="65"/>
  <c r="N18" i="16"/>
  <c r="R57" i="16"/>
  <c r="Q6" i="56"/>
  <c r="Q39" i="56" s="1"/>
  <c r="Q58" i="56" s="1"/>
  <c r="W49" i="57"/>
  <c r="W41" i="57" s="1"/>
  <c r="X50" i="57"/>
  <c r="X49" i="57" s="1"/>
  <c r="X41" i="57" s="1"/>
  <c r="D58" i="58"/>
  <c r="X17" i="58"/>
  <c r="Y49" i="58"/>
  <c r="Y41" i="58" s="1"/>
  <c r="AA100" i="60"/>
  <c r="AB101" i="60"/>
  <c r="AB100" i="60" s="1"/>
  <c r="Y49" i="55"/>
  <c r="Y41" i="55" s="1"/>
  <c r="E60" i="55"/>
  <c r="Q60" i="55"/>
  <c r="G60" i="55"/>
  <c r="Z49" i="56"/>
  <c r="Z41" i="56" s="1"/>
  <c r="M60" i="56"/>
  <c r="M6" i="57"/>
  <c r="M39" i="57" s="1"/>
  <c r="M58" i="57" s="1"/>
  <c r="G88" i="57"/>
  <c r="W17" i="58"/>
  <c r="Y8" i="59"/>
  <c r="F60" i="59"/>
  <c r="E88" i="59"/>
  <c r="Q88" i="59"/>
  <c r="P6" i="60"/>
  <c r="P39" i="60" s="1"/>
  <c r="P58" i="60" s="1"/>
  <c r="Z114" i="60"/>
  <c r="W114" i="60"/>
  <c r="X27" i="62"/>
  <c r="X81" i="67"/>
  <c r="X79" i="67" s="1"/>
  <c r="W79" i="67"/>
  <c r="P9" i="16"/>
  <c r="O35" i="16"/>
  <c r="Y69" i="56"/>
  <c r="Y60" i="56" s="1"/>
  <c r="N88" i="56"/>
  <c r="D6" i="57"/>
  <c r="D39" i="57" s="1"/>
  <c r="D58" i="57" s="1"/>
  <c r="Z79" i="57"/>
  <c r="W69" i="58"/>
  <c r="N88" i="58"/>
  <c r="AA114" i="58"/>
  <c r="Q60" i="59"/>
  <c r="W90" i="59"/>
  <c r="K60" i="60"/>
  <c r="AB63" i="60"/>
  <c r="AB62" i="60" s="1"/>
  <c r="AA114" i="60"/>
  <c r="Y126" i="62"/>
  <c r="I21" i="8"/>
  <c r="I30" i="8"/>
  <c r="I32" i="8" s="1"/>
  <c r="I38" i="8" s="1"/>
  <c r="I43" i="8" s="1"/>
  <c r="O30" i="8"/>
  <c r="O32" i="8" s="1"/>
  <c r="O38" i="8" s="1"/>
  <c r="O43" i="8" s="1"/>
  <c r="Q18" i="16"/>
  <c r="N33" i="16"/>
  <c r="I6" i="55"/>
  <c r="I39" i="55" s="1"/>
  <c r="I58" i="55" s="1"/>
  <c r="N60" i="55"/>
  <c r="I60" i="55"/>
  <c r="J60" i="56"/>
  <c r="O88" i="56"/>
  <c r="E6" i="57"/>
  <c r="E39" i="57" s="1"/>
  <c r="E58" i="57" s="1"/>
  <c r="Q6" i="57"/>
  <c r="Q39" i="57" s="1"/>
  <c r="Q58" i="57" s="1"/>
  <c r="AB79" i="57"/>
  <c r="Y79" i="58"/>
  <c r="AB114" i="58"/>
  <c r="AA17" i="59"/>
  <c r="P60" i="59"/>
  <c r="L60" i="60"/>
  <c r="Z27" i="62"/>
  <c r="Z27" i="67"/>
  <c r="W8" i="55"/>
  <c r="D6" i="55"/>
  <c r="D39" i="55" s="1"/>
  <c r="D58" i="55" s="1"/>
  <c r="P6" i="55"/>
  <c r="P39" i="55" s="1"/>
  <c r="P58" i="55" s="1"/>
  <c r="AA79" i="55"/>
  <c r="N88" i="55"/>
  <c r="L6" i="56"/>
  <c r="L39" i="56" s="1"/>
  <c r="L58" i="56" s="1"/>
  <c r="Q60" i="56"/>
  <c r="AB27" i="57"/>
  <c r="AA90" i="57"/>
  <c r="Z127" i="57"/>
  <c r="Y8" i="58"/>
  <c r="J6" i="58"/>
  <c r="J39" i="58" s="1"/>
  <c r="J58" i="58" s="1"/>
  <c r="X49" i="58"/>
  <c r="X41" i="58" s="1"/>
  <c r="G88" i="58"/>
  <c r="W100" i="58"/>
  <c r="Z127" i="58"/>
  <c r="M6" i="59"/>
  <c r="M39" i="59" s="1"/>
  <c r="M58" i="59" s="1"/>
  <c r="H6" i="60"/>
  <c r="H39" i="60" s="1"/>
  <c r="H58" i="60" s="1"/>
  <c r="W17" i="60"/>
  <c r="Y79" i="60"/>
  <c r="H88" i="60"/>
  <c r="W90" i="60"/>
  <c r="O88" i="60"/>
  <c r="W127" i="60"/>
  <c r="AA49" i="61"/>
  <c r="AA41" i="61" s="1"/>
  <c r="U48" i="65"/>
  <c r="U41" i="65" s="1"/>
  <c r="V50" i="65"/>
  <c r="V48" i="65" s="1"/>
  <c r="Y27" i="67"/>
  <c r="P12" i="16"/>
  <c r="Q6" i="55"/>
  <c r="Q39" i="55" s="1"/>
  <c r="Q58" i="55" s="1"/>
  <c r="M88" i="55"/>
  <c r="AA100" i="55"/>
  <c r="AB8" i="56"/>
  <c r="AB27" i="56"/>
  <c r="W79" i="56"/>
  <c r="W90" i="56"/>
  <c r="F6" i="57"/>
  <c r="F39" i="57" s="1"/>
  <c r="F58" i="57" s="1"/>
  <c r="AA127" i="57"/>
  <c r="F88" i="58"/>
  <c r="X114" i="58"/>
  <c r="O6" i="59"/>
  <c r="O39" i="59" s="1"/>
  <c r="O58" i="59" s="1"/>
  <c r="I60" i="59"/>
  <c r="Y62" i="59"/>
  <c r="W79" i="59"/>
  <c r="E39" i="60"/>
  <c r="E58" i="60" s="1"/>
  <c r="Q39" i="60"/>
  <c r="Q58" i="60" s="1"/>
  <c r="O60" i="60"/>
  <c r="I88" i="60"/>
  <c r="X90" i="60"/>
  <c r="X127" i="60"/>
  <c r="X114" i="61"/>
  <c r="X71" i="63"/>
  <c r="X69" i="63" s="1"/>
  <c r="W69" i="63"/>
  <c r="W99" i="62"/>
  <c r="Y129" i="62"/>
  <c r="Z129" i="62" s="1"/>
  <c r="AA129" i="62" s="1"/>
  <c r="Q129" i="62"/>
  <c r="R129" i="62" s="1"/>
  <c r="Q129" i="65"/>
  <c r="R129" i="65" s="1"/>
  <c r="Y129" i="65"/>
  <c r="Z129" i="65" s="1"/>
  <c r="AA129" i="65" s="1"/>
  <c r="M88" i="67"/>
  <c r="F6" i="70"/>
  <c r="F39" i="70" s="1"/>
  <c r="F58" i="70" s="1"/>
  <c r="E36" i="21"/>
  <c r="E38" i="21" s="1"/>
  <c r="E42" i="21" s="1"/>
  <c r="E47" i="21" s="1"/>
  <c r="E24" i="21"/>
  <c r="P10" i="16"/>
  <c r="Q20" i="16"/>
  <c r="AB102" i="55"/>
  <c r="AB100" i="55" s="1"/>
  <c r="AB17" i="56"/>
  <c r="X79" i="56"/>
  <c r="AA100" i="56"/>
  <c r="Z49" i="57"/>
  <c r="Z41" i="57" s="1"/>
  <c r="N60" i="57"/>
  <c r="Z100" i="57"/>
  <c r="AB124" i="57"/>
  <c r="AB127" i="57" s="1"/>
  <c r="W62" i="58"/>
  <c r="W69" i="59"/>
  <c r="H60" i="59"/>
  <c r="Y79" i="59"/>
  <c r="Y69" i="60"/>
  <c r="AA79" i="60"/>
  <c r="Y90" i="60"/>
  <c r="W100" i="60"/>
  <c r="Y127" i="60"/>
  <c r="Y114" i="61"/>
  <c r="AA17" i="63"/>
  <c r="X99" i="62"/>
  <c r="Y68" i="65"/>
  <c r="Z71" i="65"/>
  <c r="Z68" i="65" s="1"/>
  <c r="K60" i="67"/>
  <c r="AP36" i="21"/>
  <c r="AP38" i="21" s="1"/>
  <c r="AP42" i="21" s="1"/>
  <c r="AP47" i="21" s="1"/>
  <c r="AP24" i="21"/>
  <c r="Y195" i="12"/>
  <c r="L88" i="56"/>
  <c r="AB101" i="56"/>
  <c r="AB100" i="56" s="1"/>
  <c r="Z114" i="56"/>
  <c r="X9" i="57"/>
  <c r="X8" i="57" s="1"/>
  <c r="Z90" i="57"/>
  <c r="W127" i="57"/>
  <c r="K60" i="59"/>
  <c r="N88" i="59"/>
  <c r="N6" i="63"/>
  <c r="N39" i="63" s="1"/>
  <c r="N58" i="63" s="1"/>
  <c r="AB17" i="63"/>
  <c r="Z114" i="63"/>
  <c r="AB8" i="64"/>
  <c r="L60" i="64"/>
  <c r="AK195" i="12"/>
  <c r="S59" i="16"/>
  <c r="Y79" i="55"/>
  <c r="Q49" i="16"/>
  <c r="H60" i="55"/>
  <c r="D88" i="55"/>
  <c r="P88" i="55"/>
  <c r="Z79" i="56"/>
  <c r="M88" i="56"/>
  <c r="I6" i="57"/>
  <c r="I39" i="57" s="1"/>
  <c r="I58" i="57" s="1"/>
  <c r="Y8" i="57"/>
  <c r="K6" i="57"/>
  <c r="K39" i="57" s="1"/>
  <c r="K58" i="57" s="1"/>
  <c r="K88" i="57"/>
  <c r="Y114" i="57"/>
  <c r="X125" i="57"/>
  <c r="X127" i="57" s="1"/>
  <c r="H60" i="58"/>
  <c r="M60" i="58"/>
  <c r="Z69" i="58"/>
  <c r="E6" i="59"/>
  <c r="E39" i="59" s="1"/>
  <c r="E58" i="59" s="1"/>
  <c r="Q6" i="59"/>
  <c r="Q39" i="59" s="1"/>
  <c r="Q58" i="59" s="1"/>
  <c r="AB8" i="59"/>
  <c r="F6" i="59"/>
  <c r="F39" i="59" s="1"/>
  <c r="F58" i="59" s="1"/>
  <c r="L60" i="59"/>
  <c r="M88" i="59"/>
  <c r="W114" i="59"/>
  <c r="AB27" i="61"/>
  <c r="Y69" i="61"/>
  <c r="O6" i="63"/>
  <c r="O39" i="63" s="1"/>
  <c r="O58" i="63" s="1"/>
  <c r="X66" i="63"/>
  <c r="W62" i="63"/>
  <c r="X62" i="63" s="1"/>
  <c r="AA114" i="63"/>
  <c r="AB117" i="63"/>
  <c r="AB114" i="63" s="1"/>
  <c r="Y49" i="64"/>
  <c r="Y41" i="64" s="1"/>
  <c r="M6" i="65"/>
  <c r="M39" i="65" s="1"/>
  <c r="M57" i="65" s="1"/>
  <c r="I59" i="65"/>
  <c r="X89" i="65"/>
  <c r="AB80" i="68"/>
  <c r="AB79" i="68" s="1"/>
  <c r="M6" i="60"/>
  <c r="M39" i="60" s="1"/>
  <c r="M58" i="60" s="1"/>
  <c r="AA17" i="60"/>
  <c r="W79" i="60"/>
  <c r="J6" i="61"/>
  <c r="J39" i="61" s="1"/>
  <c r="J58" i="61" s="1"/>
  <c r="M60" i="61"/>
  <c r="AA8" i="63"/>
  <c r="K60" i="63"/>
  <c r="W100" i="63"/>
  <c r="N60" i="64"/>
  <c r="N88" i="64"/>
  <c r="I88" i="64"/>
  <c r="Y127" i="64"/>
  <c r="G6" i="62"/>
  <c r="G39" i="62" s="1"/>
  <c r="G57" i="62" s="1"/>
  <c r="U48" i="62"/>
  <c r="U41" i="62" s="1"/>
  <c r="O6" i="65"/>
  <c r="O39" i="65" s="1"/>
  <c r="O57" i="65" s="1"/>
  <c r="D6" i="65"/>
  <c r="D39" i="65" s="1"/>
  <c r="D57" i="65" s="1"/>
  <c r="P6" i="65"/>
  <c r="P39" i="65" s="1"/>
  <c r="P57" i="65" s="1"/>
  <c r="M87" i="65"/>
  <c r="Z99" i="65"/>
  <c r="G59" i="66"/>
  <c r="D59" i="66"/>
  <c r="G6" i="70"/>
  <c r="G39" i="70" s="1"/>
  <c r="G58" i="70" s="1"/>
  <c r="J30" i="8"/>
  <c r="J32" i="8" s="1"/>
  <c r="J38" i="8" s="1"/>
  <c r="J43" i="8" s="1"/>
  <c r="J21" i="8"/>
  <c r="V30" i="8"/>
  <c r="V32" i="8" s="1"/>
  <c r="V38" i="8" s="1"/>
  <c r="V43" i="8" s="1"/>
  <c r="V21" i="8"/>
  <c r="N6" i="60"/>
  <c r="N39" i="60" s="1"/>
  <c r="N58" i="60" s="1"/>
  <c r="AA27" i="60"/>
  <c r="X80" i="60"/>
  <c r="X79" i="60" s="1"/>
  <c r="AB8" i="61"/>
  <c r="I6" i="61"/>
  <c r="I39" i="61" s="1"/>
  <c r="I58" i="61" s="1"/>
  <c r="N60" i="61"/>
  <c r="D88" i="61"/>
  <c r="W17" i="63"/>
  <c r="AB27" i="63"/>
  <c r="L60" i="63"/>
  <c r="W8" i="64"/>
  <c r="O60" i="64"/>
  <c r="W69" i="64"/>
  <c r="O88" i="64"/>
  <c r="J88" i="64"/>
  <c r="Z127" i="64"/>
  <c r="W8" i="62"/>
  <c r="Q59" i="62"/>
  <c r="Z99" i="62"/>
  <c r="W113" i="62"/>
  <c r="E6" i="65"/>
  <c r="E39" i="65" s="1"/>
  <c r="E57" i="65" s="1"/>
  <c r="Q6" i="65"/>
  <c r="Q39" i="65" s="1"/>
  <c r="Q57" i="65" s="1"/>
  <c r="X61" i="65"/>
  <c r="N87" i="65"/>
  <c r="F87" i="65"/>
  <c r="H59" i="66"/>
  <c r="E59" i="66"/>
  <c r="F86" i="66"/>
  <c r="M6" i="67"/>
  <c r="M39" i="67" s="1"/>
  <c r="M58" i="67" s="1"/>
  <c r="H6" i="68"/>
  <c r="H39" i="68" s="1"/>
  <c r="H58" i="68" s="1"/>
  <c r="Z69" i="68"/>
  <c r="H6" i="70"/>
  <c r="H39" i="70" s="1"/>
  <c r="H58" i="70" s="1"/>
  <c r="X9" i="70"/>
  <c r="X8" i="70" s="1"/>
  <c r="W8" i="70"/>
  <c r="G24" i="21"/>
  <c r="M39" i="61"/>
  <c r="M58" i="61" s="1"/>
  <c r="E60" i="61"/>
  <c r="Q60" i="61"/>
  <c r="E88" i="61"/>
  <c r="Q88" i="61"/>
  <c r="Z100" i="61"/>
  <c r="Y100" i="61"/>
  <c r="H60" i="63"/>
  <c r="AB17" i="64"/>
  <c r="AA49" i="64"/>
  <c r="AA41" i="64" s="1"/>
  <c r="P60" i="64"/>
  <c r="L59" i="62"/>
  <c r="U68" i="62"/>
  <c r="K87" i="62"/>
  <c r="V99" i="62"/>
  <c r="X126" i="62"/>
  <c r="U99" i="65"/>
  <c r="G86" i="66"/>
  <c r="W17" i="68"/>
  <c r="X8" i="69"/>
  <c r="Y27" i="61"/>
  <c r="Y62" i="61"/>
  <c r="W90" i="61"/>
  <c r="H39" i="63"/>
  <c r="H58" i="63" s="1"/>
  <c r="D60" i="63"/>
  <c r="Z100" i="63"/>
  <c r="K39" i="64"/>
  <c r="K58" i="64" s="1"/>
  <c r="AB50" i="64"/>
  <c r="AB49" i="64" s="1"/>
  <c r="AB41" i="64" s="1"/>
  <c r="D60" i="64"/>
  <c r="Q60" i="64"/>
  <c r="Y8" i="62"/>
  <c r="K6" i="62"/>
  <c r="K39" i="62" s="1"/>
  <c r="K57" i="62" s="1"/>
  <c r="V69" i="62"/>
  <c r="V68" i="62" s="1"/>
  <c r="L87" i="62"/>
  <c r="W17" i="65"/>
  <c r="X68" i="65"/>
  <c r="D87" i="65"/>
  <c r="P87" i="65"/>
  <c r="V100" i="65"/>
  <c r="V99" i="65" s="1"/>
  <c r="I39" i="66"/>
  <c r="I57" i="66" s="1"/>
  <c r="H86" i="66"/>
  <c r="AB17" i="67"/>
  <c r="AA62" i="67"/>
  <c r="F88" i="67"/>
  <c r="Y90" i="67"/>
  <c r="X18" i="68"/>
  <c r="X17" i="68" s="1"/>
  <c r="Z27" i="68"/>
  <c r="X116" i="69"/>
  <c r="W114" i="69"/>
  <c r="X117" i="70"/>
  <c r="X114" i="70" s="1"/>
  <c r="W114" i="70"/>
  <c r="X17" i="61"/>
  <c r="X6" i="61" s="1"/>
  <c r="K88" i="61"/>
  <c r="Z17" i="63"/>
  <c r="Q60" i="63"/>
  <c r="AA90" i="63"/>
  <c r="F60" i="64"/>
  <c r="Z8" i="62"/>
  <c r="L6" i="62"/>
  <c r="L39" i="62" s="1"/>
  <c r="L57" i="62" s="1"/>
  <c r="D39" i="62"/>
  <c r="D57" i="62" s="1"/>
  <c r="Y27" i="62"/>
  <c r="Q87" i="62"/>
  <c r="W78" i="65"/>
  <c r="W99" i="65"/>
  <c r="J6" i="66"/>
  <c r="J39" i="66" s="1"/>
  <c r="J57" i="66" s="1"/>
  <c r="P39" i="67"/>
  <c r="P58" i="67" s="1"/>
  <c r="W17" i="67"/>
  <c r="AB63" i="67"/>
  <c r="AB62" i="67" s="1"/>
  <c r="Y17" i="68"/>
  <c r="W69" i="68"/>
  <c r="Q36" i="20"/>
  <c r="Q38" i="20" s="1"/>
  <c r="Q42" i="20" s="1"/>
  <c r="Q47" i="20" s="1"/>
  <c r="Q24" i="20"/>
  <c r="H60" i="61"/>
  <c r="Y8" i="63"/>
  <c r="K88" i="63"/>
  <c r="Y114" i="63"/>
  <c r="Y62" i="64"/>
  <c r="G60" i="64"/>
  <c r="Z17" i="62"/>
  <c r="U8" i="65"/>
  <c r="J87" i="65"/>
  <c r="T61" i="66"/>
  <c r="C86" i="66"/>
  <c r="X19" i="67"/>
  <c r="X17" i="67" s="1"/>
  <c r="I60" i="68"/>
  <c r="X71" i="68"/>
  <c r="X69" i="68" s="1"/>
  <c r="F36" i="20"/>
  <c r="F38" i="20" s="1"/>
  <c r="F42" i="20" s="1"/>
  <c r="F47" i="20" s="1"/>
  <c r="F24" i="20"/>
  <c r="AD24" i="20"/>
  <c r="AD36" i="20"/>
  <c r="AD38" i="20" s="1"/>
  <c r="AD42" i="20" s="1"/>
  <c r="AD47" i="20" s="1"/>
  <c r="AP24" i="20"/>
  <c r="AP36" i="20"/>
  <c r="AP38" i="20" s="1"/>
  <c r="AP42" i="20" s="1"/>
  <c r="AP47" i="20" s="1"/>
  <c r="AB22" i="36"/>
  <c r="AB24" i="36" s="1"/>
  <c r="AB28" i="36" s="1"/>
  <c r="AB31" i="36" s="1"/>
  <c r="AA100" i="61"/>
  <c r="W49" i="63"/>
  <c r="W41" i="63" s="1"/>
  <c r="N6" i="64"/>
  <c r="N39" i="64" s="1"/>
  <c r="N58" i="64" s="1"/>
  <c r="Z62" i="64"/>
  <c r="K60" i="64"/>
  <c r="H88" i="64"/>
  <c r="Z100" i="64"/>
  <c r="Y114" i="64"/>
  <c r="V10" i="62"/>
  <c r="V8" i="62" s="1"/>
  <c r="X17" i="62"/>
  <c r="X6" i="62" s="1"/>
  <c r="V78" i="62"/>
  <c r="G87" i="62"/>
  <c r="U126" i="62"/>
  <c r="K87" i="65"/>
  <c r="Y99" i="65"/>
  <c r="Y128" i="65"/>
  <c r="Z128" i="65" s="1"/>
  <c r="AA128" i="65" s="1"/>
  <c r="F6" i="66"/>
  <c r="F39" i="66" s="1"/>
  <c r="F57" i="66" s="1"/>
  <c r="T17" i="66"/>
  <c r="AA27" i="67"/>
  <c r="Z69" i="67"/>
  <c r="Z127" i="67"/>
  <c r="AA49" i="68"/>
  <c r="AA41" i="68" s="1"/>
  <c r="J60" i="68"/>
  <c r="W79" i="68"/>
  <c r="N88" i="68"/>
  <c r="AB116" i="69"/>
  <c r="AB114" i="69" s="1"/>
  <c r="AA114" i="69"/>
  <c r="R36" i="20"/>
  <c r="R38" i="20" s="1"/>
  <c r="R42" i="20" s="1"/>
  <c r="R47" i="20" s="1"/>
  <c r="Y69" i="63"/>
  <c r="O6" i="64"/>
  <c r="O39" i="64" s="1"/>
  <c r="O58" i="64" s="1"/>
  <c r="Y90" i="64"/>
  <c r="Y17" i="62"/>
  <c r="V27" i="62"/>
  <c r="H87" i="62"/>
  <c r="W89" i="62"/>
  <c r="G6" i="66"/>
  <c r="G39" i="66" s="1"/>
  <c r="G57" i="66" s="1"/>
  <c r="E60" i="67"/>
  <c r="Q60" i="67"/>
  <c r="X79" i="68"/>
  <c r="F24" i="24"/>
  <c r="F36" i="24" s="1"/>
  <c r="F38" i="24" s="1"/>
  <c r="F42" i="24" s="1"/>
  <c r="F47" i="24" s="1"/>
  <c r="W8" i="61"/>
  <c r="W114" i="61"/>
  <c r="Y49" i="63"/>
  <c r="Y41" i="63" s="1"/>
  <c r="I60" i="63"/>
  <c r="D6" i="64"/>
  <c r="D39" i="64" s="1"/>
  <c r="D58" i="64" s="1"/>
  <c r="P6" i="64"/>
  <c r="P39" i="64" s="1"/>
  <c r="P58" i="64" s="1"/>
  <c r="Y79" i="64"/>
  <c r="Z90" i="64"/>
  <c r="E88" i="64"/>
  <c r="Q88" i="64"/>
  <c r="X89" i="62"/>
  <c r="Z27" i="65"/>
  <c r="V123" i="65"/>
  <c r="V126" i="65" s="1"/>
  <c r="U126" i="65"/>
  <c r="X8" i="67"/>
  <c r="Y69" i="67"/>
  <c r="Z114" i="67"/>
  <c r="AB102" i="68"/>
  <c r="AB100" i="68" s="1"/>
  <c r="AA100" i="68"/>
  <c r="I88" i="69"/>
  <c r="S36" i="22"/>
  <c r="S38" i="22" s="1"/>
  <c r="S42" i="22" s="1"/>
  <c r="S47" i="22" s="1"/>
  <c r="X114" i="68"/>
  <c r="Y79" i="69"/>
  <c r="K34" i="35"/>
  <c r="K38" i="35" s="1"/>
  <c r="E27" i="39"/>
  <c r="E44" i="39" s="1"/>
  <c r="Q27" i="39"/>
  <c r="Q44" i="39" s="1"/>
  <c r="Q95" i="39" s="1"/>
  <c r="AC27" i="39"/>
  <c r="AC44" i="39" s="1"/>
  <c r="J6" i="68"/>
  <c r="J39" i="68" s="1"/>
  <c r="J58" i="68" s="1"/>
  <c r="AB62" i="68"/>
  <c r="E60" i="69"/>
  <c r="Q60" i="69"/>
  <c r="Z79" i="69"/>
  <c r="H88" i="70"/>
  <c r="V36" i="23"/>
  <c r="V38" i="23" s="1"/>
  <c r="V42" i="23" s="1"/>
  <c r="V47" i="23" s="1"/>
  <c r="V24" i="23"/>
  <c r="H6" i="62"/>
  <c r="H39" i="62" s="1"/>
  <c r="H57" i="62" s="1"/>
  <c r="W27" i="62"/>
  <c r="F59" i="62"/>
  <c r="U78" i="62"/>
  <c r="F87" i="62"/>
  <c r="Y27" i="65"/>
  <c r="M59" i="65"/>
  <c r="O87" i="65"/>
  <c r="G87" i="65"/>
  <c r="E86" i="66"/>
  <c r="W8" i="67"/>
  <c r="AA49" i="67"/>
  <c r="AA41" i="67" s="1"/>
  <c r="Z62" i="67"/>
  <c r="K6" i="68"/>
  <c r="K39" i="68" s="1"/>
  <c r="K58" i="68" s="1"/>
  <c r="Y62" i="68"/>
  <c r="Y100" i="68"/>
  <c r="J6" i="69"/>
  <c r="J39" i="69" s="1"/>
  <c r="J58" i="69" s="1"/>
  <c r="N88" i="69"/>
  <c r="AA17" i="70"/>
  <c r="I88" i="70"/>
  <c r="AY24" i="20"/>
  <c r="Q36" i="21"/>
  <c r="Q38" i="21" s="1"/>
  <c r="Q42" i="21" s="1"/>
  <c r="Q47" i="21" s="1"/>
  <c r="AC36" i="21"/>
  <c r="AC38" i="21" s="1"/>
  <c r="AC42" i="21" s="1"/>
  <c r="AC47" i="21" s="1"/>
  <c r="L24" i="24"/>
  <c r="L36" i="24" s="1"/>
  <c r="L38" i="24" s="1"/>
  <c r="L42" i="24" s="1"/>
  <c r="L47" i="24" s="1"/>
  <c r="W28" i="35"/>
  <c r="W30" i="35" s="1"/>
  <c r="W34" i="35" s="1"/>
  <c r="W38" i="35" s="1"/>
  <c r="AR24" i="47"/>
  <c r="AR27" i="47" s="1"/>
  <c r="AR31" i="47" s="1"/>
  <c r="AR36" i="47" s="1"/>
  <c r="Q90" i="30"/>
  <c r="Y127" i="67"/>
  <c r="M60" i="68"/>
  <c r="O60" i="68"/>
  <c r="M6" i="69"/>
  <c r="M39" i="69" s="1"/>
  <c r="M58" i="69" s="1"/>
  <c r="L6" i="70"/>
  <c r="L39" i="70" s="1"/>
  <c r="L58" i="70" s="1"/>
  <c r="W27" i="70"/>
  <c r="AA62" i="70"/>
  <c r="Z69" i="70"/>
  <c r="AE36" i="23"/>
  <c r="AE38" i="23" s="1"/>
  <c r="AE42" i="23" s="1"/>
  <c r="AE47" i="23" s="1"/>
  <c r="H36" i="25"/>
  <c r="H38" i="25" s="1"/>
  <c r="H42" i="25" s="1"/>
  <c r="H47" i="25" s="1"/>
  <c r="AK38" i="8"/>
  <c r="AK43" i="8" s="1"/>
  <c r="Y127" i="68"/>
  <c r="N60" i="69"/>
  <c r="Z100" i="69"/>
  <c r="W17" i="70"/>
  <c r="X27" i="70"/>
  <c r="AB69" i="70"/>
  <c r="Z79" i="70"/>
  <c r="G24" i="20"/>
  <c r="S36" i="20"/>
  <c r="S38" i="20" s="1"/>
  <c r="S42" i="20" s="1"/>
  <c r="S47" i="20" s="1"/>
  <c r="AQ24" i="20"/>
  <c r="P22" i="36"/>
  <c r="P24" i="36" s="1"/>
  <c r="P28" i="36" s="1"/>
  <c r="P31" i="36" s="1"/>
  <c r="P25" i="45"/>
  <c r="P28" i="45" s="1"/>
  <c r="P32" i="45" s="1"/>
  <c r="P37" i="45" s="1"/>
  <c r="AU24" i="47"/>
  <c r="AU27" i="47" s="1"/>
  <c r="AU31" i="47" s="1"/>
  <c r="AU36" i="47" s="1"/>
  <c r="O21" i="8"/>
  <c r="J124" i="82"/>
  <c r="V124" i="82"/>
  <c r="Z62" i="68"/>
  <c r="Z127" i="68"/>
  <c r="Y27" i="69"/>
  <c r="Z49" i="69"/>
  <c r="Z41" i="69" s="1"/>
  <c r="I60" i="69"/>
  <c r="AA62" i="69"/>
  <c r="X19" i="70"/>
  <c r="X17" i="70" s="1"/>
  <c r="Y27" i="70"/>
  <c r="I60" i="70"/>
  <c r="Y100" i="70"/>
  <c r="H36" i="20"/>
  <c r="H38" i="20" s="1"/>
  <c r="H42" i="20" s="1"/>
  <c r="H47" i="20" s="1"/>
  <c r="F36" i="21"/>
  <c r="F38" i="21" s="1"/>
  <c r="F42" i="21" s="1"/>
  <c r="F47" i="21" s="1"/>
  <c r="F24" i="21"/>
  <c r="R36" i="25"/>
  <c r="R38" i="25" s="1"/>
  <c r="R42" i="25" s="1"/>
  <c r="R47" i="25" s="1"/>
  <c r="R24" i="25"/>
  <c r="M22" i="38"/>
  <c r="M24" i="38" s="1"/>
  <c r="M28" i="38" s="1"/>
  <c r="M32" i="38" s="1"/>
  <c r="Q45" i="28"/>
  <c r="F6" i="68"/>
  <c r="F39" i="68" s="1"/>
  <c r="F58" i="68" s="1"/>
  <c r="AA27" i="68"/>
  <c r="D60" i="68"/>
  <c r="P60" i="68"/>
  <c r="Z90" i="68"/>
  <c r="AB17" i="69"/>
  <c r="J60" i="69"/>
  <c r="L60" i="70"/>
  <c r="D60" i="70"/>
  <c r="P60" i="70"/>
  <c r="Q88" i="70"/>
  <c r="S36" i="21"/>
  <c r="S38" i="21" s="1"/>
  <c r="S42" i="21" s="1"/>
  <c r="S47" i="21" s="1"/>
  <c r="R36" i="21"/>
  <c r="R38" i="21" s="1"/>
  <c r="R42" i="21" s="1"/>
  <c r="R47" i="21" s="1"/>
  <c r="R24" i="24"/>
  <c r="R36" i="24" s="1"/>
  <c r="R38" i="24" s="1"/>
  <c r="R42" i="24" s="1"/>
  <c r="R47" i="24" s="1"/>
  <c r="D36" i="7"/>
  <c r="D38" i="7" s="1"/>
  <c r="D44" i="7" s="1"/>
  <c r="D49" i="7" s="1"/>
  <c r="D51" i="7" s="1"/>
  <c r="S46" i="29"/>
  <c r="AA31" i="40"/>
  <c r="X114" i="67"/>
  <c r="D6" i="68"/>
  <c r="D39" i="68" s="1"/>
  <c r="D58" i="68" s="1"/>
  <c r="P6" i="68"/>
  <c r="P39" i="68" s="1"/>
  <c r="P58" i="68" s="1"/>
  <c r="AB27" i="68"/>
  <c r="Z49" i="68"/>
  <c r="Z41" i="68" s="1"/>
  <c r="O6" i="69"/>
  <c r="O39" i="69" s="1"/>
  <c r="O58" i="69" s="1"/>
  <c r="Y90" i="69"/>
  <c r="E6" i="70"/>
  <c r="E39" i="70" s="1"/>
  <c r="E58" i="70" s="1"/>
  <c r="P6" i="70"/>
  <c r="P39" i="70" s="1"/>
  <c r="P58" i="70" s="1"/>
  <c r="N88" i="70"/>
  <c r="F88" i="70"/>
  <c r="K24" i="22"/>
  <c r="K36" i="22" s="1"/>
  <c r="AD36" i="23"/>
  <c r="AD38" i="23" s="1"/>
  <c r="AD42" i="23" s="1"/>
  <c r="AD47" i="23" s="1"/>
  <c r="D90" i="30"/>
  <c r="G124" i="81"/>
  <c r="S124" i="81"/>
  <c r="BA36" i="20"/>
  <c r="BA38" i="20" s="1"/>
  <c r="BA42" i="20" s="1"/>
  <c r="BA47" i="20" s="1"/>
  <c r="X24" i="22"/>
  <c r="X36" i="22" s="1"/>
  <c r="X38" i="22" s="1"/>
  <c r="X42" i="22" s="1"/>
  <c r="X47" i="22" s="1"/>
  <c r="G24" i="22"/>
  <c r="G36" i="22" s="1"/>
  <c r="M36" i="25"/>
  <c r="M38" i="25" s="1"/>
  <c r="M42" i="25" s="1"/>
  <c r="M47" i="25" s="1"/>
  <c r="Z22" i="36"/>
  <c r="Z24" i="36" s="1"/>
  <c r="Z28" i="36" s="1"/>
  <c r="Z31" i="36" s="1"/>
  <c r="T29" i="37"/>
  <c r="T32" i="37" s="1"/>
  <c r="T36" i="37" s="1"/>
  <c r="T41" i="37" s="1"/>
  <c r="AF29" i="37"/>
  <c r="AF32" i="37" s="1"/>
  <c r="AF36" i="37" s="1"/>
  <c r="AF41" i="37" s="1"/>
  <c r="U29" i="37"/>
  <c r="U32" i="37" s="1"/>
  <c r="U36" i="37" s="1"/>
  <c r="U41" i="37" s="1"/>
  <c r="O24" i="47"/>
  <c r="O27" i="47" s="1"/>
  <c r="O31" i="47" s="1"/>
  <c r="O36" i="47" s="1"/>
  <c r="AB21" i="8"/>
  <c r="H44" i="7"/>
  <c r="H49" i="7" s="1"/>
  <c r="H51" i="7" s="1"/>
  <c r="K36" i="7"/>
  <c r="K38" i="7" s="1"/>
  <c r="K44" i="7" s="1"/>
  <c r="K49" i="7" s="1"/>
  <c r="K51" i="7" s="1"/>
  <c r="P45" i="28"/>
  <c r="F45" i="28"/>
  <c r="R45" i="28"/>
  <c r="N95" i="28"/>
  <c r="F24" i="29"/>
  <c r="F46" i="29" s="1"/>
  <c r="R24" i="29"/>
  <c r="R46" i="29" s="1"/>
  <c r="M42" i="30"/>
  <c r="L95" i="33"/>
  <c r="W44" i="39"/>
  <c r="W95" i="39" s="1"/>
  <c r="Y124" i="80"/>
  <c r="O124" i="80"/>
  <c r="I125" i="85"/>
  <c r="H36" i="21"/>
  <c r="H38" i="21" s="1"/>
  <c r="H42" i="21" s="1"/>
  <c r="H47" i="21" s="1"/>
  <c r="E24" i="24"/>
  <c r="E36" i="24" s="1"/>
  <c r="E38" i="24" s="1"/>
  <c r="E42" i="24" s="1"/>
  <c r="E47" i="24" s="1"/>
  <c r="Z28" i="35"/>
  <c r="Z30" i="35" s="1"/>
  <c r="Z34" i="35" s="1"/>
  <c r="Z38" i="35" s="1"/>
  <c r="K22" i="36"/>
  <c r="K24" i="36" s="1"/>
  <c r="K28" i="36" s="1"/>
  <c r="K31" i="36" s="1"/>
  <c r="I29" i="37"/>
  <c r="I32" i="37" s="1"/>
  <c r="I36" i="37" s="1"/>
  <c r="I41" i="37" s="1"/>
  <c r="AG29" i="37"/>
  <c r="AG32" i="37" s="1"/>
  <c r="AG36" i="37" s="1"/>
  <c r="AG41" i="37" s="1"/>
  <c r="P24" i="47"/>
  <c r="P27" i="47" s="1"/>
  <c r="P31" i="47" s="1"/>
  <c r="P36" i="47" s="1"/>
  <c r="AB24" i="47"/>
  <c r="AB27" i="47" s="1"/>
  <c r="AB31" i="47" s="1"/>
  <c r="AB36" i="47" s="1"/>
  <c r="AZ24" i="47"/>
  <c r="AZ27" i="47" s="1"/>
  <c r="AZ31" i="47" s="1"/>
  <c r="AZ36" i="47" s="1"/>
  <c r="X21" i="8"/>
  <c r="N36" i="7"/>
  <c r="N38" i="7" s="1"/>
  <c r="N44" i="7" s="1"/>
  <c r="N49" i="7" s="1"/>
  <c r="N51" i="7" s="1"/>
  <c r="I42" i="27"/>
  <c r="F86" i="27"/>
  <c r="F87" i="27" s="1"/>
  <c r="R86" i="27"/>
  <c r="H89" i="29"/>
  <c r="T89" i="29"/>
  <c r="M95" i="33"/>
  <c r="AA41" i="19"/>
  <c r="AA45" i="19"/>
  <c r="BA24" i="47"/>
  <c r="BA27" i="47" s="1"/>
  <c r="BA31" i="47" s="1"/>
  <c r="BA36" i="47" s="1"/>
  <c r="L60" i="40"/>
  <c r="X60" i="40"/>
  <c r="G24" i="24"/>
  <c r="G36" i="24" s="1"/>
  <c r="G38" i="24" s="1"/>
  <c r="G42" i="24" s="1"/>
  <c r="G47" i="24" s="1"/>
  <c r="D24" i="26"/>
  <c r="D36" i="26" s="1"/>
  <c r="D38" i="26" s="1"/>
  <c r="D42" i="26" s="1"/>
  <c r="D47" i="26" s="1"/>
  <c r="Y22" i="36"/>
  <c r="Y24" i="36" s="1"/>
  <c r="Y28" i="36" s="1"/>
  <c r="Y31" i="36" s="1"/>
  <c r="P30" i="42"/>
  <c r="P32" i="42" s="1"/>
  <c r="P36" i="42" s="1"/>
  <c r="P39" i="42" s="1"/>
  <c r="N21" i="8"/>
  <c r="Z21" i="8"/>
  <c r="AP38" i="8"/>
  <c r="AP43" i="8" s="1"/>
  <c r="M42" i="27"/>
  <c r="Y42" i="27"/>
  <c r="O95" i="28"/>
  <c r="AF90" i="30"/>
  <c r="J75" i="32"/>
  <c r="N22" i="33"/>
  <c r="N43" i="33" s="1"/>
  <c r="M60" i="40"/>
  <c r="Y60" i="40"/>
  <c r="AO93" i="11"/>
  <c r="W125" i="85"/>
  <c r="N125" i="85"/>
  <c r="H124" i="86"/>
  <c r="T124" i="86"/>
  <c r="E24" i="26"/>
  <c r="E36" i="26" s="1"/>
  <c r="E38" i="26" s="1"/>
  <c r="E42" i="26" s="1"/>
  <c r="E47" i="26" s="1"/>
  <c r="L28" i="35"/>
  <c r="L30" i="35" s="1"/>
  <c r="L34" i="35" s="1"/>
  <c r="L38" i="35" s="1"/>
  <c r="AN31" i="47"/>
  <c r="AN36" i="47" s="1"/>
  <c r="F95" i="28"/>
  <c r="H24" i="29"/>
  <c r="H46" i="29" s="1"/>
  <c r="T24" i="29"/>
  <c r="T46" i="29" s="1"/>
  <c r="P90" i="30"/>
  <c r="AB90" i="30"/>
  <c r="U90" i="30"/>
  <c r="AG90" i="30"/>
  <c r="AI27" i="39"/>
  <c r="AI44" i="39" s="1"/>
  <c r="AI95" i="39" s="1"/>
  <c r="I124" i="86"/>
  <c r="U124" i="86"/>
  <c r="L125" i="87"/>
  <c r="X125" i="87"/>
  <c r="AE93" i="11"/>
  <c r="H124" i="83"/>
  <c r="T124" i="83"/>
  <c r="K24" i="24"/>
  <c r="K36" i="24" s="1"/>
  <c r="K38" i="24" s="1"/>
  <c r="K42" i="24" s="1"/>
  <c r="K47" i="24" s="1"/>
  <c r="I36" i="25"/>
  <c r="I38" i="25" s="1"/>
  <c r="I42" i="25" s="1"/>
  <c r="I47" i="25" s="1"/>
  <c r="I24" i="25"/>
  <c r="G42" i="25"/>
  <c r="G47" i="25" s="1"/>
  <c r="C28" i="35"/>
  <c r="C30" i="35" s="1"/>
  <c r="C34" i="35" s="1"/>
  <c r="C38" i="35" s="1"/>
  <c r="T22" i="36"/>
  <c r="T24" i="36" s="1"/>
  <c r="T28" i="36" s="1"/>
  <c r="T31" i="36" s="1"/>
  <c r="O22" i="36"/>
  <c r="O24" i="36" s="1"/>
  <c r="O28" i="36" s="1"/>
  <c r="O31" i="36" s="1"/>
  <c r="E22" i="38"/>
  <c r="E24" i="38" s="1"/>
  <c r="E28" i="38" s="1"/>
  <c r="E32" i="38" s="1"/>
  <c r="Q22" i="38"/>
  <c r="Q24" i="38" s="1"/>
  <c r="Q28" i="38" s="1"/>
  <c r="Q32" i="38" s="1"/>
  <c r="I24" i="47"/>
  <c r="I27" i="47" s="1"/>
  <c r="I31" i="47" s="1"/>
  <c r="I36" i="47" s="1"/>
  <c r="U24" i="47"/>
  <c r="U27" i="47" s="1"/>
  <c r="U31" i="47" s="1"/>
  <c r="U36" i="47" s="1"/>
  <c r="AS31" i="47"/>
  <c r="AS36" i="47" s="1"/>
  <c r="E36" i="7"/>
  <c r="E38" i="7" s="1"/>
  <c r="E44" i="7" s="1"/>
  <c r="E49" i="7" s="1"/>
  <c r="E51" i="7" s="1"/>
  <c r="J45" i="28"/>
  <c r="V45" i="28"/>
  <c r="AE42" i="30"/>
  <c r="O23" i="30"/>
  <c r="O42" i="30" s="1"/>
  <c r="AA23" i="30"/>
  <c r="AA42" i="30" s="1"/>
  <c r="K90" i="30"/>
  <c r="W90" i="30"/>
  <c r="E57" i="46"/>
  <c r="E63" i="46" s="1"/>
  <c r="P93" i="11"/>
  <c r="U125" i="85"/>
  <c r="N24" i="22"/>
  <c r="N36" i="22" s="1"/>
  <c r="N38" i="22" s="1"/>
  <c r="N42" i="22" s="1"/>
  <c r="N47" i="22" s="1"/>
  <c r="J24" i="26"/>
  <c r="J36" i="26" s="1"/>
  <c r="J38" i="26" s="1"/>
  <c r="J42" i="26" s="1"/>
  <c r="J47" i="26" s="1"/>
  <c r="M24" i="26"/>
  <c r="M36" i="26" s="1"/>
  <c r="M38" i="26" s="1"/>
  <c r="M42" i="26" s="1"/>
  <c r="M47" i="26" s="1"/>
  <c r="Q28" i="35"/>
  <c r="Q30" i="35" s="1"/>
  <c r="Q34" i="35" s="1"/>
  <c r="Q38" i="35" s="1"/>
  <c r="AC28" i="35"/>
  <c r="AC30" i="35" s="1"/>
  <c r="AC34" i="35" s="1"/>
  <c r="AC38" i="35" s="1"/>
  <c r="S28" i="35"/>
  <c r="S30" i="35" s="1"/>
  <c r="S34" i="35" s="1"/>
  <c r="S38" i="35" s="1"/>
  <c r="S22" i="36"/>
  <c r="S24" i="36" s="1"/>
  <c r="S28" i="36" s="1"/>
  <c r="S31" i="36" s="1"/>
  <c r="J24" i="47"/>
  <c r="J27" i="47" s="1"/>
  <c r="J31" i="47" s="1"/>
  <c r="J36" i="47" s="1"/>
  <c r="V24" i="47"/>
  <c r="V27" i="47" s="1"/>
  <c r="V31" i="47" s="1"/>
  <c r="V36" i="47" s="1"/>
  <c r="AH24" i="47"/>
  <c r="AH27" i="47" s="1"/>
  <c r="AH31" i="47" s="1"/>
  <c r="AH36" i="47" s="1"/>
  <c r="R30" i="8"/>
  <c r="R32" i="8" s="1"/>
  <c r="R38" i="8" s="1"/>
  <c r="R43" i="8" s="1"/>
  <c r="W30" i="8"/>
  <c r="W32" i="8" s="1"/>
  <c r="W38" i="8" s="1"/>
  <c r="W43" i="8" s="1"/>
  <c r="K45" i="28"/>
  <c r="W45" i="28"/>
  <c r="M45" i="28"/>
  <c r="AJ92" i="39"/>
  <c r="Q124" i="81"/>
  <c r="E28" i="35"/>
  <c r="E30" i="35" s="1"/>
  <c r="E34" i="35" s="1"/>
  <c r="E38" i="35" s="1"/>
  <c r="R28" i="35"/>
  <c r="R30" i="35" s="1"/>
  <c r="R34" i="35" s="1"/>
  <c r="R38" i="35" s="1"/>
  <c r="F22" i="36"/>
  <c r="F24" i="36" s="1"/>
  <c r="F28" i="36" s="1"/>
  <c r="F31" i="36" s="1"/>
  <c r="R22" i="36"/>
  <c r="R24" i="36" s="1"/>
  <c r="R28" i="36" s="1"/>
  <c r="R31" i="36" s="1"/>
  <c r="AD22" i="36"/>
  <c r="AD24" i="36" s="1"/>
  <c r="AD28" i="36" s="1"/>
  <c r="AD31" i="36" s="1"/>
  <c r="X24" i="47"/>
  <c r="X27" i="47" s="1"/>
  <c r="X31" i="47" s="1"/>
  <c r="X36" i="47" s="1"/>
  <c r="Z30" i="8"/>
  <c r="Z32" i="8" s="1"/>
  <c r="Z38" i="8" s="1"/>
  <c r="Z43" i="8" s="1"/>
  <c r="M86" i="27"/>
  <c r="Y86" i="27"/>
  <c r="N45" i="28"/>
  <c r="L46" i="29"/>
  <c r="L90" i="29" s="1"/>
  <c r="U42" i="30"/>
  <c r="G90" i="30"/>
  <c r="T90" i="30"/>
  <c r="M89" i="31"/>
  <c r="Z28" i="11"/>
  <c r="Z50" i="11" s="1"/>
  <c r="Q124" i="84"/>
  <c r="M124" i="86"/>
  <c r="Y124" i="86"/>
  <c r="Y114" i="70"/>
  <c r="D24" i="22"/>
  <c r="D36" i="22" s="1"/>
  <c r="T24" i="25"/>
  <c r="AE28" i="35"/>
  <c r="AE30" i="35" s="1"/>
  <c r="AE34" i="35" s="1"/>
  <c r="AE38" i="35" s="1"/>
  <c r="S29" i="37"/>
  <c r="S32" i="37" s="1"/>
  <c r="S36" i="37" s="1"/>
  <c r="S41" i="37" s="1"/>
  <c r="AE29" i="37"/>
  <c r="AE32" i="37" s="1"/>
  <c r="AE36" i="37" s="1"/>
  <c r="AE41" i="37" s="1"/>
  <c r="D30" i="77"/>
  <c r="D32" i="77" s="1"/>
  <c r="D36" i="77" s="1"/>
  <c r="D39" i="77" s="1"/>
  <c r="AV24" i="47"/>
  <c r="AV27" i="47" s="1"/>
  <c r="AV31" i="47" s="1"/>
  <c r="AV36" i="47" s="1"/>
  <c r="AV38" i="8"/>
  <c r="AV43" i="8" s="1"/>
  <c r="I95" i="28"/>
  <c r="U95" i="28"/>
  <c r="M24" i="29"/>
  <c r="M46" i="29" s="1"/>
  <c r="Y24" i="29"/>
  <c r="Y46" i="29" s="1"/>
  <c r="Y90" i="29" s="1"/>
  <c r="D89" i="29"/>
  <c r="P89" i="29"/>
  <c r="F23" i="30"/>
  <c r="F42" i="30" s="1"/>
  <c r="R23" i="30"/>
  <c r="R42" i="30" s="1"/>
  <c r="AD23" i="30"/>
  <c r="AD42" i="30" s="1"/>
  <c r="N23" i="31"/>
  <c r="N43" i="31" s="1"/>
  <c r="N90" i="31" s="1"/>
  <c r="J23" i="31"/>
  <c r="J43" i="31" s="1"/>
  <c r="L22" i="32"/>
  <c r="L38" i="32" s="1"/>
  <c r="K22" i="32"/>
  <c r="K38" i="32" s="1"/>
  <c r="J30" i="46"/>
  <c r="AB27" i="39"/>
  <c r="AB44" i="39" s="1"/>
  <c r="G60" i="40"/>
  <c r="S60" i="40"/>
  <c r="L124" i="83"/>
  <c r="E124" i="84"/>
  <c r="G123" i="98"/>
  <c r="L85" i="3"/>
  <c r="X85" i="3"/>
  <c r="J18" i="40"/>
  <c r="J31" i="40" s="1"/>
  <c r="V18" i="40"/>
  <c r="V31" i="40" s="1"/>
  <c r="R50" i="11"/>
  <c r="AN28" i="11"/>
  <c r="AN50" i="11" s="1"/>
  <c r="AZ28" i="11"/>
  <c r="AZ50" i="11" s="1"/>
  <c r="E93" i="11"/>
  <c r="Q93" i="11"/>
  <c r="D124" i="80"/>
  <c r="P124" i="80"/>
  <c r="X124" i="82"/>
  <c r="N125" i="87"/>
  <c r="H57" i="46"/>
  <c r="H63" i="46" s="1"/>
  <c r="L92" i="39"/>
  <c r="Y92" i="39"/>
  <c r="W18" i="40"/>
  <c r="W31" i="40" s="1"/>
  <c r="D60" i="40"/>
  <c r="P60" i="40"/>
  <c r="AB60" i="40"/>
  <c r="AB28" i="11"/>
  <c r="AB50" i="11" s="1"/>
  <c r="E125" i="85"/>
  <c r="Q125" i="85"/>
  <c r="F33" i="78"/>
  <c r="F101" i="78"/>
  <c r="F103" i="78" s="1"/>
  <c r="F106" i="78" s="1"/>
  <c r="F63" i="46"/>
  <c r="I44" i="39"/>
  <c r="U44" i="39"/>
  <c r="U95" i="39" s="1"/>
  <c r="G28" i="11"/>
  <c r="G50" i="11" s="1"/>
  <c r="AF93" i="11"/>
  <c r="L124" i="81"/>
  <c r="X124" i="81"/>
  <c r="K28" i="18"/>
  <c r="P70" i="19"/>
  <c r="L65" i="78"/>
  <c r="L67" i="78" s="1"/>
  <c r="L69" i="78" s="1"/>
  <c r="L72" i="78" s="1"/>
  <c r="J167" i="78"/>
  <c r="J169" i="78" s="1"/>
  <c r="J171" i="78" s="1"/>
  <c r="J174" i="78" s="1"/>
  <c r="N75" i="32"/>
  <c r="L75" i="32"/>
  <c r="E22" i="33"/>
  <c r="E43" i="33" s="1"/>
  <c r="K57" i="46"/>
  <c r="K63" i="46" s="1"/>
  <c r="AH92" i="39"/>
  <c r="AA92" i="39"/>
  <c r="H28" i="11"/>
  <c r="H50" i="11" s="1"/>
  <c r="T28" i="11"/>
  <c r="T50" i="11" s="1"/>
  <c r="E124" i="83"/>
  <c r="Q124" i="83"/>
  <c r="M123" i="98"/>
  <c r="Y123" i="98"/>
  <c r="H31" i="78"/>
  <c r="M65" i="78"/>
  <c r="M67" i="78" s="1"/>
  <c r="M69" i="78" s="1"/>
  <c r="M72" i="78" s="1"/>
  <c r="F133" i="78"/>
  <c r="F135" i="78" s="1"/>
  <c r="F137" i="78" s="1"/>
  <c r="F140" i="78" s="1"/>
  <c r="N201" i="78"/>
  <c r="N203" i="78" s="1"/>
  <c r="N205" i="78" s="1"/>
  <c r="N208" i="78" s="1"/>
  <c r="E95" i="33"/>
  <c r="F95" i="33"/>
  <c r="J92" i="39"/>
  <c r="AB92" i="39"/>
  <c r="H93" i="11"/>
  <c r="T93" i="11"/>
  <c r="E15" i="18"/>
  <c r="Q15" i="18"/>
  <c r="I31" i="78"/>
  <c r="L167" i="78"/>
  <c r="L169" i="78" s="1"/>
  <c r="L171" i="78" s="1"/>
  <c r="L174" i="78" s="1"/>
  <c r="O65" i="78"/>
  <c r="O67" i="78" s="1"/>
  <c r="O69" i="78" s="1"/>
  <c r="O72" i="78" s="1"/>
  <c r="H133" i="78"/>
  <c r="H135" i="78" s="1"/>
  <c r="H137" i="78" s="1"/>
  <c r="H140" i="78" s="1"/>
  <c r="M167" i="78"/>
  <c r="M169" i="78" s="1"/>
  <c r="M171" i="78" s="1"/>
  <c r="M174" i="78" s="1"/>
  <c r="F235" i="78"/>
  <c r="F237" i="78" s="1"/>
  <c r="F239" i="78" s="1"/>
  <c r="F242" i="78" s="1"/>
  <c r="O75" i="32"/>
  <c r="F30" i="46"/>
  <c r="M57" i="46"/>
  <c r="M63" i="46" s="1"/>
  <c r="L27" i="39"/>
  <c r="L44" i="39" s="1"/>
  <c r="X27" i="39"/>
  <c r="X44" i="39" s="1"/>
  <c r="X95" i="39" s="1"/>
  <c r="AJ27" i="39"/>
  <c r="AJ44" i="39" s="1"/>
  <c r="E92" i="39"/>
  <c r="I60" i="40"/>
  <c r="U60" i="40"/>
  <c r="AH28" i="11"/>
  <c r="AH50" i="11" s="1"/>
  <c r="AT28" i="11"/>
  <c r="AT50" i="11" s="1"/>
  <c r="K93" i="11"/>
  <c r="AK93" i="11"/>
  <c r="D124" i="81"/>
  <c r="P124" i="81"/>
  <c r="R124" i="82"/>
  <c r="H125" i="87"/>
  <c r="G85" i="3"/>
  <c r="S85" i="3"/>
  <c r="AE85" i="3"/>
  <c r="H28" i="18"/>
  <c r="T28" i="18"/>
  <c r="O28" i="18"/>
  <c r="O27" i="19"/>
  <c r="E55" i="19"/>
  <c r="E23" i="31"/>
  <c r="E43" i="31" s="1"/>
  <c r="Q23" i="31"/>
  <c r="Q43" i="31" s="1"/>
  <c r="E89" i="31"/>
  <c r="Q89" i="31"/>
  <c r="N22" i="32"/>
  <c r="N38" i="32" s="1"/>
  <c r="M22" i="32"/>
  <c r="M38" i="32" s="1"/>
  <c r="I22" i="33"/>
  <c r="I43" i="33" s="1"/>
  <c r="N57" i="46"/>
  <c r="N63" i="46" s="1"/>
  <c r="N27" i="39"/>
  <c r="N44" i="39" s="1"/>
  <c r="Z27" i="39"/>
  <c r="Z44" i="39" s="1"/>
  <c r="C60" i="40"/>
  <c r="O60" i="40"/>
  <c r="AA60" i="40"/>
  <c r="L28" i="11"/>
  <c r="L50" i="11" s="1"/>
  <c r="X28" i="11"/>
  <c r="X50" i="11" s="1"/>
  <c r="AJ28" i="11"/>
  <c r="AJ50" i="11" s="1"/>
  <c r="AV28" i="11"/>
  <c r="AV50" i="11" s="1"/>
  <c r="J28" i="11"/>
  <c r="J50" i="11" s="1"/>
  <c r="V28" i="11"/>
  <c r="V50" i="11" s="1"/>
  <c r="K125" i="85"/>
  <c r="N85" i="3"/>
  <c r="Z85" i="3"/>
  <c r="AL85" i="3"/>
  <c r="R85" i="3"/>
  <c r="H85" i="3"/>
  <c r="T85" i="3"/>
  <c r="AF85" i="3"/>
  <c r="M55" i="19"/>
  <c r="L31" i="78"/>
  <c r="H99" i="78"/>
  <c r="H101" i="78" s="1"/>
  <c r="H103" i="78" s="1"/>
  <c r="H106" i="78" s="1"/>
  <c r="O167" i="78"/>
  <c r="O169" i="78" s="1"/>
  <c r="O171" i="78" s="1"/>
  <c r="O174" i="78" s="1"/>
  <c r="F75" i="32"/>
  <c r="E75" i="32"/>
  <c r="O27" i="39"/>
  <c r="AA27" i="39"/>
  <c r="AA44" i="39" s="1"/>
  <c r="AF92" i="39"/>
  <c r="M28" i="11"/>
  <c r="M50" i="11" s="1"/>
  <c r="Y28" i="11"/>
  <c r="Y50" i="11" s="1"/>
  <c r="AK28" i="11"/>
  <c r="AK50" i="11" s="1"/>
  <c r="AW28" i="11"/>
  <c r="AW50" i="11" s="1"/>
  <c r="AM93" i="11"/>
  <c r="AY93" i="11"/>
  <c r="H124" i="82"/>
  <c r="T124" i="82"/>
  <c r="D124" i="86"/>
  <c r="P124" i="86"/>
  <c r="F124" i="86"/>
  <c r="R124" i="86"/>
  <c r="J125" i="87"/>
  <c r="V125" i="87"/>
  <c r="I85" i="3"/>
  <c r="Q41" i="19"/>
  <c r="AJ55" i="19"/>
  <c r="F65" i="78"/>
  <c r="F67" i="78" s="1"/>
  <c r="F69" i="78" s="1"/>
  <c r="F72" i="78" s="1"/>
  <c r="K133" i="78"/>
  <c r="K135" i="78" s="1"/>
  <c r="K137" i="78" s="1"/>
  <c r="K140" i="78" s="1"/>
  <c r="G201" i="78"/>
  <c r="G203" i="78" s="1"/>
  <c r="G205" i="78" s="1"/>
  <c r="G208" i="78" s="1"/>
  <c r="I235" i="78"/>
  <c r="I237" i="78" s="1"/>
  <c r="I239" i="78" s="1"/>
  <c r="I242" i="78" s="1"/>
  <c r="K125" i="87"/>
  <c r="W125" i="87"/>
  <c r="H201" i="78"/>
  <c r="H203" i="78" s="1"/>
  <c r="H205" i="78" s="1"/>
  <c r="H208" i="78" s="1"/>
  <c r="K99" i="78"/>
  <c r="K101" i="78" s="1"/>
  <c r="K103" i="78" s="1"/>
  <c r="K106" i="78" s="1"/>
  <c r="F167" i="78"/>
  <c r="F169" i="78" s="1"/>
  <c r="F171" i="78" s="1"/>
  <c r="F174" i="78" s="1"/>
  <c r="Z27" i="64"/>
  <c r="AA17" i="64"/>
  <c r="Z17" i="64"/>
  <c r="W27" i="64"/>
  <c r="X30" i="64"/>
  <c r="X27" i="64" s="1"/>
  <c r="Y27" i="64"/>
  <c r="AA27" i="64"/>
  <c r="AB27" i="64"/>
  <c r="W17" i="64"/>
  <c r="X17" i="64"/>
  <c r="Y17" i="64"/>
  <c r="E30" i="77"/>
  <c r="E32" i="77" s="1"/>
  <c r="E36" i="77" s="1"/>
  <c r="E39" i="77" s="1"/>
  <c r="AB27" i="55"/>
  <c r="Y27" i="55"/>
  <c r="W27" i="55"/>
  <c r="Z27" i="55"/>
  <c r="AB17" i="55"/>
  <c r="J6" i="55"/>
  <c r="J39" i="55" s="1"/>
  <c r="J58" i="55" s="1"/>
  <c r="K6" i="55"/>
  <c r="K39" i="55" s="1"/>
  <c r="K58" i="55" s="1"/>
  <c r="AA17" i="55"/>
  <c r="L6" i="55"/>
  <c r="L39" i="55" s="1"/>
  <c r="L58" i="55" s="1"/>
  <c r="Y17" i="55"/>
  <c r="W17" i="55"/>
  <c r="X17" i="55"/>
  <c r="Z17" i="55"/>
  <c r="N24" i="47"/>
  <c r="N27" i="47" s="1"/>
  <c r="N31" i="47" s="1"/>
  <c r="N36" i="47" s="1"/>
  <c r="I30" i="77"/>
  <c r="I32" i="77" s="1"/>
  <c r="I36" i="77" s="1"/>
  <c r="I39" i="77" s="1"/>
  <c r="G30" i="42"/>
  <c r="G32" i="42" s="1"/>
  <c r="G36" i="42" s="1"/>
  <c r="G39" i="42" s="1"/>
  <c r="J30" i="42"/>
  <c r="J32" i="42" s="1"/>
  <c r="J36" i="42" s="1"/>
  <c r="J39" i="42" s="1"/>
  <c r="T31" i="42"/>
  <c r="H30" i="42"/>
  <c r="H32" i="42" s="1"/>
  <c r="H36" i="42" s="1"/>
  <c r="H39" i="42" s="1"/>
  <c r="L30" i="42"/>
  <c r="L32" i="42" s="1"/>
  <c r="L36" i="42" s="1"/>
  <c r="L39" i="42" s="1"/>
  <c r="M30" i="42"/>
  <c r="M32" i="42" s="1"/>
  <c r="M36" i="42" s="1"/>
  <c r="M39" i="42" s="1"/>
  <c r="O30" i="42"/>
  <c r="O32" i="42" s="1"/>
  <c r="O36" i="42" s="1"/>
  <c r="O39" i="42" s="1"/>
  <c r="F30" i="42"/>
  <c r="F32" i="42" s="1"/>
  <c r="F36" i="42" s="1"/>
  <c r="F39" i="42" s="1"/>
  <c r="N30" i="42"/>
  <c r="N32" i="42" s="1"/>
  <c r="N36" i="42" s="1"/>
  <c r="N39" i="42" s="1"/>
  <c r="E30" i="42"/>
  <c r="E32" i="42" s="1"/>
  <c r="E36" i="42" s="1"/>
  <c r="E39" i="42" s="1"/>
  <c r="S30" i="42"/>
  <c r="S32" i="42" s="1"/>
  <c r="S36" i="42" s="1"/>
  <c r="S39" i="42" s="1"/>
  <c r="V30" i="42"/>
  <c r="V32" i="42" s="1"/>
  <c r="V36" i="42" s="1"/>
  <c r="V39" i="42" s="1"/>
  <c r="T22" i="42"/>
  <c r="T15" i="42" s="1"/>
  <c r="W24" i="47"/>
  <c r="W27" i="47" s="1"/>
  <c r="W31" i="47" s="1"/>
  <c r="W36" i="47" s="1"/>
  <c r="K24" i="47"/>
  <c r="K27" i="47" s="1"/>
  <c r="K31" i="47" s="1"/>
  <c r="K36" i="47" s="1"/>
  <c r="L24" i="47"/>
  <c r="L27" i="47" s="1"/>
  <c r="L31" i="47" s="1"/>
  <c r="L36" i="47" s="1"/>
  <c r="M24" i="47"/>
  <c r="M27" i="47" s="1"/>
  <c r="M31" i="47" s="1"/>
  <c r="M36" i="47" s="1"/>
  <c r="E125" i="87"/>
  <c r="Q125" i="87"/>
  <c r="H55" i="19"/>
  <c r="F70" i="19"/>
  <c r="D17" i="19"/>
  <c r="Y45" i="19"/>
  <c r="I70" i="19"/>
  <c r="G17" i="19"/>
  <c r="X41" i="19"/>
  <c r="Z45" i="19"/>
  <c r="O55" i="19"/>
  <c r="N59" i="19"/>
  <c r="N70" i="19"/>
  <c r="X27" i="19"/>
  <c r="P55" i="19"/>
  <c r="E31" i="19"/>
  <c r="AF45" i="19"/>
  <c r="S55" i="19"/>
  <c r="X59" i="19"/>
  <c r="Q70" i="19"/>
  <c r="G31" i="19"/>
  <c r="AG41" i="19"/>
  <c r="AH41" i="19"/>
  <c r="AK45" i="19"/>
  <c r="AB59" i="19"/>
  <c r="AE55" i="19"/>
  <c r="AF59" i="19"/>
  <c r="N31" i="19"/>
  <c r="AG59" i="19"/>
  <c r="H27" i="19"/>
  <c r="M45" i="19"/>
  <c r="O74" i="19"/>
  <c r="P31" i="19"/>
  <c r="P45" i="19"/>
  <c r="AI55" i="19"/>
  <c r="Y45" i="28"/>
  <c r="K24" i="26"/>
  <c r="K36" i="26" s="1"/>
  <c r="K38" i="26" s="1"/>
  <c r="K42" i="26" s="1"/>
  <c r="K47" i="26" s="1"/>
  <c r="L24" i="26"/>
  <c r="L36" i="26" s="1"/>
  <c r="L38" i="26" s="1"/>
  <c r="L42" i="26" s="1"/>
  <c r="L47" i="26" s="1"/>
  <c r="N24" i="26"/>
  <c r="N36" i="26" s="1"/>
  <c r="N38" i="26" s="1"/>
  <c r="N42" i="26" s="1"/>
  <c r="N47" i="26" s="1"/>
  <c r="Q24" i="26"/>
  <c r="Q36" i="26"/>
  <c r="Q38" i="26" s="1"/>
  <c r="Q42" i="26" s="1"/>
  <c r="Q47" i="26" s="1"/>
  <c r="U36" i="25"/>
  <c r="U38" i="25" s="1"/>
  <c r="U42" i="25" s="1"/>
  <c r="U47" i="25" s="1"/>
  <c r="BA36" i="21"/>
  <c r="BA38" i="21" s="1"/>
  <c r="BA42" i="21" s="1"/>
  <c r="BA47" i="21" s="1"/>
  <c r="AZ36" i="21"/>
  <c r="AZ38" i="21" s="1"/>
  <c r="AZ42" i="21" s="1"/>
  <c r="AZ47" i="21" s="1"/>
  <c r="AZ195" i="12"/>
  <c r="Q264" i="2"/>
  <c r="Q180" i="2"/>
  <c r="F254" i="2"/>
  <c r="F255" i="2" s="1"/>
  <c r="F262" i="2" s="1"/>
  <c r="F264" i="2" s="1"/>
  <c r="R254" i="2"/>
  <c r="G254" i="2"/>
  <c r="P69" i="2"/>
  <c r="P70" i="2" s="1"/>
  <c r="P77" i="2" s="1"/>
  <c r="P79" i="2" s="1"/>
  <c r="F180" i="2"/>
  <c r="L180" i="2"/>
  <c r="L181" i="2" s="1"/>
  <c r="O46" i="2"/>
  <c r="M32" i="2"/>
  <c r="H143" i="2"/>
  <c r="F217" i="2"/>
  <c r="N254" i="2"/>
  <c r="I143" i="2"/>
  <c r="G143" i="2"/>
  <c r="P180" i="2"/>
  <c r="P181" i="2" s="1"/>
  <c r="Q32" i="2"/>
  <c r="M106" i="2"/>
  <c r="G180" i="2"/>
  <c r="F32" i="2"/>
  <c r="F33" i="2" s="1"/>
  <c r="F40" i="2" s="1"/>
  <c r="F42" i="2" s="1"/>
  <c r="G217" i="2"/>
  <c r="O254" i="2"/>
  <c r="N32" i="2"/>
  <c r="N33" i="2" s="1"/>
  <c r="N40" i="2" s="1"/>
  <c r="N42" i="2" s="1"/>
  <c r="G69" i="2"/>
  <c r="J106" i="2"/>
  <c r="O217" i="2"/>
  <c r="J32" i="2"/>
  <c r="J33" i="2" s="1"/>
  <c r="J40" i="2" s="1"/>
  <c r="J42" i="2" s="1"/>
  <c r="K32" i="2"/>
  <c r="P47" i="2"/>
  <c r="P46" i="2" s="1"/>
  <c r="J180" i="2"/>
  <c r="J254" i="2"/>
  <c r="P106" i="2"/>
  <c r="P107" i="2" s="1"/>
  <c r="P114" i="2" s="1"/>
  <c r="P116" i="2" s="1"/>
  <c r="P217" i="2"/>
  <c r="P218" i="2" s="1"/>
  <c r="P225" i="2" s="1"/>
  <c r="P227" i="2" s="1"/>
  <c r="Q106" i="2"/>
  <c r="J143" i="2"/>
  <c r="L254" i="2"/>
  <c r="O69" i="2"/>
  <c r="L143" i="2"/>
  <c r="L144" i="2" s="1"/>
  <c r="R153" i="2"/>
  <c r="I106" i="2"/>
  <c r="H106" i="2"/>
  <c r="M143" i="2"/>
  <c r="H217" i="2"/>
  <c r="R32" i="2"/>
  <c r="R33" i="2" s="1"/>
  <c r="R40" i="2" s="1"/>
  <c r="H69" i="2"/>
  <c r="H70" i="2" s="1"/>
  <c r="H77" i="2" s="1"/>
  <c r="H79" i="2" s="1"/>
  <c r="K217" i="2"/>
  <c r="G32" i="2"/>
  <c r="L106" i="2"/>
  <c r="L217" i="2"/>
  <c r="K46" i="2"/>
  <c r="K69" i="2"/>
  <c r="H180" i="2"/>
  <c r="N69" i="2"/>
  <c r="N180" i="2"/>
  <c r="N181" i="2" s="1"/>
  <c r="N188" i="2" s="1"/>
  <c r="N190" i="2" s="1"/>
  <c r="P254" i="2"/>
  <c r="P255" i="2" s="1"/>
  <c r="P262" i="2" s="1"/>
  <c r="P264" i="2" s="1"/>
  <c r="O32" i="2"/>
  <c r="K106" i="2"/>
  <c r="R217" i="2"/>
  <c r="P32" i="2"/>
  <c r="Q69" i="2"/>
  <c r="Q79" i="2"/>
  <c r="R180" i="2"/>
  <c r="I254" i="2"/>
  <c r="L47" i="2"/>
  <c r="M47" i="2" s="1"/>
  <c r="M46" i="2" s="1"/>
  <c r="O106" i="2"/>
  <c r="H32" i="2"/>
  <c r="J69" i="2"/>
  <c r="J217" i="2"/>
  <c r="J218" i="2" s="1"/>
  <c r="J225" i="2" s="1"/>
  <c r="J227" i="2" s="1"/>
  <c r="K254" i="2"/>
  <c r="K255" i="2" s="1"/>
  <c r="K262" i="2" s="1"/>
  <c r="K264" i="2" s="1"/>
  <c r="M254" i="2"/>
  <c r="L69" i="2"/>
  <c r="L70" i="2" s="1"/>
  <c r="L77" i="2" s="1"/>
  <c r="L79" i="2" s="1"/>
  <c r="G106" i="2"/>
  <c r="P143" i="2"/>
  <c r="P144" i="2" s="1"/>
  <c r="M217" i="2"/>
  <c r="L32" i="2"/>
  <c r="Q143" i="2"/>
  <c r="Y36" i="7"/>
  <c r="AV135" i="12"/>
  <c r="AZ135" i="12"/>
  <c r="P28" i="16"/>
  <c r="P27" i="16"/>
  <c r="P25" i="16"/>
  <c r="P24" i="16"/>
  <c r="P26" i="16"/>
  <c r="W130" i="55"/>
  <c r="X130" i="55" s="1"/>
  <c r="Y130" i="55" s="1"/>
  <c r="Z130" i="55" s="1"/>
  <c r="M130" i="55"/>
  <c r="N130" i="55" s="1"/>
  <c r="O130" i="55" s="1"/>
  <c r="P130" i="55" s="1"/>
  <c r="K195" i="12"/>
  <c r="W195" i="12"/>
  <c r="AI195" i="12"/>
  <c r="AU195" i="12"/>
  <c r="Q28" i="16"/>
  <c r="Q24" i="16"/>
  <c r="Q27" i="16"/>
  <c r="Q26" i="16"/>
  <c r="X8" i="56"/>
  <c r="AA49" i="56"/>
  <c r="AA41" i="56" s="1"/>
  <c r="AB50" i="56"/>
  <c r="AB49" i="56" s="1"/>
  <c r="AB41" i="56" s="1"/>
  <c r="X63" i="56"/>
  <c r="X62" i="56" s="1"/>
  <c r="W62" i="56"/>
  <c r="L195" i="12"/>
  <c r="X195" i="12"/>
  <c r="AJ195" i="12"/>
  <c r="AV195" i="12"/>
  <c r="X101" i="57"/>
  <c r="X100" i="57" s="1"/>
  <c r="W100" i="57"/>
  <c r="AA130" i="57"/>
  <c r="AB130" i="57" s="1"/>
  <c r="AC130" i="57" s="1"/>
  <c r="AD130" i="57" s="1"/>
  <c r="Q130" i="57"/>
  <c r="R130" i="57" s="1"/>
  <c r="S130" i="57" s="1"/>
  <c r="T130" i="57" s="1"/>
  <c r="AE130" i="57" s="1"/>
  <c r="S27" i="16"/>
  <c r="S24" i="16"/>
  <c r="S26" i="16"/>
  <c r="S28" i="16"/>
  <c r="S25" i="16"/>
  <c r="Z69" i="55"/>
  <c r="X69" i="55"/>
  <c r="Z100" i="55"/>
  <c r="AA69" i="56"/>
  <c r="AB70" i="56"/>
  <c r="AB69" i="56" s="1"/>
  <c r="W62" i="57"/>
  <c r="X63" i="57"/>
  <c r="X62" i="57" s="1"/>
  <c r="W129" i="56"/>
  <c r="X129" i="56" s="1"/>
  <c r="Y129" i="56" s="1"/>
  <c r="Z129" i="56" s="1"/>
  <c r="M129" i="56"/>
  <c r="N129" i="56" s="1"/>
  <c r="O129" i="56" s="1"/>
  <c r="P129" i="56" s="1"/>
  <c r="X63" i="59"/>
  <c r="X62" i="59" s="1"/>
  <c r="W62" i="59"/>
  <c r="O195" i="12"/>
  <c r="AA195" i="12"/>
  <c r="AM195" i="12"/>
  <c r="AY195" i="12"/>
  <c r="AA100" i="57"/>
  <c r="AB101" i="57"/>
  <c r="AB100" i="57" s="1"/>
  <c r="G6" i="60"/>
  <c r="G39" i="60" s="1"/>
  <c r="G58" i="60" s="1"/>
  <c r="G86" i="60" s="1"/>
  <c r="W62" i="55"/>
  <c r="X63" i="55"/>
  <c r="X62" i="55" s="1"/>
  <c r="X100" i="56"/>
  <c r="X43" i="59"/>
  <c r="E195" i="12"/>
  <c r="Q195" i="12"/>
  <c r="AC195" i="12"/>
  <c r="AO195" i="12"/>
  <c r="BA195" i="12"/>
  <c r="X114" i="55"/>
  <c r="AA135" i="12"/>
  <c r="Q25" i="16"/>
  <c r="Q36" i="16"/>
  <c r="Q35" i="16"/>
  <c r="Q33" i="16"/>
  <c r="W127" i="55"/>
  <c r="O135" i="12"/>
  <c r="G195" i="12"/>
  <c r="S195" i="12"/>
  <c r="AE195" i="12"/>
  <c r="AQ195" i="12"/>
  <c r="Q34" i="16"/>
  <c r="Z90" i="55"/>
  <c r="AA129" i="55"/>
  <c r="AB129" i="55" s="1"/>
  <c r="AC129" i="55" s="1"/>
  <c r="AD129" i="55" s="1"/>
  <c r="Q129" i="55"/>
  <c r="R129" i="55" s="1"/>
  <c r="S129" i="55" s="1"/>
  <c r="T129" i="55" s="1"/>
  <c r="H195" i="12"/>
  <c r="T195" i="12"/>
  <c r="AF195" i="12"/>
  <c r="AR195" i="12"/>
  <c r="AD68" i="41"/>
  <c r="Q32" i="16"/>
  <c r="Z49" i="55"/>
  <c r="Z41" i="55" s="1"/>
  <c r="W114" i="56"/>
  <c r="X116" i="56"/>
  <c r="X114" i="56" s="1"/>
  <c r="I60" i="57"/>
  <c r="R25" i="16"/>
  <c r="R24" i="16"/>
  <c r="S44" i="16"/>
  <c r="AA90" i="55"/>
  <c r="AB91" i="55"/>
  <c r="AB90" i="55" s="1"/>
  <c r="Z69" i="56"/>
  <c r="W100" i="56"/>
  <c r="AA17" i="57"/>
  <c r="X90" i="58"/>
  <c r="R28" i="16"/>
  <c r="AB51" i="55"/>
  <c r="AB49" i="55" s="1"/>
  <c r="AB41" i="55" s="1"/>
  <c r="AA49" i="55"/>
  <c r="AA41" i="55" s="1"/>
  <c r="AA69" i="55"/>
  <c r="AA114" i="55"/>
  <c r="AB116" i="55"/>
  <c r="AB114" i="55" s="1"/>
  <c r="W129" i="55"/>
  <c r="X129" i="55" s="1"/>
  <c r="Y129" i="55" s="1"/>
  <c r="Z129" i="55" s="1"/>
  <c r="X71" i="56"/>
  <c r="X69" i="56" s="1"/>
  <c r="W69" i="56"/>
  <c r="Y100" i="56"/>
  <c r="X19" i="57"/>
  <c r="X17" i="57" s="1"/>
  <c r="W17" i="57"/>
  <c r="AB69" i="57"/>
  <c r="X27" i="58"/>
  <c r="S43" i="16"/>
  <c r="P57" i="16"/>
  <c r="P56" i="16"/>
  <c r="P59" i="16"/>
  <c r="P58" i="16"/>
  <c r="AB69" i="55"/>
  <c r="X43" i="56"/>
  <c r="X90" i="56"/>
  <c r="AA114" i="56"/>
  <c r="AB116" i="56"/>
  <c r="AB114" i="56" s="1"/>
  <c r="AA69" i="58"/>
  <c r="X52" i="61"/>
  <c r="X49" i="61" s="1"/>
  <c r="W49" i="61"/>
  <c r="W41" i="61" s="1"/>
  <c r="S40" i="16"/>
  <c r="Z62" i="55"/>
  <c r="AA79" i="56"/>
  <c r="Y90" i="56"/>
  <c r="Z17" i="57"/>
  <c r="Z27" i="58"/>
  <c r="AB70" i="58"/>
  <c r="AB69" i="58" s="1"/>
  <c r="AA127" i="58"/>
  <c r="AB124" i="58"/>
  <c r="AB127" i="58" s="1"/>
  <c r="X45" i="61"/>
  <c r="N9" i="16"/>
  <c r="R26" i="16"/>
  <c r="AA62" i="55"/>
  <c r="AB63" i="55"/>
  <c r="AB62" i="55" s="1"/>
  <c r="Y27" i="56"/>
  <c r="Z90" i="56"/>
  <c r="Y27" i="57"/>
  <c r="AA129" i="58"/>
  <c r="AB129" i="58" s="1"/>
  <c r="AC129" i="58" s="1"/>
  <c r="AD129" i="58" s="1"/>
  <c r="Q129" i="58"/>
  <c r="R129" i="58" s="1"/>
  <c r="S129" i="58" s="1"/>
  <c r="X10" i="59"/>
  <c r="X8" i="59" s="1"/>
  <c r="W8" i="59"/>
  <c r="O49" i="16"/>
  <c r="O50" i="16"/>
  <c r="Q56" i="16"/>
  <c r="X50" i="55"/>
  <c r="X49" i="55" s="1"/>
  <c r="X41" i="55" s="1"/>
  <c r="W49" i="55"/>
  <c r="W41" i="55" s="1"/>
  <c r="Y127" i="55"/>
  <c r="Z27" i="56"/>
  <c r="AB91" i="56"/>
  <c r="AB90" i="56" s="1"/>
  <c r="AA90" i="56"/>
  <c r="Z27" i="57"/>
  <c r="X49" i="59"/>
  <c r="Q129" i="59"/>
  <c r="R129" i="59" s="1"/>
  <c r="S129" i="59" s="1"/>
  <c r="T129" i="59" s="1"/>
  <c r="AE129" i="59" s="1"/>
  <c r="AA129" i="59"/>
  <c r="AB129" i="59" s="1"/>
  <c r="AC129" i="59" s="1"/>
  <c r="AD129" i="59" s="1"/>
  <c r="Q12" i="16"/>
  <c r="Q8" i="16"/>
  <c r="Q10" i="16"/>
  <c r="R27" i="16"/>
  <c r="R43" i="16"/>
  <c r="R41" i="16"/>
  <c r="P48" i="16"/>
  <c r="P50" i="16"/>
  <c r="P49" i="16"/>
  <c r="AA27" i="56"/>
  <c r="AA27" i="57"/>
  <c r="R20" i="16"/>
  <c r="R19" i="16"/>
  <c r="R17" i="16"/>
  <c r="N25" i="16"/>
  <c r="N27" i="16"/>
  <c r="N28" i="16"/>
  <c r="W100" i="55"/>
  <c r="X108" i="55"/>
  <c r="X100" i="55" s="1"/>
  <c r="AA127" i="55"/>
  <c r="AB124" i="55"/>
  <c r="AB127" i="55" s="1"/>
  <c r="X49" i="56"/>
  <c r="X62" i="58"/>
  <c r="S20" i="16"/>
  <c r="S19" i="16"/>
  <c r="S17" i="16"/>
  <c r="O27" i="16"/>
  <c r="O28" i="16"/>
  <c r="Z79" i="55"/>
  <c r="X91" i="55"/>
  <c r="X90" i="55" s="1"/>
  <c r="X30" i="56"/>
  <c r="X27" i="56" s="1"/>
  <c r="W27" i="56"/>
  <c r="AB116" i="57"/>
  <c r="AB114" i="57" s="1"/>
  <c r="X27" i="59"/>
  <c r="W69" i="55"/>
  <c r="I60" i="56"/>
  <c r="Y49" i="57"/>
  <c r="Y41" i="57" s="1"/>
  <c r="X114" i="57"/>
  <c r="AB49" i="58"/>
  <c r="AB41" i="58" s="1"/>
  <c r="N60" i="58"/>
  <c r="X54" i="60"/>
  <c r="X49" i="60" s="1"/>
  <c r="W49" i="60"/>
  <c r="W41" i="60" s="1"/>
  <c r="W27" i="65"/>
  <c r="Y69" i="57"/>
  <c r="AB62" i="58"/>
  <c r="Z100" i="60"/>
  <c r="Y100" i="60"/>
  <c r="Q130" i="61"/>
  <c r="R130" i="61" s="1"/>
  <c r="S130" i="61" s="1"/>
  <c r="AA27" i="63"/>
  <c r="R12" i="16"/>
  <c r="R11" i="16"/>
  <c r="R9" i="16"/>
  <c r="S58" i="16"/>
  <c r="M6" i="55"/>
  <c r="M39" i="55" s="1"/>
  <c r="M58" i="55" s="1"/>
  <c r="G6" i="56"/>
  <c r="G39" i="56" s="1"/>
  <c r="G58" i="56" s="1"/>
  <c r="W49" i="56"/>
  <c r="W41" i="56" s="1"/>
  <c r="W114" i="57"/>
  <c r="AA27" i="58"/>
  <c r="Z90" i="58"/>
  <c r="AA100" i="58"/>
  <c r="Z49" i="59"/>
  <c r="Z41" i="59" s="1"/>
  <c r="D60" i="59"/>
  <c r="AA69" i="59"/>
  <c r="X74" i="59"/>
  <c r="X69" i="59" s="1"/>
  <c r="X91" i="59"/>
  <c r="X90" i="59" s="1"/>
  <c r="X100" i="59"/>
  <c r="AB69" i="60"/>
  <c r="R10" i="16"/>
  <c r="H88" i="56"/>
  <c r="X80" i="57"/>
  <c r="X79" i="57" s="1"/>
  <c r="L88" i="57"/>
  <c r="O60" i="58"/>
  <c r="Y17" i="59"/>
  <c r="AB71" i="59"/>
  <c r="AB69" i="59" s="1"/>
  <c r="Y90" i="59"/>
  <c r="X127" i="59"/>
  <c r="W69" i="60"/>
  <c r="AB71" i="63"/>
  <c r="AB69" i="63" s="1"/>
  <c r="AA69" i="63"/>
  <c r="R8" i="16"/>
  <c r="N60" i="56"/>
  <c r="I88" i="56"/>
  <c r="Z127" i="56"/>
  <c r="W127" i="56"/>
  <c r="W27" i="58"/>
  <c r="AB27" i="58"/>
  <c r="W90" i="58"/>
  <c r="Z17" i="59"/>
  <c r="Z90" i="59"/>
  <c r="Z100" i="59"/>
  <c r="Z27" i="60"/>
  <c r="X45" i="60"/>
  <c r="X71" i="60"/>
  <c r="X69" i="60" s="1"/>
  <c r="X100" i="60"/>
  <c r="X90" i="63"/>
  <c r="AB79" i="55"/>
  <c r="Y127" i="57"/>
  <c r="Z49" i="58"/>
  <c r="Z41" i="58" s="1"/>
  <c r="Z62" i="58"/>
  <c r="AB80" i="59"/>
  <c r="AB79" i="59" s="1"/>
  <c r="AA79" i="59"/>
  <c r="AB101" i="59"/>
  <c r="AB100" i="59" s="1"/>
  <c r="AA100" i="59"/>
  <c r="X32" i="60"/>
  <c r="X27" i="60" s="1"/>
  <c r="W27" i="60"/>
  <c r="AB64" i="63"/>
  <c r="AB62" i="63" s="1"/>
  <c r="AA62" i="63"/>
  <c r="O60" i="57"/>
  <c r="AB90" i="57"/>
  <c r="AA129" i="57"/>
  <c r="AB129" i="57" s="1"/>
  <c r="AC129" i="57" s="1"/>
  <c r="AD129" i="57" s="1"/>
  <c r="Q129" i="57"/>
  <c r="R129" i="57" s="1"/>
  <c r="S129" i="57" s="1"/>
  <c r="T129" i="57" s="1"/>
  <c r="AE129" i="57" s="1"/>
  <c r="Y69" i="58"/>
  <c r="X80" i="58"/>
  <c r="X79" i="58" s="1"/>
  <c r="W79" i="58"/>
  <c r="AB100" i="58"/>
  <c r="AB17" i="59"/>
  <c r="AB27" i="60"/>
  <c r="Q52" i="16"/>
  <c r="J88" i="55"/>
  <c r="Y49" i="56"/>
  <c r="Y41" i="56" s="1"/>
  <c r="H60" i="57"/>
  <c r="G60" i="58"/>
  <c r="X127" i="58"/>
  <c r="W49" i="59"/>
  <c r="W41" i="59" s="1"/>
  <c r="K39" i="60"/>
  <c r="K58" i="60" s="1"/>
  <c r="Z62" i="60"/>
  <c r="AA127" i="60"/>
  <c r="Y17" i="61"/>
  <c r="Z27" i="61"/>
  <c r="X63" i="61"/>
  <c r="X62" i="61" s="1"/>
  <c r="W62" i="61"/>
  <c r="Z79" i="63"/>
  <c r="X27" i="65"/>
  <c r="V44" i="65"/>
  <c r="O124" i="82"/>
  <c r="I60" i="58"/>
  <c r="Y49" i="59"/>
  <c r="Y41" i="59" s="1"/>
  <c r="AA90" i="59"/>
  <c r="W100" i="59"/>
  <c r="W8" i="60"/>
  <c r="X9" i="60"/>
  <c r="X8" i="60" s="1"/>
  <c r="Z79" i="60"/>
  <c r="AB124" i="60"/>
  <c r="AB127" i="60" s="1"/>
  <c r="AA27" i="61"/>
  <c r="Z69" i="61"/>
  <c r="W100" i="61"/>
  <c r="AB104" i="61"/>
  <c r="AB100" i="61" s="1"/>
  <c r="X17" i="63"/>
  <c r="X30" i="63"/>
  <c r="X27" i="63" s="1"/>
  <c r="W27" i="63"/>
  <c r="AB49" i="63"/>
  <c r="AB41" i="63" s="1"/>
  <c r="AA79" i="63"/>
  <c r="AB80" i="63"/>
  <c r="AB79" i="63" s="1"/>
  <c r="Q130" i="63"/>
  <c r="R130" i="63" s="1"/>
  <c r="S130" i="63" s="1"/>
  <c r="AA130" i="63"/>
  <c r="AB130" i="63" s="1"/>
  <c r="AC130" i="63" s="1"/>
  <c r="AD130" i="63" s="1"/>
  <c r="AA62" i="58"/>
  <c r="AB91" i="59"/>
  <c r="AB90" i="59" s="1"/>
  <c r="W127" i="59"/>
  <c r="W62" i="60"/>
  <c r="AB81" i="61"/>
  <c r="AB79" i="61" s="1"/>
  <c r="AA79" i="61"/>
  <c r="J6" i="63"/>
  <c r="J39" i="63" s="1"/>
  <c r="J58" i="63" s="1"/>
  <c r="AB70" i="64"/>
  <c r="AB69" i="64" s="1"/>
  <c r="AA69" i="64"/>
  <c r="Y69" i="64"/>
  <c r="W90" i="64"/>
  <c r="X91" i="64"/>
  <c r="X90" i="64" s="1"/>
  <c r="V18" i="62"/>
  <c r="V17" i="62" s="1"/>
  <c r="U17" i="62"/>
  <c r="AB55" i="67"/>
  <c r="AB49" i="67" s="1"/>
  <c r="AB41" i="67" s="1"/>
  <c r="W127" i="67"/>
  <c r="X124" i="67"/>
  <c r="X127" i="67" s="1"/>
  <c r="G6" i="58"/>
  <c r="G39" i="58" s="1"/>
  <c r="G58" i="58" s="1"/>
  <c r="X101" i="58"/>
  <c r="X100" i="58" s="1"/>
  <c r="O88" i="59"/>
  <c r="AA114" i="59"/>
  <c r="AB116" i="59"/>
  <c r="AB114" i="59" s="1"/>
  <c r="Z127" i="59"/>
  <c r="AA130" i="59"/>
  <c r="AB130" i="59" s="1"/>
  <c r="AC130" i="59" s="1"/>
  <c r="AD130" i="59" s="1"/>
  <c r="Q130" i="59"/>
  <c r="R130" i="59" s="1"/>
  <c r="S130" i="59" s="1"/>
  <c r="T130" i="59" s="1"/>
  <c r="AE130" i="59" s="1"/>
  <c r="X63" i="60"/>
  <c r="X62" i="60" s="1"/>
  <c r="AB80" i="60"/>
  <c r="AB79" i="60" s="1"/>
  <c r="AB17" i="61"/>
  <c r="AB49" i="61"/>
  <c r="AB41" i="61" s="1"/>
  <c r="AA90" i="61"/>
  <c r="Y127" i="61"/>
  <c r="Z69" i="63"/>
  <c r="W90" i="63"/>
  <c r="Z49" i="67"/>
  <c r="Z41" i="67" s="1"/>
  <c r="AA130" i="60"/>
  <c r="AB130" i="60" s="1"/>
  <c r="AC130" i="60" s="1"/>
  <c r="AD130" i="60" s="1"/>
  <c r="Q130" i="60"/>
  <c r="R130" i="60" s="1"/>
  <c r="S130" i="60" s="1"/>
  <c r="T130" i="60" s="1"/>
  <c r="AE130" i="60" s="1"/>
  <c r="Y69" i="59"/>
  <c r="Z49" i="60"/>
  <c r="Z41" i="60" s="1"/>
  <c r="AB114" i="60"/>
  <c r="X91" i="61"/>
  <c r="X90" i="61" s="1"/>
  <c r="X43" i="63"/>
  <c r="F88" i="59"/>
  <c r="AA49" i="60"/>
  <c r="AA41" i="60" s="1"/>
  <c r="X119" i="60"/>
  <c r="X114" i="60" s="1"/>
  <c r="AA69" i="61"/>
  <c r="AB71" i="61"/>
  <c r="AB69" i="61" s="1"/>
  <c r="Y90" i="61"/>
  <c r="U68" i="65"/>
  <c r="V69" i="65"/>
  <c r="V68" i="65" s="1"/>
  <c r="AA49" i="58"/>
  <c r="AA41" i="58" s="1"/>
  <c r="AA79" i="58"/>
  <c r="W114" i="58"/>
  <c r="Y100" i="59"/>
  <c r="AB50" i="60"/>
  <c r="AB49" i="60" s="1"/>
  <c r="AB41" i="60" s="1"/>
  <c r="M60" i="60"/>
  <c r="Q60" i="60"/>
  <c r="Z17" i="61"/>
  <c r="X79" i="61"/>
  <c r="W49" i="64"/>
  <c r="W41" i="64" s="1"/>
  <c r="X51" i="64"/>
  <c r="X49" i="64" s="1"/>
  <c r="X41" i="64" s="1"/>
  <c r="X70" i="58"/>
  <c r="X69" i="58" s="1"/>
  <c r="M88" i="58"/>
  <c r="Y90" i="58"/>
  <c r="X80" i="59"/>
  <c r="X79" i="59" s="1"/>
  <c r="AA69" i="60"/>
  <c r="X31" i="61"/>
  <c r="X27" i="61" s="1"/>
  <c r="W27" i="61"/>
  <c r="W69" i="61"/>
  <c r="Y79" i="61"/>
  <c r="V63" i="62"/>
  <c r="V61" i="62" s="1"/>
  <c r="U61" i="62"/>
  <c r="Z90" i="61"/>
  <c r="W127" i="61"/>
  <c r="M6" i="63"/>
  <c r="M39" i="63" s="1"/>
  <c r="M58" i="63" s="1"/>
  <c r="M60" i="63"/>
  <c r="Y90" i="63"/>
  <c r="X69" i="64"/>
  <c r="M39" i="62"/>
  <c r="M57" i="62" s="1"/>
  <c r="X61" i="62"/>
  <c r="Y61" i="65"/>
  <c r="X78" i="65"/>
  <c r="T27" i="66"/>
  <c r="W49" i="68"/>
  <c r="W41" i="68" s="1"/>
  <c r="X51" i="68"/>
  <c r="X49" i="68" s="1"/>
  <c r="X41" i="68" s="1"/>
  <c r="X100" i="68"/>
  <c r="AB90" i="61"/>
  <c r="X100" i="61"/>
  <c r="Z90" i="63"/>
  <c r="Z61" i="62"/>
  <c r="V18" i="65"/>
  <c r="V17" i="65" s="1"/>
  <c r="U17" i="65"/>
  <c r="Z61" i="65"/>
  <c r="W68" i="65"/>
  <c r="AA62" i="61"/>
  <c r="W79" i="61"/>
  <c r="N88" i="61"/>
  <c r="O60" i="63"/>
  <c r="X117" i="63"/>
  <c r="X114" i="63" s="1"/>
  <c r="W114" i="63"/>
  <c r="U61" i="65"/>
  <c r="V63" i="65"/>
  <c r="V61" i="65" s="1"/>
  <c r="W27" i="67"/>
  <c r="L24" i="20"/>
  <c r="L36" i="20"/>
  <c r="L38" i="20" s="1"/>
  <c r="L42" i="20" s="1"/>
  <c r="L47" i="20" s="1"/>
  <c r="AB63" i="61"/>
  <c r="AB62" i="61" s="1"/>
  <c r="AA127" i="61"/>
  <c r="W127" i="63"/>
  <c r="X124" i="63"/>
  <c r="X127" i="63" s="1"/>
  <c r="Y48" i="62"/>
  <c r="Y41" i="62" s="1"/>
  <c r="Z49" i="65"/>
  <c r="Z48" i="65" s="1"/>
  <c r="Z41" i="65" s="1"/>
  <c r="Y48" i="65"/>
  <c r="Y41" i="65" s="1"/>
  <c r="X29" i="67"/>
  <c r="X27" i="67" s="1"/>
  <c r="X72" i="70"/>
  <c r="X69" i="70" s="1"/>
  <c r="W69" i="70"/>
  <c r="E6" i="61"/>
  <c r="E39" i="61" s="1"/>
  <c r="E58" i="61" s="1"/>
  <c r="Q6" i="61"/>
  <c r="Q39" i="61" s="1"/>
  <c r="Q58" i="61" s="1"/>
  <c r="D60" i="61"/>
  <c r="P60" i="61"/>
  <c r="X69" i="61"/>
  <c r="AB127" i="61"/>
  <c r="X49" i="63"/>
  <c r="AB117" i="64"/>
  <c r="AB114" i="64" s="1"/>
  <c r="AA114" i="64"/>
  <c r="AA17" i="61"/>
  <c r="Y17" i="63"/>
  <c r="Z27" i="63"/>
  <c r="Z49" i="63"/>
  <c r="Z41" i="63" s="1"/>
  <c r="X79" i="63"/>
  <c r="Z79" i="64"/>
  <c r="AA100" i="64"/>
  <c r="W78" i="62"/>
  <c r="W48" i="65"/>
  <c r="W41" i="65" s="1"/>
  <c r="AB70" i="67"/>
  <c r="AB69" i="67" s="1"/>
  <c r="AA69" i="67"/>
  <c r="D6" i="69"/>
  <c r="D39" i="69" s="1"/>
  <c r="D58" i="69" s="1"/>
  <c r="P6" i="69"/>
  <c r="P39" i="69" s="1"/>
  <c r="P58" i="69" s="1"/>
  <c r="L39" i="61"/>
  <c r="L58" i="61" s="1"/>
  <c r="X102" i="64"/>
  <c r="X100" i="64" s="1"/>
  <c r="W100" i="64"/>
  <c r="Y99" i="62"/>
  <c r="X48" i="65"/>
  <c r="X41" i="65" s="1"/>
  <c r="P39" i="62"/>
  <c r="P57" i="62" s="1"/>
  <c r="V48" i="62"/>
  <c r="V41" i="62" s="1"/>
  <c r="H59" i="62"/>
  <c r="V126" i="62"/>
  <c r="X17" i="65"/>
  <c r="U89" i="65"/>
  <c r="W90" i="67"/>
  <c r="X91" i="67"/>
  <c r="X90" i="67" s="1"/>
  <c r="AB73" i="68"/>
  <c r="AB69" i="68" s="1"/>
  <c r="AA69" i="68"/>
  <c r="X91" i="68"/>
  <c r="X90" i="68" s="1"/>
  <c r="W90" i="68"/>
  <c r="E6" i="69"/>
  <c r="E39" i="69" s="1"/>
  <c r="E58" i="69" s="1"/>
  <c r="Y30" i="8"/>
  <c r="Y32" i="8" s="1"/>
  <c r="Y38" i="8" s="1"/>
  <c r="Y43" i="8" s="1"/>
  <c r="Y21" i="8"/>
  <c r="M21" i="8"/>
  <c r="AB91" i="63"/>
  <c r="AB90" i="63" s="1"/>
  <c r="E60" i="64"/>
  <c r="W62" i="64"/>
  <c r="AB106" i="64"/>
  <c r="AB100" i="64" s="1"/>
  <c r="W48" i="62"/>
  <c r="W41" i="62" s="1"/>
  <c r="Y61" i="62"/>
  <c r="X78" i="62"/>
  <c r="U113" i="62"/>
  <c r="W126" i="62"/>
  <c r="Y17" i="65"/>
  <c r="K39" i="65"/>
  <c r="K57" i="65" s="1"/>
  <c r="E59" i="65"/>
  <c r="V90" i="65"/>
  <c r="V89" i="65" s="1"/>
  <c r="I59" i="66"/>
  <c r="J86" i="66"/>
  <c r="Y100" i="67"/>
  <c r="X106" i="67"/>
  <c r="X100" i="67" s="1"/>
  <c r="W100" i="67"/>
  <c r="I6" i="68"/>
  <c r="I39" i="68" s="1"/>
  <c r="I58" i="68" s="1"/>
  <c r="Y90" i="68"/>
  <c r="AB91" i="69"/>
  <c r="AB90" i="69" s="1"/>
  <c r="AA90" i="69"/>
  <c r="AT24" i="20"/>
  <c r="AT36" i="20"/>
  <c r="AT38" i="20" s="1"/>
  <c r="AT42" i="20" s="1"/>
  <c r="AT47" i="20" s="1"/>
  <c r="W79" i="63"/>
  <c r="W114" i="64"/>
  <c r="X116" i="64"/>
  <c r="X114" i="64" s="1"/>
  <c r="X48" i="62"/>
  <c r="X41" i="62" s="1"/>
  <c r="J59" i="62"/>
  <c r="Y68" i="62"/>
  <c r="Z17" i="65"/>
  <c r="Y78" i="65"/>
  <c r="W89" i="65"/>
  <c r="U113" i="65"/>
  <c r="K6" i="66"/>
  <c r="K39" i="66" s="1"/>
  <c r="K57" i="66" s="1"/>
  <c r="T48" i="66"/>
  <c r="T41" i="66" s="1"/>
  <c r="J59" i="66"/>
  <c r="K88" i="67"/>
  <c r="Z100" i="67"/>
  <c r="I88" i="68"/>
  <c r="AB93" i="68"/>
  <c r="AB90" i="68" s="1"/>
  <c r="AA90" i="68"/>
  <c r="K59" i="62"/>
  <c r="V113" i="62"/>
  <c r="Y128" i="62"/>
  <c r="Z128" i="62" s="1"/>
  <c r="AA128" i="62" s="1"/>
  <c r="Q128" i="62"/>
  <c r="R128" i="62" s="1"/>
  <c r="G59" i="65"/>
  <c r="T88" i="66"/>
  <c r="AB100" i="67"/>
  <c r="AA130" i="68"/>
  <c r="AB130" i="68" s="1"/>
  <c r="AC130" i="68" s="1"/>
  <c r="AD130" i="68" s="1"/>
  <c r="Q130" i="68"/>
  <c r="R130" i="68" s="1"/>
  <c r="S130" i="68" s="1"/>
  <c r="H59" i="65"/>
  <c r="Y89" i="65"/>
  <c r="Z90" i="65"/>
  <c r="Z89" i="65" s="1"/>
  <c r="AA62" i="64"/>
  <c r="AB124" i="64"/>
  <c r="AB127" i="64" s="1"/>
  <c r="AA127" i="64"/>
  <c r="F6" i="62"/>
  <c r="F39" i="62" s="1"/>
  <c r="F57" i="62" s="1"/>
  <c r="M59" i="62"/>
  <c r="W68" i="62"/>
  <c r="U99" i="62"/>
  <c r="X113" i="62"/>
  <c r="Y113" i="65"/>
  <c r="N6" i="67"/>
  <c r="N39" i="67" s="1"/>
  <c r="N58" i="67" s="1"/>
  <c r="W27" i="68"/>
  <c r="T24" i="20"/>
  <c r="T36" i="20"/>
  <c r="T38" i="20" s="1"/>
  <c r="T42" i="20" s="1"/>
  <c r="T47" i="20" s="1"/>
  <c r="AF24" i="20"/>
  <c r="AF36" i="20"/>
  <c r="AF38" i="20" s="1"/>
  <c r="AF42" i="20" s="1"/>
  <c r="AF47" i="20" s="1"/>
  <c r="H24" i="20"/>
  <c r="M36" i="21"/>
  <c r="M38" i="21" s="1"/>
  <c r="M42" i="21" s="1"/>
  <c r="M47" i="21" s="1"/>
  <c r="M24" i="21"/>
  <c r="AU36" i="21"/>
  <c r="AU38" i="21" s="1"/>
  <c r="AU42" i="21" s="1"/>
  <c r="AU47" i="21" s="1"/>
  <c r="AU24" i="21"/>
  <c r="AB62" i="64"/>
  <c r="X68" i="62"/>
  <c r="Y113" i="62"/>
  <c r="K59" i="66"/>
  <c r="W49" i="67"/>
  <c r="W41" i="67" s="1"/>
  <c r="X50" i="67"/>
  <c r="X49" i="67" s="1"/>
  <c r="D60" i="67"/>
  <c r="P60" i="67"/>
  <c r="Y69" i="68"/>
  <c r="AS24" i="20"/>
  <c r="AS36" i="20"/>
  <c r="AS38" i="20" s="1"/>
  <c r="AS42" i="20" s="1"/>
  <c r="AS47" i="20" s="1"/>
  <c r="D24" i="20"/>
  <c r="D36" i="20"/>
  <c r="D38" i="20" s="1"/>
  <c r="D42" i="20" s="1"/>
  <c r="D47" i="20" s="1"/>
  <c r="N36" i="21"/>
  <c r="N38" i="21" s="1"/>
  <c r="N42" i="21" s="1"/>
  <c r="N47" i="21" s="1"/>
  <c r="N24" i="21"/>
  <c r="AV36" i="21"/>
  <c r="AV38" i="21" s="1"/>
  <c r="AV42" i="21" s="1"/>
  <c r="AV47" i="21" s="1"/>
  <c r="AV24" i="21"/>
  <c r="S24" i="25"/>
  <c r="S36" i="25"/>
  <c r="S38" i="25" s="1"/>
  <c r="S42" i="25" s="1"/>
  <c r="S47" i="25" s="1"/>
  <c r="L36" i="25"/>
  <c r="L38" i="25" s="1"/>
  <c r="L42" i="25" s="1"/>
  <c r="L47" i="25" s="1"/>
  <c r="L24" i="25"/>
  <c r="L88" i="64"/>
  <c r="Z115" i="62"/>
  <c r="Z113" i="62" s="1"/>
  <c r="V9" i="65"/>
  <c r="V8" i="65" s="1"/>
  <c r="Z78" i="65"/>
  <c r="C59" i="66"/>
  <c r="D86" i="66"/>
  <c r="T110" i="66"/>
  <c r="X43" i="67"/>
  <c r="W69" i="67"/>
  <c r="Y27" i="68"/>
  <c r="Y49" i="68"/>
  <c r="Y41" i="68" s="1"/>
  <c r="Z90" i="70"/>
  <c r="I24" i="20"/>
  <c r="I36" i="20"/>
  <c r="I38" i="20" s="1"/>
  <c r="I42" i="20" s="1"/>
  <c r="I47" i="20" s="1"/>
  <c r="U24" i="20"/>
  <c r="U36" i="20"/>
  <c r="U38" i="20" s="1"/>
  <c r="U42" i="20" s="1"/>
  <c r="U47" i="20" s="1"/>
  <c r="AG24" i="20"/>
  <c r="AG36" i="20"/>
  <c r="AG38" i="20" s="1"/>
  <c r="AG42" i="20" s="1"/>
  <c r="AG47" i="20" s="1"/>
  <c r="AJ24" i="20"/>
  <c r="AJ36" i="20"/>
  <c r="AJ38" i="20" s="1"/>
  <c r="AJ42" i="20" s="1"/>
  <c r="AJ47" i="20" s="1"/>
  <c r="O36" i="21"/>
  <c r="O38" i="21" s="1"/>
  <c r="O42" i="21" s="1"/>
  <c r="O47" i="21" s="1"/>
  <c r="O24" i="21"/>
  <c r="AA36" i="21"/>
  <c r="AA38" i="21" s="1"/>
  <c r="AA42" i="21" s="1"/>
  <c r="AA47" i="21" s="1"/>
  <c r="AA24" i="21"/>
  <c r="AW36" i="21"/>
  <c r="AW38" i="21" s="1"/>
  <c r="AW42" i="21" s="1"/>
  <c r="AW47" i="21" s="1"/>
  <c r="AW24" i="21"/>
  <c r="Z68" i="62"/>
  <c r="V113" i="65"/>
  <c r="T68" i="66"/>
  <c r="T97" i="66"/>
  <c r="E6" i="67"/>
  <c r="E39" i="67" s="1"/>
  <c r="E58" i="67" s="1"/>
  <c r="Q6" i="67"/>
  <c r="Q39" i="67" s="1"/>
  <c r="Q58" i="67" s="1"/>
  <c r="X69" i="67"/>
  <c r="Y49" i="69"/>
  <c r="Y41" i="69" s="1"/>
  <c r="D24" i="21"/>
  <c r="D36" i="21"/>
  <c r="D38" i="21" s="1"/>
  <c r="D42" i="21" s="1"/>
  <c r="D47" i="21" s="1"/>
  <c r="P24" i="21"/>
  <c r="P36" i="21"/>
  <c r="P38" i="21" s="1"/>
  <c r="P42" i="21" s="1"/>
  <c r="P47" i="21" s="1"/>
  <c r="AB24" i="21"/>
  <c r="AB36" i="21"/>
  <c r="AB38" i="21" s="1"/>
  <c r="AB42" i="21" s="1"/>
  <c r="AB47" i="21" s="1"/>
  <c r="AB114" i="67"/>
  <c r="Z100" i="68"/>
  <c r="W114" i="68"/>
  <c r="X109" i="70"/>
  <c r="X100" i="70" s="1"/>
  <c r="W100" i="70"/>
  <c r="AN24" i="20"/>
  <c r="AN36" i="20"/>
  <c r="AN38" i="20" s="1"/>
  <c r="AN42" i="20" s="1"/>
  <c r="AN47" i="20" s="1"/>
  <c r="AB127" i="67"/>
  <c r="AA127" i="67"/>
  <c r="AB55" i="68"/>
  <c r="AB49" i="68" s="1"/>
  <c r="AB41" i="68" s="1"/>
  <c r="AA62" i="68"/>
  <c r="M6" i="70"/>
  <c r="M39" i="70" s="1"/>
  <c r="M58" i="70" s="1"/>
  <c r="Z49" i="70"/>
  <c r="Z41" i="70" s="1"/>
  <c r="E60" i="70"/>
  <c r="Q60" i="70"/>
  <c r="M24" i="20"/>
  <c r="M36" i="20"/>
  <c r="M38" i="20" s="1"/>
  <c r="M42" i="20" s="1"/>
  <c r="M47" i="20" s="1"/>
  <c r="Y24" i="20"/>
  <c r="Y36" i="20"/>
  <c r="Y38" i="20" s="1"/>
  <c r="Y42" i="20" s="1"/>
  <c r="Y47" i="20" s="1"/>
  <c r="AK24" i="20"/>
  <c r="AK36" i="20"/>
  <c r="AK38" i="20" s="1"/>
  <c r="AK42" i="20" s="1"/>
  <c r="AK47" i="20" s="1"/>
  <c r="AR36" i="20"/>
  <c r="AR38" i="20" s="1"/>
  <c r="AR42" i="20" s="1"/>
  <c r="AR47" i="20" s="1"/>
  <c r="P24" i="20"/>
  <c r="P36" i="20"/>
  <c r="P38" i="20" s="1"/>
  <c r="P42" i="20" s="1"/>
  <c r="P47" i="20" s="1"/>
  <c r="D24" i="25"/>
  <c r="D36" i="25"/>
  <c r="D38" i="25" s="1"/>
  <c r="D42" i="25" s="1"/>
  <c r="D47" i="25" s="1"/>
  <c r="Z90" i="67"/>
  <c r="W114" i="67"/>
  <c r="AA49" i="70"/>
  <c r="AA41" i="70" s="1"/>
  <c r="F60" i="70"/>
  <c r="W62" i="70"/>
  <c r="X63" i="70"/>
  <c r="X62" i="70" s="1"/>
  <c r="N24" i="20"/>
  <c r="N36" i="20"/>
  <c r="N38" i="20" s="1"/>
  <c r="N42" i="20" s="1"/>
  <c r="N47" i="20" s="1"/>
  <c r="Z24" i="20"/>
  <c r="Z36" i="20"/>
  <c r="Z38" i="20" s="1"/>
  <c r="Z42" i="20" s="1"/>
  <c r="Z47" i="20" s="1"/>
  <c r="AL24" i="20"/>
  <c r="AL36" i="20"/>
  <c r="AL38" i="20" s="1"/>
  <c r="AL42" i="20" s="1"/>
  <c r="AL47" i="20" s="1"/>
  <c r="Y36" i="21"/>
  <c r="Y38" i="21" s="1"/>
  <c r="Y42" i="21" s="1"/>
  <c r="Y47" i="21" s="1"/>
  <c r="Y24" i="21"/>
  <c r="Y8" i="69"/>
  <c r="AB49" i="70"/>
  <c r="AB41" i="70" s="1"/>
  <c r="AB116" i="70"/>
  <c r="AB114" i="70" s="1"/>
  <c r="AA114" i="70"/>
  <c r="V24" i="20"/>
  <c r="V36" i="20"/>
  <c r="V38" i="20" s="1"/>
  <c r="V42" i="20" s="1"/>
  <c r="V47" i="20" s="1"/>
  <c r="T36" i="21"/>
  <c r="T38" i="21" s="1"/>
  <c r="T42" i="21" s="1"/>
  <c r="T47" i="21" s="1"/>
  <c r="T24" i="21"/>
  <c r="AR36" i="21"/>
  <c r="AR38" i="21" s="1"/>
  <c r="AR42" i="21" s="1"/>
  <c r="AR47" i="21" s="1"/>
  <c r="AR24" i="21"/>
  <c r="AA24" i="23"/>
  <c r="AA36" i="23"/>
  <c r="AA38" i="23" s="1"/>
  <c r="AA42" i="23" s="1"/>
  <c r="AA47" i="23" s="1"/>
  <c r="O88" i="67"/>
  <c r="K60" i="68"/>
  <c r="X62" i="68"/>
  <c r="AA114" i="68"/>
  <c r="AB116" i="68"/>
  <c r="AB114" i="68" s="1"/>
  <c r="X82" i="70"/>
  <c r="X79" i="70" s="1"/>
  <c r="W79" i="70"/>
  <c r="AU24" i="20"/>
  <c r="AU36" i="20"/>
  <c r="AU38" i="20" s="1"/>
  <c r="AU42" i="20" s="1"/>
  <c r="AU47" i="20" s="1"/>
  <c r="AF24" i="23"/>
  <c r="AF36" i="23"/>
  <c r="AF38" i="23" s="1"/>
  <c r="AF42" i="23" s="1"/>
  <c r="AF47" i="23" s="1"/>
  <c r="AB24" i="23"/>
  <c r="AB36" i="23"/>
  <c r="AB38" i="23" s="1"/>
  <c r="AB42" i="23" s="1"/>
  <c r="AB47" i="23" s="1"/>
  <c r="P24" i="25"/>
  <c r="P36" i="25"/>
  <c r="P38" i="25" s="1"/>
  <c r="P42" i="25" s="1"/>
  <c r="P47" i="25" s="1"/>
  <c r="W127" i="68"/>
  <c r="X124" i="68"/>
  <c r="X127" i="68" s="1"/>
  <c r="AB101" i="70"/>
  <c r="AB100" i="70" s="1"/>
  <c r="AA100" i="70"/>
  <c r="E36" i="20"/>
  <c r="E38" i="20" s="1"/>
  <c r="E42" i="20" s="1"/>
  <c r="E47" i="20" s="1"/>
  <c r="E24" i="20"/>
  <c r="AC36" i="20"/>
  <c r="AC38" i="20" s="1"/>
  <c r="AC42" i="20" s="1"/>
  <c r="AC47" i="20" s="1"/>
  <c r="AC24" i="20"/>
  <c r="AO36" i="20"/>
  <c r="AO38" i="20" s="1"/>
  <c r="AO42" i="20" s="1"/>
  <c r="AO47" i="20" s="1"/>
  <c r="AO24" i="20"/>
  <c r="AA100" i="67"/>
  <c r="AA114" i="67"/>
  <c r="X80" i="69"/>
  <c r="X79" i="69" s="1"/>
  <c r="W79" i="69"/>
  <c r="J60" i="70"/>
  <c r="X90" i="70"/>
  <c r="AY36" i="21"/>
  <c r="AY38" i="21" s="1"/>
  <c r="AY42" i="21" s="1"/>
  <c r="AY47" i="21" s="1"/>
  <c r="AY24" i="21"/>
  <c r="K36" i="21"/>
  <c r="K38" i="21" s="1"/>
  <c r="K42" i="21" s="1"/>
  <c r="K47" i="21" s="1"/>
  <c r="K24" i="21"/>
  <c r="X36" i="23"/>
  <c r="X38" i="23" s="1"/>
  <c r="X42" i="23" s="1"/>
  <c r="X47" i="23" s="1"/>
  <c r="X24" i="23"/>
  <c r="Q59" i="65"/>
  <c r="W8" i="68"/>
  <c r="G88" i="68"/>
  <c r="Q129" i="68"/>
  <c r="R129" i="68" s="1"/>
  <c r="S129" i="68" s="1"/>
  <c r="AA129" i="68"/>
  <c r="AB129" i="68" s="1"/>
  <c r="AC129" i="68" s="1"/>
  <c r="AD129" i="68" s="1"/>
  <c r="W49" i="69"/>
  <c r="W41" i="69" s="1"/>
  <c r="AB93" i="70"/>
  <c r="AB90" i="70" s="1"/>
  <c r="AA90" i="70"/>
  <c r="G36" i="20"/>
  <c r="G38" i="20" s="1"/>
  <c r="G42" i="20" s="1"/>
  <c r="G47" i="20" s="1"/>
  <c r="S24" i="20"/>
  <c r="AE24" i="20"/>
  <c r="AQ36" i="20"/>
  <c r="AQ38" i="20" s="1"/>
  <c r="AQ42" i="20" s="1"/>
  <c r="AQ47" i="20" s="1"/>
  <c r="AB24" i="20"/>
  <c r="AB36" i="20"/>
  <c r="AB38" i="20" s="1"/>
  <c r="AB42" i="20" s="1"/>
  <c r="AB47" i="20" s="1"/>
  <c r="L36" i="21"/>
  <c r="L38" i="21" s="1"/>
  <c r="L42" i="21" s="1"/>
  <c r="L47" i="21" s="1"/>
  <c r="L24" i="21"/>
  <c r="AT36" i="21"/>
  <c r="AT38" i="21" s="1"/>
  <c r="AT42" i="21" s="1"/>
  <c r="AT47" i="21" s="1"/>
  <c r="AT24" i="21"/>
  <c r="Y17" i="69"/>
  <c r="AA49" i="69"/>
  <c r="AA41" i="69" s="1"/>
  <c r="X91" i="69"/>
  <c r="X90" i="69" s="1"/>
  <c r="W90" i="69"/>
  <c r="W24" i="20"/>
  <c r="W36" i="20"/>
  <c r="W38" i="20" s="1"/>
  <c r="W42" i="20" s="1"/>
  <c r="W47" i="20" s="1"/>
  <c r="AE36" i="20"/>
  <c r="AE38" i="20" s="1"/>
  <c r="AE42" i="20" s="1"/>
  <c r="AE47" i="20" s="1"/>
  <c r="Y36" i="22"/>
  <c r="Y38" i="22" s="1"/>
  <c r="Y42" i="22" s="1"/>
  <c r="Y47" i="22" s="1"/>
  <c r="Y24" i="22"/>
  <c r="H24" i="22"/>
  <c r="H36" i="22" s="1"/>
  <c r="N24" i="25"/>
  <c r="N36" i="25"/>
  <c r="N38" i="25" s="1"/>
  <c r="N42" i="25" s="1"/>
  <c r="N47" i="25" s="1"/>
  <c r="AB80" i="69"/>
  <c r="AB79" i="69" s="1"/>
  <c r="AA79" i="69"/>
  <c r="Y62" i="70"/>
  <c r="X24" i="20"/>
  <c r="X36" i="20"/>
  <c r="X38" i="20" s="1"/>
  <c r="X42" i="20" s="1"/>
  <c r="X47" i="20" s="1"/>
  <c r="AV24" i="20"/>
  <c r="AV36" i="20"/>
  <c r="AV38" i="20" s="1"/>
  <c r="AV42" i="20" s="1"/>
  <c r="AV47" i="20" s="1"/>
  <c r="W36" i="21"/>
  <c r="W38" i="21" s="1"/>
  <c r="W42" i="21" s="1"/>
  <c r="W47" i="21" s="1"/>
  <c r="W24" i="21"/>
  <c r="O24" i="25"/>
  <c r="O36" i="25"/>
  <c r="O38" i="25" s="1"/>
  <c r="O42" i="25" s="1"/>
  <c r="O47" i="25" s="1"/>
  <c r="D88" i="68"/>
  <c r="P88" i="68"/>
  <c r="W27" i="69"/>
  <c r="Z62" i="70"/>
  <c r="AB81" i="70"/>
  <c r="AB79" i="70" s="1"/>
  <c r="AA79" i="70"/>
  <c r="AX24" i="20"/>
  <c r="AX36" i="20"/>
  <c r="AX38" i="20" s="1"/>
  <c r="AX42" i="20" s="1"/>
  <c r="AX47" i="20" s="1"/>
  <c r="X36" i="21"/>
  <c r="X38" i="21" s="1"/>
  <c r="X42" i="21" s="1"/>
  <c r="X47" i="21" s="1"/>
  <c r="X24" i="21"/>
  <c r="W100" i="68"/>
  <c r="K60" i="70"/>
  <c r="AW24" i="20"/>
  <c r="AW36" i="20"/>
  <c r="AW38" i="20" s="1"/>
  <c r="AW42" i="20" s="1"/>
  <c r="AW47" i="20" s="1"/>
  <c r="I36" i="21"/>
  <c r="I38" i="21" s="1"/>
  <c r="I42" i="21" s="1"/>
  <c r="I47" i="21" s="1"/>
  <c r="I24" i="21"/>
  <c r="U36" i="21"/>
  <c r="U38" i="21" s="1"/>
  <c r="U42" i="21" s="1"/>
  <c r="U47" i="21" s="1"/>
  <c r="U24" i="21"/>
  <c r="AS36" i="21"/>
  <c r="AS38" i="21" s="1"/>
  <c r="AS42" i="21" s="1"/>
  <c r="AS47" i="21" s="1"/>
  <c r="AS24" i="21"/>
  <c r="AX36" i="21"/>
  <c r="AX38" i="21" s="1"/>
  <c r="AX42" i="21" s="1"/>
  <c r="AX47" i="21" s="1"/>
  <c r="AX24" i="21"/>
  <c r="Z36" i="21"/>
  <c r="Z38" i="21" s="1"/>
  <c r="Z42" i="21" s="1"/>
  <c r="Z47" i="21" s="1"/>
  <c r="Z24" i="21"/>
  <c r="P36" i="24"/>
  <c r="P38" i="24" s="1"/>
  <c r="P42" i="24" s="1"/>
  <c r="P47" i="24" s="1"/>
  <c r="J24" i="20"/>
  <c r="J36" i="20"/>
  <c r="J38" i="20" s="1"/>
  <c r="J42" i="20" s="1"/>
  <c r="J47" i="20" s="1"/>
  <c r="AH24" i="20"/>
  <c r="AH36" i="20"/>
  <c r="AH38" i="20" s="1"/>
  <c r="AH42" i="20" s="1"/>
  <c r="AH47" i="20" s="1"/>
  <c r="J36" i="21"/>
  <c r="J38" i="21" s="1"/>
  <c r="J42" i="21" s="1"/>
  <c r="J47" i="21" s="1"/>
  <c r="J24" i="21"/>
  <c r="V36" i="21"/>
  <c r="V38" i="21" s="1"/>
  <c r="V42" i="21" s="1"/>
  <c r="V47" i="21" s="1"/>
  <c r="V24" i="21"/>
  <c r="T24" i="22"/>
  <c r="T36" i="22" s="1"/>
  <c r="T38" i="22" s="1"/>
  <c r="T42" i="22" s="1"/>
  <c r="T47" i="22" s="1"/>
  <c r="Y114" i="68"/>
  <c r="AA27" i="69"/>
  <c r="AB27" i="69"/>
  <c r="G88" i="70"/>
  <c r="Y90" i="70"/>
  <c r="K24" i="20"/>
  <c r="K36" i="20"/>
  <c r="K38" i="20" s="1"/>
  <c r="K42" i="20" s="1"/>
  <c r="K47" i="20" s="1"/>
  <c r="AI24" i="20"/>
  <c r="AI36" i="20"/>
  <c r="AI38" i="20" s="1"/>
  <c r="AI42" i="20" s="1"/>
  <c r="AI47" i="20" s="1"/>
  <c r="Z36" i="23"/>
  <c r="Z38" i="23" s="1"/>
  <c r="Z42" i="23" s="1"/>
  <c r="Z47" i="23" s="1"/>
  <c r="Z24" i="23"/>
  <c r="S24" i="24"/>
  <c r="S36" i="24"/>
  <c r="S38" i="24" s="1"/>
  <c r="S42" i="24" s="1"/>
  <c r="S47" i="24" s="1"/>
  <c r="N24" i="24"/>
  <c r="N36" i="24" s="1"/>
  <c r="N38" i="24" s="1"/>
  <c r="N42" i="24" s="1"/>
  <c r="N47" i="24" s="1"/>
  <c r="Q36" i="25"/>
  <c r="Q38" i="25" s="1"/>
  <c r="Q42" i="25" s="1"/>
  <c r="Q47" i="25" s="1"/>
  <c r="Q24" i="25"/>
  <c r="O24" i="26"/>
  <c r="O36" i="26" s="1"/>
  <c r="O38" i="26" s="1"/>
  <c r="O42" i="26" s="1"/>
  <c r="O47" i="26" s="1"/>
  <c r="E30" i="8"/>
  <c r="E32" i="8" s="1"/>
  <c r="E38" i="8" s="1"/>
  <c r="E43" i="8" s="1"/>
  <c r="W8" i="69"/>
  <c r="O60" i="69"/>
  <c r="W69" i="69"/>
  <c r="AA100" i="69"/>
  <c r="Y49" i="70"/>
  <c r="Y41" i="70" s="1"/>
  <c r="AB63" i="70"/>
  <c r="AB62" i="70" s="1"/>
  <c r="AG24" i="23"/>
  <c r="AG36" i="23"/>
  <c r="AG38" i="23" s="1"/>
  <c r="AG42" i="23" s="1"/>
  <c r="AG47" i="23" s="1"/>
  <c r="P24" i="26"/>
  <c r="P36" i="26" s="1"/>
  <c r="P38" i="26" s="1"/>
  <c r="P42" i="26" s="1"/>
  <c r="P47" i="26" s="1"/>
  <c r="N22" i="38"/>
  <c r="N24" i="38" s="1"/>
  <c r="N28" i="38" s="1"/>
  <c r="N32" i="38" s="1"/>
  <c r="F30" i="8"/>
  <c r="F32" i="8" s="1"/>
  <c r="F38" i="8" s="1"/>
  <c r="F43" i="8" s="1"/>
  <c r="F21" i="8"/>
  <c r="W17" i="69"/>
  <c r="P60" i="69"/>
  <c r="Y69" i="70"/>
  <c r="Y79" i="70"/>
  <c r="Z100" i="70"/>
  <c r="K36" i="25"/>
  <c r="K38" i="25" s="1"/>
  <c r="K42" i="25" s="1"/>
  <c r="K47" i="25" s="1"/>
  <c r="K24" i="25"/>
  <c r="L30" i="8"/>
  <c r="L32" i="8" s="1"/>
  <c r="L38" i="8" s="1"/>
  <c r="L43" i="8" s="1"/>
  <c r="L21" i="8"/>
  <c r="W24" i="23"/>
  <c r="W36" i="23"/>
  <c r="W38" i="23" s="1"/>
  <c r="W42" i="23" s="1"/>
  <c r="W47" i="23" s="1"/>
  <c r="O24" i="24"/>
  <c r="O36" i="24" s="1"/>
  <c r="O38" i="24" s="1"/>
  <c r="O42" i="24" s="1"/>
  <c r="O47" i="24" s="1"/>
  <c r="H30" i="8"/>
  <c r="H32" i="8" s="1"/>
  <c r="H38" i="8" s="1"/>
  <c r="H43" i="8" s="1"/>
  <c r="H21" i="8"/>
  <c r="T30" i="8"/>
  <c r="T32" i="8" s="1"/>
  <c r="T38" i="8" s="1"/>
  <c r="T43" i="8" s="1"/>
  <c r="T21" i="8"/>
  <c r="Z8" i="69"/>
  <c r="Z17" i="69"/>
  <c r="W62" i="69"/>
  <c r="Z69" i="69"/>
  <c r="Y36" i="23"/>
  <c r="Y38" i="23" s="1"/>
  <c r="Y42" i="23" s="1"/>
  <c r="Y47" i="23" s="1"/>
  <c r="G24" i="26"/>
  <c r="G36" i="26" s="1"/>
  <c r="G38" i="26" s="1"/>
  <c r="G42" i="26" s="1"/>
  <c r="G47" i="26" s="1"/>
  <c r="Q30" i="8"/>
  <c r="Q32" i="8" s="1"/>
  <c r="Q38" i="8" s="1"/>
  <c r="Q43" i="8" s="1"/>
  <c r="Q21" i="8"/>
  <c r="AA8" i="69"/>
  <c r="AA17" i="69"/>
  <c r="Z27" i="69"/>
  <c r="G60" i="69"/>
  <c r="AB100" i="69"/>
  <c r="AB8" i="70"/>
  <c r="W49" i="70"/>
  <c r="W41" i="70" s="1"/>
  <c r="O36" i="20"/>
  <c r="O38" i="20" s="1"/>
  <c r="O42" i="20" s="1"/>
  <c r="O47" i="20" s="1"/>
  <c r="AA36" i="20"/>
  <c r="AA38" i="20" s="1"/>
  <c r="AA42" i="20" s="1"/>
  <c r="AA47" i="20" s="1"/>
  <c r="AM36" i="20"/>
  <c r="AM38" i="20" s="1"/>
  <c r="AM42" i="20" s="1"/>
  <c r="AM47" i="20" s="1"/>
  <c r="AY36" i="20"/>
  <c r="AY38" i="20" s="1"/>
  <c r="AY42" i="20" s="1"/>
  <c r="AY47" i="20" s="1"/>
  <c r="F24" i="22"/>
  <c r="F36" i="22" s="1"/>
  <c r="U24" i="22"/>
  <c r="U36" i="22" s="1"/>
  <c r="U38" i="22" s="1"/>
  <c r="U42" i="22" s="1"/>
  <c r="U47" i="22" s="1"/>
  <c r="H24" i="26"/>
  <c r="H36" i="26" s="1"/>
  <c r="H38" i="26" s="1"/>
  <c r="H42" i="26" s="1"/>
  <c r="H47" i="26" s="1"/>
  <c r="X30" i="8"/>
  <c r="X32" i="8" s="1"/>
  <c r="X38" i="8" s="1"/>
  <c r="X43" i="8" s="1"/>
  <c r="H60" i="69"/>
  <c r="Y62" i="69"/>
  <c r="Y17" i="70"/>
  <c r="X50" i="70"/>
  <c r="X49" i="70" s="1"/>
  <c r="X41" i="70" s="1"/>
  <c r="AZ36" i="20"/>
  <c r="AZ38" i="20" s="1"/>
  <c r="AZ42" i="20" s="1"/>
  <c r="AZ47" i="20" s="1"/>
  <c r="K21" i="8"/>
  <c r="K30" i="8"/>
  <c r="K32" i="8" s="1"/>
  <c r="K38" i="8" s="1"/>
  <c r="K43" i="8" s="1"/>
  <c r="AA30" i="8"/>
  <c r="AA32" i="8" s="1"/>
  <c r="AA38" i="8" s="1"/>
  <c r="AA43" i="8" s="1"/>
  <c r="AA21" i="8"/>
  <c r="J90" i="30"/>
  <c r="V90" i="30"/>
  <c r="Z62" i="69"/>
  <c r="U24" i="23"/>
  <c r="U36" i="23"/>
  <c r="U38" i="23" s="1"/>
  <c r="U42" i="23" s="1"/>
  <c r="U47" i="23" s="1"/>
  <c r="AC36" i="23"/>
  <c r="AC38" i="23" s="1"/>
  <c r="AC42" i="23" s="1"/>
  <c r="AC47" i="23" s="1"/>
  <c r="AD28" i="35"/>
  <c r="AD30" i="35" s="1"/>
  <c r="AD34" i="35" s="1"/>
  <c r="AD38" i="35" s="1"/>
  <c r="H29" i="37"/>
  <c r="H32" i="37" s="1"/>
  <c r="H36" i="37" s="1"/>
  <c r="H41" i="37" s="1"/>
  <c r="H22" i="38"/>
  <c r="H24" i="38" s="1"/>
  <c r="H28" i="38" s="1"/>
  <c r="H32" i="38" s="1"/>
  <c r="T22" i="38"/>
  <c r="T24" i="38" s="1"/>
  <c r="T28" i="38" s="1"/>
  <c r="T32" i="38" s="1"/>
  <c r="Y24" i="47"/>
  <c r="Y27" i="47" s="1"/>
  <c r="Y31" i="47" s="1"/>
  <c r="Y36" i="47" s="1"/>
  <c r="AY24" i="47"/>
  <c r="AY27" i="47" s="1"/>
  <c r="AY31" i="47" s="1"/>
  <c r="AY36" i="47" s="1"/>
  <c r="K22" i="33"/>
  <c r="K43" i="33" s="1"/>
  <c r="I22" i="38"/>
  <c r="I24" i="38" s="1"/>
  <c r="I28" i="38" s="1"/>
  <c r="I32" i="38" s="1"/>
  <c r="U22" i="38"/>
  <c r="U24" i="38" s="1"/>
  <c r="U28" i="38" s="1"/>
  <c r="U32" i="38" s="1"/>
  <c r="R30" i="42"/>
  <c r="R32" i="42" s="1"/>
  <c r="R36" i="42" s="1"/>
  <c r="R39" i="42" s="1"/>
  <c r="M25" i="45"/>
  <c r="M28" i="45" s="1"/>
  <c r="M32" i="45" s="1"/>
  <c r="M37" i="45" s="1"/>
  <c r="AX24" i="47"/>
  <c r="AX27" i="47" s="1"/>
  <c r="AX31" i="47" s="1"/>
  <c r="AX36" i="47" s="1"/>
  <c r="P92" i="39"/>
  <c r="T27" i="42"/>
  <c r="T23" i="42" s="1"/>
  <c r="Q23" i="42"/>
  <c r="J36" i="25"/>
  <c r="J38" i="25" s="1"/>
  <c r="J42" i="25" s="1"/>
  <c r="J47" i="25" s="1"/>
  <c r="F29" i="37"/>
  <c r="F32" i="37" s="1"/>
  <c r="F36" i="37" s="1"/>
  <c r="F41" i="37" s="1"/>
  <c r="AD29" i="37"/>
  <c r="AD32" i="37" s="1"/>
  <c r="AD36" i="37" s="1"/>
  <c r="AD41" i="37" s="1"/>
  <c r="Y22" i="38"/>
  <c r="Y24" i="38" s="1"/>
  <c r="Y28" i="38" s="1"/>
  <c r="Y32" i="38" s="1"/>
  <c r="G16" i="45"/>
  <c r="G25" i="45" s="1"/>
  <c r="G28" i="45" s="1"/>
  <c r="G32" i="45" s="1"/>
  <c r="G37" i="45" s="1"/>
  <c r="Q24" i="47"/>
  <c r="Q27" i="47" s="1"/>
  <c r="Q31" i="47" s="1"/>
  <c r="Q36" i="47" s="1"/>
  <c r="Q15" i="42"/>
  <c r="G30" i="8"/>
  <c r="G32" i="8" s="1"/>
  <c r="G38" i="8" s="1"/>
  <c r="G43" i="8" s="1"/>
  <c r="G21" i="8"/>
  <c r="S30" i="8"/>
  <c r="S32" i="8" s="1"/>
  <c r="S38" i="8" s="1"/>
  <c r="S43" i="8" s="1"/>
  <c r="S21" i="8"/>
  <c r="R90" i="30"/>
  <c r="AM24" i="47"/>
  <c r="AM27" i="47" s="1"/>
  <c r="AM31" i="47" s="1"/>
  <c r="AM36" i="47" s="1"/>
  <c r="J86" i="27"/>
  <c r="V86" i="27"/>
  <c r="AB30" i="8"/>
  <c r="AB32" i="8" s="1"/>
  <c r="AB38" i="8" s="1"/>
  <c r="AB43" i="8" s="1"/>
  <c r="AT38" i="8"/>
  <c r="AT43" i="8" s="1"/>
  <c r="I30" i="42"/>
  <c r="I32" i="42" s="1"/>
  <c r="I36" i="42" s="1"/>
  <c r="I39" i="42" s="1"/>
  <c r="D25" i="45"/>
  <c r="D28" i="45" s="1"/>
  <c r="D32" i="45" s="1"/>
  <c r="D37" i="45" s="1"/>
  <c r="P30" i="8"/>
  <c r="P32" i="8" s="1"/>
  <c r="P38" i="8" s="1"/>
  <c r="P43" i="8" s="1"/>
  <c r="D30" i="8"/>
  <c r="D32" i="8" s="1"/>
  <c r="D38" i="8" s="1"/>
  <c r="D43" i="8" s="1"/>
  <c r="D30" i="42"/>
  <c r="D32" i="42" s="1"/>
  <c r="D36" i="42" s="1"/>
  <c r="D39" i="42" s="1"/>
  <c r="V36" i="7"/>
  <c r="G89" i="29"/>
  <c r="S89" i="29"/>
  <c r="U21" i="8"/>
  <c r="U30" i="8"/>
  <c r="U32" i="8" s="1"/>
  <c r="U38" i="8" s="1"/>
  <c r="U43" i="8" s="1"/>
  <c r="AW38" i="8"/>
  <c r="AW43" i="8" s="1"/>
  <c r="AH38" i="8"/>
  <c r="AH43" i="8" s="1"/>
  <c r="W36" i="7"/>
  <c r="G86" i="27"/>
  <c r="L90" i="30"/>
  <c r="X90" i="30"/>
  <c r="P36" i="7"/>
  <c r="T36" i="7"/>
  <c r="P42" i="27"/>
  <c r="M90" i="30"/>
  <c r="Y90" i="30"/>
  <c r="G75" i="32"/>
  <c r="H27" i="39"/>
  <c r="H44" i="39" s="1"/>
  <c r="T27" i="39"/>
  <c r="T44" i="39" s="1"/>
  <c r="AF27" i="39"/>
  <c r="AF44" i="39" s="1"/>
  <c r="H22" i="32"/>
  <c r="H38" i="32" s="1"/>
  <c r="AJ93" i="11"/>
  <c r="AV93" i="11"/>
  <c r="D24" i="29"/>
  <c r="D46" i="29" s="1"/>
  <c r="P24" i="29"/>
  <c r="P46" i="29" s="1"/>
  <c r="J89" i="29"/>
  <c r="V89" i="29"/>
  <c r="N90" i="30"/>
  <c r="Z90" i="30"/>
  <c r="H75" i="32"/>
  <c r="L18" i="40"/>
  <c r="L31" i="40" s="1"/>
  <c r="X18" i="40"/>
  <c r="X31" i="40" s="1"/>
  <c r="H95" i="28"/>
  <c r="T95" i="28"/>
  <c r="I75" i="32"/>
  <c r="L93" i="11"/>
  <c r="P86" i="27"/>
  <c r="I92" i="39"/>
  <c r="BA93" i="11"/>
  <c r="L45" i="28"/>
  <c r="X45" i="28"/>
  <c r="L95" i="28"/>
  <c r="X95" i="28"/>
  <c r="O89" i="29"/>
  <c r="M75" i="32"/>
  <c r="AD92" i="39"/>
  <c r="Q18" i="40"/>
  <c r="Q31" i="40" s="1"/>
  <c r="AC18" i="40"/>
  <c r="AC31" i="40" s="1"/>
  <c r="N42" i="27"/>
  <c r="G44" i="39"/>
  <c r="M92" i="39"/>
  <c r="O42" i="27"/>
  <c r="I86" i="27"/>
  <c r="U86" i="27"/>
  <c r="E89" i="29"/>
  <c r="Q89" i="29"/>
  <c r="I90" i="30"/>
  <c r="L23" i="31"/>
  <c r="L43" i="31" s="1"/>
  <c r="E60" i="40"/>
  <c r="AC60" i="40"/>
  <c r="AS93" i="11"/>
  <c r="H43" i="33"/>
  <c r="J95" i="33"/>
  <c r="O28" i="11"/>
  <c r="O50" i="11" s="1"/>
  <c r="AA28" i="11"/>
  <c r="AA50" i="11" s="1"/>
  <c r="AH93" i="11"/>
  <c r="AT93" i="11"/>
  <c r="K95" i="33"/>
  <c r="AI93" i="11"/>
  <c r="AU93" i="11"/>
  <c r="I123" i="98"/>
  <c r="D125" i="87"/>
  <c r="F18" i="40"/>
  <c r="F31" i="40" s="1"/>
  <c r="R18" i="40"/>
  <c r="R31" i="40" s="1"/>
  <c r="AD18" i="40"/>
  <c r="AD31" i="40" s="1"/>
  <c r="J60" i="40"/>
  <c r="V60" i="40"/>
  <c r="J93" i="11"/>
  <c r="V93" i="11"/>
  <c r="J57" i="46"/>
  <c r="J63" i="46" s="1"/>
  <c r="G18" i="40"/>
  <c r="G31" i="40" s="1"/>
  <c r="S18" i="40"/>
  <c r="S31" i="40" s="1"/>
  <c r="AE18" i="40"/>
  <c r="AE31" i="40" s="1"/>
  <c r="K60" i="40"/>
  <c r="W60" i="40"/>
  <c r="AL93" i="11"/>
  <c r="AX93" i="11"/>
  <c r="M69" i="2"/>
  <c r="D95" i="33"/>
  <c r="M93" i="11"/>
  <c r="Y93" i="11"/>
  <c r="I124" i="81"/>
  <c r="F124" i="83"/>
  <c r="L123" i="98"/>
  <c r="X123" i="98"/>
  <c r="L125" i="85"/>
  <c r="E17" i="19"/>
  <c r="E13" i="19"/>
  <c r="M124" i="81"/>
  <c r="Y124" i="81"/>
  <c r="Y124" i="82"/>
  <c r="P125" i="87"/>
  <c r="I124" i="80"/>
  <c r="U124" i="80"/>
  <c r="D124" i="83"/>
  <c r="P124" i="83"/>
  <c r="G74" i="19"/>
  <c r="G70" i="19"/>
  <c r="N85" i="2"/>
  <c r="M83" i="2"/>
  <c r="R124" i="83"/>
  <c r="J123" i="98"/>
  <c r="AA85" i="3"/>
  <c r="Q217" i="2"/>
  <c r="J124" i="80"/>
  <c r="F124" i="81"/>
  <c r="R124" i="81"/>
  <c r="F125" i="87"/>
  <c r="R125" i="87"/>
  <c r="J85" i="3"/>
  <c r="V85" i="3"/>
  <c r="AH85" i="3"/>
  <c r="O41" i="19"/>
  <c r="O45" i="19"/>
  <c r="AE41" i="19"/>
  <c r="AE45" i="19"/>
  <c r="K124" i="80"/>
  <c r="T124" i="84"/>
  <c r="G124" i="84"/>
  <c r="S124" i="84"/>
  <c r="K123" i="98"/>
  <c r="U85" i="3"/>
  <c r="AG85" i="3"/>
  <c r="O15" i="18"/>
  <c r="D27" i="19"/>
  <c r="Q55" i="19"/>
  <c r="H74" i="19"/>
  <c r="H70" i="19"/>
  <c r="F143" i="2"/>
  <c r="R143" i="2"/>
  <c r="I180" i="2"/>
  <c r="I181" i="2" s="1"/>
  <c r="I188" i="2" s="1"/>
  <c r="I190" i="2" s="1"/>
  <c r="F124" i="80"/>
  <c r="S124" i="80"/>
  <c r="K85" i="3"/>
  <c r="W85" i="3"/>
  <c r="AI85" i="3"/>
  <c r="S41" i="19"/>
  <c r="S45" i="19"/>
  <c r="AI41" i="19"/>
  <c r="AI45" i="19"/>
  <c r="G124" i="80"/>
  <c r="AJ85" i="3"/>
  <c r="V55" i="19"/>
  <c r="N106" i="2"/>
  <c r="Q254" i="2"/>
  <c r="M85" i="3"/>
  <c r="Y85" i="3"/>
  <c r="AK85" i="3"/>
  <c r="M74" i="19"/>
  <c r="M70" i="19"/>
  <c r="F69" i="2"/>
  <c r="R69" i="2"/>
  <c r="I83" i="2"/>
  <c r="J84" i="2"/>
  <c r="I217" i="2"/>
  <c r="V124" i="80"/>
  <c r="M27" i="19"/>
  <c r="G59" i="19"/>
  <c r="G55" i="19"/>
  <c r="W59" i="19"/>
  <c r="W55" i="19"/>
  <c r="K143" i="2"/>
  <c r="H254" i="2"/>
  <c r="W124" i="80"/>
  <c r="P85" i="3"/>
  <c r="AB85" i="3"/>
  <c r="R41" i="19"/>
  <c r="I32" i="2"/>
  <c r="I69" i="2"/>
  <c r="R79" i="2"/>
  <c r="F106" i="2"/>
  <c r="F107" i="2" s="1"/>
  <c r="F114" i="2" s="1"/>
  <c r="F116" i="2" s="1"/>
  <c r="R106" i="2"/>
  <c r="E85" i="3"/>
  <c r="Q85" i="3"/>
  <c r="AC85" i="3"/>
  <c r="V27" i="19"/>
  <c r="V31" i="19"/>
  <c r="F55" i="19"/>
  <c r="M124" i="80"/>
  <c r="K15" i="18"/>
  <c r="J59" i="19"/>
  <c r="J55" i="19"/>
  <c r="Z59" i="19"/>
  <c r="Z55" i="19"/>
  <c r="D74" i="19"/>
  <c r="D70" i="19"/>
  <c r="R74" i="19"/>
  <c r="R70" i="19"/>
  <c r="N143" i="2"/>
  <c r="N217" i="2"/>
  <c r="F17" i="19"/>
  <c r="S31" i="19"/>
  <c r="N45" i="19"/>
  <c r="AB45" i="19"/>
  <c r="D55" i="19"/>
  <c r="R55" i="19"/>
  <c r="AH55" i="19"/>
  <c r="F31" i="19"/>
  <c r="I55" i="19"/>
  <c r="Y55" i="19"/>
  <c r="W90" i="70"/>
  <c r="AA69" i="70"/>
  <c r="X69" i="69"/>
  <c r="X62" i="69"/>
  <c r="AB69" i="69"/>
  <c r="X27" i="69"/>
  <c r="X114" i="69"/>
  <c r="X50" i="69"/>
  <c r="X49" i="69" s="1"/>
  <c r="AB63" i="69"/>
  <c r="AB62" i="69" s="1"/>
  <c r="AA69" i="69"/>
  <c r="X18" i="69"/>
  <c r="X17" i="69" s="1"/>
  <c r="AB50" i="69"/>
  <c r="AB49" i="69" s="1"/>
  <c r="AB41" i="69" s="1"/>
  <c r="X43" i="69"/>
  <c r="V87" i="27" l="1"/>
  <c r="T129" i="68"/>
  <c r="AE129" i="68" s="1"/>
  <c r="U129" i="68"/>
  <c r="T130" i="68"/>
  <c r="AE130" i="68" s="1"/>
  <c r="U130" i="68"/>
  <c r="T130" i="64"/>
  <c r="AE130" i="64" s="1"/>
  <c r="U130" i="64"/>
  <c r="AF130" i="64" s="1"/>
  <c r="T130" i="63"/>
  <c r="AE130" i="63" s="1"/>
  <c r="U130" i="63"/>
  <c r="AF130" i="63" s="1"/>
  <c r="T129" i="61"/>
  <c r="AE129" i="61" s="1"/>
  <c r="U129" i="61"/>
  <c r="AF129" i="61" s="1"/>
  <c r="T129" i="63"/>
  <c r="AE129" i="63" s="1"/>
  <c r="U129" i="63"/>
  <c r="AF129" i="63" s="1"/>
  <c r="T130" i="61"/>
  <c r="AE130" i="61" s="1"/>
  <c r="U130" i="61"/>
  <c r="AF130" i="61" s="1"/>
  <c r="AB6" i="63"/>
  <c r="AB39" i="63" s="1"/>
  <c r="AB58" i="63" s="1"/>
  <c r="L86" i="61"/>
  <c r="L84" i="61" s="1"/>
  <c r="D86" i="60"/>
  <c r="Z6" i="57"/>
  <c r="AE129" i="55"/>
  <c r="U129" i="55"/>
  <c r="M85" i="65"/>
  <c r="AN94" i="11"/>
  <c r="M90" i="29"/>
  <c r="M86" i="67"/>
  <c r="M112" i="67" s="1"/>
  <c r="M121" i="67" s="1"/>
  <c r="T87" i="27"/>
  <c r="Z6" i="60"/>
  <c r="Z39" i="60" s="1"/>
  <c r="Z58" i="60" s="1"/>
  <c r="N86" i="59"/>
  <c r="N84" i="59" s="1"/>
  <c r="D85" i="65"/>
  <c r="O85" i="65"/>
  <c r="AB88" i="63"/>
  <c r="E85" i="65"/>
  <c r="F86" i="67"/>
  <c r="F84" i="67" s="1"/>
  <c r="U30" i="42"/>
  <c r="U32" i="42" s="1"/>
  <c r="U36" i="42" s="1"/>
  <c r="U39" i="42" s="1"/>
  <c r="G96" i="33"/>
  <c r="AQ94" i="11"/>
  <c r="E85" i="62"/>
  <c r="Z6" i="68"/>
  <c r="O90" i="31"/>
  <c r="E87" i="27"/>
  <c r="J86" i="59"/>
  <c r="D86" i="68"/>
  <c r="D112" i="68" s="1"/>
  <c r="D121" i="68" s="1"/>
  <c r="G86" i="68"/>
  <c r="L86" i="68"/>
  <c r="L112" i="68" s="1"/>
  <c r="L121" i="68" s="1"/>
  <c r="I86" i="68"/>
  <c r="X6" i="69"/>
  <c r="X39" i="69" s="1"/>
  <c r="J86" i="64"/>
  <c r="L86" i="63"/>
  <c r="G86" i="63"/>
  <c r="Z88" i="61"/>
  <c r="E86" i="61"/>
  <c r="P86" i="60"/>
  <c r="P112" i="60" s="1"/>
  <c r="P121" i="60" s="1"/>
  <c r="F86" i="58"/>
  <c r="F84" i="58" s="1"/>
  <c r="D86" i="58"/>
  <c r="F86" i="56"/>
  <c r="T6" i="66"/>
  <c r="N96" i="33"/>
  <c r="N85" i="62"/>
  <c r="H86" i="64"/>
  <c r="G86" i="61"/>
  <c r="L86" i="58"/>
  <c r="Z61" i="40"/>
  <c r="Y6" i="60"/>
  <c r="Y39" i="60" s="1"/>
  <c r="Y58" i="60" s="1"/>
  <c r="F86" i="59"/>
  <c r="Z6" i="62"/>
  <c r="P85" i="62"/>
  <c r="E86" i="69"/>
  <c r="E84" i="69" s="1"/>
  <c r="M86" i="64"/>
  <c r="R95" i="39"/>
  <c r="F269" i="78"/>
  <c r="J85" i="65"/>
  <c r="F85" i="65"/>
  <c r="I86" i="67"/>
  <c r="L86" i="67"/>
  <c r="E86" i="63"/>
  <c r="AK95" i="39"/>
  <c r="AP94" i="11"/>
  <c r="R90" i="31"/>
  <c r="Y6" i="56"/>
  <c r="Y39" i="56" s="1"/>
  <c r="Y58" i="56" s="1"/>
  <c r="Y86" i="56" s="1"/>
  <c r="Z6" i="56"/>
  <c r="Z39" i="56" s="1"/>
  <c r="Z58" i="56" s="1"/>
  <c r="E86" i="56"/>
  <c r="Z6" i="64"/>
  <c r="Z39" i="64" s="1"/>
  <c r="Z58" i="64" s="1"/>
  <c r="I85" i="62"/>
  <c r="Y6" i="68"/>
  <c r="Y39" i="68" s="1"/>
  <c r="Y58" i="68" s="1"/>
  <c r="G86" i="67"/>
  <c r="Y6" i="67"/>
  <c r="Y39" i="67" s="1"/>
  <c r="Y58" i="67" s="1"/>
  <c r="I86" i="64"/>
  <c r="AE95" i="39"/>
  <c r="I90" i="29"/>
  <c r="U90" i="29"/>
  <c r="K87" i="27"/>
  <c r="W87" i="27"/>
  <c r="AA6" i="59"/>
  <c r="AA39" i="59" s="1"/>
  <c r="AA58" i="59" s="1"/>
  <c r="J86" i="58"/>
  <c r="Y88" i="60"/>
  <c r="K86" i="59"/>
  <c r="P85" i="65"/>
  <c r="AB6" i="69"/>
  <c r="AB39" i="69" s="1"/>
  <c r="AB58" i="69" s="1"/>
  <c r="Y88" i="69"/>
  <c r="R96" i="28"/>
  <c r="F90" i="29"/>
  <c r="M64" i="46"/>
  <c r="N64" i="46"/>
  <c r="N95" i="39"/>
  <c r="Z95" i="39"/>
  <c r="Z60" i="56"/>
  <c r="Y88" i="68"/>
  <c r="K85" i="62"/>
  <c r="AA60" i="64"/>
  <c r="O86" i="68"/>
  <c r="Y60" i="68"/>
  <c r="W6" i="68"/>
  <c r="W39" i="68" s="1"/>
  <c r="W58" i="68" s="1"/>
  <c r="Y6" i="70"/>
  <c r="Y39" i="70" s="1"/>
  <c r="Y58" i="70" s="1"/>
  <c r="P84" i="60"/>
  <c r="N269" i="78"/>
  <c r="O86" i="67"/>
  <c r="D87" i="27"/>
  <c r="K90" i="31"/>
  <c r="AA6" i="68"/>
  <c r="AA39" i="68" s="1"/>
  <c r="AA58" i="68" s="1"/>
  <c r="G90" i="31"/>
  <c r="P86" i="58"/>
  <c r="F86" i="61"/>
  <c r="F86" i="63"/>
  <c r="D90" i="31"/>
  <c r="P90" i="31"/>
  <c r="S95" i="39"/>
  <c r="E86" i="55"/>
  <c r="AB6" i="68"/>
  <c r="AB39" i="68" s="1"/>
  <c r="AB58" i="68" s="1"/>
  <c r="E86" i="59"/>
  <c r="J86" i="61"/>
  <c r="H86" i="68"/>
  <c r="H86" i="70"/>
  <c r="AB6" i="67"/>
  <c r="AB39" i="67" s="1"/>
  <c r="AB58" i="67" s="1"/>
  <c r="D85" i="62"/>
  <c r="F84" i="66"/>
  <c r="AA6" i="70"/>
  <c r="AA39" i="70" s="1"/>
  <c r="AA58" i="70" s="1"/>
  <c r="M86" i="69"/>
  <c r="F86" i="69"/>
  <c r="AY94" i="11"/>
  <c r="AA6" i="64"/>
  <c r="AA39" i="64" s="1"/>
  <c r="AA58" i="64" s="1"/>
  <c r="X6" i="64"/>
  <c r="X39" i="64" s="1"/>
  <c r="X58" i="64" s="1"/>
  <c r="Y6" i="64"/>
  <c r="Y39" i="64" s="1"/>
  <c r="Y58" i="64" s="1"/>
  <c r="L86" i="55"/>
  <c r="Y6" i="55"/>
  <c r="Y39" i="55" s="1"/>
  <c r="Y58" i="55" s="1"/>
  <c r="Z6" i="55"/>
  <c r="Z39" i="55" s="1"/>
  <c r="Z58" i="55" s="1"/>
  <c r="W88" i="56"/>
  <c r="AA88" i="56"/>
  <c r="AA88" i="58"/>
  <c r="F86" i="60"/>
  <c r="W88" i="58"/>
  <c r="X88" i="60"/>
  <c r="J86" i="56"/>
  <c r="Y6" i="61"/>
  <c r="Y39" i="61" s="1"/>
  <c r="Y58" i="61" s="1"/>
  <c r="X6" i="60"/>
  <c r="X39" i="60" s="1"/>
  <c r="X6" i="63"/>
  <c r="X39" i="63" s="1"/>
  <c r="V6" i="62"/>
  <c r="V39" i="62" s="1"/>
  <c r="V57" i="62" s="1"/>
  <c r="U6" i="62"/>
  <c r="U39" i="62" s="1"/>
  <c r="U57" i="62" s="1"/>
  <c r="O86" i="61"/>
  <c r="Z6" i="61"/>
  <c r="Z39" i="61" s="1"/>
  <c r="Z58" i="61" s="1"/>
  <c r="U59" i="62"/>
  <c r="Y88" i="63"/>
  <c r="P86" i="61"/>
  <c r="AB60" i="67"/>
  <c r="D86" i="69"/>
  <c r="X6" i="65"/>
  <c r="X39" i="65" s="1"/>
  <c r="X57" i="65" s="1"/>
  <c r="Y6" i="65"/>
  <c r="Y39" i="65" s="1"/>
  <c r="Y57" i="65" s="1"/>
  <c r="Z39" i="62"/>
  <c r="Z57" i="62" s="1"/>
  <c r="H85" i="65"/>
  <c r="E86" i="67"/>
  <c r="X60" i="67"/>
  <c r="X88" i="70"/>
  <c r="E86" i="68"/>
  <c r="AA88" i="67"/>
  <c r="N86" i="69"/>
  <c r="AB6" i="70"/>
  <c r="AB39" i="70" s="1"/>
  <c r="AB58" i="70" s="1"/>
  <c r="L86" i="69"/>
  <c r="G87" i="27"/>
  <c r="G76" i="32"/>
  <c r="AJ94" i="11"/>
  <c r="AV94" i="11"/>
  <c r="X61" i="40"/>
  <c r="O90" i="29"/>
  <c r="N87" i="27"/>
  <c r="I87" i="27"/>
  <c r="U87" i="27"/>
  <c r="E90" i="29"/>
  <c r="Q90" i="29"/>
  <c r="L90" i="31"/>
  <c r="AS94" i="11"/>
  <c r="H96" i="33"/>
  <c r="AI94" i="11"/>
  <c r="AU94" i="11"/>
  <c r="AD61" i="40"/>
  <c r="AE61" i="40"/>
  <c r="J33" i="78"/>
  <c r="J269" i="78"/>
  <c r="K33" i="78"/>
  <c r="K269" i="78"/>
  <c r="O33" i="78"/>
  <c r="O269" i="78"/>
  <c r="M33" i="78"/>
  <c r="M269" i="78"/>
  <c r="N35" i="78"/>
  <c r="N271" i="78"/>
  <c r="G33" i="78"/>
  <c r="G269" i="78"/>
  <c r="F35" i="78"/>
  <c r="F271" i="78"/>
  <c r="H33" i="78"/>
  <c r="H269" i="78"/>
  <c r="I33" i="78"/>
  <c r="I269" i="78"/>
  <c r="L33" i="78"/>
  <c r="L269" i="78"/>
  <c r="S60" i="16"/>
  <c r="W88" i="57"/>
  <c r="U91" i="30"/>
  <c r="G86" i="59"/>
  <c r="Z60" i="59"/>
  <c r="Z91" i="30"/>
  <c r="M86" i="70"/>
  <c r="T59" i="66"/>
  <c r="E64" i="46"/>
  <c r="G86" i="70"/>
  <c r="G84" i="70" s="1"/>
  <c r="Z87" i="62"/>
  <c r="X90" i="29"/>
  <c r="N86" i="61"/>
  <c r="AW94" i="11"/>
  <c r="X60" i="64"/>
  <c r="T90" i="29"/>
  <c r="K90" i="29"/>
  <c r="Z6" i="58"/>
  <c r="Z39" i="58" s="1"/>
  <c r="Z58" i="58" s="1"/>
  <c r="Q86" i="64"/>
  <c r="L64" i="46"/>
  <c r="K86" i="61"/>
  <c r="K86" i="55"/>
  <c r="W6" i="62"/>
  <c r="W39" i="62" s="1"/>
  <c r="W57" i="62" s="1"/>
  <c r="Z6" i="70"/>
  <c r="Z39" i="70" s="1"/>
  <c r="Z58" i="70" s="1"/>
  <c r="Z6" i="59"/>
  <c r="Z39" i="59" s="1"/>
  <c r="Z58" i="59" s="1"/>
  <c r="O91" i="30"/>
  <c r="J86" i="69"/>
  <c r="I90" i="31"/>
  <c r="AG95" i="39"/>
  <c r="AE91" i="30"/>
  <c r="I86" i="60"/>
  <c r="I84" i="60" s="1"/>
  <c r="W6" i="58"/>
  <c r="W39" i="58" s="1"/>
  <c r="W58" i="58" s="1"/>
  <c r="Q86" i="69"/>
  <c r="Q86" i="58"/>
  <c r="N85" i="65"/>
  <c r="Q86" i="68"/>
  <c r="G86" i="56"/>
  <c r="P86" i="56"/>
  <c r="H84" i="66"/>
  <c r="E86" i="58"/>
  <c r="D64" i="46"/>
  <c r="W6" i="61"/>
  <c r="W39" i="61" s="1"/>
  <c r="W58" i="61" s="1"/>
  <c r="H96" i="28"/>
  <c r="V96" i="28"/>
  <c r="S96" i="28"/>
  <c r="N96" i="28"/>
  <c r="G96" i="28"/>
  <c r="O96" i="28"/>
  <c r="Y96" i="28"/>
  <c r="M96" i="28"/>
  <c r="J96" i="28"/>
  <c r="P96" i="28"/>
  <c r="U96" i="28"/>
  <c r="Q96" i="28"/>
  <c r="K96" i="28"/>
  <c r="T96" i="28"/>
  <c r="I86" i="70"/>
  <c r="I84" i="70" s="1"/>
  <c r="N86" i="70"/>
  <c r="N112" i="70" s="1"/>
  <c r="N121" i="70" s="1"/>
  <c r="E96" i="28"/>
  <c r="O87" i="27"/>
  <c r="I96" i="33"/>
  <c r="D86" i="70"/>
  <c r="D112" i="70" s="1"/>
  <c r="D121" i="70" s="1"/>
  <c r="AA6" i="61"/>
  <c r="AA39" i="61" s="1"/>
  <c r="AA58" i="61" s="1"/>
  <c r="Z88" i="58"/>
  <c r="W6" i="65"/>
  <c r="W39" i="65" s="1"/>
  <c r="W57" i="65" s="1"/>
  <c r="Y6" i="58"/>
  <c r="Y39" i="58" s="1"/>
  <c r="Y58" i="58" s="1"/>
  <c r="W60" i="67"/>
  <c r="J86" i="70"/>
  <c r="AB61" i="40"/>
  <c r="O86" i="56"/>
  <c r="O112" i="56" s="1"/>
  <c r="O121" i="56" s="1"/>
  <c r="S90" i="31"/>
  <c r="K86" i="69"/>
  <c r="AB60" i="68"/>
  <c r="H86" i="60"/>
  <c r="H112" i="60" s="1"/>
  <c r="H121" i="60" s="1"/>
  <c r="AH94" i="11"/>
  <c r="N86" i="67"/>
  <c r="Y87" i="62"/>
  <c r="AA88" i="64"/>
  <c r="V41" i="65"/>
  <c r="X88" i="63"/>
  <c r="L86" i="56"/>
  <c r="L84" i="56" s="1"/>
  <c r="O44" i="39"/>
  <c r="O95" i="39" s="1"/>
  <c r="AB6" i="57"/>
  <c r="AB39" i="57" s="1"/>
  <c r="AB58" i="57" s="1"/>
  <c r="H90" i="31"/>
  <c r="O86" i="70"/>
  <c r="O112" i="70" s="1"/>
  <c r="O121" i="70" s="1"/>
  <c r="AB60" i="56"/>
  <c r="X6" i="58"/>
  <c r="X39" i="58" s="1"/>
  <c r="X58" i="58" s="1"/>
  <c r="Y88" i="67"/>
  <c r="J64" i="46"/>
  <c r="J90" i="31"/>
  <c r="R87" i="27"/>
  <c r="Z6" i="65"/>
  <c r="Z39" i="65" s="1"/>
  <c r="Z57" i="65" s="1"/>
  <c r="K85" i="65"/>
  <c r="K83" i="65" s="1"/>
  <c r="Y60" i="58"/>
  <c r="W91" i="30"/>
  <c r="AC91" i="30"/>
  <c r="I85" i="65"/>
  <c r="I111" i="65" s="1"/>
  <c r="I120" i="65" s="1"/>
  <c r="I124" i="65" s="1"/>
  <c r="I123" i="65" s="1"/>
  <c r="I126" i="65" s="1"/>
  <c r="L86" i="59"/>
  <c r="L112" i="59" s="1"/>
  <c r="L121" i="59" s="1"/>
  <c r="R60" i="16"/>
  <c r="AA6" i="58"/>
  <c r="AA39" i="58" s="1"/>
  <c r="AA58" i="58" s="1"/>
  <c r="F90" i="31"/>
  <c r="N86" i="68"/>
  <c r="Z60" i="64"/>
  <c r="U87" i="62"/>
  <c r="U87" i="65"/>
  <c r="Z88" i="56"/>
  <c r="D76" i="32"/>
  <c r="K91" i="30"/>
  <c r="W90" i="29"/>
  <c r="Y60" i="67"/>
  <c r="Y88" i="58"/>
  <c r="AX94" i="11"/>
  <c r="W61" i="40"/>
  <c r="D90" i="29"/>
  <c r="L91" i="30"/>
  <c r="G90" i="29"/>
  <c r="W6" i="60"/>
  <c r="W39" i="60" s="1"/>
  <c r="W58" i="60" s="1"/>
  <c r="N86" i="56"/>
  <c r="N112" i="56" s="1"/>
  <c r="N121" i="56" s="1"/>
  <c r="Q60" i="16"/>
  <c r="F86" i="68"/>
  <c r="F112" i="68" s="1"/>
  <c r="F121" i="68" s="1"/>
  <c r="F125" i="68" s="1"/>
  <c r="F124" i="68" s="1"/>
  <c r="F127" i="68" s="1"/>
  <c r="E86" i="60"/>
  <c r="X30" i="42"/>
  <c r="X32" i="42" s="1"/>
  <c r="X36" i="42" s="1"/>
  <c r="X39" i="42" s="1"/>
  <c r="W88" i="59"/>
  <c r="AZ94" i="11"/>
  <c r="T91" i="30"/>
  <c r="Y88" i="64"/>
  <c r="J86" i="67"/>
  <c r="W60" i="59"/>
  <c r="J76" i="32"/>
  <c r="AB6" i="58"/>
  <c r="AB39" i="58" s="1"/>
  <c r="AB58" i="58" s="1"/>
  <c r="P86" i="59"/>
  <c r="W6" i="56"/>
  <c r="AB95" i="39"/>
  <c r="I96" i="28"/>
  <c r="AG91" i="30"/>
  <c r="AA60" i="70"/>
  <c r="AB88" i="64"/>
  <c r="W96" i="28"/>
  <c r="AA88" i="63"/>
  <c r="X6" i="68"/>
  <c r="X39" i="68" s="1"/>
  <c r="X58" i="68" s="1"/>
  <c r="Q86" i="59"/>
  <c r="AB6" i="60"/>
  <c r="AB39" i="60" s="1"/>
  <c r="AB58" i="60" s="1"/>
  <c r="P86" i="63"/>
  <c r="U6" i="65"/>
  <c r="U39" i="65" s="1"/>
  <c r="U57" i="65" s="1"/>
  <c r="W88" i="63"/>
  <c r="Z60" i="58"/>
  <c r="J87" i="27"/>
  <c r="L85" i="65"/>
  <c r="Z6" i="63"/>
  <c r="Z39" i="63" s="1"/>
  <c r="Z58" i="63" s="1"/>
  <c r="N86" i="63"/>
  <c r="N112" i="63" s="1"/>
  <c r="N121" i="63" s="1"/>
  <c r="O86" i="60"/>
  <c r="O84" i="60" s="1"/>
  <c r="I86" i="63"/>
  <c r="F86" i="64"/>
  <c r="O85" i="62"/>
  <c r="G85" i="62"/>
  <c r="J86" i="60"/>
  <c r="F86" i="55"/>
  <c r="P90" i="29"/>
  <c r="M90" i="31"/>
  <c r="AB6" i="59"/>
  <c r="AB39" i="59" s="1"/>
  <c r="AB58" i="59" s="1"/>
  <c r="R90" i="29"/>
  <c r="O76" i="32"/>
  <c r="AB88" i="67"/>
  <c r="BA94" i="11"/>
  <c r="Q86" i="61"/>
  <c r="Q84" i="61" s="1"/>
  <c r="K64" i="46"/>
  <c r="W6" i="63"/>
  <c r="W39" i="63" s="1"/>
  <c r="W58" i="63" s="1"/>
  <c r="P91" i="30"/>
  <c r="AD91" i="30"/>
  <c r="X87" i="65"/>
  <c r="H86" i="56"/>
  <c r="H84" i="56" s="1"/>
  <c r="I64" i="46"/>
  <c r="F76" i="32"/>
  <c r="Y60" i="69"/>
  <c r="O86" i="59"/>
  <c r="T95" i="39"/>
  <c r="AH95" i="39"/>
  <c r="AC95" i="39"/>
  <c r="P95" i="39"/>
  <c r="P76" i="32"/>
  <c r="I76" i="32"/>
  <c r="N76" i="32"/>
  <c r="G64" i="46"/>
  <c r="K76" i="32"/>
  <c r="L96" i="33"/>
  <c r="D86" i="57"/>
  <c r="W6" i="57"/>
  <c r="W39" i="57" s="1"/>
  <c r="W58" i="57" s="1"/>
  <c r="O86" i="57"/>
  <c r="AB6" i="55"/>
  <c r="AB39" i="55" s="1"/>
  <c r="AB58" i="55" s="1"/>
  <c r="P86" i="55"/>
  <c r="P84" i="55" s="1"/>
  <c r="W88" i="55"/>
  <c r="M86" i="55"/>
  <c r="M84" i="55" s="1"/>
  <c r="X6" i="55"/>
  <c r="X39" i="55" s="1"/>
  <c r="X58" i="55" s="1"/>
  <c r="N86" i="55"/>
  <c r="N112" i="55" s="1"/>
  <c r="N121" i="55" s="1"/>
  <c r="H86" i="55"/>
  <c r="H84" i="55" s="1"/>
  <c r="AA6" i="55"/>
  <c r="AA39" i="55" s="1"/>
  <c r="AA58" i="55" s="1"/>
  <c r="S91" i="30"/>
  <c r="G86" i="64"/>
  <c r="F64" i="46"/>
  <c r="AA6" i="60"/>
  <c r="AA39" i="60" s="1"/>
  <c r="AA58" i="60" s="1"/>
  <c r="AB60" i="64"/>
  <c r="Q86" i="55"/>
  <c r="Q112" i="55" s="1"/>
  <c r="Q121" i="55" s="1"/>
  <c r="D86" i="56"/>
  <c r="W88" i="61"/>
  <c r="L87" i="27"/>
  <c r="AA60" i="55"/>
  <c r="K86" i="64"/>
  <c r="L86" i="57"/>
  <c r="L112" i="57" s="1"/>
  <c r="L121" i="57" s="1"/>
  <c r="Z6" i="67"/>
  <c r="Z39" i="67" s="1"/>
  <c r="Z58" i="67" s="1"/>
  <c r="M86" i="61"/>
  <c r="M112" i="61" s="1"/>
  <c r="M121" i="61" s="1"/>
  <c r="X91" i="30"/>
  <c r="Q86" i="70"/>
  <c r="Q112" i="70" s="1"/>
  <c r="Q121" i="70" s="1"/>
  <c r="X60" i="68"/>
  <c r="G85" i="65"/>
  <c r="AA91" i="30"/>
  <c r="F96" i="28"/>
  <c r="P86" i="64"/>
  <c r="P84" i="64" s="1"/>
  <c r="W6" i="70"/>
  <c r="W39" i="70" s="1"/>
  <c r="W58" i="70" s="1"/>
  <c r="L86" i="60"/>
  <c r="Z88" i="69"/>
  <c r="AB91" i="30"/>
  <c r="X41" i="61"/>
  <c r="X39" i="62"/>
  <c r="X57" i="62" s="1"/>
  <c r="D96" i="33"/>
  <c r="Y87" i="65"/>
  <c r="AR94" i="11"/>
  <c r="AB88" i="70"/>
  <c r="E86" i="64"/>
  <c r="E84" i="64" s="1"/>
  <c r="Z88" i="59"/>
  <c r="AB60" i="58"/>
  <c r="AA61" i="40"/>
  <c r="M87" i="27"/>
  <c r="I86" i="61"/>
  <c r="M86" i="59"/>
  <c r="M84" i="59" s="1"/>
  <c r="P86" i="57"/>
  <c r="K86" i="57"/>
  <c r="K84" i="57" s="1"/>
  <c r="M86" i="68"/>
  <c r="H86" i="67"/>
  <c r="P86" i="70"/>
  <c r="Q86" i="67"/>
  <c r="Q84" i="67" s="1"/>
  <c r="J86" i="63"/>
  <c r="J112" i="63" s="1"/>
  <c r="J121" i="63" s="1"/>
  <c r="J124" i="63" s="1"/>
  <c r="J127" i="63" s="1"/>
  <c r="Y60" i="57"/>
  <c r="X88" i="56"/>
  <c r="D86" i="63"/>
  <c r="AA88" i="60"/>
  <c r="X87" i="27"/>
  <c r="AA6" i="67"/>
  <c r="AA39" i="67" s="1"/>
  <c r="AA58" i="67" s="1"/>
  <c r="H76" i="32"/>
  <c r="M86" i="56"/>
  <c r="N86" i="60"/>
  <c r="N112" i="60" s="1"/>
  <c r="N121" i="60" s="1"/>
  <c r="W60" i="64"/>
  <c r="D86" i="61"/>
  <c r="S87" i="27"/>
  <c r="W60" i="63"/>
  <c r="W6" i="64"/>
  <c r="W39" i="64" s="1"/>
  <c r="W58" i="64" s="1"/>
  <c r="V59" i="62"/>
  <c r="W6" i="67"/>
  <c r="W39" i="67" s="1"/>
  <c r="W58" i="67" s="1"/>
  <c r="O86" i="64"/>
  <c r="Z88" i="64"/>
  <c r="L85" i="62"/>
  <c r="L83" i="62" s="1"/>
  <c r="AB88" i="60"/>
  <c r="V59" i="65"/>
  <c r="Q85" i="65"/>
  <c r="T86" i="66"/>
  <c r="I86" i="58"/>
  <c r="I84" i="58" s="1"/>
  <c r="AB60" i="55"/>
  <c r="M86" i="58"/>
  <c r="G86" i="55"/>
  <c r="G112" i="55" s="1"/>
  <c r="G121" i="55" s="1"/>
  <c r="G125" i="55" s="1"/>
  <c r="G124" i="55" s="1"/>
  <c r="G127" i="55" s="1"/>
  <c r="F112" i="58"/>
  <c r="F121" i="58" s="1"/>
  <c r="F125" i="58" s="1"/>
  <c r="F124" i="58" s="1"/>
  <c r="F127" i="58" s="1"/>
  <c r="M76" i="32"/>
  <c r="X39" i="61"/>
  <c r="Z60" i="61"/>
  <c r="K86" i="68"/>
  <c r="K112" i="68" s="1"/>
  <c r="K121" i="68" s="1"/>
  <c r="F85" i="62"/>
  <c r="W59" i="65"/>
  <c r="Q86" i="57"/>
  <c r="Q112" i="57" s="1"/>
  <c r="Q121" i="57" s="1"/>
  <c r="AA6" i="57"/>
  <c r="AA39" i="57" s="1"/>
  <c r="AA58" i="57" s="1"/>
  <c r="E84" i="66"/>
  <c r="E108" i="66" s="1"/>
  <c r="E117" i="66" s="1"/>
  <c r="E121" i="66" s="1"/>
  <c r="E120" i="66" s="1"/>
  <c r="E123" i="66" s="1"/>
  <c r="H86" i="63"/>
  <c r="I86" i="55"/>
  <c r="Z88" i="55"/>
  <c r="W60" i="57"/>
  <c r="Z60" i="68"/>
  <c r="D86" i="55"/>
  <c r="D112" i="55" s="1"/>
  <c r="D121" i="55" s="1"/>
  <c r="D125" i="55" s="1"/>
  <c r="D124" i="55" s="1"/>
  <c r="D127" i="55" s="1"/>
  <c r="Y60" i="63"/>
  <c r="AO94" i="11"/>
  <c r="Y88" i="70"/>
  <c r="W60" i="70"/>
  <c r="AA88" i="70"/>
  <c r="X88" i="59"/>
  <c r="L86" i="70"/>
  <c r="Z87" i="65"/>
  <c r="AA60" i="67"/>
  <c r="K86" i="60"/>
  <c r="K84" i="60" s="1"/>
  <c r="Y6" i="59"/>
  <c r="Y39" i="59" s="1"/>
  <c r="Y58" i="59" s="1"/>
  <c r="AA88" i="55"/>
  <c r="R51" i="7"/>
  <c r="T38" i="7"/>
  <c r="T44" i="7" s="1"/>
  <c r="T49" i="7" s="1"/>
  <c r="V38" i="7"/>
  <c r="V44" i="7" s="1"/>
  <c r="V49" i="7" s="1"/>
  <c r="W60" i="69"/>
  <c r="AB60" i="70"/>
  <c r="AA60" i="58"/>
  <c r="Y38" i="7"/>
  <c r="Y44" i="7" s="1"/>
  <c r="Y49" i="7" s="1"/>
  <c r="G84" i="66"/>
  <c r="W60" i="68"/>
  <c r="K86" i="63"/>
  <c r="K84" i="63" s="1"/>
  <c r="K86" i="67"/>
  <c r="J84" i="66"/>
  <c r="AB6" i="64"/>
  <c r="AB39" i="64" s="1"/>
  <c r="AB58" i="64" s="1"/>
  <c r="S51" i="7"/>
  <c r="Y59" i="65"/>
  <c r="J86" i="68"/>
  <c r="U38" i="7"/>
  <c r="U44" i="7" s="1"/>
  <c r="U49" i="7" s="1"/>
  <c r="AB60" i="69"/>
  <c r="Y60" i="70"/>
  <c r="K86" i="70"/>
  <c r="AB60" i="60"/>
  <c r="D86" i="64"/>
  <c r="D84" i="64" s="1"/>
  <c r="Q51" i="7"/>
  <c r="AA60" i="69"/>
  <c r="P38" i="7"/>
  <c r="P44" i="7" s="1"/>
  <c r="P49" i="7" s="1"/>
  <c r="W6" i="69"/>
  <c r="W39" i="69" s="1"/>
  <c r="W58" i="69" s="1"/>
  <c r="K96" i="33"/>
  <c r="J96" i="33"/>
  <c r="L96" i="28"/>
  <c r="F96" i="33"/>
  <c r="Y60" i="55"/>
  <c r="Y88" i="55"/>
  <c r="W38" i="7"/>
  <c r="W44" i="7" s="1"/>
  <c r="W49" i="7" s="1"/>
  <c r="Q90" i="31"/>
  <c r="AF91" i="30"/>
  <c r="Z60" i="67"/>
  <c r="O86" i="55"/>
  <c r="O112" i="55" s="1"/>
  <c r="O121" i="55" s="1"/>
  <c r="X6" i="70"/>
  <c r="X39" i="70" s="1"/>
  <c r="X58" i="70" s="1"/>
  <c r="Q87" i="27"/>
  <c r="Z88" i="70"/>
  <c r="Y88" i="61"/>
  <c r="Y61" i="40"/>
  <c r="Y87" i="27"/>
  <c r="K86" i="56"/>
  <c r="K84" i="56" s="1"/>
  <c r="W88" i="60"/>
  <c r="Q86" i="56"/>
  <c r="AA60" i="60"/>
  <c r="X87" i="62"/>
  <c r="J90" i="29"/>
  <c r="E86" i="70"/>
  <c r="E112" i="70" s="1"/>
  <c r="E121" i="70" s="1"/>
  <c r="V6" i="65"/>
  <c r="V39" i="65" s="1"/>
  <c r="X88" i="61"/>
  <c r="O86" i="58"/>
  <c r="H64" i="46"/>
  <c r="I86" i="69"/>
  <c r="I112" i="69" s="1"/>
  <c r="I121" i="69" s="1"/>
  <c r="V87" i="62"/>
  <c r="X60" i="55"/>
  <c r="Z88" i="68"/>
  <c r="AA6" i="63"/>
  <c r="AA39" i="63" s="1"/>
  <c r="AA58" i="63" s="1"/>
  <c r="Z88" i="60"/>
  <c r="X51" i="7"/>
  <c r="W6" i="55"/>
  <c r="W39" i="55" s="1"/>
  <c r="W58" i="55" s="1"/>
  <c r="E86" i="57"/>
  <c r="E112" i="57" s="1"/>
  <c r="E121" i="57" s="1"/>
  <c r="N86" i="57"/>
  <c r="N84" i="57" s="1"/>
  <c r="Z60" i="57"/>
  <c r="F86" i="57"/>
  <c r="F84" i="57" s="1"/>
  <c r="AA60" i="57"/>
  <c r="Y6" i="57"/>
  <c r="Y39" i="57" s="1"/>
  <c r="Y58" i="57" s="1"/>
  <c r="AA88" i="57"/>
  <c r="AB88" i="57"/>
  <c r="AB60" i="57"/>
  <c r="J86" i="57"/>
  <c r="G86" i="57"/>
  <c r="M86" i="57"/>
  <c r="M84" i="57" s="1"/>
  <c r="AB88" i="55"/>
  <c r="AR135" i="12"/>
  <c r="N91" i="30"/>
  <c r="X60" i="63"/>
  <c r="AB88" i="58"/>
  <c r="V90" i="29"/>
  <c r="M91" i="30"/>
  <c r="AA6" i="69"/>
  <c r="AA39" i="69" s="1"/>
  <c r="AA58" i="69" s="1"/>
  <c r="Z60" i="70"/>
  <c r="X88" i="68"/>
  <c r="W60" i="58"/>
  <c r="Y88" i="56"/>
  <c r="K112" i="58"/>
  <c r="K121" i="58" s="1"/>
  <c r="K125" i="58" s="1"/>
  <c r="K124" i="58" s="1"/>
  <c r="K127" i="58" s="1"/>
  <c r="W60" i="56"/>
  <c r="AS135" i="12"/>
  <c r="AW135" i="12"/>
  <c r="M135" i="12"/>
  <c r="H90" i="29"/>
  <c r="R42" i="2"/>
  <c r="D84" i="66"/>
  <c r="D108" i="66" s="1"/>
  <c r="D117" i="66" s="1"/>
  <c r="W87" i="65"/>
  <c r="Q85" i="62"/>
  <c r="Q83" i="62" s="1"/>
  <c r="Z59" i="62"/>
  <c r="AA88" i="61"/>
  <c r="Y60" i="64"/>
  <c r="AA60" i="56"/>
  <c r="X60" i="57"/>
  <c r="AA95" i="39"/>
  <c r="X6" i="67"/>
  <c r="X39" i="67" s="1"/>
  <c r="Y95" i="39"/>
  <c r="AJ95" i="39"/>
  <c r="Z59" i="65"/>
  <c r="AA88" i="68"/>
  <c r="H85" i="62"/>
  <c r="H111" i="62" s="1"/>
  <c r="H120" i="62" s="1"/>
  <c r="X59" i="65"/>
  <c r="Y60" i="59"/>
  <c r="X60" i="61"/>
  <c r="X41" i="60"/>
  <c r="Z39" i="57"/>
  <c r="Z58" i="57" s="1"/>
  <c r="Z60" i="55"/>
  <c r="I135" i="12"/>
  <c r="AG135" i="12"/>
  <c r="AN135" i="12"/>
  <c r="W87" i="62"/>
  <c r="R91" i="30"/>
  <c r="V91" i="30"/>
  <c r="Q86" i="60"/>
  <c r="H86" i="58"/>
  <c r="H84" i="58" s="1"/>
  <c r="P86" i="68"/>
  <c r="P84" i="68" s="1"/>
  <c r="N86" i="64"/>
  <c r="N84" i="64" s="1"/>
  <c r="Z60" i="63"/>
  <c r="AB88" i="59"/>
  <c r="AF95" i="39"/>
  <c r="L95" i="39"/>
  <c r="AC61" i="40"/>
  <c r="X96" i="28"/>
  <c r="W88" i="69"/>
  <c r="W59" i="62"/>
  <c r="V87" i="65"/>
  <c r="Y6" i="63"/>
  <c r="Y39" i="63" s="1"/>
  <c r="Y58" i="63" s="1"/>
  <c r="Z88" i="63"/>
  <c r="AB6" i="61"/>
  <c r="AB39" i="61" s="1"/>
  <c r="AB58" i="61" s="1"/>
  <c r="AB60" i="63"/>
  <c r="AB88" i="56"/>
  <c r="AB135" i="12"/>
  <c r="Y6" i="62"/>
  <c r="Y39" i="62" s="1"/>
  <c r="Y57" i="62" s="1"/>
  <c r="X88" i="69"/>
  <c r="AA88" i="69"/>
  <c r="H86" i="61"/>
  <c r="H112" i="61" s="1"/>
  <c r="H121" i="61" s="1"/>
  <c r="I86" i="59"/>
  <c r="I112" i="59" s="1"/>
  <c r="I121" i="59" s="1"/>
  <c r="T135" i="12"/>
  <c r="J86" i="55"/>
  <c r="J84" i="55" s="1"/>
  <c r="H86" i="59"/>
  <c r="Y91" i="30"/>
  <c r="M96" i="33"/>
  <c r="Q91" i="30"/>
  <c r="Y59" i="62"/>
  <c r="Z39" i="68"/>
  <c r="Z58" i="68" s="1"/>
  <c r="Q86" i="63"/>
  <c r="Q112" i="63" s="1"/>
  <c r="Q121" i="63" s="1"/>
  <c r="M85" i="62"/>
  <c r="M111" i="62" s="1"/>
  <c r="M120" i="62" s="1"/>
  <c r="AB60" i="61"/>
  <c r="N86" i="58"/>
  <c r="N84" i="58" s="1"/>
  <c r="X88" i="58"/>
  <c r="AM135" i="12"/>
  <c r="P135" i="12"/>
  <c r="E76" i="32"/>
  <c r="X6" i="57"/>
  <c r="X39" i="57" s="1"/>
  <c r="X58" i="57" s="1"/>
  <c r="AA39" i="56"/>
  <c r="AA58" i="56" s="1"/>
  <c r="W6" i="59"/>
  <c r="W39" i="59" s="1"/>
  <c r="W58" i="59" s="1"/>
  <c r="E90" i="31"/>
  <c r="E96" i="33"/>
  <c r="L86" i="64"/>
  <c r="Y60" i="60"/>
  <c r="S90" i="29"/>
  <c r="AT94" i="11"/>
  <c r="AD95" i="39"/>
  <c r="Y6" i="69"/>
  <c r="Y39" i="69" s="1"/>
  <c r="Y58" i="69" s="1"/>
  <c r="AA60" i="68"/>
  <c r="Y60" i="61"/>
  <c r="X6" i="59"/>
  <c r="X39" i="59" s="1"/>
  <c r="D135" i="12"/>
  <c r="L76" i="32"/>
  <c r="Z88" i="57"/>
  <c r="AB6" i="56"/>
  <c r="AB39" i="56" s="1"/>
  <c r="AB58" i="56" s="1"/>
  <c r="T30" i="42"/>
  <c r="T32" i="42" s="1"/>
  <c r="T36" i="42" s="1"/>
  <c r="T39" i="42" s="1"/>
  <c r="L46" i="2"/>
  <c r="E83" i="65"/>
  <c r="E111" i="65"/>
  <c r="E120" i="65" s="1"/>
  <c r="AA130" i="55"/>
  <c r="AB130" i="55" s="1"/>
  <c r="AC130" i="55" s="1"/>
  <c r="AD130" i="55" s="1"/>
  <c r="Q130" i="55"/>
  <c r="R130" i="55" s="1"/>
  <c r="S130" i="55" s="1"/>
  <c r="T130" i="55" s="1"/>
  <c r="Z60" i="69"/>
  <c r="F86" i="70"/>
  <c r="Z6" i="69"/>
  <c r="Z39" i="69" s="1"/>
  <c r="Z58" i="69" s="1"/>
  <c r="G86" i="69"/>
  <c r="Z88" i="67"/>
  <c r="C84" i="66"/>
  <c r="M111" i="65"/>
  <c r="M120" i="65" s="1"/>
  <c r="M83" i="65"/>
  <c r="G86" i="58"/>
  <c r="AA60" i="61"/>
  <c r="AJ135" i="12"/>
  <c r="N135" i="12"/>
  <c r="P87" i="27"/>
  <c r="AB88" i="61"/>
  <c r="X60" i="60"/>
  <c r="O86" i="69"/>
  <c r="G84" i="68"/>
  <c r="G112" i="68"/>
  <c r="G121" i="68" s="1"/>
  <c r="M86" i="60"/>
  <c r="X88" i="55"/>
  <c r="W60" i="55"/>
  <c r="G84" i="60"/>
  <c r="G112" i="60"/>
  <c r="G121" i="60" s="1"/>
  <c r="AO135" i="12"/>
  <c r="Q135" i="12"/>
  <c r="AP135" i="12"/>
  <c r="AL135" i="12"/>
  <c r="AX135" i="12"/>
  <c r="K84" i="66"/>
  <c r="M95" i="39"/>
  <c r="J91" i="30"/>
  <c r="D83" i="65"/>
  <c r="D111" i="65"/>
  <c r="D120" i="65" s="1"/>
  <c r="AB88" i="68"/>
  <c r="E111" i="62"/>
  <c r="E120" i="62" s="1"/>
  <c r="E83" i="62"/>
  <c r="W88" i="68"/>
  <c r="W60" i="61"/>
  <c r="P60" i="16"/>
  <c r="AA129" i="56"/>
  <c r="AB129" i="56" s="1"/>
  <c r="AC129" i="56" s="1"/>
  <c r="AD129" i="56" s="1"/>
  <c r="Q129" i="56"/>
  <c r="R129" i="56" s="1"/>
  <c r="S129" i="56" s="1"/>
  <c r="T129" i="56" s="1"/>
  <c r="AE129" i="56" s="1"/>
  <c r="AQ135" i="12"/>
  <c r="AD135" i="12"/>
  <c r="N111" i="62"/>
  <c r="N120" i="62" s="1"/>
  <c r="N83" i="62"/>
  <c r="W60" i="60"/>
  <c r="AA60" i="63"/>
  <c r="Y88" i="59"/>
  <c r="U135" i="12"/>
  <c r="E135" i="12"/>
  <c r="AC135" i="12"/>
  <c r="G135" i="12"/>
  <c r="AU135" i="12"/>
  <c r="AT135" i="12"/>
  <c r="T39" i="66"/>
  <c r="T57" i="66" s="1"/>
  <c r="Z60" i="60"/>
  <c r="I86" i="57"/>
  <c r="I86" i="56"/>
  <c r="D86" i="59"/>
  <c r="AF135" i="12"/>
  <c r="S135" i="12"/>
  <c r="AH135" i="12"/>
  <c r="AE135" i="12"/>
  <c r="U59" i="65"/>
  <c r="X41" i="63"/>
  <c r="X88" i="64"/>
  <c r="R135" i="12"/>
  <c r="J135" i="12"/>
  <c r="X60" i="70"/>
  <c r="AB88" i="69"/>
  <c r="O86" i="63"/>
  <c r="W88" i="64"/>
  <c r="D112" i="60"/>
  <c r="D121" i="60" s="1"/>
  <c r="D84" i="60"/>
  <c r="J84" i="59"/>
  <c r="J112" i="59"/>
  <c r="J121" i="59" s="1"/>
  <c r="X41" i="59"/>
  <c r="K84" i="2"/>
  <c r="K83" i="2" s="1"/>
  <c r="J83" i="2"/>
  <c r="Q30" i="42"/>
  <c r="Q32" i="42" s="1"/>
  <c r="Q36" i="42" s="1"/>
  <c r="Q39" i="42" s="1"/>
  <c r="X41" i="67"/>
  <c r="O111" i="65"/>
  <c r="O120" i="65" s="1"/>
  <c r="O83" i="65"/>
  <c r="P83" i="62"/>
  <c r="P111" i="62"/>
  <c r="P120" i="62" s="1"/>
  <c r="I84" i="66"/>
  <c r="F111" i="65"/>
  <c r="F120" i="65" s="1"/>
  <c r="F83" i="65"/>
  <c r="M86" i="63"/>
  <c r="AA60" i="59"/>
  <c r="H135" i="12"/>
  <c r="X60" i="56"/>
  <c r="F135" i="12"/>
  <c r="Y135" i="12"/>
  <c r="X135" i="12"/>
  <c r="W135" i="12"/>
  <c r="W88" i="70"/>
  <c r="H86" i="69"/>
  <c r="P86" i="67"/>
  <c r="J85" i="62"/>
  <c r="X88" i="67"/>
  <c r="I112" i="67"/>
  <c r="I121" i="67" s="1"/>
  <c r="I84" i="67"/>
  <c r="AB60" i="59"/>
  <c r="X41" i="56"/>
  <c r="AY135" i="12"/>
  <c r="H86" i="57"/>
  <c r="V135" i="12"/>
  <c r="L135" i="12"/>
  <c r="K135" i="12"/>
  <c r="AI135" i="12"/>
  <c r="O85" i="2"/>
  <c r="O83" i="2" s="1"/>
  <c r="N83" i="2"/>
  <c r="P86" i="69"/>
  <c r="D86" i="67"/>
  <c r="I112" i="68"/>
  <c r="I121" i="68" s="1"/>
  <c r="I84" i="68"/>
  <c r="W88" i="67"/>
  <c r="X59" i="62"/>
  <c r="AA88" i="59"/>
  <c r="X60" i="58"/>
  <c r="X60" i="59"/>
  <c r="Z135" i="12"/>
  <c r="AK135" i="12"/>
  <c r="X41" i="69"/>
  <c r="X60" i="69"/>
  <c r="E112" i="69" l="1"/>
  <c r="E121" i="69" s="1"/>
  <c r="L84" i="68"/>
  <c r="D84" i="68"/>
  <c r="M84" i="67"/>
  <c r="F112" i="67"/>
  <c r="F121" i="67" s="1"/>
  <c r="F125" i="67" s="1"/>
  <c r="F124" i="67" s="1"/>
  <c r="F127" i="67" s="1"/>
  <c r="L112" i="61"/>
  <c r="L121" i="61" s="1"/>
  <c r="O112" i="60"/>
  <c r="O121" i="60" s="1"/>
  <c r="N112" i="59"/>
  <c r="N121" i="59" s="1"/>
  <c r="AE130" i="55"/>
  <c r="U130" i="55"/>
  <c r="Q112" i="61"/>
  <c r="Q121" i="61" s="1"/>
  <c r="Z86" i="59"/>
  <c r="G112" i="70"/>
  <c r="G121" i="70" s="1"/>
  <c r="AB86" i="69"/>
  <c r="Z86" i="64"/>
  <c r="Z112" i="64" s="1"/>
  <c r="Z121" i="64" s="1"/>
  <c r="I112" i="70"/>
  <c r="I121" i="70" s="1"/>
  <c r="Z86" i="56"/>
  <c r="Z112" i="56" s="1"/>
  <c r="Z121" i="56" s="1"/>
  <c r="J112" i="64"/>
  <c r="J121" i="64" s="1"/>
  <c r="J84" i="64"/>
  <c r="H84" i="64"/>
  <c r="H112" i="64"/>
  <c r="H121" i="64" s="1"/>
  <c r="M84" i="64"/>
  <c r="M112" i="64"/>
  <c r="M121" i="64" s="1"/>
  <c r="L84" i="63"/>
  <c r="L112" i="63"/>
  <c r="L121" i="63" s="1"/>
  <c r="G84" i="63"/>
  <c r="G112" i="63"/>
  <c r="G121" i="63" s="1"/>
  <c r="G125" i="63" s="1"/>
  <c r="G124" i="63" s="1"/>
  <c r="G127" i="63" s="1"/>
  <c r="E84" i="61"/>
  <c r="E112" i="61"/>
  <c r="E121" i="61" s="1"/>
  <c r="G112" i="61"/>
  <c r="G121" i="61" s="1"/>
  <c r="G84" i="61"/>
  <c r="F112" i="59"/>
  <c r="F121" i="59" s="1"/>
  <c r="F125" i="59" s="1"/>
  <c r="F124" i="59" s="1"/>
  <c r="F127" i="59" s="1"/>
  <c r="F84" i="59"/>
  <c r="K112" i="59"/>
  <c r="K121" i="59" s="1"/>
  <c r="K125" i="59" s="1"/>
  <c r="K124" i="59" s="1"/>
  <c r="K127" i="59" s="1"/>
  <c r="K84" i="59"/>
  <c r="D84" i="58"/>
  <c r="D112" i="58"/>
  <c r="D121" i="58" s="1"/>
  <c r="D125" i="58" s="1"/>
  <c r="D124" i="58" s="1"/>
  <c r="D127" i="58" s="1"/>
  <c r="L112" i="58"/>
  <c r="L121" i="58" s="1"/>
  <c r="L84" i="58"/>
  <c r="F112" i="56"/>
  <c r="F121" i="56" s="1"/>
  <c r="F125" i="56" s="1"/>
  <c r="F124" i="56" s="1"/>
  <c r="F127" i="56" s="1"/>
  <c r="F84" i="56"/>
  <c r="P84" i="56"/>
  <c r="P112" i="56"/>
  <c r="P121" i="56" s="1"/>
  <c r="AB86" i="68"/>
  <c r="AA86" i="64"/>
  <c r="Y86" i="58"/>
  <c r="AA86" i="58"/>
  <c r="Y86" i="68"/>
  <c r="V57" i="65"/>
  <c r="L112" i="67"/>
  <c r="L121" i="67" s="1"/>
  <c r="L84" i="67"/>
  <c r="E84" i="63"/>
  <c r="E112" i="63"/>
  <c r="E121" i="63" s="1"/>
  <c r="E125" i="63" s="1"/>
  <c r="E124" i="63" s="1"/>
  <c r="E127" i="63" s="1"/>
  <c r="E112" i="56"/>
  <c r="E121" i="56" s="1"/>
  <c r="E125" i="56" s="1"/>
  <c r="E124" i="56" s="1"/>
  <c r="E127" i="56" s="1"/>
  <c r="E84" i="56"/>
  <c r="I111" i="62"/>
  <c r="I120" i="62" s="1"/>
  <c r="I124" i="62" s="1"/>
  <c r="I123" i="62" s="1"/>
  <c r="I126" i="62" s="1"/>
  <c r="I83" i="62"/>
  <c r="I84" i="64"/>
  <c r="I112" i="64"/>
  <c r="I121" i="64" s="1"/>
  <c r="I125" i="64" s="1"/>
  <c r="I124" i="64" s="1"/>
  <c r="I127" i="64" s="1"/>
  <c r="P83" i="65"/>
  <c r="P111" i="65"/>
  <c r="P120" i="65" s="1"/>
  <c r="O84" i="68"/>
  <c r="O112" i="68"/>
  <c r="O121" i="68" s="1"/>
  <c r="O84" i="59"/>
  <c r="O112" i="59"/>
  <c r="O121" i="59" s="1"/>
  <c r="I84" i="61"/>
  <c r="I112" i="61"/>
  <c r="I121" i="61" s="1"/>
  <c r="G112" i="67"/>
  <c r="G121" i="67" s="1"/>
  <c r="G125" i="67" s="1"/>
  <c r="G124" i="67" s="1"/>
  <c r="G127" i="67" s="1"/>
  <c r="G84" i="67"/>
  <c r="J112" i="58"/>
  <c r="J121" i="58" s="1"/>
  <c r="J125" i="58" s="1"/>
  <c r="J124" i="58" s="1"/>
  <c r="J127" i="58" s="1"/>
  <c r="J84" i="58"/>
  <c r="K111" i="62"/>
  <c r="K120" i="62" s="1"/>
  <c r="K124" i="62" s="1"/>
  <c r="K123" i="62" s="1"/>
  <c r="K126" i="62" s="1"/>
  <c r="K83" i="62"/>
  <c r="H84" i="70"/>
  <c r="H112" i="70"/>
  <c r="H121" i="70" s="1"/>
  <c r="M84" i="70"/>
  <c r="M112" i="70"/>
  <c r="M121" i="70" s="1"/>
  <c r="N112" i="61"/>
  <c r="N121" i="61" s="1"/>
  <c r="N84" i="61"/>
  <c r="Q112" i="64"/>
  <c r="Q121" i="64" s="1"/>
  <c r="Q84" i="64"/>
  <c r="E84" i="58"/>
  <c r="E112" i="58"/>
  <c r="E121" i="58" s="1"/>
  <c r="E125" i="58" s="1"/>
  <c r="E124" i="58" s="1"/>
  <c r="E127" i="58" s="1"/>
  <c r="I112" i="63"/>
  <c r="I121" i="63" s="1"/>
  <c r="I125" i="63" s="1"/>
  <c r="I124" i="63" s="1"/>
  <c r="I127" i="63" s="1"/>
  <c r="I84" i="63"/>
  <c r="O112" i="64"/>
  <c r="O121" i="64" s="1"/>
  <c r="O84" i="64"/>
  <c r="F83" i="62"/>
  <c r="F111" i="62"/>
  <c r="F120" i="62" s="1"/>
  <c r="F124" i="62" s="1"/>
  <c r="F123" i="62" s="1"/>
  <c r="F126" i="62" s="1"/>
  <c r="AB86" i="67"/>
  <c r="AA86" i="70"/>
  <c r="X86" i="64"/>
  <c r="U85" i="62"/>
  <c r="X58" i="61"/>
  <c r="X86" i="61" s="1"/>
  <c r="X84" i="61" s="1"/>
  <c r="Z85" i="62"/>
  <c r="Y86" i="64"/>
  <c r="W86" i="67"/>
  <c r="T84" i="66"/>
  <c r="J111" i="65"/>
  <c r="J120" i="65" s="1"/>
  <c r="J124" i="65" s="1"/>
  <c r="J123" i="65" s="1"/>
  <c r="J126" i="65" s="1"/>
  <c r="J83" i="65"/>
  <c r="L84" i="69"/>
  <c r="L112" i="69"/>
  <c r="L121" i="69" s="1"/>
  <c r="G112" i="59"/>
  <c r="G121" i="59" s="1"/>
  <c r="G125" i="59" s="1"/>
  <c r="G124" i="59" s="1"/>
  <c r="G127" i="59" s="1"/>
  <c r="G84" i="59"/>
  <c r="K84" i="61"/>
  <c r="K112" i="61"/>
  <c r="K121" i="61" s="1"/>
  <c r="K125" i="61" s="1"/>
  <c r="K124" i="61" s="1"/>
  <c r="K127" i="61" s="1"/>
  <c r="K112" i="55"/>
  <c r="K121" i="55" s="1"/>
  <c r="K125" i="55" s="1"/>
  <c r="K124" i="55" s="1"/>
  <c r="K127" i="55" s="1"/>
  <c r="K84" i="55"/>
  <c r="Q84" i="58"/>
  <c r="Q112" i="58"/>
  <c r="Q121" i="58" s="1"/>
  <c r="N111" i="65"/>
  <c r="N120" i="65" s="1"/>
  <c r="N83" i="65"/>
  <c r="Q84" i="68"/>
  <c r="Q112" i="68"/>
  <c r="Q121" i="68" s="1"/>
  <c r="H82" i="66"/>
  <c r="H108" i="66"/>
  <c r="H117" i="66" s="1"/>
  <c r="H121" i="66" s="1"/>
  <c r="H120" i="66" s="1"/>
  <c r="H123" i="66" s="1"/>
  <c r="J112" i="70"/>
  <c r="J121" i="70" s="1"/>
  <c r="J84" i="70"/>
  <c r="Q84" i="59"/>
  <c r="Q112" i="59"/>
  <c r="Q121" i="59" s="1"/>
  <c r="P112" i="63"/>
  <c r="P121" i="63" s="1"/>
  <c r="P84" i="63"/>
  <c r="L83" i="65"/>
  <c r="L111" i="65"/>
  <c r="L120" i="65" s="1"/>
  <c r="D112" i="57"/>
  <c r="D121" i="57" s="1"/>
  <c r="D125" i="57" s="1"/>
  <c r="D124" i="57" s="1"/>
  <c r="D127" i="57" s="1"/>
  <c r="D84" i="57"/>
  <c r="D84" i="56"/>
  <c r="D112" i="56"/>
  <c r="D121" i="56" s="1"/>
  <c r="D125" i="56" s="1"/>
  <c r="D124" i="56" s="1"/>
  <c r="D127" i="56" s="1"/>
  <c r="P84" i="57"/>
  <c r="P112" i="57"/>
  <c r="P121" i="57" s="1"/>
  <c r="M112" i="68"/>
  <c r="M121" i="68" s="1"/>
  <c r="M84" i="68"/>
  <c r="H112" i="67"/>
  <c r="H121" i="67" s="1"/>
  <c r="H125" i="67" s="1"/>
  <c r="H124" i="67" s="1"/>
  <c r="H127" i="67" s="1"/>
  <c r="H84" i="67"/>
  <c r="D112" i="63"/>
  <c r="D121" i="63" s="1"/>
  <c r="D125" i="63" s="1"/>
  <c r="D124" i="63" s="1"/>
  <c r="D127" i="63" s="1"/>
  <c r="D84" i="63"/>
  <c r="M84" i="56"/>
  <c r="M112" i="56"/>
  <c r="M121" i="56" s="1"/>
  <c r="D84" i="61"/>
  <c r="D112" i="61"/>
  <c r="D121" i="61" s="1"/>
  <c r="E112" i="59"/>
  <c r="E121" i="59" s="1"/>
  <c r="E125" i="59" s="1"/>
  <c r="E124" i="59" s="1"/>
  <c r="E127" i="59" s="1"/>
  <c r="E84" i="59"/>
  <c r="H84" i="68"/>
  <c r="H112" i="68"/>
  <c r="H121" i="68" s="1"/>
  <c r="H125" i="68" s="1"/>
  <c r="H124" i="68" s="1"/>
  <c r="H127" i="68" s="1"/>
  <c r="F112" i="69"/>
  <c r="F121" i="69" s="1"/>
  <c r="F84" i="69"/>
  <c r="J271" i="78"/>
  <c r="J35" i="78"/>
  <c r="K271" i="78"/>
  <c r="K35" i="78"/>
  <c r="O271" i="78"/>
  <c r="O35" i="78"/>
  <c r="M271" i="78"/>
  <c r="M35" i="78"/>
  <c r="N273" i="78"/>
  <c r="N38" i="78"/>
  <c r="N276" i="78" s="1"/>
  <c r="G271" i="78"/>
  <c r="G35" i="78"/>
  <c r="F273" i="78"/>
  <c r="F38" i="78"/>
  <c r="F276" i="78" s="1"/>
  <c r="H271" i="78"/>
  <c r="H35" i="78"/>
  <c r="I271" i="78"/>
  <c r="I35" i="78"/>
  <c r="L271" i="78"/>
  <c r="L35" i="78"/>
  <c r="Y86" i="67"/>
  <c r="AA86" i="60"/>
  <c r="Z86" i="58"/>
  <c r="Y86" i="69"/>
  <c r="O84" i="67"/>
  <c r="O112" i="67"/>
  <c r="O121" i="67" s="1"/>
  <c r="P84" i="58"/>
  <c r="P112" i="58"/>
  <c r="P121" i="58" s="1"/>
  <c r="F112" i="61"/>
  <c r="F121" i="61" s="1"/>
  <c r="F84" i="61"/>
  <c r="F112" i="63"/>
  <c r="F121" i="63" s="1"/>
  <c r="F125" i="63" s="1"/>
  <c r="F124" i="63" s="1"/>
  <c r="F127" i="63" s="1"/>
  <c r="F84" i="63"/>
  <c r="E84" i="55"/>
  <c r="E112" i="55"/>
  <c r="E121" i="55" s="1"/>
  <c r="E125" i="55" s="1"/>
  <c r="E124" i="55" s="1"/>
  <c r="E127" i="55" s="1"/>
  <c r="J84" i="61"/>
  <c r="J112" i="61"/>
  <c r="J121" i="61" s="1"/>
  <c r="J125" i="61" s="1"/>
  <c r="J124" i="61" s="1"/>
  <c r="J127" i="61" s="1"/>
  <c r="D83" i="62"/>
  <c r="D111" i="62"/>
  <c r="D120" i="62" s="1"/>
  <c r="D124" i="62" s="1"/>
  <c r="D123" i="62" s="1"/>
  <c r="D126" i="62" s="1"/>
  <c r="F108" i="66"/>
  <c r="F117" i="66" s="1"/>
  <c r="F121" i="66" s="1"/>
  <c r="F120" i="66" s="1"/>
  <c r="F123" i="66" s="1"/>
  <c r="F82" i="66"/>
  <c r="M84" i="69"/>
  <c r="M112" i="69"/>
  <c r="M121" i="69" s="1"/>
  <c r="L84" i="55"/>
  <c r="L112" i="55"/>
  <c r="L121" i="55" s="1"/>
  <c r="F84" i="60"/>
  <c r="F112" i="60"/>
  <c r="F121" i="60" s="1"/>
  <c r="F125" i="60" s="1"/>
  <c r="F124" i="60" s="1"/>
  <c r="F127" i="60" s="1"/>
  <c r="J112" i="56"/>
  <c r="J121" i="56" s="1"/>
  <c r="J125" i="56" s="1"/>
  <c r="J124" i="56" s="1"/>
  <c r="J127" i="56" s="1"/>
  <c r="J84" i="56"/>
  <c r="O112" i="61"/>
  <c r="O121" i="61" s="1"/>
  <c r="O84" i="61"/>
  <c r="P112" i="61"/>
  <c r="P121" i="61" s="1"/>
  <c r="P84" i="61"/>
  <c r="D112" i="69"/>
  <c r="D121" i="69" s="1"/>
  <c r="D84" i="69"/>
  <c r="H111" i="65"/>
  <c r="H120" i="65" s="1"/>
  <c r="H124" i="65" s="1"/>
  <c r="H123" i="65" s="1"/>
  <c r="H126" i="65" s="1"/>
  <c r="H83" i="65"/>
  <c r="E84" i="67"/>
  <c r="E112" i="67"/>
  <c r="E121" i="67" s="1"/>
  <c r="E125" i="67" s="1"/>
  <c r="E124" i="67" s="1"/>
  <c r="E127" i="67" s="1"/>
  <c r="E112" i="68"/>
  <c r="E121" i="68" s="1"/>
  <c r="E125" i="68" s="1"/>
  <c r="E124" i="68" s="1"/>
  <c r="E127" i="68" s="1"/>
  <c r="E84" i="68"/>
  <c r="N84" i="69"/>
  <c r="N112" i="69"/>
  <c r="N121" i="69" s="1"/>
  <c r="J112" i="69"/>
  <c r="J121" i="69" s="1"/>
  <c r="J84" i="69"/>
  <c r="Q112" i="69"/>
  <c r="Q121" i="69" s="1"/>
  <c r="Q84" i="69"/>
  <c r="G112" i="56"/>
  <c r="G121" i="56" s="1"/>
  <c r="G125" i="56" s="1"/>
  <c r="G124" i="56" s="1"/>
  <c r="G127" i="56" s="1"/>
  <c r="G84" i="56"/>
  <c r="K112" i="69"/>
  <c r="K121" i="69" s="1"/>
  <c r="K84" i="69"/>
  <c r="N84" i="67"/>
  <c r="N112" i="67"/>
  <c r="N121" i="67" s="1"/>
  <c r="N112" i="68"/>
  <c r="N121" i="68" s="1"/>
  <c r="N84" i="68"/>
  <c r="E84" i="60"/>
  <c r="E112" i="60"/>
  <c r="E121" i="60" s="1"/>
  <c r="E125" i="60" s="1"/>
  <c r="E124" i="60" s="1"/>
  <c r="E127" i="60" s="1"/>
  <c r="P84" i="59"/>
  <c r="P112" i="59"/>
  <c r="P121" i="59" s="1"/>
  <c r="X6" i="56"/>
  <c r="X39" i="56" s="1"/>
  <c r="X58" i="56" s="1"/>
  <c r="X86" i="56" s="1"/>
  <c r="X112" i="56" s="1"/>
  <c r="X121" i="56" s="1"/>
  <c r="W39" i="56"/>
  <c r="W58" i="56" s="1"/>
  <c r="W86" i="56" s="1"/>
  <c r="W84" i="56" s="1"/>
  <c r="F112" i="64"/>
  <c r="F121" i="64" s="1"/>
  <c r="F125" i="64" s="1"/>
  <c r="F124" i="64" s="1"/>
  <c r="F127" i="64" s="1"/>
  <c r="F84" i="64"/>
  <c r="O111" i="62"/>
  <c r="O120" i="62" s="1"/>
  <c r="O83" i="62"/>
  <c r="G83" i="62"/>
  <c r="G111" i="62"/>
  <c r="G120" i="62" s="1"/>
  <c r="G124" i="62" s="1"/>
  <c r="G123" i="62" s="1"/>
  <c r="G126" i="62" s="1"/>
  <c r="J84" i="60"/>
  <c r="J112" i="60"/>
  <c r="J121" i="60" s="1"/>
  <c r="J125" i="60" s="1"/>
  <c r="J124" i="60" s="1"/>
  <c r="J127" i="60" s="1"/>
  <c r="F112" i="55"/>
  <c r="F121" i="55" s="1"/>
  <c r="F125" i="55" s="1"/>
  <c r="F124" i="55" s="1"/>
  <c r="F127" i="55" s="1"/>
  <c r="F84" i="55"/>
  <c r="O84" i="57"/>
  <c r="O112" i="57"/>
  <c r="O121" i="57" s="1"/>
  <c r="G112" i="64"/>
  <c r="G121" i="64" s="1"/>
  <c r="G125" i="64" s="1"/>
  <c r="G124" i="64" s="1"/>
  <c r="G127" i="64" s="1"/>
  <c r="G84" i="64"/>
  <c r="K84" i="64"/>
  <c r="K112" i="64"/>
  <c r="K121" i="64" s="1"/>
  <c r="K125" i="64" s="1"/>
  <c r="K124" i="64" s="1"/>
  <c r="K127" i="64" s="1"/>
  <c r="G111" i="65"/>
  <c r="G120" i="65" s="1"/>
  <c r="G124" i="65" s="1"/>
  <c r="G123" i="65" s="1"/>
  <c r="G126" i="65" s="1"/>
  <c r="G83" i="65"/>
  <c r="Q111" i="65"/>
  <c r="Q120" i="65" s="1"/>
  <c r="Q83" i="65"/>
  <c r="M84" i="58"/>
  <c r="M112" i="58"/>
  <c r="M121" i="58" s="1"/>
  <c r="G108" i="66"/>
  <c r="G117" i="66" s="1"/>
  <c r="G121" i="66" s="1"/>
  <c r="G120" i="66" s="1"/>
  <c r="G123" i="66" s="1"/>
  <c r="G82" i="66"/>
  <c r="J82" i="66"/>
  <c r="J108" i="66"/>
  <c r="J117" i="66" s="1"/>
  <c r="J121" i="66" s="1"/>
  <c r="J120" i="66" s="1"/>
  <c r="J123" i="66" s="1"/>
  <c r="J112" i="68"/>
  <c r="J121" i="68" s="1"/>
  <c r="J125" i="68" s="1"/>
  <c r="J124" i="68" s="1"/>
  <c r="J127" i="68" s="1"/>
  <c r="J84" i="68"/>
  <c r="Q84" i="56"/>
  <c r="Q112" i="56"/>
  <c r="Q121" i="56" s="1"/>
  <c r="O112" i="58"/>
  <c r="O121" i="58" s="1"/>
  <c r="O84" i="58"/>
  <c r="J84" i="57"/>
  <c r="K111" i="65"/>
  <c r="K120" i="65" s="1"/>
  <c r="K124" i="65" s="1"/>
  <c r="K123" i="65" s="1"/>
  <c r="K126" i="65" s="1"/>
  <c r="I112" i="60"/>
  <c r="I121" i="60" s="1"/>
  <c r="I125" i="60" s="1"/>
  <c r="I124" i="60" s="1"/>
  <c r="I127" i="60" s="1"/>
  <c r="W86" i="59"/>
  <c r="J84" i="63"/>
  <c r="F112" i="57"/>
  <c r="F121" i="57" s="1"/>
  <c r="F125" i="57" s="1"/>
  <c r="F124" i="57" s="1"/>
  <c r="F127" i="57" s="1"/>
  <c r="L112" i="56"/>
  <c r="L121" i="56" s="1"/>
  <c r="L111" i="62"/>
  <c r="L120" i="62" s="1"/>
  <c r="N84" i="56"/>
  <c r="O84" i="56"/>
  <c r="AB86" i="58"/>
  <c r="Y86" i="70"/>
  <c r="X86" i="68"/>
  <c r="N84" i="70"/>
  <c r="D84" i="70"/>
  <c r="H112" i="56"/>
  <c r="H121" i="56" s="1"/>
  <c r="H125" i="56" s="1"/>
  <c r="H124" i="56" s="1"/>
  <c r="H127" i="56" s="1"/>
  <c r="K112" i="56"/>
  <c r="K121" i="56" s="1"/>
  <c r="K125" i="56" s="1"/>
  <c r="K124" i="56" s="1"/>
  <c r="K127" i="56" s="1"/>
  <c r="N112" i="57"/>
  <c r="N121" i="57" s="1"/>
  <c r="L84" i="59"/>
  <c r="AB86" i="64"/>
  <c r="J112" i="67"/>
  <c r="J121" i="67" s="1"/>
  <c r="J125" i="67" s="1"/>
  <c r="J124" i="67" s="1"/>
  <c r="J127" i="67" s="1"/>
  <c r="J84" i="67"/>
  <c r="M84" i="61"/>
  <c r="AB86" i="70"/>
  <c r="AB112" i="70" s="1"/>
  <c r="AB121" i="70" s="1"/>
  <c r="I83" i="65"/>
  <c r="F84" i="68"/>
  <c r="O84" i="70"/>
  <c r="E112" i="64"/>
  <c r="E121" i="64" s="1"/>
  <c r="E125" i="64" s="1"/>
  <c r="E124" i="64" s="1"/>
  <c r="E127" i="64" s="1"/>
  <c r="H84" i="60"/>
  <c r="H112" i="55"/>
  <c r="H121" i="55" s="1"/>
  <c r="H125" i="55" s="1"/>
  <c r="H124" i="55" s="1"/>
  <c r="H127" i="55" s="1"/>
  <c r="P112" i="64"/>
  <c r="P121" i="64" s="1"/>
  <c r="Q112" i="67"/>
  <c r="Q121" i="67" s="1"/>
  <c r="AB86" i="56"/>
  <c r="AB84" i="56" s="1"/>
  <c r="N84" i="63"/>
  <c r="AB86" i="60"/>
  <c r="U85" i="65"/>
  <c r="U83" i="65" s="1"/>
  <c r="K84" i="68"/>
  <c r="Z86" i="70"/>
  <c r="V85" i="62"/>
  <c r="AB86" i="59"/>
  <c r="M112" i="55"/>
  <c r="M121" i="55" s="1"/>
  <c r="D84" i="55"/>
  <c r="W86" i="63"/>
  <c r="Y85" i="65"/>
  <c r="W86" i="69"/>
  <c r="AB86" i="63"/>
  <c r="Z86" i="68"/>
  <c r="W85" i="62"/>
  <c r="X58" i="63"/>
  <c r="X86" i="63" s="1"/>
  <c r="X84" i="63" s="1"/>
  <c r="Q84" i="70"/>
  <c r="W85" i="65"/>
  <c r="Y86" i="59"/>
  <c r="M112" i="59"/>
  <c r="M121" i="59" s="1"/>
  <c r="P112" i="55"/>
  <c r="P121" i="55" s="1"/>
  <c r="AA86" i="69"/>
  <c r="AA84" i="69" s="1"/>
  <c r="X85" i="65"/>
  <c r="H84" i="61"/>
  <c r="I112" i="58"/>
  <c r="I121" i="58" s="1"/>
  <c r="I125" i="58" s="1"/>
  <c r="I124" i="58" s="1"/>
  <c r="I127" i="58" s="1"/>
  <c r="Z86" i="67"/>
  <c r="Q84" i="57"/>
  <c r="K112" i="63"/>
  <c r="K121" i="63" s="1"/>
  <c r="K124" i="63" s="1"/>
  <c r="K127" i="63" s="1"/>
  <c r="L84" i="57"/>
  <c r="K112" i="57"/>
  <c r="K121" i="57" s="1"/>
  <c r="K125" i="57" s="1"/>
  <c r="K124" i="57" s="1"/>
  <c r="K127" i="57" s="1"/>
  <c r="AA86" i="55"/>
  <c r="I84" i="55"/>
  <c r="N84" i="55"/>
  <c r="AB86" i="55"/>
  <c r="X86" i="55"/>
  <c r="Q84" i="55"/>
  <c r="Z86" i="55"/>
  <c r="O84" i="55"/>
  <c r="Z112" i="59"/>
  <c r="Z121" i="59" s="1"/>
  <c r="Y86" i="55"/>
  <c r="Y84" i="55" s="1"/>
  <c r="AA86" i="59"/>
  <c r="AA84" i="59" s="1"/>
  <c r="M83" i="62"/>
  <c r="W86" i="70"/>
  <c r="W84" i="70" s="1"/>
  <c r="W86" i="64"/>
  <c r="W84" i="64" s="1"/>
  <c r="N84" i="60"/>
  <c r="Y86" i="57"/>
  <c r="Y84" i="57" s="1"/>
  <c r="E84" i="70"/>
  <c r="L84" i="60"/>
  <c r="L112" i="60"/>
  <c r="L121" i="60" s="1"/>
  <c r="G84" i="55"/>
  <c r="J112" i="55"/>
  <c r="J121" i="55" s="1"/>
  <c r="J125" i="55" s="1"/>
  <c r="J124" i="55" s="1"/>
  <c r="J127" i="55" s="1"/>
  <c r="AB86" i="57"/>
  <c r="AB112" i="57" s="1"/>
  <c r="AB121" i="57" s="1"/>
  <c r="Z85" i="65"/>
  <c r="Z84" i="59"/>
  <c r="AA86" i="67"/>
  <c r="AA112" i="67" s="1"/>
  <c r="AA121" i="67" s="1"/>
  <c r="H112" i="58"/>
  <c r="H121" i="58" s="1"/>
  <c r="H125" i="58" s="1"/>
  <c r="H124" i="58" s="1"/>
  <c r="H127" i="58" s="1"/>
  <c r="V85" i="65"/>
  <c r="V83" i="65" s="1"/>
  <c r="Y86" i="63"/>
  <c r="Y84" i="63" s="1"/>
  <c r="P112" i="70"/>
  <c r="P121" i="70" s="1"/>
  <c r="P84" i="70"/>
  <c r="Y85" i="62"/>
  <c r="Z86" i="61"/>
  <c r="L112" i="70"/>
  <c r="L121" i="70" s="1"/>
  <c r="L84" i="70"/>
  <c r="H112" i="63"/>
  <c r="H121" i="63" s="1"/>
  <c r="H125" i="63" s="1"/>
  <c r="H124" i="63" s="1"/>
  <c r="H127" i="63" s="1"/>
  <c r="H84" i="63"/>
  <c r="W86" i="55"/>
  <c r="W84" i="55" s="1"/>
  <c r="AA86" i="57"/>
  <c r="AA112" i="57" s="1"/>
  <c r="AA121" i="57" s="1"/>
  <c r="D112" i="64"/>
  <c r="D121" i="64" s="1"/>
  <c r="D125" i="64" s="1"/>
  <c r="D124" i="64" s="1"/>
  <c r="D127" i="64" s="1"/>
  <c r="E82" i="66"/>
  <c r="W86" i="68"/>
  <c r="W84" i="68" s="1"/>
  <c r="K112" i="60"/>
  <c r="K121" i="60" s="1"/>
  <c r="K125" i="60" s="1"/>
  <c r="K124" i="60" s="1"/>
  <c r="K127" i="60" s="1"/>
  <c r="Q111" i="62"/>
  <c r="Q120" i="62" s="1"/>
  <c r="W86" i="57"/>
  <c r="W112" i="57" s="1"/>
  <c r="W121" i="57" s="1"/>
  <c r="E84" i="57"/>
  <c r="N112" i="64"/>
  <c r="N121" i="64" s="1"/>
  <c r="AA86" i="68"/>
  <c r="AA84" i="68" s="1"/>
  <c r="Z86" i="63"/>
  <c r="P112" i="68"/>
  <c r="P121" i="68" s="1"/>
  <c r="V51" i="7"/>
  <c r="X58" i="60"/>
  <c r="X86" i="60" s="1"/>
  <c r="X84" i="60" s="1"/>
  <c r="AB86" i="61"/>
  <c r="AB84" i="61" s="1"/>
  <c r="K84" i="70"/>
  <c r="K112" i="70"/>
  <c r="K121" i="70" s="1"/>
  <c r="K112" i="67"/>
  <c r="K121" i="67" s="1"/>
  <c r="K84" i="67"/>
  <c r="X58" i="67"/>
  <c r="X86" i="67" s="1"/>
  <c r="X112" i="67" s="1"/>
  <c r="X121" i="67" s="1"/>
  <c r="W51" i="7"/>
  <c r="T51" i="7"/>
  <c r="P51" i="7"/>
  <c r="U51" i="7"/>
  <c r="N112" i="58"/>
  <c r="N121" i="58" s="1"/>
  <c r="I84" i="69"/>
  <c r="Y51" i="7"/>
  <c r="Z86" i="57"/>
  <c r="Z112" i="57" s="1"/>
  <c r="Z121" i="57" s="1"/>
  <c r="X86" i="57"/>
  <c r="X84" i="57" s="1"/>
  <c r="G112" i="57"/>
  <c r="G121" i="57" s="1"/>
  <c r="G125" i="57" s="1"/>
  <c r="G124" i="57" s="1"/>
  <c r="G127" i="57" s="1"/>
  <c r="G84" i="57"/>
  <c r="W86" i="58"/>
  <c r="L112" i="64"/>
  <c r="L121" i="64" s="1"/>
  <c r="L84" i="64"/>
  <c r="W86" i="60"/>
  <c r="W84" i="60" s="1"/>
  <c r="Q84" i="60"/>
  <c r="Q112" i="60"/>
  <c r="Q121" i="60" s="1"/>
  <c r="X86" i="58"/>
  <c r="X112" i="58" s="1"/>
  <c r="X121" i="58" s="1"/>
  <c r="H83" i="62"/>
  <c r="AA86" i="61"/>
  <c r="AA112" i="61" s="1"/>
  <c r="AA121" i="61" s="1"/>
  <c r="Z86" i="69"/>
  <c r="Q84" i="63"/>
  <c r="Y86" i="60"/>
  <c r="Y112" i="60" s="1"/>
  <c r="Y121" i="60" s="1"/>
  <c r="I84" i="59"/>
  <c r="H84" i="59"/>
  <c r="H112" i="59"/>
  <c r="H121" i="59" s="1"/>
  <c r="Y86" i="61"/>
  <c r="D82" i="66"/>
  <c r="AA86" i="56"/>
  <c r="BA135" i="12"/>
  <c r="W86" i="61"/>
  <c r="W112" i="61" s="1"/>
  <c r="W121" i="61" s="1"/>
  <c r="P112" i="69"/>
  <c r="P121" i="69" s="1"/>
  <c r="P84" i="69"/>
  <c r="J125" i="59"/>
  <c r="J124" i="59" s="1"/>
  <c r="J127" i="59" s="1"/>
  <c r="O112" i="63"/>
  <c r="O121" i="63" s="1"/>
  <c r="O84" i="63"/>
  <c r="I112" i="56"/>
  <c r="I121" i="56" s="1"/>
  <c r="I84" i="56"/>
  <c r="D124" i="65"/>
  <c r="D123" i="65" s="1"/>
  <c r="D126" i="65" s="1"/>
  <c r="G112" i="58"/>
  <c r="G121" i="58" s="1"/>
  <c r="G84" i="58"/>
  <c r="K125" i="68"/>
  <c r="K124" i="68" s="1"/>
  <c r="K127" i="68" s="1"/>
  <c r="X58" i="59"/>
  <c r="X86" i="59" s="1"/>
  <c r="Y112" i="56"/>
  <c r="Y121" i="56" s="1"/>
  <c r="Y84" i="56"/>
  <c r="G125" i="68"/>
  <c r="G124" i="68" s="1"/>
  <c r="G127" i="68" s="1"/>
  <c r="F112" i="70"/>
  <c r="F121" i="70" s="1"/>
  <c r="F84" i="70"/>
  <c r="I125" i="67"/>
  <c r="I124" i="67" s="1"/>
  <c r="I127" i="67" s="1"/>
  <c r="I84" i="57"/>
  <c r="I112" i="57"/>
  <c r="I121" i="57" s="1"/>
  <c r="M84" i="60"/>
  <c r="M112" i="60"/>
  <c r="M121" i="60" s="1"/>
  <c r="H125" i="64"/>
  <c r="H124" i="64" s="1"/>
  <c r="H127" i="64" s="1"/>
  <c r="D121" i="66"/>
  <c r="D120" i="66" s="1"/>
  <c r="D123" i="66" s="1"/>
  <c r="I125" i="68"/>
  <c r="I124" i="68" s="1"/>
  <c r="I127" i="68" s="1"/>
  <c r="O112" i="69"/>
  <c r="O121" i="69" s="1"/>
  <c r="O84" i="69"/>
  <c r="H124" i="62"/>
  <c r="H123" i="62" s="1"/>
  <c r="H126" i="62" s="1"/>
  <c r="D112" i="67"/>
  <c r="D121" i="67" s="1"/>
  <c r="D84" i="67"/>
  <c r="H84" i="69"/>
  <c r="H112" i="69"/>
  <c r="H121" i="69" s="1"/>
  <c r="X85" i="62"/>
  <c r="G112" i="69"/>
  <c r="G121" i="69" s="1"/>
  <c r="G84" i="69"/>
  <c r="X58" i="69"/>
  <c r="X86" i="69" s="1"/>
  <c r="X84" i="69" s="1"/>
  <c r="M112" i="63"/>
  <c r="M121" i="63" s="1"/>
  <c r="M84" i="63"/>
  <c r="E125" i="57"/>
  <c r="E124" i="57" s="1"/>
  <c r="E127" i="57" s="1"/>
  <c r="G125" i="60"/>
  <c r="G124" i="60" s="1"/>
  <c r="G127" i="60" s="1"/>
  <c r="D125" i="68"/>
  <c r="D124" i="68" s="1"/>
  <c r="D127" i="68" s="1"/>
  <c r="P112" i="67"/>
  <c r="P121" i="67" s="1"/>
  <c r="P84" i="67"/>
  <c r="X86" i="70"/>
  <c r="X84" i="70" s="1"/>
  <c r="H84" i="57"/>
  <c r="H112" i="57"/>
  <c r="H121" i="57" s="1"/>
  <c r="D125" i="60"/>
  <c r="D124" i="60" s="1"/>
  <c r="D127" i="60" s="1"/>
  <c r="H125" i="60"/>
  <c r="H124" i="60" s="1"/>
  <c r="H127" i="60" s="1"/>
  <c r="E124" i="62"/>
  <c r="E123" i="62" s="1"/>
  <c r="E126" i="62" s="1"/>
  <c r="E124" i="65"/>
  <c r="E123" i="65" s="1"/>
  <c r="E126" i="65" s="1"/>
  <c r="I125" i="59"/>
  <c r="I124" i="59" s="1"/>
  <c r="I127" i="59" s="1"/>
  <c r="D112" i="59"/>
  <c r="D121" i="59" s="1"/>
  <c r="D84" i="59"/>
  <c r="J83" i="62"/>
  <c r="J111" i="62"/>
  <c r="J120" i="62" s="1"/>
  <c r="F124" i="65"/>
  <c r="F123" i="65" s="1"/>
  <c r="F126" i="65" s="1"/>
  <c r="AA86" i="63"/>
  <c r="J125" i="64"/>
  <c r="J124" i="64" s="1"/>
  <c r="J127" i="64" s="1"/>
  <c r="K108" i="66"/>
  <c r="K117" i="66" s="1"/>
  <c r="K82" i="66"/>
  <c r="I108" i="66"/>
  <c r="I117" i="66" s="1"/>
  <c r="I82" i="66"/>
  <c r="Z86" i="60"/>
  <c r="C82" i="66"/>
  <c r="C108" i="66"/>
  <c r="C117" i="66" s="1"/>
  <c r="AB84" i="69"/>
  <c r="AB112" i="69"/>
  <c r="AB121" i="69" s="1"/>
  <c r="Z84" i="64" l="1"/>
  <c r="Z84" i="56"/>
  <c r="AB112" i="61"/>
  <c r="AB121" i="61" s="1"/>
  <c r="X84" i="55"/>
  <c r="X112" i="55"/>
  <c r="X121" i="55" s="1"/>
  <c r="AB84" i="68"/>
  <c r="AB112" i="68"/>
  <c r="AB121" i="68" s="1"/>
  <c r="AA112" i="64"/>
  <c r="AA121" i="64" s="1"/>
  <c r="AA84" i="64"/>
  <c r="Y112" i="58"/>
  <c r="Y121" i="58" s="1"/>
  <c r="Y84" i="58"/>
  <c r="AA112" i="58"/>
  <c r="AA121" i="58" s="1"/>
  <c r="AA84" i="58"/>
  <c r="Y84" i="68"/>
  <c r="Y112" i="68"/>
  <c r="Y121" i="68" s="1"/>
  <c r="V111" i="62"/>
  <c r="V120" i="62" s="1"/>
  <c r="V83" i="62"/>
  <c r="Y111" i="65"/>
  <c r="Y120" i="65" s="1"/>
  <c r="Y83" i="65"/>
  <c r="Y112" i="59"/>
  <c r="Y121" i="59" s="1"/>
  <c r="Y84" i="59"/>
  <c r="Z84" i="67"/>
  <c r="Z112" i="67"/>
  <c r="Z121" i="67" s="1"/>
  <c r="AB84" i="55"/>
  <c r="AB112" i="55"/>
  <c r="AB121" i="55" s="1"/>
  <c r="Z112" i="63"/>
  <c r="Z121" i="63" s="1"/>
  <c r="Z84" i="63"/>
  <c r="W84" i="69"/>
  <c r="W112" i="69"/>
  <c r="W121" i="69" s="1"/>
  <c r="AB84" i="67"/>
  <c r="AB112" i="67"/>
  <c r="AB121" i="67" s="1"/>
  <c r="AA84" i="70"/>
  <c r="AA112" i="70"/>
  <c r="AA121" i="70" s="1"/>
  <c r="X112" i="64"/>
  <c r="X121" i="64" s="1"/>
  <c r="X84" i="64"/>
  <c r="U83" i="62"/>
  <c r="U111" i="62"/>
  <c r="U120" i="62" s="1"/>
  <c r="Z83" i="62"/>
  <c r="Z111" i="62"/>
  <c r="Z120" i="62" s="1"/>
  <c r="Y112" i="64"/>
  <c r="Y121" i="64" s="1"/>
  <c r="Y84" i="64"/>
  <c r="W84" i="67"/>
  <c r="W112" i="67"/>
  <c r="W121" i="67" s="1"/>
  <c r="T108" i="66"/>
  <c r="T117" i="66" s="1"/>
  <c r="T82" i="66"/>
  <c r="AA84" i="60"/>
  <c r="AA112" i="60"/>
  <c r="AA121" i="60" s="1"/>
  <c r="Z112" i="58"/>
  <c r="Z121" i="58" s="1"/>
  <c r="Z84" i="58"/>
  <c r="W112" i="59"/>
  <c r="W121" i="59" s="1"/>
  <c r="W84" i="59"/>
  <c r="AB112" i="58"/>
  <c r="AB121" i="58" s="1"/>
  <c r="AB84" i="58"/>
  <c r="AB112" i="64"/>
  <c r="AB121" i="64" s="1"/>
  <c r="AB84" i="64"/>
  <c r="AB84" i="60"/>
  <c r="AB112" i="60"/>
  <c r="AB121" i="60" s="1"/>
  <c r="AB112" i="59"/>
  <c r="AB121" i="59" s="1"/>
  <c r="AB84" i="59"/>
  <c r="AB84" i="63"/>
  <c r="AB112" i="63"/>
  <c r="AB121" i="63" s="1"/>
  <c r="Z84" i="68"/>
  <c r="Z112" i="68"/>
  <c r="Z121" i="68" s="1"/>
  <c r="W111" i="65"/>
  <c r="W120" i="65" s="1"/>
  <c r="W83" i="65"/>
  <c r="Z112" i="55"/>
  <c r="Z121" i="55" s="1"/>
  <c r="Z84" i="55"/>
  <c r="Z83" i="65"/>
  <c r="Z111" i="65"/>
  <c r="Z120" i="65" s="1"/>
  <c r="Y83" i="62"/>
  <c r="Y111" i="62"/>
  <c r="Y120" i="62" s="1"/>
  <c r="J273" i="78"/>
  <c r="J38" i="78"/>
  <c r="J276" i="78" s="1"/>
  <c r="K273" i="78"/>
  <c r="K38" i="78"/>
  <c r="K276" i="78" s="1"/>
  <c r="O273" i="78"/>
  <c r="O38" i="78"/>
  <c r="O276" i="78" s="1"/>
  <c r="M273" i="78"/>
  <c r="M38" i="78"/>
  <c r="M276" i="78" s="1"/>
  <c r="G273" i="78"/>
  <c r="G38" i="78"/>
  <c r="G276" i="78" s="1"/>
  <c r="H273" i="78"/>
  <c r="H38" i="78"/>
  <c r="H276" i="78" s="1"/>
  <c r="I273" i="78"/>
  <c r="I38" i="78"/>
  <c r="I276" i="78" s="1"/>
  <c r="L273" i="78"/>
  <c r="L38" i="78"/>
  <c r="L276" i="78" s="1"/>
  <c r="Y112" i="67"/>
  <c r="Y121" i="67" s="1"/>
  <c r="Y84" i="67"/>
  <c r="Y112" i="69"/>
  <c r="Y121" i="69" s="1"/>
  <c r="Y84" i="69"/>
  <c r="Y84" i="70"/>
  <c r="Y112" i="70"/>
  <c r="Y121" i="70" s="1"/>
  <c r="X112" i="68"/>
  <c r="X121" i="68" s="1"/>
  <c r="X84" i="68"/>
  <c r="Z84" i="70"/>
  <c r="Z112" i="70"/>
  <c r="Z121" i="70" s="1"/>
  <c r="W112" i="63"/>
  <c r="W121" i="63" s="1"/>
  <c r="W84" i="63"/>
  <c r="W83" i="62"/>
  <c r="W111" i="62"/>
  <c r="W120" i="62" s="1"/>
  <c r="X111" i="65"/>
  <c r="X120" i="65" s="1"/>
  <c r="X83" i="65"/>
  <c r="AA84" i="55"/>
  <c r="AA112" i="55"/>
  <c r="AA121" i="55" s="1"/>
  <c r="Z84" i="61"/>
  <c r="Z112" i="61"/>
  <c r="Z121" i="61" s="1"/>
  <c r="W112" i="58"/>
  <c r="W121" i="58" s="1"/>
  <c r="W84" i="58"/>
  <c r="AB84" i="57"/>
  <c r="X84" i="67"/>
  <c r="U111" i="65"/>
  <c r="U120" i="65" s="1"/>
  <c r="X84" i="56"/>
  <c r="W112" i="68"/>
  <c r="W121" i="68" s="1"/>
  <c r="AB112" i="56"/>
  <c r="AB121" i="56" s="1"/>
  <c r="W112" i="60"/>
  <c r="W121" i="60" s="1"/>
  <c r="AB84" i="70"/>
  <c r="AA112" i="59"/>
  <c r="AA121" i="59" s="1"/>
  <c r="X112" i="63"/>
  <c r="X121" i="63" s="1"/>
  <c r="X112" i="61"/>
  <c r="X121" i="61" s="1"/>
  <c r="Y84" i="60"/>
  <c r="X112" i="60"/>
  <c r="X121" i="60" s="1"/>
  <c r="Y112" i="63"/>
  <c r="Y121" i="63" s="1"/>
  <c r="AA84" i="67"/>
  <c r="AA84" i="61"/>
  <c r="W112" i="55"/>
  <c r="W121" i="55" s="1"/>
  <c r="AA112" i="69"/>
  <c r="AA121" i="69" s="1"/>
  <c r="W112" i="64"/>
  <c r="W121" i="64" s="1"/>
  <c r="W84" i="57"/>
  <c r="AA84" i="57"/>
  <c r="Y112" i="55"/>
  <c r="Y121" i="55" s="1"/>
  <c r="X112" i="69"/>
  <c r="X121" i="69" s="1"/>
  <c r="W112" i="70"/>
  <c r="W121" i="70" s="1"/>
  <c r="V111" i="65"/>
  <c r="V120" i="65" s="1"/>
  <c r="W84" i="61"/>
  <c r="Z84" i="57"/>
  <c r="AA112" i="68"/>
  <c r="AA121" i="68" s="1"/>
  <c r="K125" i="67"/>
  <c r="K124" i="67" s="1"/>
  <c r="K127" i="67" s="1"/>
  <c r="Y112" i="61"/>
  <c r="Y121" i="61" s="1"/>
  <c r="Y84" i="61"/>
  <c r="H125" i="59"/>
  <c r="H124" i="59" s="1"/>
  <c r="H127" i="59" s="1"/>
  <c r="W112" i="56"/>
  <c r="W121" i="56" s="1"/>
  <c r="AA84" i="56"/>
  <c r="AA112" i="56"/>
  <c r="AA121" i="56" s="1"/>
  <c r="Z84" i="69"/>
  <c r="Z112" i="69"/>
  <c r="Z121" i="69" s="1"/>
  <c r="X84" i="58"/>
  <c r="G125" i="58"/>
  <c r="G124" i="58" s="1"/>
  <c r="G127" i="58" s="1"/>
  <c r="D125" i="59"/>
  <c r="D124" i="59" s="1"/>
  <c r="D127" i="59" s="1"/>
  <c r="I125" i="57"/>
  <c r="I124" i="57" s="1"/>
  <c r="I127" i="57" s="1"/>
  <c r="J124" i="62"/>
  <c r="J123" i="62" s="1"/>
  <c r="J126" i="62" s="1"/>
  <c r="I125" i="56"/>
  <c r="I124" i="56" s="1"/>
  <c r="I127" i="56" s="1"/>
  <c r="C121" i="66"/>
  <c r="C120" i="66" s="1"/>
  <c r="C123" i="66" s="1"/>
  <c r="X84" i="59"/>
  <c r="X112" i="59"/>
  <c r="X121" i="59" s="1"/>
  <c r="D125" i="67"/>
  <c r="D124" i="67" s="1"/>
  <c r="D127" i="67" s="1"/>
  <c r="Z112" i="60"/>
  <c r="Z121" i="60" s="1"/>
  <c r="Z84" i="60"/>
  <c r="AA84" i="63"/>
  <c r="AA112" i="63"/>
  <c r="AA121" i="63" s="1"/>
  <c r="X112" i="70"/>
  <c r="X121" i="70" s="1"/>
  <c r="I121" i="66"/>
  <c r="I120" i="66" s="1"/>
  <c r="I123" i="66" s="1"/>
  <c r="H125" i="57"/>
  <c r="H124" i="57" s="1"/>
  <c r="H127" i="57" s="1"/>
  <c r="X83" i="62"/>
  <c r="X111" i="62"/>
  <c r="X120" i="62" s="1"/>
  <c r="BB14" i="47" l="1"/>
  <c r="BB9" i="47" l="1"/>
  <c r="BB13" i="47" l="1"/>
  <c r="BB28" i="47" l="1"/>
  <c r="BB16" i="47"/>
  <c r="BB24" i="47" s="1"/>
  <c r="BB27" i="47" s="1"/>
  <c r="BB31" i="47" s="1"/>
  <c r="BB36" i="47" s="1"/>
  <c r="P37" i="33" l="1"/>
  <c r="P62" i="46" l="1"/>
  <c r="P63" i="46" s="1"/>
  <c r="P85" i="33" l="1"/>
  <c r="P66" i="33" l="1"/>
  <c r="P8" i="33" l="1"/>
  <c r="P46" i="33" l="1"/>
  <c r="P95" i="33" s="1"/>
  <c r="P23" i="33"/>
  <c r="P22" i="33" s="1"/>
  <c r="P43" i="33" s="1"/>
  <c r="P96" i="33" l="1"/>
  <c r="R32" i="32" l="1"/>
  <c r="R67" i="32"/>
  <c r="L71" i="100" l="1"/>
  <c r="R23" i="32" l="1"/>
  <c r="R22" i="32" s="1"/>
  <c r="BC29" i="11" l="1"/>
  <c r="R56" i="32" l="1"/>
  <c r="P21" i="46"/>
  <c r="BC8" i="11"/>
  <c r="R41" i="32" l="1"/>
  <c r="R75" i="32" s="1"/>
  <c r="BC43" i="11"/>
  <c r="BC28" i="11" s="1"/>
  <c r="BC50" i="11" s="1"/>
  <c r="BC94" i="11" s="1"/>
  <c r="L50" i="100"/>
  <c r="R8" i="32"/>
  <c r="R38" i="32" s="1"/>
  <c r="P8" i="46"/>
  <c r="P30" i="46" s="1"/>
  <c r="P64" i="46" s="1"/>
  <c r="R76" i="32" l="1"/>
  <c r="L35" i="100"/>
  <c r="L63" i="100" s="1"/>
  <c r="L72" i="100" s="1"/>
  <c r="L8" i="100"/>
  <c r="L20" i="100"/>
  <c r="L32" i="100" l="1"/>
  <c r="L73" i="100" s="1"/>
  <c r="BC14" i="47" l="1"/>
  <c r="BC9" i="47" l="1"/>
  <c r="BC13" i="47" l="1"/>
  <c r="BC16" i="47" l="1"/>
  <c r="BC24" i="47" s="1"/>
  <c r="BC27" i="47" s="1"/>
  <c r="BC28" i="47" l="1"/>
  <c r="BC31" i="47" s="1"/>
  <c r="BC36" i="47" s="1"/>
  <c r="R274" i="78" l="1"/>
  <c r="P85" i="9" l="1"/>
  <c r="P89" i="9" s="1"/>
  <c r="P94" i="9" s="1"/>
  <c r="G86" i="9" l="1"/>
  <c r="F86" i="9" l="1"/>
  <c r="F73" i="9"/>
  <c r="G55" i="9"/>
  <c r="G65" i="9" s="1"/>
  <c r="G66" i="9"/>
  <c r="G73" i="9"/>
  <c r="F66" i="9"/>
  <c r="G72" i="9" l="1"/>
  <c r="G81" i="9" s="1"/>
  <c r="G85" i="9" s="1"/>
  <c r="G89" i="9" s="1"/>
  <c r="G94" i="9" s="1"/>
  <c r="E86" i="9" l="1"/>
  <c r="E55" i="9"/>
  <c r="E65" i="9" s="1"/>
  <c r="E66" i="9"/>
  <c r="E73" i="9"/>
  <c r="T73" i="9" l="1"/>
  <c r="E72" i="9"/>
  <c r="E81" i="9" s="1"/>
  <c r="E85" i="9" s="1"/>
  <c r="E89" i="9" s="1"/>
  <c r="E94" i="9" s="1"/>
  <c r="T66" i="9"/>
  <c r="D55" i="9" l="1"/>
  <c r="D65" i="9" s="1"/>
  <c r="D73" i="9"/>
  <c r="D86" i="9"/>
  <c r="D66" i="9"/>
  <c r="D72" i="9" l="1"/>
  <c r="D81" i="9" s="1"/>
  <c r="D85" i="9" s="1"/>
  <c r="D89" i="9" s="1"/>
  <c r="D94" i="9" s="1"/>
  <c r="F55" i="9" l="1"/>
  <c r="F65" i="9" s="1"/>
  <c r="F72" i="9" s="1"/>
  <c r="F81" i="9" s="1"/>
  <c r="F85" i="9" s="1"/>
  <c r="F89" i="9" s="1"/>
  <c r="F94" i="9" s="1"/>
  <c r="R249" i="78" l="1"/>
  <c r="R272" i="78"/>
  <c r="BD9" i="20" l="1"/>
  <c r="BD18" i="20" s="1"/>
  <c r="BD39" i="21"/>
  <c r="AB39" i="22"/>
  <c r="BD39" i="20"/>
  <c r="AB25" i="22"/>
  <c r="AJ39" i="23"/>
  <c r="BD25" i="20"/>
  <c r="BD19" i="20"/>
  <c r="AJ25" i="23"/>
  <c r="BD25" i="21"/>
  <c r="AB19" i="22"/>
  <c r="AJ19" i="23"/>
  <c r="BD19" i="21"/>
  <c r="AJ9" i="23"/>
  <c r="AJ18" i="23" s="1"/>
  <c r="AB9" i="22"/>
  <c r="AB18" i="22" s="1"/>
  <c r="BD9" i="21"/>
  <c r="BD18" i="21" s="1"/>
  <c r="R258" i="78"/>
  <c r="R267" i="78"/>
  <c r="R255" i="78"/>
  <c r="R253" i="78"/>
  <c r="R261" i="78"/>
  <c r="R257" i="78"/>
  <c r="R262" i="78"/>
  <c r="D41" i="9"/>
  <c r="R260" i="78"/>
  <c r="R259" i="78"/>
  <c r="R252" i="78"/>
  <c r="D9" i="9" l="1"/>
  <c r="D19" i="9" s="1"/>
  <c r="BD24" i="20"/>
  <c r="G41" i="9"/>
  <c r="F41" i="9"/>
  <c r="D82" i="19"/>
  <c r="D83" i="19" s="1"/>
  <c r="D89" i="19" s="1"/>
  <c r="E27" i="9"/>
  <c r="BD36" i="20"/>
  <c r="BD38" i="20" s="1"/>
  <c r="BD42" i="20" s="1"/>
  <c r="BD47" i="20" s="1"/>
  <c r="R250" i="78"/>
  <c r="R263" i="78"/>
  <c r="R236" i="78"/>
  <c r="R270" i="78" s="1"/>
  <c r="R241" i="78"/>
  <c r="R275" i="78" s="1"/>
  <c r="R256" i="78"/>
  <c r="R266" i="78"/>
  <c r="R26" i="78"/>
  <c r="R248" i="78"/>
  <c r="D20" i="9"/>
  <c r="D27" i="9"/>
  <c r="AB36" i="22"/>
  <c r="AB38" i="22" s="1"/>
  <c r="AB42" i="22" s="1"/>
  <c r="AB47" i="22" s="1"/>
  <c r="AB24" i="22"/>
  <c r="AJ36" i="23"/>
  <c r="AJ38" i="23" s="1"/>
  <c r="AJ42" i="23" s="1"/>
  <c r="AJ47" i="23" s="1"/>
  <c r="AJ24" i="23"/>
  <c r="BD36" i="21"/>
  <c r="BD38" i="21" s="1"/>
  <c r="BD42" i="21" s="1"/>
  <c r="BD47" i="21" s="1"/>
  <c r="BD24" i="21"/>
  <c r="G82" i="19"/>
  <c r="G83" i="19" s="1"/>
  <c r="F82" i="19"/>
  <c r="F83" i="19" s="1"/>
  <c r="E82" i="19"/>
  <c r="E83" i="19" s="1"/>
  <c r="F27" i="9"/>
  <c r="E41" i="9"/>
  <c r="E20" i="9"/>
  <c r="G20" i="9"/>
  <c r="F20" i="9"/>
  <c r="G27" i="9"/>
  <c r="F9" i="9"/>
  <c r="F19" i="9" s="1"/>
  <c r="E9" i="9"/>
  <c r="E19" i="9" s="1"/>
  <c r="G9" i="9"/>
  <c r="G19" i="9" s="1"/>
  <c r="G26" i="9" s="1"/>
  <c r="AF51" i="71"/>
  <c r="D26" i="9" l="1"/>
  <c r="D36" i="9" s="1"/>
  <c r="D40" i="9" s="1"/>
  <c r="D44" i="9" s="1"/>
  <c r="D49" i="9" s="1"/>
  <c r="G36" i="9"/>
  <c r="G40" i="9" s="1"/>
  <c r="G44" i="9" s="1"/>
  <c r="G49" i="9" s="1"/>
  <c r="F26" i="9"/>
  <c r="F36" i="9" s="1"/>
  <c r="F40" i="9" s="1"/>
  <c r="F44" i="9" s="1"/>
  <c r="F49" i="9" s="1"/>
  <c r="E26" i="9"/>
  <c r="E36" i="9" s="1"/>
  <c r="E40" i="9" s="1"/>
  <c r="E44" i="9" s="1"/>
  <c r="E49" i="9" s="1"/>
  <c r="R31" i="78"/>
  <c r="R230" i="78"/>
  <c r="R264" i="78" s="1"/>
  <c r="R251" i="78"/>
  <c r="G89" i="19"/>
  <c r="F89" i="19"/>
  <c r="E89" i="19"/>
  <c r="AB26" i="7"/>
  <c r="AB36" i="7" s="1"/>
  <c r="AB38" i="7" s="1"/>
  <c r="AB44" i="7" s="1"/>
  <c r="AB49" i="7" s="1"/>
  <c r="AB20" i="7"/>
  <c r="AF49" i="71"/>
  <c r="R33" i="78" l="1"/>
  <c r="R231" i="78"/>
  <c r="R268" i="78"/>
  <c r="R35" i="78" l="1"/>
  <c r="R235" i="78"/>
  <c r="R265" i="78"/>
  <c r="R38" i="78" l="1"/>
  <c r="R269" i="78"/>
  <c r="R237" i="78"/>
  <c r="R271" i="78" l="1"/>
  <c r="R239" i="78"/>
  <c r="D85" i="19"/>
  <c r="G85" i="19"/>
  <c r="E85" i="19"/>
  <c r="F85" i="19"/>
  <c r="R273" i="78" l="1"/>
  <c r="R242" i="78"/>
  <c r="R276" i="78" s="1"/>
  <c r="AF52" i="71"/>
  <c r="AF50" i="71" l="1"/>
  <c r="Q37" i="33" l="1"/>
  <c r="Q85" i="33" l="1"/>
  <c r="S67" i="32" l="1"/>
  <c r="Q66" i="33" l="1"/>
  <c r="Q8" i="33" l="1"/>
  <c r="Q23" i="33"/>
  <c r="Q22" i="33" s="1"/>
  <c r="Q43" i="33" l="1"/>
  <c r="Q46" i="33"/>
  <c r="Q95" i="33" s="1"/>
  <c r="Q96" i="33" s="1"/>
  <c r="S32" i="32" l="1"/>
  <c r="S23" i="32" l="1"/>
  <c r="S22" i="32" s="1"/>
  <c r="M71" i="100" l="1"/>
  <c r="BD29" i="11" l="1"/>
  <c r="BD43" i="11" l="1"/>
  <c r="BD28" i="11" s="1"/>
  <c r="Q21" i="46" l="1"/>
  <c r="S56" i="32"/>
  <c r="BD8" i="11" l="1"/>
  <c r="BD50" i="11" s="1"/>
  <c r="BD94" i="11" s="1"/>
  <c r="M50" i="100" l="1"/>
  <c r="Q8" i="46"/>
  <c r="Q30" i="46" s="1"/>
  <c r="S8" i="32"/>
  <c r="S38" i="32" s="1"/>
  <c r="S41" i="32"/>
  <c r="S75" i="32" s="1"/>
  <c r="M8" i="100"/>
  <c r="S76" i="32" l="1"/>
  <c r="M35" i="100"/>
  <c r="M63" i="100" s="1"/>
  <c r="M72" i="100" s="1"/>
  <c r="M20" i="100"/>
  <c r="M32" i="100" s="1"/>
  <c r="M73" i="100" l="1"/>
  <c r="Q62" i="46" l="1"/>
  <c r="Q63" i="46" s="1"/>
  <c r="Q64" i="46" s="1"/>
  <c r="BD9" i="47" l="1"/>
  <c r="BD14" i="47" l="1"/>
  <c r="BD13" i="47" l="1"/>
  <c r="BD28" i="47" l="1"/>
  <c r="BD16" i="47"/>
  <c r="BD24" i="47" s="1"/>
  <c r="BD27" i="47" s="1"/>
  <c r="BD31" i="47" l="1"/>
  <c r="BD36" i="47" s="1"/>
  <c r="K85" i="9" l="1"/>
  <c r="K89" i="9" s="1"/>
  <c r="K94" i="9" s="1"/>
  <c r="T86" i="9" l="1"/>
  <c r="Q73" i="9" l="1"/>
  <c r="Q55" i="9"/>
  <c r="Q65" i="9" s="1"/>
  <c r="Q86" i="9"/>
  <c r="Q66" i="9"/>
  <c r="Q72" i="9" s="1"/>
  <c r="Q81" i="9" s="1"/>
  <c r="Q85" i="9" s="1"/>
  <c r="Q89" i="9" s="1"/>
  <c r="Q94" i="9" s="1"/>
  <c r="Q20" i="9" l="1"/>
  <c r="R86" i="9"/>
  <c r="S66" i="9"/>
  <c r="S86" i="9" l="1"/>
  <c r="T55" i="9"/>
  <c r="T65" i="9" s="1"/>
  <c r="T72" i="9" s="1"/>
  <c r="T81" i="9" s="1"/>
  <c r="T85" i="9" s="1"/>
  <c r="T89" i="9" s="1"/>
  <c r="T94" i="9" s="1"/>
  <c r="R66" i="9"/>
  <c r="R55" i="9"/>
  <c r="R65" i="9" s="1"/>
  <c r="S55" i="9"/>
  <c r="S65" i="9" s="1"/>
  <c r="S72" i="9" s="1"/>
  <c r="R73" i="9"/>
  <c r="S73" i="9"/>
  <c r="Q9" i="9"/>
  <c r="S81" i="9" l="1"/>
  <c r="S85" i="9" s="1"/>
  <c r="S89" i="9" s="1"/>
  <c r="S94" i="9" s="1"/>
  <c r="R72" i="9"/>
  <c r="R81" i="9" s="1"/>
  <c r="R85" i="9" s="1"/>
  <c r="R89" i="9" s="1"/>
  <c r="R94" i="9" s="1"/>
  <c r="N66" i="9" l="1"/>
  <c r="N55" i="9" l="1"/>
  <c r="N86" i="9"/>
  <c r="N65" i="9" l="1"/>
  <c r="N72" i="9" s="1"/>
  <c r="U66" i="9" l="1"/>
  <c r="U86" i="9" l="1"/>
  <c r="U55" i="9" l="1"/>
  <c r="U65" i="9" s="1"/>
  <c r="U72" i="9" s="1"/>
  <c r="K40" i="9" l="1"/>
  <c r="K44" i="9" s="1"/>
  <c r="K49" i="9" s="1"/>
  <c r="N73" i="9" l="1"/>
  <c r="N81" i="9" s="1"/>
  <c r="N85" i="9" s="1"/>
  <c r="N89" i="9" s="1"/>
  <c r="N94" i="9" s="1"/>
  <c r="U73" i="9" l="1"/>
  <c r="U81" i="9" s="1"/>
  <c r="U85" i="9" s="1"/>
  <c r="U89" i="9" s="1"/>
  <c r="U94" i="9" s="1"/>
  <c r="BE14" i="47" l="1"/>
  <c r="T20" i="9" l="1"/>
  <c r="T9" i="9"/>
  <c r="T19" i="9" s="1"/>
  <c r="T26" i="9" s="1"/>
  <c r="S20" i="9"/>
  <c r="Q27" i="9"/>
  <c r="BE16" i="47" l="1"/>
  <c r="R20" i="9"/>
  <c r="BE28" i="47"/>
  <c r="N20" i="9"/>
  <c r="BE9" i="47"/>
  <c r="T41" i="9"/>
  <c r="Q19" i="9"/>
  <c r="Q26" i="9" s="1"/>
  <c r="Q36" i="9" s="1"/>
  <c r="N27" i="9" l="1"/>
  <c r="T27" i="9"/>
  <c r="T36" i="9" s="1"/>
  <c r="T40" i="9" s="1"/>
  <c r="T44" i="9" s="1"/>
  <c r="T49" i="9" s="1"/>
  <c r="BE13" i="47"/>
  <c r="BE24" i="47" s="1"/>
  <c r="BE27" i="47" s="1"/>
  <c r="BE31" i="47" s="1"/>
  <c r="BE36" i="47" s="1"/>
  <c r="U20" i="9"/>
  <c r="N41" i="9"/>
  <c r="N9" i="9"/>
  <c r="R41" i="9"/>
  <c r="Q40" i="9"/>
  <c r="R27" i="9" l="1"/>
  <c r="N19" i="9"/>
  <c r="N26" i="9" s="1"/>
  <c r="N36" i="9" s="1"/>
  <c r="N40" i="9" s="1"/>
  <c r="N44" i="9" s="1"/>
  <c r="N49" i="9" s="1"/>
  <c r="R9" i="9"/>
  <c r="R19" i="9" s="1"/>
  <c r="R26" i="9" s="1"/>
  <c r="R36" i="9" s="1"/>
  <c r="R40" i="9" s="1"/>
  <c r="R44" i="9" s="1"/>
  <c r="R49" i="9" s="1"/>
  <c r="S27" i="9" l="1"/>
  <c r="S41" i="9"/>
  <c r="S9" i="9"/>
  <c r="S19" i="9" s="1"/>
  <c r="S26" i="9" s="1"/>
  <c r="S36" i="9" s="1"/>
  <c r="S40" i="9" s="1"/>
  <c r="S44" i="9" s="1"/>
  <c r="S49" i="9" s="1"/>
  <c r="U27" i="9"/>
  <c r="U9" i="9" l="1"/>
  <c r="U19" i="9" s="1"/>
  <c r="U26" i="9" s="1"/>
  <c r="U36" i="9" s="1"/>
  <c r="U40" i="9" s="1"/>
  <c r="Q41" i="9" l="1"/>
  <c r="Q44" i="9" s="1"/>
  <c r="Q49" i="9" l="1"/>
  <c r="U41" i="9"/>
  <c r="U44" i="9" s="1"/>
  <c r="U49" i="9" s="1"/>
  <c r="R37" i="33" l="1"/>
  <c r="R85" i="33" l="1"/>
  <c r="T67" i="32" l="1"/>
  <c r="R66" i="33"/>
  <c r="R23" i="33" l="1"/>
  <c r="R22" i="33" s="1"/>
  <c r="R8" i="33" l="1"/>
  <c r="R43" i="33" s="1"/>
  <c r="R46" i="33"/>
  <c r="R95" i="33" s="1"/>
  <c r="R96" i="33" s="1"/>
  <c r="T32" i="32" l="1"/>
  <c r="T23" i="32" l="1"/>
  <c r="T22" i="32" s="1"/>
  <c r="N71" i="100" l="1"/>
  <c r="BE29" i="11" l="1"/>
  <c r="BE43" i="11" l="1"/>
  <c r="BE28" i="11" s="1"/>
  <c r="T56" i="32" l="1"/>
  <c r="R21" i="46"/>
  <c r="BE8" i="11"/>
  <c r="BE50" i="11" s="1"/>
  <c r="BE94" i="11" s="1"/>
  <c r="T8" i="32"/>
  <c r="T38" i="32" s="1"/>
  <c r="T41" i="32"/>
  <c r="T75" i="32" s="1"/>
  <c r="R8" i="46"/>
  <c r="R30" i="46" s="1"/>
  <c r="N50" i="100" l="1"/>
  <c r="T76" i="32"/>
  <c r="N35" i="100"/>
  <c r="N63" i="100" s="1"/>
  <c r="N72" i="100" s="1"/>
  <c r="N8" i="100"/>
  <c r="N20" i="100" l="1"/>
  <c r="N32" i="100"/>
  <c r="N73" i="100"/>
  <c r="BE29" i="109"/>
  <c r="BE45" i="109"/>
  <c r="BE80" i="109"/>
  <c r="BE100" i="109"/>
  <c r="BE8" i="109" l="1"/>
  <c r="BE28" i="109"/>
  <c r="BE52" i="109" s="1"/>
  <c r="BE55" i="109"/>
  <c r="R62" i="46" l="1"/>
  <c r="R63" i="46" s="1"/>
  <c r="R64" i="46" s="1"/>
  <c r="BE110" i="109" l="1"/>
  <c r="BE111" i="109" s="1"/>
  <c r="E19" i="25" l="1"/>
  <c r="E24" i="25" s="1"/>
  <c r="E36" i="25" l="1"/>
  <c r="E38" i="25" s="1"/>
  <c r="E42" i="25" s="1"/>
  <c r="E47" i="25" s="1"/>
  <c r="I90" i="55"/>
  <c r="I88" i="55" s="1"/>
  <c r="I112" i="55" s="1"/>
  <c r="I121" i="55" s="1"/>
  <c r="I125" i="55" l="1"/>
  <c r="I124" i="55" s="1"/>
  <c r="I127" i="55" s="1"/>
  <c r="U90" i="55"/>
  <c r="U88" i="55" s="1"/>
  <c r="U112" i="55" s="1"/>
  <c r="U121" i="55" s="1"/>
  <c r="AF97" i="55"/>
  <c r="AF90" i="55" s="1"/>
  <c r="AF88" i="55" s="1"/>
  <c r="AF112" i="55" s="1"/>
  <c r="AF121" i="55" s="1"/>
  <c r="J90" i="57"/>
  <c r="J88" i="57" s="1"/>
  <c r="J112" i="57" s="1"/>
  <c r="J121" i="57" s="1"/>
  <c r="J125" i="57" l="1"/>
  <c r="J124" i="57" s="1"/>
  <c r="J127" i="57" s="1"/>
  <c r="M90" i="57"/>
  <c r="M88" i="57" s="1"/>
  <c r="M112" i="57" s="1"/>
  <c r="M121" i="57" s="1"/>
  <c r="X97" i="57"/>
  <c r="X90" i="57" s="1"/>
  <c r="X88" i="57" s="1"/>
  <c r="X112" i="57" s="1"/>
  <c r="X121" i="57" s="1"/>
  <c r="Y97" i="57"/>
  <c r="Y90" i="57" s="1"/>
  <c r="Y88" i="57" s="1"/>
  <c r="Y112" i="57" s="1"/>
  <c r="Y121" i="5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tc={1CA7D73B-96E4-47AC-A46A-CA327F8C1783}</author>
    <author>tc={5EF54532-A028-4F89-9BCF-24FD29A0DFD0}</author>
    <author>tc={CDAD06C5-D422-425B-A737-8E70827CB89D}</author>
  </authors>
  <commentList>
    <comment ref="I47" authorId="0" shapeId="0" xr:uid="{00000000-0006-0000-4900-00000100000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Acréscimo moratório de energia vendida</t>
      </text>
    </comment>
    <comment ref="J47" authorId="1" shapeId="0" xr:uid="{00000000-0006-0000-4900-00000200000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Acréscimo moratório de energia vendida</t>
      </text>
    </comment>
    <comment ref="O47" authorId="2" shapeId="0" xr:uid="{00000000-0006-0000-4900-00000300000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Atualização de provisão para redução ao valor recuperável do contas a receber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tc={453C0A41-514B-49E0-8930-56B5EB10B5E3}</author>
  </authors>
  <commentList>
    <comment ref="I47" authorId="0" shapeId="0" xr:uid="{00000000-0006-0000-4A00-000001000000}">
      <text>
        <t xml:space="preserve">[Comentário encadeado]
Sua versão do Excel permite que você leia este comentário encadeado, no entanto, as edições serão removidas se o arquivo for aberto em uma versão mais recente do Excel. Saiba mais: https://go.microsoft.com/fwlink/?linkid=870924
Comentário:
    Acréscimo moratório de energia vendida 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tc={19691B2A-A162-4840-A9F1-E06717E8D2B3}</author>
  </authors>
  <commentList>
    <comment ref="J47" authorId="0" shapeId="0" xr:uid="{00000000-0006-0000-4B00-00000100000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Acréscimo moratório de energia vendida</t>
      </text>
    </comment>
  </commentList>
</comments>
</file>

<file path=xl/sharedStrings.xml><?xml version="1.0" encoding="utf-8"?>
<sst xmlns="http://schemas.openxmlformats.org/spreadsheetml/2006/main" count="19874" uniqueCount="2621">
  <si>
    <t>Atualizações da Planilha de Dados Operacionais e Financeiros</t>
  </si>
  <si>
    <t>26/03/2025</t>
  </si>
  <si>
    <t>Padronização das linhas de DREs das distribuidoras com inclusão de abertura da receita e das contingências</t>
  </si>
  <si>
    <t>14/05/2025</t>
  </si>
  <si>
    <t>Movimentação da Equivalência Patrimonial da participação na Sabesp, que passa a compor o Ebitda na DRE Resumida EQTL Holding e DRE Resumida EQTL Consolidado</t>
  </si>
  <si>
    <t>Inclusão de sheet com as tabelas de margem bruta por distribuidora</t>
  </si>
  <si>
    <t>Atualização de aba "Dados Concessões"</t>
  </si>
  <si>
    <t>13/08/2025</t>
  </si>
  <si>
    <t>Inclusão dos Fluxos de Caixa Indireto das distribuidoras, EQTL Controladora e EQTL Consolidado</t>
  </si>
  <si>
    <t>Inclusão de uma nova linha "RF - MTM Dívida" em Receitas Financeiras e Despesas Financeiras das abas DRE ITR</t>
  </si>
  <si>
    <t xml:space="preserve">Updates </t>
  </si>
  <si>
    <t>March 25, 2025</t>
  </si>
  <si>
    <t>Standard P&amp;L strucutures for DisCos and the addition of new lines in the Gross Revenues and contingencies</t>
  </si>
  <si>
    <t>May 14, 2025</t>
  </si>
  <si>
    <t>Sabesp's Equity equivalence now comprises the Ebitda in the following sheets: EQTLD Holding P&amp;L and EQTL Consolidado P&amp;L</t>
  </si>
  <si>
    <t>Inclusion of a new sheet Gross Margin for each DisCo</t>
  </si>
  <si>
    <t>June 05, 2025</t>
  </si>
  <si>
    <t>Update of the "Dados Concessões" sheet</t>
  </si>
  <si>
    <t>August 13, 2025</t>
  </si>
  <si>
    <t>Inclustion of Cash Flow Statement - Indirect Method for the DisCos, EQTL Controladora e EQTL Consolidado</t>
  </si>
  <si>
    <t>Addition of a new line "RF - Debt MTM " in the Financial Income section of each Standard Income Statement sheet</t>
  </si>
  <si>
    <t>Planilha de Dados Operacionais e Financeiros</t>
  </si>
  <si>
    <t>Informações Financeiras</t>
  </si>
  <si>
    <t>Informações Operacionais</t>
  </si>
  <si>
    <t>Informações Regulatórias</t>
  </si>
  <si>
    <t>Operational and Financial Data Spreadsheet</t>
  </si>
  <si>
    <t>Finicial Data</t>
  </si>
  <si>
    <t>Operational Data</t>
  </si>
  <si>
    <t>Regulatory Data</t>
  </si>
  <si>
    <t>Operacional</t>
  </si>
  <si>
    <t>Distribuição</t>
  </si>
  <si>
    <t>Renováveis</t>
  </si>
  <si>
    <t>Saneamento</t>
  </si>
  <si>
    <t>Operational Indicator</t>
  </si>
  <si>
    <t>Distribution</t>
  </si>
  <si>
    <t>Renewables</t>
  </si>
  <si>
    <t>Sanitation</t>
  </si>
  <si>
    <t>Classes de consumo (MWh)</t>
  </si>
  <si>
    <t>Consumption Classes (MWh)</t>
  </si>
  <si>
    <t>1T13</t>
  </si>
  <si>
    <t>2T13</t>
  </si>
  <si>
    <t>3T13</t>
  </si>
  <si>
    <t>4T13</t>
  </si>
  <si>
    <t>1T14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</si>
  <si>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</si>
  <si>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</si>
  <si>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</si>
  <si>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</si>
  <si>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</si>
  <si>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</si>
  <si>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</si>
  <si>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</si>
  <si>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</si>
  <si>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</si>
  <si>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</si>
  <si>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>1T17</t>
  </si>
  <si>
    <t>2T17</t>
  </si>
  <si>
    <t>3T17</t>
  </si>
  <si>
    <t>4T17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</si>
  <si>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</si>
  <si>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</si>
  <si>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</si>
  <si>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</si>
  <si>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</si>
  <si>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</si>
  <si>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</si>
  <si>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</si>
  <si>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</si>
  <si>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</si>
  <si>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</si>
  <si>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</si>
  <si>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</si>
  <si>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</si>
  <si>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</si>
  <si>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</si>
  <si>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1T22</t>
  </si>
  <si>
    <t>2T22</t>
  </si>
  <si>
    <t>3T22</t>
  </si>
  <si>
    <t>4T22</t>
  </si>
  <si>
    <t>1T23</t>
  </si>
  <si>
    <t>2T23</t>
  </si>
  <si>
    <t>3T23</t>
  </si>
  <si>
    <t>4T23</t>
  </si>
  <si>
    <t>1T24</t>
  </si>
  <si>
    <t>2T24</t>
  </si>
  <si>
    <t>3T24</t>
  </si>
  <si>
    <t>4T24</t>
  </si>
  <si>
    <t>1T25</t>
  </si>
  <si>
    <t>2T25</t>
  </si>
  <si>
    <t>Maranhão</t>
  </si>
  <si>
    <t>Residencial</t>
  </si>
  <si>
    <t>Residential</t>
  </si>
  <si>
    <t>Industrial</t>
  </si>
  <si>
    <t>Comercial</t>
  </si>
  <si>
    <t>Commercial</t>
  </si>
  <si>
    <t>Outros</t>
  </si>
  <si>
    <t>Others</t>
  </si>
  <si>
    <t>Total (cativo)</t>
  </si>
  <si>
    <t>Total (captive)</t>
  </si>
  <si>
    <t>Consumidores livres</t>
  </si>
  <si>
    <t>Free Market Customers</t>
  </si>
  <si>
    <t xml:space="preserve">Energia de Conexão - outras Distribuidoras </t>
  </si>
  <si>
    <t>Connection w/Other DisCos</t>
  </si>
  <si>
    <t>Energia Faturada</t>
  </si>
  <si>
    <t>Energia Faturada + Energia Compensada</t>
  </si>
  <si>
    <t>SCEE - GD I</t>
  </si>
  <si>
    <t>Energia de Compensação GD</t>
  </si>
  <si>
    <t>Total Distribuida - Maranhão*</t>
  </si>
  <si>
    <t xml:space="preserve">(*) Inclui mercados cativo, livre, uso distribuidora e consumo próprio </t>
  </si>
  <si>
    <t>(*) Includes captive, free, distributor use and own consumption</t>
  </si>
  <si>
    <t>Pará</t>
  </si>
  <si>
    <t>Total Distribuida - Pará</t>
  </si>
  <si>
    <t>Total Distributed - Pará (B)</t>
  </si>
  <si>
    <t>Piauí</t>
  </si>
  <si>
    <t>Total Distribuida - Piauí</t>
  </si>
  <si>
    <t>Total Distributed - Piauí (B)</t>
  </si>
  <si>
    <t>Alagoas</t>
  </si>
  <si>
    <t>Total Distribuida - Alagoas</t>
  </si>
  <si>
    <t>Total Distributed - Alagoas (B)</t>
  </si>
  <si>
    <t>CEEE-D</t>
  </si>
  <si>
    <t>Total Distribuida - CEEE</t>
  </si>
  <si>
    <t>Total Distributed - CEEE (B)</t>
  </si>
  <si>
    <t>CEA</t>
  </si>
  <si>
    <t>Total Distribuida - CEA</t>
  </si>
  <si>
    <t>Total Distributed - CEA (B)</t>
  </si>
  <si>
    <t>Goiás</t>
  </si>
  <si>
    <t>Total Distribuida - Goiás</t>
  </si>
  <si>
    <t>Total Distributed - Goiás (B)</t>
  </si>
  <si>
    <t>Total Faturada + Compensada - Equatorial</t>
  </si>
  <si>
    <t>Total Billed - Equatorial</t>
  </si>
  <si>
    <t xml:space="preserve">Número de consumidores </t>
  </si>
  <si>
    <t>Number of Consumers</t>
  </si>
  <si>
    <t>Residencial - convencional</t>
  </si>
  <si>
    <t>Residential - conventional</t>
  </si>
  <si>
    <t>Residencial - baixa renda</t>
  </si>
  <si>
    <t>Residential - low income</t>
  </si>
  <si>
    <t>Total Maranhão</t>
  </si>
  <si>
    <t>Total Pará</t>
  </si>
  <si>
    <t>Total Piauí</t>
  </si>
  <si>
    <t>Total Alagoas</t>
  </si>
  <si>
    <t>Total CEEE-D</t>
  </si>
  <si>
    <t>Total CEA</t>
  </si>
  <si>
    <t>Total Goiás</t>
  </si>
  <si>
    <t>Consumidores Consolidado</t>
  </si>
  <si>
    <t xml:space="preserve"> Consolidated Consumers</t>
  </si>
  <si>
    <t>Bal. energético (MWh) - Maranhão</t>
  </si>
  <si>
    <t>Energy Balan. (MWh) - Maranhão</t>
  </si>
  <si>
    <t>Sistema interligado</t>
  </si>
  <si>
    <t>Interconnected System</t>
  </si>
  <si>
    <t>Energia injetada pela Geração Distribuída</t>
  </si>
  <si>
    <t>Injected Energy by Distributed Generation</t>
  </si>
  <si>
    <t>Energia injetada</t>
  </si>
  <si>
    <t>Injected Energy</t>
  </si>
  <si>
    <t>Energia distribuída*</t>
  </si>
  <si>
    <t>Distributed Energy*</t>
  </si>
  <si>
    <t>Energia de conexão com outras distribuidoras</t>
  </si>
  <si>
    <t>Energy Connection w/Other DisCos</t>
  </si>
  <si>
    <t xml:space="preserve">Perdas totais </t>
  </si>
  <si>
    <t>Total Losses</t>
  </si>
  <si>
    <t xml:space="preserve">Perdas sem Geração Distribuída </t>
  </si>
  <si>
    <t>Losses without Distributed Generation</t>
  </si>
  <si>
    <t xml:space="preserve">(*) Inclui mercados cativo e livre e consumo próprio </t>
  </si>
  <si>
    <t xml:space="preserve">(*) Includes captive and free markets and own consumption </t>
  </si>
  <si>
    <t>Bal. energético (MWh) - Pará</t>
  </si>
  <si>
    <t>Energy Balan. (MWh) - Pará</t>
  </si>
  <si>
    <t>Sistema isolado</t>
  </si>
  <si>
    <t>Isolated Systems</t>
  </si>
  <si>
    <t>(*) Inclui mercados cativo e livre, consumo próprio.</t>
  </si>
  <si>
    <t>Bal. energético (MWh) - Piauí</t>
  </si>
  <si>
    <t>Energy Balan. (MWh) - Piauí</t>
  </si>
  <si>
    <t>Bal. energético (MWh) - Alagoas</t>
  </si>
  <si>
    <t>Energy Balan. (MWh) - Alagoas</t>
  </si>
  <si>
    <t>Bal. energético (MWh) - CEEE-D</t>
  </si>
  <si>
    <t>Energy Balan. (MWh) - CEEE-D</t>
  </si>
  <si>
    <t>Bal. energético (MWh) - CEA</t>
  </si>
  <si>
    <t>Energy Balan. (MWh) - CEA</t>
  </si>
  <si>
    <t>Isolated System</t>
  </si>
  <si>
    <t xml:space="preserve"> </t>
  </si>
  <si>
    <t>Bal. energético (MWh) - Goiás</t>
  </si>
  <si>
    <t>Energy Balan. (MWh) - Goiás</t>
  </si>
  <si>
    <t>Bal. energético Consolidado (MWh) - Total</t>
  </si>
  <si>
    <t>Energy Balan. Consolidated (MWh) - Total</t>
  </si>
  <si>
    <t>Maranhão - últ. 12 meses (%)</t>
  </si>
  <si>
    <t>Maranhão - last 12 months (%)</t>
  </si>
  <si>
    <t>PT / Inj</t>
  </si>
  <si>
    <t>Total Losses / Injected Energy</t>
  </si>
  <si>
    <t>PT / Inj - Regulatória</t>
  </si>
  <si>
    <t>Total Losses / Injected Energy - Regulatory</t>
  </si>
  <si>
    <t>PNT / BT</t>
  </si>
  <si>
    <t>Non-Technical Losses / LT</t>
  </si>
  <si>
    <t>PNT / BT - Regulatória</t>
  </si>
  <si>
    <t>Non-Technical Losses / LT - Regulatory</t>
  </si>
  <si>
    <t>Pará (%) - últ. 12 meses (%)</t>
  </si>
  <si>
    <t>Pará - last 12 months (%)</t>
  </si>
  <si>
    <t>Piauí (%) - últ. 12 meses (%)</t>
  </si>
  <si>
    <t>Piauí - last 12 months (%)</t>
  </si>
  <si>
    <t>Alagoas (%) - últ. 12 meses (%)</t>
  </si>
  <si>
    <t>Alagoas - last 12 months (%)</t>
  </si>
  <si>
    <t>CEEE-D (%) - últ. 12 meses (%)</t>
  </si>
  <si>
    <t>CEEE-D - last 12 months (%)</t>
  </si>
  <si>
    <t>CEA (%) - últ. 12 meses (%)</t>
  </si>
  <si>
    <t>CEA - last 12 months (%)</t>
  </si>
  <si>
    <t>Goiás (%) - últ. 12 meses (%)</t>
  </si>
  <si>
    <t>Goiás - last 12 months (%)</t>
  </si>
  <si>
    <t>Em relação à cobertura tarifária para compra de energia da CEA, cumpre destacar que além do valor usual implícito no nível de perdas  regulatórias, na REH 3.006, de 16 de dezembro DE 2021, a ANEEL homologou o valor de adicional R$ 89.372.044,46, a ser recebido em 12 parcelas no período Dez/21 a Nov/22, referente ao Parágrafo único do Art. 4º B da Lei 12.111, de 9 de dezembro de 2009. Este mecanismo complementar, previsto em Lei, se extingue no processo tarifário de 2025, e o montante de energia associado será reduzido gradativamente 25% a cada ano, partindo do processo de 2021</t>
  </si>
  <si>
    <t>Echoenergia (100%)</t>
  </si>
  <si>
    <t>São Clemente</t>
  </si>
  <si>
    <t>Tianguá</t>
  </si>
  <si>
    <t>Echo 1</t>
  </si>
  <si>
    <t>Echo 2</t>
  </si>
  <si>
    <t>Echo 4</t>
  </si>
  <si>
    <t>Echo 5</t>
  </si>
  <si>
    <t>Echo 3</t>
  </si>
  <si>
    <t>Echo 6</t>
  </si>
  <si>
    <t>Echo 7</t>
  </si>
  <si>
    <t>Echo 8</t>
  </si>
  <si>
    <t>Echo 9</t>
  </si>
  <si>
    <t>Echo 10</t>
  </si>
  <si>
    <t>Ribeiro Gonçalves</t>
  </si>
  <si>
    <t>Barreiras 1</t>
  </si>
  <si>
    <t>Total</t>
  </si>
  <si>
    <t>Ventos (m/s)</t>
  </si>
  <si>
    <t>Winds (m/s)</t>
  </si>
  <si>
    <t/>
  </si>
  <si>
    <t>Irradiância Média (W/m2)</t>
  </si>
  <si>
    <t>Average Irradiance (W/m2)</t>
  </si>
  <si>
    <t>Disponibilidade (%) - Últimos 12 meses</t>
  </si>
  <si>
    <t>Availability (%) - LTM</t>
  </si>
  <si>
    <t>Curva de sazonalização Eólico (MWm)</t>
  </si>
  <si>
    <t>Seasonality curve Wind (MWavg)</t>
  </si>
  <si>
    <t>Média LTM</t>
  </si>
  <si>
    <t>Realizado</t>
  </si>
  <si>
    <t>Fulfilled</t>
  </si>
  <si>
    <t>P90</t>
  </si>
  <si>
    <t>P50</t>
  </si>
  <si>
    <t>P10</t>
  </si>
  <si>
    <t>Curva de sazonalização Solar (MWm)</t>
  </si>
  <si>
    <t>Seasonality curve Solar (MWavg)</t>
  </si>
  <si>
    <t>GF Outorgada Sazonalizada (MWm)</t>
  </si>
  <si>
    <t>Seasonal Granted GF (MWavg)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</si>
  <si>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</si>
  <si>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</si>
  <si>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</si>
  <si>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</si>
  <si>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</si>
  <si>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</si>
  <si>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</si>
  <si>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</si>
  <si>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</si>
  <si>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</si>
  <si>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</si>
  <si>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</si>
  <si>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Ano</t>
  </si>
  <si>
    <t>Portfolio de Ativos</t>
  </si>
  <si>
    <t>Asset Portfolio</t>
  </si>
  <si>
    <t>Complexo</t>
  </si>
  <si>
    <t>Complex</t>
  </si>
  <si>
    <t>Local</t>
  </si>
  <si>
    <t>Entrada em Operação</t>
  </si>
  <si>
    <t>Fim da Autorização</t>
  </si>
  <si>
    <t>Capac. Instalada (MW)</t>
  </si>
  <si>
    <t>Garantia Física (MWm)</t>
  </si>
  <si>
    <t>CEG ANEEL</t>
  </si>
  <si>
    <t>Fonte Eólica</t>
  </si>
  <si>
    <t>Wind Source</t>
  </si>
  <si>
    <t>Em Operação</t>
  </si>
  <si>
    <t>In Operation</t>
  </si>
  <si>
    <t>EOL Ventos de São Clemente 1</t>
  </si>
  <si>
    <t>Caetés - PE</t>
  </si>
  <si>
    <t>EOL.CV.PE.031818-3.01</t>
  </si>
  <si>
    <t>EOL Ventos de São Clemente 2</t>
  </si>
  <si>
    <t>EOL.CV.PE.031819-1.01</t>
  </si>
  <si>
    <t>EOL Ventos de São Clemente 3</t>
  </si>
  <si>
    <t>EOL.CV.PE.031820-5.01</t>
  </si>
  <si>
    <t>EOL Ventos de São Clemente 4</t>
  </si>
  <si>
    <t>EOL.CV.PE.031821-3.01</t>
  </si>
  <si>
    <t>EOL Ventos de São Clemente 5</t>
  </si>
  <si>
    <t>Venturosa - PE</t>
  </si>
  <si>
    <t>EOL.CV.PE.031822-1.01</t>
  </si>
  <si>
    <t>EOL Ventos de São Clemente 6</t>
  </si>
  <si>
    <t>EOL.CV.PE.031823-0.01</t>
  </si>
  <si>
    <t>EOL Ventos de São Clemente 7</t>
  </si>
  <si>
    <t>Pedra e Caetés - PE</t>
  </si>
  <si>
    <t>EOL.CV.PE.031824-8.01</t>
  </si>
  <si>
    <t>EOL Ventos de São Clemente 8</t>
  </si>
  <si>
    <t>EOL.CV.PE.031825-6.01</t>
  </si>
  <si>
    <t>EOL Ventos do Morro do Chapéu</t>
  </si>
  <si>
    <t>Tianguá-CE</t>
  </si>
  <si>
    <t>EOL.CV.CE.030582-0.01</t>
  </si>
  <si>
    <t>EOL Ventos do Parazinho</t>
  </si>
  <si>
    <t>Ubajara -CE</t>
  </si>
  <si>
    <t>EOL.CV.CE.030596-0.01</t>
  </si>
  <si>
    <t>EOL Vento Formoso</t>
  </si>
  <si>
    <t>EOL.CV.CE.030595-2.01</t>
  </si>
  <si>
    <t>EOL Ventos de Tianguá Norte</t>
  </si>
  <si>
    <t>EOL.CV.CE.030584-7.01</t>
  </si>
  <si>
    <t>EOL Ventos de Tianguá</t>
  </si>
  <si>
    <t>EOL.CV.CE.030585-5.01</t>
  </si>
  <si>
    <t>EOL Pedra do Reino</t>
  </si>
  <si>
    <t>Sobradinho - BA</t>
  </si>
  <si>
    <t>EOL.CV.BA.030288-0.01</t>
  </si>
  <si>
    <t>EOL Pedra do Reino III</t>
  </si>
  <si>
    <t>EOL.CV.BA.030608-8.01</t>
  </si>
  <si>
    <t>EOL Cabeço Preto</t>
  </si>
  <si>
    <t>João Câmara - RN</t>
  </si>
  <si>
    <t>EOL.CV.RN.030333-0.01</t>
  </si>
  <si>
    <t>EOL Cabeço Preto IV</t>
  </si>
  <si>
    <t>EOL.CV.RN.030501-4.01</t>
  </si>
  <si>
    <t>EOL Serra de Santana I</t>
  </si>
  <si>
    <t>Lagoa Nova - RN</t>
  </si>
  <si>
    <t>EOL.CV.RN.030625-8.01</t>
  </si>
  <si>
    <t>EOL Serra de Santana II</t>
  </si>
  <si>
    <t>EOL.CV.RN.030609-6.01</t>
  </si>
  <si>
    <t>EOL Serra de Santana III</t>
  </si>
  <si>
    <t>Bodó - RN</t>
  </si>
  <si>
    <t>EOL.CV.RN.030615-0.01</t>
  </si>
  <si>
    <t>EOL Lanchinha</t>
  </si>
  <si>
    <t>Tenente Laurentino Cruz - RN</t>
  </si>
  <si>
    <t>EOL.CV.RN.030860-9.01</t>
  </si>
  <si>
    <t>EOL Pelado</t>
  </si>
  <si>
    <t>EOL.CV.RN.030856-0.01</t>
  </si>
  <si>
    <t>EOL Pedra Rajada</t>
  </si>
  <si>
    <t>Cerro Corá - RN</t>
  </si>
  <si>
    <t>EOL.CV.RN.032352-7.01</t>
  </si>
  <si>
    <t>EOL Pedra Rajada II</t>
  </si>
  <si>
    <t>EOL.CV.RN.032353-5.01</t>
  </si>
  <si>
    <t>EOL Cabeço Vermelho</t>
  </si>
  <si>
    <t>Jardim de Angicos - RN</t>
  </si>
  <si>
    <t>EOL.CV.RN.031651-2.01</t>
  </si>
  <si>
    <t>EOL Cabeço Vermelho II</t>
  </si>
  <si>
    <t>EOL.CV.RN.031665-2.01</t>
  </si>
  <si>
    <t>EOL Pedra do Reino IV</t>
  </si>
  <si>
    <t>EOL.CV.BA.034777-9.01</t>
  </si>
  <si>
    <t>EOL Boa Esperança I</t>
  </si>
  <si>
    <t>EOL.CV.RN.033666-1.01</t>
  </si>
  <si>
    <t>EOL Vila Sergipe I</t>
  </si>
  <si>
    <t>Serra do Mel - RN</t>
  </si>
  <si>
    <t>EOL.CV.RN.038142-0.01</t>
  </si>
  <si>
    <t>EOL Vila Rio Grande do Norte I</t>
  </si>
  <si>
    <t>EOL.CV.RN.038141-1.01</t>
  </si>
  <si>
    <t>EOL Vila Rio Grande do Norte II</t>
  </si>
  <si>
    <t>EOL.CV.RN.038140-3.01</t>
  </si>
  <si>
    <t>EOL Vila Piauí III</t>
  </si>
  <si>
    <t>EOL.CV.RN.036979-9.01</t>
  </si>
  <si>
    <t>EOL Vila Sergipe II</t>
  </si>
  <si>
    <t>EOL.CV.RN.038143-8.01</t>
  </si>
  <si>
    <t>EOL Vila Sergipe III</t>
  </si>
  <si>
    <t>EOL.CV.RN.038144-6.01</t>
  </si>
  <si>
    <t>EOL Vila Piauí I</t>
  </si>
  <si>
    <t>EOL.CV.RN.036975-6.01</t>
  </si>
  <si>
    <t>EOL Vila Piauí II</t>
  </si>
  <si>
    <t>EOL.CV.RN.036973-0.01</t>
  </si>
  <si>
    <t>EOL Vila Alagoas II</t>
  </si>
  <si>
    <t>EOL.CV.RN.036977-2.01</t>
  </si>
  <si>
    <t>EOL Vila Espírito Santo I (antiga EOL Potiguar B 21)</t>
  </si>
  <si>
    <t>EOL.CV.RN.040594-9.01</t>
  </si>
  <si>
    <t>EOL Vila Espírito Santo II (antiga EOL Potiguar B 22)</t>
  </si>
  <si>
    <t>EOL.CV.RN.040595-7.01</t>
  </si>
  <si>
    <t>EOL Vila Espírito Santo III (antiga EOL Potiguar B 23)</t>
  </si>
  <si>
    <t>EOL.CV.RN.040596-5.01</t>
  </si>
  <si>
    <t>EOL Vila Espírito Santo IV (antiga EOL Potiguar B 24)</t>
  </si>
  <si>
    <t>EOL.CV.RN.040597-3.01</t>
  </si>
  <si>
    <t>EOL Vila Espírito Santo V (antiga EOL Potiguar B 25)</t>
  </si>
  <si>
    <t>EOL.CV.RN.040598-1.01</t>
  </si>
  <si>
    <t>Fonte Solar</t>
  </si>
  <si>
    <t>Solar Source</t>
  </si>
  <si>
    <t>Em operação</t>
  </si>
  <si>
    <t>Pipeline</t>
  </si>
  <si>
    <t>UFV Sertão Solar Barreiras XV</t>
  </si>
  <si>
    <t>Barreiras - BA</t>
  </si>
  <si>
    <t>UFV.RS.BA.044511-8.01</t>
  </si>
  <si>
    <t>UFV Sertão Solar Barreiras XVI</t>
  </si>
  <si>
    <t>UFV.RS.BA.044512-6.01</t>
  </si>
  <si>
    <t>UFV Sertão Solar Barreiras XVII</t>
  </si>
  <si>
    <t>UFV.RS.BA.044513-4.01</t>
  </si>
  <si>
    <t>UFV Sertão Solar Barreiras XVIII</t>
  </si>
  <si>
    <t>UFV.RS.BA.044514-2.01</t>
  </si>
  <si>
    <t>UFV Sertão Solar Barreiras XIX</t>
  </si>
  <si>
    <t>UFV.RS.BA.044510-0.01</t>
  </si>
  <si>
    <t>UFV Sertão Solar Barreiras XX</t>
  </si>
  <si>
    <t>UFV.RS.BA.044515-0.01</t>
  </si>
  <si>
    <t>UFV Sertão Solar Barreiras XXI</t>
  </si>
  <si>
    <t>UFV.RS.BA.049771-1.01</t>
  </si>
  <si>
    <t>UFV Ribeiro Gonçalves I</t>
  </si>
  <si>
    <t>Ribeiro Gonçalves - PI</t>
  </si>
  <si>
    <t>UFV.RS.PI.041904-4.01</t>
  </si>
  <si>
    <t>UFV Ribeiro Gonçalves II</t>
  </si>
  <si>
    <t>UFV.RS.PI.041905-2.01</t>
  </si>
  <si>
    <t>UFV Ribeiro Gonçalves III</t>
  </si>
  <si>
    <t>UFV.RS.PI.041906-0.01</t>
  </si>
  <si>
    <t>UFV Ribeiro Gonçalves IV</t>
  </si>
  <si>
    <t>UFV.RS.PI.041907-9.01</t>
  </si>
  <si>
    <t>UFV Ribeiro Gonçalves VI</t>
  </si>
  <si>
    <t>UFV.RS.PI.041909-5.01</t>
  </si>
  <si>
    <t>UFV Ribeiro Gonçalves VII</t>
  </si>
  <si>
    <t>UFV.RS.PI.044295-0.01</t>
  </si>
  <si>
    <t>UFV Ribeiro Gonçalves VIII</t>
  </si>
  <si>
    <t>UFV.RS.PI.044296-8.01</t>
  </si>
  <si>
    <t>Balanço de Energia</t>
  </si>
  <si>
    <t>Energy Balance</t>
  </si>
  <si>
    <t>Garantia Física</t>
  </si>
  <si>
    <t>Physical Guarantee</t>
  </si>
  <si>
    <t>São Clemente I</t>
  </si>
  <si>
    <t>São Clemente II</t>
  </si>
  <si>
    <t>São Clemente III</t>
  </si>
  <si>
    <t>São Clemente IV</t>
  </si>
  <si>
    <t>São Clemente V</t>
  </si>
  <si>
    <t>São Clemente VI</t>
  </si>
  <si>
    <t>São Clemente VII</t>
  </si>
  <si>
    <t>São Clemente VIII</t>
  </si>
  <si>
    <t>Morro do Chapéu</t>
  </si>
  <si>
    <t>Parazinho</t>
  </si>
  <si>
    <t>Formoso</t>
  </si>
  <si>
    <t>Tianguá Norte</t>
  </si>
  <si>
    <t>Cabeço Preto</t>
  </si>
  <si>
    <t>Cabeço Preto IV</t>
  </si>
  <si>
    <t>Pedra do Reino</t>
  </si>
  <si>
    <t>Pedra do Reino III</t>
  </si>
  <si>
    <t>Serra de Santana I</t>
  </si>
  <si>
    <t>Serra de Santana II</t>
  </si>
  <si>
    <t>Serra de Santana III</t>
  </si>
  <si>
    <t>Pelado</t>
  </si>
  <si>
    <t>Lanchinha</t>
  </si>
  <si>
    <t>Vila Sergipe I</t>
  </si>
  <si>
    <t>Vila Rio Grande do Norte I</t>
  </si>
  <si>
    <t>Vila Rio Grande do Norte II</t>
  </si>
  <si>
    <t>Cabeço Vermelho</t>
  </si>
  <si>
    <t>Cabeço Vermelho II</t>
  </si>
  <si>
    <t>Pedra Rajada</t>
  </si>
  <si>
    <t>Pedra Rajada II</t>
  </si>
  <si>
    <t>Pedra do Reino IV</t>
  </si>
  <si>
    <t>Boa Esperança I</t>
  </si>
  <si>
    <t>Vila Piauí III</t>
  </si>
  <si>
    <t>Vila Sergipe II</t>
  </si>
  <si>
    <t>Vila Sergipe III</t>
  </si>
  <si>
    <t>Vila Piauí I</t>
  </si>
  <si>
    <t>Vila Piauí II</t>
  </si>
  <si>
    <t>Vila Alagoas II</t>
  </si>
  <si>
    <t>Vila Espiríto Santo I</t>
  </si>
  <si>
    <t>Vila Espiríto Santo II</t>
  </si>
  <si>
    <t>Vila Espiríto Santo III</t>
  </si>
  <si>
    <t>Vila Espiríto Santo IV</t>
  </si>
  <si>
    <t>Vila Espiríto Santo V</t>
  </si>
  <si>
    <t>(Em MW médios)</t>
  </si>
  <si>
    <t>(In average MW)</t>
  </si>
  <si>
    <t>Venda Leilões Governo* - (MWm)</t>
  </si>
  <si>
    <t>Sale Government Auctions* - (MWavg)</t>
  </si>
  <si>
    <t>-</t>
  </si>
  <si>
    <t>2010 - 02º LFA - 2013-20</t>
  </si>
  <si>
    <t>2013 - 18º LEN - 2018-20</t>
  </si>
  <si>
    <t>2014 - 19º LEN - 2017-20</t>
  </si>
  <si>
    <t>2014 - 20º LEN - 2019-20</t>
  </si>
  <si>
    <t>2009 - 02º LER - 2012-20</t>
  </si>
  <si>
    <t>2010 - 03º LER - 2013-20</t>
  </si>
  <si>
    <t>2011 - 04º LER - 2014-20</t>
  </si>
  <si>
    <t>2014 - 06º LER - 2017-20</t>
  </si>
  <si>
    <t>2015 - 08º LER - 2018-20</t>
  </si>
  <si>
    <t>Vendas Bilaterais - Eólicos - (MWm)</t>
  </si>
  <si>
    <t>Bilateral Sales - Wind - (MWavg)</t>
  </si>
  <si>
    <t>Vendas Totais - (MWm)</t>
  </si>
  <si>
    <t>Total Sales - (MWavg)</t>
  </si>
  <si>
    <t>Saldo de Energia - (MWm)</t>
  </si>
  <si>
    <t>Energy Balance - (MWavg)</t>
  </si>
  <si>
    <t>Volume Contratado (%)</t>
  </si>
  <si>
    <t>Contracted Volume (%)</t>
  </si>
  <si>
    <t>Identificação Parques ONS (SINtegre)</t>
  </si>
  <si>
    <t xml:space="preserve">Identification of ONS Parks (SINtegre)
</t>
  </si>
  <si>
    <t>Nome do Complexo</t>
  </si>
  <si>
    <t>EOL BAIXA VERDE</t>
  </si>
  <si>
    <t>EOL MOXOTÓ</t>
  </si>
  <si>
    <t>CABEÇO VERMELHO</t>
  </si>
  <si>
    <t>Cabeço Preto II</t>
  </si>
  <si>
    <t>CABEÇO VERMELHO II</t>
  </si>
  <si>
    <t>EOL BOA ESPERANÇA I</t>
  </si>
  <si>
    <t>EOL PEDRA DO REINO</t>
  </si>
  <si>
    <t>EOL PEDRA REINO IV</t>
  </si>
  <si>
    <t>EOL SOBRADINHO</t>
  </si>
  <si>
    <t>EOL MORRO DO CHAPÉU</t>
  </si>
  <si>
    <t>Santa Rosália</t>
  </si>
  <si>
    <t>EOL VENTO FORMOSO</t>
  </si>
  <si>
    <t>N V DE TIANGUÁ NORTE</t>
  </si>
  <si>
    <t>N VENTOS PARAZINHO</t>
  </si>
  <si>
    <t>VENTOS DE TIANGUÁ</t>
  </si>
  <si>
    <t>VENTOS S CLEMENTE 1</t>
  </si>
  <si>
    <t>VENTOS S CLEMENTE 2</t>
  </si>
  <si>
    <t>VENTOS S CLEMENTE 3</t>
  </si>
  <si>
    <t>VENTOS S CLEMENTE 4</t>
  </si>
  <si>
    <t>VENTOS S CLEMENTE 5</t>
  </si>
  <si>
    <t>VENTOS S CLEMENTE 6</t>
  </si>
  <si>
    <t>VENTOS S CLEMENTE 7</t>
  </si>
  <si>
    <t>VENTOS S CLEMENTE 8</t>
  </si>
  <si>
    <t>GESTAMP LAGOA NOVA</t>
  </si>
  <si>
    <t>Serra de Santana I&amp;II</t>
  </si>
  <si>
    <t>GESTAMP SANTANA</t>
  </si>
  <si>
    <t>LANCHINHA</t>
  </si>
  <si>
    <t>EÓLICA SERIDO</t>
  </si>
  <si>
    <t>GESTAMP P RAJADA</t>
  </si>
  <si>
    <t>GESTAMP P RAJADA II</t>
  </si>
  <si>
    <t>PARAÍSO</t>
  </si>
  <si>
    <t>VILA PIAUÍ 1</t>
  </si>
  <si>
    <t>Serra do Mel IB</t>
  </si>
  <si>
    <t>VILA PIAUÍ 2</t>
  </si>
  <si>
    <t>VILA PIAUÍ 3</t>
  </si>
  <si>
    <t>VILA RGNORTE 1</t>
  </si>
  <si>
    <t>VILA RGNORTE 2</t>
  </si>
  <si>
    <t>VILA SERGIPE 1</t>
  </si>
  <si>
    <t>VILA SERGIPE 2</t>
  </si>
  <si>
    <t>VILA SERGIPE 3</t>
  </si>
  <si>
    <t>ESPÍRITO SANTO I</t>
  </si>
  <si>
    <t>Serra do Mel IIB</t>
  </si>
  <si>
    <t>ESPÍRITO SANTO II</t>
  </si>
  <si>
    <t>ESPÍRITO SANTO III</t>
  </si>
  <si>
    <t>ESPÍRITO SANTO IV</t>
  </si>
  <si>
    <t>ESPÍRITO SANTO V</t>
  </si>
  <si>
    <t>VILA ALAGOAS II</t>
  </si>
  <si>
    <t>Barreiras</t>
  </si>
  <si>
    <t>Maranhão - últ. 12 meses</t>
  </si>
  <si>
    <t>Maranhão - last 12 months</t>
  </si>
  <si>
    <t>DEC (12 meses)</t>
  </si>
  <si>
    <t>DEC (12 months)</t>
  </si>
  <si>
    <t>DEC - Regulatório</t>
  </si>
  <si>
    <t>DEC - Regulatory</t>
  </si>
  <si>
    <t>FEC (12 meses)</t>
  </si>
  <si>
    <t>FEC (12 months)</t>
  </si>
  <si>
    <t>FEC - Regulatório</t>
  </si>
  <si>
    <t>FEC - Regulatory</t>
  </si>
  <si>
    <t>Pará - últ. 12 meses</t>
  </si>
  <si>
    <t>Pará - last 12 months</t>
  </si>
  <si>
    <t> 36,43</t>
  </si>
  <si>
    <t> 31,54</t>
  </si>
  <si>
    <t>36,56 </t>
  </si>
  <si>
    <t>33,72 </t>
  </si>
  <si>
    <t>31,22 </t>
  </si>
  <si>
    <t>Piauí - últ. 12 meses</t>
  </si>
  <si>
    <t>Piauí - last 12 months</t>
  </si>
  <si>
    <t>Alagoas - últ. 12 meses</t>
  </si>
  <si>
    <t>Alagoas - last 12 months</t>
  </si>
  <si>
    <t>CEEE-D - últ. 12 meses</t>
  </si>
  <si>
    <t>CEEE-D - last 12 months</t>
  </si>
  <si>
    <t>CEA - últ. 12 meses</t>
  </si>
  <si>
    <t>CEA - last 12 months</t>
  </si>
  <si>
    <t>Goiás - últ. 12 meses</t>
  </si>
  <si>
    <t>Goiás - last 12 months</t>
  </si>
  <si>
    <t>Contratos  (MWh)</t>
  </si>
  <si>
    <t>Contracts (MWh)</t>
  </si>
  <si>
    <t>Fonte hídrica</t>
  </si>
  <si>
    <t>Hydro</t>
  </si>
  <si>
    <t>Fonte térmica</t>
  </si>
  <si>
    <t>Thermal</t>
  </si>
  <si>
    <t>Cotas de garantia física</t>
  </si>
  <si>
    <t>Physical Guarantee Quotas</t>
  </si>
  <si>
    <t>Outras fontes</t>
  </si>
  <si>
    <t>Other Sources</t>
  </si>
  <si>
    <t>Total - MWh</t>
  </si>
  <si>
    <t>CSA (100%)</t>
  </si>
  <si>
    <t>Indicadores Operacionais - Água</t>
  </si>
  <si>
    <t>Operational Indicators - Water</t>
  </si>
  <si>
    <t>Ligações ativas (mil)</t>
  </si>
  <si>
    <t>Active Connections (thousand)</t>
  </si>
  <si>
    <t>Economias ativas (mil)</t>
  </si>
  <si>
    <t>Active Economies (thousand)</t>
  </si>
  <si>
    <t>Relação Ecnomias/Ligações</t>
  </si>
  <si>
    <t>Economies/Connections Relation</t>
  </si>
  <si>
    <t>Índice de Cobertura (%)</t>
  </si>
  <si>
    <t>Coverage Index (%)</t>
  </si>
  <si>
    <t>Índice de Perda da Distribuição (%)</t>
  </si>
  <si>
    <t>Losses (%)</t>
  </si>
  <si>
    <t>Extensão de rede (km)</t>
  </si>
  <si>
    <t>Network Extension (km)</t>
  </si>
  <si>
    <t>Indicadores Operacionais - Esgoto</t>
  </si>
  <si>
    <t>Operational Indicators - Sewage</t>
  </si>
  <si>
    <t>Índice de cobertura (%)</t>
  </si>
  <si>
    <t>Indicadores Operacionais - Consolidado CSA</t>
  </si>
  <si>
    <t>Operational Indicators - Consolidated CSA</t>
  </si>
  <si>
    <t>Hidrômetros instalados (mil)</t>
  </si>
  <si>
    <t>Installed Water Meters (thousand)</t>
  </si>
  <si>
    <t>DRE ITR</t>
  </si>
  <si>
    <t>Transmissão</t>
  </si>
  <si>
    <t>Serviços e Outros</t>
  </si>
  <si>
    <t>Standard Income Statement</t>
  </si>
  <si>
    <t>Transmission</t>
  </si>
  <si>
    <t>Holding, Consolidated and Serviços</t>
  </si>
  <si>
    <t>DRE ITR - Equatorial Maranhão</t>
  </si>
  <si>
    <t>Income Statement IFRS - Equatorial Maranhão</t>
  </si>
  <si>
    <t>3M22</t>
  </si>
  <si>
    <t>6M22</t>
  </si>
  <si>
    <t>9M22</t>
  </si>
  <si>
    <t>3M23</t>
  </si>
  <si>
    <t>6M23</t>
  </si>
  <si>
    <t>9M23</t>
  </si>
  <si>
    <t>3M24</t>
  </si>
  <si>
    <t>6M24</t>
  </si>
  <si>
    <t>9M24</t>
  </si>
  <si>
    <t>3M25</t>
  </si>
  <si>
    <t>6M25</t>
  </si>
  <si>
    <t>9M25</t>
  </si>
  <si>
    <t>Receita operacional</t>
  </si>
  <si>
    <t>Operating Revenue</t>
  </si>
  <si>
    <t>Fornecimento De Energia Elétrica</t>
  </si>
  <si>
    <t>Electricity Provision</t>
  </si>
  <si>
    <t>Valores  Parcela A e Outros Itens Financeiros</t>
  </si>
  <si>
    <t>Parcel A Values and Other Financial Items</t>
  </si>
  <si>
    <t>Suprimento de energia elétrica</t>
  </si>
  <si>
    <t>Electricity Supply</t>
  </si>
  <si>
    <t>Geração de energia elétrica</t>
  </si>
  <si>
    <t>Electricity Generation</t>
  </si>
  <si>
    <t>Receita de construção</t>
  </si>
  <si>
    <t>Construction Revenue</t>
  </si>
  <si>
    <t>Operações com Transmissão de Energia Elétrica</t>
  </si>
  <si>
    <t>Operations with Transmission of Electricity</t>
  </si>
  <si>
    <t>Receita de operação e manutenção</t>
  </si>
  <si>
    <t>Operation and Maintenance Revenue</t>
  </si>
  <si>
    <t>Abastecimento de água e serviços de esgoto</t>
  </si>
  <si>
    <t>Water Supply and Sewage Services</t>
  </si>
  <si>
    <t>Outras receitas</t>
  </si>
  <si>
    <t>Other Revenues</t>
  </si>
  <si>
    <t>Receita Pela Disponibilidade - Uso Da Rede</t>
  </si>
  <si>
    <t>Revenue for Availability - Use of Network</t>
  </si>
  <si>
    <t>Atualização Ativo Financeiro</t>
  </si>
  <si>
    <t>Financial Asset Update</t>
  </si>
  <si>
    <t>Atualização Ativo de Contratos</t>
  </si>
  <si>
    <t>Contract Asset Update</t>
  </si>
  <si>
    <t>Atualização Ativo de Contrato em serviço</t>
  </si>
  <si>
    <t>Contract Asset in Service Update</t>
  </si>
  <si>
    <t>(-) Pis e Cofins - diferido s/ ativo de contrato</t>
  </si>
  <si>
    <t>(-) Deferred Pis and Cofins on Contract Asset</t>
  </si>
  <si>
    <t>Ativo de contrato - Ganho de realização</t>
  </si>
  <si>
    <t xml:space="preserve">Contract Asset </t>
  </si>
  <si>
    <t>Receita de ajuste de realização futura de contratos de energia elétrica</t>
  </si>
  <si>
    <t>Revenue from Adjustment of Future Realization of Electricity Contracts</t>
  </si>
  <si>
    <t>(-) Deduções da receita</t>
  </si>
  <si>
    <t>(-) Revenue Deductions</t>
  </si>
  <si>
    <t>(-) ICMS</t>
  </si>
  <si>
    <t>(-) Pis e Cofins - corrente</t>
  </si>
  <si>
    <t>(-) Pis and Cofins - ongoing</t>
  </si>
  <si>
    <t>(-) Pis e Cofins - diferido</t>
  </si>
  <si>
    <t>(-) Pis and Cofins - deferred</t>
  </si>
  <si>
    <t>(-) Encargos Do Consumidor - RGR</t>
  </si>
  <si>
    <t>(-) Consumer Charges - RGR</t>
  </si>
  <si>
    <t>(-) Encargos Do Consumidor - P&amp;D e PEE</t>
  </si>
  <si>
    <t>(-) Consumer Charges - R&amp;D and PEE</t>
  </si>
  <si>
    <t>(-) Encargos Do Consumidor - Taxa de fiscalização e outros</t>
  </si>
  <si>
    <t>(-) Consumer Charges - Inspection Fees and Others</t>
  </si>
  <si>
    <t>(-) Encargos Do Consumidor - CDE</t>
  </si>
  <si>
    <t>(-) Consumer Charges - CDE</t>
  </si>
  <si>
    <t>(-) ISS</t>
  </si>
  <si>
    <t>Receita operacional líquida</t>
  </si>
  <si>
    <t>Net Operating Revenue</t>
  </si>
  <si>
    <t>Custos de energia elétrica, construção e operação</t>
  </si>
  <si>
    <t>Electricity, construction and operating costs</t>
  </si>
  <si>
    <t>Energia elétrica comprada para revenda e custos de transmissão</t>
  </si>
  <si>
    <t>Electricity purchased for resale and transmission costs</t>
  </si>
  <si>
    <t xml:space="preserve">Custo de Construção </t>
  </si>
  <si>
    <t>Construction Cost</t>
  </si>
  <si>
    <t>Variações das margens do ativo de contrato</t>
  </si>
  <si>
    <t>Variations in contract asset margins</t>
  </si>
  <si>
    <t>PIS/COFINS diferidos s/ variações da margem</t>
  </si>
  <si>
    <t xml:space="preserve">Deferred PIS/COFINS without margin variations </t>
  </si>
  <si>
    <t>Ativo de contrato - Perda de realização</t>
  </si>
  <si>
    <t xml:space="preserve">Contract Asset - Loss of Realization </t>
  </si>
  <si>
    <t>Custo de operação</t>
  </si>
  <si>
    <t>Cost of Operation</t>
  </si>
  <si>
    <t>Custo De Operação - Pessoal</t>
  </si>
  <si>
    <t>Operating Cost - Personnel</t>
  </si>
  <si>
    <t>Custo De Operação - Material</t>
  </si>
  <si>
    <t>Operating Cost - Material</t>
  </si>
  <si>
    <t>Custo De Operação - Serv. Terceiros</t>
  </si>
  <si>
    <t>Operating Cost - Service to Third Parties</t>
  </si>
  <si>
    <t>Custo De Operação - Deprec. Amortização</t>
  </si>
  <si>
    <t>Operating Cost - Deprec. Amortization</t>
  </si>
  <si>
    <t>Custo De Operação - Subvenção CCC</t>
  </si>
  <si>
    <t>Operating Cost - CCC Subsidy</t>
  </si>
  <si>
    <t>Custo De Operação - Arrendamentos E Alugúeis</t>
  </si>
  <si>
    <t>Operating Cost - Leases and Rentals</t>
  </si>
  <si>
    <t>Custo De Operação - Outros</t>
  </si>
  <si>
    <t>Operating Cost - Others</t>
  </si>
  <si>
    <t>Lucro bruto</t>
  </si>
  <si>
    <t>Gross Profit</t>
  </si>
  <si>
    <t>Despesas operacionais</t>
  </si>
  <si>
    <t>Operational expenses</t>
  </si>
  <si>
    <t>Despesas com vendas</t>
  </si>
  <si>
    <t>Sales Expenses</t>
  </si>
  <si>
    <t>Despesas Com Vendas - Pessoal</t>
  </si>
  <si>
    <t>Sales Expenses - Personnel</t>
  </si>
  <si>
    <t>Despesas Com Vendas - Material</t>
  </si>
  <si>
    <t>Sales Expenses - Material</t>
  </si>
  <si>
    <t>Despesas Com Vendas - Serviços De Terceiros</t>
  </si>
  <si>
    <t>Sales Expenses - Third Party Services</t>
  </si>
  <si>
    <t>Despesas Com Vendas - Arrendamentos E Aluguéis</t>
  </si>
  <si>
    <t>Sales Expenses - Leases and Rentals</t>
  </si>
  <si>
    <t>Despesas Com Vendas - Outros</t>
  </si>
  <si>
    <t>Sales Expenses - Others</t>
  </si>
  <si>
    <t xml:space="preserve">Perdas esperada por redução ao valor recuperável </t>
  </si>
  <si>
    <t>Expected losses due to reduction to the recoverable value</t>
  </si>
  <si>
    <t>Despesas gerais, administrativas e amortização</t>
  </si>
  <si>
    <t>General, Administrative and Amortization Expenses</t>
  </si>
  <si>
    <t>Despesas Administrativas - Pessoal</t>
  </si>
  <si>
    <t>Administrative Expenses - Personnel</t>
  </si>
  <si>
    <t>Despesas Administrativas - Material</t>
  </si>
  <si>
    <t>Administrative Expenses - Material</t>
  </si>
  <si>
    <t>Despesas Administrativas - Serviço De Terceiro</t>
  </si>
  <si>
    <t>Administrative Expenses - Service to Third Parties</t>
  </si>
  <si>
    <t>Despesas Administrativas - Arrendamento E Aluguéis</t>
  </si>
  <si>
    <t>Administrative Expenses - Leasing and Rents</t>
  </si>
  <si>
    <t>Despesas Administrativas - Outros</t>
  </si>
  <si>
    <t>Administrative Expenses - Others</t>
  </si>
  <si>
    <t>Despesas Administrativas - Prov/Rev De Contingência</t>
  </si>
  <si>
    <t>Administrative Expenses - Contingencies</t>
  </si>
  <si>
    <t>Despesas Administrativas - Deprec. Amortização</t>
  </si>
  <si>
    <t>Administrative Expenses - Deprec. Amortization</t>
  </si>
  <si>
    <t>Amortização do direito de concessão</t>
  </si>
  <si>
    <t>Amortization of concession´s right</t>
  </si>
  <si>
    <t>Resultado da equivalência patrimonial</t>
  </si>
  <si>
    <t>Equity Equivalence Result</t>
  </si>
  <si>
    <t>Outras despesas operacionais, líquidas</t>
  </si>
  <si>
    <t>Other operational expenses, net</t>
  </si>
  <si>
    <t>Outras despesas operacionais</t>
  </si>
  <si>
    <t>Other Operating Expenses</t>
  </si>
  <si>
    <t>Outras despesas não recorrentes</t>
  </si>
  <si>
    <t>Other Non-recurring Expenses</t>
  </si>
  <si>
    <t>Baixa de recebíveis incobráveis</t>
  </si>
  <si>
    <t>Write-off of Uncollectible Receivables</t>
  </si>
  <si>
    <t>EBITDA</t>
  </si>
  <si>
    <t>Resultado antes do RF líquido, IR e CS</t>
  </si>
  <si>
    <t>EBIT</t>
  </si>
  <si>
    <t>Resultado financeiro</t>
  </si>
  <si>
    <t>Financial Result</t>
  </si>
  <si>
    <t>Receitas financeiras</t>
  </si>
  <si>
    <t>Financial Income</t>
  </si>
  <si>
    <t>RF - Rendas Financeiras</t>
  </si>
  <si>
    <t>(-) RF - Pis e Cofins</t>
  </si>
  <si>
    <t>(-) Pis and Cofins</t>
  </si>
  <si>
    <t>RF - Receita Financeiras Ativo de Contrato</t>
  </si>
  <si>
    <t>RF - Acréscimo Moratório Sobre Energia</t>
  </si>
  <si>
    <t>Moratorium Increase on Energy</t>
  </si>
  <si>
    <t>RF - Atualização VNR - Receita</t>
  </si>
  <si>
    <t>VNR Update - Revenue</t>
  </si>
  <si>
    <t>RF - P&amp;D e PEE</t>
  </si>
  <si>
    <t>R&amp;D and PEE</t>
  </si>
  <si>
    <t>RF - Outras receitas financeiras</t>
  </si>
  <si>
    <t>Other Financial Revenues</t>
  </si>
  <si>
    <t>RF - MTM da Dívida</t>
  </si>
  <si>
    <t>RF - Variação Monetária E Cambial Ativa</t>
  </si>
  <si>
    <t>Active Monetary and Exchange Variation</t>
  </si>
  <si>
    <t>Despesas financeiras</t>
  </si>
  <si>
    <t>Financial Expenses</t>
  </si>
  <si>
    <t>RF - Encargos De Dívidas</t>
  </si>
  <si>
    <t>Debt Charges</t>
  </si>
  <si>
    <t>RF - Encargos De RJ</t>
  </si>
  <si>
    <t>Chapter 11 Charges</t>
  </si>
  <si>
    <t>RF - Variação Monetária E Cambial Passiva</t>
  </si>
  <si>
    <t>Passive Monetary and Exchange Variation</t>
  </si>
  <si>
    <t>RF - Partes relacionadas</t>
  </si>
  <si>
    <t>Related Parties</t>
  </si>
  <si>
    <t>RF - Valores a receber/devolver parcela A</t>
  </si>
  <si>
    <t>Amount to receive/return Parcel A</t>
  </si>
  <si>
    <t>RF - Juros, multas s/ operação de energia</t>
  </si>
  <si>
    <t>Interest, fines on energy operations</t>
  </si>
  <si>
    <t>RF - Atualização VNR - Despesa</t>
  </si>
  <si>
    <t>VNR Update - Expense</t>
  </si>
  <si>
    <t xml:space="preserve">RF - Despesa P&amp;D e PEE </t>
  </si>
  <si>
    <t>R&amp;D and PEE Expenses</t>
  </si>
  <si>
    <t>RF - Outras despesas financeiras</t>
  </si>
  <si>
    <t>Other Financial Expenses</t>
  </si>
  <si>
    <t>Resultado antes do imposto de renda e da contribuição social</t>
  </si>
  <si>
    <t>Income before income and social contribution taxes</t>
  </si>
  <si>
    <t>Impostos sobre o lucro</t>
  </si>
  <si>
    <t>Income Taxes</t>
  </si>
  <si>
    <t>Contribuição social</t>
  </si>
  <si>
    <t>Social Contribution</t>
  </si>
  <si>
    <t>Imposto de renda</t>
  </si>
  <si>
    <t>Income Tax</t>
  </si>
  <si>
    <t>Incentivos fiscais</t>
  </si>
  <si>
    <t>Tax Breaks</t>
  </si>
  <si>
    <t>IRPJ e CSLL diferidos</t>
  </si>
  <si>
    <t>Deferred income and social contribution taxes</t>
  </si>
  <si>
    <t>Lucro líquido do exercício</t>
  </si>
  <si>
    <t>Net Income</t>
  </si>
  <si>
    <t>Resultado atribuível aos:</t>
  </si>
  <si>
    <t>Income Attributable to:</t>
  </si>
  <si>
    <t>Atribuível aos acionistas da controladora</t>
  </si>
  <si>
    <t>Attributable to company shareholders</t>
  </si>
  <si>
    <t>Atribuível aos acionistas não controladores</t>
  </si>
  <si>
    <t>Attributable to non-controlling shareholders</t>
  </si>
  <si>
    <t xml:space="preserve">Net Income </t>
  </si>
  <si>
    <t>Controlador</t>
  </si>
  <si>
    <t>Controlling Shareholder </t>
  </si>
  <si>
    <t>Minoritários</t>
  </si>
  <si>
    <t xml:space="preserve">Minority Shareholder </t>
  </si>
  <si>
    <t>DRE ITR - Equatorial Pará</t>
  </si>
  <si>
    <t>Income Statement IFRS - Equatorial Pará</t>
  </si>
  <si>
    <t>AtualiYação Ativo Financeiro</t>
  </si>
  <si>
    <t>AtualiYação Ativo de Contratos</t>
  </si>
  <si>
    <t>AtualiYação Ativo de Contrato em serviço</t>
  </si>
  <si>
    <t>Ativo de contrato - Ganho de realiYação</t>
  </si>
  <si>
    <t>Contract Asset - RealiYation Gain</t>
  </si>
  <si>
    <t>Receita de ajuste de realiYação futura de contratos de energia elétrica</t>
  </si>
  <si>
    <t>Revenue from Adjustment of Future RealiYation of Electricity Contracts</t>
  </si>
  <si>
    <t>(-) Encargos Do Consumidor - Taxa de fiscaliYação e outros</t>
  </si>
  <si>
    <t>Ativo de contrato - Perda de realiYação</t>
  </si>
  <si>
    <t xml:space="preserve">Contract Asset - Loss of RealiYation </t>
  </si>
  <si>
    <t>Custo De Operação - Deprec. AmortiYação</t>
  </si>
  <si>
    <t>Operating Cost - Deprec. AmortiYation</t>
  </si>
  <si>
    <t>Despesas gerais, administrativas e amortiYação</t>
  </si>
  <si>
    <t>General, Administrative and AmortiYation Expenses</t>
  </si>
  <si>
    <t>Despesas Administrativas - Deprec. AmortiYação</t>
  </si>
  <si>
    <t>Administrative Expenses - Deprec. AmortiYation</t>
  </si>
  <si>
    <t>AmortiYação do direito de concessão</t>
  </si>
  <si>
    <t>AmortiYation of concession´s right</t>
  </si>
  <si>
    <t>DRE ITR - Equatorial Piauí</t>
  </si>
  <si>
    <t>Income Statement IFRS - Equatorial Piauí</t>
  </si>
  <si>
    <t>Contract Asset - Realization Gain</t>
  </si>
  <si>
    <t>DRE ITR - Equatorial Alagoas</t>
  </si>
  <si>
    <t>Income Statement IFRS - Equatorial Alagoas</t>
  </si>
  <si>
    <t>DRE ITR - CEEE-D</t>
  </si>
  <si>
    <t>Income Statement IFRS - CEEE-D</t>
  </si>
  <si>
    <t>DRE ITR - CEA</t>
  </si>
  <si>
    <t>Income Statement IFRS - CEA</t>
  </si>
  <si>
    <t>Empresa não consolidada no período</t>
  </si>
  <si>
    <t>DRE ITR - Equatorial Goiás</t>
  </si>
  <si>
    <t>Income Statement IFRS - Equatorial Goiás</t>
  </si>
  <si>
    <t>Considera apenas o mês de Março de 22</t>
  </si>
  <si>
    <t>DRE ITR - Echoenergia Participações</t>
  </si>
  <si>
    <t>3M22*</t>
  </si>
  <si>
    <t>Empresa não existia no período</t>
  </si>
  <si>
    <t>DRE ITR - Echo Crescimento</t>
  </si>
  <si>
    <t>Income Statement IFRS - Echo Crescimento</t>
  </si>
  <si>
    <t>(-) Pis and Cofins - current</t>
  </si>
  <si>
    <t>Attributable to non-controlling interests</t>
  </si>
  <si>
    <t>DRE ITR - SPEs</t>
  </si>
  <si>
    <t>Income Statement IFRS - SPEs</t>
  </si>
  <si>
    <t>DRE ITR - EQTT</t>
  </si>
  <si>
    <t>Income Statement IFRS - EQTT</t>
  </si>
  <si>
    <t>DRE ITR - INTESA</t>
  </si>
  <si>
    <t>DRE ITR - CSA</t>
  </si>
  <si>
    <t>Income Statement IFRS - CSA</t>
  </si>
  <si>
    <t>DRE ITR - Equatorial Serviços</t>
  </si>
  <si>
    <t>Income Statement IFRS - Equatorial Serviços</t>
  </si>
  <si>
    <t>DRE ITR - Equatorial Energia - Holding</t>
  </si>
  <si>
    <t>Income Statement IFRS - Equatorial Energia - Holding</t>
  </si>
  <si>
    <t>DRE ITR - Equatorial Energia - Consolidado</t>
  </si>
  <si>
    <t>DRE Resumida</t>
  </si>
  <si>
    <t>DRE Individual</t>
  </si>
  <si>
    <t>Serviços e Others</t>
  </si>
  <si>
    <t>Individual P&amp;L</t>
  </si>
  <si>
    <t>Maranhão (100%)</t>
  </si>
  <si>
    <t>Demonstração do resultado (R$ mil) - IFRS</t>
  </si>
  <si>
    <t>Income Statement (R$ thousand) - IFRS</t>
  </si>
  <si>
    <t>Operating Revenues</t>
  </si>
  <si>
    <t>Fornecimento de energia elétrica</t>
  </si>
  <si>
    <t>Electricity Sales</t>
  </si>
  <si>
    <t>Construction Revenues</t>
  </si>
  <si>
    <t>Atualização do Ativo Financeiro (VNR)</t>
  </si>
  <si>
    <t>Financial Asset Update (VNR)</t>
  </si>
  <si>
    <t>Multa por atraso de pagamento</t>
  </si>
  <si>
    <t>Late Payment Fines</t>
  </si>
  <si>
    <t>Outras Receitas - Parcela B</t>
  </si>
  <si>
    <t>Other Revenues - Parcel B</t>
  </si>
  <si>
    <t>Deduções da receita operacional</t>
  </si>
  <si>
    <t>Deductions from Operating Revenues</t>
  </si>
  <si>
    <t>Net Operating Revenues</t>
  </si>
  <si>
    <t>Custo do serviço de energia elétrica</t>
  </si>
  <si>
    <t>Energy Service Costs</t>
  </si>
  <si>
    <t>Energia elétrica comprada para revenda</t>
  </si>
  <si>
    <t>Purchased Energy</t>
  </si>
  <si>
    <t>Encargo uso do sistema de transmissão e distribuição</t>
  </si>
  <si>
    <t>Transmission and Grid Usage Charges</t>
  </si>
  <si>
    <t>Custos de construção</t>
  </si>
  <si>
    <t>Construction Costs</t>
  </si>
  <si>
    <t>Outras despesas não-gerenciáveis</t>
  </si>
  <si>
    <t>Other Non-Manageable Costs</t>
  </si>
  <si>
    <t>Margem Bruta Operacional</t>
  </si>
  <si>
    <t>Operating Gross Margin</t>
  </si>
  <si>
    <t>Custo/despesa operacional</t>
  </si>
  <si>
    <t>Operating Expenses</t>
  </si>
  <si>
    <t>Pessoal</t>
  </si>
  <si>
    <t>Personnel</t>
  </si>
  <si>
    <t>Material</t>
  </si>
  <si>
    <t>Serviço de terceiros</t>
  </si>
  <si>
    <t>Third Party Services</t>
  </si>
  <si>
    <t>Provisões</t>
  </si>
  <si>
    <t>Provisions</t>
  </si>
  <si>
    <t>Contingências</t>
  </si>
  <si>
    <t>Contingencies</t>
  </si>
  <si>
    <t>Other</t>
  </si>
  <si>
    <t>Contratação de energia e potência - SI</t>
  </si>
  <si>
    <t>Potency and Energy Purchase - Isol. Systems</t>
  </si>
  <si>
    <t>Subvenção CCC</t>
  </si>
  <si>
    <t>CCC Subvention</t>
  </si>
  <si>
    <t>Matéria prima p/ produção de energia eletrica</t>
  </si>
  <si>
    <t>Fuel for Energy Generation</t>
  </si>
  <si>
    <t>Outras receitas/despesas operacionais</t>
  </si>
  <si>
    <t>Other Operating Revenues/Expenses</t>
  </si>
  <si>
    <t>Depreciação e amortização</t>
  </si>
  <si>
    <t>Depreciation and Amortization</t>
  </si>
  <si>
    <t>Resultado do serviço</t>
  </si>
  <si>
    <t>Operating Income</t>
  </si>
  <si>
    <t>Net Financial Result</t>
  </si>
  <si>
    <t>Financial Revenues</t>
  </si>
  <si>
    <t>Resultado antes do imposto de renda</t>
  </si>
  <si>
    <t>Impostos diferidos</t>
  </si>
  <si>
    <t>Deferred Taxes</t>
  </si>
  <si>
    <t>Fiscal Incentives</t>
  </si>
  <si>
    <t>Resultado do exercício</t>
  </si>
  <si>
    <t>Pará (100%)</t>
  </si>
  <si>
    <t xml:space="preserve">Resultado operacional </t>
  </si>
  <si>
    <t>Piauí (100%)</t>
  </si>
  <si>
    <t>Other Non-Managable Expenses</t>
  </si>
  <si>
    <t>Alagoas (100%)</t>
  </si>
  <si>
    <t>CEEE-D (100%)</t>
  </si>
  <si>
    <t>CEA (100%)</t>
  </si>
  <si>
    <t>Goiás (100%)</t>
  </si>
  <si>
    <t>INTESA Societário</t>
  </si>
  <si>
    <t>Transmissão de energia</t>
  </si>
  <si>
    <t>Receita de Operação e Manutenção</t>
  </si>
  <si>
    <t>Receita Financeira - Atualização TIR</t>
  </si>
  <si>
    <t>Receita Ativo de Contrato</t>
  </si>
  <si>
    <t>Ativo de contrato - Ganho/Perda de realização</t>
  </si>
  <si>
    <t>Atualização ativo de contrato em serviço</t>
  </si>
  <si>
    <t>Variação da margem do ativo de contrato</t>
  </si>
  <si>
    <t>Custo de construção</t>
  </si>
  <si>
    <t>Imposto de renda e contribuição social</t>
  </si>
  <si>
    <t>Subvenção do imposto de renda</t>
  </si>
  <si>
    <t>INTESA Regulatório</t>
  </si>
  <si>
    <t>Demonstração do resultado (R$ mil) - Contabilidade Regulatória</t>
  </si>
  <si>
    <t>Equatorial Transmissão Societário Consolidado</t>
  </si>
  <si>
    <t>Equatorial Transmissão Societary Consolidated</t>
  </si>
  <si>
    <t>Energy Transmission</t>
  </si>
  <si>
    <t>Maintenance and Operation Revenues</t>
  </si>
  <si>
    <t>Financial Revenues - IRR Update</t>
  </si>
  <si>
    <t xml:space="preserve">Atualização ativo de contrato em serviço </t>
  </si>
  <si>
    <t>Contract Asset Revenues in service Update</t>
  </si>
  <si>
    <t>Contract Asset Revenues - Gains/Losses in realization</t>
  </si>
  <si>
    <t>Receita ativo de contrato</t>
  </si>
  <si>
    <t>Contract Asset Revenues</t>
  </si>
  <si>
    <t>Contract Asset Margin Variation</t>
  </si>
  <si>
    <t>Outras Despesas Não Operacionais</t>
  </si>
  <si>
    <t>Other Non Operational Expenses</t>
  </si>
  <si>
    <t>Equivalência Patrimonial</t>
  </si>
  <si>
    <t>Patrimonial Equivalence</t>
  </si>
  <si>
    <t>Income Tax and Social Contribution</t>
  </si>
  <si>
    <t>Income Tax Subsidy</t>
  </si>
  <si>
    <t>Income Tax Incentive</t>
  </si>
  <si>
    <t>Equatorial Transmissão Regulatório Consolidado</t>
  </si>
  <si>
    <t>Equatorial Transmissão Regulatory Consolidated</t>
  </si>
  <si>
    <t>Demonstração do resultado (R$ mil) - Regulatório</t>
  </si>
  <si>
    <t>Income Statement (R$ thousand) - Regulatory</t>
  </si>
  <si>
    <t>Consolidação dos dados a partir de Março/2022</t>
  </si>
  <si>
    <t>Receita Operacional</t>
  </si>
  <si>
    <t>Deduções da receita</t>
  </si>
  <si>
    <t>Reductions to Revenue</t>
  </si>
  <si>
    <t>ICMS</t>
  </si>
  <si>
    <t>ISS</t>
  </si>
  <si>
    <t>Custos operacionais</t>
  </si>
  <si>
    <t>Engenharia e gestão de processos O&amp;M</t>
  </si>
  <si>
    <t>Engineering and management of O&amp;M processes</t>
  </si>
  <si>
    <t>Encargos de conexão e transmissão</t>
  </si>
  <si>
    <t>Connection and transmission charges</t>
  </si>
  <si>
    <t xml:space="preserve">Compra de energia </t>
  </si>
  <si>
    <t>Purchase of energy</t>
  </si>
  <si>
    <t>Gastos com pessoal</t>
  </si>
  <si>
    <t>Personnel expenses</t>
  </si>
  <si>
    <t>Materiais</t>
  </si>
  <si>
    <t>Materials</t>
  </si>
  <si>
    <t>Serviços de terceiros</t>
  </si>
  <si>
    <t>Despesas gerais e administrativas</t>
  </si>
  <si>
    <t xml:space="preserve">General and Administrative Expenses </t>
  </si>
  <si>
    <t>Remuneração baseada em ações</t>
  </si>
  <si>
    <t xml:space="preserve">Share-based compensation </t>
  </si>
  <si>
    <t xml:space="preserve">Personnel expenses </t>
  </si>
  <si>
    <t>Outras receitas (despesas) operacionais</t>
  </si>
  <si>
    <t xml:space="preserve">Other Operational Revenues (expenses) </t>
  </si>
  <si>
    <t>Equity</t>
  </si>
  <si>
    <t>Depreciação e Amortização</t>
  </si>
  <si>
    <t>IR/CS diferido</t>
  </si>
  <si>
    <t>Deferred IR/CS</t>
  </si>
  <si>
    <t>IR/CS corrente</t>
  </si>
  <si>
    <t>Current IR/CS c</t>
  </si>
  <si>
    <t>Lucro (prejuízo) líquido</t>
  </si>
  <si>
    <t>Net profit (loss)</t>
  </si>
  <si>
    <t>Echoenergia Crescimento (100%)</t>
  </si>
  <si>
    <t xml:space="preserve">                          - </t>
  </si>
  <si>
    <t>Receita abastecimento de água e serviço de esgoto</t>
  </si>
  <si>
    <t>Revenue from water supply and sewage service</t>
  </si>
  <si>
    <t>PECLD</t>
  </si>
  <si>
    <t>Others Operational Revenues/Expenses</t>
  </si>
  <si>
    <t>Amortização de ágio</t>
  </si>
  <si>
    <t>Amortization of Premium</t>
  </si>
  <si>
    <t>Operational Result</t>
  </si>
  <si>
    <t>EQUATORIAL SERVIÇOS CONSOLIDADO</t>
  </si>
  <si>
    <t>Equatorial Serviços Consolidated</t>
  </si>
  <si>
    <t>Demonstração do resultado por empresa (R$ mil)</t>
  </si>
  <si>
    <t>Income Statement per Company (R$ thousand) - IFRS</t>
  </si>
  <si>
    <t>Electricity purchased for resale</t>
  </si>
  <si>
    <t>Resultado Financeiro</t>
  </si>
  <si>
    <t>Equatorial Energia - Controladora</t>
  </si>
  <si>
    <t>Equatorial Energia - Controller</t>
  </si>
  <si>
    <t>Non-Managable Expenses</t>
  </si>
  <si>
    <t>Equivalencia patrimonial</t>
  </si>
  <si>
    <t>Goodwill amortization</t>
  </si>
  <si>
    <t>Equatorial Energia - Consolidado</t>
  </si>
  <si>
    <t>Equatorial Energia - Consolidated</t>
  </si>
  <si>
    <t>Operations with Electricity Transmission</t>
  </si>
  <si>
    <t xml:space="preserve">Operation and Maintenance Revenue </t>
  </si>
  <si>
    <t xml:space="preserve">Electricity generation </t>
  </si>
  <si>
    <t>Water supply and sewage services</t>
  </si>
  <si>
    <t>Deduções à receita operacional</t>
  </si>
  <si>
    <t>Deductions to Revenues</t>
  </si>
  <si>
    <t>Energy Purchase Cost</t>
  </si>
  <si>
    <t>Contract Asset - Loss of Realization</t>
  </si>
  <si>
    <t>CCC Subsidy</t>
  </si>
  <si>
    <t>Other Operational Revenues/Expenses</t>
  </si>
  <si>
    <t>Participações minoritárias</t>
  </si>
  <si>
    <t>Minorities</t>
  </si>
  <si>
    <t>Lucro do exercício atribuído aos acionistas da controladora</t>
  </si>
  <si>
    <t>Net Income Attributed to Controlling Shareholders</t>
  </si>
  <si>
    <t>Income Statement per Company (R$ thousand)</t>
  </si>
  <si>
    <t>Echoenergia</t>
  </si>
  <si>
    <t>Serviços</t>
  </si>
  <si>
    <t>CSA</t>
  </si>
  <si>
    <t>Holding</t>
  </si>
  <si>
    <t>PPA</t>
  </si>
  <si>
    <t>Participações e EQTD</t>
  </si>
  <si>
    <t>Eliminações</t>
  </si>
  <si>
    <t>Consolidado</t>
  </si>
  <si>
    <t xml:space="preserve">Receita Operacional </t>
  </si>
  <si>
    <t>Sistemas Isolados e Subv. CCC</t>
  </si>
  <si>
    <t>Isolated Systems and Subv. CCC</t>
  </si>
  <si>
    <t xml:space="preserve">Depreciation and amortization </t>
  </si>
  <si>
    <t xml:space="preserve">Goodwill amortization </t>
  </si>
  <si>
    <t>Intesa</t>
  </si>
  <si>
    <t>PMSO Ajustado</t>
  </si>
  <si>
    <t>Adjusted OPEX</t>
  </si>
  <si>
    <t>Ebitda Ajustado</t>
  </si>
  <si>
    <t>Adjusted EBITDA</t>
  </si>
  <si>
    <t>Resultado Financeiro Ajustado</t>
  </si>
  <si>
    <t>Adjusted Financial Revenue</t>
  </si>
  <si>
    <t>Lucro Ajustado</t>
  </si>
  <si>
    <t>Adjusted Income</t>
  </si>
  <si>
    <t>Soma Distribuidoras</t>
  </si>
  <si>
    <t>Sum Distribution</t>
  </si>
  <si>
    <t>Consolidado Grupo</t>
  </si>
  <si>
    <t>Consolidated Group</t>
  </si>
  <si>
    <t>PMSO</t>
  </si>
  <si>
    <t>OPEX</t>
  </si>
  <si>
    <t>Ebitda</t>
  </si>
  <si>
    <t>Financial Revenue</t>
  </si>
  <si>
    <t>BPs</t>
  </si>
  <si>
    <t>Balance Sheet</t>
  </si>
  <si>
    <t>Ativo (R$ MM)</t>
  </si>
  <si>
    <t>Assets (R$ MM)</t>
  </si>
  <si>
    <t>Circulante</t>
  </si>
  <si>
    <t>Current</t>
  </si>
  <si>
    <t>Caixa e equivalentes de caixa</t>
  </si>
  <si>
    <t>Cash</t>
  </si>
  <si>
    <t>Aplicações financeiras</t>
  </si>
  <si>
    <t>Short Term Investments</t>
  </si>
  <si>
    <t>Contas a receber de clientes</t>
  </si>
  <si>
    <t>Receivables</t>
  </si>
  <si>
    <t>Baixa renda</t>
  </si>
  <si>
    <t>Low Income</t>
  </si>
  <si>
    <t>Contas a receber - bandeiras tarifárias</t>
  </si>
  <si>
    <t>Receivable -  Tariff Flags</t>
  </si>
  <si>
    <t>Serviços pedidos</t>
  </si>
  <si>
    <t>Services Provided</t>
  </si>
  <si>
    <t>Partes Relacionadas</t>
  </si>
  <si>
    <t>Subvenção-CCC</t>
  </si>
  <si>
    <t>Fuel Purchase - CCC Account</t>
  </si>
  <si>
    <t>Depósitos judiciais</t>
  </si>
  <si>
    <t>Judicial Deposits</t>
  </si>
  <si>
    <t>Valores a receber da parcela A 
e outros itens financeiros</t>
  </si>
  <si>
    <t>Amounts receivable from Parcel A and other financial items</t>
  </si>
  <si>
    <t>Instrumentos financeiros derivativos</t>
  </si>
  <si>
    <t>Derivatives</t>
  </si>
  <si>
    <t>Almoxarifado</t>
  </si>
  <si>
    <t>Inventory</t>
  </si>
  <si>
    <t>Impostos e contribuições a recuperar</t>
  </si>
  <si>
    <t>Taxes Recoverable</t>
  </si>
  <si>
    <t>Impostos e contribuições sobre o lucro a recuperar</t>
  </si>
  <si>
    <t>Taxes Recoverable on Net Income</t>
  </si>
  <si>
    <t>Outros créditos a receber</t>
  </si>
  <si>
    <t>Não circulante</t>
  </si>
  <si>
    <t>Non-Current</t>
  </si>
  <si>
    <t>Aquisição de combustível - conta CCC</t>
  </si>
  <si>
    <t xml:space="preserve">Benefício pós-emprego </t>
  </si>
  <si>
    <t>Retirement and Pension Plans</t>
  </si>
  <si>
    <t>Ativo financeiro da concessão</t>
  </si>
  <si>
    <t>Financial Asset</t>
  </si>
  <si>
    <t>Investimentos</t>
  </si>
  <si>
    <t>Investments</t>
  </si>
  <si>
    <t>Adiantamento a fornecedor</t>
  </si>
  <si>
    <t>Suppliers Upfront Payment</t>
  </si>
  <si>
    <t>Intangível</t>
  </si>
  <si>
    <t>Intangible Assets</t>
  </si>
  <si>
    <t>Ativos de contrato</t>
  </si>
  <si>
    <t>Contract Asset</t>
  </si>
  <si>
    <t>Direito de Uso</t>
  </si>
  <si>
    <t>Usage Rights</t>
  </si>
  <si>
    <t>Total do ativo</t>
  </si>
  <si>
    <t>Assets</t>
  </si>
  <si>
    <t>Passivo e patrimônio líquido   (R$ MM)</t>
  </si>
  <si>
    <t>Liabilities and Shareholders' Equity (R$ MM)</t>
  </si>
  <si>
    <t>Fornecedores</t>
  </si>
  <si>
    <t>Suppliers</t>
  </si>
  <si>
    <t>Obrigações e encargos sobre folha de pagamento</t>
  </si>
  <si>
    <t>Empréstimos e financiamentos</t>
  </si>
  <si>
    <t>Loans and Financing</t>
  </si>
  <si>
    <t>Debêntures</t>
  </si>
  <si>
    <t>Debentures</t>
  </si>
  <si>
    <t>Valores a devolver de parcela A e outros itens financeiros </t>
  </si>
  <si>
    <t>Amounts to be returned from Parcel A and other financial items</t>
  </si>
  <si>
    <t>Impostos e contribuições a recolher</t>
  </si>
  <si>
    <t>Taxes Payable</t>
  </si>
  <si>
    <t>Impostos e contribuições sobre o lucro a recolher</t>
  </si>
  <si>
    <t>Taxes Payable on Net Income</t>
  </si>
  <si>
    <t>Dividendos a pagar</t>
  </si>
  <si>
    <t>Dividends</t>
  </si>
  <si>
    <t>Encargos setoriais</t>
  </si>
  <si>
    <t>Sectoral charges</t>
  </si>
  <si>
    <t>Contribuição de iluminação pública</t>
  </si>
  <si>
    <t>Public Lighting Contribution</t>
  </si>
  <si>
    <t>Pesquisa e desenvolvimento de eficiência energética</t>
  </si>
  <si>
    <t>R&amp;D in energy efficiency</t>
  </si>
  <si>
    <t>Participação nos lucros</t>
  </si>
  <si>
    <t>Profit Sharing</t>
  </si>
  <si>
    <t>Provisão para riscos cíveis, fiscais, trabalhistas e regulatórios</t>
  </si>
  <si>
    <t>Contingencies Provision</t>
  </si>
  <si>
    <t>PIS/COFINS a serem restituídos a consumidores</t>
  </si>
  <si>
    <t xml:space="preserve">Taxes to refund costumer </t>
  </si>
  <si>
    <t>Outras contas a pagar</t>
  </si>
  <si>
    <t>Passivo de arrendamento</t>
  </si>
  <si>
    <t>Leasing Liabilities</t>
  </si>
  <si>
    <t>Imposto de renda e contribuição social diferidos</t>
  </si>
  <si>
    <t>Deferred income tax and social contribution</t>
  </si>
  <si>
    <t>Participação minoritária</t>
  </si>
  <si>
    <t>Patrimônio líquido</t>
  </si>
  <si>
    <t>Shareholders' Equity</t>
  </si>
  <si>
    <t>Capital social</t>
  </si>
  <si>
    <t>Capital Stock</t>
  </si>
  <si>
    <t>Reserva de capital</t>
  </si>
  <si>
    <t>Capital Reserves</t>
  </si>
  <si>
    <t>Reservas de Lucros</t>
  </si>
  <si>
    <t>Profit Reserves</t>
  </si>
  <si>
    <t>Ajuste de avaliação patrimonial</t>
  </si>
  <si>
    <t>Asset valuation adjustment</t>
  </si>
  <si>
    <t>Lucros acumulados</t>
  </si>
  <si>
    <t>Retained Earnings</t>
  </si>
  <si>
    <t xml:space="preserve">Total do passivo e patrimônio líquido </t>
  </si>
  <si>
    <t>Total liabilities and equity</t>
  </si>
  <si>
    <t>Aplicações Financeiras</t>
  </si>
  <si>
    <t>(-) Provisão para créditos de liquidação duvidosa</t>
  </si>
  <si>
    <t>(-) Provision for Doubtful Accounts</t>
  </si>
  <si>
    <t>Valores a receber de parcela A e outros itens financeiros</t>
  </si>
  <si>
    <t>Partes relacionadas - mútuos</t>
  </si>
  <si>
    <t>Related parties - mutuals</t>
  </si>
  <si>
    <t>Outros Créditos a receber</t>
  </si>
  <si>
    <t>Recuperação de custo de energia e encargos</t>
  </si>
  <si>
    <t>Energy cost recovery and charges</t>
  </si>
  <si>
    <t>Realizável a longo prazo</t>
  </si>
  <si>
    <t>Long Term Assets</t>
  </si>
  <si>
    <t>Sub-rogação da CCC - valores aplicados</t>
  </si>
  <si>
    <t>CCC Subrogation - Investments</t>
  </si>
  <si>
    <t>Imposto de renda e contribuições social diferidos</t>
  </si>
  <si>
    <t>Benefício pós-emprego</t>
  </si>
  <si>
    <t>Permanente</t>
  </si>
  <si>
    <t>Fixed Assets</t>
  </si>
  <si>
    <t>Direito de uso</t>
  </si>
  <si>
    <t>Passivo e patrimônio líquido</t>
  </si>
  <si>
    <t>Empréstimos e Financiamentos</t>
  </si>
  <si>
    <t>Impostos sobre lucro a recolher</t>
  </si>
  <si>
    <t>Taxes Recoverable on Profit</t>
  </si>
  <si>
    <t>Pesquisa e desenvolvimento e eficiência energética</t>
  </si>
  <si>
    <t xml:space="preserve">Participação nos lucros </t>
  </si>
  <si>
    <t>Partes relacionadas</t>
  </si>
  <si>
    <t>Valores a pagar da recuperação judicial</t>
  </si>
  <si>
    <t>Amounts payable from judicial recovery</t>
  </si>
  <si>
    <t>Provisões para riscos cíveis, fiscais, trabalhistas e regulatórios</t>
  </si>
  <si>
    <t>Capital Social</t>
  </si>
  <si>
    <t>Reservas de reavaliação</t>
  </si>
  <si>
    <t>Revaluation reserves</t>
  </si>
  <si>
    <t>Reservas de capital</t>
  </si>
  <si>
    <t>Reservas de lucros</t>
  </si>
  <si>
    <t>Dividendos antecipados</t>
  </si>
  <si>
    <t>Anticipated Dividents</t>
  </si>
  <si>
    <t>Investimentos de curto prazo</t>
  </si>
  <si>
    <t>Imposto de renda e contribuição social diferido</t>
  </si>
  <si>
    <t>Ativo de Contrato</t>
  </si>
  <si>
    <t>Contractual Assets</t>
  </si>
  <si>
    <t>Imobilizado</t>
  </si>
  <si>
    <t>Immobilized</t>
  </si>
  <si>
    <t>Impostos e contribuições sobre lucro a recolher</t>
  </si>
  <si>
    <t>Provisões para processos cíveis, fiscais e trabalhistas</t>
  </si>
  <si>
    <t>Passivo de Arrendamento</t>
  </si>
  <si>
    <t>Valores a receber da parcela A e outros itens financeiros</t>
  </si>
  <si>
    <t>Plano de aposentadoria e pensão</t>
  </si>
  <si>
    <t>Retirement and pension plan</t>
  </si>
  <si>
    <t>Encargos Setoriais</t>
  </si>
  <si>
    <t>Outros resultados abrangentes</t>
  </si>
  <si>
    <t>Other comprehensive results</t>
  </si>
  <si>
    <t>Ajustes de avaliação patrimonial</t>
  </si>
  <si>
    <t>Resultado do Exercício</t>
  </si>
  <si>
    <t>Direito de Ressarcimento</t>
  </si>
  <si>
    <t>Right to Reimbursement</t>
  </si>
  <si>
    <t>Serviços Pedidos</t>
  </si>
  <si>
    <t>Derivative financial instruments</t>
  </si>
  <si>
    <t>Ativo de contrato</t>
  </si>
  <si>
    <t>Dividendos  a pagar</t>
  </si>
  <si>
    <t>Encargos do consumidor</t>
  </si>
  <si>
    <t>Provisão para processos cíveis, fiscais e trabalhistas</t>
  </si>
  <si>
    <t>Impostos e contribuições a recolher Diferidos</t>
  </si>
  <si>
    <t>Deferred Taxes Payable</t>
  </si>
  <si>
    <t>Outros Resultados Abrangentes</t>
  </si>
  <si>
    <t>Baixa renda e viva luz</t>
  </si>
  <si>
    <t>Low Income and Viva Luz</t>
  </si>
  <si>
    <t>Estoques</t>
  </si>
  <si>
    <t>Adiantamento para futuro aumento de capital</t>
  </si>
  <si>
    <t>Advance for future capital increase</t>
  </si>
  <si>
    <t>Prejuízos acumulados</t>
  </si>
  <si>
    <t>Accumulated losses</t>
  </si>
  <si>
    <t>Low income and 'Viva Luz'</t>
  </si>
  <si>
    <t xml:space="preserve">Valores a receber da parcela A </t>
  </si>
  <si>
    <t>Amounts receivable from Parcel A</t>
  </si>
  <si>
    <t>Linked deposits</t>
  </si>
  <si>
    <t>Valores a devolver da parcela A 
e outros itens financeiros</t>
  </si>
  <si>
    <t>CELG-D</t>
  </si>
  <si>
    <t xml:space="preserve">Dividendos </t>
  </si>
  <si>
    <t>AFAC</t>
  </si>
  <si>
    <t>Ativo Circulante</t>
  </si>
  <si>
    <t>Caixa e equivalente de caixa</t>
  </si>
  <si>
    <t>Linked funds</t>
  </si>
  <si>
    <t>Contas a receber</t>
  </si>
  <si>
    <t>Adiantanemento a fornecedores</t>
  </si>
  <si>
    <t>Despesas pagas antecipademente</t>
  </si>
  <si>
    <t>Expenses paid in advance</t>
  </si>
  <si>
    <t>Dividendos a receber</t>
  </si>
  <si>
    <t>Contas a receber partes relacionadas</t>
  </si>
  <si>
    <t>Accounts receivable related parties</t>
  </si>
  <si>
    <t>Instrumento financeiro derivativo</t>
  </si>
  <si>
    <t>Outras contas a receber</t>
  </si>
  <si>
    <t>Ativo Não Circulante</t>
  </si>
  <si>
    <t>Non-Circulating Assets</t>
  </si>
  <si>
    <t>Depóstivo vinculados</t>
  </si>
  <si>
    <t>Total Ativo</t>
  </si>
  <si>
    <t>Passivo Circulantes</t>
  </si>
  <si>
    <t>Current Assets</t>
  </si>
  <si>
    <t>Adiantamento de clientes</t>
  </si>
  <si>
    <t>Clients Upfront Payment</t>
  </si>
  <si>
    <t>Outras obrigações sociais e trabalhistas</t>
  </si>
  <si>
    <t>Payroll obligations and charges</t>
  </si>
  <si>
    <t>Leases</t>
  </si>
  <si>
    <t>Derivativos a pagar</t>
  </si>
  <si>
    <t>Payable Derivatives</t>
  </si>
  <si>
    <t>Passivo Não Circulante</t>
  </si>
  <si>
    <t>Outras obrigações tributárias</t>
  </si>
  <si>
    <t>Other tax obligations</t>
  </si>
  <si>
    <t>IR/CS a recolher</t>
  </si>
  <si>
    <t>Taxes to be collected</t>
  </si>
  <si>
    <t>Provisões judiciais</t>
  </si>
  <si>
    <t>Judicial provisions</t>
  </si>
  <si>
    <t>Tributos diferidos</t>
  </si>
  <si>
    <t>Deferred taxes</t>
  </si>
  <si>
    <t>Total Passivo</t>
  </si>
  <si>
    <t>Total Liabilities</t>
  </si>
  <si>
    <t>Patrimônio Líquido</t>
  </si>
  <si>
    <t>Total Passivo e Patrimônio Líquido</t>
  </si>
  <si>
    <t>Compromissos futuros</t>
  </si>
  <si>
    <t>Future commitments</t>
  </si>
  <si>
    <t>Advances to suppliers</t>
  </si>
  <si>
    <t>Provisão de ressarcimento</t>
  </si>
  <si>
    <t>Reimbursement provision</t>
  </si>
  <si>
    <t>Arrendamentos</t>
  </si>
  <si>
    <t>Financiamentos</t>
  </si>
  <si>
    <t>Compensação de infraestrutura</t>
  </si>
  <si>
    <t>Infrastructure compensation</t>
  </si>
  <si>
    <t>Provisão para desmobilização</t>
  </si>
  <si>
    <t>Provision for demobilization</t>
  </si>
  <si>
    <t>Contas a pagar sobre aquisição</t>
  </si>
  <si>
    <t>Acquisition payables</t>
  </si>
  <si>
    <t>Total Patrimônio Líquido</t>
  </si>
  <si>
    <t>PL Acionistas controladores</t>
  </si>
  <si>
    <t>PL Controlling shareholders</t>
  </si>
  <si>
    <t>PL acionistas não controladores</t>
  </si>
  <si>
    <t>PL non-controlling shareholders</t>
  </si>
  <si>
    <t>PIS e COFINS diferidos</t>
  </si>
  <si>
    <t>Deferred PIS and COFINS</t>
  </si>
  <si>
    <t>Ativo (R$ mil)</t>
  </si>
  <si>
    <t>Asset (R$ thousand)</t>
  </si>
  <si>
    <t>Contas a Receber de Clientes</t>
  </si>
  <si>
    <t>Ativos Contratuais</t>
  </si>
  <si>
    <t>Tributos e contribuições compensáveis</t>
  </si>
  <si>
    <t>Compensable taxes and contributions</t>
  </si>
  <si>
    <t>Despesas antecipadas</t>
  </si>
  <si>
    <t>Compromisso futuros</t>
  </si>
  <si>
    <t>Mútuos</t>
  </si>
  <si>
    <t>Mutuals</t>
  </si>
  <si>
    <t>Adiantamento a fornecedores</t>
  </si>
  <si>
    <t>Outros contas a receber</t>
  </si>
  <si>
    <t>Other accounts receivable</t>
  </si>
  <si>
    <t>Ativos Classificados como mantidos para venda</t>
  </si>
  <si>
    <t>Assets Classified as Held for Sale</t>
  </si>
  <si>
    <t>Ativo Financeiro da concessão</t>
  </si>
  <si>
    <t>Passivo e patrimônio líquido   (R$ mil)</t>
  </si>
  <si>
    <t>Liabilities and Shareholders' Equity (R$ thousand)</t>
  </si>
  <si>
    <t>Encargos de dívidas</t>
  </si>
  <si>
    <t>Debt charges</t>
  </si>
  <si>
    <t>Provisões de encargos societários</t>
  </si>
  <si>
    <t>Provisions for corporate charges</t>
  </si>
  <si>
    <t>Impostos e contribuições sociais sobre o lucro</t>
  </si>
  <si>
    <t>Taxes and social contributions on profit</t>
  </si>
  <si>
    <t>Pis e Cofins Diferidos</t>
  </si>
  <si>
    <t>Provisões de ressarcimento</t>
  </si>
  <si>
    <t>Passivos associados a ativos classificados mantidos para venda</t>
  </si>
  <si>
    <t>Liabilities Associated with Assets Classified as Held for Sale</t>
  </si>
  <si>
    <t xml:space="preserve">Incentivos fiscais </t>
  </si>
  <si>
    <t>Tax breaks</t>
  </si>
  <si>
    <t>Impostos e contribuição social diferido</t>
  </si>
  <si>
    <t>Impostos e contribuição a recolher</t>
  </si>
  <si>
    <t>Participação dos acionistas controladores</t>
  </si>
  <si>
    <t>Participation of controlling shareholders</t>
  </si>
  <si>
    <t>Dividendos Antecipados</t>
  </si>
  <si>
    <t>INTESA Societário Consolidado</t>
  </si>
  <si>
    <t>Investimentos de Curto Prazo</t>
  </si>
  <si>
    <t>Contas a Receber</t>
  </si>
  <si>
    <t>Ativo Financeiro</t>
  </si>
  <si>
    <t>Outros créditos</t>
  </si>
  <si>
    <t>Ativo de Contrato Transmissão</t>
  </si>
  <si>
    <t>Tributos a compensar</t>
  </si>
  <si>
    <t xml:space="preserve">Títulos e valores mobiliários </t>
  </si>
  <si>
    <t>Depósitos Judiciais</t>
  </si>
  <si>
    <t>Provisões de encargos setoriais</t>
  </si>
  <si>
    <t>Impostos e contribuições sociais</t>
  </si>
  <si>
    <t>Pis e Cofins diferidos</t>
  </si>
  <si>
    <t>Reserva de incentivos fiscais</t>
  </si>
  <si>
    <t>Reserva de retenção de lucros</t>
  </si>
  <si>
    <t>Equatorial Energia - Holding</t>
  </si>
  <si>
    <t xml:space="preserve">Dividendos a Receber </t>
  </si>
  <si>
    <t>Devolução de capital social a liquidar</t>
  </si>
  <si>
    <t>Return of share capital to be settled</t>
  </si>
  <si>
    <t>Assets classified as held for sale</t>
  </si>
  <si>
    <t>Títulos e Valores Mobiliários</t>
  </si>
  <si>
    <t>Securities and Marketable Securities</t>
  </si>
  <si>
    <t xml:space="preserve">Adiantamento para Futuro Aumento de Capital </t>
  </si>
  <si>
    <t xml:space="preserve">Imposto de Renda e Contribuição Social Diferidos </t>
  </si>
  <si>
    <t>Provisão para perdas em investimentos</t>
  </si>
  <si>
    <t>Provision for investment losses</t>
  </si>
  <si>
    <t>Valores a devolver da parcela A</t>
  </si>
  <si>
    <t>Resultado do período</t>
  </si>
  <si>
    <t>Ações em tesouraria</t>
  </si>
  <si>
    <t>Shares in Treasury</t>
  </si>
  <si>
    <t>Ativo contratuais</t>
  </si>
  <si>
    <t>Fornecedores - Risco Sacado</t>
  </si>
  <si>
    <t>Suppliers - Drawn Risk</t>
  </si>
  <si>
    <t>Valores a devolver da parcela A e outros itens financeiros</t>
  </si>
  <si>
    <t>Valores a pagar de acordo com o plano de recuperação judicial</t>
  </si>
  <si>
    <t>Amounts payable according to the judicial recovery plan</t>
  </si>
  <si>
    <t>Provisões para riscos cíveis, fiscais, trabalhistas, regulatórios e ambientais</t>
  </si>
  <si>
    <t>Compromissos Futuros</t>
  </si>
  <si>
    <t>Liabilities associated with classified assets held for sale</t>
  </si>
  <si>
    <t>Encargos setorial CCC</t>
  </si>
  <si>
    <t>Sector Charges - CCC</t>
  </si>
  <si>
    <t>Provisão para perda em investimento</t>
  </si>
  <si>
    <t>Participação controladores</t>
  </si>
  <si>
    <t>Controller Participation</t>
  </si>
  <si>
    <t>Fluxo de Caixa Indireto</t>
  </si>
  <si>
    <t>Cash Flow Statement - Indirect Method</t>
  </si>
  <si>
    <t>(R$ MM)</t>
  </si>
  <si>
    <t>(R$ million)</t>
  </si>
  <si>
    <t>3M21</t>
  </si>
  <si>
    <t>6M21</t>
  </si>
  <si>
    <t>9M21</t>
  </si>
  <si>
    <t>2021</t>
  </si>
  <si>
    <t>2022</t>
  </si>
  <si>
    <t>2023</t>
  </si>
  <si>
    <t>2024</t>
  </si>
  <si>
    <t>Fluxo de caixa das atividades operacionais</t>
  </si>
  <si>
    <t>Net Income for the period</t>
  </si>
  <si>
    <t>Ajustes para:</t>
  </si>
  <si>
    <t>Adjustments to:</t>
  </si>
  <si>
    <t>Amortização</t>
  </si>
  <si>
    <t>Amortization and depreciation</t>
  </si>
  <si>
    <t>Amortization of concession rights</t>
  </si>
  <si>
    <t>Resultado de equivalência patrimonial</t>
  </si>
  <si>
    <t>Baixa de intangível e financeiro</t>
  </si>
  <si>
    <t>Write-off of intangible assets, property, plant and equipment and financial and contract as</t>
  </si>
  <si>
    <t>Atualização do ativo financeiro</t>
  </si>
  <si>
    <t>Provisão por redução ao valor recuperável de imobilizado</t>
  </si>
  <si>
    <t>Impairment</t>
  </si>
  <si>
    <t>Encargos com geração distribuída</t>
  </si>
  <si>
    <t>Charges on distributed generation</t>
  </si>
  <si>
    <t>Margem de construção - Transmissão</t>
  </si>
  <si>
    <t>Transmission Business - Construction margin</t>
  </si>
  <si>
    <t>Operating and maintenance revenue</t>
  </si>
  <si>
    <t>Encargos de dívidas, juros, variações monetárias e cambiais líquidas</t>
  </si>
  <si>
    <t>Debt charges, interest, monetary and exchange differences, net</t>
  </si>
  <si>
    <t>Perdas (ganhos) com instrumentos derivativos</t>
  </si>
  <si>
    <t>Income (loss) from derivative financial instruments</t>
  </si>
  <si>
    <t>Rendimentos de aplicações financeiras</t>
  </si>
  <si>
    <t>Yield on cash and cash equivalents</t>
  </si>
  <si>
    <t>Provisão e atualização do ressarcimento</t>
  </si>
  <si>
    <t>Provision and restatement of reimbursement</t>
  </si>
  <si>
    <t>Realização futura de contratos de energia elétrica</t>
  </si>
  <si>
    <t>Ajuste a valor presente</t>
  </si>
  <si>
    <t>Adjustment to the present value</t>
  </si>
  <si>
    <t>Provisão para redução ao valor recuperável - FUNAC</t>
  </si>
  <si>
    <t>Encargos financeiros sobre perdas estimadas em créditos de liquidação duvidosa</t>
  </si>
  <si>
    <t>Provisão e atualização de encargos setoriais</t>
  </si>
  <si>
    <t>Provisão e atualização para riscos judiciais</t>
  </si>
  <si>
    <t>Valores a (receber) devolver de parcela A e outros itens financeiros</t>
  </si>
  <si>
    <t xml:space="preserve">PIS e COFINS diferidos </t>
  </si>
  <si>
    <t>Imposto de renda e contribuição social correntes</t>
  </si>
  <si>
    <t>Valor justo das opções de compra de ações</t>
  </si>
  <si>
    <t>Opção de compra de ações</t>
  </si>
  <si>
    <t>Resultado na alienação de investimento</t>
  </si>
  <si>
    <t>Recuperação de despesas</t>
  </si>
  <si>
    <t>Ganho na alienação de bens e direitos</t>
  </si>
  <si>
    <t>Reversão de impairment de bens e direitos</t>
  </si>
  <si>
    <t>Provisão para perda de estoque</t>
  </si>
  <si>
    <t>Provision (reversal) of inventory losses</t>
  </si>
  <si>
    <t>Variações nos ativos e passivos, circulantes e não circulantes:</t>
  </si>
  <si>
    <t>Devolução de capital a liquidar</t>
  </si>
  <si>
    <t xml:space="preserve">Impostos e contribuições a recuperar </t>
  </si>
  <si>
    <t>Sub-rogação da CCC</t>
  </si>
  <si>
    <t>Valores a receber da parcela A e outros itens financeiros </t>
  </si>
  <si>
    <t xml:space="preserve">Ativos de contrato </t>
  </si>
  <si>
    <t>Fornecedores risco sacado</t>
  </si>
  <si>
    <t>Imposto de renda e contribuição social (diferido)</t>
  </si>
  <si>
    <t>Riscos judiciais pagos</t>
  </si>
  <si>
    <t xml:space="preserve">Provisão para riscos judiciais </t>
  </si>
  <si>
    <t>Ativos/Passivos classificados como mantidos para venda</t>
  </si>
  <si>
    <t>Caixa proveniente das atividades operacionais</t>
  </si>
  <si>
    <t>Imposto de renda e contribuição social pagos</t>
  </si>
  <si>
    <t>Juros pagos</t>
  </si>
  <si>
    <t>Fluxo de caixa líquido proveniente das atividades operacionais</t>
  </si>
  <si>
    <t>Fluxo de caixa de atividades de investimento</t>
  </si>
  <si>
    <t>Aquisições no intangível</t>
  </si>
  <si>
    <t>Devolução do preço pago pelo antigo controlador</t>
  </si>
  <si>
    <t>Aquisições no imobilizado</t>
  </si>
  <si>
    <t>Aquisições de ativos de contrato</t>
  </si>
  <si>
    <t>Adiçoes de obrigações especiais</t>
  </si>
  <si>
    <t>Reorganização societária</t>
  </si>
  <si>
    <t>Aumento de capital em investidas</t>
  </si>
  <si>
    <t>Redução de capital em investida</t>
  </si>
  <si>
    <t>Alienação de investimentos</t>
  </si>
  <si>
    <t>Aquisição de participação em controlada dos acionistas não-controladores</t>
  </si>
  <si>
    <t>Aquisição de participação em investida</t>
  </si>
  <si>
    <t>Aquisição de participação em coligada</t>
  </si>
  <si>
    <t>Caixa líquido adquirido na aquisição de investimento</t>
  </si>
  <si>
    <t>Caixa líquido de subsidiárias alienadas</t>
  </si>
  <si>
    <t>Caixa líquido de subsidiária indireta em processo de alienação</t>
  </si>
  <si>
    <t>Resgates (aplicações) financeiras</t>
  </si>
  <si>
    <t>Fluxo de caixa utilizado nas atividades de investimento</t>
  </si>
  <si>
    <t>Fluxo de caixa de atividades de financiamento</t>
  </si>
  <si>
    <t>Amortização de empréstimos e financiamentos</t>
  </si>
  <si>
    <t>Captação de empréstimos e financiamentos</t>
  </si>
  <si>
    <t>Captação de debêntures</t>
  </si>
  <si>
    <t>Amortização de debêntures</t>
  </si>
  <si>
    <t>Integralização de capital</t>
  </si>
  <si>
    <t>Amortização do passivo de arrendamento</t>
  </si>
  <si>
    <t>Recebimento de instrumentos financeiro derivativos</t>
  </si>
  <si>
    <t>Valores pagos referente a acordos com plano de recuperação judicial</t>
  </si>
  <si>
    <t>Partes relacionadas - recebimento de mútuo</t>
  </si>
  <si>
    <t>Aumento de capital</t>
  </si>
  <si>
    <t>Dividendos pagos</t>
  </si>
  <si>
    <t>Recompra de ações próprias</t>
  </si>
  <si>
    <t>Resultado com alienação de ações em tesouraria</t>
  </si>
  <si>
    <t>Adiantamente para futuro aumento de capital - AFAC</t>
  </si>
  <si>
    <t>Fluxo de caixa líquido proveniente das atividades de financiamento</t>
  </si>
  <si>
    <t xml:space="preserve">Aumento (redução) em caixa e equivalentes de caixa </t>
  </si>
  <si>
    <t>Caixa e equivalentes de caixa no início do exercício</t>
  </si>
  <si>
    <t>Caixa e equivalentes de caixa no final do exercício</t>
  </si>
  <si>
    <t>Perdas estimadas em créditos de liquidação duvidosa</t>
  </si>
  <si>
    <t>Provisão e atualização de processos judiciais</t>
  </si>
  <si>
    <t>Imposto de renda e contribuições sociais diferidos</t>
  </si>
  <si>
    <t xml:space="preserve">Plano de aposentadoria e pensão </t>
  </si>
  <si>
    <t>Provisão (reversão) para perdas de estoques</t>
  </si>
  <si>
    <t>Pagamento de processos judiciais</t>
  </si>
  <si>
    <t>Encargos de geração distribuída</t>
  </si>
  <si>
    <t>Rio Grande do Sul</t>
  </si>
  <si>
    <t>Atualização de PIS/COFINS a recuperar</t>
  </si>
  <si>
    <t>Provisão para riscos judiciais</t>
  </si>
  <si>
    <t>Amapá</t>
  </si>
  <si>
    <t>Companhia de Saneamento do Amapá</t>
  </si>
  <si>
    <t>Equatorial - Holding</t>
  </si>
  <si>
    <t>Alienação e aquisição de investimentos</t>
  </si>
  <si>
    <t>Equatorial - Consolidado</t>
  </si>
  <si>
    <t>Rendimento de aplicações financeiras</t>
  </si>
  <si>
    <t xml:space="preserve">Provisão e atualização de riscos judiciais </t>
  </si>
  <si>
    <t>Impostos de renda e contribuições sociais correntes</t>
  </si>
  <si>
    <t>Valor justo das opções de compra</t>
  </si>
  <si>
    <t>Plano de aposentadoria e pensão e benfício pós emprego</t>
  </si>
  <si>
    <t>Adiantamento para futuro aumento de capital - AFAC</t>
  </si>
  <si>
    <t>Dívida e CAPEX</t>
  </si>
  <si>
    <t>Dívida</t>
  </si>
  <si>
    <t>CAPEX</t>
  </si>
  <si>
    <t>Debt and Capex</t>
  </si>
  <si>
    <t>Debt</t>
  </si>
  <si>
    <t>Capex</t>
  </si>
  <si>
    <t>Indexador</t>
  </si>
  <si>
    <t>Spread</t>
  </si>
  <si>
    <t>2028 a 2034</t>
  </si>
  <si>
    <t>2035 a 2044</t>
  </si>
  <si>
    <t>2045 a 2052</t>
  </si>
  <si>
    <t>Moeda Nacional</t>
  </si>
  <si>
    <t>% do CDI</t>
  </si>
  <si>
    <t>CDI+</t>
  </si>
  <si>
    <t>IPCA</t>
  </si>
  <si>
    <t>+ 4,17% a.a.</t>
  </si>
  <si>
    <t>IGP-M</t>
  </si>
  <si>
    <t>+ 1,0% aa</t>
  </si>
  <si>
    <t>Pré-fixado (R$)</t>
  </si>
  <si>
    <t>1% a 10%  aa</t>
  </si>
  <si>
    <t>AVP/Custo de Captação</t>
  </si>
  <si>
    <t>Equatorial Pará (Total)</t>
  </si>
  <si>
    <t>CDI +</t>
  </si>
  <si>
    <t>+ 4,1% a + 6,3% aa</t>
  </si>
  <si>
    <t>Equatorial Maranhão (Total)</t>
  </si>
  <si>
    <t xml:space="preserve"> +3,9% a 4,4% aa</t>
  </si>
  <si>
    <t>+5,0% aa</t>
  </si>
  <si>
    <t>Equatorial Piauí (Total)</t>
  </si>
  <si>
    <t>IPCA+</t>
  </si>
  <si>
    <t>+3,92 à 4,4% a.a.</t>
  </si>
  <si>
    <t>SELIC</t>
  </si>
  <si>
    <t>Equatorial Alagoas (Total)</t>
  </si>
  <si>
    <t>5,4% à 7,38% a.a.</t>
  </si>
  <si>
    <t>Equatorial Rio Grande do Sul (Total)</t>
  </si>
  <si>
    <t>+ 6,5%</t>
  </si>
  <si>
    <t>Equatorial Energia (Total)</t>
  </si>
  <si>
    <t>Equatorial Serviços</t>
  </si>
  <si>
    <t>+ 1,48% a.a.</t>
  </si>
  <si>
    <t>ENOVA</t>
  </si>
  <si>
    <t>+ 1,12%  a.a.</t>
  </si>
  <si>
    <t>+ 1,1% a 2,3% a.a.</t>
  </si>
  <si>
    <t>Enova (Total)</t>
  </si>
  <si>
    <t>Telecom</t>
  </si>
  <si>
    <t>1,7%  aa</t>
  </si>
  <si>
    <t>Telecom (Total)</t>
  </si>
  <si>
    <t>+ 0,96% à 11% a.a.</t>
  </si>
  <si>
    <t>TJLP+</t>
  </si>
  <si>
    <t>+ 0% à 2,88% a.a.</t>
  </si>
  <si>
    <t>+ 2,5% à 7,6% a.a.</t>
  </si>
  <si>
    <t>Echoenergia (Total)</t>
  </si>
  <si>
    <t>Equatorial Goiás</t>
  </si>
  <si>
    <t>Equatorial Goias (Total)</t>
  </si>
  <si>
    <t xml:space="preserve">Equatorial </t>
  </si>
  <si>
    <t>+0,7% à 1,7% a.a.</t>
  </si>
  <si>
    <t>Equatorial Consolidado</t>
  </si>
  <si>
    <t>Equatorial Energia</t>
  </si>
  <si>
    <t>CELG</t>
  </si>
  <si>
    <t>Dívida bruta</t>
  </si>
  <si>
    <t>Gross Debt</t>
  </si>
  <si>
    <t>Disponibilidades</t>
  </si>
  <si>
    <t>Cash Position</t>
  </si>
  <si>
    <t>Ativo reg. líquido</t>
  </si>
  <si>
    <t>Net Regulatory Assets</t>
  </si>
  <si>
    <t>Sub rogação CCC</t>
  </si>
  <si>
    <t>CCC Subrogation</t>
  </si>
  <si>
    <t>Ativos financeiros sobras fisicas</t>
  </si>
  <si>
    <t>Baixa Renda a Receber</t>
  </si>
  <si>
    <t>Swap</t>
  </si>
  <si>
    <t>Dívida líquida</t>
  </si>
  <si>
    <t>Net Debt</t>
  </si>
  <si>
    <t>Dívida Líquida (Proporcional)</t>
  </si>
  <si>
    <t>Dívida Curto prazo</t>
  </si>
  <si>
    <t>Empresa</t>
  </si>
  <si>
    <t>Grupo</t>
  </si>
  <si>
    <t>Instituição</t>
  </si>
  <si>
    <t>Moeda</t>
  </si>
  <si>
    <t>Início</t>
  </si>
  <si>
    <t>Vencto.</t>
  </si>
  <si>
    <t>Encargos Financeiros</t>
  </si>
  <si>
    <t>Prazo Médio (anos)</t>
  </si>
  <si>
    <t>Frequência Amortização</t>
  </si>
  <si>
    <t>Total Contabilizado</t>
  </si>
  <si>
    <t>Empréstimos e Financiamentos - Moeda Estrangeira</t>
  </si>
  <si>
    <t>Scotiabank</t>
  </si>
  <si>
    <t>CDI</t>
  </si>
  <si>
    <t>US$</t>
  </si>
  <si>
    <t>Anual</t>
  </si>
  <si>
    <t>R$</t>
  </si>
  <si>
    <t>Bullet</t>
  </si>
  <si>
    <t>CITIBANK</t>
  </si>
  <si>
    <t>Anual após carência</t>
  </si>
  <si>
    <t>Semestral</t>
  </si>
  <si>
    <t>(-) Custo de Captação Debentures</t>
  </si>
  <si>
    <t>CCAP/AVP</t>
  </si>
  <si>
    <t>PRÉ-FIXADO</t>
  </si>
  <si>
    <t>Mensal</t>
  </si>
  <si>
    <t>BOFA</t>
  </si>
  <si>
    <t>Empréstimos e Financiamentos - Moeda Nacional</t>
  </si>
  <si>
    <t>Nota Comercial</t>
  </si>
  <si>
    <t>BNDES</t>
  </si>
  <si>
    <t>SANTANDER</t>
  </si>
  <si>
    <t>(-) Custo de captação</t>
  </si>
  <si>
    <t>BASA</t>
  </si>
  <si>
    <t xml:space="preserve">Semestral </t>
  </si>
  <si>
    <t>TJLP</t>
  </si>
  <si>
    <t>TJLP + 2,18%</t>
  </si>
  <si>
    <t>BNB</t>
  </si>
  <si>
    <t>TJLP + 2,02%</t>
  </si>
  <si>
    <t>TJLP + 2,65%</t>
  </si>
  <si>
    <t>IPCA + 7,64%</t>
  </si>
  <si>
    <t>IPCA + 2,57%</t>
  </si>
  <si>
    <t>IPCA + 2,67%</t>
  </si>
  <si>
    <t>IPCA + 2,11%</t>
  </si>
  <si>
    <t>IPCA + 2,18%</t>
  </si>
  <si>
    <t>IPCA + 5,95%</t>
  </si>
  <si>
    <t>Banco do Brasil</t>
  </si>
  <si>
    <t>IPCA + 1,04%</t>
  </si>
  <si>
    <t>IPCA + 5,29%</t>
  </si>
  <si>
    <t>IPCA + 0,96%</t>
  </si>
  <si>
    <t>IPCA + 1,83%</t>
  </si>
  <si>
    <t>TJLP + 2,55%</t>
  </si>
  <si>
    <t>IPCA + 7,06%</t>
  </si>
  <si>
    <t>IPCA + 8,00%</t>
  </si>
  <si>
    <t>IPCA + 7,57%</t>
  </si>
  <si>
    <t>IPCA + 7,55%</t>
  </si>
  <si>
    <t>IPCA + 9,00%</t>
  </si>
  <si>
    <t>TJLP + 2,88%</t>
  </si>
  <si>
    <t>IPCA + 6,84%</t>
  </si>
  <si>
    <t>IPCA + 4,60%</t>
  </si>
  <si>
    <t>IPCA + 11,00%</t>
  </si>
  <si>
    <t>IPCA + 6,90%</t>
  </si>
  <si>
    <t>IPCA + 4,75%</t>
  </si>
  <si>
    <t>Equatorial Alagoas</t>
  </si>
  <si>
    <t>Trimestral</t>
  </si>
  <si>
    <t>IFC</t>
  </si>
  <si>
    <t>CELGPAR</t>
  </si>
  <si>
    <t>Equatorial Maranhão</t>
  </si>
  <si>
    <t>CEF</t>
  </si>
  <si>
    <t>Equatorial Pará</t>
  </si>
  <si>
    <t>Empréstimos e Financiamentos RJ - Moeda Nacional</t>
  </si>
  <si>
    <t>DAYCOVAL</t>
  </si>
  <si>
    <t>BANPARÁ</t>
  </si>
  <si>
    <t>AVP/RJ</t>
  </si>
  <si>
    <t>Equatorial Piauí</t>
  </si>
  <si>
    <t>CCEE</t>
  </si>
  <si>
    <t>BOCOM</t>
  </si>
  <si>
    <t>Equatorial Telecom</t>
  </si>
  <si>
    <t>Investimentos (R$MM)</t>
  </si>
  <si>
    <t>Investments (R$MM)</t>
  </si>
  <si>
    <t>Ativos elétricos</t>
  </si>
  <si>
    <t>Electrical Assets</t>
  </si>
  <si>
    <t>Obrigações especiais</t>
  </si>
  <si>
    <t>Special Obligations</t>
  </si>
  <si>
    <t>Ativos não elétricos</t>
  </si>
  <si>
    <t>Non electric Assets</t>
  </si>
  <si>
    <t>Geramar</t>
  </si>
  <si>
    <t>Geração</t>
  </si>
  <si>
    <t>Generation</t>
  </si>
  <si>
    <t>SPEs</t>
  </si>
  <si>
    <t>Enova</t>
  </si>
  <si>
    <t>Projetos em Construção</t>
  </si>
  <si>
    <t>Projects under Construction</t>
  </si>
  <si>
    <t>Manutenção, Renovação e Melhorias</t>
  </si>
  <si>
    <t>Maintenance, Renewal and Improvements</t>
  </si>
  <si>
    <t>Outros Investimentos</t>
  </si>
  <si>
    <t>Other investments</t>
  </si>
  <si>
    <t>Ativos/Passivos Regulatórios Líquidos</t>
  </si>
  <si>
    <t>Net Regulatory Assets/Liabilities</t>
  </si>
  <si>
    <t>Ativos regulatórios</t>
  </si>
  <si>
    <t>Regulatory Assets</t>
  </si>
  <si>
    <t>Passivos regulatórios</t>
  </si>
  <si>
    <t>Regulatory Liabilities</t>
  </si>
  <si>
    <t>Ativo Regulatório Líquido (p/ Dívida Líquida)</t>
  </si>
  <si>
    <t>Net Regulatory Assets (Net Debt)</t>
  </si>
  <si>
    <t>Rec. ult. demanda / energia reativa</t>
  </si>
  <si>
    <t>UDER Revenues</t>
  </si>
  <si>
    <t>Ativo regulatório líquido</t>
  </si>
  <si>
    <t>Ativos Regulatórios</t>
  </si>
  <si>
    <t>Constituição CVAs</t>
  </si>
  <si>
    <t>CVAs Constitution</t>
  </si>
  <si>
    <t>CDE</t>
  </si>
  <si>
    <t>Proinfa</t>
  </si>
  <si>
    <t>ESS</t>
  </si>
  <si>
    <t>Itaipu</t>
  </si>
  <si>
    <t>Rede básica</t>
  </si>
  <si>
    <t>Basic Network</t>
  </si>
  <si>
    <t>Compra de energia</t>
  </si>
  <si>
    <t>Purchase of Energy</t>
  </si>
  <si>
    <t>Neutralidade</t>
  </si>
  <si>
    <t>Neutrality</t>
  </si>
  <si>
    <t>Sobrecontratação</t>
  </si>
  <si>
    <t>Overcontraction</t>
  </si>
  <si>
    <t>Amortização CVAs</t>
  </si>
  <si>
    <t>CVAs Amortization</t>
  </si>
  <si>
    <t>Energia RTE</t>
  </si>
  <si>
    <t>RTE Energy</t>
  </si>
  <si>
    <t>Neutralidade parc. A</t>
  </si>
  <si>
    <t>Parcel A Neutrality</t>
  </si>
  <si>
    <t>Outros ativos regulatórios</t>
  </si>
  <si>
    <t>Other Regulatory Assets</t>
  </si>
  <si>
    <t>PIS/COFINS</t>
  </si>
  <si>
    <t>PIS/CONFINS</t>
  </si>
  <si>
    <t>Garantia CCEAR</t>
  </si>
  <si>
    <t>CCEAR Guarantee</t>
  </si>
  <si>
    <t>Saldo final</t>
  </si>
  <si>
    <t>Final Balance</t>
  </si>
  <si>
    <t>Passivos Regulatórios</t>
  </si>
  <si>
    <t>CEPISA violação do limite de continuidade</t>
  </si>
  <si>
    <t>CEPISA violation of the continuity limit</t>
  </si>
  <si>
    <t>Exposição financeira</t>
  </si>
  <si>
    <t>Financial exposure</t>
  </si>
  <si>
    <t>Devolução PIS/COFINS</t>
  </si>
  <si>
    <t>PIS/COFINS refund</t>
  </si>
  <si>
    <t>Sistemas Isolados (Pará)</t>
  </si>
  <si>
    <t>Isolated Systems (Pará)</t>
  </si>
  <si>
    <t>Receitas / Reembolsos</t>
  </si>
  <si>
    <t>Income/Refunds</t>
  </si>
  <si>
    <t>Receita de ACR</t>
  </si>
  <si>
    <t>ACR Revenue</t>
  </si>
  <si>
    <t>(-) Pis/Cofins</t>
  </si>
  <si>
    <t>Custos / Despesas</t>
  </si>
  <si>
    <t>Costs / Expenses</t>
  </si>
  <si>
    <t>Service to Third Parties</t>
  </si>
  <si>
    <t>Energy and power contracting - SI</t>
  </si>
  <si>
    <t>Superávit (Défict) do SI</t>
  </si>
  <si>
    <t>SI Surplus (Deficit)</t>
  </si>
  <si>
    <t>Energia Injetada (GWh)</t>
  </si>
  <si>
    <t>Injected Energy (GWh)</t>
  </si>
  <si>
    <t>Sistemas Isolados (Amapá)</t>
  </si>
  <si>
    <t>Isolated Systems (Amapá)</t>
  </si>
  <si>
    <t>OK</t>
  </si>
  <si>
    <t>IRPJ / CSLL 4T21 (R$ milhões)</t>
  </si>
  <si>
    <t>Taxes 4Q21 (R$ million)</t>
  </si>
  <si>
    <t>LAIR (a)</t>
  </si>
  <si>
    <t>EBT (a)</t>
  </si>
  <si>
    <t>Despesas IRPJ / CSLL</t>
  </si>
  <si>
    <t xml:space="preserve">IRPJ / CSLL Expenses </t>
  </si>
  <si>
    <t>(+) Ativo Fiscal Diferido</t>
  </si>
  <si>
    <t xml:space="preserve">(+) Deferred Tax Asset </t>
  </si>
  <si>
    <t>(=) Imposto Calculado</t>
  </si>
  <si>
    <t xml:space="preserve">(=) Calculated Tax </t>
  </si>
  <si>
    <t>(=) Imposto Caixa (b)</t>
  </si>
  <si>
    <t xml:space="preserve">(=) Cash Tax (b) </t>
  </si>
  <si>
    <t>(b/a) Taxa Efetiva</t>
  </si>
  <si>
    <t xml:space="preserve">(b/a) Effective Rate </t>
  </si>
  <si>
    <t>Lucro Real</t>
  </si>
  <si>
    <t xml:space="preserve">Real profit </t>
  </si>
  <si>
    <t>Taxa Efetiva sobre Lucro Real</t>
  </si>
  <si>
    <t>Effective Rate on Real Profit</t>
  </si>
  <si>
    <t>IRPJ / CSLL 1T22 (R$ milhões)</t>
  </si>
  <si>
    <t>IRPJ / CSLL 1Q22 (R$ million)</t>
  </si>
  <si>
    <t>IRPJ / CSLL 2T22 (R$ milhões)</t>
  </si>
  <si>
    <t>IRPJ / CSLL 3T22 (R$ milhões)</t>
  </si>
  <si>
    <t>IRPJ / CSLL 4T22 (R$ milhões)</t>
  </si>
  <si>
    <t>IRPJ / CSLL 1T23 (R$ milhões)</t>
  </si>
  <si>
    <t>IRPJ / CSLL 1Q23 (R$ million)</t>
  </si>
  <si>
    <t>IRPJ / CSLL 2T23 (R$ milhões)</t>
  </si>
  <si>
    <t>IRPJ / CSLL 3T23 (R$ milhões)</t>
  </si>
  <si>
    <t>IRPJ / CSLL 4T23 (R$ milhões)</t>
  </si>
  <si>
    <t>IRPJ / CSLL 1T24 (R$ milhões)</t>
  </si>
  <si>
    <t>IRPJ / CSLL 1Q24 (R$ million)</t>
  </si>
  <si>
    <t>IRPJ / CSLL 2T24 (R$ milhões)</t>
  </si>
  <si>
    <t>IRPJ / CSLL 3T24 (R$ milhões)</t>
  </si>
  <si>
    <t>IRPJ / CSLL 4T24 (R$ milhões)</t>
  </si>
  <si>
    <t>IRPJ / CSLL 1T25 (R$ milhões)</t>
  </si>
  <si>
    <t>IRPJ / CSLL 1Q25 (R$ million)</t>
  </si>
  <si>
    <t>IRPJ / CSLL 2T25 (R$ milhões)</t>
  </si>
  <si>
    <t>Dados Regulatórios</t>
  </si>
  <si>
    <t>Área de concessão (km²)</t>
  </si>
  <si>
    <r>
      <rPr>
        <sz val="9"/>
        <color rgb="FF000000"/>
        <rFont val="Calibri"/>
        <family val="2"/>
        <scheme val="minor"/>
      </rPr>
      <t>Concession Area (km²</t>
    </r>
    <r>
      <rPr>
        <sz val="10"/>
        <color rgb="FF000000"/>
        <rFont val="Trebuchet MS"/>
        <family val="2"/>
      </rPr>
      <t>)</t>
    </r>
  </si>
  <si>
    <t>Municípios atendidos</t>
  </si>
  <si>
    <t>Municipalities Covered</t>
  </si>
  <si>
    <t>População Atendida (milhões de pessoas)</t>
  </si>
  <si>
    <t xml:space="preserve">Population </t>
  </si>
  <si>
    <t>Número de subestações</t>
  </si>
  <si>
    <t>Substations</t>
  </si>
  <si>
    <t>Installed Capacity (MVA)</t>
  </si>
  <si>
    <t>Linhas de Transmissão (em km)</t>
  </si>
  <si>
    <t>Transmission Lines (km)</t>
  </si>
  <si>
    <t>Linhas de Distribuição (em km)</t>
  </si>
  <si>
    <t>Distribution Lines (km)</t>
  </si>
  <si>
    <t>Transformadores de Distribuição</t>
  </si>
  <si>
    <t>Distribution Transformers</t>
  </si>
  <si>
    <t>ND</t>
  </si>
  <si>
    <t>BRR Líquida (Última RTP) - R$ Milhões</t>
  </si>
  <si>
    <t>Regulatory Remuneration Base (Last RTP) - R$ millions</t>
  </si>
  <si>
    <t>Parcela B Vigente - R$ Milhões</t>
  </si>
  <si>
    <t>Current Parcel B - R$ millions</t>
  </si>
  <si>
    <t>Tarifa fio B Vigente - R$</t>
  </si>
  <si>
    <t>Current Parcel-B Tariff - R$</t>
  </si>
  <si>
    <t>Último processo Tarifário</t>
  </si>
  <si>
    <t>Last Tariff Process</t>
  </si>
  <si>
    <t>RTA 2025</t>
  </si>
  <si>
    <t>Contrato Antigo</t>
  </si>
  <si>
    <t>Old Contract</t>
  </si>
  <si>
    <t>Processo</t>
  </si>
  <si>
    <t>Process</t>
  </si>
  <si>
    <t>RTP</t>
  </si>
  <si>
    <t>RTA</t>
  </si>
  <si>
    <t>BRR Líquida</t>
  </si>
  <si>
    <t>Net Regulatory Remuneration Base</t>
  </si>
  <si>
    <t>Custo de Administração, Operação e Manutenção (CAOM)</t>
  </si>
  <si>
    <t>Cost of Administration, Operation and Maintenance (CAOM)</t>
  </si>
  <si>
    <t>Custos Operacionais (CO)</t>
  </si>
  <si>
    <t>Operational Costs (CO)</t>
  </si>
  <si>
    <t>Receitas Irrecuperáveis - Encargos Setoriais (Vi)</t>
  </si>
  <si>
    <t>Irrecoverable Revenue - Sectoral Charges (Vi)</t>
  </si>
  <si>
    <t>Demais Receitas Irrecuperáveis (Vse)</t>
  </si>
  <si>
    <t>Other Irrecoverable Income (Vse)</t>
  </si>
  <si>
    <t>Custo Anual dos Ativos (CAA)</t>
  </si>
  <si>
    <t>Annual Cost of Assets (CAA)</t>
  </si>
  <si>
    <t>Remuneração do Capital (RC)</t>
  </si>
  <si>
    <t>Capital Remuneration (RC)</t>
  </si>
  <si>
    <t>Quota de Reintegração Regulatória (QRR)</t>
  </si>
  <si>
    <t>Regulatory Reintegration Quota (QRR)</t>
  </si>
  <si>
    <t>Custo anual das instalações móveis e imóveis (CAIMI)</t>
  </si>
  <si>
    <t>Annual cost of mobile and immovable installations (CAIMI)</t>
  </si>
  <si>
    <t>CAOM + CAA</t>
  </si>
  <si>
    <t>VPB com ajustes de Mercado e Qualidade</t>
  </si>
  <si>
    <t>VPB with Market and Quality Adjustments</t>
  </si>
  <si>
    <t>Ajuste de PB associado ao SCEE</t>
  </si>
  <si>
    <t>PB Adjustment associated with the SCEE</t>
  </si>
  <si>
    <t>(-) Outras Receitas</t>
  </si>
  <si>
    <t>(-) Other Revenues</t>
  </si>
  <si>
    <t>(-) Ultrapassagem de Demanda</t>
  </si>
  <si>
    <t>(-) Demand Exceedance</t>
  </si>
  <si>
    <t>(-) Excedente de Reativo</t>
  </si>
  <si>
    <t>(-) Reactive Surplus</t>
  </si>
  <si>
    <t>(-) UDEROR</t>
  </si>
  <si>
    <t>Receitas Irrecuperáveis</t>
  </si>
  <si>
    <t>Irrecoverable Revenues</t>
  </si>
  <si>
    <t>Parcela B (VPB) - R$ Milhões</t>
  </si>
  <si>
    <t>Parcel B (VPB) - R$ millions</t>
  </si>
  <si>
    <t>Mercado (GWh)</t>
  </si>
  <si>
    <t>Market (GWh)</t>
  </si>
  <si>
    <t>Tarifa Fio B - R$</t>
  </si>
  <si>
    <t>Parcel B Tariff - R$</t>
  </si>
  <si>
    <t>Fator X</t>
  </si>
  <si>
    <t>Factor X</t>
  </si>
  <si>
    <t>Pd</t>
  </si>
  <si>
    <t>T</t>
  </si>
  <si>
    <t>Q</t>
  </si>
  <si>
    <t>Próxima RTP - 2027 (4 anos)</t>
  </si>
  <si>
    <t>Next RTP - 2027 (4 years)</t>
  </si>
  <si>
    <t>Contrato Novo</t>
  </si>
  <si>
    <t>New Contract</t>
  </si>
  <si>
    <t>RTE</t>
  </si>
  <si>
    <t>Próxima RTP - 2028 (5 anos)</t>
  </si>
  <si>
    <t>Next RTP - 2028 (5 years)</t>
  </si>
  <si>
    <t>Vencimento da Concessão - out/48</t>
  </si>
  <si>
    <t>Concession Expiration - out/48</t>
  </si>
  <si>
    <t>Vencimento da Concessão - mar/49</t>
  </si>
  <si>
    <t>Concession Expiration - mar/49</t>
  </si>
  <si>
    <t>Próxima RTP - 2026 (5 anos)</t>
  </si>
  <si>
    <t>Next RTP - 2026 (5 years)</t>
  </si>
  <si>
    <t>Vencimento da Concessão - nov/45</t>
  </si>
  <si>
    <t>Concession Expiration - jul/45</t>
  </si>
  <si>
    <t>Vencimento da Concessão - nov/51</t>
  </si>
  <si>
    <t>Concession Expiration - nov/51</t>
  </si>
  <si>
    <t>Vencimento da Concessão - out/45</t>
  </si>
  <si>
    <t>Benefício de Redução de 75% do IRPJ</t>
  </si>
  <si>
    <t xml:space="preserve">Empresa </t>
  </si>
  <si>
    <t>Autarquia</t>
  </si>
  <si>
    <t xml:space="preserve">Laudo </t>
  </si>
  <si>
    <t>Percentual de receita incentivada</t>
  </si>
  <si>
    <t xml:space="preserve">Prazo de Fruição </t>
  </si>
  <si>
    <t xml:space="preserve">Inicío </t>
  </si>
  <si>
    <t xml:space="preserve">Final </t>
  </si>
  <si>
    <t>Sudene</t>
  </si>
  <si>
    <t>Sudam</t>
  </si>
  <si>
    <t>EQTL MA</t>
  </si>
  <si>
    <t>37/2023</t>
  </si>
  <si>
    <t>EQTL PA</t>
  </si>
  <si>
    <t>EQTL PI</t>
  </si>
  <si>
    <t>38/2023</t>
  </si>
  <si>
    <t>EQTL AL</t>
  </si>
  <si>
    <t>91/2023</t>
  </si>
  <si>
    <t>88/2023</t>
  </si>
  <si>
    <t>EQTL TELECOM</t>
  </si>
  <si>
    <t>139/2023</t>
  </si>
  <si>
    <t>**</t>
  </si>
  <si>
    <t>214/2023</t>
  </si>
  <si>
    <t>Classe A</t>
  </si>
  <si>
    <t>Class A</t>
  </si>
  <si>
    <t>Estrutura Societária</t>
  </si>
  <si>
    <t>(+) Investimento</t>
  </si>
  <si>
    <t>(+) Investment</t>
  </si>
  <si>
    <r>
      <t xml:space="preserve">(+) Correção da </t>
    </r>
    <r>
      <rPr>
        <i/>
        <sz val="10"/>
        <color theme="1"/>
        <rFont val="Calibri"/>
        <family val="2"/>
        <scheme val="minor"/>
      </rPr>
      <t>Call</t>
    </r>
    <r>
      <rPr>
        <sz val="10"/>
        <color theme="1"/>
        <rFont val="Calibri"/>
        <family val="2"/>
        <scheme val="minor"/>
      </rPr>
      <t xml:space="preserve"> (100% CDI)</t>
    </r>
  </si>
  <si>
    <r>
      <t xml:space="preserve">(+) Correction of </t>
    </r>
    <r>
      <rPr>
        <i/>
        <sz val="10"/>
        <color rgb="FF000000"/>
        <rFont val="Calibri"/>
        <family val="2"/>
        <scheme val="minor"/>
      </rPr>
      <t>Call (100% CDI)</t>
    </r>
  </si>
  <si>
    <t>(-) Pg Dividendos</t>
  </si>
  <si>
    <t>(-) Payment of Dividends</t>
  </si>
  <si>
    <t>(=) Preço de Exercício Classe A</t>
  </si>
  <si>
    <t>(=) Exercise Price Class A</t>
  </si>
  <si>
    <t>MTM Fx Dividendos</t>
  </si>
  <si>
    <t>MTM Fx Dividends</t>
  </si>
  <si>
    <t>(=) Aj Preço de Exercício Classe A MTM</t>
  </si>
  <si>
    <t>(=) Adj. Price of Exercise Class A MTM</t>
  </si>
  <si>
    <t>Impacto Opção (RF)</t>
  </si>
  <si>
    <t>Option Impact (RF)</t>
  </si>
  <si>
    <t>% Direito Dividendos</t>
  </si>
  <si>
    <t>% Dividend Rights</t>
  </si>
  <si>
    <t>Classe B</t>
  </si>
  <si>
    <t>Class B</t>
  </si>
  <si>
    <r>
      <t xml:space="preserve">(+) Correção da </t>
    </r>
    <r>
      <rPr>
        <i/>
        <sz val="10"/>
        <color theme="1"/>
        <rFont val="Calibri"/>
        <family val="2"/>
        <scheme val="minor"/>
      </rPr>
      <t>Call</t>
    </r>
    <r>
      <rPr>
        <sz val="10"/>
        <color theme="1"/>
        <rFont val="Calibri"/>
        <family val="2"/>
        <scheme val="minor"/>
      </rPr>
      <t xml:space="preserve"> (101% CDI)</t>
    </r>
  </si>
  <si>
    <r>
      <t xml:space="preserve">(+) Correction of </t>
    </r>
    <r>
      <rPr>
        <i/>
        <sz val="10"/>
        <color rgb="FF000000"/>
        <rFont val="Calibri"/>
        <family val="2"/>
        <scheme val="minor"/>
      </rPr>
      <t>Call (101% CDI)</t>
    </r>
  </si>
  <si>
    <t>(=) Preço de Exercício Classe B</t>
  </si>
  <si>
    <t>(=) Exercise Price Class B</t>
  </si>
  <si>
    <t>(=) Aj Preço de Exercício Classe B MTM</t>
  </si>
  <si>
    <t>(=) Adj. Price of Exercise Class B MTM</t>
  </si>
  <si>
    <t>Classe C</t>
  </si>
  <si>
    <t>Class C</t>
  </si>
  <si>
    <t>(=) Preço de Exercício Classe C</t>
  </si>
  <si>
    <t>(=) Exercise Price Class C</t>
  </si>
  <si>
    <t>(=) Aj Preço de Exercício Classe C MTM</t>
  </si>
  <si>
    <t>(=) Adj. Price of Exercise Class C MTM</t>
  </si>
  <si>
    <t>Consolidated</t>
  </si>
  <si>
    <r>
      <t xml:space="preserve">(+) Correção da </t>
    </r>
    <r>
      <rPr>
        <i/>
        <sz val="10"/>
        <color theme="1"/>
        <rFont val="Calibri"/>
        <family val="2"/>
        <scheme val="minor"/>
      </rPr>
      <t>Call</t>
    </r>
  </si>
  <si>
    <r>
      <t xml:space="preserve">(+) Correction of </t>
    </r>
    <r>
      <rPr>
        <i/>
        <sz val="10"/>
        <color theme="1"/>
        <rFont val="Calibri"/>
        <family val="2"/>
        <scheme val="minor"/>
      </rPr>
      <t>Call</t>
    </r>
  </si>
  <si>
    <t>(=) Preço de Exercício</t>
  </si>
  <si>
    <t>(=) Exercise Price</t>
  </si>
  <si>
    <t>(=) Aj Preço de Exercício MTM</t>
  </si>
  <si>
    <t>(=) Adj. Price of Exercise MTM</t>
  </si>
  <si>
    <t>Classe A e B</t>
  </si>
  <si>
    <t>% de Direito</t>
  </si>
  <si>
    <t>% of Rights</t>
  </si>
  <si>
    <t>2030+</t>
  </si>
  <si>
    <t>Período de Exercício da Call</t>
  </si>
  <si>
    <t>Call Exercise Period</t>
  </si>
  <si>
    <t>R$ milhões</t>
  </si>
  <si>
    <t>R$ million</t>
  </si>
  <si>
    <t xml:space="preserve">(+) Vendas as classes </t>
  </si>
  <si>
    <t>(+) Gross Supply Revenues</t>
  </si>
  <si>
    <t>Renda Não Faturada</t>
  </si>
  <si>
    <t>Unbilled Income</t>
  </si>
  <si>
    <t>(+) Ult. de demanda / reativo excedente</t>
  </si>
  <si>
    <t>(+) Demand Excess / Reactive Surplus</t>
  </si>
  <si>
    <t>(+) Outras receitas</t>
  </si>
  <si>
    <t>(+) Other Revenues (R$ MM)</t>
  </si>
  <si>
    <t>Subvenção baixa renda</t>
  </si>
  <si>
    <t>Low Income Subsidy</t>
  </si>
  <si>
    <t>Subvenção CDE outros</t>
  </si>
  <si>
    <t>CDE Subvention</t>
  </si>
  <si>
    <t>CDE Geração Distribuída</t>
  </si>
  <si>
    <t>CDE Distributed Generation</t>
  </si>
  <si>
    <t>Uso da rede</t>
  </si>
  <si>
    <t>Grid Usage</t>
  </si>
  <si>
    <t>Atualização ativo financeiro</t>
  </si>
  <si>
    <t>Bandeira Tarifária</t>
  </si>
  <si>
    <t>Financial Asset Write-off</t>
  </si>
  <si>
    <t>Late Payment Fine</t>
  </si>
  <si>
    <t>(+) Outras receitas operacionais</t>
  </si>
  <si>
    <t>(+) Other Operating Revenues / Expenses</t>
  </si>
  <si>
    <t>Outras Receitas (Parcela B)</t>
  </si>
  <si>
    <t>Mutual Use</t>
  </si>
  <si>
    <t>(+) Suprimento</t>
  </si>
  <si>
    <t>(+) Supply (R$ MM)</t>
  </si>
  <si>
    <t>(+) Valores a receber de parcela A</t>
  </si>
  <si>
    <t>(+) Parcel A Revenues (R$ MM)</t>
  </si>
  <si>
    <t>(+) Receita de construção</t>
  </si>
  <si>
    <t>(+) Construction Revenues</t>
  </si>
  <si>
    <t>(=) Receita operacional bruta</t>
  </si>
  <si>
    <t xml:space="preserve">(=) Gross Operating Revenues </t>
  </si>
  <si>
    <t>(+) Deduções à receita</t>
  </si>
  <si>
    <t>Compensações Indicadores de Qualidade</t>
  </si>
  <si>
    <t>PIS and COFINS</t>
  </si>
  <si>
    <t>Demais Deduções (CDE e Encargos)</t>
  </si>
  <si>
    <t>Quality Indicator Compensations</t>
  </si>
  <si>
    <t>PIS/COFINS/ICMS/ISS</t>
  </si>
  <si>
    <t>Consumer Charges</t>
  </si>
  <si>
    <t>(=) Receita operacional líquida</t>
  </si>
  <si>
    <t xml:space="preserve">(=) Net Operating Revenues </t>
  </si>
  <si>
    <t>(-) Receita de construção</t>
  </si>
  <si>
    <t>(-) Construction Revenues</t>
  </si>
  <si>
    <t>(=) Receita operac. líq. sem rec.de construção</t>
  </si>
  <si>
    <t xml:space="preserve">(=) Net Operating Revenues w/o Construction Rev </t>
  </si>
  <si>
    <t>(-) Energia comprada e transporte e Encargos</t>
  </si>
  <si>
    <t>(-) Energy Purchase and Transmission</t>
  </si>
  <si>
    <t>(=) Margem Bruta</t>
  </si>
  <si>
    <t>(=) Gross Margin</t>
  </si>
  <si>
    <t>(+) Não-Recorrentes</t>
  </si>
  <si>
    <t>(+) Non Recurring Adjustments</t>
  </si>
  <si>
    <t>(-) VNR</t>
  </si>
  <si>
    <t>(=) Margem Bruta Ajustada</t>
  </si>
  <si>
    <t>(=) Adjusted Gross Margin (ex-VNR)</t>
  </si>
  <si>
    <t>Next RTP - 2029 (5 years)</t>
  </si>
  <si>
    <t>Próxima RTP - 2029 (5 anos)</t>
  </si>
  <si>
    <t>Provision for profit sharing</t>
  </si>
  <si>
    <t>Future execution of energy contracts</t>
  </si>
  <si>
    <t>Financial charges on expected doubtfull accounts</t>
  </si>
  <si>
    <t>Allowance (reversal) for doubtfull accounts</t>
  </si>
  <si>
    <t>Receivables written off as bad debt</t>
  </si>
  <si>
    <t>Monetary correction on financial asset</t>
  </si>
  <si>
    <t>Equity equivalence</t>
  </si>
  <si>
    <t>Provision and monetary correction of contingencies</t>
  </si>
  <si>
    <t>Provision and monetary correction of sector chagers</t>
  </si>
  <si>
    <t>Payables (receivables) related to Parcel A components and other financial items</t>
  </si>
  <si>
    <t>Deffered Pis and Cofins taxes</t>
  </si>
  <si>
    <t>Current income and social contribution taxes</t>
  </si>
  <si>
    <t>Fair value of stock options</t>
  </si>
  <si>
    <t>Call option</t>
  </si>
  <si>
    <t>Pis and Cofins taxes to be refundede to consumers</t>
  </si>
  <si>
    <t>Income (loss) from asset divestiture</t>
  </si>
  <si>
    <t>Impairment reversion of assets</t>
  </si>
  <si>
    <t>Trade accounts receivable</t>
  </si>
  <si>
    <t>Grant on CCC charges</t>
  </si>
  <si>
    <t>Services ordered</t>
  </si>
  <si>
    <t>Restricted deposits</t>
  </si>
  <si>
    <t>Return of capital to be settled</t>
  </si>
  <si>
    <t>Taxes and contributions recoverable</t>
  </si>
  <si>
    <t>Income and social contribution taxes recoverable</t>
  </si>
  <si>
    <t>Subrogation on CCC charges</t>
  </si>
  <si>
    <t>Receivables related to Parcel A components and other financial items</t>
  </si>
  <si>
    <t>Payables related to Parcel A components and other financial items</t>
  </si>
  <si>
    <t>Other accounts receivables</t>
  </si>
  <si>
    <t>Payroll obligation and charges</t>
  </si>
  <si>
    <t>Taxes and contributions payables</t>
  </si>
  <si>
    <t>Income and social contribution taxes payables</t>
  </si>
  <si>
    <t>Profit sharing</t>
  </si>
  <si>
    <t>Contingencies paid</t>
  </si>
  <si>
    <t>Post-employment benefits</t>
  </si>
  <si>
    <t>Other accounts payable</t>
  </si>
  <si>
    <t>Dividends receivable</t>
  </si>
  <si>
    <t>Assets/Liabilities classified as held for sale</t>
  </si>
  <si>
    <t>Expenses recoverable</t>
  </si>
  <si>
    <t>Allowance for impairment</t>
  </si>
  <si>
    <t>Income and social contribution taxes paid</t>
  </si>
  <si>
    <t>Interest paid</t>
  </si>
  <si>
    <t>Acquisition of intangible assets</t>
  </si>
  <si>
    <t>Return of price paid by former parent company</t>
  </si>
  <si>
    <t>Acquisition of property, plant and equipments</t>
  </si>
  <si>
    <t>Acquisition of contractual assets</t>
  </si>
  <si>
    <t>Capex classified as special obligations</t>
  </si>
  <si>
    <t>Corporate restructuring</t>
  </si>
  <si>
    <t>Capital increase in investee companies</t>
  </si>
  <si>
    <t>Capital reduction in investee companies</t>
  </si>
  <si>
    <t>Asset divestiture</t>
  </si>
  <si>
    <t>Acquisition of interest in associate company</t>
  </si>
  <si>
    <t>Acquisition of noncontrolling interest in subsidiary</t>
  </si>
  <si>
    <t>Acquisition of interest in investee company</t>
  </si>
  <si>
    <t>Net cash flow from investee  company</t>
  </si>
  <si>
    <t>Net cash flow from subsidiaries disposed of</t>
  </si>
  <si>
    <t>Net cash flow from indirect subsidiary held for sale</t>
  </si>
  <si>
    <t>Financial redemptions (investment)</t>
  </si>
  <si>
    <t>Cash flow from operating activities</t>
  </si>
  <si>
    <t>Changes in current and noncurrent assets and liabilities</t>
  </si>
  <si>
    <t>Net cash flow from operating activities</t>
  </si>
  <si>
    <t>Cash flow from investing activities</t>
  </si>
  <si>
    <t>Net cash flow from investing activities</t>
  </si>
  <si>
    <t>Cash flow from financing activities</t>
  </si>
  <si>
    <t>Amortization of loans and financings</t>
  </si>
  <si>
    <t>Loans and financing raised</t>
  </si>
  <si>
    <t>Debentures raised</t>
  </si>
  <si>
    <t>Amortization of debentures</t>
  </si>
  <si>
    <t>Amortization of lease liabilities</t>
  </si>
  <si>
    <t>Capital contribution</t>
  </si>
  <si>
    <t>Amounts paid in connection with in-court reorganization plan (e.g. Chapter 11)</t>
  </si>
  <si>
    <t>Related parties - intercompany loand receveid</t>
  </si>
  <si>
    <t>Capital increase</t>
  </si>
  <si>
    <t>Dividends paid</t>
  </si>
  <si>
    <t>Share buyback</t>
  </si>
  <si>
    <t>Gain (losses) from disposal of shares</t>
  </si>
  <si>
    <t>Advance for Future Capital Increase (AFAC)</t>
  </si>
  <si>
    <t>Increase (decrease) in cash and cash equivalents</t>
  </si>
  <si>
    <t>Cash and cash equivalents at beginning of period</t>
  </si>
  <si>
    <t>Cash and cash equivalents at ending of period</t>
  </si>
  <si>
    <t>Inclusão de abas e menu em inglês</t>
  </si>
  <si>
    <t>Addition of Cover Page and Guide sheets in english</t>
  </si>
  <si>
    <t>Addition of new solar operational data (i) Irradiance; (ii) Technical Avaiability and (iii) P10, P50 and P90 for Ribeiro Gonçalves and Barreiras, in the "Operacional Renováveis" sheet</t>
  </si>
  <si>
    <t>Inclusão dos dados operacionais solares de (i) Irradiância; (ii) Disponibilidade e (iii) P10, P50 e P90 de Ribeiro Gonçalves e Barreiras na aba "Operacional Renováveis"</t>
  </si>
  <si>
    <t>Compensado GD II e GD III</t>
  </si>
  <si>
    <t>Billed energy</t>
  </si>
  <si>
    <t>Billed + Energy Compensation of Distribured Generation type II and III</t>
  </si>
  <si>
    <t>Energy Compensation of Distributed Generation type II and III</t>
  </si>
  <si>
    <t>Energy Compensation of Distributed Generation type I</t>
  </si>
  <si>
    <t>(-) Compensation Energy from DG</t>
  </si>
  <si>
    <t>Total Distributed - Maranhão*</t>
  </si>
  <si>
    <t>Atualização dos dados de DEC e FEC</t>
  </si>
  <si>
    <t>Update of the "DEC/FEC" sheet</t>
  </si>
  <si>
    <t>August 15, 2025</t>
  </si>
  <si>
    <t>BRR Bruta</t>
  </si>
  <si>
    <t>Gross Regulatory Remuneration Base</t>
  </si>
  <si>
    <t>AIS</t>
  </si>
  <si>
    <t>Pmix (R$ / MWh)</t>
  </si>
  <si>
    <t>3T25</t>
  </si>
  <si>
    <t>Manutenção, renovação e melhorias</t>
  </si>
  <si>
    <t>(-) Não recorrente</t>
  </si>
  <si>
    <t>(-) Non Recurring</t>
  </si>
  <si>
    <t>- 0,17% à + 1,15% a.a.</t>
  </si>
  <si>
    <t xml:space="preserve"> -0,16% à 1,77% a.a.</t>
  </si>
  <si>
    <t>-0,19% à 1,63% a.a.</t>
  </si>
  <si>
    <t>- 0,020% à + 1,85% a.a.</t>
  </si>
  <si>
    <t>Pré-fixado</t>
  </si>
  <si>
    <t>4% a 4,8% a.a.</t>
  </si>
  <si>
    <t>- 0,02% à  1,85% a.a.</t>
  </si>
  <si>
    <t>+ 6,0% à 6,8% a.a.</t>
  </si>
  <si>
    <t>(-) Custo de Captação</t>
  </si>
  <si>
    <t>SAFRA</t>
  </si>
  <si>
    <t>08/08/2025</t>
  </si>
  <si>
    <t>08/08/2028</t>
  </si>
  <si>
    <t>29/05/2025</t>
  </si>
  <si>
    <t>15/09/2032</t>
  </si>
  <si>
    <t>28/03/2025</t>
  </si>
  <si>
    <t>15/08/2043</t>
  </si>
  <si>
    <t>09/09/2025</t>
  </si>
  <si>
    <t>15/08/2037</t>
  </si>
  <si>
    <t>CDI - 0,16%</t>
  </si>
  <si>
    <t>CDI - 0,19%</t>
  </si>
  <si>
    <t>Dividendos Recebidos</t>
  </si>
  <si>
    <t>Dividendos recebidos</t>
  </si>
  <si>
    <t>N/A</t>
  </si>
  <si>
    <t>As opções de compra das preferenciais Classe A e B foram exercidas parcialmente na data de 11/11/2025, no total de R$ 2,0 bilhões, conforme call period, definido em contrato</t>
  </si>
  <si>
    <t>The Class A and Class B preferred shares were partially called on November 11, 2025, totaling R$2.0 billion, in accordance with the call period established in the shareholders’ agreement.</t>
  </si>
  <si>
    <t>Alterações características PN C: Período de exercício da call: 31 de março de 2025 (inclusive) a 31 de março de 2030; Índice de Correção: 100% do CDI a.a.</t>
  </si>
  <si>
    <t>Key amendments to Class C Preferred Shares: Call exercise period: from March 31, 2025 (inclusive) to March 31, 2030; Adjustment index: 100% of the CDI per annum.</t>
  </si>
  <si>
    <t>As opções de compra das preferenciais Classe A e B serão exercidas em sua totalidade no 1º trimestre de 2026</t>
  </si>
  <si>
    <t>During the first quarter of 2026, all remaining Class A and Class B preferred shares will be called in full.</t>
  </si>
  <si>
    <t>15/08/2025</t>
  </si>
  <si>
    <t>Atualização do fluxo econômico das PNs, na estrutura da Equatorial Distribuição, resultado do exercício parcial das preferenciais Classe A e B</t>
  </si>
  <si>
    <t>Update on the PNs' economic flow/returns within the Equatorial Distribuição structure, resulting from the partial exercise of Class A and B preferred shares</t>
  </si>
  <si>
    <t>December 11, 2025</t>
  </si>
  <si>
    <t>299/2025</t>
  </si>
  <si>
    <t>Income Statement IFRS - Echo Participações</t>
  </si>
  <si>
    <t>Echoenergia Participações (100%)</t>
  </si>
  <si>
    <t>EQTL Serviços Consolidado</t>
  </si>
  <si>
    <t>EQTL Serviços Consolidated</t>
  </si>
  <si>
    <t>Dividendos a Pagar</t>
  </si>
  <si>
    <t>Reservas de lucro</t>
  </si>
  <si>
    <t>Part. Não controladores - PPAs</t>
  </si>
  <si>
    <t>Non-controlling interests - PPA</t>
  </si>
  <si>
    <t>Preço médio de venda (R$/MWh) - Valor Bruto</t>
  </si>
  <si>
    <t>Average gross selling price (R$/MWh)</t>
  </si>
  <si>
    <t>*XXXX - YYºAAA - ZZZZ-WW: 
XXXX = ano de realização do leilão 
YY = nº do leilão 
AAA = tipo do leilão (LFA -&gt; Fontes Alternativas; LEN -&gt; Energia Nova; LER -&gt; Energia de Reserva) ZZZZ = ano de início de suprimento 
WW = duração do fornecimento, em anos</t>
  </si>
  <si>
    <r>
      <t xml:space="preserve">Data de Referência / </t>
    </r>
    <r>
      <rPr>
        <b/>
        <i/>
        <sz val="10"/>
        <color theme="0"/>
        <rFont val="Calibri"/>
        <family val="2"/>
        <scheme val="minor"/>
      </rPr>
      <t>Reference Date</t>
    </r>
  </si>
  <si>
    <r>
      <t xml:space="preserve">Preço Bruto Corrigido (R$/MWh) / </t>
    </r>
    <r>
      <rPr>
        <b/>
        <i/>
        <sz val="10"/>
        <color theme="0"/>
        <rFont val="Calibri"/>
        <family val="2"/>
        <scheme val="minor"/>
      </rPr>
      <t>Adjusted Gross Price (R$/MWh)</t>
    </r>
  </si>
  <si>
    <r>
      <t xml:space="preserve">Preço Líquido de PIS/COFINS (R$/Mwh) / </t>
    </r>
    <r>
      <rPr>
        <b/>
        <i/>
        <sz val="10"/>
        <color theme="0"/>
        <rFont val="Calibri"/>
        <family val="2"/>
        <scheme val="minor"/>
      </rPr>
      <t>Net Price of PIS/COFINS (R$/MWh)</t>
    </r>
  </si>
  <si>
    <t>*XXXX - YYºAAA - ZZZZ-WW:
XXXX = year the auction was held
YY = auction number
AAA = auction type (LFA = Alternative Sources; LEN = New Energy; LER = Reserve Energy)
ZZZZ = supply start year
WW = supply duration, in years</t>
  </si>
  <si>
    <t>4T25</t>
  </si>
  <si>
    <t>Energia injetada bruta</t>
  </si>
  <si>
    <t>Energia Medida</t>
  </si>
  <si>
    <t>Energia de fluxo passante</t>
  </si>
  <si>
    <t>Perdas Totais</t>
  </si>
  <si>
    <t>Gross injected Energy</t>
  </si>
  <si>
    <t>Metered Energy</t>
  </si>
  <si>
    <t>Pass-through energy</t>
  </si>
  <si>
    <t>Mercado Fio B</t>
  </si>
  <si>
    <t>Fluxo Passante</t>
  </si>
  <si>
    <t>Energia Medida Total + Fluxo Passante</t>
  </si>
  <si>
    <t>Wire B Market</t>
  </si>
  <si>
    <t>Total Measured Energy + Pass-through</t>
  </si>
  <si>
    <t>Energia Medida Total + Fluxo Passante - Equatorial</t>
  </si>
  <si>
    <t>Total Measured Energy + Pass-through - Equatorial</t>
  </si>
  <si>
    <r>
      <t>Volume Faturado (mil m</t>
    </r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>)</t>
    </r>
  </si>
  <si>
    <r>
      <t>Billed Volume (thousand m</t>
    </r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>)</t>
    </r>
  </si>
  <si>
    <t>Energia de Conexão - outras Distribuidoras (Faturada)</t>
  </si>
  <si>
    <t>Connection w/Other DisCos (Billed)</t>
  </si>
  <si>
    <t>Atualização dos dados operacionais considerando a CP 009/2024 da Aneel</t>
  </si>
  <si>
    <t>February  6, 2026</t>
  </si>
  <si>
    <t>Update of operational data considering Aneel's Public Consultation 009/2024</t>
  </si>
  <si>
    <t>Echo Cresc.</t>
  </si>
  <si>
    <t>Echo Par.</t>
  </si>
  <si>
    <t>2025</t>
  </si>
  <si>
    <t xml:space="preserve">Baixa de intangível e ativo financeiro </t>
  </si>
  <si>
    <t>Provisão para redução ao valor recuperável do ativo intangivel</t>
  </si>
  <si>
    <t>AMAPÁ -CEA</t>
  </si>
  <si>
    <t>EUR</t>
  </si>
  <si>
    <t>IRPJ / CSLL 3T25 (R$ milhões)</t>
  </si>
  <si>
    <t>IRPJ / CSLL 4T25 (R$ milhões)</t>
  </si>
  <si>
    <t>(-) Exercício da Opção</t>
  </si>
  <si>
    <t>PECLD / ROB</t>
  </si>
  <si>
    <t>PDA / GOR</t>
  </si>
  <si>
    <t>Arrecadação - IAR</t>
  </si>
  <si>
    <t>Collection Index</t>
  </si>
  <si>
    <t>*Desconsidera Receita de Construção</t>
  </si>
  <si>
    <t>Indicadores ESG</t>
  </si>
  <si>
    <t>Ambiental</t>
  </si>
  <si>
    <t>Consumo de Combustíveis Renováveis na Frota Administrativa</t>
  </si>
  <si>
    <t>Intensidade de Emissões de SF6</t>
  </si>
  <si>
    <t>Número de Ligações de Energia em Áreas Remotas via SIGFI (Sistema Individual de Geração de Energia Elétrica com Fonte Intermitente)</t>
  </si>
  <si>
    <t>Investimentos P&amp;D e Eficiência Energética em Meio Ambiente</t>
  </si>
  <si>
    <t>Social</t>
  </si>
  <si>
    <t>% de Mulheres no Grupo Equatorial Energia</t>
  </si>
  <si>
    <t>% de Mulheres em Cargos de Liderança x Total de Líderes</t>
  </si>
  <si>
    <t>% de Negros em Cargos de Liderança x Total de Líderes</t>
  </si>
  <si>
    <t>% de Fornecedores Locais</t>
  </si>
  <si>
    <t>Investimentos Sociais</t>
  </si>
  <si>
    <t xml:space="preserve">TG Próprios </t>
  </si>
  <si>
    <t>TG Terceiros</t>
  </si>
  <si>
    <t>Número de óbitos de empregados (próprios + terceiros)</t>
  </si>
  <si>
    <t>Número de Acidentes com a População</t>
  </si>
  <si>
    <t>Número de Unidades Consumidoras (UCs) beneficiadas pela Tarifa Social de Energia Elétrica (TSEE)</t>
  </si>
  <si>
    <t>Governança</t>
  </si>
  <si>
    <t>% de Conselheiros Independentes</t>
  </si>
  <si>
    <t xml:space="preserve">% de Mulheres no Conselho </t>
  </si>
  <si>
    <t>% de Colaboradores Treinados na Trilha de Integridade</t>
  </si>
  <si>
    <t>Casos Registrados no Canal de Ética</t>
  </si>
  <si>
    <t>Environmental</t>
  </si>
  <si>
    <t>Renewable Fuel Consumption in the Administrative Fleet</t>
  </si>
  <si>
    <t>SF6 Emissions Intensity</t>
  </si>
  <si>
    <t>Number of Off-grid Energy Connections via SIGFI (Individual Electricity Generation System with Intermittent Source)</t>
  </si>
  <si>
    <t>R&amp;D and Energy Efficiency Investments in Environment</t>
  </si>
  <si>
    <t>% of Women in Leadership Positions vs. Total Leaders</t>
  </si>
  <si>
    <t>% of Black People in Leadership Positions vs. Total Leaders</t>
  </si>
  <si>
    <t>% of Local Suppliers</t>
  </si>
  <si>
    <t>Social Investments</t>
  </si>
  <si>
    <t>% of Women in the Grupo Equatorial</t>
  </si>
  <si>
    <t>TF Own</t>
  </si>
  <si>
    <t>TF Third Party Employees</t>
  </si>
  <si>
    <t>Number of employee deaths (own + third parties)</t>
  </si>
  <si>
    <t>Number of Accidents involving the General Public</t>
  </si>
  <si>
    <t>Number of Consumer Units benefited by the Social Electricity Tariff (TSEE)</t>
  </si>
  <si>
    <t>ESG</t>
  </si>
  <si>
    <t>Governance</t>
  </si>
  <si>
    <t>% of Independent Directors</t>
  </si>
  <si>
    <t>% of Women on the Board</t>
  </si>
  <si>
    <t>% of Employees Trained on the Integrity Track</t>
  </si>
  <si>
    <t>Cases Registered on the Ethics Channel</t>
  </si>
  <si>
    <t xml:space="preserve">    Depreciação</t>
  </si>
  <si>
    <t xml:space="preserve">    Amortização de direitos de exploração</t>
  </si>
  <si>
    <t xml:space="preserve">    Amortização de direitos de uso</t>
  </si>
  <si>
    <t xml:space="preserve">    Amortização de software</t>
  </si>
  <si>
    <t xml:space="preserve">    Juros sobre financiamentos</t>
  </si>
  <si>
    <t xml:space="preserve">    Juros sobre debêntures </t>
  </si>
  <si>
    <t xml:space="preserve">    Custo de captação de financiamentos apropriado ao resultado</t>
  </si>
  <si>
    <t xml:space="preserve">    Custo de captação de debêntures apropriado ao resultado</t>
  </si>
  <si>
    <t xml:space="preserve">    Atualização monetária de excedente e ressarcimento</t>
  </si>
  <si>
    <t xml:space="preserve">    Baixa de imobilizado</t>
  </si>
  <si>
    <t xml:space="preserve">    Baixa de intangível</t>
  </si>
  <si>
    <t xml:space="preserve">    Resultado de equivalência patrimonial</t>
  </si>
  <si>
    <t xml:space="preserve">    Rendimentos de aplicações financeiras e fundos vinculados</t>
  </si>
  <si>
    <t xml:space="preserve">    Adições do ressarcimento</t>
  </si>
  <si>
    <t xml:space="preserve">    Ajuste a valor presente provisão para desmobilização</t>
  </si>
  <si>
    <t xml:space="preserve">    Correção monetária depósitos judiciais</t>
  </si>
  <si>
    <t xml:space="preserve">    Programa de pagamento baseado em ações</t>
  </si>
  <si>
    <t xml:space="preserve">    Juros sobre passivo de arrendamento</t>
  </si>
  <si>
    <t>Adição do saldo em formação do excedente a receber</t>
  </si>
  <si>
    <t xml:space="preserve">    Redução ao valor recuperável de ativos do imobilizado (impairment)</t>
  </si>
  <si>
    <t>Tributos a recuperar</t>
  </si>
  <si>
    <t>Derivativos a receber</t>
  </si>
  <si>
    <t>Despesas pagas antecipadamente</t>
  </si>
  <si>
    <t xml:space="preserve">   Pagamento de juros de financiamentos</t>
  </si>
  <si>
    <t xml:space="preserve">   Pagamento de juros de debêntures</t>
  </si>
  <si>
    <t xml:space="preserve">   Pagamento de IR e CS</t>
  </si>
  <si>
    <t>Aportes de capital em investidas</t>
  </si>
  <si>
    <t>Aplicações financeiras e fundos vinculados</t>
  </si>
  <si>
    <t>Aquisição de intangível</t>
  </si>
  <si>
    <t>Aquisição ao ativo imobilizado</t>
  </si>
  <si>
    <t>Pagamento de principal e juros de arrendamentos</t>
  </si>
  <si>
    <t>Captação de financiamentos</t>
  </si>
  <si>
    <t>Pagamento de principal de financiamentos</t>
  </si>
  <si>
    <t>Custo de captação de financiamentos</t>
  </si>
  <si>
    <t>Pagamento de principal de debêntures</t>
  </si>
  <si>
    <t>Depreciação</t>
  </si>
  <si>
    <t>Amortização de direitos de uso</t>
  </si>
  <si>
    <t>Juros sobre financiamentos</t>
  </si>
  <si>
    <t xml:space="preserve">Juros sobre debêntures </t>
  </si>
  <si>
    <t>Juros sobre derivativos</t>
  </si>
  <si>
    <t>Provisão para perda de valor recuperável do imobilizado</t>
  </si>
  <si>
    <t>Custo de captação de financiamentos apropriado ao resultado</t>
  </si>
  <si>
    <t>Custo de captação de debêntures apropriado ao resultado</t>
  </si>
  <si>
    <t>Baixa de imobilizado</t>
  </si>
  <si>
    <t>Baixa de intangível</t>
  </si>
  <si>
    <t>Rendimentos de aplicações financeiras e fundos vinculados</t>
  </si>
  <si>
    <t>Outras receitas financeiras</t>
  </si>
  <si>
    <t>Exclusões do excedente a receber</t>
  </si>
  <si>
    <t>Variação do valor justo dos contratos de comercialização - Compromissos futuros</t>
  </si>
  <si>
    <t>Ajuste a valor presente provisão para desmobilização</t>
  </si>
  <si>
    <t>Programa de pagamento baseado em ações</t>
  </si>
  <si>
    <t>Atualização monetária de depósitos judiciais</t>
  </si>
  <si>
    <t>Obrigações sociais</t>
  </si>
  <si>
    <t>Provisão para ressarcimento</t>
  </si>
  <si>
    <t>Plano de remuneração baseado em ações</t>
  </si>
  <si>
    <t>Compensação Ambiental</t>
  </si>
  <si>
    <t>Tributos a recolher</t>
  </si>
  <si>
    <t>Imposto de renda e contribuição social a recolher</t>
  </si>
  <si>
    <t>Contas a pagar sobre aquisições</t>
  </si>
  <si>
    <t>Contas a pagar partes relacionadas</t>
  </si>
  <si>
    <t>Venda de participação Societária</t>
  </si>
  <si>
    <t>Juros capitalizados</t>
  </si>
  <si>
    <t>Mútuos financeiros com partes relacionadas</t>
  </si>
  <si>
    <t>Custo de captação de debêntures</t>
  </si>
  <si>
    <t>Redução de capital</t>
  </si>
  <si>
    <t>Fundos vinculados</t>
  </si>
  <si>
    <t>Echoenergia Crescimento</t>
  </si>
  <si>
    <t>Echoenergia Participações</t>
  </si>
  <si>
    <t>Depreciation</t>
  </si>
  <si>
    <t>Amortization of right-of-use assets</t>
  </si>
  <si>
    <t>Interest on borrowings</t>
  </si>
  <si>
    <t>Interest on debentures</t>
  </si>
  <si>
    <t>Interest on derivatives</t>
  </si>
  <si>
    <t>Impairment loss on property, plant, and equipment</t>
  </si>
  <si>
    <t>Amortization of borrowing costs</t>
  </si>
  <si>
    <t>Amortization of debenture issuance costs</t>
  </si>
  <si>
    <t>Write-off of property, plant, and equipment</t>
  </si>
  <si>
    <t>Write-off of intangible assets</t>
  </si>
  <si>
    <t>Equity in earnings of affiliates</t>
  </si>
  <si>
    <t>Earnings from financial investments and restricted funds</t>
  </si>
  <si>
    <t>Other finance income</t>
  </si>
  <si>
    <t>Reversals of surplus receivables</t>
  </si>
  <si>
    <t>Fair value change in commercial contracts - Future commitments</t>
  </si>
  <si>
    <t>Accretion of decommissioning provision</t>
  </si>
  <si>
    <t>Share-based payment program</t>
  </si>
  <si>
    <t>Monetary restatement of judicial deposits</t>
  </si>
  <si>
    <t>Accounts receivable</t>
  </si>
  <si>
    <t>Recoverable taxes</t>
  </si>
  <si>
    <t>Derivatives receivable</t>
  </si>
  <si>
    <t>Inventories</t>
  </si>
  <si>
    <t>Judicial deposits</t>
  </si>
  <si>
    <t>Prepaid expenses</t>
  </si>
  <si>
    <t>Trade payables (or Suppliers)</t>
  </si>
  <si>
    <t>Social obligations (Payroll/Social Security)</t>
  </si>
  <si>
    <t>Provision for reimbursement</t>
  </si>
  <si>
    <t>Share-based compensation plan</t>
  </si>
  <si>
    <t>Environmental compensation</t>
  </si>
  <si>
    <t>Taxes payable</t>
  </si>
  <si>
    <t>Income tax and social contribution payable</t>
  </si>
  <si>
    <t>Advances from customers</t>
  </si>
  <si>
    <t>Accounts payable on acquisitions</t>
  </si>
  <si>
    <t>Dividends payable</t>
  </si>
  <si>
    <t>Accounts payable to related parties</t>
  </si>
  <si>
    <t>Interest paid on borrowings</t>
  </si>
  <si>
    <t>Interest paid on debentures</t>
  </si>
  <si>
    <t>Income tax and social contribution paid</t>
  </si>
  <si>
    <t>Capital contributions to investees</t>
  </si>
  <si>
    <t>Sale of equity interests (Divestitures)</t>
  </si>
  <si>
    <t>Capitalized interest</t>
  </si>
  <si>
    <t>Loans to related parties</t>
  </si>
  <si>
    <t>Financial investments and restricted funds</t>
  </si>
  <si>
    <t>Acquisition of property, plant, and equipment (CAPEX)</t>
  </si>
  <si>
    <t>Principal payment of borrowings</t>
  </si>
  <si>
    <t>Borrowing issuance costs</t>
  </si>
  <si>
    <t>Debenture issuance costs</t>
  </si>
  <si>
    <t>Related parties (Financing)</t>
  </si>
  <si>
    <t>Principal payment of debentures</t>
  </si>
  <si>
    <t>Proceeds from borrowings</t>
  </si>
  <si>
    <t>Proceeds from debentures</t>
  </si>
  <si>
    <t>Capital reduction</t>
  </si>
  <si>
    <t>Restricted funds</t>
  </si>
  <si>
    <t>Capital increase (Paid-in capital)</t>
  </si>
  <si>
    <t>Net cash flow from financing activities</t>
  </si>
  <si>
    <t>Interest on lease liabilities</t>
  </si>
  <si>
    <t>Amortization of software</t>
  </si>
  <si>
    <t>Monetary restatement of surplus and reimbursement</t>
  </si>
  <si>
    <t>Increase in surplus receivables in progress</t>
  </si>
  <si>
    <t>Additions to reimbursement</t>
  </si>
  <si>
    <t>Impairment of property, plant, and equipment</t>
  </si>
  <si>
    <t>Interest income from financial investments and restricted funds</t>
  </si>
  <si>
    <t>Dividends received</t>
  </si>
  <si>
    <t>Trade payables</t>
  </si>
  <si>
    <t>Social and payroll obligations</t>
  </si>
  <si>
    <t>Derivatives payable</t>
  </si>
  <si>
    <t>Capital reduction in investees</t>
  </si>
  <si>
    <t>Acquisition of property, plant, and equipment</t>
  </si>
  <si>
    <t>Principal and interest paid on leases</t>
  </si>
  <si>
    <t>Related parties</t>
  </si>
  <si>
    <t>Projetos Estratégicos</t>
  </si>
  <si>
    <t>Strategic Projects</t>
  </si>
  <si>
    <t>Grupo Equatorial</t>
  </si>
  <si>
    <t>* EQTL Telecom - Receita incentivada no MA (SCM - Serviço de Comunicação Multimidia/STFC - Serviço Telefônico Fixo Comutado)e no PA (SCM - Serviço de Comunicação Multimidia)</t>
  </si>
  <si>
    <t>12/11/2025</t>
  </si>
  <si>
    <t>06/02/2026</t>
  </si>
  <si>
    <t>25/03/2026</t>
  </si>
  <si>
    <t>Inclusion of all 2025 quarterly operational data following the implementation of CP 009/2024.</t>
  </si>
  <si>
    <t>March 25, 2026</t>
  </si>
  <si>
    <t>*Devido às mudanças regulatórias propostas na CP 009/2024, a metodologia de cálculo das perdas regulatórias ainda não está consolidada. Assim, não é possível calcular os demais trimestres com consistência, razão pela qual não foram apresentados na planilha.</t>
  </si>
  <si>
    <t>Operações Descontinuadas</t>
  </si>
  <si>
    <t xml:space="preserve">-   </t>
  </si>
  <si>
    <t>*A diferença no 4T25 em relação ao valor reportado decorre da consolidação do segmento de transmissão.</t>
  </si>
  <si>
    <t>Lucro das operações descontinuadas</t>
  </si>
  <si>
    <t>4T25*</t>
  </si>
  <si>
    <t>1T26</t>
  </si>
  <si>
    <t>Em relação à cobertura tarifária para compra de energia da CEA, cumpre destacar que além do valor usual implícito no nível de perdas regulatórias, a Aneel disponibilizou na Sparta da RTA 2025 o valor de adicional R$ 55,3 milhões, que ainda será homologado via REH, e é referente ao parágrafo único do art. 4º b da lei 12.111, de 9 de dezembro de 2009. Este mecanismo complementar, previsto em lei, se extingue no processo tarifário de 2026.</t>
  </si>
  <si>
    <t>Equatorial</t>
  </si>
  <si>
    <t xml:space="preserve">Equatorial Renováveis </t>
  </si>
  <si>
    <t>Eqtl Engenharia</t>
  </si>
  <si>
    <t>EQTL P1</t>
  </si>
  <si>
    <t>EQTL P2</t>
  </si>
  <si>
    <t>EQTL P3</t>
  </si>
  <si>
    <t>Echo Energia</t>
  </si>
  <si>
    <t xml:space="preserve">Dep. Judicial de bancos </t>
  </si>
  <si>
    <t>Banks judicial deposits</t>
  </si>
  <si>
    <t>Participação EQTL</t>
  </si>
  <si>
    <t>IGP-M + 1,00%</t>
  </si>
  <si>
    <t>CDI + 1,09%</t>
  </si>
  <si>
    <t>IPCA + 4,81%</t>
  </si>
  <si>
    <t>IPCA + 4,11%</t>
  </si>
  <si>
    <t>CDI + 0,95%</t>
  </si>
  <si>
    <t>CDI + 0,38%</t>
  </si>
  <si>
    <t>CDI - 0,03%</t>
  </si>
  <si>
    <t>CDI + 0,65%</t>
  </si>
  <si>
    <t>CDI - 0,79%</t>
  </si>
  <si>
    <t>IPCA + 4,95%</t>
  </si>
  <si>
    <t>IPCA + 5,96%</t>
  </si>
  <si>
    <t>CDI + 0,12%</t>
  </si>
  <si>
    <t>CDI + 1,05%</t>
  </si>
  <si>
    <t>CDI + 1,15%</t>
  </si>
  <si>
    <t>FINDEV</t>
  </si>
  <si>
    <t>CDI + 0,61%</t>
  </si>
  <si>
    <t>CDI + 1,36%</t>
  </si>
  <si>
    <t>IPCA + 6,30%</t>
  </si>
  <si>
    <t>CDI + 0,29%</t>
  </si>
  <si>
    <t>IPCA + 3,93%</t>
  </si>
  <si>
    <t>IPCA + 4,43%</t>
  </si>
  <si>
    <t>CDI + 0,05%</t>
  </si>
  <si>
    <t>CDI - 0,05%</t>
  </si>
  <si>
    <t>CDI + 1,62%</t>
  </si>
  <si>
    <t>CDI + 1,00%</t>
  </si>
  <si>
    <t>CDI + 0,41%</t>
  </si>
  <si>
    <t>CDI - 0,07%</t>
  </si>
  <si>
    <t>CDI + 0,21%</t>
  </si>
  <si>
    <t>CDI + 0,18%</t>
  </si>
  <si>
    <t>CDI + 0,80%</t>
  </si>
  <si>
    <t>CDI + 0,82%</t>
  </si>
  <si>
    <t>CDI + 1,19%</t>
  </si>
  <si>
    <t>CDI + 0,74%</t>
  </si>
  <si>
    <t>CDI + 0,72%</t>
  </si>
  <si>
    <t>CDI + 1,85%</t>
  </si>
  <si>
    <t>IPCA + 7,38%</t>
  </si>
  <si>
    <t>CDI + 1,10%</t>
  </si>
  <si>
    <t>IPCA + 5,44%</t>
  </si>
  <si>
    <t>CDI + 1,08%</t>
  </si>
  <si>
    <t>IPCA + 6,50%</t>
  </si>
  <si>
    <t>CDI + 0,24%</t>
  </si>
  <si>
    <t>CDI + 0,34%</t>
  </si>
  <si>
    <t>CDI - 0,02%</t>
  </si>
  <si>
    <t>CDI + 1,71%</t>
  </si>
  <si>
    <t>CDI + 1,48%</t>
  </si>
  <si>
    <t>IPCA + 1,68%</t>
  </si>
  <si>
    <t>IPCA + 2,05%</t>
  </si>
  <si>
    <t>IPCA + 6,79%</t>
  </si>
  <si>
    <t>IPCA + 6,75%</t>
  </si>
  <si>
    <t>CDI + 1,20%</t>
  </si>
  <si>
    <t>CDI + 0,51%</t>
  </si>
  <si>
    <t>CDI + 0,92%</t>
  </si>
  <si>
    <t>CDI + 0,02%</t>
  </si>
  <si>
    <t>CDI + 0,59%</t>
  </si>
  <si>
    <t>CDI + 0,99%</t>
  </si>
  <si>
    <t>Eolicatec Sobradinho SA</t>
  </si>
  <si>
    <t>Eolica Baixa Verde SA</t>
  </si>
  <si>
    <t>Eolica Moxoto SA</t>
  </si>
  <si>
    <t>Eolica Pedra do Reino SA</t>
  </si>
  <si>
    <t>Eolica Serra de Santana SA</t>
  </si>
  <si>
    <t>Eolica Lagoa Nova SA</t>
  </si>
  <si>
    <t>Eolica Serido SA</t>
  </si>
  <si>
    <t>Eolica Paraiso SA</t>
  </si>
  <si>
    <t>Eolica lanchinha SA</t>
  </si>
  <si>
    <t>Serras Holding</t>
  </si>
  <si>
    <t>Eolica Pedra Rajada I SA</t>
  </si>
  <si>
    <t>Eolica Pedra Rajada II SA</t>
  </si>
  <si>
    <t>Eolica Cabeço Vermelho I SA</t>
  </si>
  <si>
    <t>Eolica Cabeço Vermelho II SA</t>
  </si>
  <si>
    <t>Eolica Pedra do Reino IV SA</t>
  </si>
  <si>
    <t>Eolica Boa Esperança I SA</t>
  </si>
  <si>
    <t>Vila Piaui I</t>
  </si>
  <si>
    <t>Vila Piaui II</t>
  </si>
  <si>
    <t>Vila Piaui III</t>
  </si>
  <si>
    <t>Serra do Mel Holding S.A.</t>
  </si>
  <si>
    <t>Vila Espirito Santo I</t>
  </si>
  <si>
    <t>Vila Espirito Santo II</t>
  </si>
  <si>
    <t>Vila Espirito Santo V</t>
  </si>
  <si>
    <t>Ventos de Sao Clemente I</t>
  </si>
  <si>
    <t>Ventos de Sao Clemente II</t>
  </si>
  <si>
    <t>Ventos de Sao Clemente III</t>
  </si>
  <si>
    <t>Ventos de Sao Clemente IV</t>
  </si>
  <si>
    <t>Ventos de Sao Clemente V</t>
  </si>
  <si>
    <t>Ventos de Sao Clemente VI</t>
  </si>
  <si>
    <t>Ventos de Sao Clemente VII</t>
  </si>
  <si>
    <t>Ventos de Sao Clemente VIII </t>
  </si>
  <si>
    <t>São Clemente Holding S.A.</t>
  </si>
  <si>
    <t>Ribeiro Goncalves Solar SPE Holding S.A.</t>
  </si>
  <si>
    <t>Ribeiro Gonçalves Solar I</t>
  </si>
  <si>
    <t>IPCA + 5,34%</t>
  </si>
  <si>
    <t>Ribeiro Gonçalves Solar II</t>
  </si>
  <si>
    <t>Ventos de Sao Jorge Holding S.A.</t>
  </si>
  <si>
    <t>Nova Vento Formoso</t>
  </si>
  <si>
    <t>Nova Ventos do Morro do Chapeu</t>
  </si>
  <si>
    <t>Nova Ventos do Parazinho</t>
  </si>
  <si>
    <t>Nova Ventos do Tiangua</t>
  </si>
  <si>
    <t>Nova Ventos do Tiangua Norte</t>
  </si>
  <si>
    <t>Barreiras Holding S.A</t>
  </si>
  <si>
    <t>Sertao Solar Barreiras XVI</t>
  </si>
  <si>
    <t>Sertao Solar Barreiras XVII</t>
  </si>
  <si>
    <t>Sertao Solar Barreiras XVIII</t>
  </si>
  <si>
    <t>Echoenergia Participacoes S.A.</t>
  </si>
  <si>
    <t>CDI + 0,90%</t>
  </si>
  <si>
    <t>CDI + 0,36%</t>
  </si>
  <si>
    <t>IPCA + 7,10%</t>
  </si>
  <si>
    <t>IPCA + 6,44%</t>
  </si>
  <si>
    <t>IPCA + 6,68%</t>
  </si>
  <si>
    <t>CDI + 0,30%</t>
  </si>
  <si>
    <t>CDI + 0,27%</t>
  </si>
  <si>
    <t>CDI - 0,06%</t>
  </si>
  <si>
    <t>Custo Médio: 9,56% a.a.</t>
  </si>
  <si>
    <t>Prazo Médio:6,1 anos</t>
  </si>
  <si>
    <t>Data base: 31/03/2026</t>
  </si>
  <si>
    <t>IRPJ / CSLL 1T26 (R$ milhões)</t>
  </si>
  <si>
    <t>IRPJ / CSLL 1Q26 (R$ million)</t>
  </si>
  <si>
    <t>RTA 2026</t>
  </si>
  <si>
    <t>3M26</t>
  </si>
  <si>
    <t>Inclusão de todos os trimestres de 2025 dos dados operacionais pós CP 009/2024</t>
  </si>
  <si>
    <t>Exercício de opção de compra de ações de controlada</t>
  </si>
  <si>
    <t>Redução de Capital em investidas</t>
  </si>
  <si>
    <t>Financial Assets – Physical Loss Surplus</t>
  </si>
  <si>
    <t>Low-Income Tariff Subsidy Receivable</t>
  </si>
  <si>
    <t>2T26</t>
  </si>
  <si>
    <t>Total Mercado Distribuído (Mercado Fio B Total + Comp. GD I)</t>
  </si>
  <si>
    <t>Total Distributed Market (Total Wire B Market + Compensated DG I)</t>
  </si>
  <si>
    <t>6M26</t>
  </si>
  <si>
    <t>Encargos de uso do sistema de transmissão e distribuição</t>
  </si>
  <si>
    <t>Transmission and Distribution Use-of-System Charges (TUSD/TUST)</t>
  </si>
  <si>
    <t>IRPJ / CSLL 2T26 (R$ milhões)</t>
  </si>
  <si>
    <t>Results 2Q26 (2Q25 table below)</t>
  </si>
  <si>
    <t>Resultados 2T25</t>
  </si>
  <si>
    <t>Results 2Q25</t>
  </si>
  <si>
    <t>Financial Results</t>
  </si>
  <si>
    <t>Em 30.06.2026</t>
  </si>
  <si>
    <t>In 06.30.2026</t>
  </si>
  <si>
    <t>Resultados 2T26 (Tabela 2T25 abaixo)</t>
  </si>
  <si>
    <t>+ 1,7% à 6,8% a.a.</t>
  </si>
  <si>
    <t xml:space="preserve"> +0,9% à 3,2% a.a.</t>
  </si>
  <si>
    <t>Gerais Saneamento</t>
  </si>
  <si>
    <t>+0,46%</t>
  </si>
  <si>
    <t>Equatorial Serviços (Total)</t>
  </si>
  <si>
    <t>- 0,03% à + 1,09% a.a.</t>
  </si>
  <si>
    <t>+ 6,44% à 7,71% a.a.</t>
  </si>
  <si>
    <t>- 0,06% à 1,65% a.a.</t>
  </si>
  <si>
    <t>Equatorial S.A.</t>
  </si>
  <si>
    <t>CDI + 0,75%</t>
  </si>
  <si>
    <t>CDI + 0,98%</t>
  </si>
  <si>
    <t>CDI + 0,46%</t>
  </si>
  <si>
    <t>CDI + 0,66%</t>
  </si>
  <si>
    <t>Semestral após carência</t>
  </si>
  <si>
    <t>Income from financial investments</t>
  </si>
  <si>
    <t>Marcação a valor justo da dívida</t>
  </si>
  <si>
    <t>Valores a devolver de parcela A e outros itens financeiros</t>
  </si>
  <si>
    <t>Perda estimada em créditos de liquidação duvidosa</t>
  </si>
  <si>
    <t>Juros recebidos de aplicações financeiras</t>
  </si>
  <si>
    <t>Aquisições no ativo contratual</t>
  </si>
  <si>
    <t>Debt fair value adjustment</t>
  </si>
  <si>
    <t>Juros sobre Mútuo</t>
  </si>
  <si>
    <t>Caixa e equivalentes de caixa no início do período</t>
  </si>
  <si>
    <t>Caixa e equivalentes de caixa no final do período</t>
  </si>
  <si>
    <t xml:space="preserve">    Outras receitas financeiras e variação cambial</t>
  </si>
  <si>
    <t xml:space="preserve">    Resultado com derivativos</t>
  </si>
  <si>
    <t>Redução/Recebimento de capital em investidas</t>
  </si>
  <si>
    <t>Capacidade Instalada (MVA)</t>
  </si>
  <si>
    <t>RF – Debt MTM (Mark-to-Market)</t>
  </si>
  <si>
    <t>Discontinued Operations</t>
  </si>
  <si>
    <t>*The difference in 4Q25 compared to the reported amount is due to the consolidation of the transmission segment.</t>
  </si>
  <si>
    <t>Vencimento da Concessão - mai/58</t>
  </si>
  <si>
    <t>Vencimento da Concessão - ago/60</t>
  </si>
  <si>
    <t>Concession Expiration - ago/60</t>
  </si>
  <si>
    <t>Next RTP - 2020 (5 years)</t>
  </si>
  <si>
    <t>Concession Expiration - jul/58</t>
  </si>
  <si>
    <t>01/09/2026</t>
  </si>
  <si>
    <t>Atualização de aba "Portfolio de Ativos Renováveis"</t>
  </si>
  <si>
    <t>Atualização de aba "Dados Regulatórios Distribuição" - Fator X - Maranhão</t>
  </si>
  <si>
    <t>Atualização das linhas: Energia elétrica comprada para revenda; Encargo uso do sistema de transmissão e distribuição; Custos de construção nas DREs Resumidas das Discos</t>
  </si>
  <si>
    <t>26/08/2026</t>
  </si>
  <si>
    <t>Update of the “Renewable Asset Portfolio” tab</t>
  </si>
  <si>
    <t>Update of the “Distribution Regulatory Data” tab – X Factor – Maranhão</t>
  </si>
  <si>
    <t>Update of the following line items: Purchased electricity for resale; Transmission and distribution system usage charges; Construction costs in the DisCos’ Summary Income Statements</t>
  </si>
  <si>
    <t>August 26, 2026</t>
  </si>
  <si>
    <t>September 1, 2026</t>
  </si>
  <si>
    <t xml:space="preserve">                    -  </t>
  </si>
  <si>
    <t xml:space="preserve">                -  </t>
  </si>
  <si>
    <t xml:space="preserve">                  -  </t>
  </si>
  <si>
    <t xml:space="preserve">               -  </t>
  </si>
  <si>
    <t xml:space="preserve">                 -  </t>
  </si>
  <si>
    <t>Geração Líquida Parque (GWh)</t>
  </si>
  <si>
    <t xml:space="preserve">Net Park Generation (GWh)
</t>
  </si>
  <si>
    <t>RF - Receita instrumentos financeiros derivativos</t>
  </si>
  <si>
    <t>Derivative Financial Instruments Revenue</t>
  </si>
  <si>
    <t>Echoenergia Participações S.A. (100%)</t>
  </si>
  <si>
    <t>Consolidated balance sheet</t>
  </si>
  <si>
    <t>Consolidado — R$ mil</t>
  </si>
  <si>
    <t>Assets (R$ thousand)</t>
  </si>
  <si>
    <t>Current assets</t>
  </si>
  <si>
    <t>Cash and cash equivalents</t>
  </si>
  <si>
    <t>Trade receivables</t>
  </si>
  <si>
    <t>Imposto de renda e contribuição social a recuperar</t>
  </si>
  <si>
    <t>Income taxes recoverable</t>
  </si>
  <si>
    <t>Taxes recoverable</t>
  </si>
  <si>
    <t>Other receivables</t>
  </si>
  <si>
    <t>Realizável a Longo Prazo</t>
  </si>
  <si>
    <t>Long-term receivables</t>
  </si>
  <si>
    <t>Non-current assets</t>
  </si>
  <si>
    <t>Right-of-use assets</t>
  </si>
  <si>
    <t>Property, plant and equipment</t>
  </si>
  <si>
    <t>Intangible assets</t>
  </si>
  <si>
    <t>Total assets</t>
  </si>
  <si>
    <t>Passivo e patrimônio líquido (R$ mil)</t>
  </si>
  <si>
    <t>Liabilities and shareholders' equity (R$ thousand)</t>
  </si>
  <si>
    <t>Passivo Circulante</t>
  </si>
  <si>
    <t>Current liabilities</t>
  </si>
  <si>
    <t>Loans and financing</t>
  </si>
  <si>
    <t>Income taxes payable</t>
  </si>
  <si>
    <t>Obrigações sociais e trabalhistas</t>
  </si>
  <si>
    <t>Payroll and social obligations</t>
  </si>
  <si>
    <t>Pagamento baseado em ações</t>
  </si>
  <si>
    <t>Share-based payment</t>
  </si>
  <si>
    <t>Reimbursement provision (ACR)</t>
  </si>
  <si>
    <t>Customer advances</t>
  </si>
  <si>
    <t>Lease liabilities</t>
  </si>
  <si>
    <t>Other payables</t>
  </si>
  <si>
    <t>Non-current liabilities</t>
  </si>
  <si>
    <t>Decommissioning provision</t>
  </si>
  <si>
    <t>Total liabilities</t>
  </si>
  <si>
    <t>Total shareholders' equity</t>
  </si>
  <si>
    <t>Capital stock</t>
  </si>
  <si>
    <t>Capital reserves</t>
  </si>
  <si>
    <t>Other comprehensive income</t>
  </si>
  <si>
    <t>Transação de capital com os sócios</t>
  </si>
  <si>
    <t>Capital transaction with shareholders</t>
  </si>
  <si>
    <t>PL acionistas controladores</t>
  </si>
  <si>
    <t>Equity attributable to controlling shareholders</t>
  </si>
  <si>
    <t>Participação de não controladores</t>
  </si>
  <si>
    <t>Non-controlling interests</t>
  </si>
  <si>
    <t>Deferred income taxes</t>
  </si>
  <si>
    <t>Outros tributos diferidos</t>
  </si>
  <si>
    <t>Other deferred taxes</t>
  </si>
  <si>
    <t>Atualização das linhas de Receita Financeira e Despesas Financeiras nas abas DRE ITR</t>
  </si>
  <si>
    <t>Atualizações das abas BP Echo Participações e BP Echo Crescimento</t>
  </si>
  <si>
    <t>Update of the Financial Income and Financial Expenses line items in the ITR Income Statement tabs</t>
  </si>
  <si>
    <t>Updates to the Echo Participações Balance Sheet and Echo Crescimento Balance Sheet tabs</t>
  </si>
  <si>
    <t>September 18, 2026</t>
  </si>
  <si>
    <t>* Nota: Passamos a abrir a informação trimestral em 2025 / Note: We began disclosing quarterly information in 2025</t>
  </si>
  <si>
    <t>Echoenergia Crescimento S.A. (100%)</t>
  </si>
  <si>
    <t>(-) Option Exercise</t>
  </si>
  <si>
    <t>(+) Correção da Call (100% CDI)</t>
  </si>
  <si>
    <t>(+) Correction of Call (100% CDI)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</si>
</sst>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3">
    <numFmt numFmtId="43" formatCode="_-* #,##0.00_-;\-* #,##0.00_-;_-* &quot;-&quot;??_-;_-@_-"/>
    <numFmt numFmtId="164" formatCode="_(* #,##0_);_(* \(#,##0\);_(* &quot;-&quot;_);_(@_)"/>
    <numFmt numFmtId="165" formatCode="_(&quot;R$&quot;* #,##0.00_);_(&quot;R$&quot;* \(#,##0.00\);_(&quot;R$&quot;* &quot;-&quot;??_);_(@_)"/>
    <numFmt numFmtId="166" formatCode="_(* #,##0.00_);_(* \(#,##0.00\);_(* &quot;-&quot;??_);_(@_)"/>
    <numFmt numFmtId="167" formatCode="&quot;$&quot;#,##0_);\(&quot;$&quot;#,##0\)"/>
    <numFmt numFmtId="168" formatCode="&quot;$&quot;#,##0_);[Red]\(&quot;$&quot;#,##0\)"/>
    <numFmt numFmtId="169" formatCode="&quot;$&quot;#,##0.00_);\(&quot;$&quot;#,##0.00\)"/>
    <numFmt numFmtId="170" formatCode="_(&quot;$&quot;* #,##0_);_(&quot;$&quot;* \(#,##0\);_(&quot;$&quot;* &quot;-&quot;_);_(@_)"/>
    <numFmt numFmtId="171" formatCode="_-* #,##0.0_-;\-* #,##0.0_-;_-* &quot;-&quot;??_-;_-@_-"/>
    <numFmt numFmtId="172" formatCode="_-* #,##0.0_-;\-* #,##0.0_-;_-* &quot;-&quot;?_-;_-@_-"/>
    <numFmt numFmtId="173" formatCode="0.0%"/>
    <numFmt numFmtId="174" formatCode="[$-416]mmm\-yy;@"/>
    <numFmt numFmtId="175" formatCode="_-* #,##0_-;\-* #,##0_-;_-* &quot;-&quot;??_-;_-@_-"/>
    <numFmt numFmtId="176" formatCode="#,##0_ ;\-#,##0\ "/>
    <numFmt numFmtId="177" formatCode="_(* #,##0_);_(* \(#,##0\);_(* &quot;-&quot;??_);_(@_)"/>
    <numFmt numFmtId="178" formatCode="&quot;CDI&quot;\ \+\ 0.0%\ &quot;aa&quot;\ "/>
    <numFmt numFmtId="179" formatCode="0.0%\ &quot;aa&quot;\ "/>
    <numFmt numFmtId="180" formatCode="&quot;IPCA&quot;\ \+\ 0.00%\ &quot;aa&quot;\ "/>
    <numFmt numFmtId="181" formatCode="&quot;IGP-M&quot;\ \+\ \1\%\ &quot;aa&quot;\ "/>
    <numFmt numFmtId="182" formatCode="&quot;TJLP&quot;\ \+\ 0.00%\ &quot;aa&quot;\ "/>
    <numFmt numFmtId="183" formatCode="&quot;SELIC&quot;\ \+\ 0.00%\ &quot;aa&quot;\ "/>
    <numFmt numFmtId="184" formatCode="0.0%\ &quot;CDI&quot;\ "/>
    <numFmt numFmtId="185" formatCode="&quot;IPCA +&quot;0.0%\ "/>
    <numFmt numFmtId="186" formatCode="#,##0.0"/>
    <numFmt numFmtId="187" formatCode="\ _(* #,##0_);_(* \(#,##0\);_(* &quot;-&quot;_);_(@_)"/>
    <numFmt numFmtId="188" formatCode="_(* #,##0.000_);_(* \(#,##0.000\);_(* &quot;-&quot;??_);_(@_)"/>
    <numFmt numFmtId="189" formatCode="0.0"/>
    <numFmt numFmtId="190" formatCode="#,##0.000"/>
    <numFmt numFmtId="191" formatCode="_(* #,##0_);_(* \(#,##0\);_(* \-??_);_(@_)"/>
    <numFmt numFmtId="192" formatCode="_(&quot;R$ &quot;* #,##0.00_);_(&quot;R$ &quot;* \(#,##0.00\);_(&quot;R$ &quot;* &quot;-&quot;??_);_(@_)"/>
    <numFmt numFmtId="193" formatCode="0.0000"/>
    <numFmt numFmtId="194" formatCode="0.000"/>
    <numFmt numFmtId="195" formatCode="#,##0.0_);\(#,##0.0\)"/>
    <numFmt numFmtId="196" formatCode="m\-d\-\y\y"/>
    <numFmt numFmtId="197" formatCode="General_)"/>
    <numFmt numFmtId="198" formatCode="#\ ###\ ###\ ##0\ "/>
    <numFmt numFmtId="199" formatCode="&quot;\&quot;#,##0.00;[Red]&quot;\&quot;\-#,##0.00"/>
    <numFmt numFmtId="200" formatCode="&quot;$&quot;#,##0\ ;\(&quot;$&quot;#,##0\)"/>
    <numFmt numFmtId="201" formatCode="#,#00"/>
    <numFmt numFmtId="202" formatCode="0.0%;_(&quot;-&quot;_)"/>
    <numFmt numFmtId="203" formatCode="\$#,"/>
    <numFmt numFmtId="204" formatCode="0.00_)"/>
    <numFmt numFmtId="205" formatCode="0.00%;\(0.00%\)"/>
    <numFmt numFmtId="206" formatCode="#,##0.00;\(#,##0.00\)"/>
    <numFmt numFmtId="207" formatCode="#,"/>
    <numFmt numFmtId="208" formatCode="#.##000"/>
    <numFmt numFmtId="209" formatCode="#.##0,"/>
    <numFmt numFmtId="210" formatCode="000"/>
    <numFmt numFmtId="211" formatCode="_-&quot;$&quot;* #,##0_-;\-&quot;$&quot;* #,##0_-;_-&quot;$&quot;* &quot;-&quot;_-;_-@_-"/>
    <numFmt numFmtId="212" formatCode="_-&quot;$&quot;* #,##0.00_-;\-&quot;$&quot;* #,##0.00_-;_-&quot;$&quot;* &quot;-&quot;??_-;_-@_-"/>
    <numFmt numFmtId="213" formatCode="[Blue]General"/>
    <numFmt numFmtId="214" formatCode="#,##0.00&quot; $&quot;;\-#,##0.00&quot; $&quot;"/>
    <numFmt numFmtId="215" formatCode="_ * #,##0.00_ ;_ * \-#,##0.00_ ;_ * &quot;-&quot;??_ ;_ @_ "/>
    <numFmt numFmtId="216" formatCode="_-* #,##0.00\ &quot;kr&quot;_-;\-* #,##0.00\ &quot;kr&quot;_-;_-* &quot;-&quot;??\ &quot;kr&quot;_-;_-@_-"/>
    <numFmt numFmtId="217" formatCode="mm/yy"/>
    <numFmt numFmtId="218" formatCode="dd/mm/yy"/>
    <numFmt numFmtId="219" formatCode="###0;[Blue]\(###0\)"/>
    <numFmt numFmtId="220" formatCode="#,##0;[Blue]\(#,##0\)"/>
    <numFmt numFmtId="221" formatCode="#,##0.0;[Blue]\(#,##0.0\)"/>
    <numFmt numFmtId="222" formatCode="0%;[Red]\(0%\)"/>
    <numFmt numFmtId="223" formatCode="#,##0.0%;[Blue]\(#,##0.0%\)"/>
    <numFmt numFmtId="224" formatCode="0.0%;[Blue]\(0.0%\)"/>
    <numFmt numFmtId="225" formatCode="0.00%;[Red]\(0.00%\)"/>
    <numFmt numFmtId="226" formatCode="#,##0.0_);[Red]\(#,##0.0\)"/>
    <numFmt numFmtId="227" formatCode="_([$€-2]* #,##0.0000_);_([$€-2]* \(#,##0.0000\);_([$€-2]* &quot;-&quot;??_)"/>
    <numFmt numFmtId="228" formatCode="_(* #,##0.0_);_(* \(#,##0.0\);_(* &quot;-&quot;?_);_(@_)"/>
    <numFmt numFmtId="229" formatCode="#,##0.00\ &quot;m³/d&quot;"/>
    <numFmt numFmtId="230" formatCode="0.000_)"/>
    <numFmt numFmtId="231" formatCode="#,##0_);[Red]\(#,##0\);"/>
    <numFmt numFmtId="232" formatCode="#,##0.0000_);[Red]\(#,##0.00000\)"/>
    <numFmt numFmtId="233" formatCode="&quot;$&quot;#,##0_);[Red]\(&quot;$&quot;#,##0\);"/>
    <numFmt numFmtId="234" formatCode="_(* #,##0.00_);_(* \(#,##0.00\);_(* \-??_);_(@_)"/>
    <numFmt numFmtId="235" formatCode=";;;"/>
    <numFmt numFmtId="236" formatCode="#,##0.00\ &quot;Pts&quot;;\-#,##0.00\ &quot;Pts&quot;"/>
    <numFmt numFmtId="237" formatCode="0.00000000"/>
    <numFmt numFmtId="238" formatCode="#,##0.00&quot;F&quot;_);\(#,##0.00&quot;F&quot;\)"/>
    <numFmt numFmtId="239" formatCode="0\ 000\ 000\ 000"/>
    <numFmt numFmtId="240" formatCode="#,##0;\(#,##0\)"/>
    <numFmt numFmtId="241" formatCode="_ * #,##0_ ;_ * \-#,##0_ ;_ * &quot;-&quot;_ ;_ @_ "/>
    <numFmt numFmtId="242" formatCode="0.0000000000"/>
    <numFmt numFmtId="243" formatCode="_(&quot;N$&quot;* #,##0_);_(&quot;N$&quot;* \(#,##0\);_(&quot;N$&quot;* &quot;-&quot;_);_(@_)"/>
    <numFmt numFmtId="244" formatCode="_(&quot;N$&quot;* #,##0.00_);_(&quot;N$&quot;* \(#,##0.00\);_(&quot;N$&quot;* &quot;-&quot;??_);_(@_)"/>
    <numFmt numFmtId="245" formatCode="#,##0.0%;[Red]\(#,##0.0%\)"/>
    <numFmt numFmtId="246" formatCode="0.000000000"/>
    <numFmt numFmtId="247" formatCode="0_)%;[Red]\(0\)%"/>
    <numFmt numFmtId="248" formatCode="0.0\ %;[Red]\(0.0\)%"/>
    <numFmt numFmtId="249" formatCode="0.00\ %;[Red]\(0.00\)%"/>
    <numFmt numFmtId="250" formatCode="%#,#00"/>
    <numFmt numFmtId="251" formatCode="0000"/>
    <numFmt numFmtId="252" formatCode="00"/>
    <numFmt numFmtId="253" formatCode="_([$€]* #,##0.00_);_([$€]* \(#,##0.00\);_([$€]* &quot;-&quot;??_);_(@_)"/>
    <numFmt numFmtId="254" formatCode="mm/dd/yyyy;@"/>
    <numFmt numFmtId="255" formatCode="#,##0;\(#,##0\)&quot;*&quot;"/>
  </numFmts>
  <fonts count="26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0"/>
      <name val="Arial"/>
      <family val="2"/>
    </font>
    <font>
      <b/>
      <sz val="9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rgb="FFFFFFFF"/>
      <name val="Calibri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name val="Arial Narrow"/>
      <family val="2"/>
    </font>
    <font>
      <b/>
      <sz val="9"/>
      <name val="Calibri"/>
      <family val="2"/>
    </font>
    <font>
      <sz val="10"/>
      <name val="Times New Roman"/>
      <family val="1"/>
    </font>
    <font>
      <sz val="9"/>
      <color rgb="FF000000"/>
      <name val="Calibri"/>
      <family val="2"/>
    </font>
    <font>
      <sz val="9"/>
      <name val="Calibri"/>
      <family val="2"/>
    </font>
    <font>
      <b/>
      <sz val="9"/>
      <color rgb="FF000000"/>
      <name val="Calibri"/>
      <family val="2"/>
    </font>
    <font>
      <sz val="9"/>
      <color rgb="FFFFFFFF"/>
      <name val="Calibri"/>
      <family val="2"/>
    </font>
    <font>
      <b/>
      <sz val="9"/>
      <color theme="0"/>
      <name val="Calibri"/>
      <family val="2"/>
    </font>
    <font>
      <i/>
      <sz val="9"/>
      <color rgb="FFA6A6A6"/>
      <name val="Calibri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9"/>
      <color theme="1"/>
      <name val="Calibri"/>
      <family val="2"/>
    </font>
    <font>
      <sz val="8"/>
      <name val="Times New Roman"/>
      <family val="1"/>
    </font>
    <font>
      <b/>
      <sz val="9"/>
      <color rgb="FF0000FF"/>
      <name val="Wingdings 2"/>
      <family val="1"/>
      <charset val="2"/>
    </font>
    <font>
      <i/>
      <sz val="9"/>
      <name val="Calibri"/>
      <family val="2"/>
      <scheme val="minor"/>
    </font>
    <font>
      <sz val="10"/>
      <name val="Arial Narrow"/>
      <family val="2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u/>
      <sz val="10"/>
      <color theme="3" tint="-0.499984740745262"/>
      <name val="Calibri"/>
      <family val="2"/>
      <scheme val="minor"/>
    </font>
    <font>
      <sz val="8"/>
      <name val="Calibri"/>
      <family val="2"/>
    </font>
    <font>
      <sz val="10"/>
      <name val="Calibri"/>
      <family val="2"/>
    </font>
    <font>
      <b/>
      <sz val="11"/>
      <color rgb="FF003A63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FFFFFF"/>
      <name val="Calibri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0"/>
      <color rgb="FFFFFFFF"/>
      <name val="Calibri"/>
      <family val="2"/>
      <scheme val="minor"/>
    </font>
    <font>
      <b/>
      <sz val="10"/>
      <color rgb="FF1F497D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i/>
      <sz val="8"/>
      <color theme="1"/>
      <name val="Arial"/>
      <family val="2"/>
    </font>
    <font>
      <i/>
      <sz val="8"/>
      <color theme="1"/>
      <name val="Calibri"/>
      <family val="2"/>
      <scheme val="minor"/>
    </font>
    <font>
      <sz val="9"/>
      <color rgb="FF002060"/>
      <name val="Calibri"/>
      <family val="2"/>
      <scheme val="minor"/>
    </font>
    <font>
      <sz val="9"/>
      <color rgb="FFC00000"/>
      <name val="Calibri"/>
      <family val="2"/>
      <scheme val="minor"/>
    </font>
    <font>
      <b/>
      <sz val="9"/>
      <color rgb="FFC00000"/>
      <name val="Calibri"/>
      <family val="2"/>
    </font>
    <font>
      <b/>
      <sz val="10"/>
      <color rgb="FFC00000"/>
      <name val="Calibri"/>
      <family val="2"/>
      <scheme val="minor"/>
    </font>
    <font>
      <sz val="10"/>
      <color theme="1"/>
      <name val="Aptos Narrow"/>
      <family val="2"/>
    </font>
    <font>
      <sz val="11"/>
      <color theme="1"/>
      <name val="Aptos Narrow"/>
      <family val="2"/>
    </font>
    <font>
      <b/>
      <sz val="11"/>
      <color theme="0"/>
      <name val="Aptos Narrow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Arial Narrow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Courier"/>
      <family val="3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1"/>
      <color indexed="9"/>
      <name val="Calibri"/>
      <family val="2"/>
    </font>
    <font>
      <sz val="8"/>
      <name val="MS Sans Serif"/>
      <family val="2"/>
    </font>
    <font>
      <sz val="12"/>
      <name val="Helv"/>
    </font>
    <font>
      <sz val="14"/>
      <color indexed="8"/>
      <name val="Arial"/>
      <family val="2"/>
    </font>
    <font>
      <sz val="11"/>
      <color indexed="20"/>
      <name val="Calibri"/>
      <family val="2"/>
    </font>
    <font>
      <sz val="12"/>
      <name val="Tms Rmn"/>
    </font>
    <font>
      <sz val="8"/>
      <name val="SwitzerlandLight"/>
    </font>
    <font>
      <sz val="7"/>
      <name val="SwitzerlandLight"/>
    </font>
    <font>
      <sz val="11"/>
      <color indexed="17"/>
      <name val="Calibri"/>
      <family val="2"/>
    </font>
    <font>
      <sz val="1"/>
      <color indexed="8"/>
      <name val="Courier"/>
      <family val="3"/>
    </font>
    <font>
      <b/>
      <sz val="10"/>
      <color indexed="18"/>
      <name val="Arial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8"/>
      <name val="Arial"/>
      <family val="2"/>
    </font>
    <font>
      <sz val="10"/>
      <name val="Helv"/>
    </font>
    <font>
      <sz val="10"/>
      <color indexed="24"/>
      <name val="Arial"/>
      <family val="2"/>
    </font>
    <font>
      <sz val="10"/>
      <name val="MS Sans Serif"/>
      <family val="2"/>
    </font>
    <font>
      <sz val="11"/>
      <name val="??"/>
      <family val="3"/>
      <charset val="129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48"/>
      <color indexed="12"/>
      <name val="Lucida Console"/>
      <family val="3"/>
    </font>
    <font>
      <sz val="10"/>
      <color indexed="18"/>
      <name val="Arial"/>
      <family val="2"/>
    </font>
    <font>
      <b/>
      <u/>
      <sz val="11"/>
      <color indexed="37"/>
      <name val="Arial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hadow/>
      <sz val="8"/>
      <color indexed="12"/>
      <name val="Times New Roman"/>
      <family val="1"/>
    </font>
    <font>
      <b/>
      <sz val="12"/>
      <color indexed="8"/>
      <name val="Times New Roman"/>
      <family val="1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0"/>
      <name val="Palatino"/>
    </font>
    <font>
      <b/>
      <sz val="11"/>
      <color indexed="63"/>
      <name val="Calibri"/>
      <family val="2"/>
    </font>
    <font>
      <sz val="12"/>
      <color indexed="8"/>
      <name val="Times New Roman"/>
      <family val="1"/>
    </font>
    <font>
      <sz val="9"/>
      <name val="Arial"/>
      <family val="2"/>
    </font>
    <font>
      <sz val="1"/>
      <color indexed="18"/>
      <name val="Courier"/>
      <family val="3"/>
    </font>
    <font>
      <b/>
      <sz val="10"/>
      <color indexed="32"/>
      <name val="Arial"/>
      <family val="2"/>
    </font>
    <font>
      <b/>
      <sz val="12"/>
      <name val="Univers (WN)"/>
    </font>
    <font>
      <sz val="11"/>
      <color indexed="10"/>
      <name val="Calibri"/>
      <family val="2"/>
    </font>
    <font>
      <sz val="8"/>
      <name val="CG Times (E1)"/>
    </font>
    <font>
      <b/>
      <sz val="18"/>
      <color indexed="56"/>
      <name val="Cambria"/>
      <family val="2"/>
    </font>
    <font>
      <b/>
      <u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62"/>
      <name val="Cambria"/>
      <family val="2"/>
    </font>
    <font>
      <sz val="10"/>
      <color indexed="32"/>
      <name val="Arial"/>
      <family val="2"/>
    </font>
    <font>
      <sz val="10"/>
      <name val="Univers (E1)"/>
    </font>
    <font>
      <sz val="8"/>
      <color indexed="12"/>
      <name val="Arial"/>
      <family val="2"/>
    </font>
    <font>
      <sz val="10"/>
      <color indexed="10"/>
      <name val="Arial"/>
      <family val="2"/>
    </font>
    <font>
      <u/>
      <sz val="10"/>
      <color indexed="36"/>
      <name val="Courier"/>
      <family val="3"/>
    </font>
    <font>
      <u/>
      <sz val="10"/>
      <color indexed="12"/>
      <name val="Arial Narrow"/>
      <family val="2"/>
    </font>
    <font>
      <sz val="11"/>
      <name val="Arial"/>
      <family val="2"/>
    </font>
    <font>
      <sz val="10"/>
      <name val="Palatino"/>
      <family val="1"/>
    </font>
    <font>
      <sz val="10"/>
      <name val="Century Gothic"/>
      <family val="2"/>
    </font>
    <font>
      <b/>
      <sz val="10"/>
      <name val="MS Sans Serif"/>
      <family val="2"/>
    </font>
    <font>
      <b/>
      <i/>
      <sz val="14"/>
      <name val="Arial"/>
      <family val="2"/>
    </font>
    <font>
      <b/>
      <sz val="11"/>
      <color indexed="8"/>
      <name val="Calibri"/>
      <family val="2"/>
    </font>
    <font>
      <sz val="10"/>
      <name val="Tms Rmn"/>
    </font>
    <font>
      <b/>
      <sz val="10"/>
      <name val="Tms Rmn"/>
    </font>
    <font>
      <u/>
      <sz val="10"/>
      <color indexed="36"/>
      <name val="Arial"/>
      <family val="2"/>
    </font>
    <font>
      <b/>
      <sz val="10"/>
      <color indexed="37"/>
      <name val="Arial"/>
      <family val="2"/>
    </font>
    <font>
      <b/>
      <sz val="14"/>
      <color indexed="18"/>
      <name val="Times New Roman"/>
      <family val="1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b/>
      <u/>
      <sz val="12"/>
      <name val="Tms Rmn"/>
    </font>
    <font>
      <b/>
      <sz val="12"/>
      <name val="Tms Rmn"/>
    </font>
    <font>
      <sz val="10"/>
      <color rgb="FFFF0000"/>
      <name val="Arial"/>
      <family val="2"/>
    </font>
    <font>
      <sz val="10"/>
      <color indexed="8"/>
      <name val="MS Sans Serif"/>
      <family val="2"/>
    </font>
    <font>
      <sz val="10"/>
      <name val="Helv"/>
      <charset val="204"/>
    </font>
    <font>
      <sz val="12"/>
      <name val="Times New Roman"/>
      <family val="1"/>
    </font>
    <font>
      <sz val="10"/>
      <name val="Geneva"/>
    </font>
    <font>
      <sz val="9"/>
      <color indexed="8"/>
      <name val="Calibri"/>
      <family val="2"/>
    </font>
    <font>
      <sz val="9"/>
      <color indexed="9"/>
      <name val="Calibri"/>
      <family val="2"/>
    </font>
    <font>
      <sz val="8"/>
      <color indexed="12"/>
      <name val="Helv"/>
    </font>
    <font>
      <sz val="10"/>
      <name val="FuturaA Bk BT"/>
    </font>
    <font>
      <sz val="9"/>
      <color indexed="20"/>
      <name val="Calibri"/>
      <family val="2"/>
    </font>
    <font>
      <sz val="8"/>
      <name val="Geneva"/>
    </font>
    <font>
      <b/>
      <sz val="12"/>
      <name val="Times New Roman"/>
      <family val="1"/>
    </font>
    <font>
      <sz val="7"/>
      <name val="Times New Roman"/>
      <family val="1"/>
    </font>
    <font>
      <b/>
      <sz val="11"/>
      <color indexed="10"/>
      <name val="Calibri"/>
      <family val="2"/>
    </font>
    <font>
      <b/>
      <sz val="10"/>
      <color indexed="12"/>
      <name val="Arial"/>
      <family val="2"/>
    </font>
    <font>
      <b/>
      <sz val="9"/>
      <color indexed="9"/>
      <name val="Calibri"/>
      <family val="2"/>
    </font>
    <font>
      <sz val="12"/>
      <name val="Arial MT"/>
    </font>
    <font>
      <sz val="11"/>
      <name val="Tms Rmn"/>
    </font>
    <font>
      <sz val="8"/>
      <name val="Palatino"/>
      <family val="1"/>
    </font>
    <font>
      <sz val="10"/>
      <name val="BERNHARD"/>
    </font>
    <font>
      <sz val="7.5"/>
      <color indexed="12"/>
      <name val="Arial"/>
      <family val="2"/>
    </font>
    <font>
      <b/>
      <sz val="1"/>
      <color indexed="8"/>
      <name val="Courier"/>
      <family val="3"/>
    </font>
    <font>
      <i/>
      <sz val="9"/>
      <color indexed="23"/>
      <name val="Calibri"/>
      <family val="2"/>
    </font>
    <font>
      <sz val="7"/>
      <name val="Palatino"/>
      <family val="1"/>
    </font>
    <font>
      <sz val="9"/>
      <color indexed="17"/>
      <name val="Calibri"/>
      <family val="2"/>
    </font>
    <font>
      <i/>
      <sz val="14"/>
      <name val="Palatino"/>
      <family val="1"/>
    </font>
    <font>
      <u/>
      <sz val="11"/>
      <color theme="10"/>
      <name val="Calibri"/>
      <family val="2"/>
    </font>
    <font>
      <b/>
      <sz val="9"/>
      <name val="Geneva"/>
    </font>
    <font>
      <b/>
      <sz val="10"/>
      <name val="Palatino"/>
      <family val="1"/>
    </font>
    <font>
      <sz val="9"/>
      <color indexed="52"/>
      <name val="Calibri"/>
      <family val="2"/>
    </font>
    <font>
      <sz val="8"/>
      <color indexed="8"/>
      <name val="Helv"/>
    </font>
    <font>
      <sz val="10"/>
      <name val="Arial CE"/>
      <charset val="238"/>
    </font>
    <font>
      <sz val="10"/>
      <color indexed="20"/>
      <name val="Times New Roman"/>
      <family val="1"/>
    </font>
    <font>
      <sz val="9"/>
      <color indexed="60"/>
      <name val="Calibri"/>
      <family val="2"/>
    </font>
    <font>
      <sz val="19"/>
      <name val="Helv"/>
    </font>
    <font>
      <sz val="8"/>
      <name val="Helv"/>
      <charset val="204"/>
    </font>
    <font>
      <i/>
      <sz val="10"/>
      <name val="MS Sans Serif"/>
      <family val="2"/>
    </font>
    <font>
      <b/>
      <sz val="9"/>
      <color indexed="63"/>
      <name val="Calibri"/>
      <family val="2"/>
    </font>
    <font>
      <b/>
      <sz val="11"/>
      <color indexed="16"/>
      <name val="Times New Roman"/>
      <family val="1"/>
    </font>
    <font>
      <sz val="10"/>
      <color indexed="16"/>
      <name val="Helvetica-Black"/>
      <family val="2"/>
    </font>
    <font>
      <sz val="22"/>
      <name val="UBSHeadline"/>
      <family val="1"/>
    </font>
    <font>
      <sz val="8"/>
      <name val="Helv"/>
    </font>
    <font>
      <i/>
      <sz val="10"/>
      <color indexed="10"/>
      <name val="Futura Bk BT"/>
      <family val="2"/>
    </font>
    <font>
      <sz val="10"/>
      <name val="Futura Bk BT"/>
    </font>
    <font>
      <sz val="10"/>
      <color indexed="10"/>
      <name val="MS Sans Serif"/>
      <family val="2"/>
    </font>
    <font>
      <b/>
      <sz val="16"/>
      <color indexed="23"/>
      <name val="Arial"/>
      <family val="2"/>
    </font>
    <font>
      <b/>
      <sz val="18"/>
      <color indexed="9"/>
      <name val="Arial"/>
      <family val="2"/>
    </font>
    <font>
      <b/>
      <sz val="9"/>
      <name val="Palatino"/>
      <family val="1"/>
    </font>
    <font>
      <sz val="9"/>
      <color indexed="21"/>
      <name val="Helvetica-Black"/>
      <family val="2"/>
    </font>
    <font>
      <sz val="9"/>
      <name val="Helvetica-Black"/>
      <family val="2"/>
    </font>
    <font>
      <b/>
      <sz val="8"/>
      <name val="Times New Roman"/>
      <family val="1"/>
    </font>
    <font>
      <sz val="9"/>
      <name val="Tms Rmn"/>
    </font>
    <font>
      <b/>
      <sz val="11"/>
      <name val="Times New Roman"/>
      <family val="1"/>
    </font>
    <font>
      <b/>
      <sz val="7"/>
      <color indexed="12"/>
      <name val="Arial"/>
      <family val="2"/>
    </font>
    <font>
      <sz val="8"/>
      <color indexed="10"/>
      <name val="Arial Narrow"/>
      <family val="2"/>
    </font>
    <font>
      <sz val="12"/>
      <color indexed="14"/>
      <name val="Times New Roman"/>
      <family val="1"/>
    </font>
    <font>
      <sz val="9"/>
      <color indexed="10"/>
      <name val="Calibri"/>
      <family val="2"/>
    </font>
    <font>
      <sz val="10"/>
      <name val="Arial Cyr"/>
      <charset val="204"/>
    </font>
    <font>
      <sz val="10"/>
      <name val="NTHarmonica"/>
    </font>
    <font>
      <sz val="11"/>
      <name val="Times New Roman"/>
      <family val="1"/>
    </font>
    <font>
      <b/>
      <sz val="10"/>
      <color theme="0"/>
      <name val="Arial"/>
      <family val="2"/>
    </font>
    <font>
      <sz val="10"/>
      <name val="Tahoma"/>
      <family val="2"/>
    </font>
    <font>
      <sz val="10"/>
      <color rgb="FFFA7D00"/>
      <name val="Arial"/>
      <family val="2"/>
    </font>
    <font>
      <u/>
      <sz val="11"/>
      <color indexed="12"/>
      <name val="Calibri"/>
      <family val="2"/>
    </font>
    <font>
      <u/>
      <sz val="7.5"/>
      <color indexed="12"/>
      <name val="Arial"/>
      <family val="2"/>
    </font>
    <font>
      <sz val="10"/>
      <color rgb="FF9C0006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1"/>
      <color theme="3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Trebuchet MS"/>
      <family val="2"/>
    </font>
    <font>
      <b/>
      <sz val="11"/>
      <color indexed="9"/>
      <name val="Aptos Narrow"/>
      <family val="2"/>
    </font>
    <font>
      <b/>
      <sz val="11"/>
      <color rgb="FF1F497D"/>
      <name val="Aptos Narrow"/>
      <family val="2"/>
    </font>
    <font>
      <b/>
      <sz val="11"/>
      <color rgb="FF002060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  <font>
      <sz val="10"/>
      <name val="Geneva"/>
      <family val="2"/>
    </font>
    <font>
      <sz val="13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10"/>
      <color theme="0"/>
      <name val="Calibri"/>
      <family val="2"/>
      <scheme val="minor"/>
    </font>
    <font>
      <b/>
      <sz val="10"/>
      <color theme="1"/>
      <name val="Aptos Narrow"/>
      <family val="2"/>
    </font>
    <font>
      <b/>
      <sz val="11"/>
      <color theme="1"/>
      <name val="Aptos Narrow"/>
      <family val="2"/>
    </font>
    <font>
      <b/>
      <sz val="10"/>
      <color theme="0"/>
      <name val="Aptos Narrow"/>
      <family val="2"/>
    </font>
    <font>
      <b/>
      <sz val="10"/>
      <name val="Aptos Narrow"/>
      <family val="2"/>
    </font>
    <font>
      <sz val="10"/>
      <color rgb="FF000000"/>
      <name val="Aptos Narrow"/>
      <family val="2"/>
    </font>
    <font>
      <b/>
      <i/>
      <sz val="10"/>
      <color theme="0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0"/>
      <color rgb="FFFFFFFF"/>
      <name val="Aptos Narrow"/>
      <family val="2"/>
    </font>
    <font>
      <sz val="10"/>
      <name val="Aptos Narrow"/>
      <family val="2"/>
    </font>
    <font>
      <b/>
      <sz val="10"/>
      <color rgb="FF1F497D"/>
      <name val="Aptos Narrow"/>
      <family val="2"/>
    </font>
    <font>
      <i/>
      <sz val="11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color theme="1"/>
      <name val="Aptos Narrow"/>
      <family val="2"/>
    </font>
    <font>
      <b/>
      <sz val="10"/>
      <name val="Aptos Narrow"/>
      <family val="2"/>
    </font>
    <font>
      <sz val="10"/>
      <color theme="1"/>
      <name val="Arial"/>
      <family val="2"/>
    </font>
    <font>
      <sz val="8"/>
      <color rgb="FF808080"/>
      <name val="Calibri"/>
      <family val="2"/>
    </font>
    <font>
      <i/>
      <sz val="9"/>
      <name val="Calibri"/>
      <family val="2"/>
    </font>
  </fonts>
  <fills count="13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00206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1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3"/>
        <bgColor indexed="64"/>
      </patternFill>
    </fill>
    <fill>
      <patternFill patternType="gray0625"/>
    </fill>
    <fill>
      <patternFill patternType="solid">
        <fgColor indexed="9"/>
        <bgColor indexed="19"/>
      </patternFill>
    </fill>
    <fill>
      <patternFill patternType="solid">
        <fgColor indexed="9"/>
        <bgColor indexed="43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1"/>
      </patternFill>
    </fill>
    <fill>
      <patternFill patternType="solid">
        <fgColor indexed="50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48"/>
        <bgColor indexed="48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35"/>
      </patternFill>
    </fill>
    <fill>
      <patternFill patternType="solid">
        <fgColor indexed="25"/>
        <bgColor indexed="2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33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2"/>
        <bgColor indexed="52"/>
      </patternFill>
    </fill>
    <fill>
      <patternFill patternType="solid">
        <fgColor indexed="38"/>
      </patternFill>
    </fill>
    <fill>
      <patternFill patternType="solid">
        <f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gray0625">
        <fgColor indexed="11"/>
      </patternFill>
    </fill>
    <fill>
      <patternFill patternType="solid">
        <fgColor indexed="31"/>
        <bgColor indexed="64"/>
      </patternFill>
    </fill>
    <fill>
      <patternFill patternType="solid">
        <fgColor indexed="54"/>
      </patternFill>
    </fill>
    <fill>
      <patternFill patternType="solid">
        <fgColor indexed="23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8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3A63"/>
        <bgColor indexed="64"/>
      </patternFill>
    </fill>
    <fill>
      <patternFill patternType="solid">
        <fgColor rgb="FF808080"/>
        <bgColor rgb="FF969696"/>
      </patternFill>
    </fill>
    <fill>
      <patternFill patternType="solid">
        <fgColor rgb="FF002060"/>
        <bgColor rgb="FF003A63"/>
      </patternFill>
    </fill>
    <fill>
      <patternFill patternType="solid">
        <fgColor rgb="FFFFFFFF"/>
        <bgColor rgb="FFFFFFCC"/>
      </patternFill>
    </fill>
  </fills>
  <borders count="8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indexed="62"/>
      </top>
      <bottom style="medium">
        <color rgb="FF003A63"/>
      </bottom>
      <diagonal/>
    </border>
    <border>
      <left/>
      <right/>
      <top/>
      <bottom style="medium">
        <color rgb="FF003A63"/>
      </bottom>
      <diagonal/>
    </border>
    <border>
      <left/>
      <right/>
      <top style="medium">
        <color rgb="FF003A63"/>
      </top>
      <bottom style="medium">
        <color rgb="FF003A63"/>
      </bottom>
      <diagonal/>
    </border>
    <border>
      <left/>
      <right/>
      <top style="medium">
        <color rgb="FF003A63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rgb="FF00206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18"/>
      </left>
      <right/>
      <top style="thick">
        <color indexed="18"/>
      </top>
      <bottom style="thin">
        <color indexed="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dotted">
        <color indexed="64"/>
      </bottom>
      <diagonal/>
    </border>
    <border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ck">
        <color theme="0"/>
      </right>
      <top/>
      <bottom style="thin">
        <color auto="1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 style="medium">
        <color rgb="FF003A63"/>
      </bottom>
      <diagonal/>
    </border>
  </borders>
  <cellStyleXfs count="43991">
    <xf numFmtId="0" fontId="0" fillId="0" borderId="0"/>
    <xf numFmtId="166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23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3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11" fillId="0" borderId="0"/>
    <xf numFmtId="166" fontId="36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1" fillId="0" borderId="0" applyFont="0" applyFill="0" applyBorder="0" applyAlignment="0" applyProtection="0"/>
    <xf numFmtId="0" fontId="58" fillId="0" borderId="0" applyProtection="0">
      <alignment vertical="center"/>
    </xf>
    <xf numFmtId="0" fontId="11" fillId="0" borderId="0"/>
    <xf numFmtId="0" fontId="33" fillId="0" borderId="0"/>
    <xf numFmtId="166" fontId="1" fillId="0" borderId="0" applyFont="0" applyFill="0" applyBorder="0" applyAlignment="0" applyProtection="0"/>
    <xf numFmtId="0" fontId="88" fillId="0" borderId="0"/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1" fillId="0" borderId="0"/>
    <xf numFmtId="0" fontId="11" fillId="0" borderId="0"/>
    <xf numFmtId="0" fontId="11" fillId="0" borderId="0"/>
    <xf numFmtId="3" fontId="96" fillId="49" borderId="0">
      <alignment horizontal="left"/>
    </xf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0" fontId="40" fillId="52" borderId="0" applyNumberFormat="0" applyBorder="0" applyAlignment="0" applyProtection="0"/>
    <xf numFmtId="0" fontId="40" fillId="53" borderId="0" applyNumberFormat="0" applyBorder="0" applyAlignment="0" applyProtection="0"/>
    <xf numFmtId="0" fontId="40" fillId="54" borderId="0" applyNumberFormat="0" applyBorder="0" applyAlignment="0" applyProtection="0"/>
    <xf numFmtId="0" fontId="40" fillId="55" borderId="0" applyNumberFormat="0" applyBorder="0" applyAlignment="0" applyProtection="0"/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0" fontId="40" fillId="52" borderId="0" applyNumberFormat="0" applyBorder="0" applyAlignment="0" applyProtection="0"/>
    <xf numFmtId="0" fontId="40" fillId="53" borderId="0" applyNumberFormat="0" applyBorder="0" applyAlignment="0" applyProtection="0"/>
    <xf numFmtId="0" fontId="40" fillId="54" borderId="0" applyNumberFormat="0" applyBorder="0" applyAlignment="0" applyProtection="0"/>
    <xf numFmtId="0" fontId="40" fillId="55" borderId="0" applyNumberFormat="0" applyBorder="0" applyAlignment="0" applyProtection="0"/>
    <xf numFmtId="3" fontId="97" fillId="56" borderId="0"/>
    <xf numFmtId="0" fontId="40" fillId="57" borderId="0" applyNumberFormat="0" applyBorder="0" applyAlignment="0" applyProtection="0"/>
    <xf numFmtId="0" fontId="40" fillId="58" borderId="0" applyNumberFormat="0" applyBorder="0" applyAlignment="0" applyProtection="0"/>
    <xf numFmtId="0" fontId="40" fillId="59" borderId="0" applyNumberFormat="0" applyBorder="0" applyAlignment="0" applyProtection="0"/>
    <xf numFmtId="0" fontId="40" fillId="53" borderId="0" applyNumberFormat="0" applyBorder="0" applyAlignment="0" applyProtection="0"/>
    <xf numFmtId="0" fontId="40" fillId="57" borderId="0" applyNumberFormat="0" applyBorder="0" applyAlignment="0" applyProtection="0"/>
    <xf numFmtId="0" fontId="40" fillId="60" borderId="0" applyNumberFormat="0" applyBorder="0" applyAlignment="0" applyProtection="0"/>
    <xf numFmtId="0" fontId="40" fillId="57" borderId="0" applyNumberFormat="0" applyBorder="0" applyAlignment="0" applyProtection="0"/>
    <xf numFmtId="0" fontId="40" fillId="58" borderId="0" applyNumberFormat="0" applyBorder="0" applyAlignment="0" applyProtection="0"/>
    <xf numFmtId="0" fontId="40" fillId="59" borderId="0" applyNumberFormat="0" applyBorder="0" applyAlignment="0" applyProtection="0"/>
    <xf numFmtId="0" fontId="40" fillId="53" borderId="0" applyNumberFormat="0" applyBorder="0" applyAlignment="0" applyProtection="0"/>
    <xf numFmtId="0" fontId="40" fillId="57" borderId="0" applyNumberFormat="0" applyBorder="0" applyAlignment="0" applyProtection="0"/>
    <xf numFmtId="0" fontId="40" fillId="60" borderId="0" applyNumberFormat="0" applyBorder="0" applyAlignment="0" applyProtection="0"/>
    <xf numFmtId="0" fontId="98" fillId="61" borderId="0" applyNumberFormat="0" applyBorder="0" applyAlignment="0" applyProtection="0"/>
    <xf numFmtId="0" fontId="98" fillId="58" borderId="0" applyNumberFormat="0" applyBorder="0" applyAlignment="0" applyProtection="0"/>
    <xf numFmtId="0" fontId="98" fillId="59" borderId="0" applyNumberFormat="0" applyBorder="0" applyAlignment="0" applyProtection="0"/>
    <xf numFmtId="0" fontId="98" fillId="62" borderId="0" applyNumberFormat="0" applyBorder="0" applyAlignment="0" applyProtection="0"/>
    <xf numFmtId="0" fontId="98" fillId="63" borderId="0" applyNumberFormat="0" applyBorder="0" applyAlignment="0" applyProtection="0"/>
    <xf numFmtId="0" fontId="98" fillId="64" borderId="0" applyNumberFormat="0" applyBorder="0" applyAlignment="0" applyProtection="0"/>
    <xf numFmtId="0" fontId="98" fillId="61" borderId="0" applyNumberFormat="0" applyBorder="0" applyAlignment="0" applyProtection="0"/>
    <xf numFmtId="0" fontId="98" fillId="58" borderId="0" applyNumberFormat="0" applyBorder="0" applyAlignment="0" applyProtection="0"/>
    <xf numFmtId="0" fontId="98" fillId="59" borderId="0" applyNumberFormat="0" applyBorder="0" applyAlignment="0" applyProtection="0"/>
    <xf numFmtId="0" fontId="98" fillId="62" borderId="0" applyNumberFormat="0" applyBorder="0" applyAlignment="0" applyProtection="0"/>
    <xf numFmtId="0" fontId="98" fillId="63" borderId="0" applyNumberFormat="0" applyBorder="0" applyAlignment="0" applyProtection="0"/>
    <xf numFmtId="0" fontId="98" fillId="64" borderId="0" applyNumberFormat="0" applyBorder="0" applyAlignment="0" applyProtection="0"/>
    <xf numFmtId="0" fontId="99" fillId="0" borderId="0"/>
    <xf numFmtId="0" fontId="99" fillId="0" borderId="0"/>
    <xf numFmtId="0" fontId="99" fillId="0" borderId="0"/>
    <xf numFmtId="37" fontId="100" fillId="0" borderId="0"/>
    <xf numFmtId="0" fontId="100" fillId="0" borderId="1" applyBorder="0"/>
    <xf numFmtId="0" fontId="98" fillId="65" borderId="0" applyNumberFormat="0" applyBorder="0" applyAlignment="0" applyProtection="0"/>
    <xf numFmtId="0" fontId="98" fillId="66" borderId="0" applyNumberFormat="0" applyBorder="0" applyAlignment="0" applyProtection="0"/>
    <xf numFmtId="0" fontId="98" fillId="67" borderId="0" applyNumberFormat="0" applyBorder="0" applyAlignment="0" applyProtection="0"/>
    <xf numFmtId="0" fontId="98" fillId="62" borderId="0" applyNumberFormat="0" applyBorder="0" applyAlignment="0" applyProtection="0"/>
    <xf numFmtId="0" fontId="98" fillId="63" borderId="0" applyNumberFormat="0" applyBorder="0" applyAlignment="0" applyProtection="0"/>
    <xf numFmtId="0" fontId="98" fillId="68" borderId="0" applyNumberFormat="0" applyBorder="0" applyAlignment="0" applyProtection="0"/>
    <xf numFmtId="196" fontId="68" fillId="69" borderId="38">
      <alignment horizontal="center" vertical="center"/>
    </xf>
    <xf numFmtId="0" fontId="11" fillId="0" borderId="0"/>
    <xf numFmtId="10" fontId="11" fillId="70" borderId="0" applyFont="0" applyBorder="0" applyAlignment="0">
      <protection locked="0"/>
    </xf>
    <xf numFmtId="193" fontId="11" fillId="70" borderId="0" applyBorder="0" applyAlignment="0">
      <protection locked="0"/>
    </xf>
    <xf numFmtId="3" fontId="96" fillId="0" borderId="0" applyNumberFormat="0" applyFill="0" applyBorder="0" applyAlignment="0" applyProtection="0"/>
    <xf numFmtId="3" fontId="101" fillId="0" borderId="0" applyNumberFormat="0" applyFill="0" applyBorder="0" applyAlignment="0" applyProtection="0"/>
    <xf numFmtId="0" fontId="102" fillId="51" borderId="0" applyNumberFormat="0" applyBorder="0" applyAlignment="0" applyProtection="0"/>
    <xf numFmtId="0" fontId="103" fillId="0" borderId="0" applyNumberFormat="0" applyFill="0" applyBorder="0" applyAlignment="0" applyProtection="0"/>
    <xf numFmtId="0" fontId="11" fillId="0" borderId="0" applyNumberFormat="0" applyFill="0" applyBorder="0" applyAlignment="0"/>
    <xf numFmtId="197" fontId="104" fillId="0" borderId="0">
      <alignment vertical="top"/>
    </xf>
    <xf numFmtId="198" fontId="105" fillId="0" borderId="39"/>
    <xf numFmtId="0" fontId="106" fillId="52" borderId="0" applyNumberFormat="0" applyBorder="0" applyAlignment="0" applyProtection="0"/>
    <xf numFmtId="0" fontId="107" fillId="0" borderId="0">
      <protection locked="0"/>
    </xf>
    <xf numFmtId="0" fontId="107" fillId="0" borderId="0">
      <protection locked="0"/>
    </xf>
    <xf numFmtId="14" fontId="108" fillId="71" borderId="40" applyBorder="0" applyAlignment="0">
      <alignment horizontal="center" vertical="center"/>
    </xf>
    <xf numFmtId="0" fontId="108" fillId="72" borderId="40" applyNumberFormat="0" applyBorder="0" applyAlignment="0">
      <alignment horizontal="center" vertical="center"/>
    </xf>
    <xf numFmtId="0" fontId="11" fillId="0" borderId="0" applyFill="0" applyBorder="0" applyAlignment="0"/>
    <xf numFmtId="197" fontId="109" fillId="0" borderId="0" applyFill="0" applyBorder="0" applyAlignment="0"/>
    <xf numFmtId="194" fontId="109" fillId="0" borderId="0" applyFill="0" applyBorder="0" applyAlignment="0"/>
    <xf numFmtId="195" fontId="95" fillId="0" borderId="0" applyFill="0" applyBorder="0" applyAlignment="0"/>
    <xf numFmtId="199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97" fontId="109" fillId="0" borderId="0" applyFill="0" applyBorder="0" applyAlignment="0"/>
    <xf numFmtId="0" fontId="110" fillId="73" borderId="41" applyNumberFormat="0" applyAlignment="0" applyProtection="0"/>
    <xf numFmtId="0" fontId="110" fillId="73" borderId="41" applyNumberFormat="0" applyAlignment="0" applyProtection="0"/>
    <xf numFmtId="40" fontId="109" fillId="70" borderId="42">
      <alignment vertical="center"/>
    </xf>
    <xf numFmtId="0" fontId="111" fillId="74" borderId="43" applyNumberFormat="0" applyAlignment="0" applyProtection="0"/>
    <xf numFmtId="0" fontId="112" fillId="0" borderId="44" applyNumberFormat="0" applyFill="0" applyAlignment="0" applyProtection="0"/>
    <xf numFmtId="0" fontId="111" fillId="74" borderId="43" applyNumberFormat="0" applyAlignment="0" applyProtection="0"/>
    <xf numFmtId="0" fontId="113" fillId="75" borderId="45" applyFont="0" applyFill="0" applyBorder="0"/>
    <xf numFmtId="0" fontId="93" fillId="0" borderId="46"/>
    <xf numFmtId="0" fontId="114" fillId="0" borderId="47"/>
    <xf numFmtId="164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3" fontId="115" fillId="0" borderId="0" applyFont="0" applyFill="0" applyBorder="0" applyAlignment="0" applyProtection="0"/>
    <xf numFmtId="166" fontId="11" fillId="76" borderId="0" applyNumberFormat="0" applyFont="0" applyBorder="0" applyAlignment="0" applyProtection="0"/>
    <xf numFmtId="0" fontId="114" fillId="0" borderId="47"/>
    <xf numFmtId="0" fontId="116" fillId="0" borderId="0" applyFont="0" applyFill="0" applyBorder="0" applyAlignment="0" applyProtection="0"/>
    <xf numFmtId="0" fontId="116" fillId="0" borderId="0" applyFont="0" applyFill="0" applyBorder="0" applyAlignment="0" applyProtection="0"/>
    <xf numFmtId="211" fontId="11" fillId="0" borderId="0" applyFont="0" applyFill="0" applyBorder="0" applyAlignment="0" applyProtection="0"/>
    <xf numFmtId="197" fontId="109" fillId="0" borderId="0" applyFont="0" applyFill="0" applyBorder="0" applyAlignment="0" applyProtection="0"/>
    <xf numFmtId="212" fontId="11" fillId="0" borderId="0" applyFont="0" applyFill="0" applyBorder="0" applyAlignment="0" applyProtection="0"/>
    <xf numFmtId="200" fontId="115" fillId="0" borderId="0" applyFont="0" applyFill="0" applyBorder="0" applyAlignment="0" applyProtection="0"/>
    <xf numFmtId="0" fontId="107" fillId="0" borderId="0">
      <protection locked="0"/>
    </xf>
    <xf numFmtId="168" fontId="117" fillId="0" borderId="0">
      <protection locked="0"/>
    </xf>
    <xf numFmtId="14" fontId="90" fillId="0" borderId="0" applyFill="0" applyBorder="0" applyAlignment="0"/>
    <xf numFmtId="0" fontId="11" fillId="0" borderId="0" applyFont="0" applyFill="0" applyBorder="0" applyProtection="0">
      <alignment horizontal="left"/>
    </xf>
    <xf numFmtId="0" fontId="11" fillId="0" borderId="0" applyFont="0" applyFill="0" applyBorder="0" applyAlignment="0" applyProtection="0">
      <protection locked="0"/>
    </xf>
    <xf numFmtId="39" fontId="114" fillId="0" borderId="0" applyFont="0" applyFill="0" applyBorder="0" applyAlignment="0" applyProtection="0"/>
    <xf numFmtId="0" fontId="116" fillId="0" borderId="0" applyFont="0" applyFill="0" applyBorder="0" applyAlignment="0"/>
    <xf numFmtId="0" fontId="11" fillId="0" borderId="48">
      <alignment vertical="center"/>
    </xf>
    <xf numFmtId="0" fontId="98" fillId="65" borderId="0" applyNumberFormat="0" applyBorder="0" applyAlignment="0" applyProtection="0"/>
    <xf numFmtId="0" fontId="98" fillId="66" borderId="0" applyNumberFormat="0" applyBorder="0" applyAlignment="0" applyProtection="0"/>
    <xf numFmtId="0" fontId="98" fillId="67" borderId="0" applyNumberFormat="0" applyBorder="0" applyAlignment="0" applyProtection="0"/>
    <xf numFmtId="0" fontId="98" fillId="62" borderId="0" applyNumberFormat="0" applyBorder="0" applyAlignment="0" applyProtection="0"/>
    <xf numFmtId="0" fontId="98" fillId="63" borderId="0" applyNumberFormat="0" applyBorder="0" applyAlignment="0" applyProtection="0"/>
    <xf numFmtId="0" fontId="98" fillId="68" borderId="0" applyNumberFormat="0" applyBorder="0" applyAlignment="0" applyProtection="0"/>
    <xf numFmtId="0" fontId="11" fillId="0" borderId="0" applyFill="0" applyBorder="0" applyAlignment="0"/>
    <xf numFmtId="197" fontId="109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97" fontId="109" fillId="0" borderId="0" applyFill="0" applyBorder="0" applyAlignment="0"/>
    <xf numFmtId="0" fontId="118" fillId="55" borderId="41" applyNumberFormat="0" applyAlignment="0" applyProtection="0"/>
    <xf numFmtId="0" fontId="95" fillId="0" borderId="0">
      <alignment vertical="center"/>
    </xf>
    <xf numFmtId="0" fontId="11" fillId="0" borderId="0" applyFont="0" applyFill="0" applyBorder="0" applyAlignment="0" applyProtection="0"/>
    <xf numFmtId="3" fontId="68" fillId="0" borderId="49" applyFill="0" applyBorder="0"/>
    <xf numFmtId="37" fontId="33" fillId="0" borderId="0" applyBorder="0" applyAlignment="0"/>
    <xf numFmtId="171" fontId="11" fillId="0" borderId="0">
      <protection locked="0"/>
    </xf>
    <xf numFmtId="201" fontId="107" fillId="0" borderId="0">
      <protection locked="0"/>
    </xf>
    <xf numFmtId="0" fontId="151" fillId="0" borderId="0" applyNumberFormat="0" applyFill="0" applyBorder="0" applyAlignment="0" applyProtection="0">
      <alignment vertical="top"/>
      <protection locked="0"/>
    </xf>
    <xf numFmtId="0" fontId="120" fillId="70" borderId="0" applyNumberFormat="0" applyFont="0" applyBorder="0" applyAlignment="0" applyProtection="0">
      <alignment horizontal="centerContinuous"/>
    </xf>
    <xf numFmtId="0" fontId="120" fillId="77" borderId="0" applyNumberFormat="0" applyFont="0" applyBorder="0" applyAlignment="0" applyProtection="0">
      <alignment horizontal="centerContinuous"/>
    </xf>
    <xf numFmtId="0" fontId="121" fillId="56" borderId="50" applyNumberFormat="0" applyFont="0" applyBorder="0" applyAlignment="0"/>
    <xf numFmtId="0" fontId="11" fillId="70" borderId="51" applyNumberFormat="0" applyFont="0" applyBorder="0" applyAlignment="0" applyProtection="0"/>
    <xf numFmtId="10" fontId="11" fillId="70" borderId="0" applyNumberFormat="0" applyFont="0" applyBorder="0" applyAlignment="0"/>
    <xf numFmtId="0" fontId="106" fillId="52" borderId="0" applyNumberFormat="0" applyBorder="0" applyAlignment="0" applyProtection="0"/>
    <xf numFmtId="38" fontId="93" fillId="56" borderId="0" applyNumberFormat="0" applyBorder="0" applyAlignment="0" applyProtection="0"/>
    <xf numFmtId="0" fontId="122" fillId="0" borderId="0" applyNumberFormat="0" applyFill="0" applyBorder="0" applyAlignment="0" applyProtection="0"/>
    <xf numFmtId="0" fontId="123" fillId="0" borderId="3" applyNumberFormat="0" applyAlignment="0" applyProtection="0">
      <alignment horizontal="left" vertical="center"/>
    </xf>
    <xf numFmtId="0" fontId="123" fillId="0" borderId="13">
      <alignment horizontal="left" vertical="center"/>
    </xf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6" fillId="0" borderId="52" applyNumberFormat="0" applyFill="0" applyAlignment="0" applyProtection="0"/>
    <xf numFmtId="0" fontId="126" fillId="0" borderId="0" applyNumberFormat="0" applyFill="0" applyBorder="0" applyAlignment="0" applyProtection="0"/>
    <xf numFmtId="202" fontId="11" fillId="0" borderId="0">
      <protection locked="0"/>
    </xf>
    <xf numFmtId="202" fontId="11" fillId="0" borderId="0">
      <protection locked="0"/>
    </xf>
    <xf numFmtId="0" fontId="127" fillId="0" borderId="53" applyNumberFormat="0" applyFill="0" applyAlignment="0" applyProtection="0"/>
    <xf numFmtId="0" fontId="89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102" fillId="51" borderId="0" applyNumberFormat="0" applyBorder="0" applyAlignment="0" applyProtection="0"/>
    <xf numFmtId="0" fontId="95" fillId="0" borderId="0"/>
    <xf numFmtId="37" fontId="128" fillId="0" borderId="0" applyFill="0" applyBorder="0" applyAlignment="0">
      <protection locked="0"/>
    </xf>
    <xf numFmtId="0" fontId="128" fillId="0" borderId="26" applyFill="0" applyBorder="0" applyAlignment="0">
      <alignment horizontal="center"/>
      <protection locked="0"/>
    </xf>
    <xf numFmtId="10" fontId="93" fillId="70" borderId="42" applyNumberFormat="0" applyBorder="0" applyAlignment="0" applyProtection="0"/>
    <xf numFmtId="0" fontId="11" fillId="0" borderId="0" applyFill="0" applyBorder="0" applyAlignment="0">
      <protection locked="0"/>
    </xf>
    <xf numFmtId="0" fontId="116" fillId="0" borderId="0" applyFill="0" applyBorder="0" applyAlignment="0" applyProtection="0">
      <protection locked="0"/>
    </xf>
    <xf numFmtId="0" fontId="11" fillId="0" borderId="0" applyFill="0" applyBorder="0" applyAlignment="0"/>
    <xf numFmtId="197" fontId="109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97" fontId="109" fillId="0" borderId="0" applyFill="0" applyBorder="0" applyAlignment="0"/>
    <xf numFmtId="0" fontId="112" fillId="0" borderId="44" applyNumberFormat="0" applyFill="0" applyAlignment="0" applyProtection="0"/>
    <xf numFmtId="192" fontId="88" fillId="0" borderId="0" applyFont="0" applyFill="0" applyBorder="0" applyAlignment="0" applyProtection="0"/>
    <xf numFmtId="203" fontId="107" fillId="0" borderId="0">
      <protection locked="0"/>
    </xf>
    <xf numFmtId="0" fontId="11" fillId="0" borderId="0" applyFont="0" applyFill="0" applyBorder="0" applyAlignment="0" applyProtection="0"/>
    <xf numFmtId="3" fontId="129" fillId="49" borderId="1">
      <alignment horizontal="center"/>
    </xf>
    <xf numFmtId="0" fontId="130" fillId="78" borderId="0" applyNumberFormat="0" applyBorder="0" applyAlignment="0" applyProtection="0"/>
    <xf numFmtId="0" fontId="130" fillId="78" borderId="0" applyNumberFormat="0" applyBorder="0" applyAlignment="0" applyProtection="0"/>
    <xf numFmtId="37" fontId="131" fillId="0" borderId="0"/>
    <xf numFmtId="204" fontId="132" fillId="0" borderId="0"/>
    <xf numFmtId="205" fontId="133" fillId="0" borderId="0"/>
    <xf numFmtId="206" fontId="133" fillId="0" borderId="0"/>
    <xf numFmtId="0" fontId="11" fillId="0" borderId="0" applyFill="0" applyBorder="0" applyAlignment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34" fillId="73" borderId="55" applyNumberFormat="0" applyAlignment="0" applyProtection="0"/>
    <xf numFmtId="0" fontId="135" fillId="11" borderId="0"/>
    <xf numFmtId="0" fontId="11" fillId="0" borderId="28" applyFont="0" applyFill="0" applyBorder="0" applyAlignment="0" applyProtection="0">
      <alignment horizontal="right"/>
    </xf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99" fontId="11" fillId="0" borderId="0" applyFont="0" applyFill="0" applyBorder="0" applyAlignment="0" applyProtection="0"/>
    <xf numFmtId="19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88" fillId="0" borderId="0" applyFont="0" applyFill="0" applyBorder="0" applyAlignment="0" applyProtection="0"/>
    <xf numFmtId="0" fontId="68" fillId="69" borderId="56" applyNumberFormat="0" applyFont="0" applyBorder="0" applyAlignment="0" applyProtection="0"/>
    <xf numFmtId="0" fontId="11" fillId="0" borderId="0" applyFill="0" applyBorder="0" applyAlignment="0"/>
    <xf numFmtId="197" fontId="109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97" fontId="109" fillId="0" borderId="0" applyFill="0" applyBorder="0" applyAlignment="0"/>
    <xf numFmtId="14" fontId="108" fillId="80" borderId="53" applyNumberFormat="0" applyFont="0" applyBorder="0" applyAlignment="0" applyProtection="0">
      <alignment horizontal="center" vertical="center"/>
    </xf>
    <xf numFmtId="3" fontId="136" fillId="0" borderId="0" applyFill="0" applyBorder="0" applyAlignment="0" applyProtection="0"/>
    <xf numFmtId="3" fontId="94" fillId="0" borderId="0" applyFill="0" applyBorder="0" applyAlignment="0" applyProtection="0"/>
    <xf numFmtId="3" fontId="136" fillId="0" borderId="0" applyFill="0" applyBorder="0" applyAlignment="0" applyProtection="0"/>
    <xf numFmtId="0" fontId="134" fillId="73" borderId="55" applyNumberFormat="0" applyAlignment="0" applyProtection="0"/>
    <xf numFmtId="38" fontId="116" fillId="0" borderId="0" applyFont="0" applyFill="0" applyBorder="0" applyAlignment="0" applyProtection="0"/>
    <xf numFmtId="207" fontId="137" fillId="0" borderId="0">
      <protection locked="0"/>
    </xf>
    <xf numFmtId="166" fontId="88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38" fontId="116" fillId="81" borderId="0" applyNumberFormat="0" applyFont="0" applyBorder="0" applyAlignment="0" applyProtection="0"/>
    <xf numFmtId="3" fontId="138" fillId="82" borderId="0">
      <alignment horizontal="left"/>
    </xf>
    <xf numFmtId="0" fontId="90" fillId="0" borderId="0">
      <alignment vertical="top"/>
    </xf>
    <xf numFmtId="0" fontId="94" fillId="0" borderId="0"/>
    <xf numFmtId="0" fontId="94" fillId="0" borderId="0"/>
    <xf numFmtId="0" fontId="94" fillId="0" borderId="0"/>
    <xf numFmtId="0" fontId="94" fillId="0" borderId="0"/>
    <xf numFmtId="38" fontId="139" fillId="0" borderId="0" applyFill="0" applyBorder="0" applyAlignment="0" applyProtection="0"/>
    <xf numFmtId="0" fontId="11" fillId="0" borderId="0" applyFill="0" applyBorder="0" applyAlignment="0" applyProtection="0"/>
    <xf numFmtId="49" fontId="90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40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8" fontId="141" fillId="0" borderId="0" applyFont="0" applyFill="0" applyBorder="0" applyAlignment="0" applyProtection="0">
      <alignment horizontal="left"/>
    </xf>
    <xf numFmtId="0" fontId="142" fillId="0" borderId="0" applyNumberFormat="0" applyFill="0" applyBorder="0" applyAlignment="0" applyProtection="0"/>
    <xf numFmtId="3" fontId="143" fillId="82" borderId="0">
      <alignment horizontal="center"/>
    </xf>
    <xf numFmtId="0" fontId="142" fillId="0" borderId="0" applyNumberFormat="0" applyFill="0" applyBorder="0" applyAlignment="0" applyProtection="0"/>
    <xf numFmtId="0" fontId="144" fillId="0" borderId="57" applyNumberFormat="0" applyFill="0" applyAlignment="0" applyProtection="0"/>
    <xf numFmtId="0" fontId="145" fillId="0" borderId="58" applyNumberFormat="0" applyFill="0" applyAlignment="0" applyProtection="0"/>
    <xf numFmtId="0" fontId="126" fillId="0" borderId="52" applyNumberFormat="0" applyFill="0" applyAlignment="0" applyProtection="0"/>
    <xf numFmtId="0" fontId="126" fillId="0" borderId="0" applyNumberFormat="0" applyFill="0" applyBorder="0" applyAlignment="0" applyProtection="0"/>
    <xf numFmtId="3" fontId="147" fillId="82" borderId="0">
      <alignment horizontal="left"/>
    </xf>
    <xf numFmtId="202" fontId="11" fillId="0" borderId="59">
      <protection locked="0"/>
    </xf>
    <xf numFmtId="3" fontId="97" fillId="83" borderId="0">
      <alignment horizontal="right"/>
    </xf>
    <xf numFmtId="10" fontId="148" fillId="0" borderId="14" applyNumberFormat="0" applyFont="0" applyFill="0" applyAlignment="0" applyProtection="0"/>
    <xf numFmtId="37" fontId="93" fillId="76" borderId="0" applyNumberFormat="0" applyBorder="0" applyAlignment="0" applyProtection="0"/>
    <xf numFmtId="37" fontId="93" fillId="0" borderId="0"/>
    <xf numFmtId="3" fontId="149" fillId="0" borderId="53" applyProtection="0"/>
    <xf numFmtId="208" fontId="107" fillId="0" borderId="0">
      <protection locked="0"/>
    </xf>
    <xf numFmtId="209" fontId="107" fillId="0" borderId="0">
      <protection locked="0"/>
    </xf>
    <xf numFmtId="0" fontId="140" fillId="0" borderId="0" applyNumberFormat="0" applyFill="0" applyBorder="0" applyAlignment="0" applyProtection="0"/>
    <xf numFmtId="0" fontId="11" fillId="0" borderId="13" applyFont="0" applyFill="0" applyBorder="0" applyAlignment="0" applyProtection="0"/>
    <xf numFmtId="192" fontId="11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90" fillId="0" borderId="0">
      <alignment vertical="top"/>
    </xf>
    <xf numFmtId="0" fontId="11" fillId="0" borderId="0"/>
    <xf numFmtId="9" fontId="11" fillId="0" borderId="0" applyFont="0" applyFill="0" applyBorder="0" applyAlignment="0" applyProtection="0"/>
    <xf numFmtId="0" fontId="88" fillId="0" borderId="0"/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0" fontId="40" fillId="52" borderId="0" applyNumberFormat="0" applyBorder="0" applyAlignment="0" applyProtection="0"/>
    <xf numFmtId="0" fontId="40" fillId="53" borderId="0" applyNumberFormat="0" applyBorder="0" applyAlignment="0" applyProtection="0"/>
    <xf numFmtId="0" fontId="40" fillId="54" borderId="0" applyNumberFormat="0" applyBorder="0" applyAlignment="0" applyProtection="0"/>
    <xf numFmtId="0" fontId="40" fillId="55" borderId="0" applyNumberFormat="0" applyBorder="0" applyAlignment="0" applyProtection="0"/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0" fontId="40" fillId="52" borderId="0" applyNumberFormat="0" applyBorder="0" applyAlignment="0" applyProtection="0"/>
    <xf numFmtId="0" fontId="40" fillId="53" borderId="0" applyNumberFormat="0" applyBorder="0" applyAlignment="0" applyProtection="0"/>
    <xf numFmtId="0" fontId="40" fillId="54" borderId="0" applyNumberFormat="0" applyBorder="0" applyAlignment="0" applyProtection="0"/>
    <xf numFmtId="0" fontId="40" fillId="55" borderId="0" applyNumberFormat="0" applyBorder="0" applyAlignment="0" applyProtection="0"/>
    <xf numFmtId="0" fontId="40" fillId="57" borderId="0" applyNumberFormat="0" applyBorder="0" applyAlignment="0" applyProtection="0"/>
    <xf numFmtId="0" fontId="40" fillId="58" borderId="0" applyNumberFormat="0" applyBorder="0" applyAlignment="0" applyProtection="0"/>
    <xf numFmtId="0" fontId="40" fillId="59" borderId="0" applyNumberFormat="0" applyBorder="0" applyAlignment="0" applyProtection="0"/>
    <xf numFmtId="0" fontId="40" fillId="53" borderId="0" applyNumberFormat="0" applyBorder="0" applyAlignment="0" applyProtection="0"/>
    <xf numFmtId="0" fontId="40" fillId="57" borderId="0" applyNumberFormat="0" applyBorder="0" applyAlignment="0" applyProtection="0"/>
    <xf numFmtId="0" fontId="40" fillId="60" borderId="0" applyNumberFormat="0" applyBorder="0" applyAlignment="0" applyProtection="0"/>
    <xf numFmtId="0" fontId="40" fillId="57" borderId="0" applyNumberFormat="0" applyBorder="0" applyAlignment="0" applyProtection="0"/>
    <xf numFmtId="0" fontId="40" fillId="58" borderId="0" applyNumberFormat="0" applyBorder="0" applyAlignment="0" applyProtection="0"/>
    <xf numFmtId="0" fontId="40" fillId="59" borderId="0" applyNumberFormat="0" applyBorder="0" applyAlignment="0" applyProtection="0"/>
    <xf numFmtId="0" fontId="40" fillId="53" borderId="0" applyNumberFormat="0" applyBorder="0" applyAlignment="0" applyProtection="0"/>
    <xf numFmtId="0" fontId="40" fillId="57" borderId="0" applyNumberFormat="0" applyBorder="0" applyAlignment="0" applyProtection="0"/>
    <xf numFmtId="0" fontId="40" fillId="60" borderId="0" applyNumberFormat="0" applyBorder="0" applyAlignment="0" applyProtection="0"/>
    <xf numFmtId="0" fontId="98" fillId="61" borderId="0" applyNumberFormat="0" applyBorder="0" applyAlignment="0" applyProtection="0"/>
    <xf numFmtId="0" fontId="98" fillId="58" borderId="0" applyNumberFormat="0" applyBorder="0" applyAlignment="0" applyProtection="0"/>
    <xf numFmtId="0" fontId="98" fillId="59" borderId="0" applyNumberFormat="0" applyBorder="0" applyAlignment="0" applyProtection="0"/>
    <xf numFmtId="0" fontId="98" fillId="62" borderId="0" applyNumberFormat="0" applyBorder="0" applyAlignment="0" applyProtection="0"/>
    <xf numFmtId="0" fontId="98" fillId="63" borderId="0" applyNumberFormat="0" applyBorder="0" applyAlignment="0" applyProtection="0"/>
    <xf numFmtId="0" fontId="98" fillId="64" borderId="0" applyNumberFormat="0" applyBorder="0" applyAlignment="0" applyProtection="0"/>
    <xf numFmtId="0" fontId="98" fillId="61" borderId="0" applyNumberFormat="0" applyBorder="0" applyAlignment="0" applyProtection="0"/>
    <xf numFmtId="0" fontId="98" fillId="58" borderId="0" applyNumberFormat="0" applyBorder="0" applyAlignment="0" applyProtection="0"/>
    <xf numFmtId="0" fontId="98" fillId="59" borderId="0" applyNumberFormat="0" applyBorder="0" applyAlignment="0" applyProtection="0"/>
    <xf numFmtId="0" fontId="98" fillId="62" borderId="0" applyNumberFormat="0" applyBorder="0" applyAlignment="0" applyProtection="0"/>
    <xf numFmtId="0" fontId="98" fillId="63" borderId="0" applyNumberFormat="0" applyBorder="0" applyAlignment="0" applyProtection="0"/>
    <xf numFmtId="0" fontId="98" fillId="64" borderId="0" applyNumberFormat="0" applyBorder="0" applyAlignment="0" applyProtection="0"/>
    <xf numFmtId="0" fontId="100" fillId="0" borderId="1" applyBorder="0"/>
    <xf numFmtId="213" fontId="11" fillId="69" borderId="38">
      <alignment horizontal="center" vertical="center"/>
    </xf>
    <xf numFmtId="213" fontId="11" fillId="69" borderId="38">
      <alignment horizontal="center" vertical="center"/>
    </xf>
    <xf numFmtId="213" fontId="11" fillId="69" borderId="38">
      <alignment horizontal="center" vertical="center"/>
    </xf>
    <xf numFmtId="213" fontId="11" fillId="69" borderId="38">
      <alignment horizontal="center" vertical="center"/>
    </xf>
    <xf numFmtId="0" fontId="11" fillId="0" borderId="0"/>
    <xf numFmtId="3" fontId="96" fillId="0" borderId="0" applyNumberFormat="0" applyFill="0" applyBorder="0" applyAlignment="0" applyProtection="0"/>
    <xf numFmtId="0" fontId="106" fillId="52" borderId="0" applyNumberFormat="0" applyBorder="0" applyAlignment="0" applyProtection="0"/>
    <xf numFmtId="0" fontId="106" fillId="52" borderId="0" applyNumberFormat="0" applyBorder="0" applyAlignment="0" applyProtection="0"/>
    <xf numFmtId="0" fontId="11" fillId="0" borderId="0" applyFill="0" applyBorder="0" applyAlignment="0"/>
    <xf numFmtId="195" fontId="95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10" fillId="73" borderId="41" applyNumberFormat="0" applyAlignment="0" applyProtection="0"/>
    <xf numFmtId="0" fontId="111" fillId="74" borderId="43" applyNumberFormat="0" applyAlignment="0" applyProtection="0"/>
    <xf numFmtId="0" fontId="112" fillId="0" borderId="44" applyNumberFormat="0" applyFill="0" applyAlignment="0" applyProtection="0"/>
    <xf numFmtId="0" fontId="111" fillId="74" borderId="43" applyNumberFormat="0" applyAlignment="0" applyProtection="0"/>
    <xf numFmtId="0" fontId="112" fillId="0" borderId="44" applyNumberFormat="0" applyFill="0" applyAlignment="0" applyProtection="0"/>
    <xf numFmtId="0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4" fontId="90" fillId="0" borderId="0" applyFill="0" applyBorder="0" applyAlignment="0"/>
    <xf numFmtId="0" fontId="11" fillId="0" borderId="48">
      <alignment vertical="center"/>
    </xf>
    <xf numFmtId="0" fontId="126" fillId="0" borderId="0" applyNumberFormat="0" applyFill="0" applyBorder="0" applyAlignment="0" applyProtection="0"/>
    <xf numFmtId="0" fontId="98" fillId="65" borderId="0" applyNumberFormat="0" applyBorder="0" applyAlignment="0" applyProtection="0"/>
    <xf numFmtId="0" fontId="98" fillId="66" borderId="0" applyNumberFormat="0" applyBorder="0" applyAlignment="0" applyProtection="0"/>
    <xf numFmtId="0" fontId="98" fillId="67" borderId="0" applyNumberFormat="0" applyBorder="0" applyAlignment="0" applyProtection="0"/>
    <xf numFmtId="0" fontId="98" fillId="62" borderId="0" applyNumberFormat="0" applyBorder="0" applyAlignment="0" applyProtection="0"/>
    <xf numFmtId="0" fontId="98" fillId="63" borderId="0" applyNumberFormat="0" applyBorder="0" applyAlignment="0" applyProtection="0"/>
    <xf numFmtId="0" fontId="98" fillId="68" borderId="0" applyNumberFormat="0" applyBorder="0" applyAlignment="0" applyProtection="0"/>
    <xf numFmtId="0" fontId="98" fillId="65" borderId="0" applyNumberFormat="0" applyBorder="0" applyAlignment="0" applyProtection="0"/>
    <xf numFmtId="0" fontId="98" fillId="66" borderId="0" applyNumberFormat="0" applyBorder="0" applyAlignment="0" applyProtection="0"/>
    <xf numFmtId="0" fontId="98" fillId="67" borderId="0" applyNumberFormat="0" applyBorder="0" applyAlignment="0" applyProtection="0"/>
    <xf numFmtId="0" fontId="98" fillId="62" borderId="0" applyNumberFormat="0" applyBorder="0" applyAlignment="0" applyProtection="0"/>
    <xf numFmtId="0" fontId="98" fillId="63" borderId="0" applyNumberFormat="0" applyBorder="0" applyAlignment="0" applyProtection="0"/>
    <xf numFmtId="0" fontId="98" fillId="68" borderId="0" applyNumberFormat="0" applyBorder="0" applyAlignment="0" applyProtection="0"/>
    <xf numFmtId="0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18" fillId="55" borderId="41" applyNumberFormat="0" applyAlignment="0" applyProtection="0"/>
    <xf numFmtId="171" fontId="11" fillId="0" borderId="0">
      <protection locked="0"/>
    </xf>
    <xf numFmtId="171" fontId="11" fillId="0" borderId="0">
      <protection locked="0"/>
    </xf>
    <xf numFmtId="171" fontId="11" fillId="0" borderId="0">
      <protection locked="0"/>
    </xf>
    <xf numFmtId="0" fontId="11" fillId="70" borderId="51" applyNumberFormat="0" applyFont="0" applyBorder="0" applyAlignment="0" applyProtection="0"/>
    <xf numFmtId="38" fontId="93" fillId="56" borderId="0" applyNumberFormat="0" applyBorder="0" applyAlignment="0" applyProtection="0"/>
    <xf numFmtId="38" fontId="93" fillId="56" borderId="0" applyNumberFormat="0" applyBorder="0" applyAlignment="0" applyProtection="0"/>
    <xf numFmtId="38" fontId="93" fillId="56" borderId="0" applyNumberFormat="0" applyBorder="0" applyAlignment="0" applyProtection="0"/>
    <xf numFmtId="38" fontId="93" fillId="56" borderId="0" applyNumberFormat="0" applyBorder="0" applyAlignment="0" applyProtection="0"/>
    <xf numFmtId="0" fontId="144" fillId="0" borderId="57" applyNumberFormat="0" applyFill="0" applyAlignment="0" applyProtection="0"/>
    <xf numFmtId="0" fontId="145" fillId="0" borderId="58" applyNumberFormat="0" applyFill="0" applyAlignment="0" applyProtection="0"/>
    <xf numFmtId="214" fontId="11" fillId="0" borderId="0">
      <protection locked="0"/>
    </xf>
    <xf numFmtId="214" fontId="11" fillId="0" borderId="0">
      <protection locked="0"/>
    </xf>
    <xf numFmtId="214" fontId="11" fillId="0" borderId="0">
      <protection locked="0"/>
    </xf>
    <xf numFmtId="214" fontId="11" fillId="0" borderId="0">
      <protection locked="0"/>
    </xf>
    <xf numFmtId="214" fontId="11" fillId="0" borderId="0">
      <protection locked="0"/>
    </xf>
    <xf numFmtId="214" fontId="11" fillId="0" borderId="0">
      <protection locked="0"/>
    </xf>
    <xf numFmtId="214" fontId="11" fillId="0" borderId="0">
      <protection locked="0"/>
    </xf>
    <xf numFmtId="214" fontId="11" fillId="0" borderId="0">
      <protection locked="0"/>
    </xf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10" fontId="93" fillId="70" borderId="42" applyNumberFormat="0" applyBorder="0" applyAlignment="0" applyProtection="0"/>
    <xf numFmtId="10" fontId="93" fillId="70" borderId="42" applyNumberFormat="0" applyBorder="0" applyAlignment="0" applyProtection="0"/>
    <xf numFmtId="10" fontId="93" fillId="70" borderId="42" applyNumberFormat="0" applyBorder="0" applyAlignment="0" applyProtection="0"/>
    <xf numFmtId="10" fontId="93" fillId="70" borderId="42" applyNumberFormat="0" applyBorder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66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192" fontId="40" fillId="0" borderId="0" applyFont="0" applyFill="0" applyBorder="0" applyAlignment="0" applyProtection="0"/>
    <xf numFmtId="192" fontId="40" fillId="0" borderId="0" applyFont="0" applyFill="0" applyBorder="0" applyAlignment="0" applyProtection="0"/>
    <xf numFmtId="3" fontId="129" fillId="49" borderId="1">
      <alignment horizontal="center"/>
    </xf>
    <xf numFmtId="0" fontId="130" fillId="78" borderId="0" applyNumberFormat="0" applyBorder="0" applyAlignment="0" applyProtection="0"/>
    <xf numFmtId="216" fontId="11" fillId="0" borderId="0"/>
    <xf numFmtId="216" fontId="11" fillId="0" borderId="0"/>
    <xf numFmtId="216" fontId="11" fillId="0" borderId="0"/>
    <xf numFmtId="216" fontId="11" fillId="0" borderId="0"/>
    <xf numFmtId="205" fontId="154" fillId="0" borderId="0"/>
    <xf numFmtId="206" fontId="154" fillId="0" borderId="0"/>
    <xf numFmtId="0" fontId="116" fillId="0" borderId="0"/>
    <xf numFmtId="0" fontId="90" fillId="0" borderId="0"/>
    <xf numFmtId="0" fontId="11" fillId="0" borderId="0">
      <alignment vertical="top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" fillId="0" borderId="0"/>
    <xf numFmtId="0" fontId="155" fillId="0" borderId="0"/>
    <xf numFmtId="0" fontId="155" fillId="0" borderId="0"/>
    <xf numFmtId="0" fontId="155" fillId="0" borderId="0"/>
    <xf numFmtId="0" fontId="11" fillId="0" borderId="0"/>
    <xf numFmtId="0" fontId="11" fillId="0" borderId="0"/>
    <xf numFmtId="0" fontId="116" fillId="0" borderId="0"/>
    <xf numFmtId="0" fontId="116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7" fontId="11" fillId="0" borderId="0"/>
    <xf numFmtId="0" fontId="58" fillId="0" borderId="0"/>
    <xf numFmtId="0" fontId="11" fillId="0" borderId="0"/>
    <xf numFmtId="0" fontId="1" fillId="0" borderId="0"/>
    <xf numFmtId="177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40" fillId="0" borderId="0"/>
    <xf numFmtId="0" fontId="40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0" borderId="28" applyFont="0" applyFill="0" applyBorder="0" applyAlignment="0" applyProtection="0">
      <alignment horizontal="right"/>
    </xf>
    <xf numFmtId="19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68" fillId="69" borderId="56" applyNumberFormat="0" applyFont="0" applyBorder="0" applyAlignment="0" applyProtection="0"/>
    <xf numFmtId="0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56" fillId="0" borderId="0" applyNumberFormat="0" applyFill="0" applyBorder="0" applyAlignment="0" applyProtection="0"/>
    <xf numFmtId="0" fontId="134" fillId="73" borderId="55" applyNumberFormat="0" applyAlignment="0" applyProtection="0"/>
    <xf numFmtId="0" fontId="134" fillId="73" borderId="55" applyNumberFormat="0" applyAlignment="0" applyProtection="0"/>
    <xf numFmtId="166" fontId="9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21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218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116" fillId="0" borderId="0" applyFont="0" applyFill="0" applyBorder="0" applyAlignment="0" applyProtection="0"/>
    <xf numFmtId="0" fontId="157" fillId="0" borderId="23" applyProtection="0">
      <alignment horizontal="centerContinuous"/>
    </xf>
    <xf numFmtId="0" fontId="94" fillId="0" borderId="0"/>
    <xf numFmtId="0" fontId="94" fillId="0" borderId="0"/>
    <xf numFmtId="0" fontId="94" fillId="0" borderId="0"/>
    <xf numFmtId="0" fontId="94" fillId="0" borderId="0"/>
    <xf numFmtId="49" fontId="90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44" fillId="0" borderId="57" applyNumberFormat="0" applyFill="0" applyAlignment="0" applyProtection="0"/>
    <xf numFmtId="0" fontId="145" fillId="0" borderId="58" applyNumberFormat="0" applyFill="0" applyAlignment="0" applyProtection="0"/>
    <xf numFmtId="0" fontId="126" fillId="0" borderId="52" applyNumberFormat="0" applyFill="0" applyAlignment="0" applyProtection="0"/>
    <xf numFmtId="0" fontId="126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58" fillId="0" borderId="60" applyNumberFormat="0" applyFill="0" applyAlignment="0" applyProtection="0"/>
    <xf numFmtId="37" fontId="93" fillId="76" borderId="0" applyNumberFormat="0" applyBorder="0" applyAlignment="0" applyProtection="0"/>
    <xf numFmtId="37" fontId="93" fillId="76" borderId="0" applyNumberFormat="0" applyBorder="0" applyAlignment="0" applyProtection="0"/>
    <xf numFmtId="37" fontId="93" fillId="76" borderId="0" applyNumberFormat="0" applyBorder="0" applyAlignment="0" applyProtection="0"/>
    <xf numFmtId="37" fontId="93" fillId="76" borderId="0" applyNumberFormat="0" applyBorder="0" applyAlignment="0" applyProtection="0"/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11" fillId="0" borderId="0"/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1" fillId="0" borderId="0"/>
    <xf numFmtId="0" fontId="99" fillId="0" borderId="0"/>
    <xf numFmtId="0" fontId="99" fillId="0" borderId="0"/>
    <xf numFmtId="0" fontId="1" fillId="0" borderId="0"/>
    <xf numFmtId="166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192" fontId="36" fillId="0" borderId="0" applyFont="0" applyFill="0" applyBorder="0" applyAlignment="0" applyProtection="0"/>
    <xf numFmtId="219" fontId="159" fillId="0" borderId="0" applyFill="0" applyBorder="0" applyProtection="0">
      <alignment horizontal="right"/>
      <protection locked="0"/>
    </xf>
    <xf numFmtId="220" fontId="159" fillId="0" borderId="0" applyFill="0" applyBorder="0" applyProtection="0">
      <alignment horizontal="right"/>
      <protection locked="0"/>
    </xf>
    <xf numFmtId="221" fontId="159" fillId="0" borderId="0" applyFill="0" applyBorder="0" applyProtection="0">
      <alignment horizontal="right"/>
      <protection locked="0"/>
    </xf>
    <xf numFmtId="220" fontId="159" fillId="0" borderId="0" applyFont="0" applyFill="0" applyBorder="0" applyAlignment="0"/>
    <xf numFmtId="221" fontId="159" fillId="0" borderId="0" applyFont="0" applyFill="0" applyBorder="0" applyAlignment="0"/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11" fillId="0" borderId="0"/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222" fontId="154" fillId="0" borderId="0" applyFill="0" applyBorder="0" applyProtection="0">
      <alignment horizontal="right"/>
      <protection locked="0"/>
    </xf>
    <xf numFmtId="223" fontId="159" fillId="0" borderId="42" applyFont="0" applyFill="0" applyBorder="0" applyAlignment="0"/>
    <xf numFmtId="224" fontId="159" fillId="0" borderId="0" applyFill="0" applyBorder="0" applyProtection="0">
      <alignment horizontal="right"/>
      <protection locked="0"/>
    </xf>
    <xf numFmtId="225" fontId="154" fillId="0" borderId="0" applyFill="0" applyBorder="0" applyProtection="0">
      <alignment horizontal="right"/>
      <protection locked="0"/>
    </xf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1" fillId="0" borderId="0"/>
    <xf numFmtId="166" fontId="11" fillId="0" borderId="0" applyFont="0" applyFill="0" applyBorder="0" applyAlignment="0" applyProtection="0">
      <alignment wrapText="1"/>
    </xf>
    <xf numFmtId="17" fontId="113" fillId="0" borderId="0" applyFill="0" applyBorder="0">
      <alignment horizontal="right"/>
    </xf>
    <xf numFmtId="168" fontId="117" fillId="0" borderId="0">
      <protection locked="0"/>
    </xf>
    <xf numFmtId="0" fontId="160" fillId="86" borderId="0" applyNumberFormat="0" applyBorder="0" applyProtection="0">
      <alignment horizontal="center"/>
      <protection locked="0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61" fillId="0" borderId="0" applyNumberFormat="0" applyFill="0" applyBorder="0" applyAlignment="0" applyProtection="0">
      <alignment vertical="top"/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3" fontId="162" fillId="0" borderId="61" applyFill="0" applyBorder="0" applyAlignment="0">
      <alignment horizontal="center"/>
    </xf>
    <xf numFmtId="192" fontId="1" fillId="0" borderId="0" applyFont="0" applyFill="0" applyBorder="0" applyAlignment="0" applyProtection="0"/>
    <xf numFmtId="0" fontId="95" fillId="0" borderId="0"/>
    <xf numFmtId="0" fontId="11" fillId="0" borderId="0"/>
    <xf numFmtId="0" fontId="11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>
      <alignment vertical="center"/>
    </xf>
    <xf numFmtId="226" fontId="113" fillId="0" borderId="0" applyNumberFormat="0" applyFill="0" applyBorder="0" applyAlignment="0" applyProtection="0"/>
    <xf numFmtId="9" fontId="36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63" fillId="85" borderId="62">
      <alignment horizontal="left"/>
    </xf>
    <xf numFmtId="4" fontId="97" fillId="0" borderId="63" applyNumberFormat="0" applyProtection="0">
      <alignment vertical="center"/>
    </xf>
    <xf numFmtId="4" fontId="164" fillId="76" borderId="63" applyNumberFormat="0" applyProtection="0">
      <alignment vertical="center"/>
    </xf>
    <xf numFmtId="4" fontId="97" fillId="0" borderId="63" applyNumberFormat="0" applyProtection="0">
      <alignment horizontal="left" vertical="center" indent="1"/>
    </xf>
    <xf numFmtId="0" fontId="97" fillId="0" borderId="63" applyNumberFormat="0" applyProtection="0">
      <alignment horizontal="left" vertical="top" indent="1"/>
    </xf>
    <xf numFmtId="4" fontId="97" fillId="0" borderId="0" applyNumberFormat="0" applyProtection="0">
      <alignment horizontal="left" vertical="center" indent="1"/>
    </xf>
    <xf numFmtId="4" fontId="90" fillId="51" borderId="63" applyNumberFormat="0" applyProtection="0">
      <alignment horizontal="right" vertical="center"/>
    </xf>
    <xf numFmtId="4" fontId="90" fillId="58" borderId="63" applyNumberFormat="0" applyProtection="0">
      <alignment horizontal="right" vertical="center"/>
    </xf>
    <xf numFmtId="4" fontId="90" fillId="66" borderId="63" applyNumberFormat="0" applyProtection="0">
      <alignment horizontal="right" vertical="center"/>
    </xf>
    <xf numFmtId="4" fontId="90" fillId="60" borderId="63" applyNumberFormat="0" applyProtection="0">
      <alignment horizontal="right" vertical="center"/>
    </xf>
    <xf numFmtId="4" fontId="90" fillId="64" borderId="63" applyNumberFormat="0" applyProtection="0">
      <alignment horizontal="right" vertical="center"/>
    </xf>
    <xf numFmtId="4" fontId="90" fillId="68" borderId="63" applyNumberFormat="0" applyProtection="0">
      <alignment horizontal="right" vertical="center"/>
    </xf>
    <xf numFmtId="4" fontId="90" fillId="67" borderId="63" applyNumberFormat="0" applyProtection="0">
      <alignment horizontal="right" vertical="center"/>
    </xf>
    <xf numFmtId="4" fontId="90" fillId="87" borderId="63" applyNumberFormat="0" applyProtection="0">
      <alignment horizontal="right" vertical="center"/>
    </xf>
    <xf numFmtId="4" fontId="90" fillId="59" borderId="63" applyNumberFormat="0" applyProtection="0">
      <alignment horizontal="right" vertical="center"/>
    </xf>
    <xf numFmtId="4" fontId="90" fillId="0" borderId="0" applyNumberFormat="0" applyProtection="0">
      <alignment horizontal="left" vertical="center" indent="1"/>
    </xf>
    <xf numFmtId="4" fontId="90" fillId="0" borderId="0" applyNumberFormat="0" applyProtection="0">
      <alignment horizontal="left" vertical="center" indent="1"/>
    </xf>
    <xf numFmtId="4" fontId="165" fillId="88" borderId="0" applyNumberFormat="0" applyProtection="0">
      <alignment horizontal="left" vertical="center" indent="1"/>
    </xf>
    <xf numFmtId="4" fontId="90" fillId="89" borderId="63" applyNumberFormat="0" applyProtection="0">
      <alignment horizontal="right" vertical="center"/>
    </xf>
    <xf numFmtId="4" fontId="90" fillId="0" borderId="0" applyNumberFormat="0" applyProtection="0">
      <alignment horizontal="left" vertical="center" indent="1"/>
    </xf>
    <xf numFmtId="4" fontId="97" fillId="0" borderId="0" applyNumberFormat="0" applyProtection="0">
      <alignment horizontal="left" vertical="center" indent="1"/>
    </xf>
    <xf numFmtId="0" fontId="11" fillId="0" borderId="42" applyNumberFormat="0" applyProtection="0">
      <alignment horizontal="left" vertical="center" indent="1"/>
    </xf>
    <xf numFmtId="0" fontId="11" fillId="88" borderId="63" applyNumberFormat="0" applyProtection="0">
      <alignment horizontal="left" vertical="top" indent="1"/>
    </xf>
    <xf numFmtId="0" fontId="11" fillId="0" borderId="42" applyNumberFormat="0" applyProtection="0">
      <alignment horizontal="left" vertical="center" indent="1"/>
    </xf>
    <xf numFmtId="0" fontId="11" fillId="90" borderId="63" applyNumberFormat="0" applyProtection="0">
      <alignment horizontal="left" vertical="top" indent="1"/>
    </xf>
    <xf numFmtId="0" fontId="11" fillId="0" borderId="42" applyNumberFormat="0" applyProtection="0">
      <alignment horizontal="left" vertical="center" indent="1"/>
    </xf>
    <xf numFmtId="0" fontId="11" fillId="69" borderId="63" applyNumberFormat="0" applyProtection="0">
      <alignment horizontal="left" vertical="top" indent="1"/>
    </xf>
    <xf numFmtId="0" fontId="11" fillId="91" borderId="63" applyNumberFormat="0" applyProtection="0">
      <alignment horizontal="left" vertical="center" indent="1"/>
    </xf>
    <xf numFmtId="0" fontId="11" fillId="91" borderId="63" applyNumberFormat="0" applyProtection="0">
      <alignment horizontal="left" vertical="top" indent="1"/>
    </xf>
    <xf numFmtId="4" fontId="90" fillId="70" borderId="63" applyNumberFormat="0" applyProtection="0">
      <alignment vertical="center"/>
    </xf>
    <xf numFmtId="4" fontId="166" fillId="70" borderId="63" applyNumberFormat="0" applyProtection="0">
      <alignment vertical="center"/>
    </xf>
    <xf numFmtId="4" fontId="90" fillId="70" borderId="63" applyNumberFormat="0" applyProtection="0">
      <alignment horizontal="left" vertical="center" indent="1"/>
    </xf>
    <xf numFmtId="0" fontId="90" fillId="70" borderId="63" applyNumberFormat="0" applyProtection="0">
      <alignment horizontal="left" vertical="top" indent="1"/>
    </xf>
    <xf numFmtId="4" fontId="90" fillId="0" borderId="42" applyNumberFormat="0" applyProtection="0">
      <alignment horizontal="right" vertical="center"/>
    </xf>
    <xf numFmtId="4" fontId="166" fillId="0" borderId="63" applyNumberFormat="0" applyProtection="0">
      <alignment horizontal="right" vertical="center"/>
    </xf>
    <xf numFmtId="4" fontId="90" fillId="0" borderId="64" applyNumberFormat="0" applyProtection="0">
      <alignment horizontal="left" vertical="center" indent="1"/>
    </xf>
    <xf numFmtId="0" fontId="97" fillId="0" borderId="42" applyNumberFormat="0" applyProtection="0">
      <alignment horizontal="left" vertical="top" indent="1"/>
    </xf>
    <xf numFmtId="4" fontId="157" fillId="0" borderId="0" applyNumberFormat="0" applyProtection="0">
      <alignment horizontal="left" vertical="center" indent="1"/>
    </xf>
    <xf numFmtId="4" fontId="11" fillId="0" borderId="63" applyNumberFormat="0" applyProtection="0">
      <alignment horizontal="right" vertical="center"/>
    </xf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226" fontId="93" fillId="92" borderId="0" applyNumberFormat="0" applyFont="0" applyBorder="0" applyAlignment="0">
      <protection hidden="1"/>
    </xf>
    <xf numFmtId="0" fontId="167" fillId="0" borderId="0" applyFill="0" applyBorder="0" applyAlignment="0" applyProtection="0">
      <protection locked="0"/>
    </xf>
    <xf numFmtId="0" fontId="168" fillId="0" borderId="0" applyBorder="0" applyAlignment="0" applyProtection="0">
      <protection locked="0"/>
    </xf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0" fontId="40" fillId="52" borderId="0" applyNumberFormat="0" applyBorder="0" applyAlignment="0" applyProtection="0"/>
    <xf numFmtId="0" fontId="40" fillId="53" borderId="0" applyNumberFormat="0" applyBorder="0" applyAlignment="0" applyProtection="0"/>
    <xf numFmtId="0" fontId="40" fillId="54" borderId="0" applyNumberFormat="0" applyBorder="0" applyAlignment="0" applyProtection="0"/>
    <xf numFmtId="0" fontId="40" fillId="55" borderId="0" applyNumberFormat="0" applyBorder="0" applyAlignment="0" applyProtection="0"/>
    <xf numFmtId="0" fontId="40" fillId="57" borderId="0" applyNumberFormat="0" applyBorder="0" applyAlignment="0" applyProtection="0"/>
    <xf numFmtId="0" fontId="40" fillId="58" borderId="0" applyNumberFormat="0" applyBorder="0" applyAlignment="0" applyProtection="0"/>
    <xf numFmtId="0" fontId="40" fillId="59" borderId="0" applyNumberFormat="0" applyBorder="0" applyAlignment="0" applyProtection="0"/>
    <xf numFmtId="0" fontId="40" fillId="53" borderId="0" applyNumberFormat="0" applyBorder="0" applyAlignment="0" applyProtection="0"/>
    <xf numFmtId="0" fontId="40" fillId="57" borderId="0" applyNumberFormat="0" applyBorder="0" applyAlignment="0" applyProtection="0"/>
    <xf numFmtId="0" fontId="40" fillId="60" borderId="0" applyNumberFormat="0" applyBorder="0" applyAlignment="0" applyProtection="0"/>
    <xf numFmtId="0" fontId="98" fillId="61" borderId="0" applyNumberFormat="0" applyBorder="0" applyAlignment="0" applyProtection="0"/>
    <xf numFmtId="0" fontId="98" fillId="58" borderId="0" applyNumberFormat="0" applyBorder="0" applyAlignment="0" applyProtection="0"/>
    <xf numFmtId="0" fontId="98" fillId="59" borderId="0" applyNumberFormat="0" applyBorder="0" applyAlignment="0" applyProtection="0"/>
    <xf numFmtId="0" fontId="98" fillId="62" borderId="0" applyNumberFormat="0" applyBorder="0" applyAlignment="0" applyProtection="0"/>
    <xf numFmtId="0" fontId="98" fillId="63" borderId="0" applyNumberFormat="0" applyBorder="0" applyAlignment="0" applyProtection="0"/>
    <xf numFmtId="0" fontId="98" fillId="64" borderId="0" applyNumberFormat="0" applyBorder="0" applyAlignment="0" applyProtection="0"/>
    <xf numFmtId="3" fontId="96" fillId="0" borderId="0" applyNumberFormat="0" applyFill="0" applyBorder="0" applyAlignment="0" applyProtection="0"/>
    <xf numFmtId="0" fontId="106" fillId="52" borderId="0" applyNumberFormat="0" applyBorder="0" applyAlignment="0" applyProtection="0"/>
    <xf numFmtId="0" fontId="11" fillId="0" borderId="0" applyFill="0" applyBorder="0" applyAlignment="0"/>
    <xf numFmtId="195" fontId="95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10" fillId="73" borderId="41" applyNumberFormat="0" applyAlignment="0" applyProtection="0"/>
    <xf numFmtId="0" fontId="111" fillId="74" borderId="43" applyNumberFormat="0" applyAlignment="0" applyProtection="0"/>
    <xf numFmtId="0" fontId="112" fillId="0" borderId="44" applyNumberFormat="0" applyFill="0" applyAlignment="0" applyProtection="0"/>
    <xf numFmtId="14" fontId="90" fillId="0" borderId="0" applyFill="0" applyBorder="0" applyAlignment="0"/>
    <xf numFmtId="0" fontId="11" fillId="0" borderId="48">
      <alignment vertical="center"/>
    </xf>
    <xf numFmtId="0" fontId="98" fillId="65" borderId="0" applyNumberFormat="0" applyBorder="0" applyAlignment="0" applyProtection="0"/>
    <xf numFmtId="0" fontId="98" fillId="66" borderId="0" applyNumberFormat="0" applyBorder="0" applyAlignment="0" applyProtection="0"/>
    <xf numFmtId="0" fontId="98" fillId="67" borderId="0" applyNumberFormat="0" applyBorder="0" applyAlignment="0" applyProtection="0"/>
    <xf numFmtId="0" fontId="98" fillId="62" borderId="0" applyNumberFormat="0" applyBorder="0" applyAlignment="0" applyProtection="0"/>
    <xf numFmtId="0" fontId="98" fillId="63" borderId="0" applyNumberFormat="0" applyBorder="0" applyAlignment="0" applyProtection="0"/>
    <xf numFmtId="0" fontId="98" fillId="68" borderId="0" applyNumberFormat="0" applyBorder="0" applyAlignment="0" applyProtection="0"/>
    <xf numFmtId="0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95" fillId="0" borderId="0">
      <alignment vertical="center"/>
    </xf>
    <xf numFmtId="0" fontId="102" fillId="51" borderId="0" applyNumberFormat="0" applyBorder="0" applyAlignment="0" applyProtection="0"/>
    <xf numFmtId="0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92" fontId="88" fillId="0" borderId="0" applyFont="0" applyFill="0" applyBorder="0" applyAlignment="0" applyProtection="0"/>
    <xf numFmtId="192" fontId="1" fillId="0" borderId="0" applyFont="0" applyFill="0" applyBorder="0" applyAlignment="0" applyProtection="0"/>
    <xf numFmtId="0" fontId="130" fillId="78" borderId="0" applyNumberFormat="0" applyBorder="0" applyAlignment="0" applyProtection="0"/>
    <xf numFmtId="205" fontId="154" fillId="0" borderId="0"/>
    <xf numFmtId="205" fontId="154" fillId="0" borderId="0"/>
    <xf numFmtId="206" fontId="154" fillId="0" borderId="0"/>
    <xf numFmtId="206" fontId="154" fillId="0" borderId="0"/>
    <xf numFmtId="0" fontId="1" fillId="0" borderId="0"/>
    <xf numFmtId="0" fontId="11" fillId="0" borderId="0">
      <alignment vertical="top"/>
    </xf>
    <xf numFmtId="0" fontId="11" fillId="0" borderId="0">
      <alignment vertical="top"/>
    </xf>
    <xf numFmtId="0" fontId="88" fillId="0" borderId="0"/>
    <xf numFmtId="0" fontId="40" fillId="79" borderId="54" applyNumberFormat="0" applyFont="0" applyAlignment="0" applyProtection="0"/>
    <xf numFmtId="9" fontId="88" fillId="0" borderId="0" applyFont="0" applyFill="0" applyBorder="0" applyAlignment="0" applyProtection="0"/>
    <xf numFmtId="0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34" fillId="73" borderId="55" applyNumberFormat="0" applyAlignment="0" applyProtection="0"/>
    <xf numFmtId="166" fontId="88" fillId="0" borderId="0" applyFont="0" applyFill="0" applyBorder="0" applyAlignment="0" applyProtection="0"/>
    <xf numFmtId="49" fontId="90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40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44" fillId="0" borderId="57" applyNumberFormat="0" applyFill="0" applyAlignment="0" applyProtection="0"/>
    <xf numFmtId="0" fontId="144" fillId="0" borderId="57" applyNumberFormat="0" applyFill="0" applyAlignment="0" applyProtection="0"/>
    <xf numFmtId="0" fontId="145" fillId="0" borderId="58" applyNumberFormat="0" applyFill="0" applyAlignment="0" applyProtection="0"/>
    <xf numFmtId="0" fontId="145" fillId="0" borderId="58" applyNumberFormat="0" applyFill="0" applyAlignment="0" applyProtection="0"/>
    <xf numFmtId="0" fontId="126" fillId="0" borderId="52" applyNumberFormat="0" applyFill="0" applyAlignment="0" applyProtection="0"/>
    <xf numFmtId="0" fontId="126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58" fillId="0" borderId="60" applyNumberFormat="0" applyFill="0" applyAlignment="0" applyProtection="0"/>
    <xf numFmtId="0" fontId="158" fillId="0" borderId="60" applyNumberFormat="0" applyFill="0" applyAlignment="0" applyProtection="0"/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170" fillId="0" borderId="0" applyNumberFormat="0" applyFill="0" applyBorder="0" applyAlignment="0" applyProtection="0"/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1" fillId="0" borderId="0"/>
    <xf numFmtId="0" fontId="95" fillId="0" borderId="0">
      <alignment vertical="center"/>
    </xf>
    <xf numFmtId="0" fontId="95" fillId="0" borderId="0">
      <alignment vertical="center"/>
    </xf>
    <xf numFmtId="0" fontId="11" fillId="0" borderId="0"/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11" fillId="0" borderId="0"/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11" fillId="0" borderId="0"/>
    <xf numFmtId="0" fontId="11" fillId="0" borderId="0"/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11" fillId="0" borderId="0"/>
    <xf numFmtId="0" fontId="90" fillId="0" borderId="0">
      <alignment vertical="top"/>
    </xf>
    <xf numFmtId="0" fontId="11" fillId="0" borderId="0"/>
    <xf numFmtId="0" fontId="95" fillId="0" borderId="0">
      <alignment vertical="center"/>
    </xf>
    <xf numFmtId="0" fontId="95" fillId="0" borderId="0">
      <alignment vertical="center"/>
    </xf>
    <xf numFmtId="0" fontId="11" fillId="0" borderId="0"/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37" fontId="100" fillId="0" borderId="0"/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11" fillId="0" borderId="0"/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11" fillId="0" borderId="0"/>
    <xf numFmtId="0" fontId="90" fillId="0" borderId="0">
      <alignment vertical="top"/>
    </xf>
    <xf numFmtId="0" fontId="11" fillId="0" borderId="0"/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71" fillId="0" borderId="0"/>
    <xf numFmtId="0" fontId="171" fillId="0" borderId="0"/>
    <xf numFmtId="0" fontId="171" fillId="0" borderId="0"/>
    <xf numFmtId="0" fontId="171" fillId="0" borderId="0"/>
    <xf numFmtId="0" fontId="114" fillId="0" borderId="0"/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114" fillId="0" borderId="0"/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1" fillId="0" borderId="0"/>
    <xf numFmtId="0" fontId="90" fillId="0" borderId="0">
      <alignment vertical="top"/>
    </xf>
    <xf numFmtId="0" fontId="90" fillId="0" borderId="0">
      <alignment vertical="top"/>
    </xf>
    <xf numFmtId="0" fontId="11" fillId="0" borderId="0"/>
    <xf numFmtId="0" fontId="11" fillId="0" borderId="0"/>
    <xf numFmtId="0" fontId="11" fillId="0" borderId="0"/>
    <xf numFmtId="0" fontId="90" fillId="0" borderId="0">
      <alignment vertical="top"/>
    </xf>
    <xf numFmtId="0" fontId="172" fillId="0" borderId="0" applyFont="0" applyFill="0" applyBorder="0" applyAlignment="0" applyProtection="0"/>
    <xf numFmtId="0" fontId="172" fillId="0" borderId="0" applyFont="0" applyFill="0" applyBorder="0" applyAlignment="0" applyProtection="0"/>
    <xf numFmtId="9" fontId="11" fillId="92" borderId="0"/>
    <xf numFmtId="9" fontId="11" fillId="92" borderId="0"/>
    <xf numFmtId="9" fontId="11" fillId="92" borderId="0"/>
    <xf numFmtId="9" fontId="11" fillId="92" borderId="0"/>
    <xf numFmtId="0" fontId="172" fillId="0" borderId="0" applyNumberFormat="0" applyFill="0" applyBorder="0" applyAlignment="0" applyProtection="0"/>
    <xf numFmtId="207" fontId="107" fillId="0" borderId="0">
      <protection locked="0"/>
    </xf>
    <xf numFmtId="207" fontId="107" fillId="0" borderId="0">
      <protection locked="0"/>
    </xf>
    <xf numFmtId="207" fontId="107" fillId="0" borderId="0">
      <protection locked="0"/>
    </xf>
    <xf numFmtId="0" fontId="11" fillId="0" borderId="0"/>
    <xf numFmtId="222" fontId="154" fillId="0" borderId="0" applyFill="0" applyBorder="0" applyProtection="0">
      <alignment horizontal="right"/>
      <protection locked="0"/>
    </xf>
    <xf numFmtId="225" fontId="154" fillId="0" borderId="0" applyFill="0" applyBorder="0" applyProtection="0">
      <alignment horizontal="right"/>
      <protection locked="0"/>
    </xf>
    <xf numFmtId="0" fontId="11" fillId="0" borderId="0">
      <alignment horizontal="left"/>
    </xf>
    <xf numFmtId="0" fontId="11" fillId="0" borderId="0">
      <alignment horizontal="left"/>
    </xf>
    <xf numFmtId="0" fontId="11" fillId="0" borderId="0">
      <alignment horizontal="left"/>
    </xf>
    <xf numFmtId="0" fontId="11" fillId="0" borderId="0">
      <alignment horizontal="left"/>
    </xf>
    <xf numFmtId="0" fontId="173" fillId="0" borderId="0">
      <alignment horizontal="left"/>
    </xf>
    <xf numFmtId="3" fontId="96" fillId="49" borderId="0">
      <alignment horizontal="left"/>
    </xf>
    <xf numFmtId="3" fontId="96" fillId="49" borderId="0">
      <alignment horizontal="left"/>
    </xf>
    <xf numFmtId="0" fontId="174" fillId="50" borderId="0" applyNumberFormat="0" applyBorder="0" applyAlignment="0" applyProtection="0"/>
    <xf numFmtId="0" fontId="174" fillId="51" borderId="0" applyNumberFormat="0" applyBorder="0" applyAlignment="0" applyProtection="0"/>
    <xf numFmtId="0" fontId="174" fillId="52" borderId="0" applyNumberFormat="0" applyBorder="0" applyAlignment="0" applyProtection="0"/>
    <xf numFmtId="0" fontId="174" fillId="53" borderId="0" applyNumberFormat="0" applyBorder="0" applyAlignment="0" applyProtection="0"/>
    <xf numFmtId="0" fontId="174" fillId="54" borderId="0" applyNumberFormat="0" applyBorder="0" applyAlignment="0" applyProtection="0"/>
    <xf numFmtId="0" fontId="174" fillId="55" borderId="0" applyNumberFormat="0" applyBorder="0" applyAlignment="0" applyProtection="0"/>
    <xf numFmtId="0" fontId="40" fillId="50" borderId="0" applyNumberFormat="0" applyBorder="0" applyAlignment="0" applyProtection="0"/>
    <xf numFmtId="227" fontId="40" fillId="50" borderId="0" applyNumberFormat="0" applyBorder="0" applyAlignment="0" applyProtection="0"/>
    <xf numFmtId="227" fontId="40" fillId="50" borderId="0" applyNumberFormat="0" applyBorder="0" applyAlignment="0" applyProtection="0"/>
    <xf numFmtId="0" fontId="40" fillId="50" borderId="0" applyNumberFormat="0" applyBorder="0" applyAlignment="0" applyProtection="0"/>
    <xf numFmtId="227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227" fontId="40" fillId="51" borderId="0" applyNumberFormat="0" applyBorder="0" applyAlignment="0" applyProtection="0"/>
    <xf numFmtId="227" fontId="40" fillId="51" borderId="0" applyNumberFormat="0" applyBorder="0" applyAlignment="0" applyProtection="0"/>
    <xf numFmtId="0" fontId="40" fillId="51" borderId="0" applyNumberFormat="0" applyBorder="0" applyAlignment="0" applyProtection="0"/>
    <xf numFmtId="227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2" borderId="0" applyNumberFormat="0" applyBorder="0" applyAlignment="0" applyProtection="0"/>
    <xf numFmtId="227" fontId="40" fillId="52" borderId="0" applyNumberFormat="0" applyBorder="0" applyAlignment="0" applyProtection="0"/>
    <xf numFmtId="227" fontId="40" fillId="52" borderId="0" applyNumberFormat="0" applyBorder="0" applyAlignment="0" applyProtection="0"/>
    <xf numFmtId="0" fontId="40" fillId="52" borderId="0" applyNumberFormat="0" applyBorder="0" applyAlignment="0" applyProtection="0"/>
    <xf numFmtId="227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3" borderId="0" applyNumberFormat="0" applyBorder="0" applyAlignment="0" applyProtection="0"/>
    <xf numFmtId="227" fontId="40" fillId="53" borderId="0" applyNumberFormat="0" applyBorder="0" applyAlignment="0" applyProtection="0"/>
    <xf numFmtId="227" fontId="40" fillId="53" borderId="0" applyNumberFormat="0" applyBorder="0" applyAlignment="0" applyProtection="0"/>
    <xf numFmtId="0" fontId="40" fillId="53" borderId="0" applyNumberFormat="0" applyBorder="0" applyAlignment="0" applyProtection="0"/>
    <xf numFmtId="227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4" borderId="0" applyNumberFormat="0" applyBorder="0" applyAlignment="0" applyProtection="0"/>
    <xf numFmtId="227" fontId="40" fillId="54" borderId="0" applyNumberFormat="0" applyBorder="0" applyAlignment="0" applyProtection="0"/>
    <xf numFmtId="227" fontId="40" fillId="54" borderId="0" applyNumberFormat="0" applyBorder="0" applyAlignment="0" applyProtection="0"/>
    <xf numFmtId="0" fontId="40" fillId="54" borderId="0" applyNumberFormat="0" applyBorder="0" applyAlignment="0" applyProtection="0"/>
    <xf numFmtId="227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5" borderId="0" applyNumberFormat="0" applyBorder="0" applyAlignment="0" applyProtection="0"/>
    <xf numFmtId="227" fontId="40" fillId="55" borderId="0" applyNumberFormat="0" applyBorder="0" applyAlignment="0" applyProtection="0"/>
    <xf numFmtId="227" fontId="40" fillId="55" borderId="0" applyNumberFormat="0" applyBorder="0" applyAlignment="0" applyProtection="0"/>
    <xf numFmtId="0" fontId="40" fillId="55" borderId="0" applyNumberFormat="0" applyBorder="0" applyAlignment="0" applyProtection="0"/>
    <xf numFmtId="227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227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227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227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0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227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227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227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1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227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227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227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2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227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227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227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227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227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227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4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227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227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227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40" fillId="55" borderId="0" applyNumberFormat="0" applyBorder="0" applyAlignment="0" applyProtection="0"/>
    <xf numFmtId="0" fontId="174" fillId="57" borderId="0" applyNumberFormat="0" applyBorder="0" applyAlignment="0" applyProtection="0"/>
    <xf numFmtId="0" fontId="174" fillId="58" borderId="0" applyNumberFormat="0" applyBorder="0" applyAlignment="0" applyProtection="0"/>
    <xf numFmtId="0" fontId="174" fillId="59" borderId="0" applyNumberFormat="0" applyBorder="0" applyAlignment="0" applyProtection="0"/>
    <xf numFmtId="0" fontId="174" fillId="53" borderId="0" applyNumberFormat="0" applyBorder="0" applyAlignment="0" applyProtection="0"/>
    <xf numFmtId="0" fontId="174" fillId="57" borderId="0" applyNumberFormat="0" applyBorder="0" applyAlignment="0" applyProtection="0"/>
    <xf numFmtId="0" fontId="174" fillId="60" borderId="0" applyNumberFormat="0" applyBorder="0" applyAlignment="0" applyProtection="0"/>
    <xf numFmtId="0" fontId="40" fillId="57" borderId="0" applyNumberFormat="0" applyBorder="0" applyAlignment="0" applyProtection="0"/>
    <xf numFmtId="227" fontId="40" fillId="57" borderId="0" applyNumberFormat="0" applyBorder="0" applyAlignment="0" applyProtection="0"/>
    <xf numFmtId="227" fontId="40" fillId="57" borderId="0" applyNumberFormat="0" applyBorder="0" applyAlignment="0" applyProtection="0"/>
    <xf numFmtId="0" fontId="40" fillId="57" borderId="0" applyNumberFormat="0" applyBorder="0" applyAlignment="0" applyProtection="0"/>
    <xf numFmtId="227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8" borderId="0" applyNumberFormat="0" applyBorder="0" applyAlignment="0" applyProtection="0"/>
    <xf numFmtId="227" fontId="40" fillId="58" borderId="0" applyNumberFormat="0" applyBorder="0" applyAlignment="0" applyProtection="0"/>
    <xf numFmtId="227" fontId="40" fillId="58" borderId="0" applyNumberFormat="0" applyBorder="0" applyAlignment="0" applyProtection="0"/>
    <xf numFmtId="0" fontId="40" fillId="58" borderId="0" applyNumberFormat="0" applyBorder="0" applyAlignment="0" applyProtection="0"/>
    <xf numFmtId="227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9" borderId="0" applyNumberFormat="0" applyBorder="0" applyAlignment="0" applyProtection="0"/>
    <xf numFmtId="227" fontId="40" fillId="59" borderId="0" applyNumberFormat="0" applyBorder="0" applyAlignment="0" applyProtection="0"/>
    <xf numFmtId="227" fontId="40" fillId="59" borderId="0" applyNumberFormat="0" applyBorder="0" applyAlignment="0" applyProtection="0"/>
    <xf numFmtId="0" fontId="40" fillId="59" borderId="0" applyNumberFormat="0" applyBorder="0" applyAlignment="0" applyProtection="0"/>
    <xf numFmtId="227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3" borderId="0" applyNumberFormat="0" applyBorder="0" applyAlignment="0" applyProtection="0"/>
    <xf numFmtId="227" fontId="40" fillId="53" borderId="0" applyNumberFormat="0" applyBorder="0" applyAlignment="0" applyProtection="0"/>
    <xf numFmtId="227" fontId="40" fillId="53" borderId="0" applyNumberFormat="0" applyBorder="0" applyAlignment="0" applyProtection="0"/>
    <xf numFmtId="0" fontId="40" fillId="53" borderId="0" applyNumberFormat="0" applyBorder="0" applyAlignment="0" applyProtection="0"/>
    <xf numFmtId="227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7" borderId="0" applyNumberFormat="0" applyBorder="0" applyAlignment="0" applyProtection="0"/>
    <xf numFmtId="227" fontId="40" fillId="57" borderId="0" applyNumberFormat="0" applyBorder="0" applyAlignment="0" applyProtection="0"/>
    <xf numFmtId="227" fontId="40" fillId="57" borderId="0" applyNumberFormat="0" applyBorder="0" applyAlignment="0" applyProtection="0"/>
    <xf numFmtId="0" fontId="40" fillId="57" borderId="0" applyNumberFormat="0" applyBorder="0" applyAlignment="0" applyProtection="0"/>
    <xf numFmtId="227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60" borderId="0" applyNumberFormat="0" applyBorder="0" applyAlignment="0" applyProtection="0"/>
    <xf numFmtId="227" fontId="40" fillId="60" borderId="0" applyNumberFormat="0" applyBorder="0" applyAlignment="0" applyProtection="0"/>
    <xf numFmtId="227" fontId="40" fillId="60" borderId="0" applyNumberFormat="0" applyBorder="0" applyAlignment="0" applyProtection="0"/>
    <xf numFmtId="0" fontId="40" fillId="60" borderId="0" applyNumberFormat="0" applyBorder="0" applyAlignment="0" applyProtection="0"/>
    <xf numFmtId="227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227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227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227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227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227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227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8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227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227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227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9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227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227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227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227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227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227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57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227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227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227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40" fillId="60" borderId="0" applyNumberFormat="0" applyBorder="0" applyAlignment="0" applyProtection="0"/>
    <xf numFmtId="0" fontId="175" fillId="61" borderId="0" applyNumberFormat="0" applyBorder="0" applyAlignment="0" applyProtection="0"/>
    <xf numFmtId="0" fontId="175" fillId="58" borderId="0" applyNumberFormat="0" applyBorder="0" applyAlignment="0" applyProtection="0"/>
    <xf numFmtId="0" fontId="175" fillId="59" borderId="0" applyNumberFormat="0" applyBorder="0" applyAlignment="0" applyProtection="0"/>
    <xf numFmtId="0" fontId="175" fillId="62" borderId="0" applyNumberFormat="0" applyBorder="0" applyAlignment="0" applyProtection="0"/>
    <xf numFmtId="0" fontId="175" fillId="63" borderId="0" applyNumberFormat="0" applyBorder="0" applyAlignment="0" applyProtection="0"/>
    <xf numFmtId="0" fontId="175" fillId="64" borderId="0" applyNumberFormat="0" applyBorder="0" applyAlignment="0" applyProtection="0"/>
    <xf numFmtId="0" fontId="98" fillId="61" borderId="0" applyNumberFormat="0" applyBorder="0" applyAlignment="0" applyProtection="0"/>
    <xf numFmtId="227" fontId="98" fillId="61" borderId="0" applyNumberFormat="0" applyBorder="0" applyAlignment="0" applyProtection="0"/>
    <xf numFmtId="227" fontId="98" fillId="61" borderId="0" applyNumberFormat="0" applyBorder="0" applyAlignment="0" applyProtection="0"/>
    <xf numFmtId="0" fontId="98" fillId="61" borderId="0" applyNumberFormat="0" applyBorder="0" applyAlignment="0" applyProtection="0"/>
    <xf numFmtId="227" fontId="98" fillId="61" borderId="0" applyNumberFormat="0" applyBorder="0" applyAlignment="0" applyProtection="0"/>
    <xf numFmtId="0" fontId="98" fillId="61" borderId="0" applyNumberFormat="0" applyBorder="0" applyAlignment="0" applyProtection="0"/>
    <xf numFmtId="0" fontId="98" fillId="61" borderId="0" applyNumberFormat="0" applyBorder="0" applyAlignment="0" applyProtection="0"/>
    <xf numFmtId="0" fontId="98" fillId="61" borderId="0" applyNumberFormat="0" applyBorder="0" applyAlignment="0" applyProtection="0"/>
    <xf numFmtId="0" fontId="98" fillId="61" borderId="0" applyNumberFormat="0" applyBorder="0" applyAlignment="0" applyProtection="0"/>
    <xf numFmtId="0" fontId="98" fillId="61" borderId="0" applyNumberFormat="0" applyBorder="0" applyAlignment="0" applyProtection="0"/>
    <xf numFmtId="0" fontId="98" fillId="58" borderId="0" applyNumberFormat="0" applyBorder="0" applyAlignment="0" applyProtection="0"/>
    <xf numFmtId="227" fontId="98" fillId="58" borderId="0" applyNumberFormat="0" applyBorder="0" applyAlignment="0" applyProtection="0"/>
    <xf numFmtId="227" fontId="98" fillId="58" borderId="0" applyNumberFormat="0" applyBorder="0" applyAlignment="0" applyProtection="0"/>
    <xf numFmtId="0" fontId="98" fillId="58" borderId="0" applyNumberFormat="0" applyBorder="0" applyAlignment="0" applyProtection="0"/>
    <xf numFmtId="227" fontId="98" fillId="58" borderId="0" applyNumberFormat="0" applyBorder="0" applyAlignment="0" applyProtection="0"/>
    <xf numFmtId="0" fontId="98" fillId="58" borderId="0" applyNumberFormat="0" applyBorder="0" applyAlignment="0" applyProtection="0"/>
    <xf numFmtId="0" fontId="98" fillId="58" borderId="0" applyNumberFormat="0" applyBorder="0" applyAlignment="0" applyProtection="0"/>
    <xf numFmtId="0" fontId="98" fillId="58" borderId="0" applyNumberFormat="0" applyBorder="0" applyAlignment="0" applyProtection="0"/>
    <xf numFmtId="0" fontId="98" fillId="58" borderId="0" applyNumberFormat="0" applyBorder="0" applyAlignment="0" applyProtection="0"/>
    <xf numFmtId="0" fontId="98" fillId="58" borderId="0" applyNumberFormat="0" applyBorder="0" applyAlignment="0" applyProtection="0"/>
    <xf numFmtId="0" fontId="98" fillId="59" borderId="0" applyNumberFormat="0" applyBorder="0" applyAlignment="0" applyProtection="0"/>
    <xf numFmtId="227" fontId="98" fillId="59" borderId="0" applyNumberFormat="0" applyBorder="0" applyAlignment="0" applyProtection="0"/>
    <xf numFmtId="227" fontId="98" fillId="59" borderId="0" applyNumberFormat="0" applyBorder="0" applyAlignment="0" applyProtection="0"/>
    <xf numFmtId="0" fontId="98" fillId="59" borderId="0" applyNumberFormat="0" applyBorder="0" applyAlignment="0" applyProtection="0"/>
    <xf numFmtId="227" fontId="98" fillId="59" borderId="0" applyNumberFormat="0" applyBorder="0" applyAlignment="0" applyProtection="0"/>
    <xf numFmtId="0" fontId="98" fillId="59" borderId="0" applyNumberFormat="0" applyBorder="0" applyAlignment="0" applyProtection="0"/>
    <xf numFmtId="0" fontId="98" fillId="59" borderId="0" applyNumberFormat="0" applyBorder="0" applyAlignment="0" applyProtection="0"/>
    <xf numFmtId="0" fontId="98" fillId="59" borderId="0" applyNumberFormat="0" applyBorder="0" applyAlignment="0" applyProtection="0"/>
    <xf numFmtId="0" fontId="98" fillId="59" borderId="0" applyNumberFormat="0" applyBorder="0" applyAlignment="0" applyProtection="0"/>
    <xf numFmtId="0" fontId="98" fillId="59" borderId="0" applyNumberFormat="0" applyBorder="0" applyAlignment="0" applyProtection="0"/>
    <xf numFmtId="0" fontId="98" fillId="62" borderId="0" applyNumberFormat="0" applyBorder="0" applyAlignment="0" applyProtection="0"/>
    <xf numFmtId="227" fontId="98" fillId="62" borderId="0" applyNumberFormat="0" applyBorder="0" applyAlignment="0" applyProtection="0"/>
    <xf numFmtId="227" fontId="98" fillId="62" borderId="0" applyNumberFormat="0" applyBorder="0" applyAlignment="0" applyProtection="0"/>
    <xf numFmtId="0" fontId="98" fillId="62" borderId="0" applyNumberFormat="0" applyBorder="0" applyAlignment="0" applyProtection="0"/>
    <xf numFmtId="227" fontId="98" fillId="62" borderId="0" applyNumberFormat="0" applyBorder="0" applyAlignment="0" applyProtection="0"/>
    <xf numFmtId="0" fontId="98" fillId="62" borderId="0" applyNumberFormat="0" applyBorder="0" applyAlignment="0" applyProtection="0"/>
    <xf numFmtId="0" fontId="98" fillId="62" borderId="0" applyNumberFormat="0" applyBorder="0" applyAlignment="0" applyProtection="0"/>
    <xf numFmtId="0" fontId="98" fillId="62" borderId="0" applyNumberFormat="0" applyBorder="0" applyAlignment="0" applyProtection="0"/>
    <xf numFmtId="0" fontId="98" fillId="62" borderId="0" applyNumberFormat="0" applyBorder="0" applyAlignment="0" applyProtection="0"/>
    <xf numFmtId="0" fontId="98" fillId="62" borderId="0" applyNumberFormat="0" applyBorder="0" applyAlignment="0" applyProtection="0"/>
    <xf numFmtId="0" fontId="98" fillId="63" borderId="0" applyNumberFormat="0" applyBorder="0" applyAlignment="0" applyProtection="0"/>
    <xf numFmtId="227" fontId="98" fillId="63" borderId="0" applyNumberFormat="0" applyBorder="0" applyAlignment="0" applyProtection="0"/>
    <xf numFmtId="227" fontId="98" fillId="63" borderId="0" applyNumberFormat="0" applyBorder="0" applyAlignment="0" applyProtection="0"/>
    <xf numFmtId="0" fontId="98" fillId="63" borderId="0" applyNumberFormat="0" applyBorder="0" applyAlignment="0" applyProtection="0"/>
    <xf numFmtId="227" fontId="98" fillId="63" borderId="0" applyNumberFormat="0" applyBorder="0" applyAlignment="0" applyProtection="0"/>
    <xf numFmtId="0" fontId="98" fillId="63" borderId="0" applyNumberFormat="0" applyBorder="0" applyAlignment="0" applyProtection="0"/>
    <xf numFmtId="0" fontId="98" fillId="63" borderId="0" applyNumberFormat="0" applyBorder="0" applyAlignment="0" applyProtection="0"/>
    <xf numFmtId="0" fontId="98" fillId="63" borderId="0" applyNumberFormat="0" applyBorder="0" applyAlignment="0" applyProtection="0"/>
    <xf numFmtId="0" fontId="98" fillId="63" borderId="0" applyNumberFormat="0" applyBorder="0" applyAlignment="0" applyProtection="0"/>
    <xf numFmtId="0" fontId="98" fillId="63" borderId="0" applyNumberFormat="0" applyBorder="0" applyAlignment="0" applyProtection="0"/>
    <xf numFmtId="0" fontId="98" fillId="64" borderId="0" applyNumberFormat="0" applyBorder="0" applyAlignment="0" applyProtection="0"/>
    <xf numFmtId="227" fontId="98" fillId="64" borderId="0" applyNumberFormat="0" applyBorder="0" applyAlignment="0" applyProtection="0"/>
    <xf numFmtId="227" fontId="98" fillId="64" borderId="0" applyNumberFormat="0" applyBorder="0" applyAlignment="0" applyProtection="0"/>
    <xf numFmtId="0" fontId="98" fillId="64" borderId="0" applyNumberFormat="0" applyBorder="0" applyAlignment="0" applyProtection="0"/>
    <xf numFmtId="227" fontId="98" fillId="64" borderId="0" applyNumberFormat="0" applyBorder="0" applyAlignment="0" applyProtection="0"/>
    <xf numFmtId="0" fontId="98" fillId="64" borderId="0" applyNumberFormat="0" applyBorder="0" applyAlignment="0" applyProtection="0"/>
    <xf numFmtId="0" fontId="98" fillId="64" borderId="0" applyNumberFormat="0" applyBorder="0" applyAlignment="0" applyProtection="0"/>
    <xf numFmtId="0" fontId="98" fillId="64" borderId="0" applyNumberFormat="0" applyBorder="0" applyAlignment="0" applyProtection="0"/>
    <xf numFmtId="0" fontId="98" fillId="64" borderId="0" applyNumberFormat="0" applyBorder="0" applyAlignment="0" applyProtection="0"/>
    <xf numFmtId="0" fontId="98" fillId="64" borderId="0" applyNumberFormat="0" applyBorder="0" applyAlignment="0" applyProtection="0"/>
    <xf numFmtId="227" fontId="98" fillId="61" borderId="0" applyNumberFormat="0" applyBorder="0" applyAlignment="0" applyProtection="0"/>
    <xf numFmtId="227" fontId="98" fillId="58" borderId="0" applyNumberFormat="0" applyBorder="0" applyAlignment="0" applyProtection="0"/>
    <xf numFmtId="227" fontId="98" fillId="59" borderId="0" applyNumberFormat="0" applyBorder="0" applyAlignment="0" applyProtection="0"/>
    <xf numFmtId="227" fontId="98" fillId="62" borderId="0" applyNumberFormat="0" applyBorder="0" applyAlignment="0" applyProtection="0"/>
    <xf numFmtId="227" fontId="98" fillId="63" borderId="0" applyNumberFormat="0" applyBorder="0" applyAlignment="0" applyProtection="0"/>
    <xf numFmtId="227" fontId="98" fillId="64" borderId="0" applyNumberFormat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11" fillId="0" borderId="0"/>
    <xf numFmtId="0" fontId="40" fillId="93" borderId="0" applyNumberFormat="0" applyBorder="0" applyAlignment="0" applyProtection="0"/>
    <xf numFmtId="0" fontId="40" fillId="94" borderId="0" applyNumberFormat="0" applyBorder="0" applyAlignment="0" applyProtection="0"/>
    <xf numFmtId="0" fontId="98" fillId="95" borderId="0" applyNumberFormat="0" applyBorder="0" applyAlignment="0" applyProtection="0"/>
    <xf numFmtId="0" fontId="175" fillId="65" borderId="0" applyNumberFormat="0" applyBorder="0" applyAlignment="0" applyProtection="0"/>
    <xf numFmtId="0" fontId="98" fillId="96" borderId="0" applyNumberFormat="0" applyBorder="0" applyAlignment="0" applyProtection="0"/>
    <xf numFmtId="0" fontId="40" fillId="97" borderId="0" applyNumberFormat="0" applyBorder="0" applyAlignment="0" applyProtection="0"/>
    <xf numFmtId="0" fontId="40" fillId="98" borderId="0" applyNumberFormat="0" applyBorder="0" applyAlignment="0" applyProtection="0"/>
    <xf numFmtId="0" fontId="98" fillId="99" borderId="0" applyNumberFormat="0" applyBorder="0" applyAlignment="0" applyProtection="0"/>
    <xf numFmtId="0" fontId="92" fillId="100" borderId="0" applyNumberFormat="0" applyBorder="0" applyAlignment="0" applyProtection="0"/>
    <xf numFmtId="0" fontId="175" fillId="66" borderId="0" applyNumberFormat="0" applyBorder="0" applyAlignment="0" applyProtection="0"/>
    <xf numFmtId="0" fontId="98" fillId="101" borderId="0" applyNumberFormat="0" applyBorder="0" applyAlignment="0" applyProtection="0"/>
    <xf numFmtId="0" fontId="40" fillId="102" borderId="0" applyNumberFormat="0" applyBorder="0" applyAlignment="0" applyProtection="0"/>
    <xf numFmtId="0" fontId="40" fillId="103" borderId="0" applyNumberFormat="0" applyBorder="0" applyAlignment="0" applyProtection="0"/>
    <xf numFmtId="0" fontId="98" fillId="104" borderId="0" applyNumberFormat="0" applyBorder="0" applyAlignment="0" applyProtection="0"/>
    <xf numFmtId="0" fontId="92" fillId="105" borderId="0" applyNumberFormat="0" applyBorder="0" applyAlignment="0" applyProtection="0"/>
    <xf numFmtId="0" fontId="175" fillId="67" borderId="0" applyNumberFormat="0" applyBorder="0" applyAlignment="0" applyProtection="0"/>
    <xf numFmtId="0" fontId="98" fillId="99" borderId="0" applyNumberFormat="0" applyBorder="0" applyAlignment="0" applyProtection="0"/>
    <xf numFmtId="0" fontId="40" fillId="103" borderId="0" applyNumberFormat="0" applyBorder="0" applyAlignment="0" applyProtection="0"/>
    <xf numFmtId="0" fontId="40" fillId="104" borderId="0" applyNumberFormat="0" applyBorder="0" applyAlignment="0" applyProtection="0"/>
    <xf numFmtId="0" fontId="98" fillId="104" borderId="0" applyNumberFormat="0" applyBorder="0" applyAlignment="0" applyProtection="0"/>
    <xf numFmtId="0" fontId="175" fillId="62" borderId="0" applyNumberFormat="0" applyBorder="0" applyAlignment="0" applyProtection="0"/>
    <xf numFmtId="0" fontId="98" fillId="106" borderId="0" applyNumberFormat="0" applyBorder="0" applyAlignment="0" applyProtection="0"/>
    <xf numFmtId="0" fontId="40" fillId="93" borderId="0" applyNumberFormat="0" applyBorder="0" applyAlignment="0" applyProtection="0"/>
    <xf numFmtId="0" fontId="40" fillId="94" borderId="0" applyNumberFormat="0" applyBorder="0" applyAlignment="0" applyProtection="0"/>
    <xf numFmtId="0" fontId="98" fillId="94" borderId="0" applyNumberFormat="0" applyBorder="0" applyAlignment="0" applyProtection="0"/>
    <xf numFmtId="0" fontId="175" fillId="63" borderId="0" applyNumberFormat="0" applyBorder="0" applyAlignment="0" applyProtection="0"/>
    <xf numFmtId="0" fontId="98" fillId="107" borderId="0" applyNumberFormat="0" applyBorder="0" applyAlignment="0" applyProtection="0"/>
    <xf numFmtId="0" fontId="40" fillId="108" borderId="0" applyNumberFormat="0" applyBorder="0" applyAlignment="0" applyProtection="0"/>
    <xf numFmtId="0" fontId="40" fillId="98" borderId="0" applyNumberFormat="0" applyBorder="0" applyAlignment="0" applyProtection="0"/>
    <xf numFmtId="0" fontId="98" fillId="109" borderId="0" applyNumberFormat="0" applyBorder="0" applyAlignment="0" applyProtection="0"/>
    <xf numFmtId="0" fontId="175" fillId="68" borderId="0" applyNumberFormat="0" applyBorder="0" applyAlignment="0" applyProtection="0"/>
    <xf numFmtId="0" fontId="98" fillId="110" borderId="0" applyNumberFormat="0" applyBorder="0" applyAlignment="0" applyProtection="0"/>
    <xf numFmtId="196" fontId="68" fillId="69" borderId="38">
      <alignment horizontal="center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99" fontId="11" fillId="0" borderId="0"/>
    <xf numFmtId="0" fontId="11" fillId="0" borderId="0"/>
    <xf numFmtId="10" fontId="11" fillId="70" borderId="0" applyFont="0" applyBorder="0" applyAlignment="0">
      <protection locked="0"/>
    </xf>
    <xf numFmtId="10" fontId="11" fillId="70" borderId="0" applyFont="0" applyBorder="0" applyAlignment="0">
      <protection locked="0"/>
    </xf>
    <xf numFmtId="10" fontId="11" fillId="70" borderId="0" applyFont="0" applyBorder="0" applyAlignment="0">
      <protection locked="0"/>
    </xf>
    <xf numFmtId="193" fontId="11" fillId="70" borderId="0" applyBorder="0" applyAlignment="0">
      <protection locked="0"/>
    </xf>
    <xf numFmtId="193" fontId="11" fillId="70" borderId="0" applyBorder="0" applyAlignment="0">
      <protection locked="0"/>
    </xf>
    <xf numFmtId="193" fontId="11" fillId="70" borderId="0" applyBorder="0" applyAlignment="0">
      <protection locked="0"/>
    </xf>
    <xf numFmtId="193" fontId="11" fillId="70" borderId="0" applyBorder="0" applyAlignment="0">
      <protection locked="0"/>
    </xf>
    <xf numFmtId="0" fontId="11" fillId="0" borderId="0" applyNumberFormat="0" applyFont="0" applyBorder="0" applyAlignment="0"/>
    <xf numFmtId="0" fontId="11" fillId="0" borderId="0" applyNumberFormat="0" applyFont="0" applyBorder="0" applyAlignment="0"/>
    <xf numFmtId="0" fontId="11" fillId="0" borderId="0" applyNumberFormat="0" applyFont="0" applyBorder="0" applyAlignment="0"/>
    <xf numFmtId="3" fontId="96" fillId="0" borderId="0" applyNumberFormat="0" applyFill="0" applyBorder="0" applyAlignment="0" applyProtection="0"/>
    <xf numFmtId="0" fontId="176" fillId="0" borderId="46">
      <protection hidden="1"/>
    </xf>
    <xf numFmtId="0" fontId="173" fillId="73" borderId="46" applyNumberFormat="0" applyFont="0" applyBorder="0" applyAlignment="0" applyProtection="0">
      <protection hidden="1"/>
    </xf>
    <xf numFmtId="0" fontId="176" fillId="0" borderId="46">
      <protection hidden="1"/>
    </xf>
    <xf numFmtId="0" fontId="177" fillId="111" borderId="0"/>
    <xf numFmtId="0" fontId="178" fillId="51" borderId="0" applyNumberFormat="0" applyBorder="0" applyAlignment="0" applyProtection="0"/>
    <xf numFmtId="0" fontId="179" fillId="0" borderId="0" applyFont="0" applyFill="0" applyBorder="0" applyAlignment="0" applyProtection="0">
      <alignment horizontal="right"/>
    </xf>
    <xf numFmtId="0" fontId="11" fillId="0" borderId="0" applyNumberFormat="0" applyFill="0" applyBorder="0" applyAlignment="0"/>
    <xf numFmtId="0" fontId="11" fillId="0" borderId="0" applyNumberFormat="0" applyFill="0" applyBorder="0" applyAlignment="0"/>
    <xf numFmtId="0" fontId="11" fillId="0" borderId="0" applyNumberFormat="0" applyFill="0" applyBorder="0" applyAlignment="0"/>
    <xf numFmtId="0" fontId="11" fillId="0" borderId="0" applyNumberFormat="0" applyFill="0" applyBorder="0" applyAlignment="0"/>
    <xf numFmtId="0" fontId="180" fillId="0" borderId="1" applyNumberFormat="0" applyFill="0" applyAlignment="0" applyProtection="0"/>
    <xf numFmtId="197" fontId="181" fillId="0" borderId="0">
      <alignment horizontal="right"/>
    </xf>
    <xf numFmtId="0" fontId="106" fillId="52" borderId="0" applyNumberFormat="0" applyBorder="0" applyAlignment="0" applyProtection="0"/>
    <xf numFmtId="227" fontId="106" fillId="52" borderId="0" applyNumberFormat="0" applyBorder="0" applyAlignment="0" applyProtection="0"/>
    <xf numFmtId="227" fontId="106" fillId="52" borderId="0" applyNumberFormat="0" applyBorder="0" applyAlignment="0" applyProtection="0"/>
    <xf numFmtId="0" fontId="106" fillId="52" borderId="0" applyNumberFormat="0" applyBorder="0" applyAlignment="0" applyProtection="0"/>
    <xf numFmtId="227" fontId="106" fillId="52" borderId="0" applyNumberFormat="0" applyBorder="0" applyAlignment="0" applyProtection="0"/>
    <xf numFmtId="0" fontId="106" fillId="52" borderId="0" applyNumberFormat="0" applyBorder="0" applyAlignment="0" applyProtection="0"/>
    <xf numFmtId="0" fontId="106" fillId="52" borderId="0" applyNumberFormat="0" applyBorder="0" applyAlignment="0" applyProtection="0"/>
    <xf numFmtId="0" fontId="106" fillId="52" borderId="0" applyNumberFormat="0" applyBorder="0" applyAlignment="0" applyProtection="0"/>
    <xf numFmtId="0" fontId="106" fillId="52" borderId="0" applyNumberFormat="0" applyBorder="0" applyAlignment="0" applyProtection="0"/>
    <xf numFmtId="0" fontId="106" fillId="52" borderId="0" applyNumberFormat="0" applyBorder="0" applyAlignment="0" applyProtection="0"/>
    <xf numFmtId="167" fontId="156" fillId="0" borderId="6" applyAlignment="0" applyProtection="0"/>
    <xf numFmtId="227" fontId="106" fillId="52" borderId="0" applyNumberFormat="0" applyBorder="0" applyAlignment="0" applyProtection="0"/>
    <xf numFmtId="0" fontId="172" fillId="0" borderId="0" applyFont="0" applyFill="0" applyBorder="0" applyAlignment="0" applyProtection="0"/>
    <xf numFmtId="0" fontId="107" fillId="0" borderId="0">
      <protection locked="0"/>
    </xf>
    <xf numFmtId="0" fontId="107" fillId="0" borderId="0">
      <protection locked="0"/>
    </xf>
    <xf numFmtId="0" fontId="107" fillId="0" borderId="0">
      <protection locked="0"/>
    </xf>
    <xf numFmtId="0" fontId="107" fillId="0" borderId="0">
      <protection locked="0"/>
    </xf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1" fillId="0" borderId="0" applyFill="0" applyBorder="0" applyAlignment="0"/>
    <xf numFmtId="195" fontId="95" fillId="0" borderId="0" applyFill="0" applyBorder="0" applyAlignment="0"/>
    <xf numFmtId="199" fontId="11" fillId="0" borderId="0" applyFill="0" applyBorder="0" applyAlignment="0"/>
    <xf numFmtId="199" fontId="11" fillId="0" borderId="0" applyFill="0" applyBorder="0" applyAlignment="0"/>
    <xf numFmtId="199" fontId="11" fillId="0" borderId="0" applyFill="0" applyBorder="0" applyAlignment="0"/>
    <xf numFmtId="199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82" fillId="112" borderId="41" applyNumberFormat="0" applyAlignment="0" applyProtection="0"/>
    <xf numFmtId="0" fontId="110" fillId="73" borderId="41" applyNumberFormat="0" applyAlignment="0" applyProtection="0"/>
    <xf numFmtId="0" fontId="110" fillId="73" borderId="41" applyNumberFormat="0" applyAlignment="0" applyProtection="0"/>
    <xf numFmtId="0" fontId="110" fillId="73" borderId="41" applyNumberFormat="0" applyAlignment="0" applyProtection="0"/>
    <xf numFmtId="227" fontId="110" fillId="73" borderId="41" applyNumberFormat="0" applyAlignment="0" applyProtection="0"/>
    <xf numFmtId="0" fontId="110" fillId="73" borderId="41" applyNumberFormat="0" applyAlignment="0" applyProtection="0"/>
    <xf numFmtId="0" fontId="110" fillId="73" borderId="41" applyNumberFormat="0" applyAlignment="0" applyProtection="0"/>
    <xf numFmtId="227" fontId="110" fillId="73" borderId="41" applyNumberFormat="0" applyAlignment="0" applyProtection="0"/>
    <xf numFmtId="0" fontId="110" fillId="73" borderId="41" applyNumberFormat="0" applyAlignment="0" applyProtection="0"/>
    <xf numFmtId="227" fontId="110" fillId="73" borderId="41" applyNumberFormat="0" applyAlignment="0" applyProtection="0"/>
    <xf numFmtId="0" fontId="110" fillId="73" borderId="41" applyNumberFormat="0" applyAlignment="0" applyProtection="0"/>
    <xf numFmtId="0" fontId="110" fillId="73" borderId="41" applyNumberFormat="0" applyAlignment="0" applyProtection="0"/>
    <xf numFmtId="0" fontId="110" fillId="73" borderId="41" applyNumberFormat="0" applyAlignment="0" applyProtection="0"/>
    <xf numFmtId="0" fontId="110" fillId="73" borderId="41" applyNumberFormat="0" applyAlignment="0" applyProtection="0"/>
    <xf numFmtId="0" fontId="110" fillId="73" borderId="41" applyNumberFormat="0" applyAlignment="0" applyProtection="0"/>
    <xf numFmtId="40" fontId="109" fillId="70" borderId="42">
      <alignment vertical="center"/>
    </xf>
    <xf numFmtId="40" fontId="109" fillId="70" borderId="42">
      <alignment vertical="center"/>
    </xf>
    <xf numFmtId="40" fontId="109" fillId="70" borderId="42">
      <alignment vertical="center"/>
    </xf>
    <xf numFmtId="228" fontId="11" fillId="0" borderId="0" applyFont="0" applyFill="0" applyBorder="0" applyAlignment="0" applyProtection="0"/>
    <xf numFmtId="229" fontId="11" fillId="0" borderId="0" applyFont="0" applyFill="0" applyBorder="0" applyAlignment="0" applyProtection="0"/>
    <xf numFmtId="0" fontId="111" fillId="74" borderId="43" applyNumberFormat="0" applyAlignment="0" applyProtection="0"/>
    <xf numFmtId="0" fontId="111" fillId="74" borderId="43" applyNumberFormat="0" applyAlignment="0" applyProtection="0"/>
    <xf numFmtId="0" fontId="112" fillId="0" borderId="44" applyNumberFormat="0" applyFill="0" applyAlignment="0" applyProtection="0"/>
    <xf numFmtId="0" fontId="112" fillId="0" borderId="44" applyNumberFormat="0" applyFill="0" applyAlignment="0" applyProtection="0"/>
    <xf numFmtId="37" fontId="183" fillId="76" borderId="42" applyProtection="0">
      <alignment horizontal="center"/>
    </xf>
    <xf numFmtId="0" fontId="91" fillId="74" borderId="43" applyNumberFormat="0" applyAlignment="0" applyProtection="0"/>
    <xf numFmtId="0" fontId="184" fillId="74" borderId="43" applyNumberFormat="0" applyAlignment="0" applyProtection="0"/>
    <xf numFmtId="0" fontId="111" fillId="99" borderId="43" applyNumberFormat="0" applyAlignment="0" applyProtection="0"/>
    <xf numFmtId="0" fontId="113" fillId="75" borderId="45" applyFont="0" applyFill="0" applyBorder="0"/>
    <xf numFmtId="0" fontId="93" fillId="0" borderId="46"/>
    <xf numFmtId="0" fontId="93" fillId="0" borderId="46"/>
    <xf numFmtId="0" fontId="93" fillId="0" borderId="46"/>
    <xf numFmtId="0" fontId="89" fillId="0" borderId="0" applyNumberFormat="0" applyFill="0" applyBorder="0" applyAlignment="0" applyProtection="0">
      <alignment vertical="top"/>
      <protection locked="0"/>
    </xf>
    <xf numFmtId="0" fontId="185" fillId="0" borderId="0"/>
    <xf numFmtId="0" fontId="185" fillId="0" borderId="0"/>
    <xf numFmtId="0" fontId="185" fillId="0" borderId="0"/>
    <xf numFmtId="0" fontId="185" fillId="0" borderId="0"/>
    <xf numFmtId="0" fontId="185" fillId="0" borderId="0"/>
    <xf numFmtId="230" fontId="186" fillId="0" borderId="0"/>
    <xf numFmtId="230" fontId="186" fillId="0" borderId="0"/>
    <xf numFmtId="226" fontId="159" fillId="0" borderId="0" applyFill="0" applyBorder="0" applyAlignment="0" applyProtection="0"/>
    <xf numFmtId="40" fontId="159" fillId="0" borderId="0" applyFill="0" applyBorder="0" applyAlignment="0" applyProtection="0"/>
    <xf numFmtId="231" fontId="159" fillId="112" borderId="0" applyFill="0" applyBorder="0" applyAlignment="0">
      <alignment vertical="top"/>
    </xf>
    <xf numFmtId="232" fontId="159" fillId="0" borderId="0" applyFill="0" applyBorder="0" applyAlignment="0" applyProtection="0"/>
    <xf numFmtId="0" fontId="11" fillId="0" borderId="0" applyFont="0" applyFill="0" applyBorder="0" applyAlignment="0" applyProtection="0"/>
    <xf numFmtId="0" fontId="187" fillId="0" borderId="0" applyFont="0" applyFill="0" applyBorder="0" applyAlignment="0" applyProtection="0">
      <alignment horizontal="right"/>
    </xf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90" fillId="0" borderId="0" applyProtection="0"/>
    <xf numFmtId="228" fontId="90" fillId="0" borderId="0" applyProtection="0"/>
    <xf numFmtId="166" fontId="90" fillId="0" borderId="0" applyProtection="0"/>
    <xf numFmtId="164" fontId="127" fillId="0" borderId="0" applyProtection="0"/>
    <xf numFmtId="228" fontId="127" fillId="0" borderId="0" applyProtection="0"/>
    <xf numFmtId="166" fontId="127" fillId="0" borderId="0" applyProtection="0"/>
    <xf numFmtId="0" fontId="114" fillId="0" borderId="0"/>
    <xf numFmtId="0" fontId="100" fillId="0" borderId="0"/>
    <xf numFmtId="0" fontId="188" fillId="0" borderId="0"/>
    <xf numFmtId="0" fontId="114" fillId="0" borderId="0"/>
    <xf numFmtId="3" fontId="115" fillId="0" borderId="0" applyFont="0" applyFill="0" applyBorder="0" applyAlignment="0" applyProtection="0"/>
    <xf numFmtId="3" fontId="115" fillId="0" borderId="0" applyFont="0" applyFill="0" applyBorder="0" applyAlignment="0" applyProtection="0"/>
    <xf numFmtId="0" fontId="100" fillId="0" borderId="0"/>
    <xf numFmtId="0" fontId="188" fillId="0" borderId="0"/>
    <xf numFmtId="0" fontId="114" fillId="0" borderId="0"/>
    <xf numFmtId="166" fontId="11" fillId="76" borderId="0" applyNumberFormat="0" applyFont="0" applyBorder="0" applyAlignment="0" applyProtection="0"/>
    <xf numFmtId="166" fontId="11" fillId="76" borderId="0" applyNumberFormat="0" applyFont="0" applyBorder="0" applyAlignment="0" applyProtection="0"/>
    <xf numFmtId="166" fontId="11" fillId="76" borderId="0" applyNumberFormat="0" applyFont="0" applyBorder="0" applyAlignment="0" applyProtection="0"/>
    <xf numFmtId="0" fontId="116" fillId="0" borderId="0" applyFont="0" applyFill="0" applyBorder="0" applyAlignment="0" applyProtection="0"/>
    <xf numFmtId="0" fontId="116" fillId="0" borderId="0" applyFont="0" applyFill="0" applyBorder="0" applyAlignment="0" applyProtection="0"/>
    <xf numFmtId="233" fontId="159" fillId="112" borderId="59" applyFill="0" applyBorder="0" applyAlignment="0">
      <alignment horizontal="right"/>
    </xf>
    <xf numFmtId="0" fontId="187" fillId="0" borderId="0" applyFont="0" applyFill="0" applyBorder="0" applyAlignment="0" applyProtection="0">
      <alignment horizontal="right"/>
    </xf>
    <xf numFmtId="0" fontId="187" fillId="0" borderId="0" applyFont="0" applyFill="0" applyBorder="0" applyAlignment="0" applyProtection="0">
      <alignment horizontal="right"/>
    </xf>
    <xf numFmtId="200" fontId="115" fillId="0" borderId="0" applyFont="0" applyFill="0" applyBorder="0" applyAlignment="0" applyProtection="0"/>
    <xf numFmtId="200" fontId="115" fillId="0" borderId="0" applyFont="0" applyFill="0" applyBorder="0" applyAlignment="0" applyProtection="0"/>
    <xf numFmtId="0" fontId="172" fillId="0" borderId="0" applyFont="0" applyFill="0" applyBorder="0" applyAlignment="0" applyProtection="0"/>
    <xf numFmtId="0" fontId="107" fillId="0" borderId="0">
      <protection locked="0"/>
    </xf>
    <xf numFmtId="0" fontId="107" fillId="0" borderId="0">
      <protection locked="0"/>
    </xf>
    <xf numFmtId="0" fontId="187" fillId="0" borderId="0" applyFont="0" applyFill="0" applyBorder="0" applyAlignment="0" applyProtection="0"/>
    <xf numFmtId="14" fontId="90" fillId="0" borderId="0" applyFill="0" applyBorder="0" applyAlignment="0"/>
    <xf numFmtId="0" fontId="11" fillId="0" borderId="0" applyFont="0" applyFill="0" applyBorder="0" applyProtection="0">
      <alignment horizontal="left"/>
    </xf>
    <xf numFmtId="0" fontId="11" fillId="0" borderId="0" applyFont="0" applyFill="0" applyBorder="0" applyProtection="0">
      <alignment horizontal="left"/>
    </xf>
    <xf numFmtId="0" fontId="11" fillId="0" borderId="0" applyFont="0" applyFill="0" applyBorder="0" applyProtection="0">
      <alignment horizontal="left"/>
    </xf>
    <xf numFmtId="0" fontId="11" fillId="0" borderId="0" applyFont="0" applyFill="0" applyBorder="0" applyAlignment="0" applyProtection="0">
      <protection locked="0"/>
    </xf>
    <xf numFmtId="0" fontId="11" fillId="0" borderId="0" applyFont="0" applyFill="0" applyBorder="0" applyAlignment="0" applyProtection="0">
      <protection locked="0"/>
    </xf>
    <xf numFmtId="0" fontId="11" fillId="0" borderId="0" applyFont="0" applyFill="0" applyBorder="0" applyAlignment="0" applyProtection="0">
      <protection locked="0"/>
    </xf>
    <xf numFmtId="0" fontId="116" fillId="0" borderId="0" applyFont="0" applyFill="0" applyBorder="0" applyAlignment="0"/>
    <xf numFmtId="0" fontId="11" fillId="0" borderId="48">
      <alignment vertical="center"/>
    </xf>
    <xf numFmtId="0" fontId="189" fillId="56" borderId="65" applyNumberFormat="0" applyBorder="0" applyAlignment="0">
      <alignment horizontal="center"/>
    </xf>
    <xf numFmtId="37" fontId="180" fillId="81" borderId="66" applyNumberFormat="0" applyAlignment="0">
      <alignment horizontal="left"/>
    </xf>
    <xf numFmtId="37" fontId="180" fillId="81" borderId="66" applyNumberFormat="0" applyAlignment="0">
      <alignment horizontal="left"/>
    </xf>
    <xf numFmtId="37" fontId="180" fillId="81" borderId="66" applyNumberFormat="0" applyAlignment="0">
      <alignment horizontal="left"/>
    </xf>
    <xf numFmtId="37" fontId="180" fillId="81" borderId="66" applyNumberFormat="0" applyAlignment="0">
      <alignment horizontal="left"/>
    </xf>
    <xf numFmtId="0" fontId="107" fillId="0" borderId="0">
      <protection locked="0"/>
    </xf>
    <xf numFmtId="0" fontId="187" fillId="0" borderId="67" applyNumberFormat="0" applyFont="0" applyFill="0" applyAlignment="0" applyProtection="0"/>
    <xf numFmtId="0" fontId="159" fillId="0" borderId="0" applyNumberFormat="0" applyFill="0" applyBorder="0" applyAlignment="0" applyProtection="0"/>
    <xf numFmtId="0" fontId="158" fillId="113" borderId="0" applyNumberFormat="0" applyBorder="0" applyAlignment="0" applyProtection="0"/>
    <xf numFmtId="0" fontId="158" fillId="114" borderId="0" applyNumberFormat="0" applyBorder="0" applyAlignment="0" applyProtection="0"/>
    <xf numFmtId="0" fontId="158" fillId="115" borderId="0" applyNumberFormat="0" applyBorder="0" applyAlignment="0" applyProtection="0"/>
    <xf numFmtId="0" fontId="190" fillId="0" borderId="0">
      <protection locked="0"/>
    </xf>
    <xf numFmtId="0" fontId="190" fillId="0" borderId="0">
      <protection locked="0"/>
    </xf>
    <xf numFmtId="0" fontId="98" fillId="65" borderId="0" applyNumberFormat="0" applyBorder="0" applyAlignment="0" applyProtection="0"/>
    <xf numFmtId="227" fontId="98" fillId="65" borderId="0" applyNumberFormat="0" applyBorder="0" applyAlignment="0" applyProtection="0"/>
    <xf numFmtId="227" fontId="98" fillId="65" borderId="0" applyNumberFormat="0" applyBorder="0" applyAlignment="0" applyProtection="0"/>
    <xf numFmtId="0" fontId="98" fillId="65" borderId="0" applyNumberFormat="0" applyBorder="0" applyAlignment="0" applyProtection="0"/>
    <xf numFmtId="227" fontId="98" fillId="65" borderId="0" applyNumberFormat="0" applyBorder="0" applyAlignment="0" applyProtection="0"/>
    <xf numFmtId="0" fontId="98" fillId="65" borderId="0" applyNumberFormat="0" applyBorder="0" applyAlignment="0" applyProtection="0"/>
    <xf numFmtId="0" fontId="98" fillId="65" borderId="0" applyNumberFormat="0" applyBorder="0" applyAlignment="0" applyProtection="0"/>
    <xf numFmtId="0" fontId="98" fillId="65" borderId="0" applyNumberFormat="0" applyBorder="0" applyAlignment="0" applyProtection="0"/>
    <xf numFmtId="0" fontId="98" fillId="65" borderId="0" applyNumberFormat="0" applyBorder="0" applyAlignment="0" applyProtection="0"/>
    <xf numFmtId="0" fontId="98" fillId="65" borderId="0" applyNumberFormat="0" applyBorder="0" applyAlignment="0" applyProtection="0"/>
    <xf numFmtId="0" fontId="98" fillId="66" borderId="0" applyNumberFormat="0" applyBorder="0" applyAlignment="0" applyProtection="0"/>
    <xf numFmtId="227" fontId="98" fillId="66" borderId="0" applyNumberFormat="0" applyBorder="0" applyAlignment="0" applyProtection="0"/>
    <xf numFmtId="227" fontId="98" fillId="66" borderId="0" applyNumberFormat="0" applyBorder="0" applyAlignment="0" applyProtection="0"/>
    <xf numFmtId="0" fontId="98" fillId="66" borderId="0" applyNumberFormat="0" applyBorder="0" applyAlignment="0" applyProtection="0"/>
    <xf numFmtId="227" fontId="98" fillId="66" borderId="0" applyNumberFormat="0" applyBorder="0" applyAlignment="0" applyProtection="0"/>
    <xf numFmtId="0" fontId="98" fillId="66" borderId="0" applyNumberFormat="0" applyBorder="0" applyAlignment="0" applyProtection="0"/>
    <xf numFmtId="0" fontId="98" fillId="66" borderId="0" applyNumberFormat="0" applyBorder="0" applyAlignment="0" applyProtection="0"/>
    <xf numFmtId="0" fontId="98" fillId="66" borderId="0" applyNumberFormat="0" applyBorder="0" applyAlignment="0" applyProtection="0"/>
    <xf numFmtId="0" fontId="98" fillId="66" borderId="0" applyNumberFormat="0" applyBorder="0" applyAlignment="0" applyProtection="0"/>
    <xf numFmtId="0" fontId="98" fillId="66" borderId="0" applyNumberFormat="0" applyBorder="0" applyAlignment="0" applyProtection="0"/>
    <xf numFmtId="0" fontId="98" fillId="67" borderId="0" applyNumberFormat="0" applyBorder="0" applyAlignment="0" applyProtection="0"/>
    <xf numFmtId="227" fontId="98" fillId="67" borderId="0" applyNumberFormat="0" applyBorder="0" applyAlignment="0" applyProtection="0"/>
    <xf numFmtId="227" fontId="98" fillId="67" borderId="0" applyNumberFormat="0" applyBorder="0" applyAlignment="0" applyProtection="0"/>
    <xf numFmtId="0" fontId="98" fillId="67" borderId="0" applyNumberFormat="0" applyBorder="0" applyAlignment="0" applyProtection="0"/>
    <xf numFmtId="227" fontId="98" fillId="67" borderId="0" applyNumberFormat="0" applyBorder="0" applyAlignment="0" applyProtection="0"/>
    <xf numFmtId="0" fontId="98" fillId="67" borderId="0" applyNumberFormat="0" applyBorder="0" applyAlignment="0" applyProtection="0"/>
    <xf numFmtId="0" fontId="98" fillId="67" borderId="0" applyNumberFormat="0" applyBorder="0" applyAlignment="0" applyProtection="0"/>
    <xf numFmtId="0" fontId="98" fillId="67" borderId="0" applyNumberFormat="0" applyBorder="0" applyAlignment="0" applyProtection="0"/>
    <xf numFmtId="0" fontId="98" fillId="67" borderId="0" applyNumberFormat="0" applyBorder="0" applyAlignment="0" applyProtection="0"/>
    <xf numFmtId="0" fontId="98" fillId="67" borderId="0" applyNumberFormat="0" applyBorder="0" applyAlignment="0" applyProtection="0"/>
    <xf numFmtId="0" fontId="98" fillId="62" borderId="0" applyNumberFormat="0" applyBorder="0" applyAlignment="0" applyProtection="0"/>
    <xf numFmtId="227" fontId="98" fillId="62" borderId="0" applyNumberFormat="0" applyBorder="0" applyAlignment="0" applyProtection="0"/>
    <xf numFmtId="227" fontId="98" fillId="62" borderId="0" applyNumberFormat="0" applyBorder="0" applyAlignment="0" applyProtection="0"/>
    <xf numFmtId="0" fontId="98" fillId="62" borderId="0" applyNumberFormat="0" applyBorder="0" applyAlignment="0" applyProtection="0"/>
    <xf numFmtId="227" fontId="98" fillId="62" borderId="0" applyNumberFormat="0" applyBorder="0" applyAlignment="0" applyProtection="0"/>
    <xf numFmtId="0" fontId="98" fillId="62" borderId="0" applyNumberFormat="0" applyBorder="0" applyAlignment="0" applyProtection="0"/>
    <xf numFmtId="0" fontId="98" fillId="62" borderId="0" applyNumberFormat="0" applyBorder="0" applyAlignment="0" applyProtection="0"/>
    <xf numFmtId="0" fontId="98" fillId="62" borderId="0" applyNumberFormat="0" applyBorder="0" applyAlignment="0" applyProtection="0"/>
    <xf numFmtId="0" fontId="98" fillId="62" borderId="0" applyNumberFormat="0" applyBorder="0" applyAlignment="0" applyProtection="0"/>
    <xf numFmtId="0" fontId="98" fillId="62" borderId="0" applyNumberFormat="0" applyBorder="0" applyAlignment="0" applyProtection="0"/>
    <xf numFmtId="0" fontId="98" fillId="63" borderId="0" applyNumberFormat="0" applyBorder="0" applyAlignment="0" applyProtection="0"/>
    <xf numFmtId="227" fontId="98" fillId="63" borderId="0" applyNumberFormat="0" applyBorder="0" applyAlignment="0" applyProtection="0"/>
    <xf numFmtId="227" fontId="98" fillId="63" borderId="0" applyNumberFormat="0" applyBorder="0" applyAlignment="0" applyProtection="0"/>
    <xf numFmtId="0" fontId="98" fillId="63" borderId="0" applyNumberFormat="0" applyBorder="0" applyAlignment="0" applyProtection="0"/>
    <xf numFmtId="227" fontId="98" fillId="63" borderId="0" applyNumberFormat="0" applyBorder="0" applyAlignment="0" applyProtection="0"/>
    <xf numFmtId="0" fontId="98" fillId="63" borderId="0" applyNumberFormat="0" applyBorder="0" applyAlignment="0" applyProtection="0"/>
    <xf numFmtId="0" fontId="98" fillId="63" borderId="0" applyNumberFormat="0" applyBorder="0" applyAlignment="0" applyProtection="0"/>
    <xf numFmtId="0" fontId="98" fillId="63" borderId="0" applyNumberFormat="0" applyBorder="0" applyAlignment="0" applyProtection="0"/>
    <xf numFmtId="0" fontId="98" fillId="63" borderId="0" applyNumberFormat="0" applyBorder="0" applyAlignment="0" applyProtection="0"/>
    <xf numFmtId="0" fontId="98" fillId="63" borderId="0" applyNumberFormat="0" applyBorder="0" applyAlignment="0" applyProtection="0"/>
    <xf numFmtId="0" fontId="98" fillId="68" borderId="0" applyNumberFormat="0" applyBorder="0" applyAlignment="0" applyProtection="0"/>
    <xf numFmtId="227" fontId="98" fillId="68" borderId="0" applyNumberFormat="0" applyBorder="0" applyAlignment="0" applyProtection="0"/>
    <xf numFmtId="227" fontId="98" fillId="68" borderId="0" applyNumberFormat="0" applyBorder="0" applyAlignment="0" applyProtection="0"/>
    <xf numFmtId="0" fontId="98" fillId="68" borderId="0" applyNumberFormat="0" applyBorder="0" applyAlignment="0" applyProtection="0"/>
    <xf numFmtId="227" fontId="98" fillId="68" borderId="0" applyNumberFormat="0" applyBorder="0" applyAlignment="0" applyProtection="0"/>
    <xf numFmtId="0" fontId="98" fillId="68" borderId="0" applyNumberFormat="0" applyBorder="0" applyAlignment="0" applyProtection="0"/>
    <xf numFmtId="0" fontId="98" fillId="68" borderId="0" applyNumberFormat="0" applyBorder="0" applyAlignment="0" applyProtection="0"/>
    <xf numFmtId="0" fontId="98" fillId="68" borderId="0" applyNumberFormat="0" applyBorder="0" applyAlignment="0" applyProtection="0"/>
    <xf numFmtId="0" fontId="98" fillId="68" borderId="0" applyNumberFormat="0" applyBorder="0" applyAlignment="0" applyProtection="0"/>
    <xf numFmtId="0" fontId="98" fillId="68" borderId="0" applyNumberFormat="0" applyBorder="0" applyAlignment="0" applyProtection="0"/>
    <xf numFmtId="227" fontId="98" fillId="65" borderId="0" applyNumberFormat="0" applyBorder="0" applyAlignment="0" applyProtection="0"/>
    <xf numFmtId="227" fontId="98" fillId="66" borderId="0" applyNumberFormat="0" applyBorder="0" applyAlignment="0" applyProtection="0"/>
    <xf numFmtId="227" fontId="98" fillId="67" borderId="0" applyNumberFormat="0" applyBorder="0" applyAlignment="0" applyProtection="0"/>
    <xf numFmtId="227" fontId="98" fillId="62" borderId="0" applyNumberFormat="0" applyBorder="0" applyAlignment="0" applyProtection="0"/>
    <xf numFmtId="227" fontId="98" fillId="63" borderId="0" applyNumberFormat="0" applyBorder="0" applyAlignment="0" applyProtection="0"/>
    <xf numFmtId="227" fontId="98" fillId="68" borderId="0" applyNumberFormat="0" applyBorder="0" applyAlignment="0" applyProtection="0"/>
    <xf numFmtId="0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18" fillId="55" borderId="41" applyNumberFormat="0" applyAlignment="0" applyProtection="0"/>
    <xf numFmtId="227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227" fontId="118" fillId="55" borderId="41" applyNumberFormat="0" applyAlignment="0" applyProtection="0"/>
    <xf numFmtId="227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118" fillId="55" borderId="41" applyNumberFormat="0" applyAlignment="0" applyProtection="0"/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5" fillId="0" borderId="0">
      <alignment vertical="center"/>
    </xf>
    <xf numFmtId="227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34" fontId="11" fillId="0" borderId="0" applyFill="0" applyBorder="0" applyAlignment="0" applyProtection="0"/>
    <xf numFmtId="0" fontId="191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07" fillId="0" borderId="0">
      <protection locked="0"/>
    </xf>
    <xf numFmtId="0" fontId="107" fillId="0" borderId="0">
      <protection locked="0"/>
    </xf>
    <xf numFmtId="0" fontId="107" fillId="0" borderId="0">
      <protection locked="0"/>
    </xf>
    <xf numFmtId="0" fontId="107" fillId="0" borderId="0">
      <protection locked="0"/>
    </xf>
    <xf numFmtId="0" fontId="107" fillId="0" borderId="0">
      <protection locked="0"/>
    </xf>
    <xf numFmtId="0" fontId="107" fillId="0" borderId="0">
      <protection locked="0"/>
    </xf>
    <xf numFmtId="0" fontId="107" fillId="0" borderId="0">
      <protection locked="0"/>
    </xf>
    <xf numFmtId="38" fontId="93" fillId="0" borderId="0" applyNumberFormat="0" applyFill="0" applyBorder="0" applyProtection="0">
      <alignment wrapText="1"/>
    </xf>
    <xf numFmtId="38" fontId="93" fillId="0" borderId="0" applyNumberFormat="0" applyFill="0" applyBorder="0" applyProtection="0">
      <alignment wrapText="1"/>
    </xf>
    <xf numFmtId="38" fontId="93" fillId="0" borderId="0" applyNumberFormat="0" applyFill="0" applyBorder="0" applyProtection="0">
      <alignment wrapText="1"/>
    </xf>
    <xf numFmtId="37" fontId="33" fillId="0" borderId="0" applyBorder="0" applyAlignment="0"/>
    <xf numFmtId="37" fontId="33" fillId="0" borderId="0" applyBorder="0" applyAlignment="0"/>
    <xf numFmtId="0" fontId="107" fillId="0" borderId="0">
      <protection locked="0"/>
    </xf>
    <xf numFmtId="3" fontId="115" fillId="0" borderId="0" applyFont="0" applyFill="0" applyBorder="0" applyAlignment="0" applyProtection="0"/>
    <xf numFmtId="0" fontId="107" fillId="0" borderId="0">
      <protection locked="0"/>
    </xf>
    <xf numFmtId="171" fontId="11" fillId="0" borderId="0">
      <protection locked="0"/>
    </xf>
    <xf numFmtId="171" fontId="11" fillId="0" borderId="0">
      <protection locked="0"/>
    </xf>
    <xf numFmtId="171" fontId="11" fillId="0" borderId="0">
      <protection locked="0"/>
    </xf>
    <xf numFmtId="201" fontId="107" fillId="0" borderId="0">
      <protection locked="0"/>
    </xf>
    <xf numFmtId="201" fontId="107" fillId="0" borderId="0">
      <protection locked="0"/>
    </xf>
    <xf numFmtId="0" fontId="192" fillId="0" borderId="0" applyFill="0" applyBorder="0" applyProtection="0">
      <alignment horizontal="left"/>
    </xf>
    <xf numFmtId="0" fontId="153" fillId="0" borderId="0"/>
    <xf numFmtId="38" fontId="189" fillId="0" borderId="46" applyBorder="0"/>
    <xf numFmtId="0" fontId="11" fillId="70" borderId="51" applyNumberFormat="0" applyFont="0" applyBorder="0" applyAlignment="0" applyProtection="0"/>
    <xf numFmtId="0" fontId="11" fillId="70" borderId="51" applyNumberFormat="0" applyFont="0" applyBorder="0" applyAlignment="0" applyProtection="0"/>
    <xf numFmtId="0" fontId="11" fillId="70" borderId="51" applyNumberFormat="0" applyFont="0" applyBorder="0" applyAlignment="0" applyProtection="0"/>
    <xf numFmtId="0" fontId="11" fillId="70" borderId="51" applyNumberFormat="0" applyFont="0" applyBorder="0" applyAlignment="0" applyProtection="0"/>
    <xf numFmtId="0" fontId="11" fillId="70" borderId="51" applyNumberFormat="0" applyFont="0" applyBorder="0" applyAlignment="0" applyProtection="0"/>
    <xf numFmtId="0" fontId="11" fillId="70" borderId="51" applyNumberFormat="0" applyFont="0" applyBorder="0" applyAlignment="0" applyProtection="0"/>
    <xf numFmtId="0" fontId="11" fillId="70" borderId="51" applyNumberFormat="0" applyFont="0" applyBorder="0" applyAlignment="0" applyProtection="0"/>
    <xf numFmtId="0" fontId="11" fillId="70" borderId="51" applyNumberFormat="0" applyFont="0" applyBorder="0" applyAlignment="0" applyProtection="0"/>
    <xf numFmtId="0" fontId="11" fillId="70" borderId="51" applyNumberFormat="0" applyFont="0" applyBorder="0" applyAlignment="0" applyProtection="0"/>
    <xf numFmtId="0" fontId="11" fillId="70" borderId="51" applyNumberFormat="0" applyFont="0" applyBorder="0" applyAlignment="0" applyProtection="0"/>
    <xf numFmtId="0" fontId="11" fillId="70" borderId="51" applyNumberFormat="0" applyFont="0" applyBorder="0" applyAlignment="0" applyProtection="0"/>
    <xf numFmtId="10" fontId="11" fillId="70" borderId="0" applyNumberFormat="0" applyFont="0" applyBorder="0" applyAlignment="0"/>
    <xf numFmtId="10" fontId="11" fillId="70" borderId="0" applyNumberFormat="0" applyFont="0" applyBorder="0" applyAlignment="0"/>
    <xf numFmtId="10" fontId="11" fillId="70" borderId="0" applyNumberFormat="0" applyFont="0" applyBorder="0" applyAlignment="0"/>
    <xf numFmtId="2" fontId="11" fillId="0" borderId="0"/>
    <xf numFmtId="2" fontId="11" fillId="0" borderId="0"/>
    <xf numFmtId="2" fontId="11" fillId="0" borderId="0"/>
    <xf numFmtId="2" fontId="11" fillId="0" borderId="0"/>
    <xf numFmtId="0" fontId="193" fillId="52" borderId="0" applyNumberFormat="0" applyBorder="0" applyAlignment="0" applyProtection="0"/>
    <xf numFmtId="38" fontId="93" fillId="56" borderId="0" applyNumberFormat="0" applyBorder="0" applyAlignment="0" applyProtection="0"/>
    <xf numFmtId="38" fontId="93" fillId="56" borderId="0" applyNumberFormat="0" applyBorder="0" applyAlignment="0" applyProtection="0"/>
    <xf numFmtId="38" fontId="93" fillId="56" borderId="0" applyNumberFormat="0" applyBorder="0" applyAlignment="0" applyProtection="0"/>
    <xf numFmtId="38" fontId="93" fillId="56" borderId="0" applyNumberFormat="0" applyBorder="0" applyAlignment="0" applyProtection="0"/>
    <xf numFmtId="38" fontId="93" fillId="56" borderId="0" applyNumberFormat="0" applyBorder="0" applyAlignment="0" applyProtection="0"/>
    <xf numFmtId="0" fontId="187" fillId="0" borderId="0" applyFont="0" applyFill="0" applyBorder="0" applyAlignment="0" applyProtection="0">
      <alignment horizontal="right"/>
    </xf>
    <xf numFmtId="0" fontId="123" fillId="0" borderId="3" applyNumberFormat="0" applyAlignment="0" applyProtection="0">
      <alignment horizontal="left" vertical="center"/>
    </xf>
    <xf numFmtId="0" fontId="123" fillId="0" borderId="3" applyNumberFormat="0" applyAlignment="0" applyProtection="0">
      <alignment horizontal="left" vertical="center"/>
    </xf>
    <xf numFmtId="0" fontId="123" fillId="0" borderId="3" applyNumberFormat="0" applyAlignment="0" applyProtection="0">
      <alignment horizontal="left" vertical="center"/>
    </xf>
    <xf numFmtId="0" fontId="123" fillId="0" borderId="3" applyNumberFormat="0" applyAlignment="0" applyProtection="0">
      <alignment horizontal="left" vertical="center"/>
    </xf>
    <xf numFmtId="0" fontId="123" fillId="0" borderId="3" applyNumberFormat="0" applyAlignment="0" applyProtection="0">
      <alignment horizontal="left" vertical="center"/>
    </xf>
    <xf numFmtId="0" fontId="123" fillId="0" borderId="13">
      <alignment horizontal="left" vertical="center"/>
    </xf>
    <xf numFmtId="0" fontId="123" fillId="0" borderId="13">
      <alignment horizontal="left" vertical="center"/>
    </xf>
    <xf numFmtId="0" fontId="123" fillId="0" borderId="13">
      <alignment horizontal="left" vertical="center"/>
    </xf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94" fillId="0" borderId="0" applyProtection="0">
      <alignment horizontal="left"/>
    </xf>
    <xf numFmtId="0" fontId="126" fillId="0" borderId="0" applyNumberFormat="0" applyFill="0" applyBorder="0" applyAlignment="0" applyProtection="0"/>
    <xf numFmtId="202" fontId="11" fillId="0" borderId="0">
      <protection locked="0"/>
    </xf>
    <xf numFmtId="202" fontId="11" fillId="0" borderId="0">
      <protection locked="0"/>
    </xf>
    <xf numFmtId="202" fontId="11" fillId="0" borderId="0">
      <protection locked="0"/>
    </xf>
    <xf numFmtId="202" fontId="11" fillId="0" borderId="0">
      <protection locked="0"/>
    </xf>
    <xf numFmtId="202" fontId="11" fillId="0" borderId="0">
      <protection locked="0"/>
    </xf>
    <xf numFmtId="202" fontId="11" fillId="0" borderId="0">
      <protection locked="0"/>
    </xf>
    <xf numFmtId="235" fontId="159" fillId="0" borderId="0" applyFill="0" applyBorder="0" applyAlignment="0" applyProtection="0"/>
    <xf numFmtId="0" fontId="127" fillId="0" borderId="53" applyNumberFormat="0" applyFill="0" applyAlignment="0" applyProtection="0"/>
    <xf numFmtId="0" fontId="127" fillId="0" borderId="53" applyNumberFormat="0" applyFill="0" applyAlignment="0" applyProtection="0"/>
    <xf numFmtId="0" fontId="152" fillId="0" borderId="0" applyNumberFormat="0" applyFill="0" applyBorder="0" applyAlignment="0" applyProtection="0">
      <alignment vertical="top"/>
      <protection locked="0"/>
    </xf>
    <xf numFmtId="0" fontId="152" fillId="0" borderId="0" applyNumberFormat="0" applyFill="0" applyBorder="0" applyAlignment="0" applyProtection="0">
      <alignment vertical="top"/>
      <protection locked="0"/>
    </xf>
    <xf numFmtId="0" fontId="195" fillId="0" borderId="0" applyNumberFormat="0" applyFill="0" applyBorder="0" applyAlignment="0" applyProtection="0">
      <alignment vertical="top"/>
      <protection locked="0"/>
    </xf>
    <xf numFmtId="0" fontId="102" fillId="51" borderId="0" applyNumberFormat="0" applyBorder="0" applyAlignment="0" applyProtection="0"/>
    <xf numFmtId="0" fontId="102" fillId="51" borderId="0" applyNumberFormat="0" applyBorder="0" applyAlignment="0" applyProtection="0"/>
    <xf numFmtId="0" fontId="95" fillId="0" borderId="0"/>
    <xf numFmtId="236" fontId="11" fillId="0" borderId="0" applyNumberFormat="0" applyFill="0" applyBorder="0" applyAlignment="0" applyProtection="0"/>
    <xf numFmtId="236" fontId="11" fillId="0" borderId="0" applyNumberFormat="0" applyFill="0" applyBorder="0" applyAlignment="0" applyProtection="0"/>
    <xf numFmtId="0" fontId="128" fillId="0" borderId="26" applyFill="0" applyBorder="0" applyAlignment="0">
      <alignment horizontal="center"/>
      <protection locked="0"/>
    </xf>
    <xf numFmtId="0" fontId="128" fillId="0" borderId="26" applyFill="0" applyBorder="0" applyAlignment="0">
      <alignment horizontal="center"/>
      <protection locked="0"/>
    </xf>
    <xf numFmtId="0" fontId="128" fillId="0" borderId="26" applyFill="0" applyBorder="0" applyAlignment="0">
      <alignment horizontal="center"/>
      <protection locked="0"/>
    </xf>
    <xf numFmtId="237" fontId="172" fillId="0" borderId="0"/>
    <xf numFmtId="237" fontId="172" fillId="0" borderId="0"/>
    <xf numFmtId="237" fontId="172" fillId="0" borderId="0"/>
    <xf numFmtId="238" fontId="172" fillId="0" borderId="0"/>
    <xf numFmtId="238" fontId="172" fillId="0" borderId="0"/>
    <xf numFmtId="238" fontId="172" fillId="0" borderId="0"/>
    <xf numFmtId="239" fontId="172" fillId="0" borderId="0"/>
    <xf numFmtId="239" fontId="172" fillId="0" borderId="0"/>
    <xf numFmtId="239" fontId="172" fillId="0" borderId="0"/>
    <xf numFmtId="10" fontId="93" fillId="70" borderId="42" applyNumberFormat="0" applyBorder="0" applyAlignment="0" applyProtection="0"/>
    <xf numFmtId="10" fontId="93" fillId="70" borderId="42" applyNumberFormat="0" applyBorder="0" applyAlignment="0" applyProtection="0"/>
    <xf numFmtId="10" fontId="93" fillId="70" borderId="42" applyNumberFormat="0" applyBorder="0" applyAlignment="0" applyProtection="0"/>
    <xf numFmtId="10" fontId="93" fillId="70" borderId="42" applyNumberFormat="0" applyBorder="0" applyAlignment="0" applyProtection="0"/>
    <xf numFmtId="10" fontId="93" fillId="70" borderId="42" applyNumberFormat="0" applyBorder="0" applyAlignment="0" applyProtection="0"/>
    <xf numFmtId="10" fontId="93" fillId="70" borderId="42" applyNumberFormat="0" applyBorder="0" applyAlignment="0" applyProtection="0"/>
    <xf numFmtId="10" fontId="93" fillId="70" borderId="42" applyNumberFormat="0" applyBorder="0" applyAlignment="0" applyProtection="0"/>
    <xf numFmtId="10" fontId="93" fillId="70" borderId="42" applyNumberFormat="0" applyBorder="0" applyAlignment="0" applyProtection="0"/>
    <xf numFmtId="0" fontId="11" fillId="0" borderId="0" applyFill="0" applyBorder="0" applyAlignment="0">
      <protection locked="0"/>
    </xf>
    <xf numFmtId="0" fontId="11" fillId="0" borderId="0" applyFill="0" applyBorder="0" applyAlignment="0">
      <protection locked="0"/>
    </xf>
    <xf numFmtId="0" fontId="11" fillId="0" borderId="0" applyFill="0" applyBorder="0" applyAlignment="0">
      <protection locked="0"/>
    </xf>
    <xf numFmtId="0" fontId="11" fillId="0" borderId="0" applyFill="0" applyBorder="0" applyAlignment="0">
      <protection locked="0"/>
    </xf>
    <xf numFmtId="0" fontId="116" fillId="0" borderId="0" applyFill="0" applyBorder="0" applyAlignment="0" applyProtection="0">
      <protection locked="0"/>
    </xf>
    <xf numFmtId="0" fontId="196" fillId="116" borderId="0" applyNumberFormat="0" applyBorder="0" applyAlignment="0">
      <protection locked="0"/>
    </xf>
    <xf numFmtId="240" fontId="197" fillId="0" borderId="0"/>
    <xf numFmtId="0" fontId="89" fillId="0" borderId="0" applyNumberFormat="0" applyFill="0" applyBorder="0" applyAlignment="0" applyProtection="0">
      <alignment vertical="top"/>
      <protection locked="0"/>
    </xf>
    <xf numFmtId="0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98" fillId="0" borderId="44" applyNumberFormat="0" applyFill="0" applyAlignment="0" applyProtection="0"/>
    <xf numFmtId="0" fontId="199" fillId="0" borderId="46">
      <alignment horizontal="left"/>
      <protection locked="0"/>
    </xf>
    <xf numFmtId="0" fontId="200" fillId="0" borderId="0" applyFont="0" applyFill="0" applyBorder="0" applyAlignment="0" applyProtection="0"/>
    <xf numFmtId="38" fontId="116" fillId="0" borderId="0" applyFont="0" applyFill="0" applyBorder="0" applyAlignment="0" applyProtection="0"/>
    <xf numFmtId="40" fontId="116" fillId="0" borderId="0" applyFont="0" applyFill="0" applyBorder="0" applyAlignment="0" applyProtection="0"/>
    <xf numFmtId="0" fontId="201" fillId="0" borderId="0" applyBorder="0"/>
    <xf numFmtId="241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192" fontId="88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242" fontId="1" fillId="0" borderId="0" applyFont="0" applyFill="0" applyBorder="0" applyAlignment="0" applyProtection="0"/>
    <xf numFmtId="192" fontId="88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40" fillId="0" borderId="0" applyFont="0" applyFill="0" applyBorder="0" applyAlignment="0" applyProtection="0"/>
    <xf numFmtId="203" fontId="107" fillId="0" borderId="0">
      <protection locked="0"/>
    </xf>
    <xf numFmtId="203" fontId="107" fillId="0" borderId="0">
      <protection locked="0"/>
    </xf>
    <xf numFmtId="243" fontId="11" fillId="0" borderId="0" applyFont="0" applyFill="0" applyBorder="0" applyAlignment="0" applyProtection="0"/>
    <xf numFmtId="244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5" fillId="0" borderId="0" applyFont="0" applyFill="0" applyBorder="0" applyAlignment="0" applyProtection="0"/>
    <xf numFmtId="0" fontId="107" fillId="0" borderId="0">
      <protection locked="0"/>
    </xf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87" fillId="0" borderId="0" applyFont="0" applyFill="0" applyBorder="0" applyAlignment="0" applyProtection="0">
      <alignment horizontal="right"/>
    </xf>
    <xf numFmtId="168" fontId="23" fillId="0" borderId="0" applyProtection="0"/>
    <xf numFmtId="169" fontId="23" fillId="0" borderId="0" applyProtection="0"/>
    <xf numFmtId="0" fontId="23" fillId="0" borderId="0" applyProtection="0"/>
    <xf numFmtId="168" fontId="23" fillId="0" borderId="0" applyProtection="0"/>
    <xf numFmtId="169" fontId="23" fillId="0" borderId="0" applyProtection="0"/>
    <xf numFmtId="0" fontId="23" fillId="0" borderId="0" applyProtection="0"/>
    <xf numFmtId="0" fontId="130" fillId="78" borderId="0" applyNumberFormat="0" applyBorder="0" applyAlignment="0" applyProtection="0"/>
    <xf numFmtId="227" fontId="130" fillId="78" borderId="0" applyNumberFormat="0" applyBorder="0" applyAlignment="0" applyProtection="0"/>
    <xf numFmtId="227" fontId="130" fillId="78" borderId="0" applyNumberFormat="0" applyBorder="0" applyAlignment="0" applyProtection="0"/>
    <xf numFmtId="0" fontId="130" fillId="78" borderId="0" applyNumberFormat="0" applyBorder="0" applyAlignment="0" applyProtection="0"/>
    <xf numFmtId="227" fontId="130" fillId="78" borderId="0" applyNumberFormat="0" applyBorder="0" applyAlignment="0" applyProtection="0"/>
    <xf numFmtId="0" fontId="130" fillId="78" borderId="0" applyNumberFormat="0" applyBorder="0" applyAlignment="0" applyProtection="0"/>
    <xf numFmtId="0" fontId="130" fillId="78" borderId="0" applyNumberFormat="0" applyBorder="0" applyAlignment="0" applyProtection="0"/>
    <xf numFmtId="0" fontId="130" fillId="78" borderId="0" applyNumberFormat="0" applyBorder="0" applyAlignment="0" applyProtection="0"/>
    <xf numFmtId="0" fontId="130" fillId="78" borderId="0" applyNumberFormat="0" applyBorder="0" applyAlignment="0" applyProtection="0"/>
    <xf numFmtId="0" fontId="130" fillId="78" borderId="0" applyNumberFormat="0" applyBorder="0" applyAlignment="0" applyProtection="0"/>
    <xf numFmtId="0" fontId="202" fillId="78" borderId="0" applyNumberFormat="0" applyBorder="0" applyAlignment="0" applyProtection="0"/>
    <xf numFmtId="0" fontId="11" fillId="0" borderId="0" applyNumberFormat="0" applyFill="0" applyBorder="0" applyAlignment="0" applyProtection="0"/>
    <xf numFmtId="37" fontId="131" fillId="0" borderId="0"/>
    <xf numFmtId="37" fontId="131" fillId="0" borderId="0"/>
    <xf numFmtId="0" fontId="95" fillId="0" borderId="0"/>
    <xf numFmtId="0" fontId="203" fillId="0" borderId="0"/>
    <xf numFmtId="0" fontId="203" fillId="0" borderId="0"/>
    <xf numFmtId="0" fontId="203" fillId="0" borderId="0"/>
    <xf numFmtId="0" fontId="203" fillId="0" borderId="0"/>
    <xf numFmtId="0" fontId="203" fillId="0" borderId="0"/>
    <xf numFmtId="0" fontId="203" fillId="0" borderId="0"/>
    <xf numFmtId="0" fontId="203" fillId="0" borderId="0"/>
    <xf numFmtId="0" fontId="203" fillId="0" borderId="0"/>
    <xf numFmtId="245" fontId="11" fillId="0" borderId="0"/>
    <xf numFmtId="245" fontId="11" fillId="0" borderId="0"/>
    <xf numFmtId="245" fontId="11" fillId="0" borderId="0"/>
    <xf numFmtId="245" fontId="11" fillId="0" borderId="0"/>
    <xf numFmtId="245" fontId="11" fillId="0" borderId="0"/>
    <xf numFmtId="238" fontId="172" fillId="0" borderId="0"/>
    <xf numFmtId="238" fontId="172" fillId="0" borderId="0"/>
    <xf numFmtId="238" fontId="172" fillId="0" borderId="0"/>
    <xf numFmtId="246" fontId="172" fillId="0" borderId="0">
      <alignment horizontal="right"/>
    </xf>
    <xf numFmtId="246" fontId="172" fillId="0" borderId="0">
      <alignment horizontal="right"/>
    </xf>
    <xf numFmtId="246" fontId="172" fillId="0" borderId="0">
      <alignment horizontal="right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227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227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227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227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" fillId="0" borderId="0" applyFill="0" applyBorder="0" applyAlignment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" fillId="0" borderId="0"/>
    <xf numFmtId="227" fontId="1" fillId="0" borderId="0"/>
    <xf numFmtId="227" fontId="1" fillId="0" borderId="0"/>
    <xf numFmtId="22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8" fillId="0" borderId="0"/>
    <xf numFmtId="0" fontId="88" fillId="0" borderId="0"/>
    <xf numFmtId="0" fontId="1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227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227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27" fontId="11" fillId="0" borderId="0"/>
    <xf numFmtId="227" fontId="11" fillId="0" borderId="0"/>
    <xf numFmtId="227" fontId="11" fillId="0" borderId="0"/>
    <xf numFmtId="227" fontId="11" fillId="0" borderId="0"/>
    <xf numFmtId="0" fontId="1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1" fillId="0" borderId="0"/>
    <xf numFmtId="0" fontId="1" fillId="0" borderId="0"/>
    <xf numFmtId="0" fontId="11" fillId="0" borderId="0">
      <alignment vertical="center"/>
    </xf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90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9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9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9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227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227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227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227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" fillId="0" borderId="0"/>
    <xf numFmtId="0" fontId="11" fillId="0" borderId="0"/>
    <xf numFmtId="0" fontId="11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6" fillId="0" borderId="0"/>
    <xf numFmtId="0" fontId="11" fillId="0" borderId="0"/>
    <xf numFmtId="0" fontId="11" fillId="0" borderId="0"/>
    <xf numFmtId="0" fontId="11" fillId="0" borderId="0"/>
    <xf numFmtId="227" fontId="116" fillId="0" borderId="0"/>
    <xf numFmtId="0" fontId="116" fillId="0" borderId="0"/>
    <xf numFmtId="0" fontId="11" fillId="0" borderId="0"/>
    <xf numFmtId="0" fontId="1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227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6" fillId="0" borderId="0"/>
    <xf numFmtId="0" fontId="11" fillId="0" borderId="0"/>
    <xf numFmtId="0" fontId="116" fillId="0" borderId="0"/>
    <xf numFmtId="0" fontId="11" fillId="0" borderId="0"/>
    <xf numFmtId="0" fontId="1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" fillId="0" borderId="0"/>
    <xf numFmtId="0" fontId="116" fillId="0" borderId="0"/>
    <xf numFmtId="0" fontId="11" fillId="0" borderId="0"/>
    <xf numFmtId="0" fontId="11" fillId="0" borderId="0"/>
    <xf numFmtId="227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1" fillId="0" borderId="0"/>
    <xf numFmtId="0" fontId="116" fillId="0" borderId="0"/>
    <xf numFmtId="0" fontId="11" fillId="0" borderId="0"/>
    <xf numFmtId="0" fontId="116" fillId="0" borderId="0"/>
    <xf numFmtId="0" fontId="11" fillId="0" borderId="0"/>
    <xf numFmtId="0" fontId="116" fillId="0" borderId="0"/>
    <xf numFmtId="0" fontId="1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227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227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90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27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227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227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27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27" fontId="1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27" fontId="1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27" fontId="11" fillId="0" borderId="0"/>
    <xf numFmtId="0" fontId="11" fillId="0" borderId="0"/>
    <xf numFmtId="0" fontId="11" fillId="0" borderId="0"/>
    <xf numFmtId="0" fontId="11" fillId="0" borderId="0"/>
    <xf numFmtId="227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6" fillId="0" borderId="0"/>
    <xf numFmtId="0" fontId="11" fillId="0" borderId="0"/>
    <xf numFmtId="0" fontId="11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27" fontId="116" fillId="0" borderId="0"/>
    <xf numFmtId="0" fontId="1" fillId="0" borderId="0"/>
    <xf numFmtId="0" fontId="1" fillId="0" borderId="0"/>
    <xf numFmtId="0" fontId="1" fillId="0" borderId="0"/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27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6" fillId="0" borderId="0"/>
    <xf numFmtId="227" fontId="116" fillId="0" borderId="0"/>
    <xf numFmtId="0" fontId="11" fillId="0" borderId="0"/>
    <xf numFmtId="0" fontId="11" fillId="0" borderId="0"/>
    <xf numFmtId="227" fontId="11" fillId="0" borderId="0"/>
    <xf numFmtId="0" fontId="11" fillId="0" borderId="0"/>
    <xf numFmtId="227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6" fillId="0" borderId="0"/>
    <xf numFmtId="0" fontId="116" fillId="0" borderId="0"/>
    <xf numFmtId="0" fontId="1" fillId="0" borderId="0"/>
    <xf numFmtId="0" fontId="1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16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4" fillId="0" borderId="0"/>
    <xf numFmtId="0" fontId="23" fillId="0" borderId="0"/>
    <xf numFmtId="0" fontId="200" fillId="0" borderId="0"/>
    <xf numFmtId="0" fontId="171" fillId="0" borderId="0"/>
    <xf numFmtId="0" fontId="11" fillId="79" borderId="54" applyNumberFormat="0" applyFont="0" applyAlignment="0" applyProtection="0"/>
    <xf numFmtId="227" fontId="11" fillId="79" borderId="54" applyNumberFormat="0" applyFont="0" applyAlignment="0" applyProtection="0"/>
    <xf numFmtId="0" fontId="40" fillId="79" borderId="54" applyNumberFormat="0" applyFont="0" applyAlignment="0" applyProtection="0"/>
    <xf numFmtId="0" fontId="11" fillId="79" borderId="54" applyNumberFormat="0" applyFont="0" applyAlignment="0" applyProtection="0"/>
    <xf numFmtId="227" fontId="11" fillId="79" borderId="54" applyNumberFormat="0" applyFont="0" applyAlignment="0" applyProtection="0"/>
    <xf numFmtId="0" fontId="11" fillId="79" borderId="54" applyNumberFormat="0" applyFont="0" applyAlignment="0" applyProtection="0"/>
    <xf numFmtId="227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227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227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227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11" fillId="79" borderId="54" applyNumberFormat="0" applyFont="0" applyAlignment="0" applyProtection="0"/>
    <xf numFmtId="0" fontId="205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06" fillId="73" borderId="55" applyNumberFormat="0" applyAlignment="0" applyProtection="0"/>
    <xf numFmtId="0" fontId="134" fillId="73" borderId="55" applyNumberFormat="0" applyAlignment="0" applyProtection="0"/>
    <xf numFmtId="0" fontId="134" fillId="73" borderId="55" applyNumberFormat="0" applyAlignment="0" applyProtection="0"/>
    <xf numFmtId="0" fontId="207" fillId="11" borderId="27"/>
    <xf numFmtId="1" fontId="208" fillId="0" borderId="0" applyProtection="0">
      <alignment horizontal="right" vertical="center"/>
    </xf>
    <xf numFmtId="197" fontId="209" fillId="0" borderId="1">
      <alignment vertical="center"/>
    </xf>
    <xf numFmtId="0" fontId="114" fillId="0" borderId="0"/>
    <xf numFmtId="0" fontId="100" fillId="0" borderId="0"/>
    <xf numFmtId="0" fontId="11" fillId="0" borderId="28" applyFont="0" applyFill="0" applyBorder="0" applyAlignment="0" applyProtection="0">
      <alignment horizontal="right"/>
    </xf>
    <xf numFmtId="0" fontId="11" fillId="0" borderId="28" applyFont="0" applyFill="0" applyBorder="0" applyAlignment="0" applyProtection="0">
      <alignment horizontal="right"/>
    </xf>
    <xf numFmtId="247" fontId="159" fillId="112" borderId="0" applyFill="0" applyBorder="0" applyAlignment="0" applyProtection="0">
      <protection locked="0"/>
    </xf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48" fontId="159" fillId="112" borderId="0" applyFill="0" applyBorder="0" applyAlignment="0" applyProtection="0">
      <alignment vertical="top"/>
    </xf>
    <xf numFmtId="249" fontId="159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99" fontId="11" fillId="0" borderId="0" applyFont="0" applyFill="0" applyBorder="0" applyAlignment="0" applyProtection="0"/>
    <xf numFmtId="199" fontId="11" fillId="0" borderId="0" applyFont="0" applyFill="0" applyBorder="0" applyAlignment="0" applyProtection="0"/>
    <xf numFmtId="199" fontId="11" fillId="0" borderId="0" applyFont="0" applyFill="0" applyBorder="0" applyAlignment="0" applyProtection="0"/>
    <xf numFmtId="19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170" fontId="23" fillId="0" borderId="0" applyProtection="0"/>
    <xf numFmtId="0" fontId="23" fillId="0" borderId="0" applyProtection="0"/>
    <xf numFmtId="194" fontId="23" fillId="0" borderId="0" applyProtection="0"/>
    <xf numFmtId="170" fontId="23" fillId="0" borderId="0" applyProtection="0"/>
    <xf numFmtId="0" fontId="23" fillId="0" borderId="0" applyProtection="0"/>
    <xf numFmtId="194" fontId="23" fillId="0" borderId="0" applyProtection="0"/>
    <xf numFmtId="10" fontId="115" fillId="0" borderId="0" applyFont="0" applyFill="0" applyBorder="0" applyAlignment="0" applyProtection="0"/>
    <xf numFmtId="250" fontId="107" fillId="0" borderId="0">
      <protection locked="0"/>
    </xf>
    <xf numFmtId="208" fontId="107" fillId="0" borderId="0">
      <protection locked="0"/>
    </xf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116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8" fillId="0" borderId="0" applyFont="0" applyFill="0" applyBorder="0" applyAlignment="0" applyProtection="0"/>
    <xf numFmtId="0" fontId="107" fillId="0" borderId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0" fontId="115" fillId="0" borderId="0" applyFont="0" applyFill="0" applyBorder="0" applyAlignment="0" applyProtection="0"/>
    <xf numFmtId="0" fontId="68" fillId="69" borderId="56" applyNumberFormat="0" applyFont="0" applyBorder="0" applyAlignment="0" applyProtection="0"/>
    <xf numFmtId="0" fontId="68" fillId="69" borderId="56" applyNumberFormat="0" applyFont="0" applyBorder="0" applyAlignment="0" applyProtection="0"/>
    <xf numFmtId="0" fontId="68" fillId="69" borderId="56" applyNumberFormat="0" applyFont="0" applyBorder="0" applyAlignment="0" applyProtection="0"/>
    <xf numFmtId="0" fontId="68" fillId="69" borderId="56" applyNumberFormat="0" applyFont="0" applyBorder="0" applyAlignment="0" applyProtection="0"/>
    <xf numFmtId="0" fontId="68" fillId="69" borderId="56" applyNumberFormat="0" applyFont="0" applyBorder="0" applyAlignment="0" applyProtection="0"/>
    <xf numFmtId="0" fontId="68" fillId="69" borderId="56" applyNumberFormat="0" applyFont="0" applyBorder="0" applyAlignment="0" applyProtection="0"/>
    <xf numFmtId="0" fontId="68" fillId="69" borderId="56" applyNumberFormat="0" applyFont="0" applyBorder="0" applyAlignment="0" applyProtection="0"/>
    <xf numFmtId="0" fontId="11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210" fillId="0" borderId="0" applyNumberFormat="0">
      <alignment horizontal="left"/>
    </xf>
    <xf numFmtId="236" fontId="11" fillId="0" borderId="0" applyNumberFormat="0" applyAlignment="0">
      <alignment horizontal="left"/>
    </xf>
    <xf numFmtId="0" fontId="116" fillId="0" borderId="0" applyNumberFormat="0" applyFont="0" applyFill="0" applyBorder="0" applyAlignment="0" applyProtection="0">
      <alignment horizontal="left"/>
    </xf>
    <xf numFmtId="15" fontId="116" fillId="0" borderId="0" applyFont="0" applyFill="0" applyBorder="0" applyAlignment="0" applyProtection="0"/>
    <xf numFmtId="4" fontId="116" fillId="0" borderId="0" applyFont="0" applyFill="0" applyBorder="0" applyAlignment="0" applyProtection="0"/>
    <xf numFmtId="0" fontId="156" fillId="0" borderId="2">
      <alignment horizontal="center"/>
    </xf>
    <xf numFmtId="3" fontId="116" fillId="0" borderId="0" applyFont="0" applyFill="0" applyBorder="0" applyAlignment="0" applyProtection="0"/>
    <xf numFmtId="0" fontId="116" fillId="75" borderId="0" applyNumberFormat="0" applyFont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211" fillId="0" borderId="42">
      <alignment horizontal="center" vertical="center"/>
    </xf>
    <xf numFmtId="0" fontId="212" fillId="0" borderId="68" applyBorder="0">
      <alignment vertical="top"/>
      <protection locked="0"/>
    </xf>
    <xf numFmtId="3" fontId="94" fillId="0" borderId="0" applyFill="0" applyBorder="0" applyAlignment="0" applyProtection="0"/>
    <xf numFmtId="3" fontId="94" fillId="0" borderId="0" applyFill="0" applyBorder="0" applyAlignment="0" applyProtection="0"/>
    <xf numFmtId="0" fontId="213" fillId="0" borderId="46" applyNumberFormat="0" applyFill="0" applyBorder="0" applyAlignment="0" applyProtection="0">
      <protection hidden="1"/>
    </xf>
    <xf numFmtId="38" fontId="210" fillId="0" borderId="0"/>
    <xf numFmtId="0" fontId="134" fillId="73" borderId="55" applyNumberFormat="0" applyAlignment="0" applyProtection="0"/>
    <xf numFmtId="227" fontId="134" fillId="73" borderId="55" applyNumberFormat="0" applyAlignment="0" applyProtection="0"/>
    <xf numFmtId="0" fontId="134" fillId="73" borderId="55" applyNumberFormat="0" applyAlignment="0" applyProtection="0"/>
    <xf numFmtId="0" fontId="134" fillId="73" borderId="55" applyNumberFormat="0" applyAlignment="0" applyProtection="0"/>
    <xf numFmtId="227" fontId="134" fillId="73" borderId="55" applyNumberFormat="0" applyAlignment="0" applyProtection="0"/>
    <xf numFmtId="0" fontId="134" fillId="73" borderId="55" applyNumberFormat="0" applyAlignment="0" applyProtection="0"/>
    <xf numFmtId="227" fontId="134" fillId="73" borderId="55" applyNumberFormat="0" applyAlignment="0" applyProtection="0"/>
    <xf numFmtId="0" fontId="134" fillId="73" borderId="55" applyNumberFormat="0" applyAlignment="0" applyProtection="0"/>
    <xf numFmtId="0" fontId="134" fillId="73" borderId="55" applyNumberFormat="0" applyAlignment="0" applyProtection="0"/>
    <xf numFmtId="0" fontId="134" fillId="73" borderId="55" applyNumberFormat="0" applyAlignment="0" applyProtection="0"/>
    <xf numFmtId="0" fontId="134" fillId="73" borderId="55" applyNumberFormat="0" applyAlignment="0" applyProtection="0"/>
    <xf numFmtId="0" fontId="134" fillId="73" borderId="55" applyNumberFormat="0" applyAlignment="0" applyProtection="0"/>
    <xf numFmtId="0" fontId="134" fillId="73" borderId="55" applyNumberFormat="0" applyAlignment="0" applyProtection="0"/>
    <xf numFmtId="4" fontId="90" fillId="76" borderId="55" applyNumberFormat="0" applyProtection="0">
      <alignment vertical="center"/>
    </xf>
    <xf numFmtId="4" fontId="97" fillId="0" borderId="63" applyNumberFormat="0" applyProtection="0">
      <alignment vertical="center"/>
    </xf>
    <xf numFmtId="4" fontId="166" fillId="76" borderId="55" applyNumberFormat="0" applyProtection="0">
      <alignment vertical="center"/>
    </xf>
    <xf numFmtId="4" fontId="164" fillId="76" borderId="63" applyNumberFormat="0" applyProtection="0">
      <alignment vertical="center"/>
    </xf>
    <xf numFmtId="4" fontId="90" fillId="76" borderId="55" applyNumberFormat="0" applyProtection="0">
      <alignment horizontal="left" vertical="center" indent="1"/>
    </xf>
    <xf numFmtId="4" fontId="97" fillId="0" borderId="63" applyNumberFormat="0" applyProtection="0">
      <alignment horizontal="left" vertical="center" indent="1"/>
    </xf>
    <xf numFmtId="4" fontId="90" fillId="76" borderId="55" applyNumberFormat="0" applyProtection="0">
      <alignment horizontal="left" vertical="center" indent="1"/>
    </xf>
    <xf numFmtId="0" fontId="97" fillId="0" borderId="63" applyNumberFormat="0" applyProtection="0">
      <alignment horizontal="left" vertical="top" indent="1"/>
    </xf>
    <xf numFmtId="0" fontId="11" fillId="117" borderId="55" applyNumberFormat="0" applyProtection="0">
      <alignment horizontal="left" vertical="center" indent="1"/>
    </xf>
    <xf numFmtId="4" fontId="97" fillId="0" borderId="0" applyNumberFormat="0" applyProtection="0">
      <alignment horizontal="left" vertical="center" indent="1"/>
    </xf>
    <xf numFmtId="4" fontId="97" fillId="89" borderId="0" applyNumberFormat="0" applyProtection="0">
      <alignment horizontal="left" vertical="center" indent="1"/>
    </xf>
    <xf numFmtId="4" fontId="90" fillId="51" borderId="63" applyNumberFormat="0" applyProtection="0">
      <alignment horizontal="right" vertical="center"/>
    </xf>
    <xf numFmtId="4" fontId="90" fillId="51" borderId="63" applyNumberFormat="0" applyProtection="0">
      <alignment horizontal="right" vertical="center"/>
    </xf>
    <xf numFmtId="4" fontId="90" fillId="58" borderId="63" applyNumberFormat="0" applyProtection="0">
      <alignment horizontal="right" vertical="center"/>
    </xf>
    <xf numFmtId="4" fontId="90" fillId="58" borderId="63" applyNumberFormat="0" applyProtection="0">
      <alignment horizontal="right" vertical="center"/>
    </xf>
    <xf numFmtId="4" fontId="90" fillId="66" borderId="63" applyNumberFormat="0" applyProtection="0">
      <alignment horizontal="right" vertical="center"/>
    </xf>
    <xf numFmtId="4" fontId="90" fillId="66" borderId="63" applyNumberFormat="0" applyProtection="0">
      <alignment horizontal="right" vertical="center"/>
    </xf>
    <xf numFmtId="4" fontId="90" fillId="60" borderId="63" applyNumberFormat="0" applyProtection="0">
      <alignment horizontal="right" vertical="center"/>
    </xf>
    <xf numFmtId="4" fontId="90" fillId="60" borderId="63" applyNumberFormat="0" applyProtection="0">
      <alignment horizontal="right" vertical="center"/>
    </xf>
    <xf numFmtId="4" fontId="90" fillId="64" borderId="63" applyNumberFormat="0" applyProtection="0">
      <alignment horizontal="right" vertical="center"/>
    </xf>
    <xf numFmtId="4" fontId="90" fillId="64" borderId="63" applyNumberFormat="0" applyProtection="0">
      <alignment horizontal="right" vertical="center"/>
    </xf>
    <xf numFmtId="4" fontId="90" fillId="68" borderId="63" applyNumberFormat="0" applyProtection="0">
      <alignment horizontal="right" vertical="center"/>
    </xf>
    <xf numFmtId="4" fontId="90" fillId="68" borderId="63" applyNumberFormat="0" applyProtection="0">
      <alignment horizontal="right" vertical="center"/>
    </xf>
    <xf numFmtId="4" fontId="90" fillId="67" borderId="63" applyNumberFormat="0" applyProtection="0">
      <alignment horizontal="right" vertical="center"/>
    </xf>
    <xf numFmtId="4" fontId="90" fillId="67" borderId="63" applyNumberFormat="0" applyProtection="0">
      <alignment horizontal="right" vertical="center"/>
    </xf>
    <xf numFmtId="4" fontId="90" fillId="87" borderId="63" applyNumberFormat="0" applyProtection="0">
      <alignment horizontal="right" vertical="center"/>
    </xf>
    <xf numFmtId="4" fontId="90" fillId="87" borderId="63" applyNumberFormat="0" applyProtection="0">
      <alignment horizontal="right" vertical="center"/>
    </xf>
    <xf numFmtId="4" fontId="90" fillId="59" borderId="63" applyNumberFormat="0" applyProtection="0">
      <alignment horizontal="right" vertical="center"/>
    </xf>
    <xf numFmtId="4" fontId="90" fillId="59" borderId="63" applyNumberFormat="0" applyProtection="0">
      <alignment horizontal="right" vertical="center"/>
    </xf>
    <xf numFmtId="4" fontId="90" fillId="0" borderId="0" applyNumberFormat="0" applyProtection="0">
      <alignment horizontal="left" vertical="center" indent="1"/>
    </xf>
    <xf numFmtId="4" fontId="90" fillId="0" borderId="0" applyNumberFormat="0" applyProtection="0">
      <alignment horizontal="left" vertical="center" indent="1"/>
    </xf>
    <xf numFmtId="4" fontId="90" fillId="0" borderId="0" applyNumberFormat="0" applyProtection="0">
      <alignment horizontal="left" vertical="center" indent="1"/>
    </xf>
    <xf numFmtId="4" fontId="90" fillId="0" borderId="0" applyNumberFormat="0" applyProtection="0">
      <alignment horizontal="left" vertical="center" indent="1"/>
    </xf>
    <xf numFmtId="4" fontId="165" fillId="118" borderId="0" applyNumberFormat="0" applyProtection="0">
      <alignment horizontal="left" vertical="center" indent="1"/>
    </xf>
    <xf numFmtId="4" fontId="90" fillId="89" borderId="63" applyNumberFormat="0" applyProtection="0">
      <alignment horizontal="right" vertical="center"/>
    </xf>
    <xf numFmtId="4" fontId="90" fillId="89" borderId="63" applyNumberFormat="0" applyProtection="0">
      <alignment horizontal="right" vertical="center"/>
    </xf>
    <xf numFmtId="4" fontId="90" fillId="0" borderId="0" applyNumberFormat="0" applyProtection="0">
      <alignment horizontal="left" vertical="center" indent="1"/>
    </xf>
    <xf numFmtId="4" fontId="90" fillId="0" borderId="0" applyNumberFormat="0" applyProtection="0">
      <alignment horizontal="left" vertical="center" indent="1"/>
    </xf>
    <xf numFmtId="4" fontId="90" fillId="119" borderId="55" applyNumberFormat="0" applyProtection="0">
      <alignment horizontal="left" vertical="center" indent="1"/>
    </xf>
    <xf numFmtId="4" fontId="97" fillId="0" borderId="0" applyNumberFormat="0" applyProtection="0">
      <alignment horizontal="left" vertical="center" indent="1"/>
    </xf>
    <xf numFmtId="0" fontId="11" fillId="0" borderId="42" applyNumberFormat="0" applyProtection="0">
      <alignment horizontal="left" vertical="center" indent="1"/>
    </xf>
    <xf numFmtId="0" fontId="11" fillId="0" borderId="42" applyNumberFormat="0" applyProtection="0">
      <alignment horizontal="left" vertical="center" indent="1"/>
    </xf>
    <xf numFmtId="0" fontId="11" fillId="88" borderId="63" applyNumberFormat="0" applyProtection="0">
      <alignment horizontal="left" vertical="top" indent="1"/>
    </xf>
    <xf numFmtId="0" fontId="11" fillId="88" borderId="63" applyNumberFormat="0" applyProtection="0">
      <alignment horizontal="left" vertical="top" indent="1"/>
    </xf>
    <xf numFmtId="0" fontId="11" fillId="0" borderId="42" applyNumberFormat="0" applyProtection="0">
      <alignment horizontal="left" vertical="center" indent="1"/>
    </xf>
    <xf numFmtId="0" fontId="11" fillId="0" borderId="42" applyNumberFormat="0" applyProtection="0">
      <alignment horizontal="left" vertical="center" indent="1"/>
    </xf>
    <xf numFmtId="0" fontId="11" fillId="90" borderId="63" applyNumberFormat="0" applyProtection="0">
      <alignment horizontal="left" vertical="top" indent="1"/>
    </xf>
    <xf numFmtId="0" fontId="11" fillId="90" borderId="63" applyNumberFormat="0" applyProtection="0">
      <alignment horizontal="left" vertical="top" indent="1"/>
    </xf>
    <xf numFmtId="0" fontId="11" fillId="0" borderId="42" applyNumberFormat="0" applyProtection="0">
      <alignment horizontal="left" vertical="center" indent="1"/>
    </xf>
    <xf numFmtId="0" fontId="11" fillId="0" borderId="42" applyNumberFormat="0" applyProtection="0">
      <alignment horizontal="left" vertical="center" indent="1"/>
    </xf>
    <xf numFmtId="0" fontId="11" fillId="69" borderId="63" applyNumberFormat="0" applyProtection="0">
      <alignment horizontal="left" vertical="top" indent="1"/>
    </xf>
    <xf numFmtId="0" fontId="11" fillId="69" borderId="63" applyNumberFormat="0" applyProtection="0">
      <alignment horizontal="left" vertical="top" indent="1"/>
    </xf>
    <xf numFmtId="0" fontId="11" fillId="91" borderId="63" applyNumberFormat="0" applyProtection="0">
      <alignment horizontal="left" vertical="center" indent="1"/>
    </xf>
    <xf numFmtId="0" fontId="11" fillId="91" borderId="63" applyNumberFormat="0" applyProtection="0">
      <alignment horizontal="left" vertical="center" indent="1"/>
    </xf>
    <xf numFmtId="0" fontId="11" fillId="91" borderId="63" applyNumberFormat="0" applyProtection="0">
      <alignment horizontal="left" vertical="top" indent="1"/>
    </xf>
    <xf numFmtId="0" fontId="11" fillId="91" borderId="63" applyNumberFormat="0" applyProtection="0">
      <alignment horizontal="left" vertical="top" indent="1"/>
    </xf>
    <xf numFmtId="0" fontId="11" fillId="112" borderId="42" applyNumberFormat="0">
      <protection locked="0"/>
    </xf>
    <xf numFmtId="4" fontId="90" fillId="70" borderId="63" applyNumberFormat="0" applyProtection="0">
      <alignment vertical="center"/>
    </xf>
    <xf numFmtId="4" fontId="90" fillId="70" borderId="63" applyNumberFormat="0" applyProtection="0">
      <alignment vertical="center"/>
    </xf>
    <xf numFmtId="4" fontId="166" fillId="70" borderId="55" applyNumberFormat="0" applyProtection="0">
      <alignment vertical="center"/>
    </xf>
    <xf numFmtId="4" fontId="166" fillId="70" borderId="63" applyNumberFormat="0" applyProtection="0">
      <alignment vertical="center"/>
    </xf>
    <xf numFmtId="4" fontId="90" fillId="70" borderId="63" applyNumberFormat="0" applyProtection="0">
      <alignment horizontal="left" vertical="center" indent="1"/>
    </xf>
    <xf numFmtId="4" fontId="90" fillId="70" borderId="63" applyNumberFormat="0" applyProtection="0">
      <alignment horizontal="left" vertical="center" indent="1"/>
    </xf>
    <xf numFmtId="0" fontId="90" fillId="70" borderId="63" applyNumberFormat="0" applyProtection="0">
      <alignment horizontal="left" vertical="top" indent="1"/>
    </xf>
    <xf numFmtId="0" fontId="90" fillId="70" borderId="63" applyNumberFormat="0" applyProtection="0">
      <alignment horizontal="left" vertical="top" indent="1"/>
    </xf>
    <xf numFmtId="4" fontId="90" fillId="0" borderId="42" applyNumberFormat="0" applyProtection="0">
      <alignment horizontal="right" vertical="center"/>
    </xf>
    <xf numFmtId="4" fontId="90" fillId="0" borderId="42" applyNumberFormat="0" applyProtection="0">
      <alignment horizontal="right" vertical="center"/>
    </xf>
    <xf numFmtId="4" fontId="166" fillId="120" borderId="55" applyNumberFormat="0" applyProtection="0">
      <alignment horizontal="right" vertical="center"/>
    </xf>
    <xf numFmtId="4" fontId="166" fillId="0" borderId="63" applyNumberFormat="0" applyProtection="0">
      <alignment horizontal="right" vertical="center"/>
    </xf>
    <xf numFmtId="4" fontId="90" fillId="0" borderId="64" applyNumberFormat="0" applyProtection="0">
      <alignment horizontal="left" vertical="center" indent="1"/>
    </xf>
    <xf numFmtId="4" fontId="90" fillId="0" borderId="64" applyNumberFormat="0" applyProtection="0">
      <alignment horizontal="left" vertical="center" indent="1"/>
    </xf>
    <xf numFmtId="4" fontId="93" fillId="63" borderId="69" applyNumberFormat="0" applyProtection="0">
      <alignment horizontal="left" vertical="center" indent="1"/>
    </xf>
    <xf numFmtId="4" fontId="90" fillId="89" borderId="63" applyNumberFormat="0" applyProtection="0">
      <alignment horizontal="left" vertical="center" indent="1"/>
    </xf>
    <xf numFmtId="0" fontId="11" fillId="117" borderId="55" applyNumberFormat="0" applyProtection="0">
      <alignment horizontal="left" vertical="center" indent="1"/>
    </xf>
    <xf numFmtId="0" fontId="97" fillId="0" borderId="42" applyNumberFormat="0" applyProtection="0">
      <alignment horizontal="left" vertical="top" indent="1"/>
    </xf>
    <xf numFmtId="0" fontId="214" fillId="0" borderId="0"/>
    <xf numFmtId="4" fontId="157" fillId="0" borderId="0" applyNumberFormat="0" applyProtection="0">
      <alignment horizontal="left" vertical="center" indent="1"/>
    </xf>
    <xf numFmtId="4" fontId="11" fillId="0" borderId="63" applyNumberFormat="0" applyProtection="0">
      <alignment horizontal="right" vertical="center"/>
    </xf>
    <xf numFmtId="4" fontId="150" fillId="120" borderId="55" applyNumberFormat="0" applyProtection="0">
      <alignment horizontal="right" vertical="center"/>
    </xf>
    <xf numFmtId="4" fontId="11" fillId="0" borderId="63" applyNumberFormat="0" applyProtection="0">
      <alignment horizontal="right" vertical="center"/>
    </xf>
    <xf numFmtId="4" fontId="11" fillId="0" borderId="63" applyNumberFormat="0" applyProtection="0">
      <alignment horizontal="right" vertical="center"/>
    </xf>
    <xf numFmtId="4" fontId="150" fillId="120" borderId="55" applyNumberFormat="0" applyProtection="0">
      <alignment horizontal="right" vertical="center"/>
    </xf>
    <xf numFmtId="4" fontId="11" fillId="0" borderId="63" applyNumberFormat="0" applyProtection="0">
      <alignment horizontal="right" vertical="center"/>
    </xf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38" fontId="116" fillId="0" borderId="0" applyFont="0" applyFill="0" applyBorder="0" applyAlignment="0" applyProtection="0"/>
    <xf numFmtId="207" fontId="137" fillId="0" borderId="0">
      <protection locked="0"/>
    </xf>
    <xf numFmtId="207" fontId="137" fillId="0" borderId="0">
      <protection locked="0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55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88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215" fontId="11" fillId="0" borderId="0" applyFont="0" applyFill="0" applyBorder="0" applyAlignment="0" applyProtection="0"/>
    <xf numFmtId="14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4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4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4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4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4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4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14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8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9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215" fontId="11" fillId="0" borderId="0" applyFont="0" applyFill="0" applyBorder="0" applyAlignment="0" applyProtection="0"/>
    <xf numFmtId="38" fontId="116" fillId="81" borderId="0" applyNumberFormat="0" applyFont="0" applyBorder="0" applyAlignment="0" applyProtection="0"/>
    <xf numFmtId="0" fontId="146" fillId="0" borderId="0" applyNumberFormat="0" applyFill="0" applyBorder="0" applyAlignment="0" applyProtection="0"/>
    <xf numFmtId="0" fontId="11" fillId="0" borderId="70"/>
    <xf numFmtId="0" fontId="90" fillId="0" borderId="0">
      <alignment vertical="top"/>
    </xf>
    <xf numFmtId="0" fontId="90" fillId="0" borderId="0">
      <alignment vertical="top"/>
    </xf>
    <xf numFmtId="0" fontId="11" fillId="0" borderId="42" applyNumberFormat="0" applyFont="0" applyFill="0" applyProtection="0">
      <alignment horizontal="center"/>
    </xf>
    <xf numFmtId="22" fontId="11" fillId="0" borderId="42" applyFont="0" applyFill="0" applyProtection="0">
      <alignment horizontal="center"/>
    </xf>
    <xf numFmtId="0" fontId="68" fillId="56" borderId="42" applyNumberFormat="0" applyProtection="0">
      <alignment horizontal="center"/>
    </xf>
    <xf numFmtId="0" fontId="215" fillId="84" borderId="42" applyNumberFormat="0" applyProtection="0">
      <alignment horizontal="right"/>
    </xf>
    <xf numFmtId="4" fontId="11" fillId="0" borderId="42" applyFont="0" applyFill="0" applyAlignment="0" applyProtection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1" fillId="121" borderId="0"/>
    <xf numFmtId="0" fontId="11" fillId="0" borderId="0" applyFill="0" applyBorder="0" applyAlignment="0" applyProtection="0"/>
    <xf numFmtId="0" fontId="11" fillId="0" borderId="0" applyFill="0" applyBorder="0" applyAlignment="0" applyProtection="0"/>
    <xf numFmtId="0" fontId="11" fillId="0" borderId="0" applyFill="0" applyBorder="0" applyAlignment="0" applyProtection="0"/>
    <xf numFmtId="0" fontId="11" fillId="0" borderId="0" applyFill="0" applyBorder="0" applyAlignment="0" applyProtection="0"/>
    <xf numFmtId="164" fontId="11" fillId="0" borderId="0"/>
    <xf numFmtId="0" fontId="11" fillId="0" borderId="71"/>
    <xf numFmtId="0" fontId="216" fillId="0" borderId="0" applyBorder="0" applyProtection="0">
      <alignment vertical="center"/>
    </xf>
    <xf numFmtId="0" fontId="23" fillId="0" borderId="1" applyBorder="0" applyProtection="0">
      <alignment horizontal="right" vertical="center"/>
    </xf>
    <xf numFmtId="0" fontId="217" fillId="122" borderId="0" applyBorder="0" applyProtection="0">
      <alignment horizontal="centerContinuous" vertical="center"/>
    </xf>
    <xf numFmtId="0" fontId="217" fillId="123" borderId="1" applyBorder="0" applyProtection="0">
      <alignment horizontal="centerContinuous" vertical="center"/>
    </xf>
    <xf numFmtId="0" fontId="218" fillId="0" borderId="0" applyFill="0" applyBorder="0" applyProtection="0">
      <alignment horizontal="left"/>
    </xf>
    <xf numFmtId="0" fontId="192" fillId="0" borderId="26" applyFill="0" applyBorder="0" applyProtection="0">
      <alignment horizontal="left" vertical="top"/>
    </xf>
    <xf numFmtId="0" fontId="219" fillId="0" borderId="0"/>
    <xf numFmtId="0" fontId="95" fillId="0" borderId="0"/>
    <xf numFmtId="0" fontId="220" fillId="0" borderId="0" applyNumberFormat="0" applyFill="0" applyBorder="0" applyAlignment="0" applyProtection="0"/>
    <xf numFmtId="49" fontId="90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227" fontId="119" fillId="0" borderId="0" applyNumberFormat="0" applyFill="0" applyBorder="0" applyAlignment="0" applyProtection="0"/>
    <xf numFmtId="227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227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40" fontId="221" fillId="0" borderId="0"/>
    <xf numFmtId="0" fontId="142" fillId="0" borderId="0" applyNumberFormat="0" applyFill="0" applyBorder="0" applyAlignment="0" applyProtection="0"/>
    <xf numFmtId="0" fontId="144" fillId="0" borderId="57" applyNumberFormat="0" applyFill="0" applyAlignment="0" applyProtection="0"/>
    <xf numFmtId="227" fontId="144" fillId="0" borderId="57" applyNumberFormat="0" applyFill="0" applyAlignment="0" applyProtection="0"/>
    <xf numFmtId="0" fontId="124" fillId="0" borderId="0" applyNumberFormat="0" applyFill="0" applyBorder="0" applyAlignment="0" applyProtection="0"/>
    <xf numFmtId="227" fontId="144" fillId="0" borderId="57" applyNumberFormat="0" applyFill="0" applyAlignment="0" applyProtection="0"/>
    <xf numFmtId="227" fontId="144" fillId="0" borderId="57" applyNumberFormat="0" applyFill="0" applyAlignment="0" applyProtection="0"/>
    <xf numFmtId="0" fontId="144" fillId="0" borderId="57" applyNumberFormat="0" applyFill="0" applyAlignment="0" applyProtection="0"/>
    <xf numFmtId="0" fontId="144" fillId="0" borderId="57" applyNumberFormat="0" applyFill="0" applyAlignment="0" applyProtection="0"/>
    <xf numFmtId="0" fontId="144" fillId="0" borderId="57" applyNumberFormat="0" applyFill="0" applyAlignment="0" applyProtection="0"/>
    <xf numFmtId="0" fontId="144" fillId="0" borderId="57" applyNumberFormat="0" applyFill="0" applyAlignment="0" applyProtection="0"/>
    <xf numFmtId="0" fontId="144" fillId="0" borderId="57" applyNumberFormat="0" applyFill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5" fillId="0" borderId="58" applyNumberFormat="0" applyFill="0" applyAlignment="0" applyProtection="0"/>
    <xf numFmtId="227" fontId="145" fillId="0" borderId="58" applyNumberFormat="0" applyFill="0" applyAlignment="0" applyProtection="0"/>
    <xf numFmtId="0" fontId="125" fillId="0" borderId="0" applyNumberFormat="0" applyFill="0" applyBorder="0" applyAlignment="0" applyProtection="0"/>
    <xf numFmtId="227" fontId="145" fillId="0" borderId="58" applyNumberFormat="0" applyFill="0" applyAlignment="0" applyProtection="0"/>
    <xf numFmtId="227" fontId="145" fillId="0" borderId="58" applyNumberFormat="0" applyFill="0" applyAlignment="0" applyProtection="0"/>
    <xf numFmtId="0" fontId="145" fillId="0" borderId="58" applyNumberFormat="0" applyFill="0" applyAlignment="0" applyProtection="0"/>
    <xf numFmtId="0" fontId="145" fillId="0" borderId="58" applyNumberFormat="0" applyFill="0" applyAlignment="0" applyProtection="0"/>
    <xf numFmtId="0" fontId="145" fillId="0" borderId="58" applyNumberFormat="0" applyFill="0" applyAlignment="0" applyProtection="0"/>
    <xf numFmtId="0" fontId="145" fillId="0" borderId="58" applyNumberFormat="0" applyFill="0" applyAlignment="0" applyProtection="0"/>
    <xf numFmtId="0" fontId="145" fillId="0" borderId="58" applyNumberFormat="0" applyFill="0" applyAlignment="0" applyProtection="0"/>
    <xf numFmtId="0" fontId="126" fillId="0" borderId="52" applyNumberFormat="0" applyFill="0" applyAlignment="0" applyProtection="0"/>
    <xf numFmtId="227" fontId="126" fillId="0" borderId="52" applyNumberFormat="0" applyFill="0" applyAlignment="0" applyProtection="0"/>
    <xf numFmtId="227" fontId="126" fillId="0" borderId="52" applyNumberFormat="0" applyFill="0" applyAlignment="0" applyProtection="0"/>
    <xf numFmtId="0" fontId="126" fillId="0" borderId="52" applyNumberFormat="0" applyFill="0" applyAlignment="0" applyProtection="0"/>
    <xf numFmtId="227" fontId="126" fillId="0" borderId="52" applyNumberFormat="0" applyFill="0" applyAlignment="0" applyProtection="0"/>
    <xf numFmtId="0" fontId="126" fillId="0" borderId="52" applyNumberFormat="0" applyFill="0" applyAlignment="0" applyProtection="0"/>
    <xf numFmtId="0" fontId="126" fillId="0" borderId="52" applyNumberFormat="0" applyFill="0" applyAlignment="0" applyProtection="0"/>
    <xf numFmtId="0" fontId="126" fillId="0" borderId="52" applyNumberFormat="0" applyFill="0" applyAlignment="0" applyProtection="0"/>
    <xf numFmtId="0" fontId="126" fillId="0" borderId="52" applyNumberFormat="0" applyFill="0" applyAlignment="0" applyProtection="0"/>
    <xf numFmtId="0" fontId="126" fillId="0" borderId="52" applyNumberFormat="0" applyFill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227" fontId="142" fillId="0" borderId="0" applyNumberFormat="0" applyFill="0" applyBorder="0" applyAlignment="0" applyProtection="0"/>
    <xf numFmtId="227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227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207" fontId="190" fillId="0" borderId="0">
      <protection locked="0"/>
    </xf>
    <xf numFmtId="207" fontId="190" fillId="0" borderId="0">
      <protection locked="0"/>
    </xf>
    <xf numFmtId="0" fontId="11" fillId="121" borderId="0"/>
    <xf numFmtId="0" fontId="210" fillId="73" borderId="46"/>
    <xf numFmtId="202" fontId="11" fillId="0" borderId="59">
      <protection locked="0"/>
    </xf>
    <xf numFmtId="202" fontId="11" fillId="0" borderId="59">
      <protection locked="0"/>
    </xf>
    <xf numFmtId="202" fontId="11" fillId="0" borderId="59">
      <protection locked="0"/>
    </xf>
    <xf numFmtId="202" fontId="11" fillId="0" borderId="59">
      <protection locked="0"/>
    </xf>
    <xf numFmtId="197" fontId="222" fillId="0" borderId="0">
      <alignment horizontal="left"/>
      <protection locked="0"/>
    </xf>
    <xf numFmtId="251" fontId="11" fillId="0" borderId="24" applyFont="0" applyFill="0" applyBorder="0" applyProtection="0">
      <alignment horizontal="center"/>
      <protection locked="0"/>
    </xf>
    <xf numFmtId="251" fontId="11" fillId="0" borderId="24" applyFont="0" applyFill="0" applyBorder="0" applyProtection="0">
      <alignment horizontal="center"/>
      <protection locked="0"/>
    </xf>
    <xf numFmtId="251" fontId="11" fillId="0" borderId="24" applyFont="0" applyFill="0" applyBorder="0" applyProtection="0">
      <alignment horizontal="center"/>
      <protection locked="0"/>
    </xf>
    <xf numFmtId="252" fontId="68" fillId="0" borderId="6" applyFont="0" applyFill="0" applyBorder="0" applyProtection="0">
      <alignment horizontal="center"/>
    </xf>
    <xf numFmtId="38" fontId="11" fillId="0" borderId="42" applyFont="0" applyFill="0" applyBorder="0" applyAlignment="0" applyProtection="0">
      <protection locked="0"/>
    </xf>
    <xf numFmtId="38" fontId="11" fillId="0" borderId="42" applyFont="0" applyFill="0" applyBorder="0" applyAlignment="0" applyProtection="0">
      <protection locked="0"/>
    </xf>
    <xf numFmtId="38" fontId="11" fillId="0" borderId="42" applyFont="0" applyFill="0" applyBorder="0" applyAlignment="0" applyProtection="0">
      <protection locked="0"/>
    </xf>
    <xf numFmtId="15" fontId="11" fillId="0" borderId="42" applyFont="0" applyFill="0" applyBorder="0" applyProtection="0">
      <alignment horizontal="center"/>
      <protection locked="0"/>
    </xf>
    <xf numFmtId="15" fontId="11" fillId="0" borderId="42" applyFont="0" applyFill="0" applyBorder="0" applyProtection="0">
      <alignment horizontal="center"/>
      <protection locked="0"/>
    </xf>
    <xf numFmtId="15" fontId="11" fillId="0" borderId="42" applyFont="0" applyFill="0" applyBorder="0" applyProtection="0">
      <alignment horizontal="center"/>
      <protection locked="0"/>
    </xf>
    <xf numFmtId="10" fontId="11" fillId="0" borderId="42" applyFont="0" applyFill="0" applyBorder="0" applyProtection="0">
      <alignment horizontal="center"/>
      <protection locked="0"/>
    </xf>
    <xf numFmtId="10" fontId="11" fillId="0" borderId="42" applyFont="0" applyFill="0" applyBorder="0" applyProtection="0">
      <alignment horizontal="center"/>
      <protection locked="0"/>
    </xf>
    <xf numFmtId="10" fontId="11" fillId="0" borderId="42" applyFont="0" applyFill="0" applyBorder="0" applyProtection="0">
      <alignment horizontal="center"/>
      <protection locked="0"/>
    </xf>
    <xf numFmtId="210" fontId="11" fillId="0" borderId="42" applyFont="0" applyFill="0" applyBorder="0" applyProtection="0">
      <alignment horizontal="center"/>
    </xf>
    <xf numFmtId="210" fontId="11" fillId="0" borderId="42" applyFont="0" applyFill="0" applyBorder="0" applyProtection="0">
      <alignment horizontal="center"/>
    </xf>
    <xf numFmtId="210" fontId="11" fillId="0" borderId="42" applyFont="0" applyFill="0" applyBorder="0" applyProtection="0">
      <alignment horizontal="center"/>
    </xf>
    <xf numFmtId="37" fontId="93" fillId="76" borderId="0" applyNumberFormat="0" applyBorder="0" applyAlignment="0" applyProtection="0"/>
    <xf numFmtId="37" fontId="93" fillId="76" borderId="0" applyNumberFormat="0" applyBorder="0" applyAlignment="0" applyProtection="0"/>
    <xf numFmtId="37" fontId="93" fillId="76" borderId="0" applyNumberFormat="0" applyBorder="0" applyAlignment="0" applyProtection="0"/>
    <xf numFmtId="37" fontId="93" fillId="76" borderId="0" applyNumberFormat="0" applyBorder="0" applyAlignment="0" applyProtection="0"/>
    <xf numFmtId="37" fontId="93" fillId="0" borderId="0"/>
    <xf numFmtId="37" fontId="93" fillId="0" borderId="0"/>
    <xf numFmtId="37" fontId="93" fillId="0" borderId="0"/>
    <xf numFmtId="37" fontId="93" fillId="76" borderId="0" applyNumberFormat="0" applyBorder="0" applyAlignment="0" applyProtection="0"/>
    <xf numFmtId="0" fontId="223" fillId="0" borderId="0">
      <alignment vertical="top"/>
    </xf>
    <xf numFmtId="37" fontId="224" fillId="0" borderId="0">
      <protection locked="0"/>
    </xf>
    <xf numFmtId="208" fontId="107" fillId="0" borderId="0">
      <protection locked="0"/>
    </xf>
    <xf numFmtId="208" fontId="107" fillId="0" borderId="0">
      <protection locked="0"/>
    </xf>
    <xf numFmtId="209" fontId="107" fillId="0" borderId="0">
      <protection locked="0"/>
    </xf>
    <xf numFmtId="209" fontId="107" fillId="0" borderId="0">
      <protection locked="0"/>
    </xf>
    <xf numFmtId="204" fontId="23" fillId="0" borderId="0" applyFont="0" applyFill="0" applyBorder="0" applyAlignment="0" applyProtection="0"/>
    <xf numFmtId="204" fontId="23" fillId="0" borderId="0" applyFont="0" applyFill="0" applyBorder="0" applyAlignment="0" applyProtection="0"/>
    <xf numFmtId="21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8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0" fillId="0" borderId="0" applyFont="0" applyFill="0" applyBorder="0" applyAlignment="0" applyProtection="0"/>
    <xf numFmtId="3" fontId="11" fillId="0" borderId="0" applyFont="0" applyFill="0" applyBorder="0" applyAlignment="0" applyProtection="0"/>
    <xf numFmtId="2" fontId="115" fillId="0" borderId="0" applyFont="0" applyFill="0" applyBorder="0" applyAlignment="0" applyProtection="0"/>
    <xf numFmtId="240" fontId="154" fillId="0" borderId="0" applyFill="0"/>
    <xf numFmtId="0" fontId="225" fillId="0" borderId="0" applyNumberFormat="0" applyFill="0" applyBorder="0" applyAlignment="0" applyProtection="0"/>
    <xf numFmtId="0" fontId="11" fillId="0" borderId="13" applyFont="0" applyFill="0" applyBorder="0" applyAlignment="0" applyProtection="0"/>
    <xf numFmtId="0" fontId="11" fillId="0" borderId="13" applyFont="0" applyFill="0" applyBorder="0" applyAlignment="0" applyProtection="0"/>
    <xf numFmtId="0" fontId="11" fillId="0" borderId="13" applyFont="0" applyFill="0" applyBorder="0" applyAlignment="0" applyProtection="0"/>
    <xf numFmtId="0" fontId="11" fillId="0" borderId="13" applyFont="0" applyFill="0" applyBorder="0" applyAlignment="0" applyProtection="0"/>
    <xf numFmtId="0" fontId="226" fillId="0" borderId="0" applyFont="0" applyFill="0" applyBorder="0" applyAlignment="0" applyProtection="0"/>
    <xf numFmtId="0" fontId="226" fillId="0" borderId="0" applyFont="0" applyFill="0" applyBorder="0" applyAlignment="0" applyProtection="0"/>
    <xf numFmtId="0" fontId="227" fillId="0" borderId="0"/>
    <xf numFmtId="0" fontId="227" fillId="0" borderId="0" applyFont="0" applyFill="0" applyBorder="0" applyAlignment="0" applyProtection="0"/>
    <xf numFmtId="0" fontId="227" fillId="0" borderId="0" applyFont="0" applyFill="0" applyBorder="0" applyAlignment="0" applyProtection="0"/>
    <xf numFmtId="0" fontId="226" fillId="0" borderId="0" applyFont="0" applyFill="0" applyBorder="0" applyAlignment="0" applyProtection="0"/>
    <xf numFmtId="0" fontId="226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1" fillId="0" borderId="0" applyFont="0" applyFill="0" applyBorder="0" applyAlignment="0" applyProtection="0"/>
    <xf numFmtId="0" fontId="11" fillId="0" borderId="0"/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11" fillId="0" borderId="0"/>
    <xf numFmtId="0" fontId="118" fillId="55" borderId="41" applyNumberFormat="0" applyAlignment="0" applyProtection="0"/>
    <xf numFmtId="0" fontId="88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88" fillId="0" borderId="0" applyFont="0" applyFill="0" applyBorder="0" applyAlignment="0" applyProtection="0"/>
    <xf numFmtId="0" fontId="1" fillId="0" borderId="0"/>
    <xf numFmtId="166" fontId="8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220" fontId="159" fillId="0" borderId="0" applyFill="0" applyBorder="0" applyProtection="0">
      <alignment horizontal="right"/>
      <protection locked="0"/>
    </xf>
    <xf numFmtId="220" fontId="159" fillId="0" borderId="0" applyFont="0" applyFill="0" applyBorder="0" applyAlignment="0"/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90" fillId="0" borderId="0">
      <alignment vertical="top"/>
    </xf>
    <xf numFmtId="0" fontId="11" fillId="0" borderId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42" borderId="0" applyNumberFormat="0" applyBorder="0" applyAlignment="0" applyProtection="0"/>
    <xf numFmtId="0" fontId="1" fillId="46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0" fontId="1" fillId="43" borderId="0" applyNumberFormat="0" applyBorder="0" applyAlignment="0" applyProtection="0"/>
    <xf numFmtId="0" fontId="1" fillId="47" borderId="0" applyNumberFormat="0" applyBorder="0" applyAlignment="0" applyProtection="0"/>
    <xf numFmtId="0" fontId="39" fillId="28" borderId="0" applyNumberFormat="0" applyBorder="0" applyAlignment="0" applyProtection="0"/>
    <xf numFmtId="0" fontId="39" fillId="32" borderId="0" applyNumberFormat="0" applyBorder="0" applyAlignment="0" applyProtection="0"/>
    <xf numFmtId="0" fontId="39" fillId="36" borderId="0" applyNumberFormat="0" applyBorder="0" applyAlignment="0" applyProtection="0"/>
    <xf numFmtId="0" fontId="39" fillId="40" borderId="0" applyNumberFormat="0" applyBorder="0" applyAlignment="0" applyProtection="0"/>
    <xf numFmtId="0" fontId="39" fillId="44" borderId="0" applyNumberFormat="0" applyBorder="0" applyAlignment="0" applyProtection="0"/>
    <xf numFmtId="0" fontId="39" fillId="48" borderId="0" applyNumberFormat="0" applyBorder="0" applyAlignment="0" applyProtection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9" fillId="0" borderId="0"/>
    <xf numFmtId="0" fontId="90" fillId="0" borderId="0">
      <alignment vertical="top"/>
    </xf>
    <xf numFmtId="0" fontId="11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0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230" fillId="0" borderId="0"/>
    <xf numFmtId="253" fontId="230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199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253" fontId="11" fillId="0" borderId="0"/>
    <xf numFmtId="198" fontId="11" fillId="0" borderId="0"/>
    <xf numFmtId="0" fontId="81" fillId="18" borderId="0" applyNumberFormat="0" applyBorder="0" applyAlignment="0" applyProtection="0"/>
    <xf numFmtId="0" fontId="85" fillId="22" borderId="32" applyNumberFormat="0" applyAlignment="0" applyProtection="0"/>
    <xf numFmtId="253" fontId="229" fillId="23" borderId="35" applyNumberFormat="0" applyAlignment="0" applyProtection="0"/>
    <xf numFmtId="253" fontId="229" fillId="23" borderId="35" applyNumberFormat="0" applyAlignment="0" applyProtection="0"/>
    <xf numFmtId="253" fontId="229" fillId="23" borderId="35" applyNumberFormat="0" applyAlignment="0" applyProtection="0"/>
    <xf numFmtId="0" fontId="37" fillId="23" borderId="35" applyNumberFormat="0" applyAlignment="0" applyProtection="0"/>
    <xf numFmtId="253" fontId="231" fillId="0" borderId="34" applyNumberFormat="0" applyFill="0" applyAlignment="0" applyProtection="0"/>
    <xf numFmtId="253" fontId="231" fillId="0" borderId="34" applyNumberFormat="0" applyFill="0" applyAlignment="0" applyProtection="0"/>
    <xf numFmtId="253" fontId="231" fillId="0" borderId="34" applyNumberFormat="0" applyFill="0" applyAlignment="0" applyProtection="0"/>
    <xf numFmtId="0" fontId="86" fillId="0" borderId="34" applyNumberFormat="0" applyFill="0" applyAlignment="0" applyProtection="0"/>
    <xf numFmtId="0" fontId="39" fillId="25" borderId="0" applyNumberFormat="0" applyBorder="0" applyAlignment="0" applyProtection="0"/>
    <xf numFmtId="0" fontId="39" fillId="29" borderId="0" applyNumberFormat="0" applyBorder="0" applyAlignment="0" applyProtection="0"/>
    <xf numFmtId="0" fontId="39" fillId="33" borderId="0" applyNumberFormat="0" applyBorder="0" applyAlignment="0" applyProtection="0"/>
    <xf numFmtId="0" fontId="39" fillId="37" borderId="0" applyNumberFormat="0" applyBorder="0" applyAlignment="0" applyProtection="0"/>
    <xf numFmtId="0" fontId="39" fillId="41" borderId="0" applyNumberFormat="0" applyBorder="0" applyAlignment="0" applyProtection="0"/>
    <xf numFmtId="0" fontId="39" fillId="45" borderId="0" applyNumberFormat="0" applyBorder="0" applyAlignment="0" applyProtection="0"/>
    <xf numFmtId="0" fontId="83" fillId="21" borderId="32" applyNumberFormat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253" fontId="11" fillId="70" borderId="51" applyNumberFormat="0" applyFont="0" applyBorder="0" applyAlignment="0" applyProtection="0"/>
    <xf numFmtId="0" fontId="232" fillId="0" borderId="0" applyNumberFormat="0" applyFill="0" applyBorder="0" applyAlignment="0" applyProtection="0">
      <alignment vertical="top"/>
      <protection locked="0"/>
    </xf>
    <xf numFmtId="0" fontId="233" fillId="0" borderId="0" applyNumberFormat="0" applyFill="0" applyBorder="0" applyAlignment="0" applyProtection="0">
      <alignment vertical="top"/>
      <protection locked="0"/>
    </xf>
    <xf numFmtId="253" fontId="234" fillId="19" borderId="0" applyNumberFormat="0" applyBorder="0" applyAlignment="0" applyProtection="0"/>
    <xf numFmtId="253" fontId="234" fillId="19" borderId="0" applyNumberFormat="0" applyBorder="0" applyAlignment="0" applyProtection="0"/>
    <xf numFmtId="253" fontId="234" fillId="19" borderId="0" applyNumberFormat="0" applyBorder="0" applyAlignment="0" applyProtection="0"/>
    <xf numFmtId="0" fontId="82" fillId="19" borderId="0" applyNumberFormat="0" applyBorder="0" applyAlignment="0" applyProtection="0"/>
    <xf numFmtId="192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5" fillId="20" borderId="0" applyNumberFormat="0" applyBorder="0" applyAlignment="0" applyProtection="0"/>
    <xf numFmtId="0" fontId="36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0" fontId="1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253" fontId="90" fillId="24" borderId="36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40" fillId="0" borderId="0" applyFont="0" applyFill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253" fontId="68" fillId="69" borderId="56" applyNumberFormat="0" applyFont="0" applyBorder="0" applyAlignment="0" applyProtection="0"/>
    <xf numFmtId="0" fontId="84" fillId="22" borderId="33" applyNumberFormat="0" applyAlignment="0" applyProtection="0"/>
    <xf numFmtId="253" fontId="134" fillId="73" borderId="55" applyNumberFormat="0" applyAlignment="0" applyProtection="0"/>
    <xf numFmtId="4" fontId="97" fillId="0" borderId="63" applyNumberFormat="0" applyProtection="0">
      <alignment vertical="center"/>
    </xf>
    <xf numFmtId="4" fontId="164" fillId="76" borderId="63" applyNumberFormat="0" applyProtection="0">
      <alignment vertical="center"/>
    </xf>
    <xf numFmtId="4" fontId="97" fillId="0" borderId="63" applyNumberFormat="0" applyProtection="0">
      <alignment horizontal="left" vertical="center" indent="1"/>
    </xf>
    <xf numFmtId="0" fontId="97" fillId="0" borderId="63" applyNumberFormat="0" applyProtection="0">
      <alignment horizontal="left" vertical="top" indent="1"/>
    </xf>
    <xf numFmtId="4" fontId="90" fillId="51" borderId="63" applyNumberFormat="0" applyProtection="0">
      <alignment horizontal="right" vertical="center"/>
    </xf>
    <xf numFmtId="4" fontId="90" fillId="58" borderId="63" applyNumberFormat="0" applyProtection="0">
      <alignment horizontal="right" vertical="center"/>
    </xf>
    <xf numFmtId="4" fontId="90" fillId="66" borderId="63" applyNumberFormat="0" applyProtection="0">
      <alignment horizontal="right" vertical="center"/>
    </xf>
    <xf numFmtId="4" fontId="90" fillId="60" borderId="63" applyNumberFormat="0" applyProtection="0">
      <alignment horizontal="right" vertical="center"/>
    </xf>
    <xf numFmtId="4" fontId="90" fillId="64" borderId="63" applyNumberFormat="0" applyProtection="0">
      <alignment horizontal="right" vertical="center"/>
    </xf>
    <xf numFmtId="4" fontId="90" fillId="68" borderId="63" applyNumberFormat="0" applyProtection="0">
      <alignment horizontal="right" vertical="center"/>
    </xf>
    <xf numFmtId="4" fontId="90" fillId="67" borderId="63" applyNumberFormat="0" applyProtection="0">
      <alignment horizontal="right" vertical="center"/>
    </xf>
    <xf numFmtId="4" fontId="90" fillId="87" borderId="63" applyNumberFormat="0" applyProtection="0">
      <alignment horizontal="right" vertical="center"/>
    </xf>
    <xf numFmtId="4" fontId="90" fillId="59" borderId="63" applyNumberFormat="0" applyProtection="0">
      <alignment horizontal="right" vertical="center"/>
    </xf>
    <xf numFmtId="4" fontId="90" fillId="89" borderId="63" applyNumberFormat="0" applyProtection="0">
      <alignment horizontal="right" vertical="center"/>
    </xf>
    <xf numFmtId="0" fontId="11" fillId="88" borderId="63" applyNumberFormat="0" applyProtection="0">
      <alignment horizontal="left" vertical="top" indent="1"/>
    </xf>
    <xf numFmtId="0" fontId="11" fillId="90" borderId="63" applyNumberFormat="0" applyProtection="0">
      <alignment horizontal="left" vertical="top" indent="1"/>
    </xf>
    <xf numFmtId="0" fontId="11" fillId="69" borderId="63" applyNumberFormat="0" applyProtection="0">
      <alignment horizontal="left" vertical="top" indent="1"/>
    </xf>
    <xf numFmtId="0" fontId="11" fillId="91" borderId="63" applyNumberFormat="0" applyProtection="0">
      <alignment horizontal="left" vertical="center" indent="1"/>
    </xf>
    <xf numFmtId="0" fontId="11" fillId="91" borderId="63" applyNumberFormat="0" applyProtection="0">
      <alignment horizontal="left" vertical="top" indent="1"/>
    </xf>
    <xf numFmtId="4" fontId="90" fillId="70" borderId="63" applyNumberFormat="0" applyProtection="0">
      <alignment vertical="center"/>
    </xf>
    <xf numFmtId="4" fontId="166" fillId="70" borderId="63" applyNumberFormat="0" applyProtection="0">
      <alignment vertical="center"/>
    </xf>
    <xf numFmtId="4" fontId="90" fillId="70" borderId="63" applyNumberFormat="0" applyProtection="0">
      <alignment horizontal="left" vertical="center" indent="1"/>
    </xf>
    <xf numFmtId="0" fontId="90" fillId="70" borderId="63" applyNumberFormat="0" applyProtection="0">
      <alignment horizontal="left" vertical="top" indent="1"/>
    </xf>
    <xf numFmtId="4" fontId="166" fillId="0" borderId="63" applyNumberFormat="0" applyProtection="0">
      <alignment horizontal="right" vertical="center"/>
    </xf>
    <xf numFmtId="166" fontId="11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4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23" fillId="0" borderId="1" applyBorder="0" applyProtection="0">
      <alignment horizontal="right" vertical="center"/>
    </xf>
    <xf numFmtId="0" fontId="217" fillId="123" borderId="1" applyBorder="0" applyProtection="0">
      <alignment horizontal="centerContinuous" vertical="center"/>
    </xf>
    <xf numFmtId="0" fontId="192" fillId="0" borderId="26" applyFill="0" applyBorder="0" applyProtection="0">
      <alignment horizontal="left" vertical="top"/>
    </xf>
    <xf numFmtId="253" fontId="169" fillId="0" borderId="0" applyNumberFormat="0" applyFill="0" applyBorder="0" applyAlignment="0" applyProtection="0"/>
    <xf numFmtId="253" fontId="169" fillId="0" borderId="0" applyNumberFormat="0" applyFill="0" applyBorder="0" applyAlignment="0" applyProtection="0"/>
    <xf numFmtId="253" fontId="169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78" fillId="0" borderId="29" applyNumberFormat="0" applyFill="0" applyAlignment="0" applyProtection="0"/>
    <xf numFmtId="0" fontId="236" fillId="0" borderId="0" applyNumberFormat="0" applyFill="0" applyBorder="0" applyAlignment="0" applyProtection="0"/>
    <xf numFmtId="0" fontId="79" fillId="0" borderId="30" applyNumberFormat="0" applyFill="0" applyAlignment="0" applyProtection="0"/>
    <xf numFmtId="0" fontId="80" fillId="0" borderId="31" applyNumberFormat="0" applyFill="0" applyAlignment="0" applyProtection="0"/>
    <xf numFmtId="253" fontId="237" fillId="0" borderId="0" applyNumberFormat="0" applyFill="0" applyBorder="0" applyAlignment="0" applyProtection="0"/>
    <xf numFmtId="253" fontId="237" fillId="0" borderId="0" applyNumberFormat="0" applyFill="0" applyBorder="0" applyAlignment="0" applyProtection="0"/>
    <xf numFmtId="253" fontId="237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253" fontId="66" fillId="0" borderId="37" applyNumberFormat="0" applyFill="0" applyAlignment="0" applyProtection="0"/>
    <xf numFmtId="253" fontId="66" fillId="0" borderId="37" applyNumberFormat="0" applyFill="0" applyAlignment="0" applyProtection="0"/>
    <xf numFmtId="202" fontId="11" fillId="0" borderId="59">
      <protection locked="0"/>
    </xf>
    <xf numFmtId="0" fontId="2" fillId="0" borderId="37" applyNumberFormat="0" applyFill="0" applyAlignment="0" applyProtection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37" fontId="93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8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166" fontId="8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88" fillId="0" borderId="0"/>
    <xf numFmtId="166" fontId="88" fillId="0" borderId="0" applyFont="0" applyFill="0" applyBorder="0" applyAlignment="0" applyProtection="0"/>
    <xf numFmtId="0" fontId="1" fillId="0" borderId="0"/>
    <xf numFmtId="166" fontId="8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6" fontId="88" fillId="0" borderId="0" applyFont="0" applyFill="0" applyBorder="0" applyAlignment="0" applyProtection="0"/>
    <xf numFmtId="166" fontId="88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37" fontId="245" fillId="0" borderId="0"/>
    <xf numFmtId="0" fontId="11" fillId="0" borderId="0"/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1" fillId="0" borderId="0"/>
    <xf numFmtId="0" fontId="11" fillId="0" borderId="0"/>
  </cellStyleXfs>
  <cellXfs count="828">
    <xf numFmtId="0" fontId="0" fillId="0" borderId="0" xfId="0"/>
    <xf numFmtId="0" fontId="16" fillId="0" borderId="0" xfId="0" applyFont="1" applyAlignment="1">
      <alignment horizontal="left" vertical="center" wrapText="1" indent="1"/>
    </xf>
    <xf numFmtId="0" fontId="0" fillId="2" borderId="0" xfId="0" applyFill="1"/>
    <xf numFmtId="0" fontId="3" fillId="2" borderId="0" xfId="0" applyFont="1" applyFill="1" applyAlignment="1">
      <alignment vertical="center"/>
    </xf>
    <xf numFmtId="0" fontId="5" fillId="0" borderId="0" xfId="0" applyFont="1"/>
    <xf numFmtId="171" fontId="5" fillId="0" borderId="0" xfId="23" applyNumberFormat="1" applyFont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171" fontId="7" fillId="0" borderId="0" xfId="23" applyNumberFormat="1" applyFont="1" applyAlignment="1">
      <alignment horizontal="center"/>
    </xf>
    <xf numFmtId="0" fontId="7" fillId="0" borderId="0" xfId="0" applyFont="1"/>
    <xf numFmtId="171" fontId="7" fillId="0" borderId="0" xfId="0" applyNumberFormat="1" applyFont="1" applyAlignment="1">
      <alignment horizontal="center"/>
    </xf>
    <xf numFmtId="166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72" fontId="7" fillId="0" borderId="0" xfId="0" applyNumberFormat="1" applyFont="1" applyAlignment="1">
      <alignment horizontal="center"/>
    </xf>
    <xf numFmtId="0" fontId="8" fillId="0" borderId="0" xfId="43985" applyFont="1" applyFill="1" applyAlignment="1">
      <alignment horizontal="center"/>
    </xf>
    <xf numFmtId="173" fontId="7" fillId="0" borderId="0" xfId="12" applyNumberFormat="1" applyFont="1" applyAlignment="1">
      <alignment horizontal="right"/>
    </xf>
    <xf numFmtId="174" fontId="5" fillId="0" borderId="0" xfId="23" applyNumberFormat="1" applyFont="1"/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71" fontId="9" fillId="0" borderId="0" xfId="23" applyNumberFormat="1" applyFont="1" applyAlignment="1">
      <alignment horizontal="center"/>
    </xf>
    <xf numFmtId="166" fontId="5" fillId="0" borderId="0" xfId="23" applyFont="1" applyAlignment="1">
      <alignment horizontal="center"/>
    </xf>
    <xf numFmtId="0" fontId="9" fillId="0" borderId="0" xfId="0" applyFont="1"/>
    <xf numFmtId="0" fontId="9" fillId="3" borderId="0" xfId="0" applyFont="1" applyFill="1"/>
    <xf numFmtId="171" fontId="9" fillId="3" borderId="0" xfId="23" applyNumberFormat="1" applyFont="1" applyFill="1"/>
    <xf numFmtId="0" fontId="9" fillId="4" borderId="0" xfId="0" applyFont="1" applyFill="1"/>
    <xf numFmtId="171" fontId="9" fillId="4" borderId="0" xfId="23" applyNumberFormat="1" applyFont="1" applyFill="1"/>
    <xf numFmtId="10" fontId="9" fillId="3" borderId="0" xfId="12" applyNumberFormat="1" applyFont="1" applyFill="1"/>
    <xf numFmtId="10" fontId="5" fillId="0" borderId="0" xfId="12" applyNumberFormat="1" applyFont="1"/>
    <xf numFmtId="0" fontId="5" fillId="0" borderId="1" xfId="0" applyFont="1" applyBorder="1"/>
    <xf numFmtId="10" fontId="5" fillId="0" borderId="1" xfId="12" applyNumberFormat="1" applyFont="1" applyBorder="1"/>
    <xf numFmtId="171" fontId="9" fillId="4" borderId="0" xfId="23" applyNumberFormat="1" applyFont="1" applyFill="1" applyAlignment="1">
      <alignment horizontal="center"/>
    </xf>
    <xf numFmtId="0" fontId="10" fillId="2" borderId="0" xfId="0" applyFont="1" applyFill="1" applyAlignment="1">
      <alignment horizontal="centerContinuous" vertical="center"/>
    </xf>
    <xf numFmtId="0" fontId="0" fillId="2" borderId="0" xfId="0" applyFill="1" applyAlignment="1">
      <alignment horizontal="centerContinuous"/>
    </xf>
    <xf numFmtId="0" fontId="0" fillId="5" borderId="0" xfId="0" applyFill="1"/>
    <xf numFmtId="0" fontId="0" fillId="5" borderId="0" xfId="0" applyFill="1" applyAlignment="1">
      <alignment horizontal="center"/>
    </xf>
    <xf numFmtId="175" fontId="0" fillId="5" borderId="0" xfId="1" applyNumberFormat="1" applyFont="1" applyFill="1" applyAlignment="1">
      <alignment horizontal="center"/>
    </xf>
    <xf numFmtId="0" fontId="15" fillId="6" borderId="0" xfId="0" applyFont="1" applyFill="1" applyAlignment="1">
      <alignment horizontal="left" vertical="center" wrapText="1" indent="1"/>
    </xf>
    <xf numFmtId="0" fontId="0" fillId="6" borderId="0" xfId="0" applyFill="1" applyAlignment="1">
      <alignment horizontal="center"/>
    </xf>
    <xf numFmtId="175" fontId="0" fillId="6" borderId="0" xfId="1" applyNumberFormat="1" applyFont="1" applyFill="1" applyAlignment="1">
      <alignment horizontal="center"/>
    </xf>
    <xf numFmtId="0" fontId="16" fillId="6" borderId="0" xfId="0" applyFont="1" applyFill="1"/>
    <xf numFmtId="0" fontId="17" fillId="5" borderId="0" xfId="2" applyFont="1" applyFill="1" applyAlignment="1">
      <alignment horizontal="left" indent="2"/>
    </xf>
    <xf numFmtId="3" fontId="16" fillId="5" borderId="0" xfId="0" applyNumberFormat="1" applyFont="1" applyFill="1" applyAlignment="1">
      <alignment horizontal="right"/>
    </xf>
    <xf numFmtId="3" fontId="16" fillId="5" borderId="0" xfId="1" applyNumberFormat="1" applyFont="1" applyFill="1" applyAlignment="1">
      <alignment horizontal="right"/>
    </xf>
    <xf numFmtId="0" fontId="17" fillId="5" borderId="1" xfId="2" applyFont="1" applyFill="1" applyBorder="1" applyAlignment="1">
      <alignment horizontal="left" indent="2"/>
    </xf>
    <xf numFmtId="3" fontId="16" fillId="5" borderId="1" xfId="0" applyNumberFormat="1" applyFont="1" applyFill="1" applyBorder="1" applyAlignment="1">
      <alignment horizontal="right"/>
    </xf>
    <xf numFmtId="3" fontId="16" fillId="5" borderId="1" xfId="1" applyNumberFormat="1" applyFont="1" applyFill="1" applyBorder="1" applyAlignment="1">
      <alignment horizontal="right"/>
    </xf>
    <xf numFmtId="0" fontId="18" fillId="5" borderId="0" xfId="2" applyFont="1" applyFill="1" applyAlignment="1">
      <alignment horizontal="left" indent="1"/>
    </xf>
    <xf numFmtId="3" fontId="19" fillId="5" borderId="0" xfId="0" applyNumberFormat="1" applyFont="1" applyFill="1" applyAlignment="1">
      <alignment horizontal="right"/>
    </xf>
    <xf numFmtId="3" fontId="16" fillId="6" borderId="0" xfId="0" applyNumberFormat="1" applyFont="1" applyFill="1" applyAlignment="1">
      <alignment horizontal="right"/>
    </xf>
    <xf numFmtId="3" fontId="16" fillId="6" borderId="0" xfId="1" applyNumberFormat="1" applyFont="1" applyFill="1" applyAlignment="1">
      <alignment horizontal="right"/>
    </xf>
    <xf numFmtId="0" fontId="15" fillId="7" borderId="0" xfId="0" applyFont="1" applyFill="1" applyAlignment="1">
      <alignment horizontal="left" vertical="center" wrapText="1" indent="1"/>
    </xf>
    <xf numFmtId="3" fontId="16" fillId="7" borderId="0" xfId="0" applyNumberFormat="1" applyFont="1" applyFill="1" applyAlignment="1">
      <alignment horizontal="right"/>
    </xf>
    <xf numFmtId="3" fontId="16" fillId="7" borderId="0" xfId="1" applyNumberFormat="1" applyFont="1" applyFill="1" applyAlignment="1">
      <alignment horizontal="right"/>
    </xf>
    <xf numFmtId="3" fontId="16" fillId="5" borderId="0" xfId="1" applyNumberFormat="1" applyFont="1" applyFill="1" applyBorder="1" applyAlignment="1">
      <alignment horizontal="right"/>
    </xf>
    <xf numFmtId="0" fontId="16" fillId="5" borderId="0" xfId="0" applyFont="1" applyFill="1" applyAlignment="1">
      <alignment horizontal="right"/>
    </xf>
    <xf numFmtId="0" fontId="16" fillId="5" borderId="0" xfId="0" applyFont="1" applyFill="1"/>
    <xf numFmtId="0" fontId="17" fillId="0" borderId="0" xfId="3" applyFont="1" applyAlignment="1">
      <alignment vertical="center"/>
    </xf>
    <xf numFmtId="0" fontId="21" fillId="0" borderId="0" xfId="5" applyFont="1" applyAlignment="1">
      <alignment horizontal="center" vertical="center"/>
    </xf>
    <xf numFmtId="0" fontId="22" fillId="0" borderId="3" xfId="3" applyFont="1" applyBorder="1" applyAlignment="1">
      <alignment horizontal="left"/>
    </xf>
    <xf numFmtId="173" fontId="22" fillId="0" borderId="3" xfId="6" applyNumberFormat="1" applyFont="1" applyFill="1" applyBorder="1" applyAlignment="1">
      <alignment horizontal="center"/>
    </xf>
    <xf numFmtId="177" fontId="22" fillId="0" borderId="3" xfId="7" applyNumberFormat="1" applyFont="1" applyFill="1" applyBorder="1"/>
    <xf numFmtId="175" fontId="22" fillId="0" borderId="3" xfId="3" applyNumberFormat="1" applyFont="1" applyBorder="1"/>
    <xf numFmtId="0" fontId="24" fillId="0" borderId="0" xfId="3" applyFont="1" applyAlignment="1">
      <alignment horizontal="left" indent="1"/>
    </xf>
    <xf numFmtId="178" fontId="25" fillId="8" borderId="0" xfId="3" applyNumberFormat="1" applyFont="1" applyFill="1" applyAlignment="1">
      <alignment horizontal="center" vertical="center"/>
    </xf>
    <xf numFmtId="177" fontId="24" fillId="0" borderId="0" xfId="7" applyNumberFormat="1" applyFont="1" applyFill="1" applyBorder="1"/>
    <xf numFmtId="175" fontId="26" fillId="8" borderId="0" xfId="3" applyNumberFormat="1" applyFont="1" applyFill="1"/>
    <xf numFmtId="178" fontId="25" fillId="8" borderId="0" xfId="3" quotePrefix="1" applyNumberFormat="1" applyFont="1" applyFill="1" applyAlignment="1">
      <alignment horizontal="center" vertical="center"/>
    </xf>
    <xf numFmtId="179" fontId="25" fillId="8" borderId="0" xfId="3" quotePrefix="1" applyNumberFormat="1" applyFont="1" applyFill="1" applyAlignment="1">
      <alignment horizontal="center" vertical="center"/>
    </xf>
    <xf numFmtId="180" fontId="25" fillId="8" borderId="0" xfId="3" quotePrefix="1" applyNumberFormat="1" applyFont="1" applyFill="1" applyAlignment="1">
      <alignment horizontal="center" vertical="center"/>
    </xf>
    <xf numFmtId="181" fontId="25" fillId="8" borderId="0" xfId="3" quotePrefix="1" applyNumberFormat="1" applyFont="1" applyFill="1" applyAlignment="1">
      <alignment horizontal="center" vertical="center"/>
    </xf>
    <xf numFmtId="0" fontId="21" fillId="0" borderId="0" xfId="5" applyFont="1"/>
    <xf numFmtId="0" fontId="29" fillId="0" borderId="0" xfId="3" applyFont="1" applyAlignment="1">
      <alignment horizontal="left" indent="1"/>
    </xf>
    <xf numFmtId="177" fontId="29" fillId="0" borderId="0" xfId="7" applyNumberFormat="1" applyFont="1" applyFill="1" applyBorder="1"/>
    <xf numFmtId="182" fontId="25" fillId="8" borderId="0" xfId="3" quotePrefix="1" applyNumberFormat="1" applyFont="1" applyFill="1" applyAlignment="1">
      <alignment horizontal="center" vertical="center"/>
    </xf>
    <xf numFmtId="179" fontId="25" fillId="8" borderId="0" xfId="3" applyNumberFormat="1" applyFont="1" applyFill="1" applyAlignment="1">
      <alignment horizontal="center" vertical="center"/>
    </xf>
    <xf numFmtId="183" fontId="25" fillId="8" borderId="0" xfId="3" quotePrefix="1" applyNumberFormat="1" applyFont="1" applyFill="1" applyAlignment="1">
      <alignment horizontal="center" vertical="center"/>
    </xf>
    <xf numFmtId="0" fontId="17" fillId="4" borderId="0" xfId="3" applyFont="1" applyFill="1" applyAlignment="1">
      <alignment vertical="center" textRotation="90"/>
    </xf>
    <xf numFmtId="0" fontId="17" fillId="0" borderId="0" xfId="3" applyFont="1" applyAlignment="1">
      <alignment vertical="center" textRotation="90"/>
    </xf>
    <xf numFmtId="0" fontId="20" fillId="0" borderId="0" xfId="8" applyFont="1" applyAlignment="1">
      <alignment horizontal="left" vertical="center"/>
    </xf>
    <xf numFmtId="0" fontId="27" fillId="0" borderId="0" xfId="8" applyFont="1" applyAlignment="1">
      <alignment horizontal="center" vertical="center"/>
    </xf>
    <xf numFmtId="177" fontId="28" fillId="0" borderId="0" xfId="7" applyNumberFormat="1" applyFont="1" applyFill="1" applyBorder="1"/>
    <xf numFmtId="184" fontId="17" fillId="4" borderId="0" xfId="3" quotePrefix="1" applyNumberFormat="1" applyFont="1" applyFill="1" applyAlignment="1">
      <alignment horizontal="center" vertical="center"/>
    </xf>
    <xf numFmtId="181" fontId="17" fillId="4" borderId="0" xfId="3" quotePrefix="1" applyNumberFormat="1" applyFont="1" applyFill="1" applyAlignment="1">
      <alignment horizontal="center" vertical="center"/>
    </xf>
    <xf numFmtId="179" fontId="17" fillId="4" borderId="0" xfId="3" applyNumberFormat="1" applyFont="1" applyFill="1" applyAlignment="1">
      <alignment horizontal="center" vertical="center"/>
    </xf>
    <xf numFmtId="0" fontId="17" fillId="4" borderId="0" xfId="3" applyFont="1" applyFill="1" applyAlignment="1">
      <alignment vertical="center" textRotation="90" wrapText="1"/>
    </xf>
    <xf numFmtId="0" fontId="17" fillId="0" borderId="0" xfId="3" applyFont="1" applyAlignment="1">
      <alignment vertical="center" textRotation="90" wrapText="1"/>
    </xf>
    <xf numFmtId="0" fontId="17" fillId="0" borderId="0" xfId="3" applyFont="1" applyAlignment="1">
      <alignment horizontal="center" vertical="center" textRotation="90"/>
    </xf>
    <xf numFmtId="184" fontId="25" fillId="8" borderId="0" xfId="3" quotePrefix="1" applyNumberFormat="1" applyFont="1" applyFill="1" applyAlignment="1">
      <alignment horizontal="center" vertical="center"/>
    </xf>
    <xf numFmtId="185" fontId="25" fillId="8" borderId="0" xfId="3" quotePrefix="1" applyNumberFormat="1" applyFont="1" applyFill="1" applyAlignment="1">
      <alignment horizontal="center" vertical="center"/>
    </xf>
    <xf numFmtId="0" fontId="30" fillId="0" borderId="0" xfId="3" applyFont="1" applyAlignment="1">
      <alignment vertical="center" textRotation="90" wrapText="1"/>
    </xf>
    <xf numFmtId="0" fontId="24" fillId="5" borderId="0" xfId="3" applyFont="1" applyFill="1" applyAlignment="1">
      <alignment horizontal="left" indent="1"/>
    </xf>
    <xf numFmtId="173" fontId="17" fillId="4" borderId="4" xfId="6" quotePrefix="1" applyNumberFormat="1" applyFont="1" applyFill="1" applyBorder="1" applyAlignment="1">
      <alignment horizontal="center"/>
    </xf>
    <xf numFmtId="179" fontId="17" fillId="4" borderId="0" xfId="3" quotePrefix="1" applyNumberFormat="1" applyFont="1" applyFill="1" applyAlignment="1">
      <alignment horizontal="center" vertical="center"/>
    </xf>
    <xf numFmtId="2" fontId="25" fillId="8" borderId="0" xfId="3" quotePrefix="1" applyNumberFormat="1" applyFont="1" applyFill="1" applyAlignment="1">
      <alignment horizontal="center" vertical="center"/>
    </xf>
    <xf numFmtId="0" fontId="31" fillId="0" borderId="0" xfId="3" applyFont="1"/>
    <xf numFmtId="0" fontId="17" fillId="0" borderId="0" xfId="3" applyFont="1" applyAlignment="1">
      <alignment horizontal="justify" vertical="center"/>
    </xf>
    <xf numFmtId="0" fontId="17" fillId="0" borderId="0" xfId="2" applyFont="1" applyAlignment="1">
      <alignment vertical="center" textRotation="90"/>
    </xf>
    <xf numFmtId="175" fontId="32" fillId="0" borderId="0" xfId="7" applyNumberFormat="1" applyFont="1" applyFill="1" applyBorder="1" applyAlignment="1">
      <alignment horizontal="right" vertical="center"/>
    </xf>
    <xf numFmtId="0" fontId="18" fillId="0" borderId="0" xfId="3" applyFont="1" applyAlignment="1">
      <alignment horizontal="center" vertical="center" textRotation="90"/>
    </xf>
    <xf numFmtId="177" fontId="0" fillId="5" borderId="0" xfId="0" applyNumberFormat="1" applyFill="1"/>
    <xf numFmtId="177" fontId="0" fillId="0" borderId="0" xfId="0" applyNumberFormat="1"/>
    <xf numFmtId="0" fontId="2" fillId="0" borderId="0" xfId="0" applyFont="1"/>
    <xf numFmtId="0" fontId="16" fillId="0" borderId="0" xfId="0" applyFont="1"/>
    <xf numFmtId="0" fontId="16" fillId="0" borderId="1" xfId="0" applyFont="1" applyBorder="1"/>
    <xf numFmtId="0" fontId="12" fillId="2" borderId="0" xfId="2" applyFont="1" applyFill="1" applyAlignment="1">
      <alignment vertical="center"/>
    </xf>
    <xf numFmtId="0" fontId="13" fillId="2" borderId="0" xfId="1" applyNumberFormat="1" applyFont="1" applyFill="1" applyBorder="1" applyAlignment="1">
      <alignment horizontal="center"/>
    </xf>
    <xf numFmtId="175" fontId="13" fillId="2" borderId="0" xfId="1" applyNumberFormat="1" applyFont="1" applyFill="1" applyBorder="1" applyAlignment="1">
      <alignment horizontal="center"/>
    </xf>
    <xf numFmtId="175" fontId="14" fillId="9" borderId="0" xfId="1" applyNumberFormat="1" applyFont="1" applyFill="1" applyBorder="1" applyAlignment="1">
      <alignment horizontal="center"/>
    </xf>
    <xf numFmtId="176" fontId="14" fillId="9" borderId="0" xfId="1" applyNumberFormat="1" applyFont="1" applyFill="1" applyBorder="1" applyAlignment="1">
      <alignment horizontal="right"/>
    </xf>
    <xf numFmtId="0" fontId="15" fillId="0" borderId="0" xfId="0" applyFont="1" applyAlignment="1">
      <alignment horizontal="left" vertical="center" wrapText="1" indent="1"/>
    </xf>
    <xf numFmtId="0" fontId="17" fillId="0" borderId="0" xfId="14" applyFont="1"/>
    <xf numFmtId="0" fontId="18" fillId="5" borderId="9" xfId="14" applyFont="1" applyFill="1" applyBorder="1"/>
    <xf numFmtId="177" fontId="18" fillId="5" borderId="9" xfId="15" applyNumberFormat="1" applyFont="1" applyFill="1" applyBorder="1" applyAlignment="1">
      <alignment horizontal="right" vertical="center"/>
    </xf>
    <xf numFmtId="0" fontId="17" fillId="5" borderId="0" xfId="14" applyFont="1" applyFill="1"/>
    <xf numFmtId="177" fontId="17" fillId="5" borderId="0" xfId="14" applyNumberFormat="1" applyFont="1" applyFill="1"/>
    <xf numFmtId="0" fontId="17" fillId="5" borderId="10" xfId="14" applyFont="1" applyFill="1" applyBorder="1"/>
    <xf numFmtId="0" fontId="18" fillId="5" borderId="11" xfId="14" applyFont="1" applyFill="1" applyBorder="1"/>
    <xf numFmtId="177" fontId="18" fillId="5" borderId="11" xfId="15" applyNumberFormat="1" applyFont="1" applyFill="1" applyBorder="1" applyAlignment="1">
      <alignment horizontal="right" vertical="center"/>
    </xf>
    <xf numFmtId="177" fontId="17" fillId="0" borderId="0" xfId="14" applyNumberFormat="1" applyFont="1"/>
    <xf numFmtId="0" fontId="18" fillId="5" borderId="10" xfId="14" applyFont="1" applyFill="1" applyBorder="1"/>
    <xf numFmtId="177" fontId="18" fillId="0" borderId="0" xfId="14" applyNumberFormat="1" applyFont="1"/>
    <xf numFmtId="0" fontId="18" fillId="5" borderId="11" xfId="14" applyFont="1" applyFill="1" applyBorder="1" applyAlignment="1">
      <alignment horizontal="left"/>
    </xf>
    <xf numFmtId="0" fontId="17" fillId="5" borderId="11" xfId="14" applyFont="1" applyFill="1" applyBorder="1"/>
    <xf numFmtId="177" fontId="17" fillId="5" borderId="10" xfId="16" applyNumberFormat="1" applyFont="1" applyFill="1" applyBorder="1" applyAlignment="1">
      <alignment horizontal="right" vertical="center"/>
    </xf>
    <xf numFmtId="177" fontId="18" fillId="5" borderId="10" xfId="16" applyNumberFormat="1" applyFont="1" applyFill="1" applyBorder="1" applyAlignment="1">
      <alignment horizontal="right" vertical="center"/>
    </xf>
    <xf numFmtId="177" fontId="25" fillId="10" borderId="0" xfId="14" applyNumberFormat="1" applyFont="1" applyFill="1"/>
    <xf numFmtId="177" fontId="22" fillId="10" borderId="11" xfId="15" applyNumberFormat="1" applyFont="1" applyFill="1" applyBorder="1" applyAlignment="1">
      <alignment horizontal="right" vertical="center"/>
    </xf>
    <xf numFmtId="187" fontId="22" fillId="10" borderId="11" xfId="15" applyNumberFormat="1" applyFont="1" applyFill="1" applyBorder="1" applyAlignment="1">
      <alignment horizontal="right" vertical="center"/>
    </xf>
    <xf numFmtId="187" fontId="25" fillId="10" borderId="0" xfId="14" applyNumberFormat="1" applyFont="1" applyFill="1"/>
    <xf numFmtId="187" fontId="25" fillId="0" borderId="0" xfId="14" applyNumberFormat="1" applyFont="1"/>
    <xf numFmtId="177" fontId="18" fillId="0" borderId="11" xfId="15" applyNumberFormat="1" applyFont="1" applyFill="1" applyBorder="1" applyAlignment="1">
      <alignment horizontal="right" vertical="center"/>
    </xf>
    <xf numFmtId="177" fontId="25" fillId="0" borderId="0" xfId="14" applyNumberFormat="1" applyFont="1"/>
    <xf numFmtId="0" fontId="19" fillId="0" borderId="0" xfId="0" applyFont="1"/>
    <xf numFmtId="0" fontId="41" fillId="3" borderId="0" xfId="14" applyFont="1" applyFill="1"/>
    <xf numFmtId="3" fontId="19" fillId="3" borderId="0" xfId="0" applyNumberFormat="1" applyFont="1" applyFill="1"/>
    <xf numFmtId="0" fontId="42" fillId="0" borderId="0" xfId="14" applyFont="1" applyAlignment="1">
      <alignment horizontal="left" indent="1"/>
    </xf>
    <xf numFmtId="3" fontId="16" fillId="0" borderId="0" xfId="0" applyNumberFormat="1" applyFont="1"/>
    <xf numFmtId="0" fontId="41" fillId="0" borderId="0" xfId="14" applyFont="1"/>
    <xf numFmtId="3" fontId="19" fillId="0" borderId="0" xfId="0" applyNumberFormat="1" applyFont="1"/>
    <xf numFmtId="0" fontId="42" fillId="0" borderId="0" xfId="2" applyFont="1" applyAlignment="1">
      <alignment horizontal="left" vertical="center" indent="1"/>
    </xf>
    <xf numFmtId="0" fontId="42" fillId="0" borderId="0" xfId="14" applyFont="1" applyAlignment="1">
      <alignment horizontal="left"/>
    </xf>
    <xf numFmtId="177" fontId="42" fillId="0" borderId="0" xfId="15" applyNumberFormat="1" applyFont="1" applyFill="1" applyBorder="1" applyAlignment="1">
      <alignment horizontal="left" indent="1"/>
    </xf>
    <xf numFmtId="0" fontId="39" fillId="0" borderId="0" xfId="0" applyFont="1"/>
    <xf numFmtId="0" fontId="39" fillId="6" borderId="0" xfId="0" applyFont="1" applyFill="1"/>
    <xf numFmtId="0" fontId="6" fillId="0" borderId="0" xfId="0" applyFont="1"/>
    <xf numFmtId="0" fontId="18" fillId="5" borderId="9" xfId="0" applyFont="1" applyFill="1" applyBorder="1"/>
    <xf numFmtId="0" fontId="18" fillId="0" borderId="0" xfId="0" applyFont="1"/>
    <xf numFmtId="177" fontId="18" fillId="5" borderId="9" xfId="17" applyNumberFormat="1" applyFont="1" applyFill="1" applyBorder="1" applyAlignment="1">
      <alignment horizontal="right"/>
    </xf>
    <xf numFmtId="177" fontId="9" fillId="5" borderId="9" xfId="17" applyNumberFormat="1" applyFont="1" applyFill="1" applyBorder="1" applyAlignment="1">
      <alignment horizontal="right"/>
    </xf>
    <xf numFmtId="0" fontId="17" fillId="5" borderId="0" xfId="0" applyFont="1" applyFill="1"/>
    <xf numFmtId="0" fontId="17" fillId="0" borderId="0" xfId="0" applyFont="1"/>
    <xf numFmtId="175" fontId="5" fillId="5" borderId="0" xfId="1" applyNumberFormat="1" applyFont="1" applyFill="1"/>
    <xf numFmtId="0" fontId="17" fillId="5" borderId="10" xfId="0" applyFont="1" applyFill="1" applyBorder="1"/>
    <xf numFmtId="0" fontId="18" fillId="5" borderId="11" xfId="0" applyFont="1" applyFill="1" applyBorder="1"/>
    <xf numFmtId="177" fontId="18" fillId="5" borderId="11" xfId="17" applyNumberFormat="1" applyFont="1" applyFill="1" applyBorder="1" applyAlignment="1">
      <alignment horizontal="right"/>
    </xf>
    <xf numFmtId="177" fontId="9" fillId="5" borderId="11" xfId="17" applyNumberFormat="1" applyFont="1" applyFill="1" applyBorder="1" applyAlignment="1">
      <alignment horizontal="right"/>
    </xf>
    <xf numFmtId="177" fontId="18" fillId="5" borderId="0" xfId="17" applyNumberFormat="1" applyFont="1" applyFill="1" applyBorder="1" applyAlignment="1">
      <alignment horizontal="right"/>
    </xf>
    <xf numFmtId="177" fontId="17" fillId="5" borderId="0" xfId="0" applyNumberFormat="1" applyFont="1" applyFill="1"/>
    <xf numFmtId="49" fontId="17" fillId="5" borderId="0" xfId="0" applyNumberFormat="1" applyFont="1" applyFill="1"/>
    <xf numFmtId="49" fontId="17" fillId="0" borderId="0" xfId="0" applyNumberFormat="1" applyFont="1"/>
    <xf numFmtId="175" fontId="5" fillId="0" borderId="0" xfId="1" applyNumberFormat="1" applyFont="1" applyFill="1"/>
    <xf numFmtId="0" fontId="17" fillId="0" borderId="0" xfId="3" applyFont="1"/>
    <xf numFmtId="0" fontId="18" fillId="5" borderId="12" xfId="0" applyFont="1" applyFill="1" applyBorder="1"/>
    <xf numFmtId="0" fontId="5" fillId="5" borderId="0" xfId="0" applyFont="1" applyFill="1"/>
    <xf numFmtId="177" fontId="5" fillId="5" borderId="0" xfId="0" applyNumberFormat="1" applyFont="1" applyFill="1"/>
    <xf numFmtId="177" fontId="17" fillId="5" borderId="0" xfId="1" applyNumberFormat="1" applyFont="1" applyFill="1" applyAlignment="1">
      <alignment horizontal="right"/>
    </xf>
    <xf numFmtId="177" fontId="25" fillId="10" borderId="0" xfId="1" applyNumberFormat="1" applyFont="1" applyFill="1" applyBorder="1" applyAlignment="1">
      <alignment horizontal="right"/>
    </xf>
    <xf numFmtId="177" fontId="25" fillId="5" borderId="0" xfId="1" applyNumberFormat="1" applyFont="1" applyFill="1" applyBorder="1" applyAlignment="1">
      <alignment horizontal="right"/>
    </xf>
    <xf numFmtId="177" fontId="25" fillId="5" borderId="0" xfId="1" applyNumberFormat="1" applyFont="1" applyFill="1" applyAlignment="1">
      <alignment horizontal="right"/>
    </xf>
    <xf numFmtId="177" fontId="5" fillId="5" borderId="0" xfId="1" applyNumberFormat="1" applyFont="1" applyFill="1" applyAlignment="1" applyProtection="1">
      <alignment horizontal="right"/>
      <protection locked="0"/>
    </xf>
    <xf numFmtId="177" fontId="24" fillId="10" borderId="0" xfId="1" applyNumberFormat="1" applyFont="1" applyFill="1" applyBorder="1" applyAlignment="1" applyProtection="1">
      <alignment horizontal="right"/>
      <protection locked="0"/>
    </xf>
    <xf numFmtId="177" fontId="24" fillId="5" borderId="0" xfId="1" applyNumberFormat="1" applyFont="1" applyFill="1" applyBorder="1" applyAlignment="1" applyProtection="1">
      <alignment horizontal="right"/>
      <protection locked="0"/>
    </xf>
    <xf numFmtId="177" fontId="24" fillId="5" borderId="0" xfId="1" applyNumberFormat="1" applyFont="1" applyFill="1" applyAlignment="1" applyProtection="1">
      <alignment horizontal="right"/>
      <protection locked="0"/>
    </xf>
    <xf numFmtId="177" fontId="22" fillId="10" borderId="11" xfId="17" applyNumberFormat="1" applyFont="1" applyFill="1" applyBorder="1" applyAlignment="1">
      <alignment horizontal="right"/>
    </xf>
    <xf numFmtId="177" fontId="25" fillId="10" borderId="0" xfId="0" applyNumberFormat="1" applyFont="1" applyFill="1"/>
    <xf numFmtId="177" fontId="17" fillId="5" borderId="0" xfId="17" applyNumberFormat="1" applyFont="1" applyFill="1" applyBorder="1" applyAlignment="1">
      <alignment horizontal="right"/>
    </xf>
    <xf numFmtId="177" fontId="17" fillId="5" borderId="0" xfId="17" applyNumberFormat="1" applyFont="1" applyFill="1" applyAlignment="1">
      <alignment horizontal="right"/>
    </xf>
    <xf numFmtId="177" fontId="5" fillId="5" borderId="0" xfId="1" applyNumberFormat="1" applyFont="1" applyFill="1" applyAlignment="1">
      <alignment horizontal="right"/>
    </xf>
    <xf numFmtId="177" fontId="24" fillId="10" borderId="0" xfId="1" applyNumberFormat="1" applyFont="1" applyFill="1" applyBorder="1" applyAlignment="1">
      <alignment horizontal="right"/>
    </xf>
    <xf numFmtId="177" fontId="24" fillId="5" borderId="0" xfId="1" applyNumberFormat="1" applyFont="1" applyFill="1" applyBorder="1" applyAlignment="1">
      <alignment horizontal="right"/>
    </xf>
    <xf numFmtId="177" fontId="24" fillId="5" borderId="0" xfId="1" applyNumberFormat="1" applyFont="1" applyFill="1" applyAlignment="1">
      <alignment horizontal="right"/>
    </xf>
    <xf numFmtId="177" fontId="32" fillId="5" borderId="0" xfId="1" applyNumberFormat="1" applyFont="1" applyFill="1" applyBorder="1" applyAlignment="1">
      <alignment horizontal="right"/>
    </xf>
    <xf numFmtId="177" fontId="32" fillId="5" borderId="0" xfId="1" applyNumberFormat="1" applyFont="1" applyFill="1" applyAlignment="1">
      <alignment horizontal="right"/>
    </xf>
    <xf numFmtId="177" fontId="18" fillId="5" borderId="12" xfId="17" applyNumberFormat="1" applyFont="1" applyFill="1" applyBorder="1" applyAlignment="1">
      <alignment horizontal="right"/>
    </xf>
    <xf numFmtId="177" fontId="22" fillId="10" borderId="12" xfId="17" applyNumberFormat="1" applyFont="1" applyFill="1" applyBorder="1" applyAlignment="1">
      <alignment horizontal="right"/>
    </xf>
    <xf numFmtId="177" fontId="22" fillId="5" borderId="12" xfId="17" applyNumberFormat="1" applyFont="1" applyFill="1" applyBorder="1" applyAlignment="1">
      <alignment horizontal="right"/>
    </xf>
    <xf numFmtId="177" fontId="16" fillId="5" borderId="0" xfId="0" applyNumberFormat="1" applyFont="1" applyFill="1"/>
    <xf numFmtId="0" fontId="13" fillId="5" borderId="0" xfId="0" applyFont="1" applyFill="1"/>
    <xf numFmtId="0" fontId="43" fillId="6" borderId="0" xfId="0" applyFont="1" applyFill="1" applyAlignment="1">
      <alignment horizontal="left" vertical="center" wrapText="1" indent="1"/>
    </xf>
    <xf numFmtId="0" fontId="44" fillId="6" borderId="0" xfId="0" applyFont="1" applyFill="1"/>
    <xf numFmtId="0" fontId="42" fillId="5" borderId="0" xfId="0" applyFont="1" applyFill="1" applyAlignment="1">
      <alignment horizontal="left" indent="1"/>
    </xf>
    <xf numFmtId="175" fontId="42" fillId="5" borderId="0" xfId="1" applyNumberFormat="1" applyFont="1" applyFill="1" applyAlignment="1">
      <alignment horizontal="left" indent="1"/>
    </xf>
    <xf numFmtId="0" fontId="41" fillId="5" borderId="11" xfId="0" applyFont="1" applyFill="1" applyBorder="1"/>
    <xf numFmtId="175" fontId="41" fillId="5" borderId="11" xfId="1" applyNumberFormat="1" applyFont="1" applyFill="1" applyBorder="1"/>
    <xf numFmtId="0" fontId="42" fillId="5" borderId="11" xfId="0" applyFont="1" applyFill="1" applyBorder="1"/>
    <xf numFmtId="175" fontId="42" fillId="5" borderId="11" xfId="1" applyNumberFormat="1" applyFont="1" applyFill="1" applyBorder="1"/>
    <xf numFmtId="177" fontId="42" fillId="5" borderId="12" xfId="1" applyNumberFormat="1" applyFont="1" applyFill="1" applyBorder="1" applyAlignment="1">
      <alignment horizontal="right" vertical="center"/>
    </xf>
    <xf numFmtId="0" fontId="41" fillId="0" borderId="11" xfId="0" applyFont="1" applyBorder="1"/>
    <xf numFmtId="0" fontId="42" fillId="5" borderId="0" xfId="0" applyFont="1" applyFill="1"/>
    <xf numFmtId="175" fontId="16" fillId="5" borderId="0" xfId="1" applyNumberFormat="1" applyFont="1" applyFill="1"/>
    <xf numFmtId="175" fontId="41" fillId="5" borderId="11" xfId="0" applyNumberFormat="1" applyFont="1" applyFill="1" applyBorder="1"/>
    <xf numFmtId="3" fontId="42" fillId="5" borderId="11" xfId="0" applyNumberFormat="1" applyFont="1" applyFill="1" applyBorder="1"/>
    <xf numFmtId="0" fontId="41" fillId="0" borderId="0" xfId="0" applyFont="1"/>
    <xf numFmtId="175" fontId="41" fillId="5" borderId="0" xfId="0" applyNumberFormat="1" applyFont="1" applyFill="1"/>
    <xf numFmtId="177" fontId="41" fillId="5" borderId="11" xfId="1" applyNumberFormat="1" applyFont="1" applyFill="1" applyBorder="1" applyAlignment="1">
      <alignment horizontal="right"/>
    </xf>
    <xf numFmtId="0" fontId="42" fillId="0" borderId="0" xfId="0" applyFont="1"/>
    <xf numFmtId="0" fontId="41" fillId="5" borderId="0" xfId="0" applyFont="1" applyFill="1"/>
    <xf numFmtId="177" fontId="41" fillId="5" borderId="0" xfId="1" applyNumberFormat="1" applyFont="1" applyFill="1" applyBorder="1" applyAlignment="1">
      <alignment horizontal="right"/>
    </xf>
    <xf numFmtId="0" fontId="42" fillId="5" borderId="0" xfId="18" applyFont="1" applyFill="1" applyAlignment="1">
      <alignment horizontal="left"/>
    </xf>
    <xf numFmtId="177" fontId="42" fillId="5" borderId="0" xfId="1" applyNumberFormat="1" applyFont="1" applyFill="1" applyAlignment="1">
      <alignment horizontal="right" vertical="center"/>
    </xf>
    <xf numFmtId="0" fontId="42" fillId="0" borderId="0" xfId="18" applyFont="1" applyAlignment="1">
      <alignment horizontal="left"/>
    </xf>
    <xf numFmtId="0" fontId="41" fillId="5" borderId="13" xfId="18" applyFont="1" applyFill="1" applyBorder="1" applyAlignment="1">
      <alignment horizontal="left"/>
    </xf>
    <xf numFmtId="177" fontId="41" fillId="5" borderId="13" xfId="1" applyNumberFormat="1" applyFont="1" applyFill="1" applyBorder="1" applyAlignment="1">
      <alignment horizontal="right" vertical="center"/>
    </xf>
    <xf numFmtId="175" fontId="42" fillId="5" borderId="0" xfId="1" applyNumberFormat="1" applyFont="1" applyFill="1" applyBorder="1" applyAlignment="1">
      <alignment horizontal="right"/>
    </xf>
    <xf numFmtId="0" fontId="42" fillId="0" borderId="1" xfId="3" applyFont="1" applyBorder="1"/>
    <xf numFmtId="177" fontId="42" fillId="5" borderId="1" xfId="1" applyNumberFormat="1" applyFont="1" applyFill="1" applyBorder="1" applyAlignment="1">
      <alignment horizontal="right"/>
    </xf>
    <xf numFmtId="175" fontId="42" fillId="5" borderId="1" xfId="1" applyNumberFormat="1" applyFont="1" applyFill="1" applyBorder="1" applyAlignment="1">
      <alignment horizontal="right"/>
    </xf>
    <xf numFmtId="175" fontId="42" fillId="5" borderId="0" xfId="1" applyNumberFormat="1" applyFont="1" applyFill="1" applyAlignment="1">
      <alignment horizontal="right" vertical="center"/>
    </xf>
    <xf numFmtId="0" fontId="42" fillId="5" borderId="1" xfId="0" applyFont="1" applyFill="1" applyBorder="1"/>
    <xf numFmtId="177" fontId="42" fillId="5" borderId="1" xfId="1" applyNumberFormat="1" applyFont="1" applyFill="1" applyBorder="1" applyAlignment="1">
      <alignment horizontal="right" vertical="center"/>
    </xf>
    <xf numFmtId="175" fontId="42" fillId="5" borderId="1" xfId="1" applyNumberFormat="1" applyFont="1" applyFill="1" applyBorder="1" applyAlignment="1">
      <alignment horizontal="right" vertical="center"/>
    </xf>
    <xf numFmtId="175" fontId="16" fillId="5" borderId="1" xfId="1" applyNumberFormat="1" applyFont="1" applyFill="1" applyBorder="1"/>
    <xf numFmtId="173" fontId="16" fillId="5" borderId="0" xfId="12" applyNumberFormat="1" applyFont="1" applyFill="1"/>
    <xf numFmtId="10" fontId="16" fillId="5" borderId="0" xfId="12" applyNumberFormat="1" applyFont="1" applyFill="1"/>
    <xf numFmtId="0" fontId="17" fillId="0" borderId="0" xfId="18" applyFont="1" applyAlignment="1">
      <alignment horizontal="left"/>
    </xf>
    <xf numFmtId="175" fontId="42" fillId="5" borderId="0" xfId="0" applyNumberFormat="1" applyFont="1" applyFill="1"/>
    <xf numFmtId="177" fontId="41" fillId="0" borderId="13" xfId="1" applyNumberFormat="1" applyFont="1" applyFill="1" applyBorder="1" applyAlignment="1">
      <alignment horizontal="right" vertical="center"/>
    </xf>
    <xf numFmtId="3" fontId="16" fillId="5" borderId="0" xfId="0" applyNumberFormat="1" applyFont="1" applyFill="1"/>
    <xf numFmtId="3" fontId="16" fillId="5" borderId="1" xfId="0" applyNumberFormat="1" applyFont="1" applyFill="1" applyBorder="1"/>
    <xf numFmtId="173" fontId="0" fillId="5" borderId="0" xfId="12" applyNumberFormat="1" applyFont="1" applyFill="1"/>
    <xf numFmtId="173" fontId="0" fillId="5" borderId="0" xfId="0" applyNumberFormat="1" applyFill="1"/>
    <xf numFmtId="173" fontId="0" fillId="5" borderId="0" xfId="12" applyNumberFormat="1" applyFont="1" applyFill="1" applyAlignment="1"/>
    <xf numFmtId="0" fontId="45" fillId="0" borderId="0" xfId="0" applyFont="1" applyAlignment="1">
      <alignment vertical="center"/>
    </xf>
    <xf numFmtId="173" fontId="0" fillId="5" borderId="0" xfId="12" applyNumberFormat="1" applyFont="1" applyFill="1" applyBorder="1"/>
    <xf numFmtId="171" fontId="0" fillId="5" borderId="0" xfId="1" applyNumberFormat="1" applyFont="1" applyFill="1"/>
    <xf numFmtId="0" fontId="0" fillId="3" borderId="0" xfId="0" applyFill="1"/>
    <xf numFmtId="171" fontId="0" fillId="3" borderId="0" xfId="1" applyNumberFormat="1" applyFont="1" applyFill="1"/>
    <xf numFmtId="0" fontId="47" fillId="5" borderId="0" xfId="3" applyFont="1" applyFill="1" applyAlignment="1">
      <alignment horizontal="left" vertical="center"/>
    </xf>
    <xf numFmtId="0" fontId="48" fillId="5" borderId="0" xfId="0" applyFont="1" applyFill="1" applyAlignment="1">
      <alignment horizontal="center" vertical="center"/>
    </xf>
    <xf numFmtId="0" fontId="48" fillId="5" borderId="0" xfId="0" applyFont="1" applyFill="1" applyAlignment="1">
      <alignment vertical="center"/>
    </xf>
    <xf numFmtId="177" fontId="48" fillId="5" borderId="0" xfId="1" applyNumberFormat="1" applyFont="1" applyFill="1" applyAlignment="1">
      <alignment vertical="center"/>
    </xf>
    <xf numFmtId="177" fontId="51" fillId="10" borderId="0" xfId="23" applyNumberFormat="1" applyFont="1" applyFill="1" applyBorder="1" applyAlignment="1">
      <alignment vertical="center"/>
    </xf>
    <xf numFmtId="0" fontId="52" fillId="5" borderId="11" xfId="0" applyFont="1" applyFill="1" applyBorder="1" applyAlignment="1">
      <alignment vertical="center"/>
    </xf>
    <xf numFmtId="177" fontId="53" fillId="10" borderId="11" xfId="1" applyNumberFormat="1" applyFont="1" applyFill="1" applyBorder="1" applyAlignment="1">
      <alignment horizontal="center"/>
    </xf>
    <xf numFmtId="177" fontId="51" fillId="10" borderId="0" xfId="1" applyNumberFormat="1" applyFont="1" applyFill="1" applyBorder="1" applyAlignment="1">
      <alignment horizontal="center" vertical="center"/>
    </xf>
    <xf numFmtId="0" fontId="51" fillId="10" borderId="0" xfId="0" applyFont="1" applyFill="1" applyAlignment="1">
      <alignment horizontal="center" vertical="center"/>
    </xf>
    <xf numFmtId="0" fontId="51" fillId="10" borderId="0" xfId="0" applyFont="1" applyFill="1" applyAlignment="1">
      <alignment vertical="center"/>
    </xf>
    <xf numFmtId="0" fontId="54" fillId="10" borderId="0" xfId="0" applyFont="1" applyFill="1"/>
    <xf numFmtId="177" fontId="51" fillId="10" borderId="0" xfId="1" applyNumberFormat="1" applyFont="1" applyFill="1" applyBorder="1" applyAlignment="1">
      <alignment vertical="center"/>
    </xf>
    <xf numFmtId="9" fontId="51" fillId="10" borderId="0" xfId="12" applyFont="1" applyFill="1" applyBorder="1" applyAlignment="1">
      <alignment horizontal="right" vertical="center"/>
    </xf>
    <xf numFmtId="9" fontId="51" fillId="10" borderId="0" xfId="12" applyFont="1" applyFill="1" applyBorder="1" applyAlignment="1">
      <alignment vertical="center"/>
    </xf>
    <xf numFmtId="9" fontId="53" fillId="10" borderId="11" xfId="12" applyFont="1" applyFill="1" applyBorder="1" applyAlignment="1">
      <alignment horizontal="center"/>
    </xf>
    <xf numFmtId="10" fontId="51" fillId="10" borderId="0" xfId="12" applyNumberFormat="1" applyFont="1" applyFill="1" applyBorder="1" applyAlignment="1">
      <alignment horizontal="right" vertical="center"/>
    </xf>
    <xf numFmtId="173" fontId="51" fillId="10" borderId="0" xfId="12" applyNumberFormat="1" applyFont="1" applyFill="1" applyBorder="1" applyAlignment="1">
      <alignment horizontal="right" vertical="center" indent="1"/>
    </xf>
    <xf numFmtId="10" fontId="51" fillId="10" borderId="0" xfId="12" applyNumberFormat="1" applyFont="1" applyFill="1" applyBorder="1" applyAlignment="1">
      <alignment vertical="center"/>
    </xf>
    <xf numFmtId="10" fontId="53" fillId="10" borderId="11" xfId="12" applyNumberFormat="1" applyFont="1" applyFill="1" applyBorder="1" applyAlignment="1">
      <alignment horizontal="center"/>
    </xf>
    <xf numFmtId="173" fontId="53" fillId="10" borderId="11" xfId="12" applyNumberFormat="1" applyFont="1" applyFill="1" applyBorder="1" applyAlignment="1">
      <alignment horizontal="right" indent="1"/>
    </xf>
    <xf numFmtId="3" fontId="0" fillId="0" borderId="0" xfId="0" applyNumberFormat="1"/>
    <xf numFmtId="0" fontId="48" fillId="11" borderId="0" xfId="5" applyFont="1" applyFill="1"/>
    <xf numFmtId="3" fontId="48" fillId="11" borderId="0" xfId="5" applyNumberFormat="1" applyFont="1" applyFill="1"/>
    <xf numFmtId="0" fontId="52" fillId="3" borderId="0" xfId="5" applyFont="1" applyFill="1"/>
    <xf numFmtId="3" fontId="52" fillId="3" borderId="0" xfId="5" applyNumberFormat="1" applyFont="1" applyFill="1" applyAlignment="1">
      <alignment horizontal="right"/>
    </xf>
    <xf numFmtId="0" fontId="48" fillId="11" borderId="0" xfId="5" applyFont="1" applyFill="1" applyAlignment="1">
      <alignment horizontal="left" indent="1"/>
    </xf>
    <xf numFmtId="3" fontId="48" fillId="11" borderId="0" xfId="5" applyNumberFormat="1" applyFont="1" applyFill="1" applyAlignment="1">
      <alignment horizontal="right"/>
    </xf>
    <xf numFmtId="0" fontId="52" fillId="0" borderId="0" xfId="5" applyFont="1"/>
    <xf numFmtId="3" fontId="2" fillId="0" borderId="0" xfId="0" applyNumberFormat="1" applyFont="1"/>
    <xf numFmtId="0" fontId="2" fillId="3" borderId="0" xfId="0" applyFont="1" applyFill="1"/>
    <xf numFmtId="3" fontId="2" fillId="3" borderId="0" xfId="0" applyNumberFormat="1" applyFont="1" applyFill="1"/>
    <xf numFmtId="0" fontId="16" fillId="0" borderId="0" xfId="0" applyFont="1" applyAlignment="1">
      <alignment horizontal="center"/>
    </xf>
    <xf numFmtId="0" fontId="19" fillId="10" borderId="0" xfId="7" applyNumberFormat="1" applyFont="1" applyFill="1" applyBorder="1" applyAlignment="1">
      <alignment horizontal="center" vertical="center"/>
    </xf>
    <xf numFmtId="0" fontId="19" fillId="12" borderId="0" xfId="7" applyNumberFormat="1" applyFont="1" applyFill="1" applyBorder="1" applyAlignment="1">
      <alignment horizontal="left"/>
    </xf>
    <xf numFmtId="177" fontId="19" fillId="12" borderId="0" xfId="7" applyNumberFormat="1" applyFont="1" applyFill="1" applyBorder="1" applyAlignment="1">
      <alignment horizontal="left"/>
    </xf>
    <xf numFmtId="177" fontId="16" fillId="10" borderId="0" xfId="7" applyNumberFormat="1" applyFont="1" applyFill="1" applyBorder="1" applyAlignment="1">
      <alignment horizontal="right" vertical="center"/>
    </xf>
    <xf numFmtId="177" fontId="19" fillId="12" borderId="0" xfId="7" applyNumberFormat="1" applyFont="1" applyFill="1" applyBorder="1" applyAlignment="1">
      <alignment horizontal="center"/>
    </xf>
    <xf numFmtId="0" fontId="16" fillId="10" borderId="0" xfId="3" applyFont="1" applyFill="1"/>
    <xf numFmtId="177" fontId="16" fillId="10" borderId="0" xfId="7" applyNumberFormat="1" applyFont="1" applyFill="1" applyBorder="1"/>
    <xf numFmtId="177" fontId="16" fillId="10" borderId="0" xfId="7" applyNumberFormat="1" applyFont="1" applyFill="1" applyBorder="1" applyAlignment="1">
      <alignment horizontal="center"/>
    </xf>
    <xf numFmtId="0" fontId="19" fillId="10" borderId="0" xfId="7" applyNumberFormat="1" applyFont="1" applyFill="1" applyBorder="1" applyAlignment="1">
      <alignment horizontal="left"/>
    </xf>
    <xf numFmtId="0" fontId="19" fillId="10" borderId="0" xfId="7" applyNumberFormat="1" applyFont="1" applyFill="1" applyBorder="1" applyAlignment="1">
      <alignment horizontal="center"/>
    </xf>
    <xf numFmtId="173" fontId="19" fillId="12" borderId="0" xfId="10" applyNumberFormat="1" applyFont="1" applyFill="1" applyBorder="1" applyAlignment="1">
      <alignment horizontal="right" vertical="center"/>
    </xf>
    <xf numFmtId="173" fontId="19" fillId="12" borderId="0" xfId="10" applyNumberFormat="1" applyFont="1" applyFill="1" applyBorder="1" applyAlignment="1">
      <alignment horizontal="right"/>
    </xf>
    <xf numFmtId="177" fontId="19" fillId="10" borderId="0" xfId="7" applyNumberFormat="1" applyFont="1" applyFill="1" applyBorder="1" applyAlignment="1">
      <alignment horizontal="right" vertical="center"/>
    </xf>
    <xf numFmtId="0" fontId="56" fillId="10" borderId="0" xfId="7" applyNumberFormat="1" applyFont="1" applyFill="1" applyBorder="1" applyAlignment="1">
      <alignment horizontal="left"/>
    </xf>
    <xf numFmtId="0" fontId="55" fillId="10" borderId="0" xfId="7" applyNumberFormat="1" applyFont="1" applyFill="1" applyBorder="1" applyAlignment="1">
      <alignment horizontal="center"/>
    </xf>
    <xf numFmtId="0" fontId="55" fillId="10" borderId="0" xfId="7" applyNumberFormat="1" applyFont="1" applyFill="1" applyBorder="1" applyAlignment="1">
      <alignment horizontal="center" vertical="center"/>
    </xf>
    <xf numFmtId="3" fontId="18" fillId="5" borderId="11" xfId="15" applyNumberFormat="1" applyFont="1" applyFill="1" applyBorder="1" applyAlignment="1">
      <alignment horizontal="right" vertical="center"/>
    </xf>
    <xf numFmtId="3" fontId="17" fillId="5" borderId="0" xfId="14" applyNumberFormat="1" applyFont="1" applyFill="1"/>
    <xf numFmtId="3" fontId="25" fillId="10" borderId="0" xfId="14" applyNumberFormat="1" applyFont="1" applyFill="1"/>
    <xf numFmtId="3" fontId="25" fillId="10" borderId="0" xfId="14" applyNumberFormat="1" applyFont="1" applyFill="1" applyAlignment="1">
      <alignment horizontal="right"/>
    </xf>
    <xf numFmtId="3" fontId="17" fillId="10" borderId="0" xfId="14" applyNumberFormat="1" applyFont="1" applyFill="1" applyAlignment="1">
      <alignment horizontal="right"/>
    </xf>
    <xf numFmtId="3" fontId="25" fillId="13" borderId="0" xfId="14" applyNumberFormat="1" applyFont="1" applyFill="1"/>
    <xf numFmtId="3" fontId="22" fillId="10" borderId="11" xfId="15" applyNumberFormat="1" applyFont="1" applyFill="1" applyBorder="1" applyAlignment="1">
      <alignment horizontal="right" vertical="center"/>
    </xf>
    <xf numFmtId="3" fontId="22" fillId="13" borderId="11" xfId="15" applyNumberFormat="1" applyFont="1" applyFill="1" applyBorder="1" applyAlignment="1">
      <alignment horizontal="right" vertical="center"/>
    </xf>
    <xf numFmtId="3" fontId="18" fillId="13" borderId="11" xfId="15" applyNumberFormat="1" applyFont="1" applyFill="1" applyBorder="1" applyAlignment="1">
      <alignment horizontal="right" vertical="center"/>
    </xf>
    <xf numFmtId="3" fontId="25" fillId="13" borderId="0" xfId="14" applyNumberFormat="1" applyFont="1" applyFill="1" applyAlignment="1">
      <alignment horizontal="right"/>
    </xf>
    <xf numFmtId="3" fontId="17" fillId="13" borderId="0" xfId="14" applyNumberFormat="1" applyFont="1" applyFill="1" applyAlignment="1">
      <alignment horizontal="right"/>
    </xf>
    <xf numFmtId="3" fontId="17" fillId="5" borderId="0" xfId="15" applyNumberFormat="1" applyFont="1" applyFill="1" applyAlignment="1">
      <alignment horizontal="right" vertical="center"/>
    </xf>
    <xf numFmtId="3" fontId="25" fillId="10" borderId="0" xfId="15" applyNumberFormat="1" applyFont="1" applyFill="1" applyBorder="1" applyAlignment="1">
      <alignment horizontal="right" vertical="center"/>
    </xf>
    <xf numFmtId="3" fontId="18" fillId="5" borderId="10" xfId="15" applyNumberFormat="1" applyFont="1" applyFill="1" applyBorder="1" applyAlignment="1">
      <alignment horizontal="right" vertical="center"/>
    </xf>
    <xf numFmtId="0" fontId="0" fillId="5" borderId="0" xfId="0" applyFill="1" applyAlignment="1">
      <alignment horizontal="right"/>
    </xf>
    <xf numFmtId="3" fontId="17" fillId="10" borderId="0" xfId="14" applyNumberFormat="1" applyFont="1" applyFill="1"/>
    <xf numFmtId="3" fontId="22" fillId="10" borderId="10" xfId="15" applyNumberFormat="1" applyFont="1" applyFill="1" applyBorder="1" applyAlignment="1">
      <alignment horizontal="right" vertical="center"/>
    </xf>
    <xf numFmtId="3" fontId="22" fillId="5" borderId="10" xfId="15" applyNumberFormat="1" applyFont="1" applyFill="1" applyBorder="1" applyAlignment="1">
      <alignment horizontal="right" vertical="center"/>
    </xf>
    <xf numFmtId="3" fontId="22" fillId="13" borderId="10" xfId="15" applyNumberFormat="1" applyFont="1" applyFill="1" applyBorder="1" applyAlignment="1">
      <alignment horizontal="right" vertical="center"/>
    </xf>
    <xf numFmtId="3" fontId="17" fillId="13" borderId="0" xfId="14" applyNumberFormat="1" applyFont="1" applyFill="1"/>
    <xf numFmtId="177" fontId="17" fillId="11" borderId="0" xfId="14" applyNumberFormat="1" applyFont="1" applyFill="1"/>
    <xf numFmtId="3" fontId="18" fillId="5" borderId="11" xfId="1" applyNumberFormat="1" applyFont="1" applyFill="1" applyBorder="1" applyAlignment="1">
      <alignment horizontal="right" vertical="center"/>
    </xf>
    <xf numFmtId="3" fontId="22" fillId="10" borderId="11" xfId="1" applyNumberFormat="1" applyFont="1" applyFill="1" applyBorder="1" applyAlignment="1">
      <alignment horizontal="right" vertical="center"/>
    </xf>
    <xf numFmtId="3" fontId="18" fillId="5" borderId="11" xfId="19" applyNumberFormat="1" applyFont="1" applyFill="1" applyBorder="1" applyAlignment="1">
      <alignment horizontal="right" vertical="center"/>
    </xf>
    <xf numFmtId="175" fontId="0" fillId="5" borderId="0" xfId="1" applyNumberFormat="1" applyFont="1" applyFill="1"/>
    <xf numFmtId="177" fontId="17" fillId="10" borderId="0" xfId="14" applyNumberFormat="1" applyFont="1" applyFill="1"/>
    <xf numFmtId="177" fontId="18" fillId="5" borderId="3" xfId="14" applyNumberFormat="1" applyFont="1" applyFill="1" applyBorder="1"/>
    <xf numFmtId="177" fontId="18" fillId="10" borderId="11" xfId="15" applyNumberFormat="1" applyFont="1" applyFill="1" applyBorder="1" applyAlignment="1">
      <alignment horizontal="right" vertical="center"/>
    </xf>
    <xf numFmtId="177" fontId="25" fillId="10" borderId="0" xfId="15" applyNumberFormat="1" applyFont="1" applyFill="1" applyBorder="1" applyAlignment="1">
      <alignment horizontal="right" vertical="center"/>
    </xf>
    <xf numFmtId="177" fontId="17" fillId="10" borderId="0" xfId="15" applyNumberFormat="1" applyFont="1" applyFill="1" applyAlignment="1">
      <alignment horizontal="right" vertical="center"/>
    </xf>
    <xf numFmtId="177" fontId="42" fillId="5" borderId="0" xfId="14" applyNumberFormat="1" applyFont="1" applyFill="1"/>
    <xf numFmtId="177" fontId="22" fillId="10" borderId="10" xfId="15" applyNumberFormat="1" applyFont="1" applyFill="1" applyBorder="1" applyAlignment="1">
      <alignment horizontal="right" vertical="center"/>
    </xf>
    <xf numFmtId="177" fontId="18" fillId="5" borderId="10" xfId="15" applyNumberFormat="1" applyFont="1" applyFill="1" applyBorder="1" applyAlignment="1">
      <alignment horizontal="right" vertical="center"/>
    </xf>
    <xf numFmtId="177" fontId="22" fillId="10" borderId="11" xfId="16" applyNumberFormat="1" applyFont="1" applyFill="1" applyBorder="1" applyAlignment="1">
      <alignment horizontal="right" vertical="center"/>
    </xf>
    <xf numFmtId="177" fontId="18" fillId="5" borderId="11" xfId="19" applyNumberFormat="1" applyFont="1" applyFill="1" applyBorder="1" applyAlignment="1">
      <alignment horizontal="right" vertical="center"/>
    </xf>
    <xf numFmtId="177" fontId="22" fillId="10" borderId="11" xfId="1" applyNumberFormat="1" applyFont="1" applyFill="1" applyBorder="1" applyAlignment="1">
      <alignment horizontal="right" vertical="center"/>
    </xf>
    <xf numFmtId="177" fontId="18" fillId="10" borderId="10" xfId="15" applyNumberFormat="1" applyFont="1" applyFill="1" applyBorder="1" applyAlignment="1">
      <alignment horizontal="right" vertical="center"/>
    </xf>
    <xf numFmtId="177" fontId="42" fillId="0" borderId="0" xfId="14" applyNumberFormat="1" applyFont="1"/>
    <xf numFmtId="177" fontId="18" fillId="5" borderId="11" xfId="14" applyNumberFormat="1" applyFont="1" applyFill="1" applyBorder="1" applyAlignment="1">
      <alignment horizontal="right" vertical="center"/>
    </xf>
    <xf numFmtId="0" fontId="18" fillId="5" borderId="0" xfId="0" applyFont="1" applyFill="1"/>
    <xf numFmtId="177" fontId="17" fillId="5" borderId="0" xfId="1" applyNumberFormat="1" applyFont="1" applyFill="1" applyBorder="1" applyAlignment="1">
      <alignment horizontal="right"/>
    </xf>
    <xf numFmtId="177" fontId="25" fillId="10" borderId="0" xfId="1" applyNumberFormat="1" applyFont="1" applyFill="1" applyAlignment="1">
      <alignment horizontal="right"/>
    </xf>
    <xf numFmtId="0" fontId="17" fillId="0" borderId="0" xfId="3" applyFont="1" applyProtection="1">
      <protection locked="0"/>
    </xf>
    <xf numFmtId="177" fontId="18" fillId="10" borderId="12" xfId="17" applyNumberFormat="1" applyFont="1" applyFill="1" applyBorder="1" applyAlignment="1">
      <alignment horizontal="right"/>
    </xf>
    <xf numFmtId="177" fontId="17" fillId="0" borderId="0" xfId="1" applyNumberFormat="1" applyFont="1" applyFill="1" applyAlignment="1">
      <alignment horizontal="right"/>
    </xf>
    <xf numFmtId="177" fontId="17" fillId="0" borderId="0" xfId="1" applyNumberFormat="1" applyFont="1" applyAlignment="1">
      <alignment horizontal="right"/>
    </xf>
    <xf numFmtId="177" fontId="5" fillId="0" borderId="0" xfId="1" applyNumberFormat="1" applyFont="1" applyFill="1" applyAlignment="1">
      <alignment horizontal="right"/>
    </xf>
    <xf numFmtId="0" fontId="5" fillId="5" borderId="0" xfId="0" applyFont="1" applyFill="1" applyAlignment="1">
      <alignment wrapText="1"/>
    </xf>
    <xf numFmtId="0" fontId="5" fillId="5" borderId="0" xfId="0" applyFont="1" applyFill="1" applyAlignment="1">
      <alignment horizontal="right" wrapText="1"/>
    </xf>
    <xf numFmtId="0" fontId="5" fillId="5" borderId="0" xfId="0" applyFont="1" applyFill="1" applyAlignment="1">
      <alignment horizontal="right"/>
    </xf>
    <xf numFmtId="177" fontId="17" fillId="5" borderId="0" xfId="15" applyNumberFormat="1" applyFont="1" applyFill="1" applyAlignment="1">
      <alignment horizontal="right" vertical="center"/>
    </xf>
    <xf numFmtId="177" fontId="18" fillId="5" borderId="11" xfId="1" applyNumberFormat="1" applyFont="1" applyFill="1" applyBorder="1" applyAlignment="1">
      <alignment horizontal="right" vertical="center"/>
    </xf>
    <xf numFmtId="177" fontId="17" fillId="11" borderId="0" xfId="15" applyNumberFormat="1" applyFont="1" applyFill="1" applyAlignment="1">
      <alignment horizontal="center" vertical="center"/>
    </xf>
    <xf numFmtId="3" fontId="5" fillId="0" borderId="0" xfId="0" applyNumberFormat="1" applyFont="1"/>
    <xf numFmtId="14" fontId="6" fillId="0" borderId="0" xfId="0" applyNumberFormat="1" applyFont="1" applyAlignment="1" applyProtection="1">
      <alignment horizontal="center"/>
      <protection locked="0"/>
    </xf>
    <xf numFmtId="177" fontId="18" fillId="0" borderId="0" xfId="17" applyNumberFormat="1" applyFont="1" applyFill="1" applyBorder="1" applyAlignment="1">
      <alignment horizontal="right"/>
    </xf>
    <xf numFmtId="177" fontId="17" fillId="0" borderId="0" xfId="1" applyNumberFormat="1" applyFont="1" applyFill="1" applyBorder="1" applyAlignment="1">
      <alignment horizontal="right"/>
    </xf>
    <xf numFmtId="188" fontId="17" fillId="5" borderId="0" xfId="1" applyNumberFormat="1" applyFont="1" applyFill="1" applyAlignment="1">
      <alignment horizontal="right"/>
    </xf>
    <xf numFmtId="0" fontId="42" fillId="0" borderId="0" xfId="20" applyFont="1" applyAlignment="1">
      <alignment horizontal="left" vertical="center"/>
    </xf>
    <xf numFmtId="186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center"/>
    </xf>
    <xf numFmtId="0" fontId="43" fillId="0" borderId="0" xfId="0" applyFont="1"/>
    <xf numFmtId="186" fontId="16" fillId="0" borderId="0" xfId="0" applyNumberFormat="1" applyFont="1" applyAlignment="1">
      <alignment horizontal="center"/>
    </xf>
    <xf numFmtId="10" fontId="16" fillId="0" borderId="0" xfId="0" applyNumberFormat="1" applyFont="1" applyAlignment="1">
      <alignment horizontal="center"/>
    </xf>
    <xf numFmtId="0" fontId="59" fillId="4" borderId="0" xfId="0" applyFont="1" applyFill="1" applyAlignment="1">
      <alignment vertical="center"/>
    </xf>
    <xf numFmtId="3" fontId="41" fillId="4" borderId="0" xfId="0" applyNumberFormat="1" applyFont="1" applyFill="1" applyAlignment="1">
      <alignment horizontal="right"/>
    </xf>
    <xf numFmtId="0" fontId="60" fillId="0" borderId="0" xfId="13" applyFont="1" applyFill="1" applyBorder="1"/>
    <xf numFmtId="2" fontId="16" fillId="0" borderId="0" xfId="0" applyNumberFormat="1" applyFont="1" applyAlignment="1">
      <alignment horizontal="right"/>
    </xf>
    <xf numFmtId="2" fontId="16" fillId="0" borderId="0" xfId="0" applyNumberFormat="1" applyFont="1"/>
    <xf numFmtId="4" fontId="41" fillId="4" borderId="0" xfId="0" applyNumberFormat="1" applyFont="1" applyFill="1" applyAlignment="1">
      <alignment horizontal="right"/>
    </xf>
    <xf numFmtId="173" fontId="16" fillId="0" borderId="0" xfId="12" applyNumberFormat="1" applyFont="1"/>
    <xf numFmtId="173" fontId="41" fillId="4" borderId="0" xfId="12" applyNumberFormat="1" applyFont="1" applyFill="1" applyBorder="1" applyAlignment="1">
      <alignment horizontal="right"/>
    </xf>
    <xf numFmtId="0" fontId="19" fillId="14" borderId="0" xfId="0" applyFont="1" applyFill="1"/>
    <xf numFmtId="0" fontId="16" fillId="14" borderId="0" xfId="0" applyFont="1" applyFill="1"/>
    <xf numFmtId="0" fontId="19" fillId="15" borderId="0" xfId="0" applyFont="1" applyFill="1"/>
    <xf numFmtId="0" fontId="16" fillId="15" borderId="0" xfId="0" applyFont="1" applyFill="1"/>
    <xf numFmtId="0" fontId="19" fillId="3" borderId="0" xfId="0" applyFont="1" applyFill="1"/>
    <xf numFmtId="3" fontId="19" fillId="3" borderId="0" xfId="0" applyNumberFormat="1" applyFont="1" applyFill="1" applyAlignment="1">
      <alignment horizontal="center"/>
    </xf>
    <xf numFmtId="1" fontId="19" fillId="3" borderId="0" xfId="0" applyNumberFormat="1" applyFont="1" applyFill="1" applyAlignment="1">
      <alignment horizontal="center"/>
    </xf>
    <xf numFmtId="0" fontId="16" fillId="0" borderId="0" xfId="0" applyFont="1" applyAlignment="1">
      <alignment horizontal="left" indent="1"/>
    </xf>
    <xf numFmtId="14" fontId="16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/>
    </xf>
    <xf numFmtId="4" fontId="16" fillId="0" borderId="0" xfId="0" applyNumberFormat="1" applyFont="1" applyAlignment="1">
      <alignment horizontal="center"/>
    </xf>
    <xf numFmtId="0" fontId="61" fillId="0" borderId="0" xfId="0" applyFont="1"/>
    <xf numFmtId="0" fontId="61" fillId="0" borderId="0" xfId="0" applyFont="1" applyAlignment="1">
      <alignment horizontal="left" indent="1"/>
    </xf>
    <xf numFmtId="1" fontId="16" fillId="3" borderId="0" xfId="0" applyNumberFormat="1" applyFont="1" applyFill="1" applyAlignment="1">
      <alignment horizontal="center"/>
    </xf>
    <xf numFmtId="0" fontId="62" fillId="4" borderId="0" xfId="0" applyFont="1" applyFill="1" applyAlignment="1">
      <alignment horizontal="left" indent="1"/>
    </xf>
    <xf numFmtId="1" fontId="16" fillId="4" borderId="0" xfId="0" applyNumberFormat="1" applyFont="1" applyFill="1" applyAlignment="1">
      <alignment horizontal="center"/>
    </xf>
    <xf numFmtId="0" fontId="16" fillId="0" borderId="1" xfId="0" applyFont="1" applyBorder="1" applyAlignment="1">
      <alignment horizontal="left" indent="1"/>
    </xf>
    <xf numFmtId="0" fontId="16" fillId="0" borderId="1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15" fillId="6" borderId="0" xfId="0" applyFont="1" applyFill="1"/>
    <xf numFmtId="0" fontId="0" fillId="6" borderId="0" xfId="0" applyFill="1"/>
    <xf numFmtId="17" fontId="20" fillId="0" borderId="0" xfId="15" applyNumberFormat="1" applyFont="1" applyFill="1" applyBorder="1" applyAlignment="1">
      <alignment horizontal="center" vertical="center" wrapText="1"/>
    </xf>
    <xf numFmtId="177" fontId="18" fillId="0" borderId="0" xfId="15" applyNumberFormat="1" applyFont="1" applyFill="1" applyBorder="1" applyAlignment="1">
      <alignment horizontal="right" vertical="center"/>
    </xf>
    <xf numFmtId="177" fontId="22" fillId="0" borderId="0" xfId="15" applyNumberFormat="1" applyFont="1" applyFill="1" applyBorder="1" applyAlignment="1">
      <alignment horizontal="right" vertical="center"/>
    </xf>
    <xf numFmtId="0" fontId="63" fillId="0" borderId="0" xfId="0" applyFont="1" applyAlignment="1">
      <alignment horizontal="left" vertical="center"/>
    </xf>
    <xf numFmtId="0" fontId="18" fillId="0" borderId="0" xfId="20" applyFont="1" applyAlignment="1">
      <alignment horizontal="left" vertical="center"/>
    </xf>
    <xf numFmtId="177" fontId="18" fillId="0" borderId="0" xfId="15" applyNumberFormat="1" applyFont="1" applyAlignment="1">
      <alignment horizontal="right" vertical="center"/>
    </xf>
    <xf numFmtId="0" fontId="63" fillId="0" borderId="0" xfId="0" applyFont="1" applyAlignment="1">
      <alignment horizontal="left" vertical="center" indent="1"/>
    </xf>
    <xf numFmtId="177" fontId="17" fillId="0" borderId="0" xfId="1" applyNumberFormat="1" applyFont="1" applyFill="1" applyAlignment="1">
      <alignment horizontal="right" vertical="center"/>
    </xf>
    <xf numFmtId="177" fontId="17" fillId="0" borderId="0" xfId="1" applyNumberFormat="1" applyFont="1" applyAlignment="1">
      <alignment horizontal="right" vertical="center"/>
    </xf>
    <xf numFmtId="177" fontId="25" fillId="0" borderId="0" xfId="7" applyNumberFormat="1" applyFont="1" applyFill="1" applyBorder="1" applyAlignment="1">
      <alignment horizontal="right" vertical="center"/>
    </xf>
    <xf numFmtId="0" fontId="48" fillId="0" borderId="0" xfId="0" applyFont="1"/>
    <xf numFmtId="0" fontId="18" fillId="0" borderId="0" xfId="14" applyFont="1"/>
    <xf numFmtId="177" fontId="18" fillId="0" borderId="0" xfId="1" applyNumberFormat="1" applyFont="1" applyFill="1" applyAlignment="1">
      <alignment horizontal="right" vertical="center"/>
    </xf>
    <xf numFmtId="177" fontId="18" fillId="0" borderId="0" xfId="1" applyNumberFormat="1" applyFont="1" applyAlignment="1">
      <alignment horizontal="right" vertical="center"/>
    </xf>
    <xf numFmtId="177" fontId="22" fillId="0" borderId="0" xfId="7" applyNumberFormat="1" applyFont="1" applyFill="1" applyBorder="1" applyAlignment="1">
      <alignment horizontal="right" vertical="center"/>
    </xf>
    <xf numFmtId="0" fontId="63" fillId="0" borderId="0" xfId="0" applyFont="1" applyAlignment="1">
      <alignment horizontal="left" vertical="center" wrapText="1"/>
    </xf>
    <xf numFmtId="177" fontId="17" fillId="0" borderId="0" xfId="15" applyNumberFormat="1" applyFont="1" applyFill="1" applyBorder="1" applyAlignment="1">
      <alignment horizontal="right" vertical="center"/>
    </xf>
    <xf numFmtId="177" fontId="17" fillId="0" borderId="0" xfId="15" applyNumberFormat="1" applyFont="1" applyAlignment="1">
      <alignment horizontal="right" vertical="center"/>
    </xf>
    <xf numFmtId="0" fontId="17" fillId="5" borderId="0" xfId="14" applyFont="1" applyFill="1" applyAlignment="1">
      <alignment horizontal="left"/>
    </xf>
    <xf numFmtId="0" fontId="43" fillId="6" borderId="0" xfId="0" applyFont="1" applyFill="1"/>
    <xf numFmtId="0" fontId="64" fillId="0" borderId="0" xfId="0" applyFont="1" applyAlignment="1">
      <alignment vertical="center"/>
    </xf>
    <xf numFmtId="177" fontId="65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center"/>
    </xf>
    <xf numFmtId="186" fontId="5" fillId="0" borderId="0" xfId="0" applyNumberFormat="1" applyFont="1" applyAlignment="1">
      <alignment horizontal="center"/>
    </xf>
    <xf numFmtId="0" fontId="18" fillId="0" borderId="9" xfId="14" applyFont="1" applyBorder="1"/>
    <xf numFmtId="177" fontId="18" fillId="0" borderId="10" xfId="14" applyNumberFormat="1" applyFont="1" applyBorder="1"/>
    <xf numFmtId="0" fontId="18" fillId="5" borderId="3" xfId="14" applyFont="1" applyFill="1" applyBorder="1"/>
    <xf numFmtId="177" fontId="18" fillId="0" borderId="9" xfId="14" applyNumberFormat="1" applyFont="1" applyBorder="1"/>
    <xf numFmtId="0" fontId="17" fillId="0" borderId="10" xfId="14" applyFont="1" applyBorder="1"/>
    <xf numFmtId="177" fontId="17" fillId="5" borderId="0" xfId="21" applyNumberFormat="1" applyFont="1" applyFill="1" applyAlignment="1">
      <alignment horizontal="right" vertical="center"/>
    </xf>
    <xf numFmtId="177" fontId="18" fillId="5" borderId="11" xfId="16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horizontal="left"/>
    </xf>
    <xf numFmtId="0" fontId="15" fillId="2" borderId="0" xfId="0" applyFont="1" applyFill="1" applyAlignment="1">
      <alignment horizontal="center"/>
    </xf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66" fillId="0" borderId="0" xfId="0" applyFont="1"/>
    <xf numFmtId="0" fontId="67" fillId="0" borderId="0" xfId="0" applyFont="1"/>
    <xf numFmtId="0" fontId="67" fillId="16" borderId="0" xfId="0" applyFont="1" applyFill="1" applyAlignment="1">
      <alignment horizontal="left" indent="1"/>
    </xf>
    <xf numFmtId="0" fontId="67" fillId="5" borderId="0" xfId="0" applyFont="1" applyFill="1" applyAlignment="1">
      <alignment horizontal="left" indent="1"/>
    </xf>
    <xf numFmtId="177" fontId="68" fillId="0" borderId="1" xfId="22" applyNumberFormat="1" applyFont="1" applyBorder="1" applyAlignment="1">
      <alignment horizontal="right"/>
    </xf>
    <xf numFmtId="177" fontId="68" fillId="0" borderId="0" xfId="22" applyNumberFormat="1" applyFont="1" applyAlignment="1">
      <alignment horizontal="right"/>
    </xf>
    <xf numFmtId="177" fontId="67" fillId="0" borderId="0" xfId="0" applyNumberFormat="1" applyFont="1"/>
    <xf numFmtId="177" fontId="67" fillId="16" borderId="0" xfId="1" applyNumberFormat="1" applyFont="1" applyFill="1"/>
    <xf numFmtId="177" fontId="66" fillId="0" borderId="0" xfId="0" applyNumberFormat="1" applyFont="1"/>
    <xf numFmtId="177" fontId="67" fillId="0" borderId="0" xfId="1" applyNumberFormat="1" applyFont="1" applyFill="1"/>
    <xf numFmtId="177" fontId="68" fillId="0" borderId="14" xfId="22" applyNumberFormat="1" applyFont="1" applyBorder="1" applyAlignment="1">
      <alignment horizontal="right"/>
    </xf>
    <xf numFmtId="0" fontId="37" fillId="2" borderId="0" xfId="0" applyFont="1" applyFill="1" applyAlignment="1">
      <alignment horizontal="center"/>
    </xf>
    <xf numFmtId="0" fontId="37" fillId="2" borderId="0" xfId="0" applyFont="1" applyFill="1" applyAlignment="1">
      <alignment horizontal="left" indent="1"/>
    </xf>
    <xf numFmtId="0" fontId="66" fillId="0" borderId="1" xfId="0" applyFont="1" applyBorder="1"/>
    <xf numFmtId="0" fontId="66" fillId="0" borderId="14" xfId="0" applyFont="1" applyBorder="1"/>
    <xf numFmtId="0" fontId="69" fillId="0" borderId="0" xfId="0" applyFont="1"/>
    <xf numFmtId="0" fontId="70" fillId="0" borderId="0" xfId="0" applyFont="1"/>
    <xf numFmtId="173" fontId="70" fillId="0" borderId="0" xfId="12" applyNumberFormat="1" applyFont="1"/>
    <xf numFmtId="14" fontId="6" fillId="2" borderId="0" xfId="0" applyNumberFormat="1" applyFont="1" applyFill="1" applyAlignment="1" applyProtection="1">
      <alignment horizontal="center"/>
      <protection locked="0"/>
    </xf>
    <xf numFmtId="0" fontId="37" fillId="17" borderId="0" xfId="0" applyFont="1" applyFill="1" applyAlignment="1">
      <alignment horizontal="center"/>
    </xf>
    <xf numFmtId="0" fontId="0" fillId="0" borderId="0" xfId="0" applyAlignment="1">
      <alignment horizontal="centerContinuous"/>
    </xf>
    <xf numFmtId="0" fontId="49" fillId="2" borderId="0" xfId="0" applyFont="1" applyFill="1" applyAlignment="1">
      <alignment vertical="center"/>
    </xf>
    <xf numFmtId="0" fontId="50" fillId="9" borderId="0" xfId="0" applyFont="1" applyFill="1" applyAlignment="1">
      <alignment horizontal="center" vertical="center"/>
    </xf>
    <xf numFmtId="0" fontId="13" fillId="2" borderId="0" xfId="0" applyFont="1" applyFill="1"/>
    <xf numFmtId="0" fontId="13" fillId="2" borderId="0" xfId="1" applyNumberFormat="1" applyFont="1" applyFill="1" applyAlignment="1">
      <alignment horizontal="center"/>
    </xf>
    <xf numFmtId="0" fontId="15" fillId="2" borderId="0" xfId="0" applyFont="1" applyFill="1"/>
    <xf numFmtId="175" fontId="15" fillId="2" borderId="0" xfId="0" applyNumberFormat="1" applyFont="1" applyFill="1"/>
    <xf numFmtId="177" fontId="15" fillId="2" borderId="0" xfId="0" applyNumberFormat="1" applyFont="1" applyFill="1"/>
    <xf numFmtId="0" fontId="55" fillId="9" borderId="0" xfId="3" applyFont="1" applyFill="1"/>
    <xf numFmtId="0" fontId="55" fillId="9" borderId="0" xfId="3" applyFont="1" applyFill="1" applyAlignment="1">
      <alignment horizontal="center" vertical="center"/>
    </xf>
    <xf numFmtId="0" fontId="13" fillId="2" borderId="0" xfId="14" applyFont="1" applyFill="1" applyAlignment="1">
      <alignment vertical="center"/>
    </xf>
    <xf numFmtId="17" fontId="13" fillId="2" borderId="0" xfId="15" applyNumberFormat="1" applyFont="1" applyFill="1" applyAlignment="1">
      <alignment horizontal="center" vertical="center" wrapText="1"/>
    </xf>
    <xf numFmtId="0" fontId="12" fillId="2" borderId="0" xfId="14" applyFont="1" applyFill="1" applyAlignment="1">
      <alignment vertical="center"/>
    </xf>
    <xf numFmtId="17" fontId="12" fillId="2" borderId="0" xfId="15" applyNumberFormat="1" applyFont="1" applyFill="1" applyBorder="1" applyAlignment="1">
      <alignment horizontal="center" vertical="center" wrapText="1"/>
    </xf>
    <xf numFmtId="17" fontId="20" fillId="9" borderId="0" xfId="15" applyNumberFormat="1" applyFont="1" applyFill="1" applyBorder="1" applyAlignment="1">
      <alignment horizontal="center" vertical="center" wrapText="1"/>
    </xf>
    <xf numFmtId="177" fontId="6" fillId="2" borderId="0" xfId="1" applyNumberFormat="1" applyFont="1" applyFill="1" applyBorder="1" applyAlignment="1">
      <alignment horizontal="right" vertical="center"/>
    </xf>
    <xf numFmtId="177" fontId="20" fillId="9" borderId="0" xfId="1" applyNumberFormat="1" applyFont="1" applyFill="1" applyBorder="1" applyAlignment="1">
      <alignment horizontal="right" vertical="center"/>
    </xf>
    <xf numFmtId="17" fontId="12" fillId="2" borderId="0" xfId="15" applyNumberFormat="1" applyFont="1" applyFill="1" applyAlignment="1">
      <alignment horizontal="center" vertical="center" wrapText="1"/>
    </xf>
    <xf numFmtId="177" fontId="12" fillId="2" borderId="0" xfId="1" applyNumberFormat="1" applyFont="1" applyFill="1" applyAlignment="1">
      <alignment horizontal="right" vertical="center"/>
    </xf>
    <xf numFmtId="0" fontId="12" fillId="2" borderId="0" xfId="14" applyFont="1" applyFill="1"/>
    <xf numFmtId="0" fontId="17" fillId="0" borderId="0" xfId="14" applyFont="1" applyAlignment="1">
      <alignment horizontal="center"/>
    </xf>
    <xf numFmtId="0" fontId="12" fillId="2" borderId="0" xfId="14" applyFont="1" applyFill="1" applyAlignment="1">
      <alignment horizontal="left" vertical="center"/>
    </xf>
    <xf numFmtId="0" fontId="12" fillId="2" borderId="0" xfId="14" applyFont="1" applyFill="1" applyAlignment="1">
      <alignment horizontal="left"/>
    </xf>
    <xf numFmtId="177" fontId="12" fillId="2" borderId="0" xfId="14" applyNumberFormat="1" applyFont="1" applyFill="1" applyAlignment="1">
      <alignment horizontal="left"/>
    </xf>
    <xf numFmtId="17" fontId="57" fillId="9" borderId="0" xfId="15" applyNumberFormat="1" applyFont="1" applyFill="1" applyAlignment="1">
      <alignment horizontal="center" vertical="center" wrapText="1"/>
    </xf>
    <xf numFmtId="3" fontId="12" fillId="2" borderId="0" xfId="1" applyNumberFormat="1" applyFont="1" applyFill="1" applyAlignment="1">
      <alignment horizontal="right" vertical="center"/>
    </xf>
    <xf numFmtId="177" fontId="6" fillId="2" borderId="0" xfId="19" applyNumberFormat="1" applyFont="1" applyFill="1" applyBorder="1" applyAlignment="1">
      <alignment horizontal="right" vertical="center"/>
    </xf>
    <xf numFmtId="177" fontId="6" fillId="2" borderId="0" xfId="19" applyNumberFormat="1" applyFont="1" applyFill="1" applyAlignment="1">
      <alignment horizontal="right" vertical="center"/>
    </xf>
    <xf numFmtId="177" fontId="20" fillId="9" borderId="0" xfId="1" applyNumberFormat="1" applyFont="1" applyFill="1" applyAlignment="1">
      <alignment horizontal="right" vertical="center"/>
    </xf>
    <xf numFmtId="3" fontId="6" fillId="2" borderId="0" xfId="1" applyNumberFormat="1" applyFont="1" applyFill="1" applyBorder="1" applyAlignment="1">
      <alignment horizontal="right" vertical="center"/>
    </xf>
    <xf numFmtId="3" fontId="6" fillId="2" borderId="0" xfId="1" applyNumberFormat="1" applyFont="1" applyFill="1" applyAlignment="1">
      <alignment horizontal="right" vertical="center"/>
    </xf>
    <xf numFmtId="0" fontId="12" fillId="2" borderId="0" xfId="1" applyNumberFormat="1" applyFont="1" applyFill="1" applyBorder="1" applyAlignment="1">
      <alignment horizontal="center" vertical="center"/>
    </xf>
    <xf numFmtId="14" fontId="20" fillId="9" borderId="0" xfId="0" applyNumberFormat="1" applyFont="1" applyFill="1" applyAlignment="1" applyProtection="1">
      <alignment horizontal="center"/>
      <protection locked="0"/>
    </xf>
    <xf numFmtId="0" fontId="20" fillId="9" borderId="0" xfId="8" applyFont="1" applyFill="1" applyAlignment="1">
      <alignment horizontal="left" vertical="center"/>
    </xf>
    <xf numFmtId="0" fontId="20" fillId="9" borderId="0" xfId="8" applyFont="1" applyFill="1" applyAlignment="1">
      <alignment horizontal="center" vertical="center"/>
    </xf>
    <xf numFmtId="177" fontId="28" fillId="2" borderId="0" xfId="7" applyNumberFormat="1" applyFont="1" applyFill="1" applyBorder="1"/>
    <xf numFmtId="0" fontId="27" fillId="9" borderId="0" xfId="8" applyFont="1" applyFill="1" applyAlignment="1">
      <alignment horizontal="center" vertical="center"/>
    </xf>
    <xf numFmtId="1" fontId="20" fillId="9" borderId="2" xfId="5" applyNumberFormat="1" applyFont="1" applyFill="1" applyBorder="1" applyAlignment="1">
      <alignment horizontal="center" vertical="center" wrapText="1"/>
    </xf>
    <xf numFmtId="1" fontId="20" fillId="9" borderId="2" xfId="5" quotePrefix="1" applyNumberFormat="1" applyFont="1" applyFill="1" applyBorder="1" applyAlignment="1">
      <alignment horizontal="center" vertical="center" wrapText="1"/>
    </xf>
    <xf numFmtId="0" fontId="37" fillId="2" borderId="0" xfId="5" applyFont="1" applyFill="1"/>
    <xf numFmtId="17" fontId="49" fillId="9" borderId="0" xfId="15" applyNumberFormat="1" applyFont="1" applyFill="1" applyBorder="1" applyAlignment="1">
      <alignment horizontal="center" vertical="center" wrapText="1"/>
    </xf>
    <xf numFmtId="17" fontId="49" fillId="9" borderId="0" xfId="15" applyNumberFormat="1" applyFont="1" applyFill="1" applyAlignment="1">
      <alignment horizontal="center" vertical="center" wrapText="1"/>
    </xf>
    <xf numFmtId="0" fontId="37" fillId="2" borderId="0" xfId="5" applyFont="1" applyFill="1" applyAlignment="1">
      <alignment horizontal="center"/>
    </xf>
    <xf numFmtId="0" fontId="6" fillId="6" borderId="0" xfId="0" applyFont="1" applyFill="1" applyAlignment="1">
      <alignment horizontal="left" vertical="center" wrapText="1" indent="1"/>
    </xf>
    <xf numFmtId="0" fontId="6" fillId="6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16" fillId="5" borderId="0" xfId="0" applyFont="1" applyFill="1" applyAlignment="1">
      <alignment horizontal="center"/>
    </xf>
    <xf numFmtId="0" fontId="6" fillId="6" borderId="0" xfId="0" applyFont="1" applyFill="1"/>
    <xf numFmtId="0" fontId="17" fillId="5" borderId="0" xfId="0" applyFont="1" applyFill="1" applyAlignment="1">
      <alignment horizontal="left" vertical="center" wrapText="1" indent="1"/>
    </xf>
    <xf numFmtId="3" fontId="5" fillId="5" borderId="0" xfId="0" applyNumberFormat="1" applyFont="1" applyFill="1" applyAlignment="1">
      <alignment horizontal="right"/>
    </xf>
    <xf numFmtId="189" fontId="5" fillId="5" borderId="0" xfId="0" quotePrefix="1" applyNumberFormat="1" applyFont="1" applyFill="1" applyAlignment="1">
      <alignment horizontal="right"/>
    </xf>
    <xf numFmtId="189" fontId="5" fillId="5" borderId="0" xfId="0" applyNumberFormat="1" applyFont="1" applyFill="1" applyAlignment="1">
      <alignment horizontal="right"/>
    </xf>
    <xf numFmtId="3" fontId="17" fillId="5" borderId="0" xfId="0" applyNumberFormat="1" applyFont="1" applyFill="1" applyAlignment="1">
      <alignment horizontal="right"/>
    </xf>
    <xf numFmtId="0" fontId="5" fillId="5" borderId="0" xfId="0" quotePrefix="1" applyFont="1" applyFill="1" applyAlignment="1">
      <alignment horizontal="right"/>
    </xf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16" fillId="0" borderId="0" xfId="0" applyFont="1" applyAlignment="1">
      <alignment horizontal="left"/>
    </xf>
    <xf numFmtId="175" fontId="15" fillId="0" borderId="0" xfId="0" applyNumberFormat="1" applyFont="1"/>
    <xf numFmtId="174" fontId="15" fillId="2" borderId="0" xfId="0" applyNumberFormat="1" applyFont="1" applyFill="1" applyAlignment="1">
      <alignment horizontal="center"/>
    </xf>
    <xf numFmtId="190" fontId="16" fillId="0" borderId="0" xfId="0" applyNumberFormat="1" applyFont="1"/>
    <xf numFmtId="190" fontId="19" fillId="0" borderId="0" xfId="0" applyNumberFormat="1" applyFont="1"/>
    <xf numFmtId="190" fontId="41" fillId="3" borderId="0" xfId="14" applyNumberFormat="1" applyFont="1" applyFill="1"/>
    <xf numFmtId="186" fontId="16" fillId="0" borderId="0" xfId="0" applyNumberFormat="1" applyFont="1"/>
    <xf numFmtId="190" fontId="16" fillId="0" borderId="0" xfId="0" applyNumberFormat="1" applyFont="1" applyAlignment="1">
      <alignment horizontal="center"/>
    </xf>
    <xf numFmtId="0" fontId="70" fillId="0" borderId="0" xfId="0" applyFont="1" applyAlignment="1">
      <alignment horizontal="left" indent="1"/>
    </xf>
    <xf numFmtId="171" fontId="70" fillId="0" borderId="0" xfId="23" applyNumberFormat="1" applyFont="1"/>
    <xf numFmtId="0" fontId="70" fillId="0" borderId="0" xfId="0" applyFont="1" applyAlignment="1">
      <alignment horizontal="left" indent="3"/>
    </xf>
    <xf numFmtId="0" fontId="71" fillId="5" borderId="0" xfId="0" applyFont="1" applyFill="1"/>
    <xf numFmtId="0" fontId="16" fillId="5" borderId="0" xfId="0" applyFont="1" applyFill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17" fontId="42" fillId="5" borderId="0" xfId="0" applyNumberFormat="1" applyFont="1" applyFill="1" applyAlignment="1">
      <alignment horizontal="center" vertical="center"/>
    </xf>
    <xf numFmtId="0" fontId="42" fillId="3" borderId="8" xfId="0" applyFont="1" applyFill="1" applyBorder="1" applyAlignment="1">
      <alignment horizontal="center" vertical="center"/>
    </xf>
    <xf numFmtId="3" fontId="16" fillId="5" borderId="0" xfId="1" applyNumberFormat="1" applyFont="1" applyFill="1" applyBorder="1" applyAlignment="1">
      <alignment horizontal="center" vertical="center"/>
    </xf>
    <xf numFmtId="3" fontId="16" fillId="3" borderId="0" xfId="1" applyNumberFormat="1" applyFont="1" applyFill="1" applyBorder="1" applyAlignment="1">
      <alignment horizontal="center" vertical="center"/>
    </xf>
    <xf numFmtId="10" fontId="16" fillId="5" borderId="0" xfId="1" applyNumberFormat="1" applyFont="1" applyFill="1" applyBorder="1" applyAlignment="1">
      <alignment horizontal="center" vertical="center"/>
    </xf>
    <xf numFmtId="10" fontId="16" fillId="3" borderId="0" xfId="1" applyNumberFormat="1" applyFont="1" applyFill="1" applyBorder="1" applyAlignment="1">
      <alignment horizontal="center" vertical="center"/>
    </xf>
    <xf numFmtId="12" fontId="16" fillId="5" borderId="0" xfId="1" applyNumberFormat="1" applyFont="1" applyFill="1" applyBorder="1" applyAlignment="1">
      <alignment horizontal="center" vertical="center"/>
    </xf>
    <xf numFmtId="12" fontId="16" fillId="3" borderId="0" xfId="1" applyNumberFormat="1" applyFont="1" applyFill="1" applyBorder="1" applyAlignment="1">
      <alignment horizontal="center" vertical="center"/>
    </xf>
    <xf numFmtId="171" fontId="9" fillId="3" borderId="0" xfId="23" applyNumberFormat="1" applyFont="1" applyFill="1" applyAlignment="1">
      <alignment horizontal="center"/>
    </xf>
    <xf numFmtId="177" fontId="73" fillId="0" borderId="0" xfId="7" applyNumberFormat="1" applyFont="1" applyFill="1" applyBorder="1"/>
    <xf numFmtId="177" fontId="73" fillId="0" borderId="3" xfId="7" applyNumberFormat="1" applyFont="1" applyFill="1" applyBorder="1"/>
    <xf numFmtId="175" fontId="73" fillId="0" borderId="3" xfId="3" applyNumberFormat="1" applyFont="1" applyBorder="1"/>
    <xf numFmtId="177" fontId="17" fillId="0" borderId="0" xfId="3" applyNumberFormat="1" applyFont="1" applyAlignment="1">
      <alignment vertical="center"/>
    </xf>
    <xf numFmtId="177" fontId="72" fillId="0" borderId="0" xfId="3" applyNumberFormat="1" applyFont="1" applyAlignment="1">
      <alignment vertical="center"/>
    </xf>
    <xf numFmtId="177" fontId="31" fillId="0" borderId="0" xfId="3" applyNumberFormat="1" applyFont="1"/>
    <xf numFmtId="175" fontId="28" fillId="2" borderId="0" xfId="7" applyNumberFormat="1" applyFont="1" applyFill="1" applyBorder="1"/>
    <xf numFmtId="175" fontId="29" fillId="0" borderId="0" xfId="7" applyNumberFormat="1" applyFont="1" applyFill="1" applyBorder="1"/>
    <xf numFmtId="175" fontId="73" fillId="0" borderId="0" xfId="7" applyNumberFormat="1" applyFont="1" applyFill="1" applyBorder="1"/>
    <xf numFmtId="175" fontId="28" fillId="0" borderId="0" xfId="7" applyNumberFormat="1" applyFont="1" applyFill="1" applyBorder="1"/>
    <xf numFmtId="175" fontId="17" fillId="0" borderId="0" xfId="3" applyNumberFormat="1" applyFont="1" applyAlignment="1">
      <alignment vertical="center"/>
    </xf>
    <xf numFmtId="175" fontId="72" fillId="0" borderId="0" xfId="3" applyNumberFormat="1" applyFont="1" applyAlignment="1">
      <alignment vertical="center"/>
    </xf>
    <xf numFmtId="175" fontId="31" fillId="0" borderId="0" xfId="3" applyNumberFormat="1" applyFont="1"/>
    <xf numFmtId="175" fontId="34" fillId="0" borderId="0" xfId="9" applyNumberFormat="1" applyFont="1" applyFill="1" applyBorder="1" applyAlignment="1" applyProtection="1">
      <alignment horizontal="center"/>
    </xf>
    <xf numFmtId="0" fontId="74" fillId="0" borderId="0" xfId="0" applyFont="1"/>
    <xf numFmtId="0" fontId="42" fillId="3" borderId="22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12" fontId="16" fillId="3" borderId="0" xfId="0" applyNumberFormat="1" applyFont="1" applyFill="1" applyAlignment="1">
      <alignment horizontal="center" vertical="center"/>
    </xf>
    <xf numFmtId="0" fontId="42" fillId="3" borderId="17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12" fontId="16" fillId="3" borderId="15" xfId="0" applyNumberFormat="1" applyFont="1" applyFill="1" applyBorder="1" applyAlignment="1">
      <alignment horizontal="center" vertical="center"/>
    </xf>
    <xf numFmtId="0" fontId="42" fillId="3" borderId="7" xfId="0" applyFont="1" applyFill="1" applyBorder="1" applyAlignment="1">
      <alignment horizontal="center" vertical="center"/>
    </xf>
    <xf numFmtId="0" fontId="75" fillId="0" borderId="0" xfId="0" applyFont="1"/>
    <xf numFmtId="0" fontId="76" fillId="0" borderId="0" xfId="0" applyFont="1"/>
    <xf numFmtId="0" fontId="77" fillId="2" borderId="0" xfId="0" applyFont="1" applyFill="1" applyAlignment="1">
      <alignment horizontal="center"/>
    </xf>
    <xf numFmtId="14" fontId="5" fillId="0" borderId="0" xfId="0" applyNumberFormat="1" applyFont="1" applyAlignment="1">
      <alignment horizontal="center"/>
    </xf>
    <xf numFmtId="175" fontId="42" fillId="5" borderId="12" xfId="1" applyNumberFormat="1" applyFont="1" applyFill="1" applyBorder="1" applyAlignment="1">
      <alignment horizontal="right" vertical="center"/>
    </xf>
    <xf numFmtId="189" fontId="19" fillId="3" borderId="0" xfId="0" applyNumberFormat="1" applyFont="1" applyFill="1" applyAlignment="1">
      <alignment horizontal="center"/>
    </xf>
    <xf numFmtId="190" fontId="0" fillId="0" borderId="0" xfId="0" applyNumberFormat="1"/>
    <xf numFmtId="0" fontId="0" fillId="0" borderId="0" xfId="0" quotePrefix="1"/>
    <xf numFmtId="3" fontId="16" fillId="0" borderId="0" xfId="0" applyNumberFormat="1" applyFont="1" applyAlignment="1">
      <alignment horizontal="right"/>
    </xf>
    <xf numFmtId="3" fontId="16" fillId="4" borderId="0" xfId="0" applyNumberFormat="1" applyFont="1" applyFill="1"/>
    <xf numFmtId="0" fontId="238" fillId="10" borderId="0" xfId="0" applyFont="1" applyFill="1"/>
    <xf numFmtId="0" fontId="19" fillId="0" borderId="0" xfId="0" applyFont="1" applyAlignment="1">
      <alignment horizontal="left" indent="1"/>
    </xf>
    <xf numFmtId="0" fontId="238" fillId="124" borderId="0" xfId="0" applyFont="1" applyFill="1"/>
    <xf numFmtId="0" fontId="63" fillId="5" borderId="0" xfId="0" applyFont="1" applyFill="1" applyAlignment="1">
      <alignment horizontal="left" vertical="center" wrapText="1" indent="1"/>
    </xf>
    <xf numFmtId="4" fontId="16" fillId="0" borderId="0" xfId="0" applyNumberFormat="1" applyFont="1"/>
    <xf numFmtId="175" fontId="16" fillId="5" borderId="0" xfId="0" applyNumberFormat="1" applyFont="1" applyFill="1"/>
    <xf numFmtId="3" fontId="18" fillId="0" borderId="11" xfId="15" applyNumberFormat="1" applyFont="1" applyFill="1" applyBorder="1" applyAlignment="1">
      <alignment horizontal="right" vertical="center"/>
    </xf>
    <xf numFmtId="177" fontId="17" fillId="0" borderId="0" xfId="15" applyNumberFormat="1" applyFont="1" applyFill="1" applyAlignment="1">
      <alignment horizontal="right" vertical="center"/>
    </xf>
    <xf numFmtId="175" fontId="16" fillId="5" borderId="0" xfId="23" applyNumberFormat="1" applyFont="1" applyFill="1"/>
    <xf numFmtId="175" fontId="16" fillId="5" borderId="1" xfId="23" applyNumberFormat="1" applyFont="1" applyFill="1" applyBorder="1"/>
    <xf numFmtId="177" fontId="18" fillId="0" borderId="0" xfId="15" applyNumberFormat="1" applyFont="1" applyFill="1" applyAlignment="1">
      <alignment horizontal="right" vertical="center"/>
    </xf>
    <xf numFmtId="0" fontId="240" fillId="2" borderId="0" xfId="3" applyFont="1" applyFill="1" applyAlignment="1">
      <alignment vertical="center"/>
    </xf>
    <xf numFmtId="0" fontId="241" fillId="0" borderId="0" xfId="7" applyNumberFormat="1" applyFont="1" applyFill="1" applyAlignment="1">
      <alignment horizontal="left"/>
    </xf>
    <xf numFmtId="0" fontId="242" fillId="4" borderId="0" xfId="7" applyNumberFormat="1" applyFont="1" applyFill="1" applyAlignment="1">
      <alignment horizontal="left"/>
    </xf>
    <xf numFmtId="0" fontId="243" fillId="5" borderId="0" xfId="3" applyFont="1" applyFill="1" applyAlignment="1">
      <alignment horizontal="left"/>
    </xf>
    <xf numFmtId="0" fontId="244" fillId="5" borderId="0" xfId="3" applyFont="1" applyFill="1" applyAlignment="1">
      <alignment horizontal="left" indent="1"/>
    </xf>
    <xf numFmtId="0" fontId="243" fillId="5" borderId="0" xfId="3" applyFont="1" applyFill="1"/>
    <xf numFmtId="0" fontId="243" fillId="3" borderId="0" xfId="3" applyFont="1" applyFill="1" applyAlignment="1">
      <alignment horizontal="left"/>
    </xf>
    <xf numFmtId="189" fontId="244" fillId="5" borderId="0" xfId="3" applyNumberFormat="1" applyFont="1" applyFill="1" applyAlignment="1">
      <alignment horizontal="left"/>
    </xf>
    <xf numFmtId="0" fontId="242" fillId="4" borderId="0" xfId="7" applyNumberFormat="1" applyFont="1" applyFill="1" applyBorder="1" applyAlignment="1">
      <alignment horizontal="center"/>
    </xf>
    <xf numFmtId="177" fontId="243" fillId="5" borderId="0" xfId="7" applyNumberFormat="1" applyFont="1" applyFill="1" applyBorder="1" applyAlignment="1">
      <alignment horizontal="right" vertical="center" wrapText="1"/>
    </xf>
    <xf numFmtId="177" fontId="244" fillId="5" borderId="0" xfId="7" applyNumberFormat="1" applyFont="1" applyFill="1" applyBorder="1" applyAlignment="1">
      <alignment horizontal="center" vertical="center"/>
    </xf>
    <xf numFmtId="177" fontId="243" fillId="5" borderId="0" xfId="7" applyNumberFormat="1" applyFont="1" applyFill="1" applyBorder="1" applyAlignment="1">
      <alignment horizontal="center" vertical="center"/>
    </xf>
    <xf numFmtId="177" fontId="244" fillId="5" borderId="0" xfId="7" applyNumberFormat="1" applyFont="1" applyFill="1" applyBorder="1" applyAlignment="1">
      <alignment horizontal="right" vertical="center"/>
    </xf>
    <xf numFmtId="177" fontId="243" fillId="5" borderId="0" xfId="7" applyNumberFormat="1" applyFont="1" applyFill="1" applyBorder="1" applyAlignment="1">
      <alignment horizontal="right" vertical="center"/>
    </xf>
    <xf numFmtId="177" fontId="243" fillId="3" borderId="0" xfId="7" applyNumberFormat="1" applyFont="1" applyFill="1" applyBorder="1" applyAlignment="1">
      <alignment horizontal="right" vertical="center"/>
    </xf>
    <xf numFmtId="177" fontId="76" fillId="0" borderId="0" xfId="0" applyNumberFormat="1" applyFont="1"/>
    <xf numFmtId="0" fontId="238" fillId="0" borderId="0" xfId="0" applyFont="1"/>
    <xf numFmtId="254" fontId="0" fillId="0" borderId="0" xfId="0" applyNumberFormat="1" applyAlignment="1">
      <alignment horizontal="left"/>
    </xf>
    <xf numFmtId="0" fontId="9" fillId="5" borderId="0" xfId="0" applyFont="1" applyFill="1"/>
    <xf numFmtId="254" fontId="0" fillId="0" borderId="0" xfId="0" quotePrefix="1" applyNumberFormat="1" applyAlignment="1">
      <alignment horizontal="left"/>
    </xf>
    <xf numFmtId="175" fontId="41" fillId="5" borderId="12" xfId="1" applyNumberFormat="1" applyFont="1" applyFill="1" applyBorder="1"/>
    <xf numFmtId="0" fontId="42" fillId="0" borderId="11" xfId="0" applyFont="1" applyBorder="1"/>
    <xf numFmtId="175" fontId="42" fillId="5" borderId="12" xfId="1" applyNumberFormat="1" applyFont="1" applyFill="1" applyBorder="1"/>
    <xf numFmtId="173" fontId="41" fillId="0" borderId="0" xfId="12" applyNumberFormat="1" applyFont="1" applyFill="1" applyBorder="1" applyAlignment="1">
      <alignment horizontal="right"/>
    </xf>
    <xf numFmtId="4" fontId="41" fillId="0" borderId="0" xfId="0" applyNumberFormat="1" applyFont="1" applyAlignment="1">
      <alignment horizontal="right"/>
    </xf>
    <xf numFmtId="173" fontId="42" fillId="0" borderId="0" xfId="12" applyNumberFormat="1" applyFont="1" applyFill="1" applyBorder="1" applyAlignment="1">
      <alignment horizontal="right"/>
    </xf>
    <xf numFmtId="186" fontId="42" fillId="0" borderId="0" xfId="0" applyNumberFormat="1" applyFont="1" applyAlignment="1">
      <alignment horizontal="right"/>
    </xf>
    <xf numFmtId="186" fontId="41" fillId="4" borderId="0" xfId="0" applyNumberFormat="1" applyFont="1" applyFill="1" applyAlignment="1">
      <alignment horizontal="right"/>
    </xf>
    <xf numFmtId="0" fontId="41" fillId="5" borderId="0" xfId="43984" applyFont="1" applyFill="1" applyAlignment="1">
      <alignment horizontal="left" vertical="top"/>
    </xf>
    <xf numFmtId="0" fontId="19" fillId="5" borderId="0" xfId="0" applyFont="1" applyFill="1"/>
    <xf numFmtId="3" fontId="19" fillId="5" borderId="0" xfId="0" applyNumberFormat="1" applyFont="1" applyFill="1"/>
    <xf numFmtId="37" fontId="42" fillId="0" borderId="0" xfId="43983" applyFont="1" applyAlignment="1">
      <alignment horizontal="left" indent="1"/>
    </xf>
    <xf numFmtId="0" fontId="19" fillId="125" borderId="0" xfId="0" applyFont="1" applyFill="1"/>
    <xf numFmtId="3" fontId="19" fillId="125" borderId="0" xfId="0" applyNumberFormat="1" applyFont="1" applyFill="1"/>
    <xf numFmtId="37" fontId="42" fillId="0" borderId="0" xfId="43983" applyFont="1"/>
    <xf numFmtId="37" fontId="41" fillId="0" borderId="0" xfId="43983" applyFont="1" applyAlignment="1">
      <alignment vertical="center"/>
    </xf>
    <xf numFmtId="0" fontId="19" fillId="5" borderId="72" xfId="0" applyFont="1" applyFill="1" applyBorder="1"/>
    <xf numFmtId="3" fontId="19" fillId="5" borderId="72" xfId="0" applyNumberFormat="1" applyFont="1" applyFill="1" applyBorder="1"/>
    <xf numFmtId="37" fontId="42" fillId="5" borderId="0" xfId="43983" applyFont="1" applyFill="1" applyAlignment="1">
      <alignment horizontal="left" indent="1"/>
    </xf>
    <xf numFmtId="0" fontId="42" fillId="0" borderId="0" xfId="0" applyFont="1" applyAlignment="1">
      <alignment horizontal="left" indent="1"/>
    </xf>
    <xf numFmtId="0" fontId="16" fillId="5" borderId="0" xfId="0" applyFont="1" applyFill="1" applyAlignment="1">
      <alignment horizontal="left" indent="1"/>
    </xf>
    <xf numFmtId="3" fontId="43" fillId="6" borderId="0" xfId="0" applyNumberFormat="1" applyFont="1" applyFill="1"/>
    <xf numFmtId="0" fontId="15" fillId="0" borderId="0" xfId="0" applyFont="1"/>
    <xf numFmtId="14" fontId="15" fillId="2" borderId="0" xfId="0" applyNumberFormat="1" applyFont="1" applyFill="1" applyAlignment="1" applyProtection="1">
      <alignment horizontal="center"/>
      <protection locked="0"/>
    </xf>
    <xf numFmtId="14" fontId="15" fillId="2" borderId="0" xfId="0" quotePrefix="1" applyNumberFormat="1" applyFont="1" applyFill="1" applyAlignment="1" applyProtection="1">
      <alignment horizontal="center"/>
      <protection locked="0"/>
    </xf>
    <xf numFmtId="1" fontId="13" fillId="2" borderId="25" xfId="4" applyNumberFormat="1" applyFont="1" applyFill="1" applyBorder="1" applyAlignment="1">
      <alignment horizontal="centerContinuous"/>
    </xf>
    <xf numFmtId="0" fontId="16" fillId="0" borderId="26" xfId="0" applyFont="1" applyBorder="1"/>
    <xf numFmtId="0" fontId="16" fillId="0" borderId="26" xfId="0" applyFont="1" applyBorder="1" applyAlignment="1">
      <alignment horizontal="center" vertical="center" wrapText="1"/>
    </xf>
    <xf numFmtId="191" fontId="16" fillId="0" borderId="0" xfId="23" applyNumberFormat="1" applyFont="1" applyAlignment="1">
      <alignment horizontal="center"/>
    </xf>
    <xf numFmtId="0" fontId="247" fillId="0" borderId="0" xfId="0" applyFont="1"/>
    <xf numFmtId="0" fontId="19" fillId="4" borderId="0" xfId="0" applyFont="1" applyFill="1"/>
    <xf numFmtId="191" fontId="19" fillId="4" borderId="0" xfId="0" applyNumberFormat="1" applyFont="1" applyFill="1"/>
    <xf numFmtId="175" fontId="19" fillId="0" borderId="0" xfId="0" applyNumberFormat="1" applyFont="1" applyAlignment="1">
      <alignment horizontal="center"/>
    </xf>
    <xf numFmtId="175" fontId="16" fillId="0" borderId="0" xfId="0" applyNumberFormat="1" applyFont="1" applyAlignment="1">
      <alignment horizontal="center"/>
    </xf>
    <xf numFmtId="191" fontId="19" fillId="0" borderId="0" xfId="23" applyNumberFormat="1" applyFont="1" applyAlignment="1">
      <alignment horizontal="center"/>
    </xf>
    <xf numFmtId="0" fontId="16" fillId="0" borderId="23" xfId="0" applyFont="1" applyBorder="1"/>
    <xf numFmtId="173" fontId="16" fillId="0" borderId="13" xfId="0" applyNumberFormat="1" applyFont="1" applyBorder="1"/>
    <xf numFmtId="175" fontId="16" fillId="0" borderId="0" xfId="23" applyNumberFormat="1" applyFont="1"/>
    <xf numFmtId="9" fontId="16" fillId="0" borderId="13" xfId="12" applyFont="1" applyBorder="1"/>
    <xf numFmtId="173" fontId="16" fillId="0" borderId="13" xfId="12" applyNumberFormat="1" applyFont="1" applyBorder="1"/>
    <xf numFmtId="175" fontId="19" fillId="4" borderId="0" xfId="0" applyNumberFormat="1" applyFont="1" applyFill="1" applyAlignment="1">
      <alignment horizontal="center"/>
    </xf>
    <xf numFmtId="191" fontId="19" fillId="4" borderId="0" xfId="0" applyNumberFormat="1" applyFont="1" applyFill="1" applyAlignment="1">
      <alignment horizontal="center"/>
    </xf>
    <xf numFmtId="0" fontId="16" fillId="0" borderId="13" xfId="0" applyFont="1" applyBorder="1"/>
    <xf numFmtId="10" fontId="16" fillId="0" borderId="13" xfId="0" applyNumberFormat="1" applyFont="1" applyBorder="1"/>
    <xf numFmtId="9" fontId="249" fillId="0" borderId="0" xfId="0" applyNumberFormat="1" applyFont="1"/>
    <xf numFmtId="0" fontId="43" fillId="2" borderId="0" xfId="0" applyFont="1" applyFill="1" applyAlignment="1">
      <alignment horizontal="center"/>
    </xf>
    <xf numFmtId="173" fontId="16" fillId="0" borderId="0" xfId="0" applyNumberFormat="1" applyFont="1"/>
    <xf numFmtId="173" fontId="16" fillId="0" borderId="0" xfId="0" applyNumberFormat="1" applyFont="1" applyAlignment="1">
      <alignment horizontal="center"/>
    </xf>
    <xf numFmtId="9" fontId="16" fillId="0" borderId="0" xfId="0" applyNumberFormat="1" applyFont="1" applyAlignment="1">
      <alignment horizontal="center"/>
    </xf>
    <xf numFmtId="173" fontId="19" fillId="0" borderId="0" xfId="0" applyNumberFormat="1" applyFont="1"/>
    <xf numFmtId="177" fontId="20" fillId="9" borderId="0" xfId="0" applyNumberFormat="1" applyFont="1" applyFill="1" applyAlignment="1" applyProtection="1">
      <alignment horizontal="center"/>
      <protection locked="0"/>
    </xf>
    <xf numFmtId="0" fontId="76" fillId="5" borderId="0" xfId="0" applyFont="1" applyFill="1"/>
    <xf numFmtId="0" fontId="250" fillId="0" borderId="0" xfId="0" applyFont="1" applyAlignment="1">
      <alignment horizontal="left" vertical="center"/>
    </xf>
    <xf numFmtId="0" fontId="76" fillId="0" borderId="0" xfId="0" applyFont="1" applyAlignment="1">
      <alignment horizontal="center" vertical="center"/>
    </xf>
    <xf numFmtId="0" fontId="251" fillId="0" borderId="0" xfId="0" applyFont="1"/>
    <xf numFmtId="0" fontId="75" fillId="0" borderId="0" xfId="0" applyFont="1" applyAlignment="1">
      <alignment horizontal="left"/>
    </xf>
    <xf numFmtId="0" fontId="75" fillId="0" borderId="0" xfId="0" applyFont="1" applyAlignment="1">
      <alignment horizontal="center"/>
    </xf>
    <xf numFmtId="14" fontId="75" fillId="0" borderId="0" xfId="0" applyNumberFormat="1" applyFont="1" applyAlignment="1">
      <alignment horizontal="center"/>
    </xf>
    <xf numFmtId="0" fontId="75" fillId="126" borderId="0" xfId="0" applyFont="1" applyFill="1" applyAlignment="1">
      <alignment horizontal="center" vertical="center"/>
    </xf>
    <xf numFmtId="166" fontId="75" fillId="0" borderId="0" xfId="23" applyFont="1" applyAlignment="1">
      <alignment horizontal="center"/>
    </xf>
    <xf numFmtId="166" fontId="253" fillId="127" borderId="0" xfId="23" applyFont="1" applyFill="1"/>
    <xf numFmtId="0" fontId="254" fillId="126" borderId="0" xfId="0" applyFont="1" applyFill="1" applyAlignment="1">
      <alignment horizontal="center" vertical="center"/>
    </xf>
    <xf numFmtId="0" fontId="75" fillId="126" borderId="0" xfId="0" quotePrefix="1" applyFont="1" applyFill="1" applyAlignment="1">
      <alignment horizontal="center" vertical="center"/>
    </xf>
    <xf numFmtId="3" fontId="63" fillId="124" borderId="0" xfId="0" applyNumberFormat="1" applyFont="1" applyFill="1"/>
    <xf numFmtId="0" fontId="16" fillId="3" borderId="0" xfId="1" applyNumberFormat="1" applyFont="1" applyFill="1" applyBorder="1" applyAlignment="1">
      <alignment horizontal="center" vertical="center"/>
    </xf>
    <xf numFmtId="0" fontId="6" fillId="2" borderId="0" xfId="0" applyFont="1" applyFill="1" applyAlignment="1" applyProtection="1">
      <alignment horizontal="center"/>
      <protection locked="0"/>
    </xf>
    <xf numFmtId="1" fontId="5" fillId="15" borderId="0" xfId="0" applyNumberFormat="1" applyFont="1" applyFill="1" applyAlignment="1">
      <alignment horizontal="center"/>
    </xf>
    <xf numFmtId="2" fontId="9" fillId="15" borderId="0" xfId="0" applyNumberFormat="1" applyFont="1" applyFill="1" applyAlignment="1">
      <alignment horizontal="center"/>
    </xf>
    <xf numFmtId="2" fontId="5" fillId="0" borderId="0" xfId="0" applyNumberFormat="1" applyFont="1" applyAlignment="1">
      <alignment horizontal="center"/>
    </xf>
    <xf numFmtId="14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77" fontId="41" fillId="5" borderId="73" xfId="1" applyNumberFormat="1" applyFont="1" applyFill="1" applyBorder="1" applyAlignment="1">
      <alignment horizontal="right" vertical="center"/>
    </xf>
    <xf numFmtId="177" fontId="41" fillId="0" borderId="73" xfId="1" applyNumberFormat="1" applyFont="1" applyFill="1" applyBorder="1" applyAlignment="1">
      <alignment horizontal="right" vertical="center"/>
    </xf>
    <xf numFmtId="175" fontId="16" fillId="128" borderId="0" xfId="1" applyNumberFormat="1" applyFont="1" applyFill="1"/>
    <xf numFmtId="177" fontId="42" fillId="128" borderId="12" xfId="1" applyNumberFormat="1" applyFont="1" applyFill="1" applyBorder="1" applyAlignment="1">
      <alignment horizontal="right" vertical="center"/>
    </xf>
    <xf numFmtId="175" fontId="42" fillId="0" borderId="12" xfId="1" applyNumberFormat="1" applyFont="1" applyFill="1" applyBorder="1"/>
    <xf numFmtId="0" fontId="41" fillId="5" borderId="73" xfId="18" applyFont="1" applyFill="1" applyBorder="1" applyAlignment="1">
      <alignment horizontal="left"/>
    </xf>
    <xf numFmtId="173" fontId="42" fillId="5" borderId="0" xfId="43986" applyNumberFormat="1" applyFont="1" applyFill="1"/>
    <xf numFmtId="173" fontId="16" fillId="5" borderId="0" xfId="43986" applyNumberFormat="1" applyFont="1" applyFill="1"/>
    <xf numFmtId="10" fontId="16" fillId="5" borderId="0" xfId="43986" applyNumberFormat="1" applyFont="1" applyFill="1"/>
    <xf numFmtId="3" fontId="16" fillId="0" borderId="0" xfId="0" applyNumberFormat="1" applyFont="1" applyAlignment="1">
      <alignment horizontal="center"/>
    </xf>
    <xf numFmtId="173" fontId="16" fillId="0" borderId="0" xfId="12" applyNumberFormat="1" applyFont="1" applyAlignment="1">
      <alignment horizontal="center"/>
    </xf>
    <xf numFmtId="0" fontId="37" fillId="2" borderId="0" xfId="0" applyFont="1" applyFill="1" applyAlignment="1">
      <alignment horizontal="left"/>
    </xf>
    <xf numFmtId="14" fontId="37" fillId="2" borderId="0" xfId="0" applyNumberFormat="1" applyFont="1" applyFill="1" applyAlignment="1" applyProtection="1">
      <alignment horizontal="center"/>
      <protection locked="0"/>
    </xf>
    <xf numFmtId="0" fontId="42" fillId="5" borderId="1" xfId="3" applyFont="1" applyFill="1" applyBorder="1"/>
    <xf numFmtId="3" fontId="5" fillId="5" borderId="0" xfId="0" applyNumberFormat="1" applyFont="1" applyFill="1" applyAlignment="1">
      <alignment vertical="center"/>
    </xf>
    <xf numFmtId="0" fontId="15" fillId="2" borderId="0" xfId="0" applyFont="1" applyFill="1" applyAlignment="1" applyProtection="1">
      <alignment horizontal="center"/>
      <protection locked="0"/>
    </xf>
    <xf numFmtId="173" fontId="25" fillId="8" borderId="0" xfId="43986" quotePrefix="1" applyNumberFormat="1" applyFont="1" applyFill="1" applyAlignment="1">
      <alignment horizontal="center" vertical="center"/>
    </xf>
    <xf numFmtId="0" fontId="32" fillId="0" borderId="0" xfId="43988" applyFont="1" applyAlignment="1">
      <alignment vertical="center"/>
    </xf>
    <xf numFmtId="173" fontId="16" fillId="0" borderId="73" xfId="0" applyNumberFormat="1" applyFont="1" applyBorder="1"/>
    <xf numFmtId="0" fontId="14" fillId="9" borderId="0" xfId="0" applyFont="1" applyFill="1" applyAlignment="1">
      <alignment horizontal="center" vertical="center"/>
    </xf>
    <xf numFmtId="10" fontId="16" fillId="5" borderId="0" xfId="12" applyNumberFormat="1" applyFont="1" applyFill="1" applyAlignment="1">
      <alignment horizontal="center"/>
    </xf>
    <xf numFmtId="10" fontId="0" fillId="5" borderId="0" xfId="12" applyNumberFormat="1" applyFont="1" applyFill="1" applyAlignment="1">
      <alignment horizontal="center"/>
    </xf>
    <xf numFmtId="173" fontId="16" fillId="5" borderId="0" xfId="12" applyNumberFormat="1" applyFont="1" applyFill="1" applyAlignment="1">
      <alignment horizontal="center"/>
    </xf>
    <xf numFmtId="0" fontId="62" fillId="5" borderId="0" xfId="0" applyFont="1" applyFill="1"/>
    <xf numFmtId="0" fontId="257" fillId="2" borderId="75" xfId="0" applyFont="1" applyFill="1" applyBorder="1" applyAlignment="1">
      <alignment vertical="center"/>
    </xf>
    <xf numFmtId="0" fontId="253" fillId="14" borderId="76" xfId="0" applyFont="1" applyFill="1" applyBorder="1" applyAlignment="1">
      <alignment vertical="center"/>
    </xf>
    <xf numFmtId="0" fontId="75" fillId="5" borderId="75" xfId="0" applyFont="1" applyFill="1" applyBorder="1" applyAlignment="1">
      <alignment vertical="center"/>
    </xf>
    <xf numFmtId="0" fontId="75" fillId="0" borderId="75" xfId="0" applyFont="1" applyBorder="1" applyAlignment="1">
      <alignment vertical="center"/>
    </xf>
    <xf numFmtId="0" fontId="75" fillId="0" borderId="75" xfId="0" applyFont="1" applyBorder="1"/>
    <xf numFmtId="0" fontId="258" fillId="0" borderId="75" xfId="0" applyFont="1" applyBorder="1" applyAlignment="1">
      <alignment vertical="center" wrapText="1"/>
    </xf>
    <xf numFmtId="0" fontId="75" fillId="0" borderId="75" xfId="0" applyFont="1" applyBorder="1" applyAlignment="1">
      <alignment vertical="center" wrapText="1"/>
    </xf>
    <xf numFmtId="0" fontId="75" fillId="129" borderId="75" xfId="0" applyFont="1" applyFill="1" applyBorder="1" applyAlignment="1">
      <alignment vertical="center"/>
    </xf>
    <xf numFmtId="0" fontId="75" fillId="129" borderId="77" xfId="0" applyFont="1" applyFill="1" applyBorder="1" applyAlignment="1">
      <alignment vertical="center"/>
    </xf>
    <xf numFmtId="0" fontId="259" fillId="14" borderId="78" xfId="0" applyFont="1" applyFill="1" applyBorder="1" applyAlignment="1">
      <alignment horizontal="right"/>
    </xf>
    <xf numFmtId="175" fontId="258" fillId="0" borderId="22" xfId="23" applyNumberFormat="1" applyFont="1" applyFill="1" applyBorder="1" applyAlignment="1">
      <alignment horizontal="right" wrapText="1"/>
    </xf>
    <xf numFmtId="194" fontId="258" fillId="0" borderId="8" xfId="12" applyNumberFormat="1" applyFont="1" applyFill="1" applyBorder="1" applyAlignment="1">
      <alignment horizontal="right" wrapText="1"/>
    </xf>
    <xf numFmtId="175" fontId="258" fillId="0" borderId="17" xfId="23" applyNumberFormat="1" applyFont="1" applyFill="1" applyBorder="1" applyAlignment="1">
      <alignment horizontal="right" wrapText="1"/>
    </xf>
    <xf numFmtId="173" fontId="258" fillId="0" borderId="8" xfId="12" applyNumberFormat="1" applyFont="1" applyFill="1" applyBorder="1" applyAlignment="1">
      <alignment horizontal="right" wrapText="1"/>
    </xf>
    <xf numFmtId="173" fontId="258" fillId="0" borderId="8" xfId="23" applyNumberFormat="1" applyFont="1" applyFill="1" applyBorder="1" applyAlignment="1">
      <alignment horizontal="right" wrapText="1"/>
    </xf>
    <xf numFmtId="175" fontId="258" fillId="0" borderId="8" xfId="42560" applyNumberFormat="1" applyFont="1" applyFill="1" applyBorder="1" applyAlignment="1">
      <alignment horizontal="right" wrapText="1"/>
    </xf>
    <xf numFmtId="171" fontId="258" fillId="0" borderId="8" xfId="42475" applyNumberFormat="1" applyFont="1" applyFill="1" applyBorder="1" applyAlignment="1">
      <alignment horizontal="right"/>
    </xf>
    <xf numFmtId="175" fontId="258" fillId="0" borderId="8" xfId="42475" applyNumberFormat="1" applyFont="1" applyFill="1" applyBorder="1" applyAlignment="1">
      <alignment horizontal="right"/>
    </xf>
    <xf numFmtId="175" fontId="258" fillId="0" borderId="7" xfId="42475" applyNumberFormat="1" applyFont="1" applyFill="1" applyBorder="1" applyAlignment="1">
      <alignment horizontal="right"/>
    </xf>
    <xf numFmtId="9" fontId="258" fillId="0" borderId="8" xfId="12" applyFont="1" applyFill="1" applyBorder="1" applyAlignment="1">
      <alignment horizontal="right"/>
    </xf>
    <xf numFmtId="9" fontId="258" fillId="0" borderId="8" xfId="42479" applyNumberFormat="1" applyFont="1" applyFill="1" applyBorder="1" applyAlignment="1">
      <alignment horizontal="right" wrapText="1"/>
    </xf>
    <xf numFmtId="175" fontId="258" fillId="0" borderId="79" xfId="23" applyNumberFormat="1" applyFont="1" applyFill="1" applyBorder="1" applyAlignment="1">
      <alignment horizontal="right"/>
    </xf>
    <xf numFmtId="0" fontId="75" fillId="5" borderId="75" xfId="0" applyFont="1" applyFill="1" applyBorder="1" applyAlignment="1">
      <alignment vertical="center" wrapText="1"/>
    </xf>
    <xf numFmtId="0" fontId="0" fillId="5" borderId="0" xfId="0" applyFill="1" applyAlignment="1">
      <alignment wrapText="1"/>
    </xf>
    <xf numFmtId="175" fontId="258" fillId="0" borderId="8" xfId="23" applyNumberFormat="1" applyFont="1" applyFill="1" applyBorder="1" applyAlignment="1">
      <alignment horizontal="center" vertical="center" wrapText="1"/>
    </xf>
    <xf numFmtId="0" fontId="75" fillId="5" borderId="0" xfId="43989" applyFont="1" applyFill="1" applyAlignment="1">
      <alignment horizontal="left" vertical="center"/>
    </xf>
    <xf numFmtId="0" fontId="75" fillId="5" borderId="0" xfId="43990" applyFont="1" applyFill="1" applyAlignment="1">
      <alignment horizontal="left" vertical="center"/>
    </xf>
    <xf numFmtId="0" fontId="75" fillId="5" borderId="0" xfId="43990" applyFont="1" applyFill="1" applyAlignment="1">
      <alignment horizontal="left" vertical="center" wrapText="1"/>
    </xf>
    <xf numFmtId="0" fontId="75" fillId="5" borderId="0" xfId="43989" applyFont="1" applyFill="1" applyAlignment="1">
      <alignment horizontal="left" vertical="center" indent="1"/>
    </xf>
    <xf numFmtId="0" fontId="75" fillId="5" borderId="0" xfId="1068" applyFont="1" applyFill="1" applyAlignment="1">
      <alignment horizontal="left" vertical="center" indent="1"/>
    </xf>
    <xf numFmtId="0" fontId="75" fillId="5" borderId="0" xfId="850" applyFont="1" applyFill="1" applyAlignment="1">
      <alignment horizontal="left" vertical="center" wrapText="1" indent="1"/>
    </xf>
    <xf numFmtId="0" fontId="75" fillId="5" borderId="0" xfId="43990" applyFont="1" applyFill="1" applyAlignment="1">
      <alignment horizontal="left" vertical="center" indent="1"/>
    </xf>
    <xf numFmtId="0" fontId="75" fillId="5" borderId="0" xfId="43990" applyFont="1" applyFill="1" applyAlignment="1">
      <alignment horizontal="left" vertical="center" wrapText="1" indent="1"/>
    </xf>
    <xf numFmtId="0" fontId="18" fillId="5" borderId="74" xfId="2" applyFont="1" applyFill="1" applyBorder="1" applyAlignment="1">
      <alignment horizontal="left" indent="1"/>
    </xf>
    <xf numFmtId="0" fontId="0" fillId="5" borderId="74" xfId="0" applyFill="1" applyBorder="1" applyAlignment="1">
      <alignment horizontal="center"/>
    </xf>
    <xf numFmtId="3" fontId="19" fillId="5" borderId="74" xfId="0" applyNumberFormat="1" applyFont="1" applyFill="1" applyBorder="1" applyAlignment="1">
      <alignment horizontal="right"/>
    </xf>
    <xf numFmtId="0" fontId="17" fillId="5" borderId="0" xfId="2" applyFont="1" applyFill="1" applyAlignment="1">
      <alignment horizontal="left" indent="3"/>
    </xf>
    <xf numFmtId="189" fontId="16" fillId="0" borderId="0" xfId="0" applyNumberFormat="1" applyFont="1"/>
    <xf numFmtId="0" fontId="49" fillId="2" borderId="0" xfId="0" applyFont="1" applyFill="1" applyAlignment="1">
      <alignment horizontal="center" vertical="center"/>
    </xf>
    <xf numFmtId="173" fontId="51" fillId="10" borderId="0" xfId="12" applyNumberFormat="1" applyFont="1" applyFill="1" applyBorder="1" applyAlignment="1">
      <alignment horizontal="center" vertical="center"/>
    </xf>
    <xf numFmtId="173" fontId="53" fillId="10" borderId="11" xfId="12" applyNumberFormat="1" applyFont="1" applyFill="1" applyBorder="1" applyAlignment="1">
      <alignment horizontal="center"/>
    </xf>
    <xf numFmtId="0" fontId="260" fillId="0" borderId="0" xfId="0" applyFont="1"/>
    <xf numFmtId="255" fontId="68" fillId="0" borderId="14" xfId="22" applyNumberFormat="1" applyFont="1" applyBorder="1" applyAlignment="1">
      <alignment horizontal="right"/>
    </xf>
    <xf numFmtId="173" fontId="16" fillId="5" borderId="0" xfId="0" applyNumberFormat="1" applyFont="1" applyFill="1"/>
    <xf numFmtId="1" fontId="12" fillId="130" borderId="0" xfId="4" applyNumberFormat="1" applyFont="1" applyFill="1" applyAlignment="1">
      <alignment horizontal="center" vertical="center" wrapText="1"/>
    </xf>
    <xf numFmtId="1" fontId="12" fillId="130" borderId="0" xfId="4" applyNumberFormat="1" applyFont="1" applyFill="1" applyAlignment="1">
      <alignment horizontal="center" vertical="center"/>
    </xf>
    <xf numFmtId="1" fontId="12" fillId="130" borderId="5" xfId="4" applyNumberFormat="1" applyFont="1" applyFill="1" applyBorder="1" applyAlignment="1">
      <alignment horizontal="center" vertical="center" wrapText="1"/>
    </xf>
    <xf numFmtId="1" fontId="12" fillId="130" borderId="5" xfId="4" applyNumberFormat="1" applyFont="1" applyFill="1" applyBorder="1" applyAlignment="1">
      <alignment horizontal="center" vertical="center"/>
    </xf>
    <xf numFmtId="1" fontId="12" fillId="130" borderId="0" xfId="4" applyNumberFormat="1" applyFont="1" applyFill="1"/>
    <xf numFmtId="177" fontId="6" fillId="130" borderId="0" xfId="43987" applyNumberFormat="1" applyFont="1" applyFill="1" applyBorder="1" applyAlignment="1">
      <alignment vertical="center"/>
    </xf>
    <xf numFmtId="177" fontId="6" fillId="130" borderId="0" xfId="43987" quotePrefix="1" applyNumberFormat="1" applyFont="1" applyFill="1" applyBorder="1" applyAlignment="1">
      <alignment vertical="center"/>
    </xf>
    <xf numFmtId="177" fontId="12" fillId="130" borderId="0" xfId="43987" applyNumberFormat="1" applyFont="1" applyFill="1" applyBorder="1" applyAlignment="1">
      <alignment vertical="center"/>
    </xf>
    <xf numFmtId="177" fontId="17" fillId="0" borderId="0" xfId="43987" applyNumberFormat="1" applyFont="1" applyFill="1" applyBorder="1" applyAlignment="1">
      <alignment vertical="center" wrapText="1"/>
    </xf>
    <xf numFmtId="177" fontId="17" fillId="0" borderId="1" xfId="43987" applyNumberFormat="1" applyFont="1" applyFill="1" applyBorder="1" applyAlignment="1">
      <alignment vertical="center" wrapText="1"/>
    </xf>
    <xf numFmtId="177" fontId="261" fillId="0" borderId="1" xfId="43987" applyNumberFormat="1" applyFont="1" applyFill="1" applyBorder="1" applyAlignment="1">
      <alignment vertical="center" wrapText="1"/>
    </xf>
    <xf numFmtId="177" fontId="17" fillId="0" borderId="74" xfId="43987" applyNumberFormat="1" applyFont="1" applyBorder="1" applyAlignment="1">
      <alignment horizontal="left" vertical="center"/>
    </xf>
    <xf numFmtId="177" fontId="48" fillId="5" borderId="0" xfId="0" applyNumberFormat="1" applyFont="1" applyFill="1" applyAlignment="1">
      <alignment horizontal="center" vertical="center"/>
    </xf>
    <xf numFmtId="177" fontId="18" fillId="4" borderId="0" xfId="43987" applyNumberFormat="1" applyFont="1" applyFill="1" applyBorder="1" applyAlignment="1">
      <alignment horizontal="right" vertical="center"/>
    </xf>
    <xf numFmtId="177" fontId="17" fillId="0" borderId="0" xfId="43987" applyNumberFormat="1" applyFont="1" applyFill="1" applyBorder="1" applyAlignment="1">
      <alignment horizontal="left" vertical="center"/>
    </xf>
    <xf numFmtId="177" fontId="35" fillId="0" borderId="0" xfId="43987" applyNumberFormat="1" applyFont="1" applyFill="1" applyBorder="1" applyAlignment="1">
      <alignment horizontal="left" vertical="center"/>
    </xf>
    <xf numFmtId="1" fontId="12" fillId="130" borderId="0" xfId="4" applyNumberFormat="1" applyFont="1" applyFill="1" applyAlignment="1">
      <alignment vertical="center"/>
    </xf>
    <xf numFmtId="0" fontId="21" fillId="4" borderId="0" xfId="5" applyFont="1" applyFill="1"/>
    <xf numFmtId="10" fontId="21" fillId="127" borderId="0" xfId="12" applyNumberFormat="1" applyFont="1" applyFill="1"/>
    <xf numFmtId="10" fontId="21" fillId="4" borderId="0" xfId="12" applyNumberFormat="1" applyFont="1" applyFill="1"/>
    <xf numFmtId="177" fontId="12" fillId="130" borderId="0" xfId="7" applyNumberFormat="1" applyFont="1" applyFill="1" applyBorder="1" applyAlignment="1">
      <alignment vertical="center"/>
    </xf>
    <xf numFmtId="0" fontId="65" fillId="0" borderId="0" xfId="0" applyFont="1" applyAlignment="1">
      <alignment horizontal="left"/>
    </xf>
    <xf numFmtId="177" fontId="68" fillId="0" borderId="80" xfId="22" applyNumberFormat="1" applyFont="1" applyBorder="1" applyAlignment="1">
      <alignment horizontal="right"/>
    </xf>
    <xf numFmtId="9" fontId="16" fillId="5" borderId="0" xfId="12" applyFont="1" applyFill="1"/>
    <xf numFmtId="175" fontId="258" fillId="0" borderId="22" xfId="1" applyNumberFormat="1" applyFont="1" applyBorder="1" applyAlignment="1">
      <alignment horizontal="right" wrapText="1"/>
    </xf>
    <xf numFmtId="194" fontId="258" fillId="0" borderId="8" xfId="12" applyNumberFormat="1" applyFont="1" applyBorder="1" applyAlignment="1">
      <alignment horizontal="right" wrapText="1"/>
    </xf>
    <xf numFmtId="175" fontId="258" fillId="0" borderId="8" xfId="1" applyNumberFormat="1" applyFont="1" applyBorder="1" applyAlignment="1">
      <alignment horizontal="center" vertical="center" wrapText="1"/>
    </xf>
    <xf numFmtId="175" fontId="258" fillId="0" borderId="17" xfId="1" applyNumberFormat="1" applyFont="1" applyBorder="1" applyAlignment="1">
      <alignment horizontal="right" wrapText="1"/>
    </xf>
    <xf numFmtId="173" fontId="258" fillId="0" borderId="8" xfId="12" applyNumberFormat="1" applyFont="1" applyBorder="1" applyAlignment="1">
      <alignment horizontal="right" wrapText="1"/>
    </xf>
    <xf numFmtId="173" fontId="258" fillId="0" borderId="8" xfId="1" applyNumberFormat="1" applyFont="1" applyBorder="1" applyAlignment="1">
      <alignment horizontal="right" wrapText="1"/>
    </xf>
    <xf numFmtId="175" fontId="258" fillId="0" borderId="8" xfId="42560" applyNumberFormat="1" applyFont="1" applyBorder="1" applyAlignment="1">
      <alignment horizontal="right" wrapText="1"/>
    </xf>
    <xf numFmtId="171" fontId="258" fillId="0" borderId="8" xfId="42475" applyNumberFormat="1" applyFont="1" applyBorder="1" applyAlignment="1">
      <alignment horizontal="right"/>
    </xf>
    <xf numFmtId="175" fontId="258" fillId="0" borderId="8" xfId="42475" applyNumberFormat="1" applyFont="1" applyBorder="1" applyAlignment="1">
      <alignment horizontal="right"/>
    </xf>
    <xf numFmtId="175" fontId="258" fillId="0" borderId="7" xfId="42475" applyNumberFormat="1" applyFont="1" applyBorder="1" applyAlignment="1">
      <alignment horizontal="right"/>
    </xf>
    <xf numFmtId="9" fontId="258" fillId="0" borderId="8" xfId="12" applyFont="1" applyBorder="1" applyAlignment="1">
      <alignment horizontal="right"/>
    </xf>
    <xf numFmtId="9" fontId="258" fillId="0" borderId="8" xfId="42479" applyNumberFormat="1" applyFont="1" applyBorder="1" applyAlignment="1">
      <alignment horizontal="right" wrapText="1"/>
    </xf>
    <xf numFmtId="175" fontId="258" fillId="0" borderId="79" xfId="1" applyNumberFormat="1" applyFont="1" applyBorder="1" applyAlignment="1">
      <alignment horizontal="right"/>
    </xf>
    <xf numFmtId="177" fontId="67" fillId="0" borderId="0" xfId="1" applyNumberFormat="1" applyFont="1"/>
    <xf numFmtId="191" fontId="16" fillId="0" borderId="0" xfId="1" applyNumberFormat="1" applyFont="1" applyAlignment="1">
      <alignment horizontal="center"/>
    </xf>
    <xf numFmtId="175" fontId="16" fillId="0" borderId="0" xfId="1" applyNumberFormat="1" applyFont="1"/>
    <xf numFmtId="0" fontId="242" fillId="4" borderId="0" xfId="7" applyNumberFormat="1" applyFont="1" applyFill="1" applyAlignment="1">
      <alignment horizontal="center"/>
    </xf>
    <xf numFmtId="177" fontId="243" fillId="5" borderId="0" xfId="7" applyNumberFormat="1" applyFont="1" applyFill="1" applyAlignment="1">
      <alignment horizontal="right" vertical="center" wrapText="1"/>
    </xf>
    <xf numFmtId="177" fontId="244" fillId="5" borderId="0" xfId="7" applyNumberFormat="1" applyFont="1" applyFill="1" applyAlignment="1">
      <alignment horizontal="center" vertical="center"/>
    </xf>
    <xf numFmtId="177" fontId="243" fillId="5" borderId="0" xfId="7" applyNumberFormat="1" applyFont="1" applyFill="1" applyAlignment="1">
      <alignment horizontal="center" vertical="center"/>
    </xf>
    <xf numFmtId="177" fontId="244" fillId="5" borderId="0" xfId="7" applyNumberFormat="1" applyFont="1" applyFill="1" applyAlignment="1">
      <alignment horizontal="right" vertical="center"/>
    </xf>
    <xf numFmtId="177" fontId="243" fillId="5" borderId="0" xfId="7" applyNumberFormat="1" applyFont="1" applyFill="1" applyAlignment="1">
      <alignment horizontal="right" vertical="center"/>
    </xf>
    <xf numFmtId="177" fontId="243" fillId="3" borderId="0" xfId="7" applyNumberFormat="1" applyFont="1" applyFill="1" applyAlignment="1">
      <alignment horizontal="right" vertical="center"/>
    </xf>
    <xf numFmtId="3" fontId="18" fillId="0" borderId="11" xfId="15" applyNumberFormat="1" applyFont="1" applyBorder="1" applyAlignment="1">
      <alignment horizontal="right" vertical="center"/>
    </xf>
    <xf numFmtId="177" fontId="18" fillId="0" borderId="11" xfId="15" applyNumberFormat="1" applyFont="1" applyBorder="1" applyAlignment="1">
      <alignment horizontal="right" vertical="center"/>
    </xf>
    <xf numFmtId="187" fontId="17" fillId="10" borderId="0" xfId="14" applyNumberFormat="1" applyFont="1" applyFill="1"/>
    <xf numFmtId="177" fontId="6" fillId="2" borderId="0" xfId="1" applyNumberFormat="1" applyFont="1" applyFill="1" applyAlignment="1">
      <alignment horizontal="right" vertical="center"/>
    </xf>
    <xf numFmtId="187" fontId="17" fillId="0" borderId="0" xfId="14" applyNumberFormat="1" applyFont="1"/>
    <xf numFmtId="177" fontId="5" fillId="0" borderId="0" xfId="1" applyNumberFormat="1" applyFont="1" applyAlignment="1">
      <alignment horizontal="right"/>
    </xf>
    <xf numFmtId="3" fontId="16" fillId="5" borderId="80" xfId="0" applyNumberFormat="1" applyFont="1" applyFill="1" applyBorder="1" applyAlignment="1">
      <alignment horizontal="right"/>
    </xf>
    <xf numFmtId="0" fontId="262" fillId="0" borderId="0" xfId="0" applyFont="1" applyAlignment="1">
      <alignment horizontal="left"/>
    </xf>
    <xf numFmtId="0" fontId="262" fillId="0" borderId="0" xfId="0" applyFont="1"/>
    <xf numFmtId="0" fontId="262" fillId="0" borderId="0" xfId="0" applyFont="1" applyAlignment="1">
      <alignment horizontal="center"/>
    </xf>
    <xf numFmtId="14" fontId="262" fillId="0" borderId="0" xfId="0" applyNumberFormat="1" applyFont="1" applyAlignment="1">
      <alignment horizontal="center"/>
    </xf>
    <xf numFmtId="0" fontId="262" fillId="126" borderId="0" xfId="0" applyFont="1" applyFill="1" applyAlignment="1">
      <alignment horizontal="center" vertical="center"/>
    </xf>
    <xf numFmtId="166" fontId="262" fillId="0" borderId="0" xfId="23" applyFont="1" applyAlignment="1">
      <alignment horizontal="center"/>
    </xf>
    <xf numFmtId="166" fontId="263" fillId="127" borderId="0" xfId="23" applyFont="1" applyFill="1"/>
    <xf numFmtId="0" fontId="43" fillId="6" borderId="0" xfId="0" applyFont="1" applyFill="1" applyAlignment="1">
      <alignment horizontal="right"/>
    </xf>
    <xf numFmtId="3" fontId="19" fillId="125" borderId="0" xfId="0" applyNumberFormat="1" applyFont="1" applyFill="1" applyAlignment="1">
      <alignment horizontal="right"/>
    </xf>
    <xf numFmtId="3" fontId="19" fillId="5" borderId="72" xfId="0" applyNumberFormat="1" applyFont="1" applyFill="1" applyBorder="1" applyAlignment="1">
      <alignment horizontal="right"/>
    </xf>
    <xf numFmtId="189" fontId="42" fillId="0" borderId="0" xfId="0" applyNumberFormat="1" applyFont="1"/>
    <xf numFmtId="43" fontId="0" fillId="5" borderId="0" xfId="1" applyNumberFormat="1" applyFont="1" applyFill="1"/>
    <xf numFmtId="43" fontId="0" fillId="3" borderId="0" xfId="1" applyNumberFormat="1" applyFont="1" applyFill="1"/>
    <xf numFmtId="189" fontId="16" fillId="0" borderId="0" xfId="0" applyNumberFormat="1" applyFont="1" applyAlignment="1">
      <alignment horizontal="center"/>
    </xf>
    <xf numFmtId="189" fontId="16" fillId="15" borderId="0" xfId="0" applyNumberFormat="1" applyFont="1" applyFill="1" applyAlignment="1">
      <alignment horizontal="center"/>
    </xf>
    <xf numFmtId="189" fontId="16" fillId="0" borderId="1" xfId="0" applyNumberFormat="1" applyFont="1" applyBorder="1" applyAlignment="1">
      <alignment horizontal="center"/>
    </xf>
    <xf numFmtId="189" fontId="16" fillId="3" borderId="0" xfId="0" applyNumberFormat="1" applyFont="1" applyFill="1" applyAlignment="1">
      <alignment horizontal="center"/>
    </xf>
    <xf numFmtId="173" fontId="16" fillId="0" borderId="1" xfId="12" applyNumberFormat="1" applyFont="1" applyBorder="1" applyAlignment="1">
      <alignment horizontal="center"/>
    </xf>
    <xf numFmtId="0" fontId="8" fillId="0" borderId="0" xfId="43985" applyFont="1" applyAlignment="1">
      <alignment horizontal="center"/>
    </xf>
    <xf numFmtId="9" fontId="16" fillId="5" borderId="0" xfId="12" applyFont="1" applyFill="1" applyAlignment="1">
      <alignment horizontal="right"/>
    </xf>
    <xf numFmtId="0" fontId="264" fillId="0" borderId="0" xfId="0" applyFont="1"/>
    <xf numFmtId="0" fontId="14" fillId="131" borderId="0" xfId="0" applyFont="1" applyFill="1" applyAlignment="1">
      <alignment horizontal="left" indent="1"/>
    </xf>
    <xf numFmtId="0" fontId="14" fillId="131" borderId="0" xfId="0" applyFont="1" applyFill="1"/>
    <xf numFmtId="0" fontId="20" fillId="132" borderId="0" xfId="0" applyFont="1" applyFill="1"/>
    <xf numFmtId="0" fontId="20" fillId="132" borderId="0" xfId="0" applyFont="1" applyFill="1" applyAlignment="1">
      <alignment horizontal="center"/>
    </xf>
    <xf numFmtId="0" fontId="22" fillId="133" borderId="81" xfId="0" applyFont="1" applyFill="1" applyBorder="1"/>
    <xf numFmtId="191" fontId="22" fillId="133" borderId="81" xfId="0" applyNumberFormat="1" applyFont="1" applyFill="1" applyBorder="1" applyAlignment="1">
      <alignment horizontal="right"/>
    </xf>
    <xf numFmtId="0" fontId="25" fillId="0" borderId="0" xfId="0" applyFont="1"/>
    <xf numFmtId="191" fontId="25" fillId="0" borderId="0" xfId="0" applyNumberFormat="1" applyFont="1"/>
    <xf numFmtId="0" fontId="265" fillId="0" borderId="0" xfId="0" applyFont="1"/>
    <xf numFmtId="191" fontId="265" fillId="0" borderId="0" xfId="0" applyNumberFormat="1" applyFont="1"/>
    <xf numFmtId="14" fontId="0" fillId="0" borderId="0" xfId="0" applyNumberFormat="1" applyAlignment="1">
      <alignment horizontal="left"/>
    </xf>
    <xf numFmtId="0" fontId="266" fillId="0" borderId="0" xfId="0" applyFont="1"/>
    <xf numFmtId="0" fontId="10" fillId="2" borderId="0" xfId="0" applyFont="1" applyFill="1" applyAlignment="1">
      <alignment horizontal="center" vertical="center"/>
    </xf>
    <xf numFmtId="0" fontId="46" fillId="0" borderId="0" xfId="0" applyFont="1" applyAlignment="1">
      <alignment horizontal="left" vertical="center" wrapText="1"/>
    </xf>
    <xf numFmtId="0" fontId="46" fillId="0" borderId="0" xfId="0" applyFont="1" applyAlignment="1">
      <alignment horizontal="center" vertical="center" wrapText="1"/>
    </xf>
    <xf numFmtId="0" fontId="30" fillId="4" borderId="0" xfId="3" applyFont="1" applyFill="1" applyAlignment="1">
      <alignment horizontal="center" vertical="center" textRotation="90" wrapText="1"/>
    </xf>
    <xf numFmtId="0" fontId="17" fillId="4" borderId="0" xfId="3" applyFont="1" applyFill="1" applyAlignment="1">
      <alignment horizontal="center" vertical="center" textRotation="90"/>
    </xf>
    <xf numFmtId="0" fontId="17" fillId="4" borderId="0" xfId="3" applyFont="1" applyFill="1" applyAlignment="1">
      <alignment horizontal="center" vertical="center" textRotation="90" wrapText="1"/>
    </xf>
    <xf numFmtId="0" fontId="30" fillId="0" borderId="0" xfId="3" applyFont="1" applyAlignment="1">
      <alignment horizontal="center" vertical="center" textRotation="90" wrapText="1"/>
    </xf>
    <xf numFmtId="1" fontId="12" fillId="130" borderId="0" xfId="4" applyNumberFormat="1" applyFont="1" applyFill="1" applyAlignment="1">
      <alignment horizontal="center" vertical="center" wrapText="1"/>
    </xf>
    <xf numFmtId="1" fontId="12" fillId="130" borderId="5" xfId="4" applyNumberFormat="1" applyFont="1" applyFill="1" applyBorder="1" applyAlignment="1">
      <alignment horizontal="center" vertical="center" wrapText="1"/>
    </xf>
    <xf numFmtId="1" fontId="12" fillId="130" borderId="0" xfId="4" applyNumberFormat="1" applyFont="1" applyFill="1" applyAlignment="1">
      <alignment horizontal="center" vertical="center"/>
    </xf>
    <xf numFmtId="1" fontId="12" fillId="130" borderId="5" xfId="4" applyNumberFormat="1" applyFont="1" applyFill="1" applyBorder="1" applyAlignment="1">
      <alignment horizontal="center" vertical="center"/>
    </xf>
    <xf numFmtId="0" fontId="252" fillId="2" borderId="7" xfId="0" applyFont="1" applyFill="1" applyBorder="1" applyAlignment="1">
      <alignment horizontal="center" vertical="center" wrapText="1"/>
    </xf>
    <xf numFmtId="0" fontId="252" fillId="2" borderId="21" xfId="0" applyFont="1" applyFill="1" applyBorder="1" applyAlignment="1">
      <alignment horizontal="center" vertical="center" wrapText="1"/>
    </xf>
    <xf numFmtId="0" fontId="252" fillId="2" borderId="8" xfId="0" applyFont="1" applyFill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left" vertical="center" wrapText="1"/>
    </xf>
    <xf numFmtId="0" fontId="16" fillId="3" borderId="18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/>
    </xf>
    <xf numFmtId="0" fontId="246" fillId="2" borderId="0" xfId="0" applyFont="1" applyFill="1" applyAlignment="1">
      <alignment horizontal="center" vertical="center"/>
    </xf>
    <xf numFmtId="177" fontId="66" fillId="5" borderId="0" xfId="0" applyNumberFormat="1" applyFont="1" applyFill="1"/>
    <xf numFmtId="37" fontId="42" fillId="5" borderId="0" xfId="43983" applyFont="1" applyFill="1"/>
  </cellXfs>
  <cellStyles count="43991">
    <cellStyle name="###0" xfId="1491" xr:uid="{00000000-0005-0000-0000-000000000000}"/>
    <cellStyle name="#,##0" xfId="1492" xr:uid="{00000000-0005-0000-0000-000001000000}"/>
    <cellStyle name="#,##0.0" xfId="1493" xr:uid="{00000000-0005-0000-0000-000002000000}"/>
    <cellStyle name="#,##0_COELCE - IRT - 2005-04-05" xfId="42562" xr:uid="{00000000-0005-0000-0000-000003000000}"/>
    <cellStyle name="#.##0" xfId="1494" xr:uid="{00000000-0005-0000-0000-000004000000}"/>
    <cellStyle name="#.##0,0" xfId="1495" xr:uid="{00000000-0005-0000-0000-000005000000}"/>
    <cellStyle name="#.##0_COELCE - IRT - 2005-04-05" xfId="42563" xr:uid="{00000000-0005-0000-0000-000006000000}"/>
    <cellStyle name="_~3339090" xfId="1809" xr:uid="{00000000-0005-0000-0000-000007000000}"/>
    <cellStyle name="_0 -Preenchido_CPFL-PIRATININGA_2_CICLO_DADOS_INICIAIS_Of" xfId="1810" xr:uid="{00000000-0005-0000-0000-000008000000}"/>
    <cellStyle name="_0 -Preenchido_CPFL-PIRATININGA_2_CICLO_DADOS_INICIAIS_Of.037_270207" xfId="1811" xr:uid="{00000000-0005-0000-0000-000009000000}"/>
    <cellStyle name="_0 -Preenchido_CPFL-PIRATININGA_2_CICLO_DADOS_INICIAIS_Of.037_270207 (V 170407)" xfId="1812" xr:uid="{00000000-0005-0000-0000-00000A000000}"/>
    <cellStyle name="_0 -Preenchido_CPFL-PIRATININGA_2_CICLO_DADOS_INICIAIS_Of.037_270207(V 09-04-07)" xfId="1813" xr:uid="{00000000-0005-0000-0000-00000B000000}"/>
    <cellStyle name="_0 -Preenchido_CPFL-PIRATININGA_2_CICLO_DADOS_INICIAIS_Of.037_270207(V 09-04-07)_2009.04.09 EEB IRT2009 Conexao CEMIG C Financeiro" xfId="1814" xr:uid="{00000000-0005-0000-0000-00000C000000}"/>
    <cellStyle name="_0 -Preenchido_CPFL-PIRATININGA_2_CICLO_DADOS_INICIAIS_Of.037_270207(V 09-04-07)_Base Mercado_EMG" xfId="1815" xr:uid="{00000000-0005-0000-0000-00000D000000}"/>
    <cellStyle name="_0 -Preenchido_CPFL-PIRATININGA_2_CICLO_DADOS_INICIAIS_Of.037_270207(V 09-04-07)_IF - Autoprodutores 2" xfId="1816" xr:uid="{00000000-0005-0000-0000-00000E000000}"/>
    <cellStyle name="_0 -Preenchido_CPFL-PIRATININGA_2_CICLO_DADOS_INICIAIS_Of.037_270207(V 09-04-07)_IF_Consumidores livres e geradoras_2010" xfId="1817" xr:uid="{00000000-0005-0000-0000-00000F000000}"/>
    <cellStyle name="_0 -Preenchido_CPFL-PIRATININGA_2_CICLO_DADOS_INICIAIS_Of.037_270207(V 09-04-07)_IRT-cálculo" xfId="42564" xr:uid="{00000000-0005-0000-0000-000010000000}"/>
    <cellStyle name="_0 -Preenchido_CPFL-PIRATININGA_2_CICLO_DADOS_INICIAIS_Of.037_270207(V 09-04-07)_Pleito_IRT_ESE_2010_Envio_ANEEL_Final_atualizado_05_04" xfId="1818" xr:uid="{00000000-0005-0000-0000-000011000000}"/>
    <cellStyle name="_0 -Preenchido_CPFL-PIRATININGA_2_CICLO_DADOS_INICIAIS_Of.037_270207(V 09-04-07)_Sheet1" xfId="1819" xr:uid="{00000000-0005-0000-0000-000012000000}"/>
    <cellStyle name="_0 -Preenchido_CPFL-PIRATININGA_2_CICLO_DADOS_INICIAIS_Of.037_270207(VF)" xfId="1820" xr:uid="{00000000-0005-0000-0000-000013000000}"/>
    <cellStyle name="_0 -Preenchido_CPFL-PIRATININGA_2_CICLO_DADOS_INICIAIS_Of.037_270207(VF)_2009.04.09 EEB IRT2009 Conexao CEMIG C Financeiro" xfId="1821" xr:uid="{00000000-0005-0000-0000-000014000000}"/>
    <cellStyle name="_0 -Preenchido_CPFL-PIRATININGA_2_CICLO_DADOS_INICIAIS_Of.037_270207(VF)_Base Mercado_EMG" xfId="1822" xr:uid="{00000000-0005-0000-0000-000015000000}"/>
    <cellStyle name="_0 -Preenchido_CPFL-PIRATININGA_2_CICLO_DADOS_INICIAIS_Of.037_270207(VF)_IF - Autoprodutores 2" xfId="1823" xr:uid="{00000000-0005-0000-0000-000016000000}"/>
    <cellStyle name="_0 -Preenchido_CPFL-PIRATININGA_2_CICLO_DADOS_INICIAIS_Of.037_270207(VF)_IF_Consumidores livres e geradoras_2010" xfId="1824" xr:uid="{00000000-0005-0000-0000-000017000000}"/>
    <cellStyle name="_0 -Preenchido_CPFL-PIRATININGA_2_CICLO_DADOS_INICIAIS_Of.037_270207(VF)_IRT-cálculo" xfId="42565" xr:uid="{00000000-0005-0000-0000-000018000000}"/>
    <cellStyle name="_0 -Preenchido_CPFL-PIRATININGA_2_CICLO_DADOS_INICIAIS_Of.037_270207(VF)_Pleito_IRT_ESE_2010_Envio_ANEEL_Final_atualizado_05_04" xfId="1825" xr:uid="{00000000-0005-0000-0000-000019000000}"/>
    <cellStyle name="_0 -Preenchido_CPFL-PIRATININGA_2_CICLO_DADOS_INICIAIS_Of.037_270207(VF)_Sheet1" xfId="1826" xr:uid="{00000000-0005-0000-0000-00001A000000}"/>
    <cellStyle name="_0 -Preenchido_CPFL-PIRATININGA_2_CICLO_DADOS_INICIAIS_Of.037_270207_2009.04.09 EEB IRT2009 Conexao CEMIG C Financeiro" xfId="1827" xr:uid="{00000000-0005-0000-0000-00001B000000}"/>
    <cellStyle name="_0 -Preenchido_CPFL-PIRATININGA_2_CICLO_DADOS_INICIAIS_Of.037_270207_Base Mercado_EMG" xfId="1828" xr:uid="{00000000-0005-0000-0000-00001C000000}"/>
    <cellStyle name="_0 -Preenchido_CPFL-PIRATININGA_2_CICLO_DADOS_INICIAIS_Of.037_270207_IF - Autoprodutores 2" xfId="1829" xr:uid="{00000000-0005-0000-0000-00001D000000}"/>
    <cellStyle name="_0 -Preenchido_CPFL-PIRATININGA_2_CICLO_DADOS_INICIAIS_Of.037_270207_IF_Consumidores livres e geradoras_2010" xfId="1830" xr:uid="{00000000-0005-0000-0000-00001E000000}"/>
    <cellStyle name="_0 -Preenchido_CPFL-PIRATININGA_2_CICLO_DADOS_INICIAIS_Of.037_270207_IRT-cálculo" xfId="42566" xr:uid="{00000000-0005-0000-0000-00001F000000}"/>
    <cellStyle name="_0 -Preenchido_CPFL-PIRATININGA_2_CICLO_DADOS_INICIAIS_Of.037_270207_Pleito_IRT_ESE_2010_Envio_ANEEL_Final_atualizado_05_04" xfId="1831" xr:uid="{00000000-0005-0000-0000-000020000000}"/>
    <cellStyle name="_0 -Preenchido_CPFL-PIRATININGA_2_CICLO_DADOS_INICIAIS_Of.037_270207_Sheet1" xfId="1832" xr:uid="{00000000-0005-0000-0000-000021000000}"/>
    <cellStyle name="_0 -Preenchido_CPFL-PIRATININGA_2_CICLO_DADOS_INICIAIS_Of.037_270207-EV 17abril" xfId="1833" xr:uid="{00000000-0005-0000-0000-000022000000}"/>
    <cellStyle name="_0 -Preenchido_CPFL-PIRATININGA_2_CICLO_DADOS_INICIAIS_Of.037_270207-EV 17abril_2009.04.09 EEB IRT2009 Conexao CEMIG C Financeiro" xfId="1834" xr:uid="{00000000-0005-0000-0000-000023000000}"/>
    <cellStyle name="_0 -Preenchido_CPFL-PIRATININGA_2_CICLO_DADOS_INICIAIS_Of.037_270207-EV 17abril_Base Mercado_EMG" xfId="1835" xr:uid="{00000000-0005-0000-0000-000024000000}"/>
    <cellStyle name="_0 -Preenchido_CPFL-PIRATININGA_2_CICLO_DADOS_INICIAIS_Of.037_270207-EV 17abril_IF - Autoprodutores 2" xfId="1836" xr:uid="{00000000-0005-0000-0000-000025000000}"/>
    <cellStyle name="_0 -Preenchido_CPFL-PIRATININGA_2_CICLO_DADOS_INICIAIS_Of.037_270207-EV 17abril_IF_Consumidores livres e geradoras_2010" xfId="1837" xr:uid="{00000000-0005-0000-0000-000026000000}"/>
    <cellStyle name="_0 -Preenchido_CPFL-PIRATININGA_2_CICLO_DADOS_INICIAIS_Of.037_270207-EV 17abril_IRT-cálculo" xfId="42567" xr:uid="{00000000-0005-0000-0000-000027000000}"/>
    <cellStyle name="_0 -Preenchido_CPFL-PIRATININGA_2_CICLO_DADOS_INICIAIS_Of.037_270207-EV 17abril_Pleito_IRT_ESE_2010_Envio_ANEEL_Final_atualizado_05_04" xfId="1838" xr:uid="{00000000-0005-0000-0000-000028000000}"/>
    <cellStyle name="_0 -Preenchido_CPFL-PIRATININGA_2_CICLO_DADOS_INICIAIS_Of.037_270207-EV 17abril_Sheet1" xfId="1839" xr:uid="{00000000-0005-0000-0000-000029000000}"/>
    <cellStyle name="_0 -Preenchido_CPFL-PIRATININGA_2_CICLO_DADOS_INICIAIS_Of_2009.04.09 EEB IRT2009 Conexao CEMIG C Financeiro" xfId="1840" xr:uid="{00000000-0005-0000-0000-00002A000000}"/>
    <cellStyle name="_0 -Preenchido_CPFL-PIRATININGA_2_CICLO_DADOS_INICIAIS_Of_Base Mercado_EMG" xfId="1841" xr:uid="{00000000-0005-0000-0000-00002B000000}"/>
    <cellStyle name="_0 -Preenchido_CPFL-PIRATININGA_2_CICLO_DADOS_INICIAIS_Of_IF - Autoprodutores 2" xfId="1842" xr:uid="{00000000-0005-0000-0000-00002C000000}"/>
    <cellStyle name="_0 -Preenchido_CPFL-PIRATININGA_2_CICLO_DADOS_INICIAIS_Of_IF_Consumidores livres e geradoras_2010" xfId="1843" xr:uid="{00000000-0005-0000-0000-00002D000000}"/>
    <cellStyle name="_0 -Preenchido_CPFL-PIRATININGA_2_CICLO_DADOS_INICIAIS_Of_IRT-cálculo" xfId="42568" xr:uid="{00000000-0005-0000-0000-00002E000000}"/>
    <cellStyle name="_0 -Preenchido_CPFL-PIRATININGA_2_CICLO_DADOS_INICIAIS_Of_Pleito_IRT_ESE_2010_Envio_ANEEL_Final_atualizado_05_04" xfId="1844" xr:uid="{00000000-0005-0000-0000-00002F000000}"/>
    <cellStyle name="_0 -Preenchido_CPFL-PIRATININGA_2_CICLO_DADOS_INICIAIS_Of_Sheet1" xfId="1845" xr:uid="{00000000-0005-0000-0000-000030000000}"/>
    <cellStyle name="_02 IRT Bandeirante 2009" xfId="1846" xr:uid="{00000000-0005-0000-0000-000031000000}"/>
    <cellStyle name="_02 IRT COSERN 2009" xfId="1496" xr:uid="{00000000-0005-0000-0000-000032000000}"/>
    <cellStyle name="_10 ICMS FCC-Valdeci - OK" xfId="1847" xr:uid="{00000000-0005-0000-0000-000033000000}"/>
    <cellStyle name="_11 PIS COFINS - FCC-Roger-OK" xfId="1848" xr:uid="{00000000-0005-0000-0000-000034000000}"/>
    <cellStyle name="_15. Custos Operacionais versão FINAL (FC 160507)" xfId="1849" xr:uid="{00000000-0005-0000-0000-000035000000}"/>
    <cellStyle name="_15. Custos Operacionais versão FINAL (FC 160507)_2009.04.09 EEB IRT2009 Conexao CEMIG C Financeiro" xfId="1850" xr:uid="{00000000-0005-0000-0000-000036000000}"/>
    <cellStyle name="_15. Custos Operacionais versão FINAL (FC 160507)_IF - Autoprodutores 2" xfId="1851" xr:uid="{00000000-0005-0000-0000-000037000000}"/>
    <cellStyle name="_15. Custos Operacionais versão FINAL (FC 160507)_IF_Consumidores livres e geradoras_2010" xfId="1852" xr:uid="{00000000-0005-0000-0000-000038000000}"/>
    <cellStyle name="_15. Custos Operacionais versão FINAL (FC 160507)_IRT-cálculo" xfId="42569" xr:uid="{00000000-0005-0000-0000-000039000000}"/>
    <cellStyle name="_15. Custos Operacionais versão FINAL (FC 160507)_Sheet1" xfId="1853" xr:uid="{00000000-0005-0000-0000-00003A000000}"/>
    <cellStyle name="_2006.07.04 CELTINS IRT 2006 homologado" xfId="1497" xr:uid="{00000000-0005-0000-0000-00003B000000}"/>
    <cellStyle name="_2006.07.04 CELTINS IRT 2006 homologado 2" xfId="1854" xr:uid="{00000000-0005-0000-0000-00003C000000}"/>
    <cellStyle name="_2006.07.04 CELTINS IRT 2006 homologado_atualização serviços taxados" xfId="42570" xr:uid="{00000000-0005-0000-0000-00003D000000}"/>
    <cellStyle name="_2006.07.04 CELTINS IRT 2006 homologado_COELCE - Memória de Cálculo ICMS não Compensado (atualizado)" xfId="42571" xr:uid="{00000000-0005-0000-0000-00003E000000}"/>
    <cellStyle name="_2006.07.04 CELTINS IRT 2006 homologado_COELCE - RTO 2011 - PLPT_PLANILHA_CÁLCULO_DÉFICIT" xfId="1855" xr:uid="{00000000-0005-0000-0000-00003F000000}"/>
    <cellStyle name="_2006.07.04 CELTINS IRT 2006 homologado_Financeiro Desconto na TUSD Consumidores Livres Reajuste 2010 - 03_03_2010" xfId="42572" xr:uid="{00000000-0005-0000-0000-000040000000}"/>
    <cellStyle name="_2006.07.04 CELTINS IRT 2006 homologado_Financeiro Desconto na TUSD Geradores Reajuste 2010 - 03_03_2010" xfId="42573" xr:uid="{00000000-0005-0000-0000-000041000000}"/>
    <cellStyle name="_2006.07.04 CELTINS IRT 2006 homologado_Financeiro Subsídio Baixa Renda Reajuste 2010 - 03_03_2010" xfId="42574" xr:uid="{00000000-0005-0000-0000-000042000000}"/>
    <cellStyle name="_2006.07.04 CELTINS IRT 2006 homologado_Financeiro Subsídio Rural Irrigante e Aquicultor Reajuste 2010 - 03_03_2010" xfId="42575" xr:uid="{00000000-0005-0000-0000-000043000000}"/>
    <cellStyle name="_2006.08.07 CELPA IRT 2006 pleito" xfId="1498" xr:uid="{00000000-0005-0000-0000-000044000000}"/>
    <cellStyle name="_2006.08.07 CELPA IRT 2006 pleito 2" xfId="1856" xr:uid="{00000000-0005-0000-0000-000045000000}"/>
    <cellStyle name="_2006.08.07 CELPA IRT 2006 pleito_atualização serviços taxados" xfId="42576" xr:uid="{00000000-0005-0000-0000-000046000000}"/>
    <cellStyle name="_2006.08.07 CELPA IRT 2006 pleito_COELCE - Memória de Cálculo ICMS não Compensado (atualizado)" xfId="42577" xr:uid="{00000000-0005-0000-0000-000047000000}"/>
    <cellStyle name="_2006.08.07 CELPA IRT 2006 pleito_COELCE - RTO 2011 - PLPT_PLANILHA_CÁLCULO_DÉFICIT" xfId="1857" xr:uid="{00000000-0005-0000-0000-000048000000}"/>
    <cellStyle name="_2006.08.07 CELPA IRT 2006 pleito_Financeiro Desconto na TUSD Consumidores Livres Reajuste 2010 - 03_03_2010" xfId="42578" xr:uid="{00000000-0005-0000-0000-000049000000}"/>
    <cellStyle name="_2006.08.07 CELPA IRT 2006 pleito_Financeiro Desconto na TUSD Geradores Reajuste 2010 - 03_03_2010" xfId="42579" xr:uid="{00000000-0005-0000-0000-00004A000000}"/>
    <cellStyle name="_2006.08.07 CELPA IRT 2006 pleito_Financeiro Subsídio Baixa Renda Reajuste 2010 - 03_03_2010" xfId="42580" xr:uid="{00000000-0005-0000-0000-00004B000000}"/>
    <cellStyle name="_2006.08.07 CELPA IRT 2006 pleito_Financeiro Subsídio Rural Irrigante e Aquicultor Reajuste 2010 - 03_03_2010" xfId="42581" xr:uid="{00000000-0005-0000-0000-00004C000000}"/>
    <cellStyle name="_2007.04.08 CEMAT CVAvIRT 2007" xfId="1858" xr:uid="{00000000-0005-0000-0000-00004D000000}"/>
    <cellStyle name="_2007.04.08 CEMAT IRT 2007 Pleito" xfId="1859" xr:uid="{00000000-0005-0000-0000-00004E000000}"/>
    <cellStyle name="_2008.05.10 CAIUA CVAvIRT 2008" xfId="1860" xr:uid="{00000000-0005-0000-0000-00004F000000}"/>
    <cellStyle name="_21 LPT - M3 DCC FCC - 29_06" xfId="1861" xr:uid="{00000000-0005-0000-0000-000050000000}"/>
    <cellStyle name="_4 Outras Receitas - FCC-Roger" xfId="1862" xr:uid="{00000000-0005-0000-0000-000051000000}"/>
    <cellStyle name="_5114722684(1).EXCEL" xfId="1863" xr:uid="{00000000-0005-0000-0000-000052000000}"/>
    <cellStyle name="_5114722684(1).EXCEL_2009.04.09 EEB IRT2009 Conexao CEMIG C Financeiro" xfId="1864" xr:uid="{00000000-0005-0000-0000-000053000000}"/>
    <cellStyle name="_5114722684(1).EXCEL_atualização serviços taxados" xfId="42582" xr:uid="{00000000-0005-0000-0000-000054000000}"/>
    <cellStyle name="_5114722684(1).EXCEL_Financeiro Desconto na TUSD Consumidores Livres Reajuste 2010 - 03_03_2010" xfId="42583" xr:uid="{00000000-0005-0000-0000-000055000000}"/>
    <cellStyle name="_5114722684(1).EXCEL_Financeiro Desconto na TUSD Geradores Reajuste 2010 - 03_03_2010" xfId="42584" xr:uid="{00000000-0005-0000-0000-000056000000}"/>
    <cellStyle name="_5114722684(1).EXCEL_Financeiro Subsídio Baixa Renda Reajuste 2010 - 03_03_2010" xfId="42585" xr:uid="{00000000-0005-0000-0000-000057000000}"/>
    <cellStyle name="_5114722684(1).EXCEL_Financeiro Subsídio Rural Irrigante e Aquicultor Reajuste 2010 - 03_03_2010" xfId="42586" xr:uid="{00000000-0005-0000-0000-000058000000}"/>
    <cellStyle name="_5114722684(1).EXCEL_IF - Autoprodutores 2" xfId="1865" xr:uid="{00000000-0005-0000-0000-000059000000}"/>
    <cellStyle name="_5114722684(1).EXCEL_IF_Consumidores livres e geradoras_2010" xfId="1866" xr:uid="{00000000-0005-0000-0000-00005A000000}"/>
    <cellStyle name="_5114722684(1).EXCEL_Sheet1" xfId="1867" xr:uid="{00000000-0005-0000-0000-00005B000000}"/>
    <cellStyle name="_Abertura - ELETROPAULO 2008 - REAJUSTE Estrutura 2º Ciclo" xfId="1868" xr:uid="{00000000-0005-0000-0000-00005C000000}"/>
    <cellStyle name="_Abertura RE-REVISÃO ELETROPAULO Base para Reajuste 2008" xfId="1869" xr:uid="{00000000-0005-0000-0000-00005D000000}"/>
    <cellStyle name="_Abertura Tarifária CEB RTP 2008" xfId="1870" xr:uid="{00000000-0005-0000-0000-00005E000000}"/>
    <cellStyle name="_Abertura Tarifária LIGHT RTP 2008" xfId="1871" xr:uid="{00000000-0005-0000-0000-00005F000000}"/>
    <cellStyle name="_ABERTURA_TUSDg_v02_COPEL_14052010" xfId="1499" xr:uid="{00000000-0005-0000-0000-000060000000}"/>
    <cellStyle name="_Abertura-ATUAL2 - REAJUSTE" xfId="1872" xr:uid="{00000000-0005-0000-0000-000061000000}"/>
    <cellStyle name="_Abertura-ATUAL-REVISÃO2" xfId="1873" xr:uid="{00000000-0005-0000-0000-000062000000}"/>
    <cellStyle name="_ADIANTAMENTO SOBRECONTRATAÇÃO" xfId="25" xr:uid="{00000000-0005-0000-0000-000063000000}"/>
    <cellStyle name="_ADIANTAMENTO SOBRECONTRATAÇÃO_atualização serviços taxados" xfId="42587" xr:uid="{00000000-0005-0000-0000-000064000000}"/>
    <cellStyle name="_ADIANTAMENTO SOBRECONTRATAÇÃO_Cálculo do Financeiro do Baixa Renda" xfId="1874" xr:uid="{00000000-0005-0000-0000-000065000000}"/>
    <cellStyle name="_ADIANTAMENTO SOBRECONTRATAÇÃO_Cálculo do Financeiro do Baixa Renda_IRT-cálculo" xfId="1875" xr:uid="{00000000-0005-0000-0000-000066000000}"/>
    <cellStyle name="_ADIANTAMENTO SOBRECONTRATAÇÃO_Cálculo do Financeiro do Baixa Renda_IRT-cálculo CAPA NEUTRALIDADE" xfId="1876" xr:uid="{00000000-0005-0000-0000-000067000000}"/>
    <cellStyle name="_ADIANTAMENTO SOBRECONTRATAÇÃO_Calculo_Subsidio_ELFSM_26_06_08_Modelo_ANEEL" xfId="1877" xr:uid="{00000000-0005-0000-0000-000068000000}"/>
    <cellStyle name="_ADIANTAMENTO SOBRECONTRATAÇÃO_Calculo_Subsidio_ELFSM_26_06_08_Modelo_ANEEL_IRT_Revisão A-1" xfId="1878" xr:uid="{00000000-0005-0000-0000-000069000000}"/>
    <cellStyle name="_ADIANTAMENTO SOBRECONTRATAÇÃO_Calculo_Subsidio_ELFSM_26_06_08_Modelo_ANEEL_IRT-cálculo" xfId="1879" xr:uid="{00000000-0005-0000-0000-00006A000000}"/>
    <cellStyle name="_ADIANTAMENTO SOBRECONTRATAÇÃO_Calculo_Subsidio_ELFSM_26_06_08_Modelo_ANEEL_IRT-cálculo CAPA NEUTRALIDADE" xfId="1880" xr:uid="{00000000-0005-0000-0000-00006B000000}"/>
    <cellStyle name="_ADIANTAMENTO SOBRECONTRATAÇÃO_Custo com Avaliação de Ativos para Base de Remuneração" xfId="1881" xr:uid="{00000000-0005-0000-0000-00006C000000}"/>
    <cellStyle name="_ADIANTAMENTO SOBRECONTRATAÇÃO_Custo com Avaliação de Ativos para Base de Remuneração_IRT-cálculo" xfId="1882" xr:uid="{00000000-0005-0000-0000-00006D000000}"/>
    <cellStyle name="_ADIANTAMENTO SOBRECONTRATAÇÃO_Custo com Avaliação de Ativos para Base de Remuneração_IRT-cálculo CAPA NEUTRALIDADE" xfId="1883" xr:uid="{00000000-0005-0000-0000-00006E000000}"/>
    <cellStyle name="_ADIANTAMENTO SOBRECONTRATAÇÃO_Energia Comprada" xfId="1884" xr:uid="{00000000-0005-0000-0000-00006F000000}"/>
    <cellStyle name="_ADIANTAMENTO SOBRECONTRATAÇÃO_Energia Comprada_Dados Gerais" xfId="1885" xr:uid="{00000000-0005-0000-0000-000070000000}"/>
    <cellStyle name="_ADIANTAMENTO SOBRECONTRATAÇÃO_Energia Comprada_IRT_Revisão A-1" xfId="1886" xr:uid="{00000000-0005-0000-0000-000071000000}"/>
    <cellStyle name="_ADIANTAMENTO SOBRECONTRATAÇÃO_Energia Comprada_IRT-cálculo" xfId="1887" xr:uid="{00000000-0005-0000-0000-000072000000}"/>
    <cellStyle name="_ADIANTAMENTO SOBRECONTRATAÇÃO_Energia Comprada_IRT-cálculo CAPA NEUTRALIDADE" xfId="1888" xr:uid="{00000000-0005-0000-0000-000073000000}"/>
    <cellStyle name="_ADIANTAMENTO SOBRECONTRATAÇÃO_Fator X" xfId="1500" xr:uid="{00000000-0005-0000-0000-000074000000}"/>
    <cellStyle name="_ADIANTAMENTO SOBRECONTRATAÇÃO_Fator X_atualização serviços taxados" xfId="42588" xr:uid="{00000000-0005-0000-0000-000075000000}"/>
    <cellStyle name="_ADIANTAMENTO SOBRECONTRATAÇÃO_Fator X_Dados Gerais" xfId="1889" xr:uid="{00000000-0005-0000-0000-000076000000}"/>
    <cellStyle name="_ADIANTAMENTO SOBRECONTRATAÇÃO_Fator X_Financeiro Desconto na TUSD Consumidores Livres Reajuste 2010 - 03_03_2010" xfId="42589" xr:uid="{00000000-0005-0000-0000-000077000000}"/>
    <cellStyle name="_ADIANTAMENTO SOBRECONTRATAÇÃO_Fator X_Financeiro Desconto na TUSD Geradores Reajuste 2010 - 03_03_2010" xfId="42590" xr:uid="{00000000-0005-0000-0000-000078000000}"/>
    <cellStyle name="_ADIANTAMENTO SOBRECONTRATAÇÃO_Fator X_Financeiro Subsídio Baixa Renda Reajuste 2010 - 03_03_2010" xfId="42591" xr:uid="{00000000-0005-0000-0000-000079000000}"/>
    <cellStyle name="_ADIANTAMENTO SOBRECONTRATAÇÃO_Fator X_Financeiro Subsídio Rural Irrigante e Aquicultor Reajuste 2010 - 03_03_2010" xfId="42592" xr:uid="{00000000-0005-0000-0000-00007A000000}"/>
    <cellStyle name="_ADIANTAMENTO SOBRECONTRATAÇÃO_Fator X_IRT_Revisão A-1" xfId="1890" xr:uid="{00000000-0005-0000-0000-00007B000000}"/>
    <cellStyle name="_ADIANTAMENTO SOBRECONTRATAÇÃO_Fator X_IRT-cálculo" xfId="1891" xr:uid="{00000000-0005-0000-0000-00007C000000}"/>
    <cellStyle name="_ADIANTAMENTO SOBRECONTRATAÇÃO_Fator X_IRT-cálculo CAPA NEUTRALIDADE" xfId="1892" xr:uid="{00000000-0005-0000-0000-00007D000000}"/>
    <cellStyle name="_ADIANTAMENTO SOBRECONTRATAÇÃO_Fator X_SOBRECONTRATAÇÃO E CVA" xfId="1893" xr:uid="{00000000-0005-0000-0000-00007E000000}"/>
    <cellStyle name="_ADIANTAMENTO SOBRECONTRATAÇÃO_Financeiro Desconto na TUSD Consumidores Livres Reajuste 2010 - 03_03_2010" xfId="42593" xr:uid="{00000000-0005-0000-0000-00007F000000}"/>
    <cellStyle name="_ADIANTAMENTO SOBRECONTRATAÇÃO_Financeiro Desconto na TUSD Geradores Reajuste 2010 - 03_03_2010" xfId="42594" xr:uid="{00000000-0005-0000-0000-000080000000}"/>
    <cellStyle name="_ADIANTAMENTO SOBRECONTRATAÇÃO_Financeiro Subsídio Baixa Renda Reajuste 2010 - 03_03_2010" xfId="42595" xr:uid="{00000000-0005-0000-0000-000081000000}"/>
    <cellStyle name="_ADIANTAMENTO SOBRECONTRATAÇÃO_Financeiro Subsídio Rural Irrigante e Aquicultor Reajuste 2010 - 03_03_2010" xfId="42596" xr:uid="{00000000-0005-0000-0000-000082000000}"/>
    <cellStyle name="_ADIANTAMENTO SOBRECONTRATAÇÃO_IF - Autoprodutores 2" xfId="1894" xr:uid="{00000000-0005-0000-0000-000083000000}"/>
    <cellStyle name="_ADIANTAMENTO SOBRECONTRATAÇÃO_IF_Consumidores livres e geradoras_2010" xfId="1895" xr:uid="{00000000-0005-0000-0000-000084000000}"/>
    <cellStyle name="_ADIANTAMENTO SOBRECONTRATAÇÃO_IRT (2)" xfId="1501" xr:uid="{00000000-0005-0000-0000-000085000000}"/>
    <cellStyle name="_ADIANTAMENTO SOBRECONTRATAÇÃO_IRT (2) 2" xfId="1896" xr:uid="{00000000-0005-0000-0000-000086000000}"/>
    <cellStyle name="_ADIANTAMENTO SOBRECONTRATAÇÃO_IRT_1" xfId="1502" xr:uid="{00000000-0005-0000-0000-000087000000}"/>
    <cellStyle name="_ADIANTAMENTO SOBRECONTRATAÇÃO_IRT_1_atualização serviços taxados" xfId="42597" xr:uid="{00000000-0005-0000-0000-000088000000}"/>
    <cellStyle name="_ADIANTAMENTO SOBRECONTRATAÇÃO_IRT_1_Dados Gerais" xfId="1897" xr:uid="{00000000-0005-0000-0000-000089000000}"/>
    <cellStyle name="_ADIANTAMENTO SOBRECONTRATAÇÃO_IRT_1_Financeiro Desconto na TUSD Consumidores Livres Reajuste 2010 - 03_03_2010" xfId="42598" xr:uid="{00000000-0005-0000-0000-00008A000000}"/>
    <cellStyle name="_ADIANTAMENTO SOBRECONTRATAÇÃO_IRT_1_Financeiro Desconto na TUSD Geradores Reajuste 2010 - 03_03_2010" xfId="42599" xr:uid="{00000000-0005-0000-0000-00008B000000}"/>
    <cellStyle name="_ADIANTAMENTO SOBRECONTRATAÇÃO_IRT_1_Financeiro Subsídio Baixa Renda Reajuste 2010 - 03_03_2010" xfId="42600" xr:uid="{00000000-0005-0000-0000-00008C000000}"/>
    <cellStyle name="_ADIANTAMENTO SOBRECONTRATAÇÃO_IRT_1_Financeiro Subsídio Rural Irrigante e Aquicultor Reajuste 2010 - 03_03_2010" xfId="42601" xr:uid="{00000000-0005-0000-0000-00008D000000}"/>
    <cellStyle name="_ADIANTAMENTO SOBRECONTRATAÇÃO_IRT_1_IRT_Revisão A-1" xfId="1898" xr:uid="{00000000-0005-0000-0000-00008E000000}"/>
    <cellStyle name="_ADIANTAMENTO SOBRECONTRATAÇÃO_IRT_1_IRT-cálculo" xfId="1899" xr:uid="{00000000-0005-0000-0000-00008F000000}"/>
    <cellStyle name="_ADIANTAMENTO SOBRECONTRATAÇÃO_IRT_1_IRT-cálculo CAPA NEUTRALIDADE" xfId="1900" xr:uid="{00000000-0005-0000-0000-000090000000}"/>
    <cellStyle name="_ADIANTAMENTO SOBRECONTRATAÇÃO_IRT_1_SOBRECONTRATAÇÃO E CVA" xfId="1901" xr:uid="{00000000-0005-0000-0000-000091000000}"/>
    <cellStyle name="_ADIANTAMENTO SOBRECONTRATAÇÃO_IRT_Pleito" xfId="1902" xr:uid="{00000000-0005-0000-0000-000092000000}"/>
    <cellStyle name="_ADIANTAMENTO SOBRECONTRATAÇÃO_IRT_Pleito_Dados Gerais" xfId="1903" xr:uid="{00000000-0005-0000-0000-000093000000}"/>
    <cellStyle name="_ADIANTAMENTO SOBRECONTRATAÇÃO_IRT_Pleito_IRT_Revisão A-1" xfId="1904" xr:uid="{00000000-0005-0000-0000-000094000000}"/>
    <cellStyle name="_ADIANTAMENTO SOBRECONTRATAÇÃO_IRT_Pleito_IRT-cálculo" xfId="1905" xr:uid="{00000000-0005-0000-0000-000095000000}"/>
    <cellStyle name="_ADIANTAMENTO SOBRECONTRATAÇÃO_IRT_Pleito_IRT-cálculo CAPA NEUTRALIDADE" xfId="1906" xr:uid="{00000000-0005-0000-0000-000096000000}"/>
    <cellStyle name="_ADIANTAMENTO SOBRECONTRATAÇÃO_IRT_Revisão A-1" xfId="1907" xr:uid="{00000000-0005-0000-0000-000097000000}"/>
    <cellStyle name="_ADIANTAMENTO SOBRECONTRATAÇÃO_IRT-cálculo" xfId="1908" xr:uid="{00000000-0005-0000-0000-000098000000}"/>
    <cellStyle name="_ADIANTAMENTO SOBRECONTRATAÇÃO_IRT-cálculo CAPA NEUTRALIDADE" xfId="1909" xr:uid="{00000000-0005-0000-0000-000099000000}"/>
    <cellStyle name="_ADIANTAMENTO SOBRECONTRATAÇÃO_Pasta1" xfId="1503" xr:uid="{00000000-0005-0000-0000-00009A000000}"/>
    <cellStyle name="_ADIANTAMENTO SOBRECONTRATAÇÃO_Pasta1_atualização serviços taxados" xfId="42602" xr:uid="{00000000-0005-0000-0000-00009B000000}"/>
    <cellStyle name="_ADIANTAMENTO SOBRECONTRATAÇÃO_Pasta1_Dados Gerais" xfId="1910" xr:uid="{00000000-0005-0000-0000-00009C000000}"/>
    <cellStyle name="_ADIANTAMENTO SOBRECONTRATAÇÃO_Pasta1_Financeiro Desconto na TUSD Consumidores Livres Reajuste 2010 - 03_03_2010" xfId="42603" xr:uid="{00000000-0005-0000-0000-00009D000000}"/>
    <cellStyle name="_ADIANTAMENTO SOBRECONTRATAÇÃO_Pasta1_Financeiro Desconto na TUSD Geradores Reajuste 2010 - 03_03_2010" xfId="42604" xr:uid="{00000000-0005-0000-0000-00009E000000}"/>
    <cellStyle name="_ADIANTAMENTO SOBRECONTRATAÇÃO_Pasta1_Financeiro Subsídio Baixa Renda Reajuste 2010 - 03_03_2010" xfId="42605" xr:uid="{00000000-0005-0000-0000-00009F000000}"/>
    <cellStyle name="_ADIANTAMENTO SOBRECONTRATAÇÃO_Pasta1_Financeiro Subsídio Rural Irrigante e Aquicultor Reajuste 2010 - 03_03_2010" xfId="42606" xr:uid="{00000000-0005-0000-0000-0000A0000000}"/>
    <cellStyle name="_ADIANTAMENTO SOBRECONTRATAÇÃO_Pasta1_IRT_Revisão A-1" xfId="1911" xr:uid="{00000000-0005-0000-0000-0000A1000000}"/>
    <cellStyle name="_ADIANTAMENTO SOBRECONTRATAÇÃO_Pasta1_IRT-cálculo" xfId="1912" xr:uid="{00000000-0005-0000-0000-0000A2000000}"/>
    <cellStyle name="_ADIANTAMENTO SOBRECONTRATAÇÃO_Pasta1_IRT-cálculo CAPA NEUTRALIDADE" xfId="1913" xr:uid="{00000000-0005-0000-0000-0000A3000000}"/>
    <cellStyle name="_ADIANTAMENTO SOBRECONTRATAÇÃO_Pasta1_SOBRECONTRATAÇÃO E CVA" xfId="1914" xr:uid="{00000000-0005-0000-0000-0000A4000000}"/>
    <cellStyle name="_ADIANTAMENTO SOBRECONTRATAÇÃO_Sheet1" xfId="1915" xr:uid="{00000000-0005-0000-0000-0000A5000000}"/>
    <cellStyle name="_ADIANTAMENTO SOBRECONTRATAÇÃO_Sheet2" xfId="1916" xr:uid="{00000000-0005-0000-0000-0000A6000000}"/>
    <cellStyle name="_ADIANTAMENTO SOBRECONTRATAÇÃO_SOBRECONTRATAÇÃO E CVA" xfId="1917" xr:uid="{00000000-0005-0000-0000-0000A7000000}"/>
    <cellStyle name="_Ajustes REAJUSTE 2008 ELETROPAULO" xfId="1918" xr:uid="{00000000-0005-0000-0000-0000A8000000}"/>
    <cellStyle name="_Ajustes REVISÃO 2007 ELETROPAULO" xfId="1919" xr:uid="{00000000-0005-0000-0000-0000A9000000}"/>
    <cellStyle name="_Alocação Financeiros" xfId="1504" xr:uid="{00000000-0005-0000-0000-0000AA000000}"/>
    <cellStyle name="_Alocação Financeiros 2" xfId="1920" xr:uid="{00000000-0005-0000-0000-0000AB000000}"/>
    <cellStyle name="_Alocação Financeiros_atualização serviços taxados" xfId="42607" xr:uid="{00000000-0005-0000-0000-0000AC000000}"/>
    <cellStyle name="_Alocação Financeiros_Energia Comprada" xfId="1921" xr:uid="{00000000-0005-0000-0000-0000AD000000}"/>
    <cellStyle name="_Alocação Financeiros_Energia Comprada_Dados Gerais" xfId="1922" xr:uid="{00000000-0005-0000-0000-0000AE000000}"/>
    <cellStyle name="_Alocação Financeiros_Energia Comprada_IRT_Revisão A-1" xfId="1923" xr:uid="{00000000-0005-0000-0000-0000AF000000}"/>
    <cellStyle name="_Alocação Financeiros_Energia Comprada_IRT-cálculo" xfId="1924" xr:uid="{00000000-0005-0000-0000-0000B0000000}"/>
    <cellStyle name="_Alocação Financeiros_Energia Comprada_IRT-cálculo CAPA NEUTRALIDADE" xfId="1925" xr:uid="{00000000-0005-0000-0000-0000B1000000}"/>
    <cellStyle name="_Alocação Financeiros_Fator X" xfId="1505" xr:uid="{00000000-0005-0000-0000-0000B2000000}"/>
    <cellStyle name="_Alocação Financeiros_Fator X 2" xfId="1926" xr:uid="{00000000-0005-0000-0000-0000B3000000}"/>
    <cellStyle name="_Alocação Financeiros_Fator X_atualização serviços taxados" xfId="42608" xr:uid="{00000000-0005-0000-0000-0000B4000000}"/>
    <cellStyle name="_Alocação Financeiros_Fator X_Dados Gerais" xfId="1927" xr:uid="{00000000-0005-0000-0000-0000B5000000}"/>
    <cellStyle name="_Alocação Financeiros_Fator X_Financeiro Desconto na TUSD Consumidores Livres Reajuste 2010 - 03_03_2010" xfId="42609" xr:uid="{00000000-0005-0000-0000-0000B6000000}"/>
    <cellStyle name="_Alocação Financeiros_Fator X_Financeiro Desconto na TUSD Geradores Reajuste 2010 - 03_03_2010" xfId="42610" xr:uid="{00000000-0005-0000-0000-0000B7000000}"/>
    <cellStyle name="_Alocação Financeiros_Fator X_Financeiro Subsídio Baixa Renda Reajuste 2010 - 03_03_2010" xfId="42611" xr:uid="{00000000-0005-0000-0000-0000B8000000}"/>
    <cellStyle name="_Alocação Financeiros_Fator X_Financeiro Subsídio Rural Irrigante e Aquicultor Reajuste 2010 - 03_03_2010" xfId="42612" xr:uid="{00000000-0005-0000-0000-0000B9000000}"/>
    <cellStyle name="_Alocação Financeiros_Fator X_IRT_Revisão A-1" xfId="1928" xr:uid="{00000000-0005-0000-0000-0000BA000000}"/>
    <cellStyle name="_Alocação Financeiros_Fator X_IRT-cálculo" xfId="1929" xr:uid="{00000000-0005-0000-0000-0000BB000000}"/>
    <cellStyle name="_Alocação Financeiros_Fator X_IRT-cálculo CAPA NEUTRALIDADE" xfId="1930" xr:uid="{00000000-0005-0000-0000-0000BC000000}"/>
    <cellStyle name="_Alocação Financeiros_Fator X_SOBRECONTRATAÇÃO E CVA" xfId="1931" xr:uid="{00000000-0005-0000-0000-0000BD000000}"/>
    <cellStyle name="_Alocação Financeiros_Financeiro Desconto na TUSD Consumidores Livres Reajuste 2010 - 03_03_2010" xfId="42613" xr:uid="{00000000-0005-0000-0000-0000BE000000}"/>
    <cellStyle name="_Alocação Financeiros_Financeiro Desconto na TUSD Geradores Reajuste 2010 - 03_03_2010" xfId="42614" xr:uid="{00000000-0005-0000-0000-0000BF000000}"/>
    <cellStyle name="_Alocação Financeiros_Financeiro Subsídio Baixa Renda Reajuste 2010 - 03_03_2010" xfId="42615" xr:uid="{00000000-0005-0000-0000-0000C0000000}"/>
    <cellStyle name="_Alocação Financeiros_Financeiro Subsídio Rural Irrigante e Aquicultor Reajuste 2010 - 03_03_2010" xfId="42616" xr:uid="{00000000-0005-0000-0000-0000C1000000}"/>
    <cellStyle name="_Alocação Financeiros_IRT (2)" xfId="1506" xr:uid="{00000000-0005-0000-0000-0000C2000000}"/>
    <cellStyle name="_Alocação Financeiros_IRT_1" xfId="1507" xr:uid="{00000000-0005-0000-0000-0000C3000000}"/>
    <cellStyle name="_Alocação Financeiros_IRT_1 2" xfId="1932" xr:uid="{00000000-0005-0000-0000-0000C4000000}"/>
    <cellStyle name="_Alocação Financeiros_IRT_1_atualização serviços taxados" xfId="42617" xr:uid="{00000000-0005-0000-0000-0000C5000000}"/>
    <cellStyle name="_Alocação Financeiros_IRT_1_Dados Gerais" xfId="1933" xr:uid="{00000000-0005-0000-0000-0000C6000000}"/>
    <cellStyle name="_Alocação Financeiros_IRT_1_Financeiro Desconto na TUSD Consumidores Livres Reajuste 2010 - 03_03_2010" xfId="42618" xr:uid="{00000000-0005-0000-0000-0000C7000000}"/>
    <cellStyle name="_Alocação Financeiros_IRT_1_Financeiro Desconto na TUSD Geradores Reajuste 2010 - 03_03_2010" xfId="42619" xr:uid="{00000000-0005-0000-0000-0000C8000000}"/>
    <cellStyle name="_Alocação Financeiros_IRT_1_Financeiro Subsídio Baixa Renda Reajuste 2010 - 03_03_2010" xfId="42620" xr:uid="{00000000-0005-0000-0000-0000C9000000}"/>
    <cellStyle name="_Alocação Financeiros_IRT_1_Financeiro Subsídio Rural Irrigante e Aquicultor Reajuste 2010 - 03_03_2010" xfId="42621" xr:uid="{00000000-0005-0000-0000-0000CA000000}"/>
    <cellStyle name="_Alocação Financeiros_IRT_1_IRT_Revisão A-1" xfId="1934" xr:uid="{00000000-0005-0000-0000-0000CB000000}"/>
    <cellStyle name="_Alocação Financeiros_IRT_1_IRT-cálculo" xfId="1935" xr:uid="{00000000-0005-0000-0000-0000CC000000}"/>
    <cellStyle name="_Alocação Financeiros_IRT_1_IRT-cálculo CAPA NEUTRALIDADE" xfId="1936" xr:uid="{00000000-0005-0000-0000-0000CD000000}"/>
    <cellStyle name="_Alocação Financeiros_IRT_1_SOBRECONTRATAÇÃO E CVA" xfId="1937" xr:uid="{00000000-0005-0000-0000-0000CE000000}"/>
    <cellStyle name="_Alocação Financeiros_IRT_Revisão A-1" xfId="1938" xr:uid="{00000000-0005-0000-0000-0000CF000000}"/>
    <cellStyle name="_Alocação Financeiros_IRT-cálculo" xfId="1939" xr:uid="{00000000-0005-0000-0000-0000D0000000}"/>
    <cellStyle name="_Alocação Financeiros_IRT-cálculo CAPA NEUTRALIDADE" xfId="1940" xr:uid="{00000000-0005-0000-0000-0000D1000000}"/>
    <cellStyle name="_Alocação Financeiros_Pasta1" xfId="1508" xr:uid="{00000000-0005-0000-0000-0000D2000000}"/>
    <cellStyle name="_Alocação Financeiros_Pasta1 2" xfId="1941" xr:uid="{00000000-0005-0000-0000-0000D3000000}"/>
    <cellStyle name="_Alocação Financeiros_Pasta1_atualização serviços taxados" xfId="42622" xr:uid="{00000000-0005-0000-0000-0000D4000000}"/>
    <cellStyle name="_Alocação Financeiros_Pasta1_Financeiro Desconto na TUSD Consumidores Livres Reajuste 2010 - 03_03_2010" xfId="42623" xr:uid="{00000000-0005-0000-0000-0000D5000000}"/>
    <cellStyle name="_Alocação Financeiros_Pasta1_Financeiro Desconto na TUSD Geradores Reajuste 2010 - 03_03_2010" xfId="42624" xr:uid="{00000000-0005-0000-0000-0000D6000000}"/>
    <cellStyle name="_Alocação Financeiros_Pasta1_Financeiro Subsídio Baixa Renda Reajuste 2010 - 03_03_2010" xfId="42625" xr:uid="{00000000-0005-0000-0000-0000D7000000}"/>
    <cellStyle name="_Alocação Financeiros_Pasta1_Financeiro Subsídio Rural Irrigante e Aquicultor Reajuste 2010 - 03_03_2010" xfId="42626" xr:uid="{00000000-0005-0000-0000-0000D8000000}"/>
    <cellStyle name="_Alocação Financeiros_Pasta1_IRT-cálculo" xfId="1942" xr:uid="{00000000-0005-0000-0000-0000D9000000}"/>
    <cellStyle name="_Alocação Financeiros_Pasta1_IRT-cálculo CAPA NEUTRALIDADE" xfId="1943" xr:uid="{00000000-0005-0000-0000-0000DA000000}"/>
    <cellStyle name="_Alocação Financeiros_Pasta1_SOBRECONTRATAÇÃO E CVA" xfId="1944" xr:uid="{00000000-0005-0000-0000-0000DB000000}"/>
    <cellStyle name="_Alocação Financeiros_SOBRECONTRATAÇÃO E CVA" xfId="1945" xr:uid="{00000000-0005-0000-0000-0000DC000000}"/>
    <cellStyle name="_AMPLA_Repasse sobrecontratação" xfId="26" xr:uid="{00000000-0005-0000-0000-0000DD000000}"/>
    <cellStyle name="_AMPLA_Repasse sobrecontratação 2" xfId="1181" xr:uid="{00000000-0005-0000-0000-0000DE000000}"/>
    <cellStyle name="_AMPLA_Repasse sobrecontratação 3" xfId="1946" xr:uid="{00000000-0005-0000-0000-0000DF000000}"/>
    <cellStyle name="_AMPLA_Repasse sobrecontratação_Exposição" xfId="42627" xr:uid="{00000000-0005-0000-0000-0000E0000000}"/>
    <cellStyle name="_AMPLA_Repasse sobrecontratação_Exposição_Agosto 2" xfId="1947" xr:uid="{00000000-0005-0000-0000-0000E1000000}"/>
    <cellStyle name="_AMPLA_Repasse sobrecontratação_IRT_CERON_2008" xfId="42628" xr:uid="{00000000-0005-0000-0000-0000E2000000}"/>
    <cellStyle name="_AMPLA_Repasse sobrecontratação_IRT_Revisão A-2" xfId="1948" xr:uid="{00000000-0005-0000-0000-0000E3000000}"/>
    <cellStyle name="_Análise Coteminas" xfId="1949" xr:uid="{00000000-0005-0000-0000-0000E4000000}"/>
    <cellStyle name="_Análise empresas SCL_ws" xfId="1950" xr:uid="{00000000-0005-0000-0000-0000E5000000}"/>
    <cellStyle name="_Análise Pleitos ER ENERGIPE" xfId="1951" xr:uid="{00000000-0005-0000-0000-0000E6000000}"/>
    <cellStyle name="_ANEEL_FINAL_4ªRTP_ESCELSA_Planilhas" xfId="1952" xr:uid="{00000000-0005-0000-0000-0000E7000000}"/>
    <cellStyle name="_ANEEL_FINAL_4ªRTP_ESCELSA_Planilhas_IRT-cálculo" xfId="1953" xr:uid="{00000000-0005-0000-0000-0000E8000000}"/>
    <cellStyle name="_ANEEL_FINAL_4ªRTP_ESCELSA_Planilhas_IRT-cálculo CAPA NEUTRALIDADE" xfId="1954" xr:uid="{00000000-0005-0000-0000-0000E9000000}"/>
    <cellStyle name="_ANEXO II_Carta_CT_DP_3_06_Memória" xfId="27" xr:uid="{00000000-0005-0000-0000-0000EA000000}"/>
    <cellStyle name="_ANEXO II_Carta_CT_DP_3_06_Memória_IF - Autoprodutores 2" xfId="1955" xr:uid="{00000000-0005-0000-0000-0000EB000000}"/>
    <cellStyle name="_ANEXO II_Carta_CT_DP_3_06_Memória_IF_Consumidores livres e geradoras_2010" xfId="1956" xr:uid="{00000000-0005-0000-0000-0000EC000000}"/>
    <cellStyle name="_ANEXO II_Carta_CT_DP_3_06_Memória_IRT_Revisão A-1" xfId="1957" xr:uid="{00000000-0005-0000-0000-0000ED000000}"/>
    <cellStyle name="_ANEXO II_Carta_CT_DP_3_06_Memória_IRT-cálculo" xfId="1958" xr:uid="{00000000-0005-0000-0000-0000EE000000}"/>
    <cellStyle name="_ANEXO II_Carta_CT_DP_3_06_Memória_IRT-cálculo CAPA NEUTRALIDADE" xfId="1959" xr:uid="{00000000-0005-0000-0000-0000EF000000}"/>
    <cellStyle name="_ANEXO II_Carta_CT_DP_3_06_Memória_Sheet1" xfId="1960" xr:uid="{00000000-0005-0000-0000-0000F0000000}"/>
    <cellStyle name="_Ativo 3% e exposição 2009" xfId="42629" xr:uid="{00000000-0005-0000-0000-0000F1000000}"/>
    <cellStyle name="_atualização serviços taxados" xfId="42630" xr:uid="{00000000-0005-0000-0000-0000F2000000}"/>
    <cellStyle name="_Autoprodução - mai09" xfId="1961" xr:uid="{00000000-0005-0000-0000-0000F3000000}"/>
    <cellStyle name="_BALANCO" xfId="1962" xr:uid="{00000000-0005-0000-0000-0000F4000000}"/>
    <cellStyle name="_BALANÇO" xfId="1963" xr:uid="{00000000-0005-0000-0000-0000F5000000}"/>
    <cellStyle name="_Balanço_Energetico" xfId="1964" xr:uid="{00000000-0005-0000-0000-0000F6000000}"/>
    <cellStyle name="_Balanço_Energetico_IRT-cálculo" xfId="1965" xr:uid="{00000000-0005-0000-0000-0000F7000000}"/>
    <cellStyle name="_Balanço_Energetico_IRT-cálculo CAPA NEUTRALIDADE" xfId="1966" xr:uid="{00000000-0005-0000-0000-0000F8000000}"/>
    <cellStyle name="_BALANÇO_IF - Autoprodutores 2" xfId="1967" xr:uid="{00000000-0005-0000-0000-0000F9000000}"/>
    <cellStyle name="_BALANÇO_IF_Consumidores livres e geradoras_2010" xfId="1968" xr:uid="{00000000-0005-0000-0000-0000FA000000}"/>
    <cellStyle name="_BALANÇO_Sheet1" xfId="1969" xr:uid="{00000000-0005-0000-0000-0000FB000000}"/>
    <cellStyle name="_BANCO DE DADOS_2010" xfId="42527" xr:uid="{00000000-0005-0000-0000-0000FC000000}"/>
    <cellStyle name="_Bragantina-SobrasExposição1" xfId="28" xr:uid="{00000000-0005-0000-0000-0000FD000000}"/>
    <cellStyle name="_Bragantina-SobrasExposição1 2" xfId="1182" xr:uid="{00000000-0005-0000-0000-0000FE000000}"/>
    <cellStyle name="_Bragantina-SobrasExposição1_atualização serviços taxados" xfId="42631" xr:uid="{00000000-0005-0000-0000-0000FF000000}"/>
    <cellStyle name="_Bragantina-SobrasExposição1_Balanço" xfId="29" xr:uid="{00000000-0005-0000-0000-000000010000}"/>
    <cellStyle name="_Bragantina-SobrasExposição1_casulo 15" xfId="30" xr:uid="{00000000-0005-0000-0000-000001010000}"/>
    <cellStyle name="_Bragantina-SobrasExposição1_Energia Comprada" xfId="1970" xr:uid="{00000000-0005-0000-0000-000002010000}"/>
    <cellStyle name="_Bragantina-SobrasExposição1_Energia Comprada_IRT-cálculo" xfId="1971" xr:uid="{00000000-0005-0000-0000-000003010000}"/>
    <cellStyle name="_Bragantina-SobrasExposição1_Energia Comprada_IRT-cálculo CAPA NEUTRALIDADE" xfId="1972" xr:uid="{00000000-0005-0000-0000-000004010000}"/>
    <cellStyle name="_Bragantina-SobrasExposição1_Exposição_Agosto 2" xfId="1973" xr:uid="{00000000-0005-0000-0000-000005010000}"/>
    <cellStyle name="_Bragantina-SobrasExposição1_Fator X" xfId="1509" xr:uid="{00000000-0005-0000-0000-000006010000}"/>
    <cellStyle name="_Bragantina-SobrasExposição1_Fator X 2" xfId="1974" xr:uid="{00000000-0005-0000-0000-000007010000}"/>
    <cellStyle name="_Bragantina-SobrasExposição1_Fator X_atualização serviços taxados" xfId="42632" xr:uid="{00000000-0005-0000-0000-000008010000}"/>
    <cellStyle name="_Bragantina-SobrasExposição1_Fator X_Financeiro Desconto na TUSD Consumidores Livres Reajuste 2010 - 03_03_2010" xfId="42633" xr:uid="{00000000-0005-0000-0000-000009010000}"/>
    <cellStyle name="_Bragantina-SobrasExposição1_Fator X_Financeiro Desconto na TUSD Geradores Reajuste 2010 - 03_03_2010" xfId="42634" xr:uid="{00000000-0005-0000-0000-00000A010000}"/>
    <cellStyle name="_Bragantina-SobrasExposição1_Fator X_Financeiro Subsídio Baixa Renda Reajuste 2010 - 03_03_2010" xfId="42635" xr:uid="{00000000-0005-0000-0000-00000B010000}"/>
    <cellStyle name="_Bragantina-SobrasExposição1_Fator X_Financeiro Subsídio Rural Irrigante e Aquicultor Reajuste 2010 - 03_03_2010" xfId="42636" xr:uid="{00000000-0005-0000-0000-00000C010000}"/>
    <cellStyle name="_Bragantina-SobrasExposição1_Fator X_IRT-cálculo" xfId="1975" xr:uid="{00000000-0005-0000-0000-00000D010000}"/>
    <cellStyle name="_Bragantina-SobrasExposição1_Fator X_IRT-cálculo CAPA NEUTRALIDADE" xfId="1976" xr:uid="{00000000-0005-0000-0000-00000E010000}"/>
    <cellStyle name="_Bragantina-SobrasExposição1_Fator X_SOBRECONTRATAÇÃO E CVA" xfId="1977" xr:uid="{00000000-0005-0000-0000-00000F010000}"/>
    <cellStyle name="_Bragantina-SobrasExposição1_Financeiro Desconto na TUSD Consumidores Livres Reajuste 2010 - 03_03_2010" xfId="42637" xr:uid="{00000000-0005-0000-0000-000010010000}"/>
    <cellStyle name="_Bragantina-SobrasExposição1_Financeiro Desconto na TUSD Geradores Reajuste 2010 - 03_03_2010" xfId="42638" xr:uid="{00000000-0005-0000-0000-000011010000}"/>
    <cellStyle name="_Bragantina-SobrasExposição1_Financeiro Subsídio Baixa Renda Reajuste 2010 - 03_03_2010" xfId="42639" xr:uid="{00000000-0005-0000-0000-000012010000}"/>
    <cellStyle name="_Bragantina-SobrasExposição1_Financeiro Subsídio Rural Irrigante e Aquicultor Reajuste 2010 - 03_03_2010" xfId="42640" xr:uid="{00000000-0005-0000-0000-000013010000}"/>
    <cellStyle name="_Bragantina-SobrasExposição1_IMPACTO RECEITA" xfId="31" xr:uid="{00000000-0005-0000-0000-000014010000}"/>
    <cellStyle name="_Bragantina-SobrasExposição1_IMPACTO RECEITA 2" xfId="1183" xr:uid="{00000000-0005-0000-0000-000015010000}"/>
    <cellStyle name="_Bragantina-SobrasExposição1_IMPACTO RECEITA_Balanço" xfId="32" xr:uid="{00000000-0005-0000-0000-000016010000}"/>
    <cellStyle name="_Bragantina-SobrasExposição1_IMPACTO RECEITA_casulo 15" xfId="33" xr:uid="{00000000-0005-0000-0000-000017010000}"/>
    <cellStyle name="_Bragantina-SobrasExposição1_IMPACTO RECEITA_IRT EEB 2010" xfId="1978" xr:uid="{00000000-0005-0000-0000-000018010000}"/>
    <cellStyle name="_Bragantina-SobrasExposição1_IRT (2)" xfId="1510" xr:uid="{00000000-0005-0000-0000-000019010000}"/>
    <cellStyle name="_Bragantina-SobrasExposição1_IRT EEB 2010" xfId="1979" xr:uid="{00000000-0005-0000-0000-00001A010000}"/>
    <cellStyle name="_Bragantina-SobrasExposição1_IRT_1" xfId="1511" xr:uid="{00000000-0005-0000-0000-00001B010000}"/>
    <cellStyle name="_Bragantina-SobrasExposição1_IRT_1 2" xfId="1980" xr:uid="{00000000-0005-0000-0000-00001C010000}"/>
    <cellStyle name="_Bragantina-SobrasExposição1_IRT_1_atualização serviços taxados" xfId="42641" xr:uid="{00000000-0005-0000-0000-00001D010000}"/>
    <cellStyle name="_Bragantina-SobrasExposição1_IRT_1_Financeiro Desconto na TUSD Consumidores Livres Reajuste 2010 - 03_03_2010" xfId="42642" xr:uid="{00000000-0005-0000-0000-00001E010000}"/>
    <cellStyle name="_Bragantina-SobrasExposição1_IRT_1_Financeiro Desconto na TUSD Geradores Reajuste 2010 - 03_03_2010" xfId="42643" xr:uid="{00000000-0005-0000-0000-00001F010000}"/>
    <cellStyle name="_Bragantina-SobrasExposição1_IRT_1_Financeiro Subsídio Baixa Renda Reajuste 2010 - 03_03_2010" xfId="42644" xr:uid="{00000000-0005-0000-0000-000020010000}"/>
    <cellStyle name="_Bragantina-SobrasExposição1_IRT_1_Financeiro Subsídio Rural Irrigante e Aquicultor Reajuste 2010 - 03_03_2010" xfId="42645" xr:uid="{00000000-0005-0000-0000-000021010000}"/>
    <cellStyle name="_Bragantina-SobrasExposição1_IRT_1_IRT-cálculo" xfId="1981" xr:uid="{00000000-0005-0000-0000-000022010000}"/>
    <cellStyle name="_Bragantina-SobrasExposição1_IRT_1_IRT-cálculo CAPA NEUTRALIDADE" xfId="1982" xr:uid="{00000000-0005-0000-0000-000023010000}"/>
    <cellStyle name="_Bragantina-SobrasExposição1_IRT_1_SOBRECONTRATAÇÃO E CVA" xfId="1983" xr:uid="{00000000-0005-0000-0000-000024010000}"/>
    <cellStyle name="_Bragantina-SobrasExposição1_IRT_Revisão A-2" xfId="1984" xr:uid="{00000000-0005-0000-0000-000025010000}"/>
    <cellStyle name="_Bragantina-SobrasExposição1_IRT-cálculo" xfId="1985" xr:uid="{00000000-0005-0000-0000-000026010000}"/>
    <cellStyle name="_Bragantina-SobrasExposição1_IRT-cálculo CAPA NEUTRALIDADE" xfId="1986" xr:uid="{00000000-0005-0000-0000-000027010000}"/>
    <cellStyle name="_Bragantina-SobrasExposição1_Pasta1" xfId="1512" xr:uid="{00000000-0005-0000-0000-000028010000}"/>
    <cellStyle name="_Bragantina-SobrasExposição1_Pasta1 2" xfId="1987" xr:uid="{00000000-0005-0000-0000-000029010000}"/>
    <cellStyle name="_Bragantina-SobrasExposição1_Pasta1_atualização serviços taxados" xfId="42646" xr:uid="{00000000-0005-0000-0000-00002A010000}"/>
    <cellStyle name="_Bragantina-SobrasExposição1_Pasta1_Financeiro Desconto na TUSD Consumidores Livres Reajuste 2010 - 03_03_2010" xfId="42647" xr:uid="{00000000-0005-0000-0000-00002B010000}"/>
    <cellStyle name="_Bragantina-SobrasExposição1_Pasta1_Financeiro Desconto na TUSD Geradores Reajuste 2010 - 03_03_2010" xfId="42648" xr:uid="{00000000-0005-0000-0000-00002C010000}"/>
    <cellStyle name="_Bragantina-SobrasExposição1_Pasta1_Financeiro Subsídio Baixa Renda Reajuste 2010 - 03_03_2010" xfId="42649" xr:uid="{00000000-0005-0000-0000-00002D010000}"/>
    <cellStyle name="_Bragantina-SobrasExposição1_Pasta1_Financeiro Subsídio Rural Irrigante e Aquicultor Reajuste 2010 - 03_03_2010" xfId="42650" xr:uid="{00000000-0005-0000-0000-00002E010000}"/>
    <cellStyle name="_Bragantina-SobrasExposição1_Pasta1_IRT-cálculo" xfId="1988" xr:uid="{00000000-0005-0000-0000-00002F010000}"/>
    <cellStyle name="_Bragantina-SobrasExposição1_Pasta1_IRT-cálculo CAPA NEUTRALIDADE" xfId="1989" xr:uid="{00000000-0005-0000-0000-000030010000}"/>
    <cellStyle name="_Bragantina-SobrasExposição1_Pasta1_SOBRECONTRATAÇÃO E CVA" xfId="1990" xr:uid="{00000000-0005-0000-0000-000031010000}"/>
    <cellStyle name="_Bragantina-SobrasExposição1_Simulação CEPISA XX_08_07" xfId="1513" xr:uid="{00000000-0005-0000-0000-000032010000}"/>
    <cellStyle name="_Bragantina-SobrasExposição1_SOBRECONTRATAÇÃO E CVA" xfId="1991" xr:uid="{00000000-0005-0000-0000-000033010000}"/>
    <cellStyle name="_C_CVA_Rede Básica_2008" xfId="1992" xr:uid="{00000000-0005-0000-0000-000034010000}"/>
    <cellStyle name="_Calculo Tarifa" xfId="1993" xr:uid="{00000000-0005-0000-0000-000035010000}"/>
    <cellStyle name="_Calculo_Subsidio_ELFSM_26_06_08_Modelo_ANEEL" xfId="1994" xr:uid="{00000000-0005-0000-0000-000036010000}"/>
    <cellStyle name="_Calculo_Subsidio_ELFSM_26_06_08_Modelo_ANEEL_IRT-cálculo" xfId="1995" xr:uid="{00000000-0005-0000-0000-000037010000}"/>
    <cellStyle name="_Calculo_Subsidio_ELFSM_26_06_08_Modelo_ANEEL_IRT-cálculo CAPA NEUTRALIDADE" xfId="1996" xr:uid="{00000000-0005-0000-0000-000038010000}"/>
    <cellStyle name="_Cartilha CEB" xfId="1997" xr:uid="{00000000-0005-0000-0000-000039010000}"/>
    <cellStyle name="_CELPE - Repasse sobrecontratação" xfId="34" xr:uid="{00000000-0005-0000-0000-00003A010000}"/>
    <cellStyle name="_CELPE - Repasse sobrecontratação 2" xfId="35" xr:uid="{00000000-0005-0000-0000-00003B010000}"/>
    <cellStyle name="_CELPE - Repasse sobrecontratação 2 2" xfId="1184" xr:uid="{00000000-0005-0000-0000-00003C010000}"/>
    <cellStyle name="_CELPE - Repasse sobrecontratação 2 3" xfId="1998" xr:uid="{00000000-0005-0000-0000-00003D010000}"/>
    <cellStyle name="_CELPE - Repasse sobrecontratação 2_Exposição" xfId="42651" xr:uid="{00000000-0005-0000-0000-00003E010000}"/>
    <cellStyle name="_CELPE - Repasse sobrecontratação 2_Exposição_Agosto 2" xfId="1999" xr:uid="{00000000-0005-0000-0000-00003F010000}"/>
    <cellStyle name="_CELPE - Repasse sobrecontratação 2_IRT_CERON_2008" xfId="42652" xr:uid="{00000000-0005-0000-0000-000040010000}"/>
    <cellStyle name="_CELPE - Repasse sobrecontratação 2_IRT_Revisão A-2" xfId="2000" xr:uid="{00000000-0005-0000-0000-000041010000}"/>
    <cellStyle name="_CELPE - Repasse sobrecontratação 3" xfId="1185" xr:uid="{00000000-0005-0000-0000-000042010000}"/>
    <cellStyle name="_CELPE - Repasse sobrecontratação 4" xfId="2001" xr:uid="{00000000-0005-0000-0000-000043010000}"/>
    <cellStyle name="_CELPE - Repasse sobrecontratação_Exposição" xfId="42653" xr:uid="{00000000-0005-0000-0000-000044010000}"/>
    <cellStyle name="_CELPE - Repasse sobrecontratação_Exposição_Agosto 2" xfId="2002" xr:uid="{00000000-0005-0000-0000-000045010000}"/>
    <cellStyle name="_CELPE - Repasse sobrecontratação_IRT_CERON_2008" xfId="42654" xr:uid="{00000000-0005-0000-0000-000046010000}"/>
    <cellStyle name="_CELPE - Repasse sobrecontratação_IRT_Revisão A-2" xfId="2003" xr:uid="{00000000-0005-0000-0000-000047010000}"/>
    <cellStyle name="_CEMAT - Repasse sobrecontratação" xfId="2004" xr:uid="{00000000-0005-0000-0000-000048010000}"/>
    <cellStyle name="_CEMIG - Repasse sobrecontratação" xfId="36" xr:uid="{00000000-0005-0000-0000-000049010000}"/>
    <cellStyle name="_CEMIG - Repasse sobrecontratação 2" xfId="1186" xr:uid="{00000000-0005-0000-0000-00004A010000}"/>
    <cellStyle name="_CEMIG - Repasse sobrecontratação 3" xfId="2005" xr:uid="{00000000-0005-0000-0000-00004B010000}"/>
    <cellStyle name="_CEMIG - Repasse sobrecontratação_Exposição" xfId="42655" xr:uid="{00000000-0005-0000-0000-00004C010000}"/>
    <cellStyle name="_CEMIG - Repasse sobrecontratação_Exposição_Agosto 2" xfId="2006" xr:uid="{00000000-0005-0000-0000-00004D010000}"/>
    <cellStyle name="_CEMIG - Repasse sobrecontratação_IRT_CERON_2008" xfId="42656" xr:uid="{00000000-0005-0000-0000-00004E010000}"/>
    <cellStyle name="_CEMIG - Repasse sobrecontratação_IRT_Revisão A-2" xfId="2007" xr:uid="{00000000-0005-0000-0000-00004F010000}"/>
    <cellStyle name="_COELBA_90 - Apuração da Receita e Reversão_IRT 2009_07_08_08" xfId="42657" xr:uid="{00000000-0005-0000-0000-000050010000}"/>
    <cellStyle name="_COELBA_99 - Indicadores Econômicos" xfId="42658" xr:uid="{00000000-0005-0000-0000-000051010000}"/>
    <cellStyle name="_COELCE - Memória de Cálculo ICMS não Compensado (atualizado)" xfId="42659" xr:uid="{00000000-0005-0000-0000-000052010000}"/>
    <cellStyle name="_Comprovação_Itens_Financeiros" xfId="2008" xr:uid="{00000000-0005-0000-0000-000053010000}"/>
    <cellStyle name="_Comprovação_Itens_Financeiros_IRT-cálculo" xfId="2009" xr:uid="{00000000-0005-0000-0000-000054010000}"/>
    <cellStyle name="_Comprovação_Itens_Financeiros_IRT-cálculo CAPA NEUTRALIDADE" xfId="2010" xr:uid="{00000000-0005-0000-0000-000055010000}"/>
    <cellStyle name="_Conferido Calculo_Subsídios_ENERGISA_MG" xfId="2011" xr:uid="{00000000-0005-0000-0000-000056010000}"/>
    <cellStyle name="_Consumidor livre - EPB - mai09" xfId="2012" xr:uid="{00000000-0005-0000-0000-000057010000}"/>
    <cellStyle name="_Controle RT EMG" xfId="2013" xr:uid="{00000000-0005-0000-0000-000058010000}"/>
    <cellStyle name="_Cooperativas - ESE 2010" xfId="2014" xr:uid="{00000000-0005-0000-0000-000059010000}"/>
    <cellStyle name="_Cópia (2) de PLPT_PLANILHA_CÁLCULO_DÉFICIT_RESOLUÇÃO_294_2007" xfId="2015" xr:uid="{00000000-0005-0000-0000-00005A010000}"/>
    <cellStyle name="_Cópia de 2006.05.10 EEB IRT 2006 pleito" xfId="37" xr:uid="{00000000-0005-0000-0000-00005B010000}"/>
    <cellStyle name="_Cópia de 2006.05.10 EEB IRT 2006 pleito 2" xfId="1187" xr:uid="{00000000-0005-0000-0000-00005C010000}"/>
    <cellStyle name="_Cópia de 2006.05.10 EEB IRT 2006 pleito_atualização serviços taxados" xfId="42660" xr:uid="{00000000-0005-0000-0000-00005D010000}"/>
    <cellStyle name="_Cópia de 2006.05.10 EEB IRT 2006 pleito_Balanço" xfId="38" xr:uid="{00000000-0005-0000-0000-00005E010000}"/>
    <cellStyle name="_Cópia de 2006.05.10 EEB IRT 2006 pleito_casulo 15" xfId="39" xr:uid="{00000000-0005-0000-0000-00005F010000}"/>
    <cellStyle name="_Cópia de 2006.05.10 EEB IRT 2006 pleito_Energia Comprada" xfId="2016" xr:uid="{00000000-0005-0000-0000-000060010000}"/>
    <cellStyle name="_Cópia de 2006.05.10 EEB IRT 2006 pleito_Energia Comprada_IRT-cálculo" xfId="2017" xr:uid="{00000000-0005-0000-0000-000061010000}"/>
    <cellStyle name="_Cópia de 2006.05.10 EEB IRT 2006 pleito_Energia Comprada_IRT-cálculo CAPA NEUTRALIDADE" xfId="2018" xr:uid="{00000000-0005-0000-0000-000062010000}"/>
    <cellStyle name="_Cópia de 2006.05.10 EEB IRT 2006 pleito_Exposição_Agosto 2" xfId="2019" xr:uid="{00000000-0005-0000-0000-000063010000}"/>
    <cellStyle name="_Cópia de 2006.05.10 EEB IRT 2006 pleito_Fator X" xfId="1514" xr:uid="{00000000-0005-0000-0000-000064010000}"/>
    <cellStyle name="_Cópia de 2006.05.10 EEB IRT 2006 pleito_Fator X 2" xfId="2020" xr:uid="{00000000-0005-0000-0000-000065010000}"/>
    <cellStyle name="_Cópia de 2006.05.10 EEB IRT 2006 pleito_Fator X_atualização serviços taxados" xfId="42661" xr:uid="{00000000-0005-0000-0000-000066010000}"/>
    <cellStyle name="_Cópia de 2006.05.10 EEB IRT 2006 pleito_Fator X_Financeiro Desconto na TUSD Consumidores Livres Reajuste 2010 - 03_03_2010" xfId="42662" xr:uid="{00000000-0005-0000-0000-000067010000}"/>
    <cellStyle name="_Cópia de 2006.05.10 EEB IRT 2006 pleito_Fator X_Financeiro Desconto na TUSD Geradores Reajuste 2010 - 03_03_2010" xfId="42663" xr:uid="{00000000-0005-0000-0000-000068010000}"/>
    <cellStyle name="_Cópia de 2006.05.10 EEB IRT 2006 pleito_Fator X_Financeiro Subsídio Baixa Renda Reajuste 2010 - 03_03_2010" xfId="42664" xr:uid="{00000000-0005-0000-0000-000069010000}"/>
    <cellStyle name="_Cópia de 2006.05.10 EEB IRT 2006 pleito_Fator X_Financeiro Subsídio Rural Irrigante e Aquicultor Reajuste 2010 - 03_03_2010" xfId="42665" xr:uid="{00000000-0005-0000-0000-00006A010000}"/>
    <cellStyle name="_Cópia de 2006.05.10 EEB IRT 2006 pleito_Fator X_IRT-cálculo" xfId="2021" xr:uid="{00000000-0005-0000-0000-00006B010000}"/>
    <cellStyle name="_Cópia de 2006.05.10 EEB IRT 2006 pleito_Fator X_IRT-cálculo CAPA NEUTRALIDADE" xfId="2022" xr:uid="{00000000-0005-0000-0000-00006C010000}"/>
    <cellStyle name="_Cópia de 2006.05.10 EEB IRT 2006 pleito_Fator X_SOBRECONTRATAÇÃO E CVA" xfId="2023" xr:uid="{00000000-0005-0000-0000-00006D010000}"/>
    <cellStyle name="_Cópia de 2006.05.10 EEB IRT 2006 pleito_Financeiro Desconto na TUSD Consumidores Livres Reajuste 2010 - 03_03_2010" xfId="42666" xr:uid="{00000000-0005-0000-0000-00006E010000}"/>
    <cellStyle name="_Cópia de 2006.05.10 EEB IRT 2006 pleito_Financeiro Desconto na TUSD Geradores Reajuste 2010 - 03_03_2010" xfId="42667" xr:uid="{00000000-0005-0000-0000-00006F010000}"/>
    <cellStyle name="_Cópia de 2006.05.10 EEB IRT 2006 pleito_Financeiro Subsídio Baixa Renda Reajuste 2010 - 03_03_2010" xfId="42668" xr:uid="{00000000-0005-0000-0000-000070010000}"/>
    <cellStyle name="_Cópia de 2006.05.10 EEB IRT 2006 pleito_Financeiro Subsídio Rural Irrigante e Aquicultor Reajuste 2010 - 03_03_2010" xfId="42669" xr:uid="{00000000-0005-0000-0000-000071010000}"/>
    <cellStyle name="_Cópia de 2006.05.10 EEB IRT 2006 pleito_IMPACTO RECEITA" xfId="40" xr:uid="{00000000-0005-0000-0000-000072010000}"/>
    <cellStyle name="_Cópia de 2006.05.10 EEB IRT 2006 pleito_IMPACTO RECEITA 2" xfId="1188" xr:uid="{00000000-0005-0000-0000-000073010000}"/>
    <cellStyle name="_Cópia de 2006.05.10 EEB IRT 2006 pleito_IMPACTO RECEITA_Balanço" xfId="41" xr:uid="{00000000-0005-0000-0000-000074010000}"/>
    <cellStyle name="_Cópia de 2006.05.10 EEB IRT 2006 pleito_IMPACTO RECEITA_casulo 15" xfId="42" xr:uid="{00000000-0005-0000-0000-000075010000}"/>
    <cellStyle name="_Cópia de 2006.05.10 EEB IRT 2006 pleito_IMPACTO RECEITA_IRT EEB 2010" xfId="2024" xr:uid="{00000000-0005-0000-0000-000076010000}"/>
    <cellStyle name="_Cópia de 2006.05.10 EEB IRT 2006 pleito_IRT (2)" xfId="1515" xr:uid="{00000000-0005-0000-0000-000077010000}"/>
    <cellStyle name="_Cópia de 2006.05.10 EEB IRT 2006 pleito_IRT EEB 2010" xfId="2025" xr:uid="{00000000-0005-0000-0000-000078010000}"/>
    <cellStyle name="_Cópia de 2006.05.10 EEB IRT 2006 pleito_IRT_1" xfId="1516" xr:uid="{00000000-0005-0000-0000-000079010000}"/>
    <cellStyle name="_Cópia de 2006.05.10 EEB IRT 2006 pleito_IRT_1 2" xfId="2026" xr:uid="{00000000-0005-0000-0000-00007A010000}"/>
    <cellStyle name="_Cópia de 2006.05.10 EEB IRT 2006 pleito_IRT_1_atualização serviços taxados" xfId="42670" xr:uid="{00000000-0005-0000-0000-00007B010000}"/>
    <cellStyle name="_Cópia de 2006.05.10 EEB IRT 2006 pleito_IRT_1_Financeiro Desconto na TUSD Consumidores Livres Reajuste 2010 - 03_03_2010" xfId="42671" xr:uid="{00000000-0005-0000-0000-00007C010000}"/>
    <cellStyle name="_Cópia de 2006.05.10 EEB IRT 2006 pleito_IRT_1_Financeiro Desconto na TUSD Geradores Reajuste 2010 - 03_03_2010" xfId="42672" xr:uid="{00000000-0005-0000-0000-00007D010000}"/>
    <cellStyle name="_Cópia de 2006.05.10 EEB IRT 2006 pleito_IRT_1_Financeiro Subsídio Baixa Renda Reajuste 2010 - 03_03_2010" xfId="42673" xr:uid="{00000000-0005-0000-0000-00007E010000}"/>
    <cellStyle name="_Cópia de 2006.05.10 EEB IRT 2006 pleito_IRT_1_Financeiro Subsídio Rural Irrigante e Aquicultor Reajuste 2010 - 03_03_2010" xfId="42674" xr:uid="{00000000-0005-0000-0000-00007F010000}"/>
    <cellStyle name="_Cópia de 2006.05.10 EEB IRT 2006 pleito_IRT_1_IRT-cálculo" xfId="2027" xr:uid="{00000000-0005-0000-0000-000080010000}"/>
    <cellStyle name="_Cópia de 2006.05.10 EEB IRT 2006 pleito_IRT_1_IRT-cálculo CAPA NEUTRALIDADE" xfId="2028" xr:uid="{00000000-0005-0000-0000-000081010000}"/>
    <cellStyle name="_Cópia de 2006.05.10 EEB IRT 2006 pleito_IRT_1_SOBRECONTRATAÇÃO E CVA" xfId="2029" xr:uid="{00000000-0005-0000-0000-000082010000}"/>
    <cellStyle name="_Cópia de 2006.05.10 EEB IRT 2006 pleito_IRT_Revisão A-2" xfId="2030" xr:uid="{00000000-0005-0000-0000-000083010000}"/>
    <cellStyle name="_Cópia de 2006.05.10 EEB IRT 2006 pleito_IRT-cálculo" xfId="2031" xr:uid="{00000000-0005-0000-0000-000084010000}"/>
    <cellStyle name="_Cópia de 2006.05.10 EEB IRT 2006 pleito_IRT-cálculo CAPA NEUTRALIDADE" xfId="2032" xr:uid="{00000000-0005-0000-0000-000085010000}"/>
    <cellStyle name="_Cópia de 2006.05.10 EEB IRT 2006 pleito_Pasta1" xfId="1517" xr:uid="{00000000-0005-0000-0000-000086010000}"/>
    <cellStyle name="_Cópia de 2006.05.10 EEB IRT 2006 pleito_Pasta1 2" xfId="2033" xr:uid="{00000000-0005-0000-0000-000087010000}"/>
    <cellStyle name="_Cópia de 2006.05.10 EEB IRT 2006 pleito_Pasta1_atualização serviços taxados" xfId="42675" xr:uid="{00000000-0005-0000-0000-000088010000}"/>
    <cellStyle name="_Cópia de 2006.05.10 EEB IRT 2006 pleito_Pasta1_Financeiro Desconto na TUSD Consumidores Livres Reajuste 2010 - 03_03_2010" xfId="42676" xr:uid="{00000000-0005-0000-0000-000089010000}"/>
    <cellStyle name="_Cópia de 2006.05.10 EEB IRT 2006 pleito_Pasta1_Financeiro Desconto na TUSD Geradores Reajuste 2010 - 03_03_2010" xfId="42677" xr:uid="{00000000-0005-0000-0000-00008A010000}"/>
    <cellStyle name="_Cópia de 2006.05.10 EEB IRT 2006 pleito_Pasta1_Financeiro Subsídio Baixa Renda Reajuste 2010 - 03_03_2010" xfId="42678" xr:uid="{00000000-0005-0000-0000-00008B010000}"/>
    <cellStyle name="_Cópia de 2006.05.10 EEB IRT 2006 pleito_Pasta1_Financeiro Subsídio Rural Irrigante e Aquicultor Reajuste 2010 - 03_03_2010" xfId="42679" xr:uid="{00000000-0005-0000-0000-00008C010000}"/>
    <cellStyle name="_Cópia de 2006.05.10 EEB IRT 2006 pleito_Pasta1_IRT-cálculo" xfId="2034" xr:uid="{00000000-0005-0000-0000-00008D010000}"/>
    <cellStyle name="_Cópia de 2006.05.10 EEB IRT 2006 pleito_Pasta1_IRT-cálculo CAPA NEUTRALIDADE" xfId="2035" xr:uid="{00000000-0005-0000-0000-00008E010000}"/>
    <cellStyle name="_Cópia de 2006.05.10 EEB IRT 2006 pleito_Pasta1_SOBRECONTRATAÇÃO E CVA" xfId="2036" xr:uid="{00000000-0005-0000-0000-00008F010000}"/>
    <cellStyle name="_Cópia de 2006.05.10 EEB IRT 2006 pleito_Simulação CEPISA XX_08_07" xfId="1518" xr:uid="{00000000-0005-0000-0000-000090010000}"/>
    <cellStyle name="_Cópia de 2006.05.10 EEB IRT 2006 pleito_SOBRECONTRATAÇÃO E CVA" xfId="2037" xr:uid="{00000000-0005-0000-0000-000091010000}"/>
    <cellStyle name="_Cópia de IRT_CPFL_LESTE_PAULISTA(CPEE)_fev2009-COM_PREVISÃO_BR_da_Diretoria_pos_IGPM" xfId="43" xr:uid="{00000000-0005-0000-0000-000092010000}"/>
    <cellStyle name="_Cópia de IRT2006_CEB_Final" xfId="44" xr:uid="{00000000-0005-0000-0000-000093010000}"/>
    <cellStyle name="_Cópia de IRT2006_CEB_Final 2" xfId="1189" xr:uid="{00000000-0005-0000-0000-000094010000}"/>
    <cellStyle name="_Cópia de IRT2006_CEB_Final 3" xfId="2038" xr:uid="{00000000-0005-0000-0000-000095010000}"/>
    <cellStyle name="_Cópia de IRT2006_CEB_Final_Balanço" xfId="45" xr:uid="{00000000-0005-0000-0000-000096010000}"/>
    <cellStyle name="_Cópia de IRT2006_CEB_Final_casulo 15" xfId="46" xr:uid="{00000000-0005-0000-0000-000097010000}"/>
    <cellStyle name="_Cópia de IRT2006_CEB_Final_Exposição_Agosto 2" xfId="2039" xr:uid="{00000000-0005-0000-0000-000098010000}"/>
    <cellStyle name="_Cópia de IRT2006_CEB_Final_IRT EEB 2010" xfId="2040" xr:uid="{00000000-0005-0000-0000-000099010000}"/>
    <cellStyle name="_Cópia de IRT2006_CEB_Final_IRT_Revisão A-2" xfId="2041" xr:uid="{00000000-0005-0000-0000-00009A010000}"/>
    <cellStyle name="_Cópia de IRT2006_CEB_Final_Simulação AES SUL 03_04_07" xfId="47" xr:uid="{00000000-0005-0000-0000-00009B010000}"/>
    <cellStyle name="_Cópia de IRT2006_CEB_Final_Simulação AES SUL 03_04_07 2" xfId="1190" xr:uid="{00000000-0005-0000-0000-00009C010000}"/>
    <cellStyle name="_Cópia de IRT2006_CEB_Final_Simulação AES SUL 03_04_07 3" xfId="2042" xr:uid="{00000000-0005-0000-0000-00009D010000}"/>
    <cellStyle name="_Cópia de IRT2006_CEB_Final_Simulação AES SUL 03_04_07_Balanço" xfId="48" xr:uid="{00000000-0005-0000-0000-00009E010000}"/>
    <cellStyle name="_Cópia de IRT2006_CEB_Final_Simulação AES SUL 03_04_07_casulo 15" xfId="49" xr:uid="{00000000-0005-0000-0000-00009F010000}"/>
    <cellStyle name="_Cópia de IRT2006_CEB_Final_Simulação AES SUL 03_04_07_IRT EEB 2010" xfId="2043" xr:uid="{00000000-0005-0000-0000-0000A0010000}"/>
    <cellStyle name="_Cópia de IRT2006_CEB_Final_Sobrecontratação AES (2)" xfId="50" xr:uid="{00000000-0005-0000-0000-0000A1010000}"/>
    <cellStyle name="_Cópia de IRT2006_CEB_Final_Sobrecontratação AES (2) 2" xfId="1191" xr:uid="{00000000-0005-0000-0000-0000A2010000}"/>
    <cellStyle name="_Cópia de IRT2006_CEB_Final_Sobrecontratação AES (2) 3" xfId="2044" xr:uid="{00000000-0005-0000-0000-0000A3010000}"/>
    <cellStyle name="_Cópia de IRT2006_CEB_Final_Sobrecontratação AES (2)_Balanço" xfId="51" xr:uid="{00000000-0005-0000-0000-0000A4010000}"/>
    <cellStyle name="_Cópia de IRT2006_CEB_Final_Sobrecontratação AES (2)_casulo 15" xfId="52" xr:uid="{00000000-0005-0000-0000-0000A5010000}"/>
    <cellStyle name="_Cópia de IRT2006_CEB_Final_Sobrecontratação AES (2)_IRT EEB 2010" xfId="2045" xr:uid="{00000000-0005-0000-0000-0000A6010000}"/>
    <cellStyle name="_Cópia de PRTP v9" xfId="53" xr:uid="{00000000-0005-0000-0000-0000A7010000}"/>
    <cellStyle name="_Cópia de PRTP v9 2" xfId="1192" xr:uid="{00000000-0005-0000-0000-0000A8010000}"/>
    <cellStyle name="_Cópia de PRTP v9_02 IRT Bandeirante 2009" xfId="2046" xr:uid="{00000000-0005-0000-0000-0000A9010000}"/>
    <cellStyle name="_Cópia de PRTP v9_Balanço" xfId="54" xr:uid="{00000000-0005-0000-0000-0000AA010000}"/>
    <cellStyle name="_Cópia de PRTP v9_Balanço 2" xfId="1193" xr:uid="{00000000-0005-0000-0000-0000AB010000}"/>
    <cellStyle name="_Cópia de PRTP v9_casulo 15" xfId="55" xr:uid="{00000000-0005-0000-0000-0000AC010000}"/>
    <cellStyle name="_Cópia de PRTP v9_casulo 5" xfId="56" xr:uid="{00000000-0005-0000-0000-0000AD010000}"/>
    <cellStyle name="_Cópia de PRTP v9_casulo 5 2" xfId="1194" xr:uid="{00000000-0005-0000-0000-0000AE010000}"/>
    <cellStyle name="_Cópia de PRTP v9_casulo 5_Balanço" xfId="57" xr:uid="{00000000-0005-0000-0000-0000AF010000}"/>
    <cellStyle name="_Cópia de PRTP v9_casulo 5_casulo 15" xfId="58" xr:uid="{00000000-0005-0000-0000-0000B0010000}"/>
    <cellStyle name="_Cópia de PRTP v9_casulo 5_IRT EEB 2010" xfId="2047" xr:uid="{00000000-0005-0000-0000-0000B1010000}"/>
    <cellStyle name="_Cópia de PRTP v9_IRT EEB 2010" xfId="2048" xr:uid="{00000000-0005-0000-0000-0000B2010000}"/>
    <cellStyle name="_Cópia de PRTP v9_IRT Piratininga 2009" xfId="59" xr:uid="{00000000-0005-0000-0000-0000B3010000}"/>
    <cellStyle name="_Cópia de PRTP v9_IRT Piratininga 2009 2" xfId="1195" xr:uid="{00000000-0005-0000-0000-0000B4010000}"/>
    <cellStyle name="_Cópia de PRTP v9_IRT Piratininga 2009_Balanço" xfId="60" xr:uid="{00000000-0005-0000-0000-0000B5010000}"/>
    <cellStyle name="_Cópia de PRTP v9_IRT Piratininga 2009_casulo 15" xfId="61" xr:uid="{00000000-0005-0000-0000-0000B6010000}"/>
    <cellStyle name="_Cópia de PRTP v9_IRT Piratininga 2009_IRT EEB 2010" xfId="2049" xr:uid="{00000000-0005-0000-0000-0000B7010000}"/>
    <cellStyle name="_Cópia de PRTP v9_IRT_EBB_mai2010d" xfId="2050" xr:uid="{00000000-0005-0000-0000-0000B8010000}"/>
    <cellStyle name="_Cópia de PRTP v9_IRT_Planilha Básica_ CETRIL" xfId="62" xr:uid="{00000000-0005-0000-0000-0000B9010000}"/>
    <cellStyle name="_Cópia de PRTP v9_IRT_Planilha Básica_ CETRIL 2" xfId="1196" xr:uid="{00000000-0005-0000-0000-0000BA010000}"/>
    <cellStyle name="_Cópia de PRTP v9_IRT_Planilha Básica_ CETRIL_Balanço" xfId="63" xr:uid="{00000000-0005-0000-0000-0000BB010000}"/>
    <cellStyle name="_Cópia de PRTP v9_IRT_Planilha Básica_ CETRIL_casulo 15" xfId="64" xr:uid="{00000000-0005-0000-0000-0000BC010000}"/>
    <cellStyle name="_Cópia de PRTP v9_IRT_Planilha Básica_ CETRIL_IRT EEB 2010" xfId="2051" xr:uid="{00000000-0005-0000-0000-0000BD010000}"/>
    <cellStyle name="_Cópia de PRTP v9_IRT_Planilha Básica_DIRETORIA" xfId="2052" xr:uid="{00000000-0005-0000-0000-0000BE010000}"/>
    <cellStyle name="_Cópia de PRTP v9_IRT_Planilha Básica_fev2010" xfId="2053" xr:uid="{00000000-0005-0000-0000-0000BF010000}"/>
    <cellStyle name="_Cópia de PRTP v9_IRT_Planilha Básica_fev2010a" xfId="65" xr:uid="{00000000-0005-0000-0000-0000C0010000}"/>
    <cellStyle name="_Cópia de PRTP v9_IRT_Planilha Básica_fev2010a 2" xfId="1197" xr:uid="{00000000-0005-0000-0000-0000C1010000}"/>
    <cellStyle name="_Cópia de PRTP v9_IRT_Planilha Básica_fev2010a_Balanço" xfId="66" xr:uid="{00000000-0005-0000-0000-0000C2010000}"/>
    <cellStyle name="_Cópia de PRTP v9_IRT_Planilha Básica_fev2010a_Balanço 2" xfId="1198" xr:uid="{00000000-0005-0000-0000-0000C3010000}"/>
    <cellStyle name="_Cópia de PRTP v9_IRT_Planilha Básica_fev2010a_casulo 15" xfId="67" xr:uid="{00000000-0005-0000-0000-0000C4010000}"/>
    <cellStyle name="_Cópia de PRTP v9_IRT_Planilha Básica_fev2010a_casulo 5" xfId="68" xr:uid="{00000000-0005-0000-0000-0000C5010000}"/>
    <cellStyle name="_Cópia de PRTP v9_IRT_Planilha Básica_fev2010a_casulo 5 2" xfId="1199" xr:uid="{00000000-0005-0000-0000-0000C6010000}"/>
    <cellStyle name="_Cópia de PRTP v9_IRT_Planilha Básica_fev2010a_casulo 5_Balanço" xfId="69" xr:uid="{00000000-0005-0000-0000-0000C7010000}"/>
    <cellStyle name="_Cópia de PRTP v9_IRT_Planilha Básica_fev2010a_casulo 5_casulo 15" xfId="70" xr:uid="{00000000-0005-0000-0000-0000C8010000}"/>
    <cellStyle name="_Cópia de PRTP v9_IRT_Planilha Básica_fev2010a_casulo 5_IRT EEB 2010" xfId="2054" xr:uid="{00000000-0005-0000-0000-0000C9010000}"/>
    <cellStyle name="_Cópia de PRTP v9_IRT_Planilha Básica_fev2010a_IRT EEB 2010" xfId="2055" xr:uid="{00000000-0005-0000-0000-0000CA010000}"/>
    <cellStyle name="_Cópia de PRTP v9_IRT_Planilha Básica_jan2010" xfId="2056" xr:uid="{00000000-0005-0000-0000-0000CB010000}"/>
    <cellStyle name="_Cópia de PRTP v9_IRT_Planilha Básica_mar2010b" xfId="2057" xr:uid="{00000000-0005-0000-0000-0000CC010000}"/>
    <cellStyle name="_Cópia de PRTP v9_IRT_Planilha Básica_mar2010d" xfId="71" xr:uid="{00000000-0005-0000-0000-0000CD010000}"/>
    <cellStyle name="_Cópia de PRTP v9_IRT_Planilha Básica_mar2010d 2" xfId="1200" xr:uid="{00000000-0005-0000-0000-0000CE010000}"/>
    <cellStyle name="_Cópia de PRTP v9_IRT_Planilha Básica_NOVA METODOLOGIA" xfId="2058" xr:uid="{00000000-0005-0000-0000-0000CF010000}"/>
    <cellStyle name="_Cópia de PRTP v9_IRT_Santa 2010" xfId="2059" xr:uid="{00000000-0005-0000-0000-0000D0010000}"/>
    <cellStyle name="_Cópia de PRTP v9_IRT-cálculo" xfId="2060" xr:uid="{00000000-0005-0000-0000-0000D1010000}"/>
    <cellStyle name="_Cópia de PRTP v9_IRT-cálculo CAPA NEUTRALIDADE" xfId="2061" xr:uid="{00000000-0005-0000-0000-0000D2010000}"/>
    <cellStyle name="_Cópia de PRTP v9_Resultados_DEA_RND_QUAL_PERDAS" xfId="42528" xr:uid="{00000000-0005-0000-0000-0000D3010000}"/>
    <cellStyle name="_Cópia de PRTP v9_teste ampla" xfId="72" xr:uid="{00000000-0005-0000-0000-0000D4010000}"/>
    <cellStyle name="_Cópia de PRTP v9_teste ampla 2" xfId="1201" xr:uid="{00000000-0005-0000-0000-0000D5010000}"/>
    <cellStyle name="_Cópia de PRTP v9_teste ampla_Balanço" xfId="73" xr:uid="{00000000-0005-0000-0000-0000D6010000}"/>
    <cellStyle name="_Cópia de PRTP v9_teste ampla_Balanço 2" xfId="1202" xr:uid="{00000000-0005-0000-0000-0000D7010000}"/>
    <cellStyle name="_Cópia de PRTP v9_teste ampla_casulo 15" xfId="74" xr:uid="{00000000-0005-0000-0000-0000D8010000}"/>
    <cellStyle name="_Cópia de PRTP v9_teste ampla_casulo 5" xfId="75" xr:uid="{00000000-0005-0000-0000-0000D9010000}"/>
    <cellStyle name="_Cópia de PRTP v9_teste ampla_casulo 5 2" xfId="1203" xr:uid="{00000000-0005-0000-0000-0000DA010000}"/>
    <cellStyle name="_Cópia de PRTP v9_teste ampla_casulo 5_Balanço" xfId="76" xr:uid="{00000000-0005-0000-0000-0000DB010000}"/>
    <cellStyle name="_Cópia de PRTP v9_teste ampla_casulo 5_casulo 15" xfId="77" xr:uid="{00000000-0005-0000-0000-0000DC010000}"/>
    <cellStyle name="_Cópia de PRTP v9_teste ampla_casulo 5_IRT EEB 2010" xfId="2062" xr:uid="{00000000-0005-0000-0000-0000DD010000}"/>
    <cellStyle name="_Cópia de PRTP v9_teste ampla_IRT EEB 2010" xfId="2063" xr:uid="{00000000-0005-0000-0000-0000DE010000}"/>
    <cellStyle name="_Cópia de PRTP_v6-Elektro" xfId="2064" xr:uid="{00000000-0005-0000-0000-0000DF010000}"/>
    <cellStyle name="_Cópia de PRTP_v6-Elektro_atualização serviços taxados" xfId="42680" xr:uid="{00000000-0005-0000-0000-0000E0010000}"/>
    <cellStyle name="_Cópia de PRTP_v6-Elektro_Financeiro Desconto na TUSD Consumidores Livres Reajuste 2010 - 03_03_2010" xfId="42681" xr:uid="{00000000-0005-0000-0000-0000E1010000}"/>
    <cellStyle name="_Cópia de PRTP_v6-Elektro_Financeiro Desconto na TUSD Geradores Reajuste 2010 - 03_03_2010" xfId="42682" xr:uid="{00000000-0005-0000-0000-0000E2010000}"/>
    <cellStyle name="_Cópia de PRTP_v6-Elektro_Financeiro Subsídio Baixa Renda Reajuste 2010 - 03_03_2010" xfId="42683" xr:uid="{00000000-0005-0000-0000-0000E3010000}"/>
    <cellStyle name="_Cópia de PRTP_v6-Elektro_Financeiro Subsídio Rural Irrigante e Aquicultor Reajuste 2010 - 03_03_2010" xfId="42684" xr:uid="{00000000-0005-0000-0000-0000E4010000}"/>
    <cellStyle name="_Cópia de SOBRECONTRATAÇÃO - RES  255-2007 ENERGIPE - FINAL" xfId="1519" xr:uid="{00000000-0005-0000-0000-0000E5010000}"/>
    <cellStyle name="_Cópia de SOBRECONTRATAÇÃO - RES  255-2007 ENERGIPE - FINAL 2" xfId="2065" xr:uid="{00000000-0005-0000-0000-0000E6010000}"/>
    <cellStyle name="_Cópia de SOBRECONTRATAÇÃO - RES  255-2007 ENERGIPE - FINAL_atualização serviços taxados" xfId="42685" xr:uid="{00000000-0005-0000-0000-0000E7010000}"/>
    <cellStyle name="_Cópia de SOBRECONTRATAÇÃO - RES  255-2007 ENERGIPE - FINAL_CVA Borborema 2010 - Fiscalizada Final" xfId="2066" xr:uid="{00000000-0005-0000-0000-0000E8010000}"/>
    <cellStyle name="_Cópia de SOBRECONTRATAÇÃO - RES  255-2007 ENERGIPE - FINAL_Energia Comprada" xfId="2067" xr:uid="{00000000-0005-0000-0000-0000E9010000}"/>
    <cellStyle name="_Cópia de SOBRECONTRATAÇÃO - RES  255-2007 ENERGIPE - FINAL_Energia Comprada_IRT-cálculo" xfId="2068" xr:uid="{00000000-0005-0000-0000-0000EA010000}"/>
    <cellStyle name="_Cópia de SOBRECONTRATAÇÃO - RES  255-2007 ENERGIPE - FINAL_Energia Comprada_IRT-cálculo CAPA NEUTRALIDADE" xfId="2069" xr:uid="{00000000-0005-0000-0000-0000EB010000}"/>
    <cellStyle name="_Cópia de SOBRECONTRATAÇÃO - RES  255-2007 ENERGIPE - FINAL_Fator X" xfId="1520" xr:uid="{00000000-0005-0000-0000-0000EC010000}"/>
    <cellStyle name="_Cópia de SOBRECONTRATAÇÃO - RES  255-2007 ENERGIPE - FINAL_Fator X 2" xfId="2070" xr:uid="{00000000-0005-0000-0000-0000ED010000}"/>
    <cellStyle name="_Cópia de SOBRECONTRATAÇÃO - RES  255-2007 ENERGIPE - FINAL_Fator X_atualização serviços taxados" xfId="42686" xr:uid="{00000000-0005-0000-0000-0000EE010000}"/>
    <cellStyle name="_Cópia de SOBRECONTRATAÇÃO - RES  255-2007 ENERGIPE - FINAL_Fator X_Financeiro Desconto na TUSD Consumidores Livres Reajuste 2010 - 03_03_2010" xfId="42687" xr:uid="{00000000-0005-0000-0000-0000EF010000}"/>
    <cellStyle name="_Cópia de SOBRECONTRATAÇÃO - RES  255-2007 ENERGIPE - FINAL_Fator X_Financeiro Desconto na TUSD Geradores Reajuste 2010 - 03_03_2010" xfId="42688" xr:uid="{00000000-0005-0000-0000-0000F0010000}"/>
    <cellStyle name="_Cópia de SOBRECONTRATAÇÃO - RES  255-2007 ENERGIPE - FINAL_Fator X_Financeiro Subsídio Baixa Renda Reajuste 2010 - 03_03_2010" xfId="42689" xr:uid="{00000000-0005-0000-0000-0000F1010000}"/>
    <cellStyle name="_Cópia de SOBRECONTRATAÇÃO - RES  255-2007 ENERGIPE - FINAL_Fator X_Financeiro Subsídio Rural Irrigante e Aquicultor Reajuste 2010 - 03_03_2010" xfId="42690" xr:uid="{00000000-0005-0000-0000-0000F2010000}"/>
    <cellStyle name="_Cópia de SOBRECONTRATAÇÃO - RES  255-2007 ENERGIPE - FINAL_Fator X_IRT-cálculo" xfId="2071" xr:uid="{00000000-0005-0000-0000-0000F3010000}"/>
    <cellStyle name="_Cópia de SOBRECONTRATAÇÃO - RES  255-2007 ENERGIPE - FINAL_Fator X_IRT-cálculo CAPA NEUTRALIDADE" xfId="2072" xr:uid="{00000000-0005-0000-0000-0000F4010000}"/>
    <cellStyle name="_Cópia de SOBRECONTRATAÇÃO - RES  255-2007 ENERGIPE - FINAL_Fator X_SOBRECONTRATAÇÃO E CVA" xfId="2073" xr:uid="{00000000-0005-0000-0000-0000F5010000}"/>
    <cellStyle name="_Cópia de SOBRECONTRATAÇÃO - RES  255-2007 ENERGIPE - FINAL_Financeiro Desconto na TUSD Consumidores Livres Reajuste 2010 - 03_03_2010" xfId="42691" xr:uid="{00000000-0005-0000-0000-0000F6010000}"/>
    <cellStyle name="_Cópia de SOBRECONTRATAÇÃO - RES  255-2007 ENERGIPE - FINAL_Financeiro Desconto na TUSD Geradores Reajuste 2010 - 03_03_2010" xfId="42692" xr:uid="{00000000-0005-0000-0000-0000F7010000}"/>
    <cellStyle name="_Cópia de SOBRECONTRATAÇÃO - RES  255-2007 ENERGIPE - FINAL_Financeiro Subsídio Baixa Renda Reajuste 2010 - 03_03_2010" xfId="42693" xr:uid="{00000000-0005-0000-0000-0000F8010000}"/>
    <cellStyle name="_Cópia de SOBRECONTRATAÇÃO - RES  255-2007 ENERGIPE - FINAL_Financeiro Subsídio Rural Irrigante e Aquicultor Reajuste 2010 - 03_03_2010" xfId="42694" xr:uid="{00000000-0005-0000-0000-0000F9010000}"/>
    <cellStyle name="_Cópia de SOBRECONTRATAÇÃO - RES  255-2007 ENERGIPE - FINAL_IRT (2)" xfId="1521" xr:uid="{00000000-0005-0000-0000-0000FA010000}"/>
    <cellStyle name="_Cópia de SOBRECONTRATAÇÃO - RES  255-2007 ENERGIPE - FINAL_IRT_1" xfId="1522" xr:uid="{00000000-0005-0000-0000-0000FB010000}"/>
    <cellStyle name="_Cópia de SOBRECONTRATAÇÃO - RES  255-2007 ENERGIPE - FINAL_IRT_1 2" xfId="2074" xr:uid="{00000000-0005-0000-0000-0000FC010000}"/>
    <cellStyle name="_Cópia de SOBRECONTRATAÇÃO - RES  255-2007 ENERGIPE - FINAL_IRT_1_atualização serviços taxados" xfId="42695" xr:uid="{00000000-0005-0000-0000-0000FD010000}"/>
    <cellStyle name="_Cópia de SOBRECONTRATAÇÃO - RES  255-2007 ENERGIPE - FINAL_IRT_1_Financeiro Desconto na TUSD Consumidores Livres Reajuste 2010 - 03_03_2010" xfId="42696" xr:uid="{00000000-0005-0000-0000-0000FE010000}"/>
    <cellStyle name="_Cópia de SOBRECONTRATAÇÃO - RES  255-2007 ENERGIPE - FINAL_IRT_1_Financeiro Desconto na TUSD Geradores Reajuste 2010 - 03_03_2010" xfId="42697" xr:uid="{00000000-0005-0000-0000-0000FF010000}"/>
    <cellStyle name="_Cópia de SOBRECONTRATAÇÃO - RES  255-2007 ENERGIPE - FINAL_IRT_1_Financeiro Subsídio Baixa Renda Reajuste 2010 - 03_03_2010" xfId="42698" xr:uid="{00000000-0005-0000-0000-000000020000}"/>
    <cellStyle name="_Cópia de SOBRECONTRATAÇÃO - RES  255-2007 ENERGIPE - FINAL_IRT_1_Financeiro Subsídio Rural Irrigante e Aquicultor Reajuste 2010 - 03_03_2010" xfId="42699" xr:uid="{00000000-0005-0000-0000-000001020000}"/>
    <cellStyle name="_Cópia de SOBRECONTRATAÇÃO - RES  255-2007 ENERGIPE - FINAL_IRT_1_IRT-cálculo" xfId="2075" xr:uid="{00000000-0005-0000-0000-000002020000}"/>
    <cellStyle name="_Cópia de SOBRECONTRATAÇÃO - RES  255-2007 ENERGIPE - FINAL_IRT_1_IRT-cálculo CAPA NEUTRALIDADE" xfId="2076" xr:uid="{00000000-0005-0000-0000-000003020000}"/>
    <cellStyle name="_Cópia de SOBRECONTRATAÇÃO - RES  255-2007 ENERGIPE - FINAL_IRT_1_SOBRECONTRATAÇÃO E CVA" xfId="2077" xr:uid="{00000000-0005-0000-0000-000004020000}"/>
    <cellStyle name="_Cópia de SOBRECONTRATAÇÃO - RES  255-2007 ENERGIPE - FINAL_IRT-cálculo" xfId="2078" xr:uid="{00000000-0005-0000-0000-000005020000}"/>
    <cellStyle name="_Cópia de SOBRECONTRATAÇÃO - RES  255-2007 ENERGIPE - FINAL_IRT-cálculo CAPA NEUTRALIDADE" xfId="2079" xr:uid="{00000000-0005-0000-0000-000006020000}"/>
    <cellStyle name="_Cópia de SOBRECONTRATAÇÃO - RES  255-2007 ENERGIPE - FINAL_Pasta1" xfId="1523" xr:uid="{00000000-0005-0000-0000-000007020000}"/>
    <cellStyle name="_Cópia de SOBRECONTRATAÇÃO - RES  255-2007 ENERGIPE - FINAL_Pasta1 2" xfId="2080" xr:uid="{00000000-0005-0000-0000-000008020000}"/>
    <cellStyle name="_Cópia de SOBRECONTRATAÇÃO - RES  255-2007 ENERGIPE - FINAL_Pasta1_atualização serviços taxados" xfId="42700" xr:uid="{00000000-0005-0000-0000-000009020000}"/>
    <cellStyle name="_Cópia de SOBRECONTRATAÇÃO - RES  255-2007 ENERGIPE - FINAL_Pasta1_Financeiro Desconto na TUSD Consumidores Livres Reajuste 2010 - 03_03_2010" xfId="42701" xr:uid="{00000000-0005-0000-0000-00000A020000}"/>
    <cellStyle name="_Cópia de SOBRECONTRATAÇÃO - RES  255-2007 ENERGIPE - FINAL_Pasta1_Financeiro Desconto na TUSD Geradores Reajuste 2010 - 03_03_2010" xfId="42702" xr:uid="{00000000-0005-0000-0000-00000B020000}"/>
    <cellStyle name="_Cópia de SOBRECONTRATAÇÃO - RES  255-2007 ENERGIPE - FINAL_Pasta1_Financeiro Subsídio Baixa Renda Reajuste 2010 - 03_03_2010" xfId="42703" xr:uid="{00000000-0005-0000-0000-00000C020000}"/>
    <cellStyle name="_Cópia de SOBRECONTRATAÇÃO - RES  255-2007 ENERGIPE - FINAL_Pasta1_Financeiro Subsídio Rural Irrigante e Aquicultor Reajuste 2010 - 03_03_2010" xfId="42704" xr:uid="{00000000-0005-0000-0000-00000D020000}"/>
    <cellStyle name="_Cópia de SOBRECONTRATAÇÃO - RES  255-2007 ENERGIPE - FINAL_Pasta1_IRT-cálculo" xfId="2081" xr:uid="{00000000-0005-0000-0000-00000E020000}"/>
    <cellStyle name="_Cópia de SOBRECONTRATAÇÃO - RES  255-2007 ENERGIPE - FINAL_Pasta1_IRT-cálculo CAPA NEUTRALIDADE" xfId="2082" xr:uid="{00000000-0005-0000-0000-00000F020000}"/>
    <cellStyle name="_Cópia de SOBRECONTRATAÇÃO - RES  255-2007 ENERGIPE - FINAL_Pasta1_SOBRECONTRATAÇÃO E CVA" xfId="2083" xr:uid="{00000000-0005-0000-0000-000010020000}"/>
    <cellStyle name="_Cópia de SOBRECONTRATAÇÃO - RES  255-2007 ENERGIPE - FINAL_SOBRECONTRATAÇÃO E CVA" xfId="2084" xr:uid="{00000000-0005-0000-0000-000011020000}"/>
    <cellStyle name="_Correção e apuração PIS COFINS 26-08-2005_CEB" xfId="78" xr:uid="{00000000-0005-0000-0000-000012020000}"/>
    <cellStyle name="_Correção e apuração PIS COFINS 26-08-2005_CEB_atualização serviços taxados" xfId="42705" xr:uid="{00000000-0005-0000-0000-000013020000}"/>
    <cellStyle name="_Correção e apuração PIS COFINS 26-08-2005_CEB_Calculo_Subsidio_ELFSM_26_06_08_Modelo_ANEEL" xfId="2085" xr:uid="{00000000-0005-0000-0000-000014020000}"/>
    <cellStyle name="_Correção e apuração PIS COFINS 26-08-2005_CEB_Calculo_Subsidio_ELFSM_26_06_08_Modelo_ANEEL_IRT-cálculo" xfId="2086" xr:uid="{00000000-0005-0000-0000-000015020000}"/>
    <cellStyle name="_Correção e apuração PIS COFINS 26-08-2005_CEB_Calculo_Subsidio_ELFSM_26_06_08_Modelo_ANEEL_IRT-cálculo CAPA NEUTRALIDADE" xfId="2087" xr:uid="{00000000-0005-0000-0000-000016020000}"/>
    <cellStyle name="_Correção e apuração PIS COFINS 26-08-2005_CEB_CVA_Projetada até dez-2008_Setembro" xfId="2088" xr:uid="{00000000-0005-0000-0000-000017020000}"/>
    <cellStyle name="_Correção e apuração PIS COFINS 26-08-2005_CEB_CVA_Projetada até dez-2008_Setembro_CVA Outros Componentes PROVISÃO" xfId="2089" xr:uid="{00000000-0005-0000-0000-000018020000}"/>
    <cellStyle name="_Correção e apuração PIS COFINS 26-08-2005_CEB_CVA_Projetada até dez-2008_Setembro_PROVISÃO" xfId="2090" xr:uid="{00000000-0005-0000-0000-000019020000}"/>
    <cellStyle name="_Correção e apuração PIS COFINS 26-08-2005_CEB_Energia Comprada" xfId="2091" xr:uid="{00000000-0005-0000-0000-00001A020000}"/>
    <cellStyle name="_Correção e apuração PIS COFINS 26-08-2005_CEB_Energia Comprada_IRT-cálculo" xfId="2092" xr:uid="{00000000-0005-0000-0000-00001B020000}"/>
    <cellStyle name="_Correção e apuração PIS COFINS 26-08-2005_CEB_Energia Comprada_IRT-cálculo CAPA NEUTRALIDADE" xfId="2093" xr:uid="{00000000-0005-0000-0000-00001C020000}"/>
    <cellStyle name="_Correção e apuração PIS COFINS 26-08-2005_CEB_Fator X" xfId="1524" xr:uid="{00000000-0005-0000-0000-00001D020000}"/>
    <cellStyle name="_Correção e apuração PIS COFINS 26-08-2005_CEB_Fator X_atualização serviços taxados" xfId="42706" xr:uid="{00000000-0005-0000-0000-00001E020000}"/>
    <cellStyle name="_Correção e apuração PIS COFINS 26-08-2005_CEB_Fator X_Financeiro Desconto na TUSD Consumidores Livres Reajuste 2010 - 03_03_2010" xfId="42707" xr:uid="{00000000-0005-0000-0000-00001F020000}"/>
    <cellStyle name="_Correção e apuração PIS COFINS 26-08-2005_CEB_Fator X_Financeiro Desconto na TUSD Geradores Reajuste 2010 - 03_03_2010" xfId="42708" xr:uid="{00000000-0005-0000-0000-000020020000}"/>
    <cellStyle name="_Correção e apuração PIS COFINS 26-08-2005_CEB_Fator X_Financeiro Subsídio Baixa Renda Reajuste 2010 - 03_03_2010" xfId="42709" xr:uid="{00000000-0005-0000-0000-000021020000}"/>
    <cellStyle name="_Correção e apuração PIS COFINS 26-08-2005_CEB_Fator X_Financeiro Subsídio Rural Irrigante e Aquicultor Reajuste 2010 - 03_03_2010" xfId="42710" xr:uid="{00000000-0005-0000-0000-000022020000}"/>
    <cellStyle name="_Correção e apuração PIS COFINS 26-08-2005_CEB_Fator X_IRT-cálculo" xfId="2094" xr:uid="{00000000-0005-0000-0000-000023020000}"/>
    <cellStyle name="_Correção e apuração PIS COFINS 26-08-2005_CEB_Fator X_IRT-cálculo CAPA NEUTRALIDADE" xfId="2095" xr:uid="{00000000-0005-0000-0000-000024020000}"/>
    <cellStyle name="_Correção e apuração PIS COFINS 26-08-2005_CEB_Fator X_SOBRECONTRATAÇÃO E CVA" xfId="2096" xr:uid="{00000000-0005-0000-0000-000025020000}"/>
    <cellStyle name="_Correção e apuração PIS COFINS 26-08-2005_CEB_Financeiro Desconto na TUSD Consumidores Livres Reajuste 2010 - 03_03_2010" xfId="42711" xr:uid="{00000000-0005-0000-0000-000026020000}"/>
    <cellStyle name="_Correção e apuração PIS COFINS 26-08-2005_CEB_Financeiro Desconto na TUSD Geradores Reajuste 2010 - 03_03_2010" xfId="42712" xr:uid="{00000000-0005-0000-0000-000027020000}"/>
    <cellStyle name="_Correção e apuração PIS COFINS 26-08-2005_CEB_Financeiro Subsídio Baixa Renda Reajuste 2010 - 03_03_2010" xfId="42713" xr:uid="{00000000-0005-0000-0000-000028020000}"/>
    <cellStyle name="_Correção e apuração PIS COFINS 26-08-2005_CEB_Financeiro Subsídio Rural Irrigante e Aquicultor Reajuste 2010 - 03_03_2010" xfId="42714" xr:uid="{00000000-0005-0000-0000-000029020000}"/>
    <cellStyle name="_Correção e apuração PIS COFINS 26-08-2005_CEB_IF - Autoprodutores 2" xfId="2097" xr:uid="{00000000-0005-0000-0000-00002A020000}"/>
    <cellStyle name="_Correção e apuração PIS COFINS 26-08-2005_CEB_IF_Consumidores livres e geradoras_2010" xfId="2098" xr:uid="{00000000-0005-0000-0000-00002B020000}"/>
    <cellStyle name="_Correção e apuração PIS COFINS 26-08-2005_CEB_IRT (2)" xfId="1525" xr:uid="{00000000-0005-0000-0000-00002C020000}"/>
    <cellStyle name="_Correção e apuração PIS COFINS 26-08-2005_CEB_IRT (2) 2" xfId="2099" xr:uid="{00000000-0005-0000-0000-00002D020000}"/>
    <cellStyle name="_Correção e apuração PIS COFINS 26-08-2005_CEB_IRT_1" xfId="1526" xr:uid="{00000000-0005-0000-0000-00002E020000}"/>
    <cellStyle name="_Correção e apuração PIS COFINS 26-08-2005_CEB_IRT_1_atualização serviços taxados" xfId="42715" xr:uid="{00000000-0005-0000-0000-00002F020000}"/>
    <cellStyle name="_Correção e apuração PIS COFINS 26-08-2005_CEB_IRT_1_Financeiro Desconto na TUSD Consumidores Livres Reajuste 2010 - 03_03_2010" xfId="42716" xr:uid="{00000000-0005-0000-0000-000030020000}"/>
    <cellStyle name="_Correção e apuração PIS COFINS 26-08-2005_CEB_IRT_1_Financeiro Desconto na TUSD Geradores Reajuste 2010 - 03_03_2010" xfId="42717" xr:uid="{00000000-0005-0000-0000-000031020000}"/>
    <cellStyle name="_Correção e apuração PIS COFINS 26-08-2005_CEB_IRT_1_Financeiro Subsídio Baixa Renda Reajuste 2010 - 03_03_2010" xfId="42718" xr:uid="{00000000-0005-0000-0000-000032020000}"/>
    <cellStyle name="_Correção e apuração PIS COFINS 26-08-2005_CEB_IRT_1_Financeiro Subsídio Rural Irrigante e Aquicultor Reajuste 2010 - 03_03_2010" xfId="42719" xr:uid="{00000000-0005-0000-0000-000033020000}"/>
    <cellStyle name="_Correção e apuração PIS COFINS 26-08-2005_CEB_IRT_1_IRT-cálculo" xfId="2100" xr:uid="{00000000-0005-0000-0000-000034020000}"/>
    <cellStyle name="_Correção e apuração PIS COFINS 26-08-2005_CEB_IRT_1_IRT-cálculo CAPA NEUTRALIDADE" xfId="2101" xr:uid="{00000000-0005-0000-0000-000035020000}"/>
    <cellStyle name="_Correção e apuração PIS COFINS 26-08-2005_CEB_IRT_1_SOBRECONTRATAÇÃO E CVA" xfId="2102" xr:uid="{00000000-0005-0000-0000-000036020000}"/>
    <cellStyle name="_Correção e apuração PIS COFINS 26-08-2005_CEB_IRT_Planilha Básica_ CETRIL" xfId="79" xr:uid="{00000000-0005-0000-0000-000037020000}"/>
    <cellStyle name="_Correção e apuração PIS COFINS 26-08-2005_CEB_IRT_Planilha Básica_ CETRIL 2" xfId="1204" xr:uid="{00000000-0005-0000-0000-000038020000}"/>
    <cellStyle name="_Correção e apuração PIS COFINS 26-08-2005_CEB_IRT_Pleito" xfId="2103" xr:uid="{00000000-0005-0000-0000-000039020000}"/>
    <cellStyle name="_Correção e apuração PIS COFINS 26-08-2005_CEB_IRT_Pleito_IRT-cálculo" xfId="2104" xr:uid="{00000000-0005-0000-0000-00003A020000}"/>
    <cellStyle name="_Correção e apuração PIS COFINS 26-08-2005_CEB_IRT_Pleito_IRT-cálculo CAPA NEUTRALIDADE" xfId="2105" xr:uid="{00000000-0005-0000-0000-00003B020000}"/>
    <cellStyle name="_Correção e apuração PIS COFINS 26-08-2005_CEB_IRT_Revisão A-1" xfId="2106" xr:uid="{00000000-0005-0000-0000-00003C020000}"/>
    <cellStyle name="_Correção e apuração PIS COFINS 26-08-2005_CEB_IRT-cálculo" xfId="2107" xr:uid="{00000000-0005-0000-0000-00003D020000}"/>
    <cellStyle name="_Correção e apuração PIS COFINS 26-08-2005_CEB_IRT-cálculo CAPA NEUTRALIDADE" xfId="2108" xr:uid="{00000000-0005-0000-0000-00003E020000}"/>
    <cellStyle name="_Correção e apuração PIS COFINS 26-08-2005_CEB_Pasta1" xfId="1527" xr:uid="{00000000-0005-0000-0000-00003F020000}"/>
    <cellStyle name="_Correção e apuração PIS COFINS 26-08-2005_CEB_Pasta1_atualização serviços taxados" xfId="42720" xr:uid="{00000000-0005-0000-0000-000040020000}"/>
    <cellStyle name="_Correção e apuração PIS COFINS 26-08-2005_CEB_Pasta1_Financeiro Desconto na TUSD Consumidores Livres Reajuste 2010 - 03_03_2010" xfId="42721" xr:uid="{00000000-0005-0000-0000-000041020000}"/>
    <cellStyle name="_Correção e apuração PIS COFINS 26-08-2005_CEB_Pasta1_Financeiro Desconto na TUSD Geradores Reajuste 2010 - 03_03_2010" xfId="42722" xr:uid="{00000000-0005-0000-0000-000042020000}"/>
    <cellStyle name="_Correção e apuração PIS COFINS 26-08-2005_CEB_Pasta1_Financeiro Subsídio Baixa Renda Reajuste 2010 - 03_03_2010" xfId="42723" xr:uid="{00000000-0005-0000-0000-000043020000}"/>
    <cellStyle name="_Correção e apuração PIS COFINS 26-08-2005_CEB_Pasta1_Financeiro Subsídio Rural Irrigante e Aquicultor Reajuste 2010 - 03_03_2010" xfId="42724" xr:uid="{00000000-0005-0000-0000-000044020000}"/>
    <cellStyle name="_Correção e apuração PIS COFINS 26-08-2005_CEB_Pasta1_IRT-cálculo" xfId="2109" xr:uid="{00000000-0005-0000-0000-000045020000}"/>
    <cellStyle name="_Correção e apuração PIS COFINS 26-08-2005_CEB_Pasta1_IRT-cálculo CAPA NEUTRALIDADE" xfId="2110" xr:uid="{00000000-0005-0000-0000-000046020000}"/>
    <cellStyle name="_Correção e apuração PIS COFINS 26-08-2005_CEB_Pasta1_SOBRECONTRATAÇÃO E CVA" xfId="2111" xr:uid="{00000000-0005-0000-0000-000047020000}"/>
    <cellStyle name="_Correção e apuração PIS COFINS 26-08-2005_CEB_Sheet1" xfId="2112" xr:uid="{00000000-0005-0000-0000-000048020000}"/>
    <cellStyle name="_Correção e apuração PIS COFINS 26-08-2005_CEB_SOBRECONTRATAÇÃO E CVA" xfId="2113" xr:uid="{00000000-0005-0000-0000-000049020000}"/>
    <cellStyle name="_Correção e apuração PIS COFINS 26-08-2005_CEB_SOBRECONTRATAÇÃO E CVA A-1" xfId="2114" xr:uid="{00000000-0005-0000-0000-00004A020000}"/>
    <cellStyle name="_Correção e apuração PIS COFINS 26-08-2005_CEB_SOBRECONTRATAÇÃO E CVA A-1_IRT-cálculo" xfId="2115" xr:uid="{00000000-0005-0000-0000-00004B020000}"/>
    <cellStyle name="_Correção e apuração PIS COFINS 26-08-2005_CEB_SOBRECONTRATAÇÃO E CVA A-1_IRT-cálculo CAPA NEUTRALIDADE" xfId="2116" xr:uid="{00000000-0005-0000-0000-00004C020000}"/>
    <cellStyle name="_COSERN_IRT_2007_SIMULADOR" xfId="1528" xr:uid="{00000000-0005-0000-0000-00004D020000}"/>
    <cellStyle name="_COSERN_IRT_2007_SIMULADOR 2" xfId="2117" xr:uid="{00000000-0005-0000-0000-00004E020000}"/>
    <cellStyle name="_CPFL PAULISTA - Repasse sobrecontratação" xfId="2118" xr:uid="{00000000-0005-0000-0000-00004F020000}"/>
    <cellStyle name="_CPFL-SobrasExposiçãoSubmercados" xfId="80" xr:uid="{00000000-0005-0000-0000-000050020000}"/>
    <cellStyle name="_CPFL-SobrasExposiçãoSubmercados 2" xfId="925" xr:uid="{00000000-0005-0000-0000-000051020000}"/>
    <cellStyle name="_CPFL-SobrasExposiçãoSubmercados 3" xfId="2119" xr:uid="{00000000-0005-0000-0000-000052020000}"/>
    <cellStyle name="_CPFL-SobrasExposiçãoSubmercados_02 IRT COSERN 2009" xfId="1529" xr:uid="{00000000-0005-0000-0000-000053020000}"/>
    <cellStyle name="_CPFL-SobrasExposiçãoSubmercados_2008.08.07 CELPA IRT2008 Homologado" xfId="2120" xr:uid="{00000000-0005-0000-0000-000054020000}"/>
    <cellStyle name="_CPFL-SobrasExposiçãoSubmercados_2009.04.09 EEB IRT2009 Conexao CEMIG C Financeiro" xfId="2121" xr:uid="{00000000-0005-0000-0000-000055020000}"/>
    <cellStyle name="_CPFL-SobrasExposiçãoSubmercados_Ajuste SALDO CVA ANO ANTERIOR PÓS-REVISÃOx" xfId="2122" xr:uid="{00000000-0005-0000-0000-000056020000}"/>
    <cellStyle name="_CPFL-SobrasExposiçãoSubmercados_Ajustes REAJUSTE 2008 ELETROPAULO" xfId="2123" xr:uid="{00000000-0005-0000-0000-000057020000}"/>
    <cellStyle name="_CPFL-SobrasExposiçãoSubmercados_Ajustes REAJUSTE 2008 ELETROPAULO_IRT-cálculo" xfId="2124" xr:uid="{00000000-0005-0000-0000-000058020000}"/>
    <cellStyle name="_CPFL-SobrasExposiçãoSubmercados_Ajustes REAJUSTE 2008 ELETROPAULO_IRT-cálculo CAPA NEUTRALIDADE" xfId="2125" xr:uid="{00000000-0005-0000-0000-000059020000}"/>
    <cellStyle name="_CPFL-SobrasExposiçãoSubmercados_Ajustes REVISÃO 2007 ELETROPAULO" xfId="2126" xr:uid="{00000000-0005-0000-0000-00005A020000}"/>
    <cellStyle name="_CPFL-SobrasExposiçãoSubmercados_Ajustes REVISÃO 2007 ELETROPAULO_IRT-cálculo" xfId="2127" xr:uid="{00000000-0005-0000-0000-00005B020000}"/>
    <cellStyle name="_CPFL-SobrasExposiçãoSubmercados_Ajustes REVISÃO 2007 ELETROPAULO_IRT-cálculo CAPA NEUTRALIDADE" xfId="2128" xr:uid="{00000000-0005-0000-0000-00005C020000}"/>
    <cellStyle name="_CPFL-SobrasExposiçãoSubmercados_atualização serviços taxados" xfId="42725" xr:uid="{00000000-0005-0000-0000-00005D020000}"/>
    <cellStyle name="_CPFL-SobrasExposiçãoSubmercados_Balanço" xfId="81" xr:uid="{00000000-0005-0000-0000-00005E020000}"/>
    <cellStyle name="_CPFL-SobrasExposiçãoSubmercados_Balanço 2" xfId="1205" xr:uid="{00000000-0005-0000-0000-00005F020000}"/>
    <cellStyle name="_CPFL-SobrasExposiçãoSubmercados_Cálculo do Financeiro do Baixa Renda" xfId="2129" xr:uid="{00000000-0005-0000-0000-000060020000}"/>
    <cellStyle name="_CPFL-SobrasExposiçãoSubmercados_Cálculo do Financeiro do Baixa Renda_IRT-cálculo" xfId="2130" xr:uid="{00000000-0005-0000-0000-000061020000}"/>
    <cellStyle name="_CPFL-SobrasExposiçãoSubmercados_Cálculo do Financeiro do Baixa Renda_IRT-cálculo CAPA NEUTRALIDADE" xfId="2131" xr:uid="{00000000-0005-0000-0000-000062020000}"/>
    <cellStyle name="_CPFL-SobrasExposiçãoSubmercados_Calculo_Subsidio_ELFSM_26_06_08_Modelo_ANEEL" xfId="2132" xr:uid="{00000000-0005-0000-0000-000063020000}"/>
    <cellStyle name="_CPFL-SobrasExposiçãoSubmercados_Calculo_Subsidio_ELFSM_26_06_08_Modelo_ANEEL_IRT-cálculo" xfId="2133" xr:uid="{00000000-0005-0000-0000-000064020000}"/>
    <cellStyle name="_CPFL-SobrasExposiçãoSubmercados_Calculo_Subsidio_ELFSM_26_06_08_Modelo_ANEEL_IRT-cálculo CAPA NEUTRALIDADE" xfId="2134" xr:uid="{00000000-0005-0000-0000-000065020000}"/>
    <cellStyle name="_CPFL-SobrasExposiçãoSubmercados_casulo 15" xfId="82" xr:uid="{00000000-0005-0000-0000-000066020000}"/>
    <cellStyle name="_CPFL-SobrasExposiçãoSubmercados_casulo 5" xfId="83" xr:uid="{00000000-0005-0000-0000-000067020000}"/>
    <cellStyle name="_CPFL-SobrasExposiçãoSubmercados_casulo 5 2" xfId="1206" xr:uid="{00000000-0005-0000-0000-000068020000}"/>
    <cellStyle name="_CPFL-SobrasExposiçãoSubmercados_casulo 5_Balanço" xfId="84" xr:uid="{00000000-0005-0000-0000-000069020000}"/>
    <cellStyle name="_CPFL-SobrasExposiçãoSubmercados_casulo 5_casulo 15" xfId="85" xr:uid="{00000000-0005-0000-0000-00006A020000}"/>
    <cellStyle name="_CPFL-SobrasExposiçãoSubmercados_casulo 5_IRT EEB 2010" xfId="2135" xr:uid="{00000000-0005-0000-0000-00006B020000}"/>
    <cellStyle name="_CPFL-SobrasExposiçãoSubmercados_CELPE REAJUSTE 2008 ver 6c (17mar08) (IRT revisado - reversão - bolhas)(corr Uso)" xfId="42726" xr:uid="{00000000-0005-0000-0000-00006C020000}"/>
    <cellStyle name="_CPFL-SobrasExposiçãoSubmercados_CELPE REAJUSTE 2008 ver final (enviada 17mar08)" xfId="42727" xr:uid="{00000000-0005-0000-0000-00006D020000}"/>
    <cellStyle name="_CPFL-SobrasExposiçãoSubmercados_COELBA_90 - Apuração da Receita e Reversão_IRT 2010" xfId="42728" xr:uid="{00000000-0005-0000-0000-00006E020000}"/>
    <cellStyle name="_CPFL-SobrasExposiçãoSubmercados_COELBA_90 - Apuração da Receita e Reversão_IRT 2010_Jan_10" xfId="42729" xr:uid="{00000000-0005-0000-0000-00006F020000}"/>
    <cellStyle name="_CPFL-SobrasExposiçãoSubmercados_COELCE - Balanço de Energia - Reajuste 2009 - 02 02 2009" xfId="42730" xr:uid="{00000000-0005-0000-0000-000070020000}"/>
    <cellStyle name="_CPFL-SobrasExposiçãoSubmercados_COELCE - Compensação CVA Ano Anterior" xfId="42731" xr:uid="{00000000-0005-0000-0000-000071020000}"/>
    <cellStyle name="_CPFL-SobrasExposiçãoSubmercados_Compensação CVA Ano Anterior" xfId="42732" xr:uid="{00000000-0005-0000-0000-000072020000}"/>
    <cellStyle name="_CPFL-SobrasExposiçãoSubmercados_Cópia de IRT_CPFL_LESTE_PAULISTA(CPEE)_fev2009-COM_PREVISÃO_BR_da_Diretoria_pos_IGPM" xfId="86" xr:uid="{00000000-0005-0000-0000-000073020000}"/>
    <cellStyle name="_CPFL-SobrasExposiçãoSubmercados_Cópia de IRT_CPFL_LESTE_PAULISTA(CPEE)_fev2009-COM_PREVISÃO_BR_da_Diretoria_pos_IGPM 2" xfId="1207" xr:uid="{00000000-0005-0000-0000-000074020000}"/>
    <cellStyle name="_CPFL-SobrasExposiçãoSubmercados_Cópia de IRT_CPFL_LESTE_PAULISTA(CPEE)_fev2009-COM_PREVISÃO_BR_da_Diretoria_pos_IGPM_Balanço" xfId="87" xr:uid="{00000000-0005-0000-0000-000075020000}"/>
    <cellStyle name="_CPFL-SobrasExposiçãoSubmercados_Cópia de IRT_CPFL_LESTE_PAULISTA(CPEE)_fev2009-COM_PREVISÃO_BR_da_Diretoria_pos_IGPM_Balanço 2" xfId="1208" xr:uid="{00000000-0005-0000-0000-000076020000}"/>
    <cellStyle name="_CPFL-SobrasExposiçãoSubmercados_Cópia de IRT_CPFL_LESTE_PAULISTA(CPEE)_fev2009-COM_PREVISÃO_BR_da_Diretoria_pos_IGPM_casulo 15" xfId="88" xr:uid="{00000000-0005-0000-0000-000077020000}"/>
    <cellStyle name="_CPFL-SobrasExposiçãoSubmercados_Cópia de IRT_CPFL_LESTE_PAULISTA(CPEE)_fev2009-COM_PREVISÃO_BR_da_Diretoria_pos_IGPM_casulo 5" xfId="89" xr:uid="{00000000-0005-0000-0000-000078020000}"/>
    <cellStyle name="_CPFL-SobrasExposiçãoSubmercados_Cópia de IRT_CPFL_LESTE_PAULISTA(CPEE)_fev2009-COM_PREVISÃO_BR_da_Diretoria_pos_IGPM_casulo 5 2" xfId="1209" xr:uid="{00000000-0005-0000-0000-000079020000}"/>
    <cellStyle name="_CPFL-SobrasExposiçãoSubmercados_Cópia de IRT_CPFL_LESTE_PAULISTA(CPEE)_fev2009-COM_PREVISÃO_BR_da_Diretoria_pos_IGPM_casulo 5_Balanço" xfId="90" xr:uid="{00000000-0005-0000-0000-00007A020000}"/>
    <cellStyle name="_CPFL-SobrasExposiçãoSubmercados_Cópia de IRT_CPFL_LESTE_PAULISTA(CPEE)_fev2009-COM_PREVISÃO_BR_da_Diretoria_pos_IGPM_casulo 5_casulo 15" xfId="91" xr:uid="{00000000-0005-0000-0000-00007B020000}"/>
    <cellStyle name="_CPFL-SobrasExposiçãoSubmercados_Cópia de IRT_CPFL_LESTE_PAULISTA(CPEE)_fev2009-COM_PREVISÃO_BR_da_Diretoria_pos_IGPM_casulo 5_IRT EEB 2010" xfId="2136" xr:uid="{00000000-0005-0000-0000-00007C020000}"/>
    <cellStyle name="_CPFL-SobrasExposiçãoSubmercados_Cópia de IRT_CPFL_LESTE_PAULISTA(CPEE)_fev2009-COM_PREVISÃO_BR_da_Diretoria_pos_IGPM_IRT EEB 2010" xfId="2137" xr:uid="{00000000-0005-0000-0000-00007D020000}"/>
    <cellStyle name="_CPFL-SobrasExposiçãoSubmercados_Custo com Avaliação de Ativos para Base de Remuneração" xfId="2138" xr:uid="{00000000-0005-0000-0000-00007E020000}"/>
    <cellStyle name="_CPFL-SobrasExposiçãoSubmercados_Custo com Avaliação de Ativos para Base de Remuneração_IRT-cálculo" xfId="2139" xr:uid="{00000000-0005-0000-0000-00007F020000}"/>
    <cellStyle name="_CPFL-SobrasExposiçãoSubmercados_Custo com Avaliação de Ativos para Base de Remuneração_IRT-cálculo CAPA NEUTRALIDADE" xfId="2140" xr:uid="{00000000-0005-0000-0000-000080020000}"/>
    <cellStyle name="_CPFL-SobrasExposiçãoSubmercados_CVA e Subsídios fiscalização ESCELSA_08_07_2009 v3 SRE" xfId="2141" xr:uid="{00000000-0005-0000-0000-000081020000}"/>
    <cellStyle name="_CPFL-SobrasExposiçãoSubmercados_CVA Outros Componentes PROVISÃO" xfId="2142" xr:uid="{00000000-0005-0000-0000-000082020000}"/>
    <cellStyle name="_CPFL-SobrasExposiçãoSubmercados_CVA_Projetada até dez-2008_Setembro" xfId="2143" xr:uid="{00000000-0005-0000-0000-000083020000}"/>
    <cellStyle name="_CPFL-SobrasExposiçãoSubmercados_Descontos CCC_CDE_PROINFA Nov_07_Out_08" xfId="2144" xr:uid="{00000000-0005-0000-0000-000084020000}"/>
    <cellStyle name="_CPFL-SobrasExposiçãoSubmercados_Descontos CCC_CDE_PROINFA Nov_07_Out_08_IRT-cálculo" xfId="2145" xr:uid="{00000000-0005-0000-0000-000085020000}"/>
    <cellStyle name="_CPFL-SobrasExposiçãoSubmercados_Descontos CCC_CDE_PROINFA Nov_07_Out_08_IRT-cálculo CAPA NEUTRALIDADE" xfId="2146" xr:uid="{00000000-0005-0000-0000-000086020000}"/>
    <cellStyle name="_CPFL-SobrasExposiçãoSubmercados_Energia Comprada" xfId="2147" xr:uid="{00000000-0005-0000-0000-000087020000}"/>
    <cellStyle name="_CPFL-SobrasExposiçãoSubmercados_Energia Comprada_IRT-cálculo" xfId="2148" xr:uid="{00000000-0005-0000-0000-000088020000}"/>
    <cellStyle name="_CPFL-SobrasExposiçãoSubmercados_Energia Comprada_IRT-cálculo CAPA NEUTRALIDADE" xfId="2149" xr:uid="{00000000-0005-0000-0000-000089020000}"/>
    <cellStyle name="_CPFL-SobrasExposiçãoSubmercados_Fator Novo e Antigo 4 anos" xfId="2150" xr:uid="{00000000-0005-0000-0000-00008A020000}"/>
    <cellStyle name="_CPFL-SobrasExposiçãoSubmercados_Fator Novo e Antigo 4 anos_IRT-cálculo" xfId="42733" xr:uid="{00000000-0005-0000-0000-00008B020000}"/>
    <cellStyle name="_CPFL-SobrasExposiçãoSubmercados_Fator X" xfId="1530" xr:uid="{00000000-0005-0000-0000-00008C020000}"/>
    <cellStyle name="_CPFL-SobrasExposiçãoSubmercados_Fator X 2" xfId="2151" xr:uid="{00000000-0005-0000-0000-00008D020000}"/>
    <cellStyle name="_CPFL-SobrasExposiçãoSubmercados_Fator X_atualização serviços taxados" xfId="42734" xr:uid="{00000000-0005-0000-0000-00008E020000}"/>
    <cellStyle name="_CPFL-SobrasExposiçãoSubmercados_Fator X_Financeiro Desconto na TUSD Consumidores Livres Reajuste 2010 - 03_03_2010" xfId="42735" xr:uid="{00000000-0005-0000-0000-00008F020000}"/>
    <cellStyle name="_CPFL-SobrasExposiçãoSubmercados_Fator X_Financeiro Desconto na TUSD Geradores Reajuste 2010 - 03_03_2010" xfId="42736" xr:uid="{00000000-0005-0000-0000-000090020000}"/>
    <cellStyle name="_CPFL-SobrasExposiçãoSubmercados_Fator X_Financeiro Subsídio Baixa Renda Reajuste 2010 - 03_03_2010" xfId="42737" xr:uid="{00000000-0005-0000-0000-000091020000}"/>
    <cellStyle name="_CPFL-SobrasExposiçãoSubmercados_Fator X_Financeiro Subsídio Rural Irrigante e Aquicultor Reajuste 2010 - 03_03_2010" xfId="42738" xr:uid="{00000000-0005-0000-0000-000092020000}"/>
    <cellStyle name="_CPFL-SobrasExposiçãoSubmercados_Fator X_IRT-cálculo" xfId="2152" xr:uid="{00000000-0005-0000-0000-000093020000}"/>
    <cellStyle name="_CPFL-SobrasExposiçãoSubmercados_Fator X_IRT-cálculo CAPA NEUTRALIDADE" xfId="2153" xr:uid="{00000000-0005-0000-0000-000094020000}"/>
    <cellStyle name="_CPFL-SobrasExposiçãoSubmercados_Fator X_SOBRECONTRATAÇÃO E CVA" xfId="2154" xr:uid="{00000000-0005-0000-0000-000095020000}"/>
    <cellStyle name="_CPFL-SobrasExposiçãoSubmercados_Financeiro Desconto na TUSD Consumidores Livres Reajuste 2010 - 03_03_2010" xfId="42739" xr:uid="{00000000-0005-0000-0000-000096020000}"/>
    <cellStyle name="_CPFL-SobrasExposiçãoSubmercados_Financeiro Desconto na TUSD Geradores Reajuste 2010 - 03_03_2010" xfId="42740" xr:uid="{00000000-0005-0000-0000-000097020000}"/>
    <cellStyle name="_CPFL-SobrasExposiçãoSubmercados_Financeiro Subsídio Baixa Renda Reajuste 2010 - 03_03_2010" xfId="42741" xr:uid="{00000000-0005-0000-0000-000098020000}"/>
    <cellStyle name="_CPFL-SobrasExposiçãoSubmercados_Financeiro Subsídio Rural Irrigante e Aquicultor Reajuste 2010 - 03_03_2010" xfId="42742" xr:uid="{00000000-0005-0000-0000-000099020000}"/>
    <cellStyle name="_CPFL-SobrasExposiçãoSubmercados_IF - Autoprodutores 2" xfId="2155" xr:uid="{00000000-0005-0000-0000-00009A020000}"/>
    <cellStyle name="_CPFL-SobrasExposiçãoSubmercados_IF_Consumidores livres e geradoras_2010" xfId="2156" xr:uid="{00000000-0005-0000-0000-00009B020000}"/>
    <cellStyle name="_CPFL-SobrasExposiçãoSubmercados_IRT" xfId="2157" xr:uid="{00000000-0005-0000-0000-00009C020000}"/>
    <cellStyle name="_CPFL-SobrasExposiçãoSubmercados_IRT (2)" xfId="1531" xr:uid="{00000000-0005-0000-0000-00009D020000}"/>
    <cellStyle name="_CPFL-SobrasExposiçãoSubmercados_IRT CELTINS 2009 versão 5" xfId="2158" xr:uid="{00000000-0005-0000-0000-00009E020000}"/>
    <cellStyle name="_CPFL-SobrasExposiçãoSubmercados_IRT EEB 2010" xfId="2159" xr:uid="{00000000-0005-0000-0000-00009F020000}"/>
    <cellStyle name="_CPFL-SobrasExposiçãoSubmercados_IRT Piratininga 2009" xfId="92" xr:uid="{00000000-0005-0000-0000-0000A0020000}"/>
    <cellStyle name="_CPFL-SobrasExposiçãoSubmercados_IRT Piratininga 2009 2" xfId="1210" xr:uid="{00000000-0005-0000-0000-0000A1020000}"/>
    <cellStyle name="_CPFL-SobrasExposiçãoSubmercados_IRT Piratininga 2009_Balanço" xfId="93" xr:uid="{00000000-0005-0000-0000-0000A2020000}"/>
    <cellStyle name="_CPFL-SobrasExposiçãoSubmercados_IRT Piratininga 2009_casulo 15" xfId="94" xr:uid="{00000000-0005-0000-0000-0000A3020000}"/>
    <cellStyle name="_CPFL-SobrasExposiçãoSubmercados_IRT Piratininga 2009_IRT EEB 2010" xfId="2160" xr:uid="{00000000-0005-0000-0000-0000A4020000}"/>
    <cellStyle name="_CPFL-SobrasExposiçãoSubmercados_IRT Reloaded" xfId="95" xr:uid="{00000000-0005-0000-0000-0000A5020000}"/>
    <cellStyle name="_CPFL-SobrasExposiçãoSubmercados_IRT Reloaded 2" xfId="1211" xr:uid="{00000000-0005-0000-0000-0000A6020000}"/>
    <cellStyle name="_CPFL-SobrasExposiçãoSubmercados_IRT Reloaded_Balanço" xfId="96" xr:uid="{00000000-0005-0000-0000-0000A7020000}"/>
    <cellStyle name="_CPFL-SobrasExposiçãoSubmercados_IRT Reloaded_Balanço 2" xfId="1212" xr:uid="{00000000-0005-0000-0000-0000A8020000}"/>
    <cellStyle name="_CPFL-SobrasExposiçãoSubmercados_IRT Reloaded_casulo 15" xfId="97" xr:uid="{00000000-0005-0000-0000-0000A9020000}"/>
    <cellStyle name="_CPFL-SobrasExposiçãoSubmercados_IRT Reloaded_casulo 5" xfId="98" xr:uid="{00000000-0005-0000-0000-0000AA020000}"/>
    <cellStyle name="_CPFL-SobrasExposiçãoSubmercados_IRT Reloaded_casulo 5 2" xfId="1213" xr:uid="{00000000-0005-0000-0000-0000AB020000}"/>
    <cellStyle name="_CPFL-SobrasExposiçãoSubmercados_IRT Reloaded_casulo 5_Balanço" xfId="99" xr:uid="{00000000-0005-0000-0000-0000AC020000}"/>
    <cellStyle name="_CPFL-SobrasExposiçãoSubmercados_IRT Reloaded_casulo 5_casulo 15" xfId="100" xr:uid="{00000000-0005-0000-0000-0000AD020000}"/>
    <cellStyle name="_CPFL-SobrasExposiçãoSubmercados_IRT Reloaded_casulo 5_IRT EEB 2010" xfId="2161" xr:uid="{00000000-0005-0000-0000-0000AE020000}"/>
    <cellStyle name="_CPFL-SobrasExposiçãoSubmercados_IRT Reloaded_IRT EEB 2010" xfId="2162" xr:uid="{00000000-0005-0000-0000-0000AF020000}"/>
    <cellStyle name="_CPFL-SobrasExposiçãoSubmercados_IRT_1" xfId="1532" xr:uid="{00000000-0005-0000-0000-0000B0020000}"/>
    <cellStyle name="_CPFL-SobrasExposiçãoSubmercados_IRT_1 2" xfId="2163" xr:uid="{00000000-0005-0000-0000-0000B1020000}"/>
    <cellStyle name="_CPFL-SobrasExposiçãoSubmercados_IRT_1_atualização serviços taxados" xfId="42743" xr:uid="{00000000-0005-0000-0000-0000B2020000}"/>
    <cellStyle name="_CPFL-SobrasExposiçãoSubmercados_IRT_1_Financeiro Desconto na TUSD Consumidores Livres Reajuste 2010 - 03_03_2010" xfId="42744" xr:uid="{00000000-0005-0000-0000-0000B3020000}"/>
    <cellStyle name="_CPFL-SobrasExposiçãoSubmercados_IRT_1_Financeiro Desconto na TUSD Geradores Reajuste 2010 - 03_03_2010" xfId="42745" xr:uid="{00000000-0005-0000-0000-0000B4020000}"/>
    <cellStyle name="_CPFL-SobrasExposiçãoSubmercados_IRT_1_Financeiro Subsídio Baixa Renda Reajuste 2010 - 03_03_2010" xfId="42746" xr:uid="{00000000-0005-0000-0000-0000B5020000}"/>
    <cellStyle name="_CPFL-SobrasExposiçãoSubmercados_IRT_1_Financeiro Subsídio Rural Irrigante e Aquicultor Reajuste 2010 - 03_03_2010" xfId="42747" xr:uid="{00000000-0005-0000-0000-0000B6020000}"/>
    <cellStyle name="_CPFL-SobrasExposiçãoSubmercados_IRT_1_IRT-cálculo" xfId="2164" xr:uid="{00000000-0005-0000-0000-0000B7020000}"/>
    <cellStyle name="_CPFL-SobrasExposiçãoSubmercados_IRT_1_IRT-cálculo CAPA NEUTRALIDADE" xfId="2165" xr:uid="{00000000-0005-0000-0000-0000B8020000}"/>
    <cellStyle name="_CPFL-SobrasExposiçãoSubmercados_IRT_1_SOBRECONTRATAÇÃO E CVA" xfId="2166" xr:uid="{00000000-0005-0000-0000-0000B9020000}"/>
    <cellStyle name="_CPFL-SobrasExposiçãoSubmercados_IRT_Bragantina_maio_2009" xfId="2167" xr:uid="{00000000-0005-0000-0000-0000BA020000}"/>
    <cellStyle name="_CPFL-SobrasExposiçãoSubmercados_IRT_CEMAT_2009" xfId="2168" xr:uid="{00000000-0005-0000-0000-0000BB020000}"/>
    <cellStyle name="_CPFL-SobrasExposiçãoSubmercados_IRT_EBB_mai2010d" xfId="2169" xr:uid="{00000000-0005-0000-0000-0000BC020000}"/>
    <cellStyle name="_CPFL-SobrasExposiçãoSubmercados_IRT_ENERGISA_SE_abr2009" xfId="2170" xr:uid="{00000000-0005-0000-0000-0000BD020000}"/>
    <cellStyle name="_CPFL-SobrasExposiçãoSubmercados_IRT_ENF" xfId="2171" xr:uid="{00000000-0005-0000-0000-0000BE020000}"/>
    <cellStyle name="_CPFL-SobrasExposiçãoSubmercados_IRT_Escelsa" xfId="2172" xr:uid="{00000000-0005-0000-0000-0000BF020000}"/>
    <cellStyle name="_CPFL-SobrasExposiçãoSubmercados_IRT_LIGHT_nov2007" xfId="1533" xr:uid="{00000000-0005-0000-0000-0000C0020000}"/>
    <cellStyle name="_CPFL-SobrasExposiçãoSubmercados_IRT_LIGHT_nov2007 2" xfId="2173" xr:uid="{00000000-0005-0000-0000-0000C1020000}"/>
    <cellStyle name="_CPFL-SobrasExposiçãoSubmercados_IRT_LIGHT_nov2007_atualização serviços taxados" xfId="42748" xr:uid="{00000000-0005-0000-0000-0000C2020000}"/>
    <cellStyle name="_CPFL-SobrasExposiçãoSubmercados_IRT_LIGHT_nov2007_Financeiro Desconto na TUSD Consumidores Livres Reajuste 2010 - 03_03_2010" xfId="42749" xr:uid="{00000000-0005-0000-0000-0000C3020000}"/>
    <cellStyle name="_CPFL-SobrasExposiçãoSubmercados_IRT_LIGHT_nov2007_Financeiro Desconto na TUSD Geradores Reajuste 2010 - 03_03_2010" xfId="42750" xr:uid="{00000000-0005-0000-0000-0000C4020000}"/>
    <cellStyle name="_CPFL-SobrasExposiçãoSubmercados_IRT_LIGHT_nov2007_Financeiro Subsídio Baixa Renda Reajuste 2010 - 03_03_2010" xfId="42751" xr:uid="{00000000-0005-0000-0000-0000C5020000}"/>
    <cellStyle name="_CPFL-SobrasExposiçãoSubmercados_IRT_LIGHT_nov2007_Financeiro Subsídio Rural Irrigante e Aquicultor Reajuste 2010 - 03_03_2010" xfId="42752" xr:uid="{00000000-0005-0000-0000-0000C6020000}"/>
    <cellStyle name="_CPFL-SobrasExposiçãoSubmercados_IRT_LIGHT_nov2007_IRT-cálculo" xfId="2174" xr:uid="{00000000-0005-0000-0000-0000C7020000}"/>
    <cellStyle name="_CPFL-SobrasExposiçãoSubmercados_IRT_LIGHT_nov2007_IRT-cálculo CAPA NEUTRALIDADE" xfId="2175" xr:uid="{00000000-0005-0000-0000-0000C8020000}"/>
    <cellStyle name="_CPFL-SobrasExposiçãoSubmercados_IRT_LIGHT_nov2007_SOBRECONTRATAÇÃO E CVA" xfId="2176" xr:uid="{00000000-0005-0000-0000-0000C9020000}"/>
    <cellStyle name="_CPFL-SobrasExposiçãoSubmercados_IRT_Planilha Básica_ CETRIL" xfId="101" xr:uid="{00000000-0005-0000-0000-0000CA020000}"/>
    <cellStyle name="_CPFL-SobrasExposiçãoSubmercados_IRT_Planilha Básica_ CETRIL 2" xfId="1214" xr:uid="{00000000-0005-0000-0000-0000CB020000}"/>
    <cellStyle name="_CPFL-SobrasExposiçãoSubmercados_IRT_Planilha Básica_ CETRIL_Balanço" xfId="102" xr:uid="{00000000-0005-0000-0000-0000CC020000}"/>
    <cellStyle name="_CPFL-SobrasExposiçãoSubmercados_IRT_Planilha Básica_ CETRIL_casulo 15" xfId="103" xr:uid="{00000000-0005-0000-0000-0000CD020000}"/>
    <cellStyle name="_CPFL-SobrasExposiçãoSubmercados_IRT_Planilha Básica_ CETRIL_IRT EEB 2010" xfId="2177" xr:uid="{00000000-0005-0000-0000-0000CE020000}"/>
    <cellStyle name="_CPFL-SobrasExposiçãoSubmercados_IRT_Planilha Básica_30jun2009" xfId="2178" xr:uid="{00000000-0005-0000-0000-0000CF020000}"/>
    <cellStyle name="_CPFL-SobrasExposiçãoSubmercados_IRT_Planilha Básica_DIRETORIA" xfId="2179" xr:uid="{00000000-0005-0000-0000-0000D0020000}"/>
    <cellStyle name="_CPFL-SobrasExposiçãoSubmercados_IRT_Planilha Básica_fev2010" xfId="2180" xr:uid="{00000000-0005-0000-0000-0000D1020000}"/>
    <cellStyle name="_CPFL-SobrasExposiçãoSubmercados_IRT_Planilha Básica_fev2010a" xfId="104" xr:uid="{00000000-0005-0000-0000-0000D2020000}"/>
    <cellStyle name="_CPFL-SobrasExposiçãoSubmercados_IRT_Planilha Básica_fev2010a 2" xfId="1215" xr:uid="{00000000-0005-0000-0000-0000D3020000}"/>
    <cellStyle name="_CPFL-SobrasExposiçãoSubmercados_IRT_Planilha Básica_fev2010a_Balanço" xfId="105" xr:uid="{00000000-0005-0000-0000-0000D4020000}"/>
    <cellStyle name="_CPFL-SobrasExposiçãoSubmercados_IRT_Planilha Básica_fev2010a_Balanço 2" xfId="1216" xr:uid="{00000000-0005-0000-0000-0000D5020000}"/>
    <cellStyle name="_CPFL-SobrasExposiçãoSubmercados_IRT_Planilha Básica_fev2010a_casulo 15" xfId="106" xr:uid="{00000000-0005-0000-0000-0000D6020000}"/>
    <cellStyle name="_CPFL-SobrasExposiçãoSubmercados_IRT_Planilha Básica_fev2010a_casulo 5" xfId="107" xr:uid="{00000000-0005-0000-0000-0000D7020000}"/>
    <cellStyle name="_CPFL-SobrasExposiçãoSubmercados_IRT_Planilha Básica_fev2010a_casulo 5 2" xfId="1217" xr:uid="{00000000-0005-0000-0000-0000D8020000}"/>
    <cellStyle name="_CPFL-SobrasExposiçãoSubmercados_IRT_Planilha Básica_fev2010a_casulo 5_Balanço" xfId="108" xr:uid="{00000000-0005-0000-0000-0000D9020000}"/>
    <cellStyle name="_CPFL-SobrasExposiçãoSubmercados_IRT_Planilha Básica_fev2010a_casulo 5_casulo 15" xfId="109" xr:uid="{00000000-0005-0000-0000-0000DA020000}"/>
    <cellStyle name="_CPFL-SobrasExposiçãoSubmercados_IRT_Planilha Básica_fev2010a_casulo 5_IRT EEB 2010" xfId="2181" xr:uid="{00000000-0005-0000-0000-0000DB020000}"/>
    <cellStyle name="_CPFL-SobrasExposiçãoSubmercados_IRT_Planilha Básica_fev2010a_IRT EEB 2010" xfId="2182" xr:uid="{00000000-0005-0000-0000-0000DC020000}"/>
    <cellStyle name="_CPFL-SobrasExposiçãoSubmercados_IRT_Planilha Básica_jun2009" xfId="2183" xr:uid="{00000000-0005-0000-0000-0000DD020000}"/>
    <cellStyle name="_CPFL-SobrasExposiçãoSubmercados_IRT_Planilha Básica_mar2010b" xfId="2184" xr:uid="{00000000-0005-0000-0000-0000DE020000}"/>
    <cellStyle name="_CPFL-SobrasExposiçãoSubmercados_IRT_Planilha Básica_mar2010d" xfId="110" xr:uid="{00000000-0005-0000-0000-0000DF020000}"/>
    <cellStyle name="_CPFL-SobrasExposiçãoSubmercados_IRT_Planilha Básica_mar2010d 2" xfId="1218" xr:uid="{00000000-0005-0000-0000-0000E0020000}"/>
    <cellStyle name="_CPFL-SobrasExposiçãoSubmercados_IRT_Planilha Básica_março2009" xfId="111" xr:uid="{00000000-0005-0000-0000-0000E1020000}"/>
    <cellStyle name="_CPFL-SobrasExposiçãoSubmercados_IRT_Planilha Básica_março2009 2" xfId="1219" xr:uid="{00000000-0005-0000-0000-0000E2020000}"/>
    <cellStyle name="_CPFL-SobrasExposiçãoSubmercados_IRT_Planilha Básica_março2009_02 IRT Bandeirante 2009" xfId="2185" xr:uid="{00000000-0005-0000-0000-0000E3020000}"/>
    <cellStyle name="_CPFL-SobrasExposiçãoSubmercados_IRT_Planilha Básica_março2009_Balanço" xfId="112" xr:uid="{00000000-0005-0000-0000-0000E4020000}"/>
    <cellStyle name="_CPFL-SobrasExposiçãoSubmercados_IRT_Planilha Básica_março2009_Balanço 2" xfId="1220" xr:uid="{00000000-0005-0000-0000-0000E5020000}"/>
    <cellStyle name="_CPFL-SobrasExposiçãoSubmercados_IRT_Planilha Básica_março2009_casulo 15" xfId="113" xr:uid="{00000000-0005-0000-0000-0000E6020000}"/>
    <cellStyle name="_CPFL-SobrasExposiçãoSubmercados_IRT_Planilha Básica_março2009_casulo 5" xfId="114" xr:uid="{00000000-0005-0000-0000-0000E7020000}"/>
    <cellStyle name="_CPFL-SobrasExposiçãoSubmercados_IRT_Planilha Básica_março2009_casulo 5 2" xfId="1221" xr:uid="{00000000-0005-0000-0000-0000E8020000}"/>
    <cellStyle name="_CPFL-SobrasExposiçãoSubmercados_IRT_Planilha Básica_março2009_casulo 5_Balanço" xfId="115" xr:uid="{00000000-0005-0000-0000-0000E9020000}"/>
    <cellStyle name="_CPFL-SobrasExposiçãoSubmercados_IRT_Planilha Básica_março2009_casulo 5_casulo 15" xfId="116" xr:uid="{00000000-0005-0000-0000-0000EA020000}"/>
    <cellStyle name="_CPFL-SobrasExposiçãoSubmercados_IRT_Planilha Básica_março2009_casulo 5_IRT EEB 2010" xfId="2186" xr:uid="{00000000-0005-0000-0000-0000EB020000}"/>
    <cellStyle name="_CPFL-SobrasExposiçãoSubmercados_IRT_Planilha Básica_março2009_COELCE  ICMS Não Compensado RTO 2012 281211" xfId="2187" xr:uid="{00000000-0005-0000-0000-0000EC020000}"/>
    <cellStyle name="_CPFL-SobrasExposiçãoSubmercados_IRT_Planilha Básica_março2009_COELCE - RTO 2011 - PLPT_PLANILHA_CÁLCULO_DÉFICIT" xfId="2188" xr:uid="{00000000-0005-0000-0000-0000ED020000}"/>
    <cellStyle name="_CPFL-SobrasExposiçãoSubmercados_IRT_Planilha Básica_março2009_IRT EEB 2010" xfId="2189" xr:uid="{00000000-0005-0000-0000-0000EE020000}"/>
    <cellStyle name="_CPFL-SobrasExposiçãoSubmercados_IRT_Planilha Básica_março2009_IRT Piratininga 2009" xfId="117" xr:uid="{00000000-0005-0000-0000-0000EF020000}"/>
    <cellStyle name="_CPFL-SobrasExposiçãoSubmercados_IRT_Planilha Básica_março2009_IRT Piratininga 2009 2" xfId="1222" xr:uid="{00000000-0005-0000-0000-0000F0020000}"/>
    <cellStyle name="_CPFL-SobrasExposiçãoSubmercados_IRT_Planilha Básica_março2009_IRT Piratininga 2009_Balanço" xfId="118" xr:uid="{00000000-0005-0000-0000-0000F1020000}"/>
    <cellStyle name="_CPFL-SobrasExposiçãoSubmercados_IRT_Planilha Básica_março2009_IRT Piratininga 2009_casulo 15" xfId="119" xr:uid="{00000000-0005-0000-0000-0000F2020000}"/>
    <cellStyle name="_CPFL-SobrasExposiçãoSubmercados_IRT_Planilha Básica_março2009_IRT Piratininga 2009_IRT EEB 2010" xfId="2190" xr:uid="{00000000-0005-0000-0000-0000F3020000}"/>
    <cellStyle name="_CPFL-SobrasExposiçãoSubmercados_IRT_Planilha Básica_março2009_IRT_EBB_mai2010d" xfId="2191" xr:uid="{00000000-0005-0000-0000-0000F4020000}"/>
    <cellStyle name="_CPFL-SobrasExposiçãoSubmercados_IRT_Planilha Básica_março2009_IRT_Planilha Básica_ CETRIL" xfId="120" xr:uid="{00000000-0005-0000-0000-0000F5020000}"/>
    <cellStyle name="_CPFL-SobrasExposiçãoSubmercados_IRT_Planilha Básica_março2009_IRT_Planilha Básica_ CETRIL 2" xfId="1223" xr:uid="{00000000-0005-0000-0000-0000F6020000}"/>
    <cellStyle name="_CPFL-SobrasExposiçãoSubmercados_IRT_Planilha Básica_março2009_IRT_Planilha Básica_ CETRIL_Balanço" xfId="121" xr:uid="{00000000-0005-0000-0000-0000F7020000}"/>
    <cellStyle name="_CPFL-SobrasExposiçãoSubmercados_IRT_Planilha Básica_março2009_IRT_Planilha Básica_ CETRIL_casulo 15" xfId="122" xr:uid="{00000000-0005-0000-0000-0000F8020000}"/>
    <cellStyle name="_CPFL-SobrasExposiçãoSubmercados_IRT_Planilha Básica_março2009_IRT_Planilha Básica_ CETRIL_IRT EEB 2010" xfId="2192" xr:uid="{00000000-0005-0000-0000-0000F9020000}"/>
    <cellStyle name="_CPFL-SobrasExposiçãoSubmercados_IRT_Planilha Básica_março2009_IRT_Planilha Básica_DIRETORIA" xfId="2193" xr:uid="{00000000-0005-0000-0000-0000FA020000}"/>
    <cellStyle name="_CPFL-SobrasExposiçãoSubmercados_IRT_Planilha Básica_março2009_IRT_Planilha Básica_fev2010" xfId="2194" xr:uid="{00000000-0005-0000-0000-0000FB020000}"/>
    <cellStyle name="_CPFL-SobrasExposiçãoSubmercados_IRT_Planilha Básica_março2009_IRT_Planilha Básica_fev2010a" xfId="123" xr:uid="{00000000-0005-0000-0000-0000FC020000}"/>
    <cellStyle name="_CPFL-SobrasExposiçãoSubmercados_IRT_Planilha Básica_março2009_IRT_Planilha Básica_fev2010a 2" xfId="1224" xr:uid="{00000000-0005-0000-0000-0000FD020000}"/>
    <cellStyle name="_CPFL-SobrasExposiçãoSubmercados_IRT_Planilha Básica_março2009_IRT_Planilha Básica_fev2010a_Balanço" xfId="124" xr:uid="{00000000-0005-0000-0000-0000FE020000}"/>
    <cellStyle name="_CPFL-SobrasExposiçãoSubmercados_IRT_Planilha Básica_março2009_IRT_Planilha Básica_fev2010a_Balanço 2" xfId="1225" xr:uid="{00000000-0005-0000-0000-0000FF020000}"/>
    <cellStyle name="_CPFL-SobrasExposiçãoSubmercados_IRT_Planilha Básica_março2009_IRT_Planilha Básica_fev2010a_casulo 15" xfId="125" xr:uid="{00000000-0005-0000-0000-000000030000}"/>
    <cellStyle name="_CPFL-SobrasExposiçãoSubmercados_IRT_Planilha Básica_março2009_IRT_Planilha Básica_fev2010a_casulo 5" xfId="126" xr:uid="{00000000-0005-0000-0000-000001030000}"/>
    <cellStyle name="_CPFL-SobrasExposiçãoSubmercados_IRT_Planilha Básica_março2009_IRT_Planilha Básica_fev2010a_casulo 5 2" xfId="1226" xr:uid="{00000000-0005-0000-0000-000002030000}"/>
    <cellStyle name="_CPFL-SobrasExposiçãoSubmercados_IRT_Planilha Básica_março2009_IRT_Planilha Básica_fev2010a_casulo 5_Balanço" xfId="127" xr:uid="{00000000-0005-0000-0000-000003030000}"/>
    <cellStyle name="_CPFL-SobrasExposiçãoSubmercados_IRT_Planilha Básica_março2009_IRT_Planilha Básica_fev2010a_casulo 5_casulo 15" xfId="128" xr:uid="{00000000-0005-0000-0000-000004030000}"/>
    <cellStyle name="_CPFL-SobrasExposiçãoSubmercados_IRT_Planilha Básica_março2009_IRT_Planilha Básica_fev2010a_casulo 5_IRT EEB 2010" xfId="2195" xr:uid="{00000000-0005-0000-0000-000005030000}"/>
    <cellStyle name="_CPFL-SobrasExposiçãoSubmercados_IRT_Planilha Básica_março2009_IRT_Planilha Básica_fev2010a_IRT EEB 2010" xfId="2196" xr:uid="{00000000-0005-0000-0000-000006030000}"/>
    <cellStyle name="_CPFL-SobrasExposiçãoSubmercados_IRT_Planilha Básica_março2009_IRT_Planilha Básica_jan2010" xfId="2197" xr:uid="{00000000-0005-0000-0000-000007030000}"/>
    <cellStyle name="_CPFL-SobrasExposiçãoSubmercados_IRT_Planilha Básica_março2009_IRT_Planilha Básica_mar2010d" xfId="129" xr:uid="{00000000-0005-0000-0000-000008030000}"/>
    <cellStyle name="_CPFL-SobrasExposiçãoSubmercados_IRT_Planilha Básica_março2009_IRT_Planilha Básica_mar2010d 2" xfId="1227" xr:uid="{00000000-0005-0000-0000-000009030000}"/>
    <cellStyle name="_CPFL-SobrasExposiçãoSubmercados_IRT_Planilha Básica_março2009_IRT_Planilha Básica_NOVA METODOLOGIA" xfId="2198" xr:uid="{00000000-0005-0000-0000-00000A030000}"/>
    <cellStyle name="_CPFL-SobrasExposiçãoSubmercados_IRT_Planilha Básica_março2009_IRT_Santa 2010" xfId="2199" xr:uid="{00000000-0005-0000-0000-00000B030000}"/>
    <cellStyle name="_CPFL-SobrasExposiçãoSubmercados_IRT_Planilha Básica_março2009_IRT-cálculo" xfId="42753" xr:uid="{00000000-0005-0000-0000-00000C030000}"/>
    <cellStyle name="_CPFL-SobrasExposiçãoSubmercados_IRT_Planilha Básica_março2009_Resultados_DEA_RND_QUAL_PERDAS" xfId="42529" xr:uid="{00000000-0005-0000-0000-00000D030000}"/>
    <cellStyle name="_CPFL-SobrasExposiçãoSubmercados_IRT_Planilha Básica_março2009_Simulação congelamento COELCE 2011 - Propostas 3ª Fase AP040 (20.12.2011)" xfId="2200" xr:uid="{00000000-0005-0000-0000-00000E030000}"/>
    <cellStyle name="_CPFL-SobrasExposiçãoSubmercados_IRT_Planilha Básica_março2009_teste ampla" xfId="130" xr:uid="{00000000-0005-0000-0000-00000F030000}"/>
    <cellStyle name="_CPFL-SobrasExposiçãoSubmercados_IRT_Planilha Básica_março2009_teste ampla 2" xfId="1228" xr:uid="{00000000-0005-0000-0000-000010030000}"/>
    <cellStyle name="_CPFL-SobrasExposiçãoSubmercados_IRT_Planilha Básica_março2009_teste ampla_Balanço" xfId="131" xr:uid="{00000000-0005-0000-0000-000011030000}"/>
    <cellStyle name="_CPFL-SobrasExposiçãoSubmercados_IRT_Planilha Básica_março2009_teste ampla_Balanço 2" xfId="1229" xr:uid="{00000000-0005-0000-0000-000012030000}"/>
    <cellStyle name="_CPFL-SobrasExposiçãoSubmercados_IRT_Planilha Básica_março2009_teste ampla_casulo 15" xfId="132" xr:uid="{00000000-0005-0000-0000-000013030000}"/>
    <cellStyle name="_CPFL-SobrasExposiçãoSubmercados_IRT_Planilha Básica_março2009_teste ampla_casulo 5" xfId="133" xr:uid="{00000000-0005-0000-0000-000014030000}"/>
    <cellStyle name="_CPFL-SobrasExposiçãoSubmercados_IRT_Planilha Básica_março2009_teste ampla_casulo 5 2" xfId="1230" xr:uid="{00000000-0005-0000-0000-000015030000}"/>
    <cellStyle name="_CPFL-SobrasExposiçãoSubmercados_IRT_Planilha Básica_março2009_teste ampla_casulo 5_Balanço" xfId="134" xr:uid="{00000000-0005-0000-0000-000016030000}"/>
    <cellStyle name="_CPFL-SobrasExposiçãoSubmercados_IRT_Planilha Básica_março2009_teste ampla_casulo 5_casulo 15" xfId="135" xr:uid="{00000000-0005-0000-0000-000017030000}"/>
    <cellStyle name="_CPFL-SobrasExposiçãoSubmercados_IRT_Planilha Básica_março2009_teste ampla_casulo 5_IRT EEB 2010" xfId="2201" xr:uid="{00000000-0005-0000-0000-000018030000}"/>
    <cellStyle name="_CPFL-SobrasExposiçãoSubmercados_IRT_Planilha Básica_março2009_teste ampla_IRT EEB 2010" xfId="2202" xr:uid="{00000000-0005-0000-0000-000019030000}"/>
    <cellStyle name="_CPFL-SobrasExposiçãoSubmercados_IRT_Planilha Básica_NOVA METODOLOGIA" xfId="2203" xr:uid="{00000000-0005-0000-0000-00001A030000}"/>
    <cellStyle name="_CPFL-SobrasExposiçãoSubmercados_IRT_Planilha Básica_out2009" xfId="136" xr:uid="{00000000-0005-0000-0000-00001B030000}"/>
    <cellStyle name="_CPFL-SobrasExposiçãoSubmercados_IRT_Planilha Básica_out2009 2" xfId="1231" xr:uid="{00000000-0005-0000-0000-00001C030000}"/>
    <cellStyle name="_CPFL-SobrasExposiçãoSubmercados_IRT_Planilha Básica_out2009_Balanço" xfId="137" xr:uid="{00000000-0005-0000-0000-00001D030000}"/>
    <cellStyle name="_CPFL-SobrasExposiçãoSubmercados_IRT_Planilha Básica_out2009_Balanço 2" xfId="1232" xr:uid="{00000000-0005-0000-0000-00001E030000}"/>
    <cellStyle name="_CPFL-SobrasExposiçãoSubmercados_IRT_Planilha Básica_out2009_casulo 15" xfId="138" xr:uid="{00000000-0005-0000-0000-00001F030000}"/>
    <cellStyle name="_CPFL-SobrasExposiçãoSubmercados_IRT_Planilha Básica_out2009_casulo 5" xfId="139" xr:uid="{00000000-0005-0000-0000-000020030000}"/>
    <cellStyle name="_CPFL-SobrasExposiçãoSubmercados_IRT_Planilha Básica_out2009_casulo 5 2" xfId="1233" xr:uid="{00000000-0005-0000-0000-000021030000}"/>
    <cellStyle name="_CPFL-SobrasExposiçãoSubmercados_IRT_Planilha Básica_out2009_casulo 5_Balanço" xfId="140" xr:uid="{00000000-0005-0000-0000-000022030000}"/>
    <cellStyle name="_CPFL-SobrasExposiçãoSubmercados_IRT_Planilha Básica_out2009_casulo 5_casulo 15" xfId="141" xr:uid="{00000000-0005-0000-0000-000023030000}"/>
    <cellStyle name="_CPFL-SobrasExposiçãoSubmercados_IRT_Planilha Básica_out2009_casulo 5_IRT EEB 2010" xfId="2204" xr:uid="{00000000-0005-0000-0000-000024030000}"/>
    <cellStyle name="_CPFL-SobrasExposiçãoSubmercados_IRT_Planilha Básica_out2009_IRT EEB 2010" xfId="2205" xr:uid="{00000000-0005-0000-0000-000025030000}"/>
    <cellStyle name="_CPFL-SobrasExposiçãoSubmercados_IRT_Pleito" xfId="2206" xr:uid="{00000000-0005-0000-0000-000026030000}"/>
    <cellStyle name="_CPFL-SobrasExposiçãoSubmercados_IRT_Pleito_IRT-cálculo" xfId="2207" xr:uid="{00000000-0005-0000-0000-000027030000}"/>
    <cellStyle name="_CPFL-SobrasExposiçãoSubmercados_IRT_Pleito_IRT-cálculo CAPA NEUTRALIDADE" xfId="2208" xr:uid="{00000000-0005-0000-0000-000028030000}"/>
    <cellStyle name="_CPFL-SobrasExposiçãoSubmercados_IRT_Revisão A-1" xfId="2209" xr:uid="{00000000-0005-0000-0000-000029030000}"/>
    <cellStyle name="_CPFL-SobrasExposiçãoSubmercados_IRT_Revisão A-1_IRT-cálculo" xfId="2210" xr:uid="{00000000-0005-0000-0000-00002A030000}"/>
    <cellStyle name="_CPFL-SobrasExposiçãoSubmercados_IRT_Revisão A-1_IRT-cálculo CAPA NEUTRALIDADE" xfId="2211" xr:uid="{00000000-0005-0000-0000-00002B030000}"/>
    <cellStyle name="_CPFL-SobrasExposiçãoSubmercados_IRT_SantaCruzpós IGPM" xfId="2212" xr:uid="{00000000-0005-0000-0000-00002C030000}"/>
    <cellStyle name="_CPFL-SobrasExposiçãoSubmercados_IRT1" xfId="2213" xr:uid="{00000000-0005-0000-0000-00002D030000}"/>
    <cellStyle name="_CPFL-SobrasExposiçãoSubmercados_IRT1_IRT-cálculo" xfId="2214" xr:uid="{00000000-0005-0000-0000-00002E030000}"/>
    <cellStyle name="_CPFL-SobrasExposiçãoSubmercados_IRT1_IRT-cálculo CAPA NEUTRALIDADE" xfId="2215" xr:uid="{00000000-0005-0000-0000-00002F030000}"/>
    <cellStyle name="_CPFL-SobrasExposiçãoSubmercados_IRT-2010_COPEL_SOBRECONTRATAÇÃOeCVAenergia" xfId="1534" xr:uid="{00000000-0005-0000-0000-000030030000}"/>
    <cellStyle name="_CPFL-SobrasExposiçãoSubmercados_IRT-cálculo" xfId="2216" xr:uid="{00000000-0005-0000-0000-000031030000}"/>
    <cellStyle name="_CPFL-SobrasExposiçãoSubmercados_IRT-cálculo CAPA NEUTRALIDADE" xfId="2217" xr:uid="{00000000-0005-0000-0000-000032030000}"/>
    <cellStyle name="_CPFL-SobrasExposiçãoSubmercados_Modelo IRT ANEELl_2010" xfId="42754" xr:uid="{00000000-0005-0000-0000-000033030000}"/>
    <cellStyle name="_CPFL-SobrasExposiçãoSubmercados_Pasta1" xfId="1535" xr:uid="{00000000-0005-0000-0000-000034030000}"/>
    <cellStyle name="_CPFL-SobrasExposiçãoSubmercados_Pasta1 2" xfId="2218" xr:uid="{00000000-0005-0000-0000-000035030000}"/>
    <cellStyle name="_CPFL-SobrasExposiçãoSubmercados_Pasta1_atualização serviços taxados" xfId="42755" xr:uid="{00000000-0005-0000-0000-000036030000}"/>
    <cellStyle name="_CPFL-SobrasExposiçãoSubmercados_Pasta1_Financeiro Desconto na TUSD Consumidores Livres Reajuste 2010 - 03_03_2010" xfId="42756" xr:uid="{00000000-0005-0000-0000-000037030000}"/>
    <cellStyle name="_CPFL-SobrasExposiçãoSubmercados_Pasta1_Financeiro Desconto na TUSD Geradores Reajuste 2010 - 03_03_2010" xfId="42757" xr:uid="{00000000-0005-0000-0000-000038030000}"/>
    <cellStyle name="_CPFL-SobrasExposiçãoSubmercados_Pasta1_Financeiro Subsídio Baixa Renda Reajuste 2010 - 03_03_2010" xfId="42758" xr:uid="{00000000-0005-0000-0000-000039030000}"/>
    <cellStyle name="_CPFL-SobrasExposiçãoSubmercados_Pasta1_Financeiro Subsídio Rural Irrigante e Aquicultor Reajuste 2010 - 03_03_2010" xfId="42759" xr:uid="{00000000-0005-0000-0000-00003A030000}"/>
    <cellStyle name="_CPFL-SobrasExposiçãoSubmercados_Pasta1_IRT-cálculo" xfId="2219" xr:uid="{00000000-0005-0000-0000-00003B030000}"/>
    <cellStyle name="_CPFL-SobrasExposiçãoSubmercados_Pasta1_IRT-cálculo CAPA NEUTRALIDADE" xfId="2220" xr:uid="{00000000-0005-0000-0000-00003C030000}"/>
    <cellStyle name="_CPFL-SobrasExposiçãoSubmercados_Pasta1_SOBRECONTRATAÇÃO E CVA" xfId="2221" xr:uid="{00000000-0005-0000-0000-00003D030000}"/>
    <cellStyle name="_CPFL-SobrasExposiçãoSubmercados_Pasta2" xfId="142" xr:uid="{00000000-0005-0000-0000-00003E030000}"/>
    <cellStyle name="_CPFL-SobrasExposiçãoSubmercados_Pasta2 2" xfId="1234" xr:uid="{00000000-0005-0000-0000-00003F030000}"/>
    <cellStyle name="_CPFL-SobrasExposiçãoSubmercados_Pasta2_02 IRT Bandeirante 2009" xfId="2222" xr:uid="{00000000-0005-0000-0000-000040030000}"/>
    <cellStyle name="_CPFL-SobrasExposiçãoSubmercados_Pasta2_Balanço" xfId="143" xr:uid="{00000000-0005-0000-0000-000041030000}"/>
    <cellStyle name="_CPFL-SobrasExposiçãoSubmercados_Pasta2_Balanço 2" xfId="1235" xr:uid="{00000000-0005-0000-0000-000042030000}"/>
    <cellStyle name="_CPFL-SobrasExposiçãoSubmercados_Pasta2_casulo 15" xfId="144" xr:uid="{00000000-0005-0000-0000-000043030000}"/>
    <cellStyle name="_CPFL-SobrasExposiçãoSubmercados_Pasta2_casulo 5" xfId="145" xr:uid="{00000000-0005-0000-0000-000044030000}"/>
    <cellStyle name="_CPFL-SobrasExposiçãoSubmercados_Pasta2_casulo 5 2" xfId="1236" xr:uid="{00000000-0005-0000-0000-000045030000}"/>
    <cellStyle name="_CPFL-SobrasExposiçãoSubmercados_Pasta2_casulo 5_Balanço" xfId="146" xr:uid="{00000000-0005-0000-0000-000046030000}"/>
    <cellStyle name="_CPFL-SobrasExposiçãoSubmercados_Pasta2_casulo 5_casulo 15" xfId="147" xr:uid="{00000000-0005-0000-0000-000047030000}"/>
    <cellStyle name="_CPFL-SobrasExposiçãoSubmercados_Pasta2_casulo 5_IRT EEB 2010" xfId="2223" xr:uid="{00000000-0005-0000-0000-000048030000}"/>
    <cellStyle name="_CPFL-SobrasExposiçãoSubmercados_Pasta2_IRT EEB 2010" xfId="2224" xr:uid="{00000000-0005-0000-0000-000049030000}"/>
    <cellStyle name="_CPFL-SobrasExposiçãoSubmercados_Pasta2_IRT Piratininga 2009" xfId="148" xr:uid="{00000000-0005-0000-0000-00004A030000}"/>
    <cellStyle name="_CPFL-SobrasExposiçãoSubmercados_Pasta2_IRT Piratininga 2009 2" xfId="1237" xr:uid="{00000000-0005-0000-0000-00004B030000}"/>
    <cellStyle name="_CPFL-SobrasExposiçãoSubmercados_Pasta2_IRT Piratininga 2009_Balanço" xfId="149" xr:uid="{00000000-0005-0000-0000-00004C030000}"/>
    <cellStyle name="_CPFL-SobrasExposiçãoSubmercados_Pasta2_IRT Piratininga 2009_casulo 15" xfId="150" xr:uid="{00000000-0005-0000-0000-00004D030000}"/>
    <cellStyle name="_CPFL-SobrasExposiçãoSubmercados_Pasta2_IRT Piratininga 2009_IRT EEB 2010" xfId="2225" xr:uid="{00000000-0005-0000-0000-00004E030000}"/>
    <cellStyle name="_CPFL-SobrasExposiçãoSubmercados_Pasta2_IRT_EBB_mai2010d" xfId="2226" xr:uid="{00000000-0005-0000-0000-00004F030000}"/>
    <cellStyle name="_CPFL-SobrasExposiçãoSubmercados_Pasta2_IRT_Planilha Básica_ CETRIL" xfId="151" xr:uid="{00000000-0005-0000-0000-000050030000}"/>
    <cellStyle name="_CPFL-SobrasExposiçãoSubmercados_Pasta2_IRT_Planilha Básica_ CETRIL 2" xfId="1238" xr:uid="{00000000-0005-0000-0000-000051030000}"/>
    <cellStyle name="_CPFL-SobrasExposiçãoSubmercados_Pasta2_IRT_Planilha Básica_ CETRIL_Balanço" xfId="152" xr:uid="{00000000-0005-0000-0000-000052030000}"/>
    <cellStyle name="_CPFL-SobrasExposiçãoSubmercados_Pasta2_IRT_Planilha Básica_ CETRIL_casulo 15" xfId="153" xr:uid="{00000000-0005-0000-0000-000053030000}"/>
    <cellStyle name="_CPFL-SobrasExposiçãoSubmercados_Pasta2_IRT_Planilha Básica_ CETRIL_IRT EEB 2010" xfId="2227" xr:uid="{00000000-0005-0000-0000-000054030000}"/>
    <cellStyle name="_CPFL-SobrasExposiçãoSubmercados_Pasta2_IRT_Planilha Básica_DIRETORIA" xfId="2228" xr:uid="{00000000-0005-0000-0000-000055030000}"/>
    <cellStyle name="_CPFL-SobrasExposiçãoSubmercados_Pasta2_IRT_Planilha Básica_fev2010" xfId="2229" xr:uid="{00000000-0005-0000-0000-000056030000}"/>
    <cellStyle name="_CPFL-SobrasExposiçãoSubmercados_Pasta2_IRT_Planilha Básica_fev2010a" xfId="154" xr:uid="{00000000-0005-0000-0000-000057030000}"/>
    <cellStyle name="_CPFL-SobrasExposiçãoSubmercados_Pasta2_IRT_Planilha Básica_fev2010a 2" xfId="1239" xr:uid="{00000000-0005-0000-0000-000058030000}"/>
    <cellStyle name="_CPFL-SobrasExposiçãoSubmercados_Pasta2_IRT_Planilha Básica_fev2010a_Balanço" xfId="155" xr:uid="{00000000-0005-0000-0000-000059030000}"/>
    <cellStyle name="_CPFL-SobrasExposiçãoSubmercados_Pasta2_IRT_Planilha Básica_fev2010a_Balanço 2" xfId="1240" xr:uid="{00000000-0005-0000-0000-00005A030000}"/>
    <cellStyle name="_CPFL-SobrasExposiçãoSubmercados_Pasta2_IRT_Planilha Básica_fev2010a_casulo 15" xfId="156" xr:uid="{00000000-0005-0000-0000-00005B030000}"/>
    <cellStyle name="_CPFL-SobrasExposiçãoSubmercados_Pasta2_IRT_Planilha Básica_fev2010a_casulo 5" xfId="157" xr:uid="{00000000-0005-0000-0000-00005C030000}"/>
    <cellStyle name="_CPFL-SobrasExposiçãoSubmercados_Pasta2_IRT_Planilha Básica_fev2010a_casulo 5 2" xfId="1241" xr:uid="{00000000-0005-0000-0000-00005D030000}"/>
    <cellStyle name="_CPFL-SobrasExposiçãoSubmercados_Pasta2_IRT_Planilha Básica_fev2010a_casulo 5_Balanço" xfId="158" xr:uid="{00000000-0005-0000-0000-00005E030000}"/>
    <cellStyle name="_CPFL-SobrasExposiçãoSubmercados_Pasta2_IRT_Planilha Básica_fev2010a_casulo 5_casulo 15" xfId="159" xr:uid="{00000000-0005-0000-0000-00005F030000}"/>
    <cellStyle name="_CPFL-SobrasExposiçãoSubmercados_Pasta2_IRT_Planilha Básica_fev2010a_casulo 5_IRT EEB 2010" xfId="2230" xr:uid="{00000000-0005-0000-0000-000060030000}"/>
    <cellStyle name="_CPFL-SobrasExposiçãoSubmercados_Pasta2_IRT_Planilha Básica_fev2010a_IRT EEB 2010" xfId="2231" xr:uid="{00000000-0005-0000-0000-000061030000}"/>
    <cellStyle name="_CPFL-SobrasExposiçãoSubmercados_Pasta2_IRT_Planilha Básica_jan2010" xfId="2232" xr:uid="{00000000-0005-0000-0000-000062030000}"/>
    <cellStyle name="_CPFL-SobrasExposiçãoSubmercados_Pasta2_IRT_Planilha Básica_mar2010b" xfId="2233" xr:uid="{00000000-0005-0000-0000-000063030000}"/>
    <cellStyle name="_CPFL-SobrasExposiçãoSubmercados_Pasta2_IRT_Planilha Básica_mar2010d" xfId="160" xr:uid="{00000000-0005-0000-0000-000064030000}"/>
    <cellStyle name="_CPFL-SobrasExposiçãoSubmercados_Pasta2_IRT_Planilha Básica_mar2010d 2" xfId="1242" xr:uid="{00000000-0005-0000-0000-000065030000}"/>
    <cellStyle name="_CPFL-SobrasExposiçãoSubmercados_Pasta2_IRT_Planilha Básica_NOVA METODOLOGIA" xfId="2234" xr:uid="{00000000-0005-0000-0000-000066030000}"/>
    <cellStyle name="_CPFL-SobrasExposiçãoSubmercados_Pasta2_IRT_Santa 2010" xfId="2235" xr:uid="{00000000-0005-0000-0000-000067030000}"/>
    <cellStyle name="_CPFL-SobrasExposiçãoSubmercados_Pasta2_IRT-cálculo" xfId="2236" xr:uid="{00000000-0005-0000-0000-000068030000}"/>
    <cellStyle name="_CPFL-SobrasExposiçãoSubmercados_Pasta2_IRT-cálculo CAPA NEUTRALIDADE" xfId="2237" xr:uid="{00000000-0005-0000-0000-000069030000}"/>
    <cellStyle name="_CPFL-SobrasExposiçãoSubmercados_Pasta2_Resultados_DEA_RND_QUAL_PERDAS" xfId="42530" xr:uid="{00000000-0005-0000-0000-00006A030000}"/>
    <cellStyle name="_CPFL-SobrasExposiçãoSubmercados_Pasta2_teste ampla" xfId="161" xr:uid="{00000000-0005-0000-0000-00006B030000}"/>
    <cellStyle name="_CPFL-SobrasExposiçãoSubmercados_Pasta2_teste ampla 2" xfId="1243" xr:uid="{00000000-0005-0000-0000-00006C030000}"/>
    <cellStyle name="_CPFL-SobrasExposiçãoSubmercados_Pasta2_teste ampla_Balanço" xfId="162" xr:uid="{00000000-0005-0000-0000-00006D030000}"/>
    <cellStyle name="_CPFL-SobrasExposiçãoSubmercados_Pasta2_teste ampla_Balanço 2" xfId="1244" xr:uid="{00000000-0005-0000-0000-00006E030000}"/>
    <cellStyle name="_CPFL-SobrasExposiçãoSubmercados_Pasta2_teste ampla_casulo 15" xfId="163" xr:uid="{00000000-0005-0000-0000-00006F030000}"/>
    <cellStyle name="_CPFL-SobrasExposiçãoSubmercados_Pasta2_teste ampla_casulo 5" xfId="164" xr:uid="{00000000-0005-0000-0000-000070030000}"/>
    <cellStyle name="_CPFL-SobrasExposiçãoSubmercados_Pasta2_teste ampla_casulo 5 2" xfId="1245" xr:uid="{00000000-0005-0000-0000-000071030000}"/>
    <cellStyle name="_CPFL-SobrasExposiçãoSubmercados_Pasta2_teste ampla_casulo 5_Balanço" xfId="165" xr:uid="{00000000-0005-0000-0000-000072030000}"/>
    <cellStyle name="_CPFL-SobrasExposiçãoSubmercados_Pasta2_teste ampla_casulo 5_casulo 15" xfId="166" xr:uid="{00000000-0005-0000-0000-000073030000}"/>
    <cellStyle name="_CPFL-SobrasExposiçãoSubmercados_Pasta2_teste ampla_casulo 5_IRT EEB 2010" xfId="2238" xr:uid="{00000000-0005-0000-0000-000074030000}"/>
    <cellStyle name="_CPFL-SobrasExposiçãoSubmercados_Pasta2_teste ampla_IRT EEB 2010" xfId="2239" xr:uid="{00000000-0005-0000-0000-000075030000}"/>
    <cellStyle name="_CPFL-SobrasExposiçãoSubmercados_Plan1" xfId="2240" xr:uid="{00000000-0005-0000-0000-000076030000}"/>
    <cellStyle name="_CPFL-SobrasExposiçãoSubmercados_Pleito_IRT_EBO_2010_FINAL_ENVIO_ANEEL" xfId="2241" xr:uid="{00000000-0005-0000-0000-000077030000}"/>
    <cellStyle name="_CPFL-SobrasExposiçãoSubmercados_PROVISÃO" xfId="2242" xr:uid="{00000000-0005-0000-0000-000078030000}"/>
    <cellStyle name="_CPFL-SobrasExposiçãoSubmercados_Receita de Venda Leilão Nova Térmico" xfId="2243" xr:uid="{00000000-0005-0000-0000-000079030000}"/>
    <cellStyle name="_CPFL-SobrasExposiçãoSubmercados_Receita de Venda Leilão Nova Térmico_IRT-cálculo" xfId="2244" xr:uid="{00000000-0005-0000-0000-00007A030000}"/>
    <cellStyle name="_CPFL-SobrasExposiçãoSubmercados_Receita de Venda Leilão Nova Térmico_IRT-cálculo CAPA NEUTRALIDADE" xfId="2245" xr:uid="{00000000-0005-0000-0000-00007B030000}"/>
    <cellStyle name="_CPFL-SobrasExposiçãoSubmercados_Resultados_DEA_RND_QUAL_PERDAS" xfId="42531" xr:uid="{00000000-0005-0000-0000-00007C030000}"/>
    <cellStyle name="_CPFL-SobrasExposiçãoSubmercados_Sheet1" xfId="2246" xr:uid="{00000000-0005-0000-0000-00007D030000}"/>
    <cellStyle name="_CPFL-SobrasExposiçãoSubmercados_Sheet2" xfId="2247" xr:uid="{00000000-0005-0000-0000-00007E030000}"/>
    <cellStyle name="_CPFL-SobrasExposiçãoSubmercados_Simulação AES SUL 03_04_07" xfId="167" xr:uid="{00000000-0005-0000-0000-00007F030000}"/>
    <cellStyle name="_CPFL-SobrasExposiçãoSubmercados_Simulação AES SUL 03_04_07 2" xfId="1246" xr:uid="{00000000-0005-0000-0000-000080030000}"/>
    <cellStyle name="_CPFL-SobrasExposiçãoSubmercados_Simulação AES SUL 03_04_07_Balanço" xfId="168" xr:uid="{00000000-0005-0000-0000-000081030000}"/>
    <cellStyle name="_CPFL-SobrasExposiçãoSubmercados_Simulação AES SUL 03_04_07_casulo 15" xfId="169" xr:uid="{00000000-0005-0000-0000-000082030000}"/>
    <cellStyle name="_CPFL-SobrasExposiçãoSubmercados_Simulação AES SUL 03_04_07_IRT EEB 2010" xfId="2248" xr:uid="{00000000-0005-0000-0000-000083030000}"/>
    <cellStyle name="_CPFL-SobrasExposiçãoSubmercados_Simulação CEPISA XX_08_07" xfId="1536" xr:uid="{00000000-0005-0000-0000-000084030000}"/>
    <cellStyle name="_CPFL-SobrasExposiçãoSubmercados_Simulação Nova Carga Coteminas RT EBO" xfId="2249" xr:uid="{00000000-0005-0000-0000-000085030000}"/>
    <cellStyle name="_CPFL-SobrasExposiçãoSubmercados_Simulador modelo" xfId="170" xr:uid="{00000000-0005-0000-0000-000086030000}"/>
    <cellStyle name="_CPFL-SobrasExposiçãoSubmercados_Simulador modelo 2" xfId="1247" xr:uid="{00000000-0005-0000-0000-000087030000}"/>
    <cellStyle name="_CPFL-SobrasExposiçãoSubmercados_Simulador modelo_Balanço" xfId="171" xr:uid="{00000000-0005-0000-0000-000088030000}"/>
    <cellStyle name="_CPFL-SobrasExposiçãoSubmercados_Simulador modelo_Balanço 2" xfId="1248" xr:uid="{00000000-0005-0000-0000-000089030000}"/>
    <cellStyle name="_CPFL-SobrasExposiçãoSubmercados_Simulador modelo_casulo 15" xfId="172" xr:uid="{00000000-0005-0000-0000-00008A030000}"/>
    <cellStyle name="_CPFL-SobrasExposiçãoSubmercados_Simulador modelo_casulo 5" xfId="173" xr:uid="{00000000-0005-0000-0000-00008B030000}"/>
    <cellStyle name="_CPFL-SobrasExposiçãoSubmercados_Simulador modelo_casulo 5 2" xfId="1249" xr:uid="{00000000-0005-0000-0000-00008C030000}"/>
    <cellStyle name="_CPFL-SobrasExposiçãoSubmercados_Simulador modelo_casulo 5_Balanço" xfId="174" xr:uid="{00000000-0005-0000-0000-00008D030000}"/>
    <cellStyle name="_CPFL-SobrasExposiçãoSubmercados_Simulador modelo_casulo 5_casulo 15" xfId="175" xr:uid="{00000000-0005-0000-0000-00008E030000}"/>
    <cellStyle name="_CPFL-SobrasExposiçãoSubmercados_Simulador modelo_casulo 5_IRT EEB 2010" xfId="2250" xr:uid="{00000000-0005-0000-0000-00008F030000}"/>
    <cellStyle name="_CPFL-SobrasExposiçãoSubmercados_Simulador modelo_IRT EEB 2010" xfId="2251" xr:uid="{00000000-0005-0000-0000-000090030000}"/>
    <cellStyle name="_CPFL-SobrasExposiçãoSubmercados_sobrecontratação 2009 v2" xfId="42760" xr:uid="{00000000-0005-0000-0000-000091030000}"/>
    <cellStyle name="_CPFL-SobrasExposiçãoSubmercados_Sobrecontratação AES (2)" xfId="176" xr:uid="{00000000-0005-0000-0000-000092030000}"/>
    <cellStyle name="_CPFL-SobrasExposiçãoSubmercados_Sobrecontratação AES (2) 2" xfId="1250" xr:uid="{00000000-0005-0000-0000-000093030000}"/>
    <cellStyle name="_CPFL-SobrasExposiçãoSubmercados_Sobrecontratação AES (2)_Balanço" xfId="177" xr:uid="{00000000-0005-0000-0000-000094030000}"/>
    <cellStyle name="_CPFL-SobrasExposiçãoSubmercados_Sobrecontratação AES (2)_casulo 15" xfId="178" xr:uid="{00000000-0005-0000-0000-000095030000}"/>
    <cellStyle name="_CPFL-SobrasExposiçãoSubmercados_Sobrecontratação AES (2)_IRT EEB 2010" xfId="2252" xr:uid="{00000000-0005-0000-0000-000096030000}"/>
    <cellStyle name="_CPFL-SobrasExposiçãoSubmercados_SOBRECONTRATAÇÃO E CVA" xfId="2253" xr:uid="{00000000-0005-0000-0000-000097030000}"/>
    <cellStyle name="_CPFL-SobrasExposiçãoSubmercados_SOBRECONTRATAÇÃO E CVA A-1" xfId="2254" xr:uid="{00000000-0005-0000-0000-000098030000}"/>
    <cellStyle name="_CPFL-SobrasExposiçãoSubmercados_SOBRECONTRATAÇÃO E CVA A-1_IRT-cálculo" xfId="2255" xr:uid="{00000000-0005-0000-0000-000099030000}"/>
    <cellStyle name="_CPFL-SobrasExposiçãoSubmercados_SOBRECONTRATAÇÃO E CVA A-1_IRT-cálculo CAPA NEUTRALIDADE" xfId="2256" xr:uid="{00000000-0005-0000-0000-00009A030000}"/>
    <cellStyle name="_CPFL-SobrasExposiçãoSubmercados_SOBRECONTRATAÇÃO E CVA Energisa Paraíba" xfId="2257" xr:uid="{00000000-0005-0000-0000-00009B030000}"/>
    <cellStyle name="_CPFL-SobrasExposiçãoSubmercados_SOBRECONTRATAÇÃO-RES 255-2007-ap038-07-CPFL07" xfId="2258" xr:uid="{00000000-0005-0000-0000-00009C030000}"/>
    <cellStyle name="_CPFL-SobrasExposiçãoSubmercados_Subsídios para análise da SRE" xfId="179" xr:uid="{00000000-0005-0000-0000-00009D030000}"/>
    <cellStyle name="_CPFL-SobrasExposiçãoSubmercados_Subsídios para análise da SRE 2" xfId="1251" xr:uid="{00000000-0005-0000-0000-00009E030000}"/>
    <cellStyle name="_CPFL-SobrasExposiçãoSubmercados_Subsídios para análise da SRE_02 IRT Bandeirante 2009" xfId="2259" xr:uid="{00000000-0005-0000-0000-00009F030000}"/>
    <cellStyle name="_CPFL-SobrasExposiçãoSubmercados_Subsídios para análise da SRE_1" xfId="2260" xr:uid="{00000000-0005-0000-0000-0000A0030000}"/>
    <cellStyle name="_CPFL-SobrasExposiçãoSubmercados_Subsídios para análise da SRE_Balanço" xfId="180" xr:uid="{00000000-0005-0000-0000-0000A1030000}"/>
    <cellStyle name="_CPFL-SobrasExposiçãoSubmercados_Subsídios para análise da SRE_Balanço 2" xfId="1252" xr:uid="{00000000-0005-0000-0000-0000A2030000}"/>
    <cellStyle name="_CPFL-SobrasExposiçãoSubmercados_Subsídios para análise da SRE_casulo 15" xfId="181" xr:uid="{00000000-0005-0000-0000-0000A3030000}"/>
    <cellStyle name="_CPFL-SobrasExposiçãoSubmercados_Subsídios para análise da SRE_casulo 5" xfId="182" xr:uid="{00000000-0005-0000-0000-0000A4030000}"/>
    <cellStyle name="_CPFL-SobrasExposiçãoSubmercados_Subsídios para análise da SRE_casulo 5 2" xfId="1253" xr:uid="{00000000-0005-0000-0000-0000A5030000}"/>
    <cellStyle name="_CPFL-SobrasExposiçãoSubmercados_Subsídios para análise da SRE_casulo 5_Balanço" xfId="183" xr:uid="{00000000-0005-0000-0000-0000A6030000}"/>
    <cellStyle name="_CPFL-SobrasExposiçãoSubmercados_Subsídios para análise da SRE_casulo 5_casulo 15" xfId="184" xr:uid="{00000000-0005-0000-0000-0000A7030000}"/>
    <cellStyle name="_CPFL-SobrasExposiçãoSubmercados_Subsídios para análise da SRE_casulo 5_IRT EEB 2010" xfId="2261" xr:uid="{00000000-0005-0000-0000-0000A8030000}"/>
    <cellStyle name="_CPFL-SobrasExposiçãoSubmercados_Subsídios para análise da SRE_IRT EEB 2010" xfId="2262" xr:uid="{00000000-0005-0000-0000-0000A9030000}"/>
    <cellStyle name="_CPFL-SobrasExposiçãoSubmercados_Subsídios para análise da SRE_IRT Piratininga 2009" xfId="185" xr:uid="{00000000-0005-0000-0000-0000AA030000}"/>
    <cellStyle name="_CPFL-SobrasExposiçãoSubmercados_Subsídios para análise da SRE_IRT Piratininga 2009 2" xfId="1254" xr:uid="{00000000-0005-0000-0000-0000AB030000}"/>
    <cellStyle name="_CPFL-SobrasExposiçãoSubmercados_Subsídios para análise da SRE_IRT Piratininga 2009_Balanço" xfId="186" xr:uid="{00000000-0005-0000-0000-0000AC030000}"/>
    <cellStyle name="_CPFL-SobrasExposiçãoSubmercados_Subsídios para análise da SRE_IRT Piratininga 2009_casulo 15" xfId="187" xr:uid="{00000000-0005-0000-0000-0000AD030000}"/>
    <cellStyle name="_CPFL-SobrasExposiçãoSubmercados_Subsídios para análise da SRE_IRT Piratininga 2009_IRT EEB 2010" xfId="2263" xr:uid="{00000000-0005-0000-0000-0000AE030000}"/>
    <cellStyle name="_CPFL-SobrasExposiçãoSubmercados_Subsídios para análise da SRE_IRT_EBB_mai2010d" xfId="2264" xr:uid="{00000000-0005-0000-0000-0000AF030000}"/>
    <cellStyle name="_CPFL-SobrasExposiçãoSubmercados_Subsídios para análise da SRE_IRT_Planilha Básica_ CETRIL" xfId="188" xr:uid="{00000000-0005-0000-0000-0000B0030000}"/>
    <cellStyle name="_CPFL-SobrasExposiçãoSubmercados_Subsídios para análise da SRE_IRT_Planilha Básica_ CETRIL 2" xfId="1255" xr:uid="{00000000-0005-0000-0000-0000B1030000}"/>
    <cellStyle name="_CPFL-SobrasExposiçãoSubmercados_Subsídios para análise da SRE_IRT_Planilha Básica_ CETRIL_Balanço" xfId="189" xr:uid="{00000000-0005-0000-0000-0000B2030000}"/>
    <cellStyle name="_CPFL-SobrasExposiçãoSubmercados_Subsídios para análise da SRE_IRT_Planilha Básica_ CETRIL_casulo 15" xfId="190" xr:uid="{00000000-0005-0000-0000-0000B3030000}"/>
    <cellStyle name="_CPFL-SobrasExposiçãoSubmercados_Subsídios para análise da SRE_IRT_Planilha Básica_ CETRIL_IRT EEB 2010" xfId="2265" xr:uid="{00000000-0005-0000-0000-0000B4030000}"/>
    <cellStyle name="_CPFL-SobrasExposiçãoSubmercados_Subsídios para análise da SRE_IRT_Planilha Básica_DIRETORIA" xfId="2266" xr:uid="{00000000-0005-0000-0000-0000B5030000}"/>
    <cellStyle name="_CPFL-SobrasExposiçãoSubmercados_Subsídios para análise da SRE_IRT_Planilha Básica_fev2010" xfId="2267" xr:uid="{00000000-0005-0000-0000-0000B6030000}"/>
    <cellStyle name="_CPFL-SobrasExposiçãoSubmercados_Subsídios para análise da SRE_IRT_Planilha Básica_fev2010a" xfId="191" xr:uid="{00000000-0005-0000-0000-0000B7030000}"/>
    <cellStyle name="_CPFL-SobrasExposiçãoSubmercados_Subsídios para análise da SRE_IRT_Planilha Básica_fev2010a 2" xfId="1256" xr:uid="{00000000-0005-0000-0000-0000B8030000}"/>
    <cellStyle name="_CPFL-SobrasExposiçãoSubmercados_Subsídios para análise da SRE_IRT_Planilha Básica_fev2010a_Balanço" xfId="192" xr:uid="{00000000-0005-0000-0000-0000B9030000}"/>
    <cellStyle name="_CPFL-SobrasExposiçãoSubmercados_Subsídios para análise da SRE_IRT_Planilha Básica_fev2010a_Balanço 2" xfId="1257" xr:uid="{00000000-0005-0000-0000-0000BA030000}"/>
    <cellStyle name="_CPFL-SobrasExposiçãoSubmercados_Subsídios para análise da SRE_IRT_Planilha Básica_fev2010a_casulo 15" xfId="193" xr:uid="{00000000-0005-0000-0000-0000BB030000}"/>
    <cellStyle name="_CPFL-SobrasExposiçãoSubmercados_Subsídios para análise da SRE_IRT_Planilha Básica_fev2010a_casulo 5" xfId="194" xr:uid="{00000000-0005-0000-0000-0000BC030000}"/>
    <cellStyle name="_CPFL-SobrasExposiçãoSubmercados_Subsídios para análise da SRE_IRT_Planilha Básica_fev2010a_casulo 5 2" xfId="1258" xr:uid="{00000000-0005-0000-0000-0000BD030000}"/>
    <cellStyle name="_CPFL-SobrasExposiçãoSubmercados_Subsídios para análise da SRE_IRT_Planilha Básica_fev2010a_casulo 5_Balanço" xfId="195" xr:uid="{00000000-0005-0000-0000-0000BE030000}"/>
    <cellStyle name="_CPFL-SobrasExposiçãoSubmercados_Subsídios para análise da SRE_IRT_Planilha Básica_fev2010a_casulo 5_casulo 15" xfId="196" xr:uid="{00000000-0005-0000-0000-0000BF030000}"/>
    <cellStyle name="_CPFL-SobrasExposiçãoSubmercados_Subsídios para análise da SRE_IRT_Planilha Básica_fev2010a_casulo 5_IRT EEB 2010" xfId="2268" xr:uid="{00000000-0005-0000-0000-0000C0030000}"/>
    <cellStyle name="_CPFL-SobrasExposiçãoSubmercados_Subsídios para análise da SRE_IRT_Planilha Básica_fev2010a_IRT EEB 2010" xfId="2269" xr:uid="{00000000-0005-0000-0000-0000C1030000}"/>
    <cellStyle name="_CPFL-SobrasExposiçãoSubmercados_Subsídios para análise da SRE_IRT_Planilha Básica_jan2010" xfId="2270" xr:uid="{00000000-0005-0000-0000-0000C2030000}"/>
    <cellStyle name="_CPFL-SobrasExposiçãoSubmercados_Subsídios para análise da SRE_IRT_Planilha Básica_mar2010b" xfId="2271" xr:uid="{00000000-0005-0000-0000-0000C3030000}"/>
    <cellStyle name="_CPFL-SobrasExposiçãoSubmercados_Subsídios para análise da SRE_IRT_Planilha Básica_mar2010d" xfId="197" xr:uid="{00000000-0005-0000-0000-0000C4030000}"/>
    <cellStyle name="_CPFL-SobrasExposiçãoSubmercados_Subsídios para análise da SRE_IRT_Planilha Básica_mar2010d 2" xfId="1259" xr:uid="{00000000-0005-0000-0000-0000C5030000}"/>
    <cellStyle name="_CPFL-SobrasExposiçãoSubmercados_Subsídios para análise da SRE_IRT_Planilha Básica_NOVA METODOLOGIA" xfId="2272" xr:uid="{00000000-0005-0000-0000-0000C6030000}"/>
    <cellStyle name="_CPFL-SobrasExposiçãoSubmercados_Subsídios para análise da SRE_IRT_Santa 2010" xfId="2273" xr:uid="{00000000-0005-0000-0000-0000C7030000}"/>
    <cellStyle name="_CPFL-SobrasExposiçãoSubmercados_Subsídios para análise da SRE_IRT-cálculo" xfId="2274" xr:uid="{00000000-0005-0000-0000-0000C8030000}"/>
    <cellStyle name="_CPFL-SobrasExposiçãoSubmercados_Subsídios para análise da SRE_IRT-cálculo CAPA NEUTRALIDADE" xfId="2275" xr:uid="{00000000-0005-0000-0000-0000C9030000}"/>
    <cellStyle name="_CPFL-SobrasExposiçãoSubmercados_Subsídios para análise da SRE_Resultados_DEA_RND_QUAL_PERDAS" xfId="42532" xr:uid="{00000000-0005-0000-0000-0000CA030000}"/>
    <cellStyle name="_CPFL-SobrasExposiçãoSubmercados_Subsídios para análise da SRE_teste ampla" xfId="198" xr:uid="{00000000-0005-0000-0000-0000CB030000}"/>
    <cellStyle name="_CPFL-SobrasExposiçãoSubmercados_Subsídios para análise da SRE_teste ampla 2" xfId="1260" xr:uid="{00000000-0005-0000-0000-0000CC030000}"/>
    <cellStyle name="_CPFL-SobrasExposiçãoSubmercados_Subsídios para análise da SRE_teste ampla_Balanço" xfId="199" xr:uid="{00000000-0005-0000-0000-0000CD030000}"/>
    <cellStyle name="_CPFL-SobrasExposiçãoSubmercados_Subsídios para análise da SRE_teste ampla_Balanço 2" xfId="1261" xr:uid="{00000000-0005-0000-0000-0000CE030000}"/>
    <cellStyle name="_CPFL-SobrasExposiçãoSubmercados_Subsídios para análise da SRE_teste ampla_casulo 15" xfId="200" xr:uid="{00000000-0005-0000-0000-0000CF030000}"/>
    <cellStyle name="_CPFL-SobrasExposiçãoSubmercados_Subsídios para análise da SRE_teste ampla_casulo 5" xfId="201" xr:uid="{00000000-0005-0000-0000-0000D0030000}"/>
    <cellStyle name="_CPFL-SobrasExposiçãoSubmercados_Subsídios para análise da SRE_teste ampla_casulo 5 2" xfId="1262" xr:uid="{00000000-0005-0000-0000-0000D1030000}"/>
    <cellStyle name="_CPFL-SobrasExposiçãoSubmercados_Subsídios para análise da SRE_teste ampla_casulo 5_Balanço" xfId="202" xr:uid="{00000000-0005-0000-0000-0000D2030000}"/>
    <cellStyle name="_CPFL-SobrasExposiçãoSubmercados_Subsídios para análise da SRE_teste ampla_casulo 5_casulo 15" xfId="203" xr:uid="{00000000-0005-0000-0000-0000D3030000}"/>
    <cellStyle name="_CPFL-SobrasExposiçãoSubmercados_Subsídios para análise da SRE_teste ampla_casulo 5_IRT EEB 2010" xfId="2276" xr:uid="{00000000-0005-0000-0000-0000D4030000}"/>
    <cellStyle name="_CPFL-SobrasExposiçãoSubmercados_Subsídios para análise da SRE_teste ampla_IRT EEB 2010" xfId="2277" xr:uid="{00000000-0005-0000-0000-0000D5030000}"/>
    <cellStyle name="_CPFL-SobrasExposiçãoSubmercados_SubsídiosAnáliseSRE_COSERN_IRT-2010" xfId="1537" xr:uid="{00000000-0005-0000-0000-0000D6030000}"/>
    <cellStyle name="_CPFL-SobrasExposiçãoSubmercados_Tabelas de apoio NT CELPE" xfId="42761" xr:uid="{00000000-0005-0000-0000-0000D7030000}"/>
    <cellStyle name="_CPFL-SobrasExposiçãoSubmercados_teste ampla" xfId="204" xr:uid="{00000000-0005-0000-0000-0000D8030000}"/>
    <cellStyle name="_CPFL-SobrasExposiçãoSubmercados_teste ampla 2" xfId="1263" xr:uid="{00000000-0005-0000-0000-0000D9030000}"/>
    <cellStyle name="_CPFL-SobrasExposiçãoSubmercados_teste ampla_Balanço" xfId="205" xr:uid="{00000000-0005-0000-0000-0000DA030000}"/>
    <cellStyle name="_CPFL-SobrasExposiçãoSubmercados_teste ampla_Balanço 2" xfId="1264" xr:uid="{00000000-0005-0000-0000-0000DB030000}"/>
    <cellStyle name="_CPFL-SobrasExposiçãoSubmercados_teste ampla_casulo 15" xfId="206" xr:uid="{00000000-0005-0000-0000-0000DC030000}"/>
    <cellStyle name="_CPFL-SobrasExposiçãoSubmercados_teste ampla_casulo 5" xfId="207" xr:uid="{00000000-0005-0000-0000-0000DD030000}"/>
    <cellStyle name="_CPFL-SobrasExposiçãoSubmercados_teste ampla_casulo 5 2" xfId="1265" xr:uid="{00000000-0005-0000-0000-0000DE030000}"/>
    <cellStyle name="_CPFL-SobrasExposiçãoSubmercados_teste ampla_casulo 5_Balanço" xfId="208" xr:uid="{00000000-0005-0000-0000-0000DF030000}"/>
    <cellStyle name="_CPFL-SobrasExposiçãoSubmercados_teste ampla_casulo 5_casulo 15" xfId="209" xr:uid="{00000000-0005-0000-0000-0000E0030000}"/>
    <cellStyle name="_CPFL-SobrasExposiçãoSubmercados_teste ampla_casulo 5_IRT EEB 2010" xfId="2278" xr:uid="{00000000-0005-0000-0000-0000E1030000}"/>
    <cellStyle name="_CPFL-SobrasExposiçãoSubmercados_teste ampla_IRT EEB 2010" xfId="2279" xr:uid="{00000000-0005-0000-0000-0000E2030000}"/>
    <cellStyle name="_CVA e Subsídios para Fiscalizaçao SFF" xfId="2280" xr:uid="{00000000-0005-0000-0000-0000E3030000}"/>
    <cellStyle name="_CVA_Celpe_final_tarifa média" xfId="1538" xr:uid="{00000000-0005-0000-0000-0000E4030000}"/>
    <cellStyle name="_CVA_Energia_Sobrecontratacao_23_06_2009" xfId="2281" xr:uid="{00000000-0005-0000-0000-0000E5030000}"/>
    <cellStyle name="_CVA_SFF_CELPA_AGO2006" xfId="1539" xr:uid="{00000000-0005-0000-0000-0000E6030000}"/>
    <cellStyle name="_CVA_SFF_CELPA_AGO2006 2" xfId="2282" xr:uid="{00000000-0005-0000-0000-0000E7030000}"/>
    <cellStyle name="_CVA_SFF_CELPA_AGO2006_atualização serviços taxados" xfId="42762" xr:uid="{00000000-0005-0000-0000-0000E8030000}"/>
    <cellStyle name="_CVA_SFF_CELPA_AGO2006_COELCE - RTO 2011 - PLPT_PLANILHA_CÁLCULO_DÉFICIT" xfId="2283" xr:uid="{00000000-0005-0000-0000-0000E9030000}"/>
    <cellStyle name="_CVA_SFF_CELPA_AGO2006_Financeiro Desconto na TUSD Consumidores Livres Reajuste 2010 - 03_03_2010" xfId="42763" xr:uid="{00000000-0005-0000-0000-0000EA030000}"/>
    <cellStyle name="_CVA_SFF_CELPA_AGO2006_Financeiro Desconto na TUSD Geradores Reajuste 2010 - 03_03_2010" xfId="42764" xr:uid="{00000000-0005-0000-0000-0000EB030000}"/>
    <cellStyle name="_CVA_SFF_CELPA_AGO2006_Financeiro Subsídio Baixa Renda Reajuste 2010 - 03_03_2010" xfId="42765" xr:uid="{00000000-0005-0000-0000-0000EC030000}"/>
    <cellStyle name="_CVA_SFF_CELPA_AGO2006_Financeiro Subsídio Rural Irrigante e Aquicultor Reajuste 2010 - 03_03_2010" xfId="42766" xr:uid="{00000000-0005-0000-0000-0000ED030000}"/>
    <cellStyle name="_CVAacompensar_ESCELSA_ago-07_jul-08" xfId="2284" xr:uid="{00000000-0005-0000-0000-0000EE030000}"/>
    <cellStyle name="_CVAacompensar_ESCELSA_ago-07_jul-08_IRT-cálculo" xfId="2285" xr:uid="{00000000-0005-0000-0000-0000EF030000}"/>
    <cellStyle name="_CVAacompensar_ESCELSA_ago-07_jul-08_IRT-cálculo CAPA NEUTRALIDADE" xfId="2286" xr:uid="{00000000-0005-0000-0000-0000F0030000}"/>
    <cellStyle name="_Dados 2 ciclo Revisão Tarifaria Santa Cruz Base de Dados" xfId="2287" xr:uid="{00000000-0005-0000-0000-0000F1030000}"/>
    <cellStyle name="_Dados_Rede_Basica_Compra_ESC_IRT_2008" xfId="2288" xr:uid="{00000000-0005-0000-0000-0000F2030000}"/>
    <cellStyle name="_Dados_Rede_Basica_Compra_ESC_IRT_2008_IRT-cálculo" xfId="2289" xr:uid="{00000000-0005-0000-0000-0000F3030000}"/>
    <cellStyle name="_Dados_Rede_Basica_Compra_ESC_IRT_2008_IRT-cálculo CAPA NEUTRALIDADE" xfId="2290" xr:uid="{00000000-0005-0000-0000-0000F4030000}"/>
    <cellStyle name="_Desverticalização EDEVP" xfId="2291" xr:uid="{00000000-0005-0000-0000-0000F5030000}"/>
    <cellStyle name="_Desverticalização EDEVP_2009.04.09 EEB IRT2009 Conexao CEMIG C Financeiro" xfId="2292" xr:uid="{00000000-0005-0000-0000-0000F6030000}"/>
    <cellStyle name="_Desverticalização EDEVP_atualização serviços taxados" xfId="42767" xr:uid="{00000000-0005-0000-0000-0000F7030000}"/>
    <cellStyle name="_Desverticalização EDEVP_Financeiro Desconto na TUSD Consumidores Livres Reajuste 2010 - 03_03_2010" xfId="42768" xr:uid="{00000000-0005-0000-0000-0000F8030000}"/>
    <cellStyle name="_Desverticalização EDEVP_Financeiro Desconto na TUSD Geradores Reajuste 2010 - 03_03_2010" xfId="42769" xr:uid="{00000000-0005-0000-0000-0000F9030000}"/>
    <cellStyle name="_Desverticalização EDEVP_Financeiro Subsídio Baixa Renda Reajuste 2010 - 03_03_2010" xfId="42770" xr:uid="{00000000-0005-0000-0000-0000FA030000}"/>
    <cellStyle name="_Desverticalização EDEVP_Financeiro Subsídio Rural Irrigante e Aquicultor Reajuste 2010 - 03_03_2010" xfId="42771" xr:uid="{00000000-0005-0000-0000-0000FB030000}"/>
    <cellStyle name="_Desverticalização EDEVP_IF - Autoprodutores 2" xfId="2293" xr:uid="{00000000-0005-0000-0000-0000FC030000}"/>
    <cellStyle name="_Desverticalização EDEVP_IF_Consumidores livres e geradoras_2010" xfId="2294" xr:uid="{00000000-0005-0000-0000-0000FD030000}"/>
    <cellStyle name="_Desverticalização EDEVP_Sheet1" xfId="2295" xr:uid="{00000000-0005-0000-0000-0000FE030000}"/>
    <cellStyle name="_EBO 2009 Subsídio Irrigantes - Final" xfId="2296" xr:uid="{00000000-0005-0000-0000-0000FF030000}"/>
    <cellStyle name="_EBOSubsídio Fontes Alternativas Cons Livre - final" xfId="2297" xr:uid="{00000000-0005-0000-0000-000000040000}"/>
    <cellStyle name="_EDVP-SobrasExposiçãoSubmercados" xfId="2298" xr:uid="{00000000-0005-0000-0000-000001040000}"/>
    <cellStyle name="_EDVP-SobrasExposiçãoSubmercados_2009.04.09 EEB IRT2009 Conexao CEMIG C Financeiro" xfId="2299" xr:uid="{00000000-0005-0000-0000-000002040000}"/>
    <cellStyle name="_EDVP-SobrasExposiçãoSubmercados_atualização serviços taxados" xfId="42772" xr:uid="{00000000-0005-0000-0000-000003040000}"/>
    <cellStyle name="_EDVP-SobrasExposiçãoSubmercados_Financeiro Desconto na TUSD Consumidores Livres Reajuste 2010 - 03_03_2010" xfId="42773" xr:uid="{00000000-0005-0000-0000-000004040000}"/>
    <cellStyle name="_EDVP-SobrasExposiçãoSubmercados_Financeiro Desconto na TUSD Geradores Reajuste 2010 - 03_03_2010" xfId="42774" xr:uid="{00000000-0005-0000-0000-000005040000}"/>
    <cellStyle name="_EDVP-SobrasExposiçãoSubmercados_Financeiro Subsídio Baixa Renda Reajuste 2010 - 03_03_2010" xfId="42775" xr:uid="{00000000-0005-0000-0000-000006040000}"/>
    <cellStyle name="_EDVP-SobrasExposiçãoSubmercados_Financeiro Subsídio Rural Irrigante e Aquicultor Reajuste 2010 - 03_03_2010" xfId="42776" xr:uid="{00000000-0005-0000-0000-000007040000}"/>
    <cellStyle name="_EDVP-SobrasExposiçãoSubmercados_IF - Autoprodutores 2" xfId="2300" xr:uid="{00000000-0005-0000-0000-000008040000}"/>
    <cellStyle name="_EDVP-SobrasExposiçãoSubmercados_IF_Consumidores livres e geradoras_2010" xfId="2301" xr:uid="{00000000-0005-0000-0000-000009040000}"/>
    <cellStyle name="_EDVP-SobrasExposiçãoSubmercados_Sheet1" xfId="2302" xr:uid="{00000000-0005-0000-0000-00000A040000}"/>
    <cellStyle name="_EEVP_Repasse-Sobrecontratação" xfId="2303" xr:uid="{00000000-0005-0000-0000-00000B040000}"/>
    <cellStyle name="_EEVP_Repasse-Sobrecontratação_atualização serviços taxados" xfId="42777" xr:uid="{00000000-0005-0000-0000-00000C040000}"/>
    <cellStyle name="_EEVP_Repasse-Sobrecontratação_Financeiro Desconto na TUSD Consumidores Livres Reajuste 2010 - 03_03_2010" xfId="42778" xr:uid="{00000000-0005-0000-0000-00000D040000}"/>
    <cellStyle name="_EEVP_Repasse-Sobrecontratação_Financeiro Desconto na TUSD Geradores Reajuste 2010 - 03_03_2010" xfId="42779" xr:uid="{00000000-0005-0000-0000-00000E040000}"/>
    <cellStyle name="_EEVP_Repasse-Sobrecontratação_Financeiro Subsídio Baixa Renda Reajuste 2010 - 03_03_2010" xfId="42780" xr:uid="{00000000-0005-0000-0000-00000F040000}"/>
    <cellStyle name="_EEVP_Repasse-Sobrecontratação_Financeiro Subsídio Rural Irrigante e Aquicultor Reajuste 2010 - 03_03_2010" xfId="42781" xr:uid="{00000000-0005-0000-0000-000010040000}"/>
    <cellStyle name="_EEVP_Repasse-Sobrecontratação_IF - Autoprodutores 2" xfId="2304" xr:uid="{00000000-0005-0000-0000-000011040000}"/>
    <cellStyle name="_EEVP_Repasse-Sobrecontratação_IF_Consumidores livres e geradoras_2010" xfId="2305" xr:uid="{00000000-0005-0000-0000-000012040000}"/>
    <cellStyle name="_EEVP_Repasse-Sobrecontratação_Sheet1" xfId="2306" xr:uid="{00000000-0005-0000-0000-000013040000}"/>
    <cellStyle name="_ELEKTRO - Dados Repasse sobrecontratação" xfId="210" xr:uid="{00000000-0005-0000-0000-000014040000}"/>
    <cellStyle name="_ELEKTRO - Dados Repasse sobrecontratação 2" xfId="1266" xr:uid="{00000000-0005-0000-0000-000015040000}"/>
    <cellStyle name="_ELEKTRO - Dados Repasse sobrecontratação 3" xfId="2307" xr:uid="{00000000-0005-0000-0000-000016040000}"/>
    <cellStyle name="_ELEKTRO - Dados Repasse sobrecontratação_Exposição" xfId="42782" xr:uid="{00000000-0005-0000-0000-000017040000}"/>
    <cellStyle name="_ELEKTRO - Dados Repasse sobrecontratação_Exposição_Agosto 2" xfId="2308" xr:uid="{00000000-0005-0000-0000-000018040000}"/>
    <cellStyle name="_ELEKTRO - Dados Repasse sobrecontratação_IRT_CERON_2008" xfId="42783" xr:uid="{00000000-0005-0000-0000-000019040000}"/>
    <cellStyle name="_ELEKTRO - Dados Repasse sobrecontratação_IRT_Revisão A-2" xfId="2309" xr:uid="{00000000-0005-0000-0000-00001A040000}"/>
    <cellStyle name="_ELEKTRO_Repasse-sobrecontratação" xfId="211" xr:uid="{00000000-0005-0000-0000-00001B040000}"/>
    <cellStyle name="_ELEKTRO_Repasse-sobrecontratação 2" xfId="1267" xr:uid="{00000000-0005-0000-0000-00001C040000}"/>
    <cellStyle name="_ELEKTRO_Repasse-sobrecontratação 3" xfId="2310" xr:uid="{00000000-0005-0000-0000-00001D040000}"/>
    <cellStyle name="_ELEKTRO_Repasse-sobrecontratação_Exposição" xfId="42784" xr:uid="{00000000-0005-0000-0000-00001E040000}"/>
    <cellStyle name="_ELEKTRO_Repasse-sobrecontratação_Exposição_Agosto 2" xfId="2311" xr:uid="{00000000-0005-0000-0000-00001F040000}"/>
    <cellStyle name="_ELEKTRO_Repasse-sobrecontratação_IRT_CERON_2008" xfId="42785" xr:uid="{00000000-0005-0000-0000-000020040000}"/>
    <cellStyle name="_ELEKTRO_Repasse-sobrecontratação_IRT_Revisão A-2" xfId="2312" xr:uid="{00000000-0005-0000-0000-000021040000}"/>
    <cellStyle name="_ELEKTRO-tarifa media - para CVA" xfId="212" xr:uid="{00000000-0005-0000-0000-000022040000}"/>
    <cellStyle name="_ELEKTRO-tarifa media - para CVA 2" xfId="1268" xr:uid="{00000000-0005-0000-0000-000023040000}"/>
    <cellStyle name="_ELEKTRO-tarifa media - para CVA_atualização serviços taxados" xfId="42786" xr:uid="{00000000-0005-0000-0000-000024040000}"/>
    <cellStyle name="_ELEKTRO-tarifa media - para CVA_Calculo_Subsidio_ELFSM_26_06_08_Modelo_ANEEL" xfId="2313" xr:uid="{00000000-0005-0000-0000-000025040000}"/>
    <cellStyle name="_ELEKTRO-tarifa media - para CVA_Calculo_Subsidio_ELFSM_26_06_08_Modelo_ANEEL_IRT-cálculo" xfId="2314" xr:uid="{00000000-0005-0000-0000-000026040000}"/>
    <cellStyle name="_ELEKTRO-tarifa media - para CVA_Calculo_Subsidio_ELFSM_26_06_08_Modelo_ANEEL_IRT-cálculo CAPA NEUTRALIDADE" xfId="2315" xr:uid="{00000000-0005-0000-0000-000027040000}"/>
    <cellStyle name="_ELEKTRO-tarifa media - para CVA_CVA_Projetada até dez-2008_Setembro" xfId="2316" xr:uid="{00000000-0005-0000-0000-000028040000}"/>
    <cellStyle name="_ELEKTRO-tarifa media - para CVA_CVA_Projetada até dez-2008_Setembro_CVA Outros Componentes PROVISÃO" xfId="2317" xr:uid="{00000000-0005-0000-0000-000029040000}"/>
    <cellStyle name="_ELEKTRO-tarifa media - para CVA_CVA_Projetada até dez-2008_Setembro_PROVISÃO" xfId="2318" xr:uid="{00000000-0005-0000-0000-00002A040000}"/>
    <cellStyle name="_ELEKTRO-tarifa media - para CVA_Energia Comprada" xfId="2319" xr:uid="{00000000-0005-0000-0000-00002B040000}"/>
    <cellStyle name="_ELEKTRO-tarifa media - para CVA_Energia Comprada_IRT-cálculo" xfId="2320" xr:uid="{00000000-0005-0000-0000-00002C040000}"/>
    <cellStyle name="_ELEKTRO-tarifa media - para CVA_Energia Comprada_IRT-cálculo CAPA NEUTRALIDADE" xfId="2321" xr:uid="{00000000-0005-0000-0000-00002D040000}"/>
    <cellStyle name="_ELEKTRO-tarifa media - para CVA_Fator X" xfId="1540" xr:uid="{00000000-0005-0000-0000-00002E040000}"/>
    <cellStyle name="_ELEKTRO-tarifa media - para CVA_Fator X_atualização serviços taxados" xfId="42787" xr:uid="{00000000-0005-0000-0000-00002F040000}"/>
    <cellStyle name="_ELEKTRO-tarifa media - para CVA_Fator X_Financeiro Desconto na TUSD Consumidores Livres Reajuste 2010 - 03_03_2010" xfId="42788" xr:uid="{00000000-0005-0000-0000-000030040000}"/>
    <cellStyle name="_ELEKTRO-tarifa media - para CVA_Fator X_Financeiro Desconto na TUSD Geradores Reajuste 2010 - 03_03_2010" xfId="42789" xr:uid="{00000000-0005-0000-0000-000031040000}"/>
    <cellStyle name="_ELEKTRO-tarifa media - para CVA_Fator X_Financeiro Subsídio Baixa Renda Reajuste 2010 - 03_03_2010" xfId="42790" xr:uid="{00000000-0005-0000-0000-000032040000}"/>
    <cellStyle name="_ELEKTRO-tarifa media - para CVA_Fator X_Financeiro Subsídio Rural Irrigante e Aquicultor Reajuste 2010 - 03_03_2010" xfId="42791" xr:uid="{00000000-0005-0000-0000-000033040000}"/>
    <cellStyle name="_ELEKTRO-tarifa media - para CVA_Fator X_IRT-cálculo" xfId="2322" xr:uid="{00000000-0005-0000-0000-000034040000}"/>
    <cellStyle name="_ELEKTRO-tarifa media - para CVA_Fator X_IRT-cálculo CAPA NEUTRALIDADE" xfId="2323" xr:uid="{00000000-0005-0000-0000-000035040000}"/>
    <cellStyle name="_ELEKTRO-tarifa media - para CVA_Fator X_SOBRECONTRATAÇÃO E CVA" xfId="2324" xr:uid="{00000000-0005-0000-0000-000036040000}"/>
    <cellStyle name="_ELEKTRO-tarifa media - para CVA_Financeiro Desconto na TUSD Consumidores Livres Reajuste 2010 - 03_03_2010" xfId="42792" xr:uid="{00000000-0005-0000-0000-000037040000}"/>
    <cellStyle name="_ELEKTRO-tarifa media - para CVA_Financeiro Desconto na TUSD Geradores Reajuste 2010 - 03_03_2010" xfId="42793" xr:uid="{00000000-0005-0000-0000-000038040000}"/>
    <cellStyle name="_ELEKTRO-tarifa media - para CVA_Financeiro Subsídio Baixa Renda Reajuste 2010 - 03_03_2010" xfId="42794" xr:uid="{00000000-0005-0000-0000-000039040000}"/>
    <cellStyle name="_ELEKTRO-tarifa media - para CVA_Financeiro Subsídio Rural Irrigante e Aquicultor Reajuste 2010 - 03_03_2010" xfId="42795" xr:uid="{00000000-0005-0000-0000-00003A040000}"/>
    <cellStyle name="_ELEKTRO-tarifa media - para CVA_IRT (2)" xfId="1541" xr:uid="{00000000-0005-0000-0000-00003B040000}"/>
    <cellStyle name="_ELEKTRO-tarifa media - para CVA_IRT (2) 2" xfId="2325" xr:uid="{00000000-0005-0000-0000-00003C040000}"/>
    <cellStyle name="_ELEKTRO-tarifa media - para CVA_IRT_1" xfId="1542" xr:uid="{00000000-0005-0000-0000-00003D040000}"/>
    <cellStyle name="_ELEKTRO-tarifa media - para CVA_IRT_1_atualização serviços taxados" xfId="42796" xr:uid="{00000000-0005-0000-0000-00003E040000}"/>
    <cellStyle name="_ELEKTRO-tarifa media - para CVA_IRT_1_Financeiro Desconto na TUSD Consumidores Livres Reajuste 2010 - 03_03_2010" xfId="42797" xr:uid="{00000000-0005-0000-0000-00003F040000}"/>
    <cellStyle name="_ELEKTRO-tarifa media - para CVA_IRT_1_Financeiro Desconto na TUSD Geradores Reajuste 2010 - 03_03_2010" xfId="42798" xr:uid="{00000000-0005-0000-0000-000040040000}"/>
    <cellStyle name="_ELEKTRO-tarifa media - para CVA_IRT_1_Financeiro Subsídio Baixa Renda Reajuste 2010 - 03_03_2010" xfId="42799" xr:uid="{00000000-0005-0000-0000-000041040000}"/>
    <cellStyle name="_ELEKTRO-tarifa media - para CVA_IRT_1_Financeiro Subsídio Rural Irrigante e Aquicultor Reajuste 2010 - 03_03_2010" xfId="42800" xr:uid="{00000000-0005-0000-0000-000042040000}"/>
    <cellStyle name="_ELEKTRO-tarifa media - para CVA_IRT_1_IRT-cálculo" xfId="2326" xr:uid="{00000000-0005-0000-0000-000043040000}"/>
    <cellStyle name="_ELEKTRO-tarifa media - para CVA_IRT_1_IRT-cálculo CAPA NEUTRALIDADE" xfId="2327" xr:uid="{00000000-0005-0000-0000-000044040000}"/>
    <cellStyle name="_ELEKTRO-tarifa media - para CVA_IRT_1_SOBRECONTRATAÇÃO E CVA" xfId="2328" xr:uid="{00000000-0005-0000-0000-000045040000}"/>
    <cellStyle name="_ELEKTRO-tarifa media - para CVA_IRT_Planilha Básica_DIRETORIA" xfId="2329" xr:uid="{00000000-0005-0000-0000-000046040000}"/>
    <cellStyle name="_ELEKTRO-tarifa media - para CVA_IRT_Pleito" xfId="2330" xr:uid="{00000000-0005-0000-0000-000047040000}"/>
    <cellStyle name="_ELEKTRO-tarifa media - para CVA_IRT_Pleito_IRT-cálculo" xfId="2331" xr:uid="{00000000-0005-0000-0000-000048040000}"/>
    <cellStyle name="_ELEKTRO-tarifa media - para CVA_IRT_Pleito_IRT-cálculo CAPA NEUTRALIDADE" xfId="2332" xr:uid="{00000000-0005-0000-0000-000049040000}"/>
    <cellStyle name="_ELEKTRO-tarifa media - para CVA_IRT-cálculo" xfId="2333" xr:uid="{00000000-0005-0000-0000-00004A040000}"/>
    <cellStyle name="_ELEKTRO-tarifa media - para CVA_IRT-cálculo CAPA NEUTRALIDADE" xfId="2334" xr:uid="{00000000-0005-0000-0000-00004B040000}"/>
    <cellStyle name="_ELEKTRO-tarifa media - para CVA_Pasta1" xfId="1543" xr:uid="{00000000-0005-0000-0000-00004C040000}"/>
    <cellStyle name="_ELEKTRO-tarifa media - para CVA_Pasta1_atualização serviços taxados" xfId="42801" xr:uid="{00000000-0005-0000-0000-00004D040000}"/>
    <cellStyle name="_ELEKTRO-tarifa media - para CVA_Pasta1_Financeiro Desconto na TUSD Consumidores Livres Reajuste 2010 - 03_03_2010" xfId="42802" xr:uid="{00000000-0005-0000-0000-00004E040000}"/>
    <cellStyle name="_ELEKTRO-tarifa media - para CVA_Pasta1_Financeiro Desconto na TUSD Geradores Reajuste 2010 - 03_03_2010" xfId="42803" xr:uid="{00000000-0005-0000-0000-00004F040000}"/>
    <cellStyle name="_ELEKTRO-tarifa media - para CVA_Pasta1_Financeiro Subsídio Baixa Renda Reajuste 2010 - 03_03_2010" xfId="42804" xr:uid="{00000000-0005-0000-0000-000050040000}"/>
    <cellStyle name="_ELEKTRO-tarifa media - para CVA_Pasta1_Financeiro Subsídio Rural Irrigante e Aquicultor Reajuste 2010 - 03_03_2010" xfId="42805" xr:uid="{00000000-0005-0000-0000-000051040000}"/>
    <cellStyle name="_ELEKTRO-tarifa media - para CVA_Pasta1_IRT-cálculo" xfId="2335" xr:uid="{00000000-0005-0000-0000-000052040000}"/>
    <cellStyle name="_ELEKTRO-tarifa media - para CVA_Pasta1_IRT-cálculo CAPA NEUTRALIDADE" xfId="2336" xr:uid="{00000000-0005-0000-0000-000053040000}"/>
    <cellStyle name="_ELEKTRO-tarifa media - para CVA_Pasta1_SOBRECONTRATAÇÃO E CVA" xfId="2337" xr:uid="{00000000-0005-0000-0000-000054040000}"/>
    <cellStyle name="_ELEKTRO-tarifa media - para CVA_SOBRECONTRATAÇÃO E CVA" xfId="2338" xr:uid="{00000000-0005-0000-0000-000055040000}"/>
    <cellStyle name="_ELEKTRO-tarifa media - para CVA_SOBRECONTRATAÇÃO E CVA A-1" xfId="2339" xr:uid="{00000000-0005-0000-0000-000056040000}"/>
    <cellStyle name="_ELEKTRO-tarifa media - para CVA_SOBRECONTRATAÇÃO E CVA A-1_IRT-cálculo" xfId="2340" xr:uid="{00000000-0005-0000-0000-000057040000}"/>
    <cellStyle name="_ELEKTRO-tarifa media - para CVA_SOBRECONTRATAÇÃO E CVA A-1_IRT-cálculo CAPA NEUTRALIDADE" xfId="2341" xr:uid="{00000000-0005-0000-0000-000058040000}"/>
    <cellStyle name="_ELETROPAULO - IRT_julho2006_PÓS IGPM" xfId="1544" xr:uid="{00000000-0005-0000-0000-000059040000}"/>
    <cellStyle name="_ELETROPAULO - IRT_julho2006_PÓS IGPM_atualização serviços taxados" xfId="42806" xr:uid="{00000000-0005-0000-0000-00005A040000}"/>
    <cellStyle name="_ELETROPAULO - IRT_julho2006_PÓS IGPM_COELCE - RTO 2011 - PLPT_PLANILHA_CÁLCULO_DÉFICIT" xfId="2342" xr:uid="{00000000-0005-0000-0000-00005B040000}"/>
    <cellStyle name="_ELETROPAULO - IRT_julho2006_PÓS IGPM_Financeiro Desconto na TUSD Consumidores Livres Reajuste 2010 - 03_03_2010" xfId="42807" xr:uid="{00000000-0005-0000-0000-00005C040000}"/>
    <cellStyle name="_ELETROPAULO - IRT_julho2006_PÓS IGPM_Financeiro Desconto na TUSD Geradores Reajuste 2010 - 03_03_2010" xfId="42808" xr:uid="{00000000-0005-0000-0000-00005D040000}"/>
    <cellStyle name="_ELETROPAULO - IRT_julho2006_PÓS IGPM_Financeiro Subsídio Baixa Renda Reajuste 2010 - 03_03_2010" xfId="42809" xr:uid="{00000000-0005-0000-0000-00005E040000}"/>
    <cellStyle name="_ELETROPAULO - IRT_julho2006_PÓS IGPM_Financeiro Subsídio Rural Irrigante e Aquicultor Reajuste 2010 - 03_03_2010" xfId="42810" xr:uid="{00000000-0005-0000-0000-00005F040000}"/>
    <cellStyle name="_ELETROPAULO 2007 - Repasse sobrecontratação" xfId="213" xr:uid="{00000000-0005-0000-0000-000060040000}"/>
    <cellStyle name="_ELETROPAULO 2007 - Repasse sobrecontratação 2" xfId="1269" xr:uid="{00000000-0005-0000-0000-000061040000}"/>
    <cellStyle name="_ELETROPAULO 2007 - Repasse sobrecontratação 3" xfId="2343" xr:uid="{00000000-0005-0000-0000-000062040000}"/>
    <cellStyle name="_ELETROPAULO 2007 - Repasse sobrecontratação_Exposição" xfId="42811" xr:uid="{00000000-0005-0000-0000-000063040000}"/>
    <cellStyle name="_ELETROPAULO 2007 - Repasse sobrecontratação_Exposição_Agosto 2" xfId="2344" xr:uid="{00000000-0005-0000-0000-000064040000}"/>
    <cellStyle name="_ELETROPAULO 2007 - Repasse sobrecontratação_IRT_CERON_2008" xfId="42812" xr:uid="{00000000-0005-0000-0000-000065040000}"/>
    <cellStyle name="_ELETROPAULO 2007 - Repasse sobrecontratação_IRT_Revisão A-2" xfId="2345" xr:uid="{00000000-0005-0000-0000-000066040000}"/>
    <cellStyle name="_ENERGIA-RESUMO" xfId="2346" xr:uid="{00000000-0005-0000-0000-000067040000}"/>
    <cellStyle name="_ENERGIA-RESUMO_IF - Autoprodutores 2" xfId="2347" xr:uid="{00000000-0005-0000-0000-000068040000}"/>
    <cellStyle name="_ENERGIA-RESUMO_IF_Consumidores livres e geradoras_2010" xfId="2348" xr:uid="{00000000-0005-0000-0000-000069040000}"/>
    <cellStyle name="_ENERGIA-RESUMO_IRT-cálculo" xfId="42813" xr:uid="{00000000-0005-0000-0000-00006A040000}"/>
    <cellStyle name="_ENERGIA-RESUMO_Sheet1" xfId="2349" xr:uid="{00000000-0005-0000-0000-00006B040000}"/>
    <cellStyle name="_ENERGIPE_Análise 1ª Proposta ANEEL_13 fev 2008" xfId="2350" xr:uid="{00000000-0005-0000-0000-00006C040000}"/>
    <cellStyle name="_Energipe-SobrasExposiçãoSubmercados" xfId="214" xr:uid="{00000000-0005-0000-0000-00006D040000}"/>
    <cellStyle name="_Energipe-SobrasExposiçãoSubmercados 2" xfId="1270" xr:uid="{00000000-0005-0000-0000-00006E040000}"/>
    <cellStyle name="_Energipe-SobrasExposiçãoSubmercados 3" xfId="2351" xr:uid="{00000000-0005-0000-0000-00006F040000}"/>
    <cellStyle name="_Energipe-SobrasExposiçãoSubmercados_Balanço" xfId="215" xr:uid="{00000000-0005-0000-0000-000070040000}"/>
    <cellStyle name="_Energipe-SobrasExposiçãoSubmercados_casulo 15" xfId="216" xr:uid="{00000000-0005-0000-0000-000071040000}"/>
    <cellStyle name="_Energipe-SobrasExposiçãoSubmercados_CELPA CVA 2007 corrigida" xfId="1545" xr:uid="{00000000-0005-0000-0000-000072040000}"/>
    <cellStyle name="_Energipe-SobrasExposiçãoSubmercados_CELPA CVA 2007 corrigida 2" xfId="2352" xr:uid="{00000000-0005-0000-0000-000073040000}"/>
    <cellStyle name="_Energipe-SobrasExposiçãoSubmercados_CELPA CVA 2007 corrigida_atualização serviços taxados" xfId="42814" xr:uid="{00000000-0005-0000-0000-000074040000}"/>
    <cellStyle name="_Energipe-SobrasExposiçãoSubmercados_CELPA CVA 2007 corrigida_COELCE - RTO 2011 - PLPT_PLANILHA_CÁLCULO_DÉFICIT" xfId="2353" xr:uid="{00000000-0005-0000-0000-000075040000}"/>
    <cellStyle name="_Energipe-SobrasExposiçãoSubmercados_CELPA CVA 2007 corrigida_Financeiro Desconto na TUSD Consumidores Livres Reajuste 2010 - 03_03_2010" xfId="42815" xr:uid="{00000000-0005-0000-0000-000076040000}"/>
    <cellStyle name="_Energipe-SobrasExposiçãoSubmercados_CELPA CVA 2007 corrigida_Financeiro Desconto na TUSD Geradores Reajuste 2010 - 03_03_2010" xfId="42816" xr:uid="{00000000-0005-0000-0000-000077040000}"/>
    <cellStyle name="_Energipe-SobrasExposiçãoSubmercados_CELPA CVA 2007 corrigida_Financeiro Subsídio Baixa Renda Reajuste 2010 - 03_03_2010" xfId="42817" xr:uid="{00000000-0005-0000-0000-000078040000}"/>
    <cellStyle name="_Energipe-SobrasExposiçãoSubmercados_CELPA CVA 2007 corrigida_Financeiro Subsídio Rural Irrigante e Aquicultor Reajuste 2010 - 03_03_2010" xfId="42818" xr:uid="{00000000-0005-0000-0000-000079040000}"/>
    <cellStyle name="_Energipe-SobrasExposiçãoSubmercados_Exposição_Agosto 2" xfId="2354" xr:uid="{00000000-0005-0000-0000-00007A040000}"/>
    <cellStyle name="_Energipe-SobrasExposiçãoSubmercados_IRT EEB 2010" xfId="2355" xr:uid="{00000000-0005-0000-0000-00007B040000}"/>
    <cellStyle name="_Energipe-SobrasExposiçãoSubmercados_IRT_Revisão A-2" xfId="2356" xr:uid="{00000000-0005-0000-0000-00007C040000}"/>
    <cellStyle name="_Energipe-SobrasExposiçãoSubmercados_Simulação AES SUL 03_04_07" xfId="217" xr:uid="{00000000-0005-0000-0000-00007D040000}"/>
    <cellStyle name="_Energipe-SobrasExposiçãoSubmercados_Simulação AES SUL 03_04_07 2" xfId="1271" xr:uid="{00000000-0005-0000-0000-00007E040000}"/>
    <cellStyle name="_Energipe-SobrasExposiçãoSubmercados_Simulação AES SUL 03_04_07 3" xfId="2357" xr:uid="{00000000-0005-0000-0000-00007F040000}"/>
    <cellStyle name="_Energipe-SobrasExposiçãoSubmercados_Simulação AES SUL 03_04_07_Balanço" xfId="218" xr:uid="{00000000-0005-0000-0000-000080040000}"/>
    <cellStyle name="_Energipe-SobrasExposiçãoSubmercados_Simulação AES SUL 03_04_07_casulo 15" xfId="219" xr:uid="{00000000-0005-0000-0000-000081040000}"/>
    <cellStyle name="_Energipe-SobrasExposiçãoSubmercados_Simulação AES SUL 03_04_07_IRT EEB 2010" xfId="2358" xr:uid="{00000000-0005-0000-0000-000082040000}"/>
    <cellStyle name="_Energipe-SobrasExposiçãoSubmercados_Sobrecontratação AES (2)" xfId="220" xr:uid="{00000000-0005-0000-0000-000083040000}"/>
    <cellStyle name="_Energipe-SobrasExposiçãoSubmercados_Sobrecontratação AES (2) 2" xfId="1272" xr:uid="{00000000-0005-0000-0000-000084040000}"/>
    <cellStyle name="_Energipe-SobrasExposiçãoSubmercados_Sobrecontratação AES (2) 3" xfId="2359" xr:uid="{00000000-0005-0000-0000-000085040000}"/>
    <cellStyle name="_Energipe-SobrasExposiçãoSubmercados_Sobrecontratação AES (2)_Balanço" xfId="221" xr:uid="{00000000-0005-0000-0000-000086040000}"/>
    <cellStyle name="_Energipe-SobrasExposiçãoSubmercados_Sobrecontratação AES (2)_casulo 15" xfId="222" xr:uid="{00000000-0005-0000-0000-000087040000}"/>
    <cellStyle name="_Energipe-SobrasExposiçãoSubmercados_Sobrecontratação AES (2)_IRT EEB 2010" xfId="2360" xr:uid="{00000000-0005-0000-0000-000088040000}"/>
    <cellStyle name="_Enersul Impacto LPT_FINAL_22_02_07" xfId="223" xr:uid="{00000000-0005-0000-0000-000089040000}"/>
    <cellStyle name="_Enersul Impacto LPT_FINAL_22_02_07 2" xfId="926" xr:uid="{00000000-0005-0000-0000-00008A040000}"/>
    <cellStyle name="_Enersul Impacto LPT_FINAL_22_02_07 3" xfId="2361" xr:uid="{00000000-0005-0000-0000-00008B040000}"/>
    <cellStyle name="_Enersul Impacto LPT_FINAL_22_02_07_2008.08.07 CELPA IRT2008 Homologado" xfId="2362" xr:uid="{00000000-0005-0000-0000-00008C040000}"/>
    <cellStyle name="_Enersul Impacto LPT_FINAL_22_02_07_2009.04.09 EEB IRT2009 Conexao CEMIG C Financeiro" xfId="2363" xr:uid="{00000000-0005-0000-0000-00008D040000}"/>
    <cellStyle name="_Enersul Impacto LPT_FINAL_22_02_07_Ajuste SALDO CVA ANO ANTERIOR PÓS-REVISÃOx" xfId="2364" xr:uid="{00000000-0005-0000-0000-00008E040000}"/>
    <cellStyle name="_Enersul Impacto LPT_FINAL_22_02_07_atualização serviços taxados" xfId="42819" xr:uid="{00000000-0005-0000-0000-00008F040000}"/>
    <cellStyle name="_Enersul Impacto LPT_FINAL_22_02_07_Balanço" xfId="224" xr:uid="{00000000-0005-0000-0000-000090040000}"/>
    <cellStyle name="_Enersul Impacto LPT_FINAL_22_02_07_Balanço 2" xfId="1273" xr:uid="{00000000-0005-0000-0000-000091040000}"/>
    <cellStyle name="_Enersul Impacto LPT_FINAL_22_02_07_Cálculo do Financeiro do Baixa Renda" xfId="2365" xr:uid="{00000000-0005-0000-0000-000092040000}"/>
    <cellStyle name="_Enersul Impacto LPT_FINAL_22_02_07_Cálculo do Financeiro do Baixa Renda_IRT-cálculo" xfId="2366" xr:uid="{00000000-0005-0000-0000-000093040000}"/>
    <cellStyle name="_Enersul Impacto LPT_FINAL_22_02_07_Cálculo do Financeiro do Baixa Renda_IRT-cálculo CAPA NEUTRALIDADE" xfId="2367" xr:uid="{00000000-0005-0000-0000-000094040000}"/>
    <cellStyle name="_Enersul Impacto LPT_FINAL_22_02_07_Calculo_Subsidio_ELFSM_26_06_08_Modelo_ANEEL" xfId="2368" xr:uid="{00000000-0005-0000-0000-000095040000}"/>
    <cellStyle name="_Enersul Impacto LPT_FINAL_22_02_07_Calculo_Subsidio_ELFSM_26_06_08_Modelo_ANEEL_IRT-cálculo" xfId="2369" xr:uid="{00000000-0005-0000-0000-000096040000}"/>
    <cellStyle name="_Enersul Impacto LPT_FINAL_22_02_07_Calculo_Subsidio_ELFSM_26_06_08_Modelo_ANEEL_IRT-cálculo CAPA NEUTRALIDADE" xfId="2370" xr:uid="{00000000-0005-0000-0000-000097040000}"/>
    <cellStyle name="_Enersul Impacto LPT_FINAL_22_02_07_casulo 15" xfId="225" xr:uid="{00000000-0005-0000-0000-000098040000}"/>
    <cellStyle name="_Enersul Impacto LPT_FINAL_22_02_07_casulo 5" xfId="226" xr:uid="{00000000-0005-0000-0000-000099040000}"/>
    <cellStyle name="_Enersul Impacto LPT_FINAL_22_02_07_casulo 5 2" xfId="1274" xr:uid="{00000000-0005-0000-0000-00009A040000}"/>
    <cellStyle name="_Enersul Impacto LPT_FINAL_22_02_07_casulo 5_Balanço" xfId="227" xr:uid="{00000000-0005-0000-0000-00009B040000}"/>
    <cellStyle name="_Enersul Impacto LPT_FINAL_22_02_07_casulo 5_casulo 15" xfId="228" xr:uid="{00000000-0005-0000-0000-00009C040000}"/>
    <cellStyle name="_Enersul Impacto LPT_FINAL_22_02_07_casulo 5_IRT EEB 2010" xfId="2371" xr:uid="{00000000-0005-0000-0000-00009D040000}"/>
    <cellStyle name="_Enersul Impacto LPT_FINAL_22_02_07_Custo com Avaliação de Ativos para Base de Remuneração" xfId="2372" xr:uid="{00000000-0005-0000-0000-00009E040000}"/>
    <cellStyle name="_Enersul Impacto LPT_FINAL_22_02_07_Custo com Avaliação de Ativos para Base de Remuneração_IRT-cálculo" xfId="2373" xr:uid="{00000000-0005-0000-0000-00009F040000}"/>
    <cellStyle name="_Enersul Impacto LPT_FINAL_22_02_07_Custo com Avaliação de Ativos para Base de Remuneração_IRT-cálculo CAPA NEUTRALIDADE" xfId="2374" xr:uid="{00000000-0005-0000-0000-0000A0040000}"/>
    <cellStyle name="_Enersul Impacto LPT_FINAL_22_02_07_Descontos CCC_CDE_PROINFA Nov_07_Out_08" xfId="2375" xr:uid="{00000000-0005-0000-0000-0000A1040000}"/>
    <cellStyle name="_Enersul Impacto LPT_FINAL_22_02_07_Descontos CCC_CDE_PROINFA Nov_07_Out_08_IRT-cálculo" xfId="2376" xr:uid="{00000000-0005-0000-0000-0000A2040000}"/>
    <cellStyle name="_Enersul Impacto LPT_FINAL_22_02_07_Descontos CCC_CDE_PROINFA Nov_07_Out_08_IRT-cálculo CAPA NEUTRALIDADE" xfId="2377" xr:uid="{00000000-0005-0000-0000-0000A3040000}"/>
    <cellStyle name="_Enersul Impacto LPT_FINAL_22_02_07_Energia Comprada" xfId="2378" xr:uid="{00000000-0005-0000-0000-0000A4040000}"/>
    <cellStyle name="_Enersul Impacto LPT_FINAL_22_02_07_Energia Comprada_IRT-cálculo" xfId="2379" xr:uid="{00000000-0005-0000-0000-0000A5040000}"/>
    <cellStyle name="_Enersul Impacto LPT_FINAL_22_02_07_Energia Comprada_IRT-cálculo CAPA NEUTRALIDADE" xfId="2380" xr:uid="{00000000-0005-0000-0000-0000A6040000}"/>
    <cellStyle name="_Enersul Impacto LPT_FINAL_22_02_07_Fator Novo e Antigo 4 anos" xfId="2381" xr:uid="{00000000-0005-0000-0000-0000A7040000}"/>
    <cellStyle name="_Enersul Impacto LPT_FINAL_22_02_07_Fator Novo e Antigo 4 anos_IRT-cálculo" xfId="42820" xr:uid="{00000000-0005-0000-0000-0000A8040000}"/>
    <cellStyle name="_Enersul Impacto LPT_FINAL_22_02_07_Fator X" xfId="1546" xr:uid="{00000000-0005-0000-0000-0000A9040000}"/>
    <cellStyle name="_Enersul Impacto LPT_FINAL_22_02_07_Fator X 2" xfId="2382" xr:uid="{00000000-0005-0000-0000-0000AA040000}"/>
    <cellStyle name="_Enersul Impacto LPT_FINAL_22_02_07_Fator X_atualização serviços taxados" xfId="42821" xr:uid="{00000000-0005-0000-0000-0000AB040000}"/>
    <cellStyle name="_Enersul Impacto LPT_FINAL_22_02_07_Fator X_Financeiro Desconto na TUSD Consumidores Livres Reajuste 2010 - 03_03_2010" xfId="42822" xr:uid="{00000000-0005-0000-0000-0000AC040000}"/>
    <cellStyle name="_Enersul Impacto LPT_FINAL_22_02_07_Fator X_Financeiro Desconto na TUSD Geradores Reajuste 2010 - 03_03_2010" xfId="42823" xr:uid="{00000000-0005-0000-0000-0000AD040000}"/>
    <cellStyle name="_Enersul Impacto LPT_FINAL_22_02_07_Fator X_Financeiro Subsídio Baixa Renda Reajuste 2010 - 03_03_2010" xfId="42824" xr:uid="{00000000-0005-0000-0000-0000AE040000}"/>
    <cellStyle name="_Enersul Impacto LPT_FINAL_22_02_07_Fator X_Financeiro Subsídio Rural Irrigante e Aquicultor Reajuste 2010 - 03_03_2010" xfId="42825" xr:uid="{00000000-0005-0000-0000-0000AF040000}"/>
    <cellStyle name="_Enersul Impacto LPT_FINAL_22_02_07_Fator X_IRT-cálculo" xfId="2383" xr:uid="{00000000-0005-0000-0000-0000B0040000}"/>
    <cellStyle name="_Enersul Impacto LPT_FINAL_22_02_07_Fator X_IRT-cálculo CAPA NEUTRALIDADE" xfId="2384" xr:uid="{00000000-0005-0000-0000-0000B1040000}"/>
    <cellStyle name="_Enersul Impacto LPT_FINAL_22_02_07_Fator X_SOBRECONTRATAÇÃO E CVA" xfId="2385" xr:uid="{00000000-0005-0000-0000-0000B2040000}"/>
    <cellStyle name="_Enersul Impacto LPT_FINAL_22_02_07_Financeiro Desconto na TUSD Consumidores Livres Reajuste 2010 - 03_03_2010" xfId="42826" xr:uid="{00000000-0005-0000-0000-0000B3040000}"/>
    <cellStyle name="_Enersul Impacto LPT_FINAL_22_02_07_Financeiro Desconto na TUSD Geradores Reajuste 2010 - 03_03_2010" xfId="42827" xr:uid="{00000000-0005-0000-0000-0000B4040000}"/>
    <cellStyle name="_Enersul Impacto LPT_FINAL_22_02_07_Financeiro Subsídio Baixa Renda Reajuste 2010 - 03_03_2010" xfId="42828" xr:uid="{00000000-0005-0000-0000-0000B5040000}"/>
    <cellStyle name="_Enersul Impacto LPT_FINAL_22_02_07_Financeiro Subsídio Rural Irrigante e Aquicultor Reajuste 2010 - 03_03_2010" xfId="42829" xr:uid="{00000000-0005-0000-0000-0000B6040000}"/>
    <cellStyle name="_Enersul Impacto LPT_FINAL_22_02_07_IF - Autoprodutores 2" xfId="2386" xr:uid="{00000000-0005-0000-0000-0000B7040000}"/>
    <cellStyle name="_Enersul Impacto LPT_FINAL_22_02_07_IF_Consumidores livres e geradoras_2010" xfId="2387" xr:uid="{00000000-0005-0000-0000-0000B8040000}"/>
    <cellStyle name="_Enersul Impacto LPT_FINAL_22_02_07_IRT (2)" xfId="1547" xr:uid="{00000000-0005-0000-0000-0000B9040000}"/>
    <cellStyle name="_Enersul Impacto LPT_FINAL_22_02_07_IRT EEB 2010" xfId="2388" xr:uid="{00000000-0005-0000-0000-0000BA040000}"/>
    <cellStyle name="_Enersul Impacto LPT_FINAL_22_02_07_IRT_1" xfId="1548" xr:uid="{00000000-0005-0000-0000-0000BB040000}"/>
    <cellStyle name="_Enersul Impacto LPT_FINAL_22_02_07_IRT_1 2" xfId="2389" xr:uid="{00000000-0005-0000-0000-0000BC040000}"/>
    <cellStyle name="_Enersul Impacto LPT_FINAL_22_02_07_IRT_1_atualização serviços taxados" xfId="42830" xr:uid="{00000000-0005-0000-0000-0000BD040000}"/>
    <cellStyle name="_Enersul Impacto LPT_FINAL_22_02_07_IRT_1_Financeiro Desconto na TUSD Consumidores Livres Reajuste 2010 - 03_03_2010" xfId="42831" xr:uid="{00000000-0005-0000-0000-0000BE040000}"/>
    <cellStyle name="_Enersul Impacto LPT_FINAL_22_02_07_IRT_1_Financeiro Desconto na TUSD Geradores Reajuste 2010 - 03_03_2010" xfId="42832" xr:uid="{00000000-0005-0000-0000-0000BF040000}"/>
    <cellStyle name="_Enersul Impacto LPT_FINAL_22_02_07_IRT_1_Financeiro Subsídio Baixa Renda Reajuste 2010 - 03_03_2010" xfId="42833" xr:uid="{00000000-0005-0000-0000-0000C0040000}"/>
    <cellStyle name="_Enersul Impacto LPT_FINAL_22_02_07_IRT_1_Financeiro Subsídio Rural Irrigante e Aquicultor Reajuste 2010 - 03_03_2010" xfId="42834" xr:uid="{00000000-0005-0000-0000-0000C1040000}"/>
    <cellStyle name="_Enersul Impacto LPT_FINAL_22_02_07_IRT_1_IRT-cálculo" xfId="2390" xr:uid="{00000000-0005-0000-0000-0000C2040000}"/>
    <cellStyle name="_Enersul Impacto LPT_FINAL_22_02_07_IRT_1_IRT-cálculo CAPA NEUTRALIDADE" xfId="2391" xr:uid="{00000000-0005-0000-0000-0000C3040000}"/>
    <cellStyle name="_Enersul Impacto LPT_FINAL_22_02_07_IRT_1_SOBRECONTRATAÇÃO E CVA" xfId="2392" xr:uid="{00000000-0005-0000-0000-0000C4040000}"/>
    <cellStyle name="_Enersul Impacto LPT_FINAL_22_02_07_IRT_Bragantina_maio_2009" xfId="2393" xr:uid="{00000000-0005-0000-0000-0000C5040000}"/>
    <cellStyle name="_Enersul Impacto LPT_FINAL_22_02_07_IRT_Planilha Básica_DIRETORIA" xfId="2394" xr:uid="{00000000-0005-0000-0000-0000C6040000}"/>
    <cellStyle name="_Enersul Impacto LPT_FINAL_22_02_07_IRT_Pleito" xfId="2395" xr:uid="{00000000-0005-0000-0000-0000C7040000}"/>
    <cellStyle name="_Enersul Impacto LPT_FINAL_22_02_07_IRT_Pleito_IRT-cálculo" xfId="2396" xr:uid="{00000000-0005-0000-0000-0000C8040000}"/>
    <cellStyle name="_Enersul Impacto LPT_FINAL_22_02_07_IRT_Pleito_IRT-cálculo CAPA NEUTRALIDADE" xfId="2397" xr:uid="{00000000-0005-0000-0000-0000C9040000}"/>
    <cellStyle name="_Enersul Impacto LPT_FINAL_22_02_07_IRT_Revisão A-1" xfId="2398" xr:uid="{00000000-0005-0000-0000-0000CA040000}"/>
    <cellStyle name="_Enersul Impacto LPT_FINAL_22_02_07_IRT_Revisão A-1_IRT-cálculo" xfId="2399" xr:uid="{00000000-0005-0000-0000-0000CB040000}"/>
    <cellStyle name="_Enersul Impacto LPT_FINAL_22_02_07_IRT_Revisão A-1_IRT-cálculo CAPA NEUTRALIDADE" xfId="2400" xr:uid="{00000000-0005-0000-0000-0000CC040000}"/>
    <cellStyle name="_Enersul Impacto LPT_FINAL_22_02_07_IRT-cálculo" xfId="2401" xr:uid="{00000000-0005-0000-0000-0000CD040000}"/>
    <cellStyle name="_Enersul Impacto LPT_FINAL_22_02_07_IRT-cálculo CAPA NEUTRALIDADE" xfId="2402" xr:uid="{00000000-0005-0000-0000-0000CE040000}"/>
    <cellStyle name="_Enersul Impacto LPT_FINAL_22_02_07_Pasta1" xfId="1549" xr:uid="{00000000-0005-0000-0000-0000CF040000}"/>
    <cellStyle name="_Enersul Impacto LPT_FINAL_22_02_07_Pasta1 2" xfId="2403" xr:uid="{00000000-0005-0000-0000-0000D0040000}"/>
    <cellStyle name="_Enersul Impacto LPT_FINAL_22_02_07_Pasta1_atualização serviços taxados" xfId="42835" xr:uid="{00000000-0005-0000-0000-0000D1040000}"/>
    <cellStyle name="_Enersul Impacto LPT_FINAL_22_02_07_Pasta1_Financeiro Desconto na TUSD Consumidores Livres Reajuste 2010 - 03_03_2010" xfId="42836" xr:uid="{00000000-0005-0000-0000-0000D2040000}"/>
    <cellStyle name="_Enersul Impacto LPT_FINAL_22_02_07_Pasta1_Financeiro Desconto na TUSD Geradores Reajuste 2010 - 03_03_2010" xfId="42837" xr:uid="{00000000-0005-0000-0000-0000D3040000}"/>
    <cellStyle name="_Enersul Impacto LPT_FINAL_22_02_07_Pasta1_Financeiro Subsídio Baixa Renda Reajuste 2010 - 03_03_2010" xfId="42838" xr:uid="{00000000-0005-0000-0000-0000D4040000}"/>
    <cellStyle name="_Enersul Impacto LPT_FINAL_22_02_07_Pasta1_Financeiro Subsídio Rural Irrigante e Aquicultor Reajuste 2010 - 03_03_2010" xfId="42839" xr:uid="{00000000-0005-0000-0000-0000D5040000}"/>
    <cellStyle name="_Enersul Impacto LPT_FINAL_22_02_07_Pasta1_IRT-cálculo" xfId="2404" xr:uid="{00000000-0005-0000-0000-0000D6040000}"/>
    <cellStyle name="_Enersul Impacto LPT_FINAL_22_02_07_Pasta1_IRT-cálculo CAPA NEUTRALIDADE" xfId="2405" xr:uid="{00000000-0005-0000-0000-0000D7040000}"/>
    <cellStyle name="_Enersul Impacto LPT_FINAL_22_02_07_Pasta1_SOBRECONTRATAÇÃO E CVA" xfId="2406" xr:uid="{00000000-0005-0000-0000-0000D8040000}"/>
    <cellStyle name="_Enersul Impacto LPT_FINAL_22_02_07_Sheet1" xfId="2407" xr:uid="{00000000-0005-0000-0000-0000D9040000}"/>
    <cellStyle name="_Enersul Impacto LPT_FINAL_22_02_07_Sheet2" xfId="2408" xr:uid="{00000000-0005-0000-0000-0000DA040000}"/>
    <cellStyle name="_Enersul Impacto LPT_FINAL_22_02_07_SOBRECONTRATAÇÃO E CVA" xfId="2409" xr:uid="{00000000-0005-0000-0000-0000DB040000}"/>
    <cellStyle name="_Enersul Impacto PLT v1" xfId="229" xr:uid="{00000000-0005-0000-0000-0000DC040000}"/>
    <cellStyle name="_Enersul Impacto PLT v1 2" xfId="927" xr:uid="{00000000-0005-0000-0000-0000DD040000}"/>
    <cellStyle name="_Enersul Impacto PLT v1 3" xfId="2410" xr:uid="{00000000-0005-0000-0000-0000DE040000}"/>
    <cellStyle name="_Enersul Impacto PLT v1_2008.08.07 CELPA IRT2008 Homologado" xfId="2411" xr:uid="{00000000-0005-0000-0000-0000DF040000}"/>
    <cellStyle name="_Enersul Impacto PLT v1_2009.04.09 EEB IRT2009 Conexao CEMIG C Financeiro" xfId="2412" xr:uid="{00000000-0005-0000-0000-0000E0040000}"/>
    <cellStyle name="_Enersul Impacto PLT v1_Ajuste SALDO CVA ANO ANTERIOR PÓS-REVISÃOx" xfId="2413" xr:uid="{00000000-0005-0000-0000-0000E1040000}"/>
    <cellStyle name="_Enersul Impacto PLT v1_atualização serviços taxados" xfId="42840" xr:uid="{00000000-0005-0000-0000-0000E2040000}"/>
    <cellStyle name="_Enersul Impacto PLT v1_Balanço" xfId="230" xr:uid="{00000000-0005-0000-0000-0000E3040000}"/>
    <cellStyle name="_Enersul Impacto PLT v1_Balanço 2" xfId="1275" xr:uid="{00000000-0005-0000-0000-0000E4040000}"/>
    <cellStyle name="_Enersul Impacto PLT v1_Cálculo do Financeiro do Baixa Renda" xfId="2414" xr:uid="{00000000-0005-0000-0000-0000E5040000}"/>
    <cellStyle name="_Enersul Impacto PLT v1_Cálculo do Financeiro do Baixa Renda_IRT-cálculo" xfId="2415" xr:uid="{00000000-0005-0000-0000-0000E6040000}"/>
    <cellStyle name="_Enersul Impacto PLT v1_Cálculo do Financeiro do Baixa Renda_IRT-cálculo CAPA NEUTRALIDADE" xfId="2416" xr:uid="{00000000-0005-0000-0000-0000E7040000}"/>
    <cellStyle name="_Enersul Impacto PLT v1_Calculo_Subsidio_ELFSM_26_06_08_Modelo_ANEEL" xfId="2417" xr:uid="{00000000-0005-0000-0000-0000E8040000}"/>
    <cellStyle name="_Enersul Impacto PLT v1_Calculo_Subsidio_ELFSM_26_06_08_Modelo_ANEEL_IRT-cálculo" xfId="2418" xr:uid="{00000000-0005-0000-0000-0000E9040000}"/>
    <cellStyle name="_Enersul Impacto PLT v1_Calculo_Subsidio_ELFSM_26_06_08_Modelo_ANEEL_IRT-cálculo CAPA NEUTRALIDADE" xfId="2419" xr:uid="{00000000-0005-0000-0000-0000EA040000}"/>
    <cellStyle name="_Enersul Impacto PLT v1_casulo 15" xfId="231" xr:uid="{00000000-0005-0000-0000-0000EB040000}"/>
    <cellStyle name="_Enersul Impacto PLT v1_casulo 5" xfId="232" xr:uid="{00000000-0005-0000-0000-0000EC040000}"/>
    <cellStyle name="_Enersul Impacto PLT v1_casulo 5 2" xfId="1276" xr:uid="{00000000-0005-0000-0000-0000ED040000}"/>
    <cellStyle name="_Enersul Impacto PLT v1_casulo 5_Balanço" xfId="233" xr:uid="{00000000-0005-0000-0000-0000EE040000}"/>
    <cellStyle name="_Enersul Impacto PLT v1_casulo 5_casulo 15" xfId="234" xr:uid="{00000000-0005-0000-0000-0000EF040000}"/>
    <cellStyle name="_Enersul Impacto PLT v1_casulo 5_IRT EEB 2010" xfId="2420" xr:uid="{00000000-0005-0000-0000-0000F0040000}"/>
    <cellStyle name="_Enersul Impacto PLT v1_Custo com Avaliação de Ativos para Base de Remuneração" xfId="2421" xr:uid="{00000000-0005-0000-0000-0000F1040000}"/>
    <cellStyle name="_Enersul Impacto PLT v1_Custo com Avaliação de Ativos para Base de Remuneração_IRT-cálculo" xfId="2422" xr:uid="{00000000-0005-0000-0000-0000F2040000}"/>
    <cellStyle name="_Enersul Impacto PLT v1_Custo com Avaliação de Ativos para Base de Remuneração_IRT-cálculo CAPA NEUTRALIDADE" xfId="2423" xr:uid="{00000000-0005-0000-0000-0000F3040000}"/>
    <cellStyle name="_Enersul Impacto PLT v1_Descontos CCC_CDE_PROINFA Nov_07_Out_08" xfId="2424" xr:uid="{00000000-0005-0000-0000-0000F4040000}"/>
    <cellStyle name="_Enersul Impacto PLT v1_Descontos CCC_CDE_PROINFA Nov_07_Out_08_IRT-cálculo" xfId="2425" xr:uid="{00000000-0005-0000-0000-0000F5040000}"/>
    <cellStyle name="_Enersul Impacto PLT v1_Descontos CCC_CDE_PROINFA Nov_07_Out_08_IRT-cálculo CAPA NEUTRALIDADE" xfId="2426" xr:uid="{00000000-0005-0000-0000-0000F6040000}"/>
    <cellStyle name="_Enersul Impacto PLT v1_Energia Comprada" xfId="2427" xr:uid="{00000000-0005-0000-0000-0000F7040000}"/>
    <cellStyle name="_Enersul Impacto PLT v1_Energia Comprada_IRT-cálculo" xfId="2428" xr:uid="{00000000-0005-0000-0000-0000F8040000}"/>
    <cellStyle name="_Enersul Impacto PLT v1_Energia Comprada_IRT-cálculo CAPA NEUTRALIDADE" xfId="2429" xr:uid="{00000000-0005-0000-0000-0000F9040000}"/>
    <cellStyle name="_Enersul Impacto PLT v1_Fator Novo e Antigo 4 anos" xfId="2430" xr:uid="{00000000-0005-0000-0000-0000FA040000}"/>
    <cellStyle name="_Enersul Impacto PLT v1_Fator Novo e Antigo 4 anos_IRT-cálculo" xfId="42841" xr:uid="{00000000-0005-0000-0000-0000FB040000}"/>
    <cellStyle name="_Enersul Impacto PLT v1_Fator X" xfId="1550" xr:uid="{00000000-0005-0000-0000-0000FC040000}"/>
    <cellStyle name="_Enersul Impacto PLT v1_Fator X 2" xfId="2431" xr:uid="{00000000-0005-0000-0000-0000FD040000}"/>
    <cellStyle name="_Enersul Impacto PLT v1_Fator X_atualização serviços taxados" xfId="42842" xr:uid="{00000000-0005-0000-0000-0000FE040000}"/>
    <cellStyle name="_Enersul Impacto PLT v1_Fator X_Financeiro Desconto na TUSD Consumidores Livres Reajuste 2010 - 03_03_2010" xfId="42843" xr:uid="{00000000-0005-0000-0000-0000FF040000}"/>
    <cellStyle name="_Enersul Impacto PLT v1_Fator X_Financeiro Desconto na TUSD Geradores Reajuste 2010 - 03_03_2010" xfId="42844" xr:uid="{00000000-0005-0000-0000-000000050000}"/>
    <cellStyle name="_Enersul Impacto PLT v1_Fator X_Financeiro Subsídio Baixa Renda Reajuste 2010 - 03_03_2010" xfId="42845" xr:uid="{00000000-0005-0000-0000-000001050000}"/>
    <cellStyle name="_Enersul Impacto PLT v1_Fator X_Financeiro Subsídio Rural Irrigante e Aquicultor Reajuste 2010 - 03_03_2010" xfId="42846" xr:uid="{00000000-0005-0000-0000-000002050000}"/>
    <cellStyle name="_Enersul Impacto PLT v1_Fator X_IRT-cálculo" xfId="2432" xr:uid="{00000000-0005-0000-0000-000003050000}"/>
    <cellStyle name="_Enersul Impacto PLT v1_Fator X_IRT-cálculo CAPA NEUTRALIDADE" xfId="2433" xr:uid="{00000000-0005-0000-0000-000004050000}"/>
    <cellStyle name="_Enersul Impacto PLT v1_Fator X_SOBRECONTRATAÇÃO E CVA" xfId="2434" xr:uid="{00000000-0005-0000-0000-000005050000}"/>
    <cellStyle name="_Enersul Impacto PLT v1_Financeiro Desconto na TUSD Consumidores Livres Reajuste 2010 - 03_03_2010" xfId="42847" xr:uid="{00000000-0005-0000-0000-000006050000}"/>
    <cellStyle name="_Enersul Impacto PLT v1_Financeiro Desconto na TUSD Geradores Reajuste 2010 - 03_03_2010" xfId="42848" xr:uid="{00000000-0005-0000-0000-000007050000}"/>
    <cellStyle name="_Enersul Impacto PLT v1_Financeiro Subsídio Baixa Renda Reajuste 2010 - 03_03_2010" xfId="42849" xr:uid="{00000000-0005-0000-0000-000008050000}"/>
    <cellStyle name="_Enersul Impacto PLT v1_Financeiro Subsídio Rural Irrigante e Aquicultor Reajuste 2010 - 03_03_2010" xfId="42850" xr:uid="{00000000-0005-0000-0000-000009050000}"/>
    <cellStyle name="_Enersul Impacto PLT v1_IF - Autoprodutores 2" xfId="2435" xr:uid="{00000000-0005-0000-0000-00000A050000}"/>
    <cellStyle name="_Enersul Impacto PLT v1_IF_Consumidores livres e geradoras_2010" xfId="2436" xr:uid="{00000000-0005-0000-0000-00000B050000}"/>
    <cellStyle name="_Enersul Impacto PLT v1_IRT (2)" xfId="1551" xr:uid="{00000000-0005-0000-0000-00000C050000}"/>
    <cellStyle name="_Enersul Impacto PLT v1_IRT EEB 2010" xfId="2437" xr:uid="{00000000-0005-0000-0000-00000D050000}"/>
    <cellStyle name="_Enersul Impacto PLT v1_IRT_1" xfId="1552" xr:uid="{00000000-0005-0000-0000-00000E050000}"/>
    <cellStyle name="_Enersul Impacto PLT v1_IRT_1 2" xfId="2438" xr:uid="{00000000-0005-0000-0000-00000F050000}"/>
    <cellStyle name="_Enersul Impacto PLT v1_IRT_1_atualização serviços taxados" xfId="42851" xr:uid="{00000000-0005-0000-0000-000010050000}"/>
    <cellStyle name="_Enersul Impacto PLT v1_IRT_1_Financeiro Desconto na TUSD Consumidores Livres Reajuste 2010 - 03_03_2010" xfId="42852" xr:uid="{00000000-0005-0000-0000-000011050000}"/>
    <cellStyle name="_Enersul Impacto PLT v1_IRT_1_Financeiro Desconto na TUSD Geradores Reajuste 2010 - 03_03_2010" xfId="42853" xr:uid="{00000000-0005-0000-0000-000012050000}"/>
    <cellStyle name="_Enersul Impacto PLT v1_IRT_1_Financeiro Subsídio Baixa Renda Reajuste 2010 - 03_03_2010" xfId="42854" xr:uid="{00000000-0005-0000-0000-000013050000}"/>
    <cellStyle name="_Enersul Impacto PLT v1_IRT_1_Financeiro Subsídio Rural Irrigante e Aquicultor Reajuste 2010 - 03_03_2010" xfId="42855" xr:uid="{00000000-0005-0000-0000-000014050000}"/>
    <cellStyle name="_Enersul Impacto PLT v1_IRT_1_IRT-cálculo" xfId="2439" xr:uid="{00000000-0005-0000-0000-000015050000}"/>
    <cellStyle name="_Enersul Impacto PLT v1_IRT_1_IRT-cálculo CAPA NEUTRALIDADE" xfId="2440" xr:uid="{00000000-0005-0000-0000-000016050000}"/>
    <cellStyle name="_Enersul Impacto PLT v1_IRT_1_SOBRECONTRATAÇÃO E CVA" xfId="2441" xr:uid="{00000000-0005-0000-0000-000017050000}"/>
    <cellStyle name="_Enersul Impacto PLT v1_IRT_Bragantina_maio_2009" xfId="2442" xr:uid="{00000000-0005-0000-0000-000018050000}"/>
    <cellStyle name="_Enersul Impacto PLT v1_IRT_Planilha Básica_DIRETORIA" xfId="2443" xr:uid="{00000000-0005-0000-0000-000019050000}"/>
    <cellStyle name="_Enersul Impacto PLT v1_IRT_Pleito" xfId="2444" xr:uid="{00000000-0005-0000-0000-00001A050000}"/>
    <cellStyle name="_Enersul Impacto PLT v1_IRT_Pleito_IRT-cálculo" xfId="2445" xr:uid="{00000000-0005-0000-0000-00001B050000}"/>
    <cellStyle name="_Enersul Impacto PLT v1_IRT_Pleito_IRT-cálculo CAPA NEUTRALIDADE" xfId="2446" xr:uid="{00000000-0005-0000-0000-00001C050000}"/>
    <cellStyle name="_Enersul Impacto PLT v1_IRT_Revisão A-1" xfId="2447" xr:uid="{00000000-0005-0000-0000-00001D050000}"/>
    <cellStyle name="_Enersul Impacto PLT v1_IRT_Revisão A-1_IRT-cálculo" xfId="2448" xr:uid="{00000000-0005-0000-0000-00001E050000}"/>
    <cellStyle name="_Enersul Impacto PLT v1_IRT_Revisão A-1_IRT-cálculo CAPA NEUTRALIDADE" xfId="2449" xr:uid="{00000000-0005-0000-0000-00001F050000}"/>
    <cellStyle name="_Enersul Impacto PLT v1_IRT-cálculo" xfId="2450" xr:uid="{00000000-0005-0000-0000-000020050000}"/>
    <cellStyle name="_Enersul Impacto PLT v1_IRT-cálculo CAPA NEUTRALIDADE" xfId="2451" xr:uid="{00000000-0005-0000-0000-000021050000}"/>
    <cellStyle name="_Enersul Impacto PLT v1_Pasta1" xfId="1553" xr:uid="{00000000-0005-0000-0000-000022050000}"/>
    <cellStyle name="_Enersul Impacto PLT v1_Pasta1 2" xfId="2452" xr:uid="{00000000-0005-0000-0000-000023050000}"/>
    <cellStyle name="_Enersul Impacto PLT v1_Pasta1_atualização serviços taxados" xfId="42856" xr:uid="{00000000-0005-0000-0000-000024050000}"/>
    <cellStyle name="_Enersul Impacto PLT v1_Pasta1_Financeiro Desconto na TUSD Consumidores Livres Reajuste 2010 - 03_03_2010" xfId="42857" xr:uid="{00000000-0005-0000-0000-000025050000}"/>
    <cellStyle name="_Enersul Impacto PLT v1_Pasta1_Financeiro Desconto na TUSD Geradores Reajuste 2010 - 03_03_2010" xfId="42858" xr:uid="{00000000-0005-0000-0000-000026050000}"/>
    <cellStyle name="_Enersul Impacto PLT v1_Pasta1_Financeiro Subsídio Baixa Renda Reajuste 2010 - 03_03_2010" xfId="42859" xr:uid="{00000000-0005-0000-0000-000027050000}"/>
    <cellStyle name="_Enersul Impacto PLT v1_Pasta1_Financeiro Subsídio Rural Irrigante e Aquicultor Reajuste 2010 - 03_03_2010" xfId="42860" xr:uid="{00000000-0005-0000-0000-000028050000}"/>
    <cellStyle name="_Enersul Impacto PLT v1_Pasta1_IRT-cálculo" xfId="2453" xr:uid="{00000000-0005-0000-0000-000029050000}"/>
    <cellStyle name="_Enersul Impacto PLT v1_Pasta1_IRT-cálculo CAPA NEUTRALIDADE" xfId="2454" xr:uid="{00000000-0005-0000-0000-00002A050000}"/>
    <cellStyle name="_Enersul Impacto PLT v1_Pasta1_SOBRECONTRATAÇÃO E CVA" xfId="2455" xr:uid="{00000000-0005-0000-0000-00002B050000}"/>
    <cellStyle name="_Enersul Impacto PLT v1_Sheet1" xfId="2456" xr:uid="{00000000-0005-0000-0000-00002C050000}"/>
    <cellStyle name="_Enersul Impacto PLT v1_Sheet2" xfId="2457" xr:uid="{00000000-0005-0000-0000-00002D050000}"/>
    <cellStyle name="_Enersul Impacto PLT v1_SOBRECONTRATAÇÃO E CVA" xfId="2458" xr:uid="{00000000-0005-0000-0000-00002E050000}"/>
    <cellStyle name="_ESCELSA_Anexo II_Carta_CT_CCRE_31_07_Itens_Financeiros" xfId="2459" xr:uid="{00000000-0005-0000-0000-00002F050000}"/>
    <cellStyle name="_ESCELSA_Anexo II_Carta_CT_CCRE_31_07_Itens_Financeiros_IRT-cálculo" xfId="2460" xr:uid="{00000000-0005-0000-0000-000030050000}"/>
    <cellStyle name="_ESCELSA_Anexo II_Carta_CT_CCRE_31_07_Itens_Financeiros_IRT-cálculo CAPA NEUTRALIDADE" xfId="2461" xr:uid="{00000000-0005-0000-0000-000031050000}"/>
    <cellStyle name="_ESCELSA_RESPOSTA_OFÍCIO_325_DEFINITIVO" xfId="235" xr:uid="{00000000-0005-0000-0000-000032050000}"/>
    <cellStyle name="_ESCELSA_RESPOSTA_OFÍCIO_325_DEFINITIVO 2" xfId="928" xr:uid="{00000000-0005-0000-0000-000033050000}"/>
    <cellStyle name="_ESCELSA_RESPOSTA_OFÍCIO_325_DEFINITIVO 3" xfId="2462" xr:uid="{00000000-0005-0000-0000-000034050000}"/>
    <cellStyle name="_ESCELSA_RESPOSTA_OFÍCIO_325_DEFINITIVO_2008.08.07 CELPA IRT2008 Homologado" xfId="2463" xr:uid="{00000000-0005-0000-0000-000035050000}"/>
    <cellStyle name="_ESCELSA_RESPOSTA_OFÍCIO_325_DEFINITIVO_2009.04.09 EEB IRT2009 Conexao CEMIG C Financeiro" xfId="2464" xr:uid="{00000000-0005-0000-0000-000036050000}"/>
    <cellStyle name="_ESCELSA_RESPOSTA_OFÍCIO_325_DEFINITIVO_Ajuste SALDO CVA ANO ANTERIOR PÓS-REVISÃOx" xfId="2465" xr:uid="{00000000-0005-0000-0000-000037050000}"/>
    <cellStyle name="_ESCELSA_RESPOSTA_OFÍCIO_325_DEFINITIVO_atualização serviços taxados" xfId="42861" xr:uid="{00000000-0005-0000-0000-000038050000}"/>
    <cellStyle name="_ESCELSA_RESPOSTA_OFÍCIO_325_DEFINITIVO_Balanço" xfId="236" xr:uid="{00000000-0005-0000-0000-000039050000}"/>
    <cellStyle name="_ESCELSA_RESPOSTA_OFÍCIO_325_DEFINITIVO_Balanço 2" xfId="1277" xr:uid="{00000000-0005-0000-0000-00003A050000}"/>
    <cellStyle name="_ESCELSA_RESPOSTA_OFÍCIO_325_DEFINITIVO_Cálculo do Financeiro do Baixa Renda" xfId="2466" xr:uid="{00000000-0005-0000-0000-00003B050000}"/>
    <cellStyle name="_ESCELSA_RESPOSTA_OFÍCIO_325_DEFINITIVO_Cálculo do Financeiro do Baixa Renda_IRT-cálculo" xfId="2467" xr:uid="{00000000-0005-0000-0000-00003C050000}"/>
    <cellStyle name="_ESCELSA_RESPOSTA_OFÍCIO_325_DEFINITIVO_Cálculo do Financeiro do Baixa Renda_IRT-cálculo CAPA NEUTRALIDADE" xfId="2468" xr:uid="{00000000-0005-0000-0000-00003D050000}"/>
    <cellStyle name="_ESCELSA_RESPOSTA_OFÍCIO_325_DEFINITIVO_Calculo_Subsidio_ELFSM_26_06_08_Modelo_ANEEL" xfId="2469" xr:uid="{00000000-0005-0000-0000-00003E050000}"/>
    <cellStyle name="_ESCELSA_RESPOSTA_OFÍCIO_325_DEFINITIVO_Calculo_Subsidio_ELFSM_26_06_08_Modelo_ANEEL_IRT-cálculo" xfId="2470" xr:uid="{00000000-0005-0000-0000-00003F050000}"/>
    <cellStyle name="_ESCELSA_RESPOSTA_OFÍCIO_325_DEFINITIVO_Calculo_Subsidio_ELFSM_26_06_08_Modelo_ANEEL_IRT-cálculo CAPA NEUTRALIDADE" xfId="2471" xr:uid="{00000000-0005-0000-0000-000040050000}"/>
    <cellStyle name="_ESCELSA_RESPOSTA_OFÍCIO_325_DEFINITIVO_casulo 15" xfId="237" xr:uid="{00000000-0005-0000-0000-000041050000}"/>
    <cellStyle name="_ESCELSA_RESPOSTA_OFÍCIO_325_DEFINITIVO_casulo 5" xfId="238" xr:uid="{00000000-0005-0000-0000-000042050000}"/>
    <cellStyle name="_ESCELSA_RESPOSTA_OFÍCIO_325_DEFINITIVO_casulo 5 2" xfId="1278" xr:uid="{00000000-0005-0000-0000-000043050000}"/>
    <cellStyle name="_ESCELSA_RESPOSTA_OFÍCIO_325_DEFINITIVO_casulo 5_Balanço" xfId="239" xr:uid="{00000000-0005-0000-0000-000044050000}"/>
    <cellStyle name="_ESCELSA_RESPOSTA_OFÍCIO_325_DEFINITIVO_casulo 5_casulo 15" xfId="240" xr:uid="{00000000-0005-0000-0000-000045050000}"/>
    <cellStyle name="_ESCELSA_RESPOSTA_OFÍCIO_325_DEFINITIVO_casulo 5_IRT EEB 2010" xfId="2472" xr:uid="{00000000-0005-0000-0000-000046050000}"/>
    <cellStyle name="_ESCELSA_RESPOSTA_OFÍCIO_325_DEFINITIVO_Custo com Avaliação de Ativos para Base de Remuneração" xfId="2473" xr:uid="{00000000-0005-0000-0000-000047050000}"/>
    <cellStyle name="_ESCELSA_RESPOSTA_OFÍCIO_325_DEFINITIVO_Custo com Avaliação de Ativos para Base de Remuneração_IRT-cálculo" xfId="2474" xr:uid="{00000000-0005-0000-0000-000048050000}"/>
    <cellStyle name="_ESCELSA_RESPOSTA_OFÍCIO_325_DEFINITIVO_Custo com Avaliação de Ativos para Base de Remuneração_IRT-cálculo CAPA NEUTRALIDADE" xfId="2475" xr:uid="{00000000-0005-0000-0000-000049050000}"/>
    <cellStyle name="_ESCELSA_RESPOSTA_OFÍCIO_325_DEFINITIVO_Descontos CCC_CDE_PROINFA Nov_07_Out_08" xfId="2476" xr:uid="{00000000-0005-0000-0000-00004A050000}"/>
    <cellStyle name="_ESCELSA_RESPOSTA_OFÍCIO_325_DEFINITIVO_Descontos CCC_CDE_PROINFA Nov_07_Out_08_IRT-cálculo" xfId="2477" xr:uid="{00000000-0005-0000-0000-00004B050000}"/>
    <cellStyle name="_ESCELSA_RESPOSTA_OFÍCIO_325_DEFINITIVO_Descontos CCC_CDE_PROINFA Nov_07_Out_08_IRT-cálculo CAPA NEUTRALIDADE" xfId="2478" xr:uid="{00000000-0005-0000-0000-00004C050000}"/>
    <cellStyle name="_ESCELSA_RESPOSTA_OFÍCIO_325_DEFINITIVO_Energia Comprada" xfId="2479" xr:uid="{00000000-0005-0000-0000-00004D050000}"/>
    <cellStyle name="_ESCELSA_RESPOSTA_OFÍCIO_325_DEFINITIVO_Energia Comprada_IRT-cálculo" xfId="2480" xr:uid="{00000000-0005-0000-0000-00004E050000}"/>
    <cellStyle name="_ESCELSA_RESPOSTA_OFÍCIO_325_DEFINITIVO_Energia Comprada_IRT-cálculo CAPA NEUTRALIDADE" xfId="2481" xr:uid="{00000000-0005-0000-0000-00004F050000}"/>
    <cellStyle name="_ESCELSA_RESPOSTA_OFÍCIO_325_DEFINITIVO_Fator Novo e Antigo 4 anos" xfId="2482" xr:uid="{00000000-0005-0000-0000-000050050000}"/>
    <cellStyle name="_ESCELSA_RESPOSTA_OFÍCIO_325_DEFINITIVO_Fator Novo e Antigo 4 anos_IRT-cálculo" xfId="42862" xr:uid="{00000000-0005-0000-0000-000051050000}"/>
    <cellStyle name="_ESCELSA_RESPOSTA_OFÍCIO_325_DEFINITIVO_Fator X" xfId="1554" xr:uid="{00000000-0005-0000-0000-000052050000}"/>
    <cellStyle name="_ESCELSA_RESPOSTA_OFÍCIO_325_DEFINITIVO_Fator X 2" xfId="2483" xr:uid="{00000000-0005-0000-0000-000053050000}"/>
    <cellStyle name="_ESCELSA_RESPOSTA_OFÍCIO_325_DEFINITIVO_Fator X_atualização serviços taxados" xfId="42863" xr:uid="{00000000-0005-0000-0000-000054050000}"/>
    <cellStyle name="_ESCELSA_RESPOSTA_OFÍCIO_325_DEFINITIVO_Fator X_Financeiro Desconto na TUSD Consumidores Livres Reajuste 2010 - 03_03_2010" xfId="42864" xr:uid="{00000000-0005-0000-0000-000055050000}"/>
    <cellStyle name="_ESCELSA_RESPOSTA_OFÍCIO_325_DEFINITIVO_Fator X_Financeiro Desconto na TUSD Geradores Reajuste 2010 - 03_03_2010" xfId="42865" xr:uid="{00000000-0005-0000-0000-000056050000}"/>
    <cellStyle name="_ESCELSA_RESPOSTA_OFÍCIO_325_DEFINITIVO_Fator X_Financeiro Subsídio Baixa Renda Reajuste 2010 - 03_03_2010" xfId="42866" xr:uid="{00000000-0005-0000-0000-000057050000}"/>
    <cellStyle name="_ESCELSA_RESPOSTA_OFÍCIO_325_DEFINITIVO_Fator X_Financeiro Subsídio Rural Irrigante e Aquicultor Reajuste 2010 - 03_03_2010" xfId="42867" xr:uid="{00000000-0005-0000-0000-000058050000}"/>
    <cellStyle name="_ESCELSA_RESPOSTA_OFÍCIO_325_DEFINITIVO_Fator X_IRT-cálculo" xfId="2484" xr:uid="{00000000-0005-0000-0000-000059050000}"/>
    <cellStyle name="_ESCELSA_RESPOSTA_OFÍCIO_325_DEFINITIVO_Fator X_IRT-cálculo CAPA NEUTRALIDADE" xfId="2485" xr:uid="{00000000-0005-0000-0000-00005A050000}"/>
    <cellStyle name="_ESCELSA_RESPOSTA_OFÍCIO_325_DEFINITIVO_Fator X_SOBRECONTRATAÇÃO E CVA" xfId="2486" xr:uid="{00000000-0005-0000-0000-00005B050000}"/>
    <cellStyle name="_ESCELSA_RESPOSTA_OFÍCIO_325_DEFINITIVO_Financeiro Desconto na TUSD Consumidores Livres Reajuste 2010 - 03_03_2010" xfId="42868" xr:uid="{00000000-0005-0000-0000-00005C050000}"/>
    <cellStyle name="_ESCELSA_RESPOSTA_OFÍCIO_325_DEFINITIVO_Financeiro Desconto na TUSD Geradores Reajuste 2010 - 03_03_2010" xfId="42869" xr:uid="{00000000-0005-0000-0000-00005D050000}"/>
    <cellStyle name="_ESCELSA_RESPOSTA_OFÍCIO_325_DEFINITIVO_Financeiro Subsídio Baixa Renda Reajuste 2010 - 03_03_2010" xfId="42870" xr:uid="{00000000-0005-0000-0000-00005E050000}"/>
    <cellStyle name="_ESCELSA_RESPOSTA_OFÍCIO_325_DEFINITIVO_Financeiro Subsídio Rural Irrigante e Aquicultor Reajuste 2010 - 03_03_2010" xfId="42871" xr:uid="{00000000-0005-0000-0000-00005F050000}"/>
    <cellStyle name="_ESCELSA_RESPOSTA_OFÍCIO_325_DEFINITIVO_IF - Autoprodutores 2" xfId="2487" xr:uid="{00000000-0005-0000-0000-000060050000}"/>
    <cellStyle name="_ESCELSA_RESPOSTA_OFÍCIO_325_DEFINITIVO_IF_Consumidores livres e geradoras_2010" xfId="2488" xr:uid="{00000000-0005-0000-0000-000061050000}"/>
    <cellStyle name="_ESCELSA_RESPOSTA_OFÍCIO_325_DEFINITIVO_IRT (2)" xfId="1555" xr:uid="{00000000-0005-0000-0000-000062050000}"/>
    <cellStyle name="_ESCELSA_RESPOSTA_OFÍCIO_325_DEFINITIVO_IRT EEB 2010" xfId="2489" xr:uid="{00000000-0005-0000-0000-000063050000}"/>
    <cellStyle name="_ESCELSA_RESPOSTA_OFÍCIO_325_DEFINITIVO_IRT_1" xfId="1556" xr:uid="{00000000-0005-0000-0000-000064050000}"/>
    <cellStyle name="_ESCELSA_RESPOSTA_OFÍCIO_325_DEFINITIVO_IRT_1 2" xfId="2490" xr:uid="{00000000-0005-0000-0000-000065050000}"/>
    <cellStyle name="_ESCELSA_RESPOSTA_OFÍCIO_325_DEFINITIVO_IRT_1_atualização serviços taxados" xfId="42872" xr:uid="{00000000-0005-0000-0000-000066050000}"/>
    <cellStyle name="_ESCELSA_RESPOSTA_OFÍCIO_325_DEFINITIVO_IRT_1_Financeiro Desconto na TUSD Consumidores Livres Reajuste 2010 - 03_03_2010" xfId="42873" xr:uid="{00000000-0005-0000-0000-000067050000}"/>
    <cellStyle name="_ESCELSA_RESPOSTA_OFÍCIO_325_DEFINITIVO_IRT_1_Financeiro Desconto na TUSD Geradores Reajuste 2010 - 03_03_2010" xfId="42874" xr:uid="{00000000-0005-0000-0000-000068050000}"/>
    <cellStyle name="_ESCELSA_RESPOSTA_OFÍCIO_325_DEFINITIVO_IRT_1_Financeiro Subsídio Baixa Renda Reajuste 2010 - 03_03_2010" xfId="42875" xr:uid="{00000000-0005-0000-0000-000069050000}"/>
    <cellStyle name="_ESCELSA_RESPOSTA_OFÍCIO_325_DEFINITIVO_IRT_1_Financeiro Subsídio Rural Irrigante e Aquicultor Reajuste 2010 - 03_03_2010" xfId="42876" xr:uid="{00000000-0005-0000-0000-00006A050000}"/>
    <cellStyle name="_ESCELSA_RESPOSTA_OFÍCIO_325_DEFINITIVO_IRT_1_IRT-cálculo" xfId="2491" xr:uid="{00000000-0005-0000-0000-00006B050000}"/>
    <cellStyle name="_ESCELSA_RESPOSTA_OFÍCIO_325_DEFINITIVO_IRT_1_IRT-cálculo CAPA NEUTRALIDADE" xfId="2492" xr:uid="{00000000-0005-0000-0000-00006C050000}"/>
    <cellStyle name="_ESCELSA_RESPOSTA_OFÍCIO_325_DEFINITIVO_IRT_1_SOBRECONTRATAÇÃO E CVA" xfId="2493" xr:uid="{00000000-0005-0000-0000-00006D050000}"/>
    <cellStyle name="_ESCELSA_RESPOSTA_OFÍCIO_325_DEFINITIVO_IRT_Bragantina_maio_2009" xfId="2494" xr:uid="{00000000-0005-0000-0000-00006E050000}"/>
    <cellStyle name="_ESCELSA_RESPOSTA_OFÍCIO_325_DEFINITIVO_IRT_Planilha Básica_DIRETORIA" xfId="2495" xr:uid="{00000000-0005-0000-0000-00006F050000}"/>
    <cellStyle name="_ESCELSA_RESPOSTA_OFÍCIO_325_DEFINITIVO_IRT_Pleito" xfId="2496" xr:uid="{00000000-0005-0000-0000-000070050000}"/>
    <cellStyle name="_ESCELSA_RESPOSTA_OFÍCIO_325_DEFINITIVO_IRT_Pleito_IRT-cálculo" xfId="2497" xr:uid="{00000000-0005-0000-0000-000071050000}"/>
    <cellStyle name="_ESCELSA_RESPOSTA_OFÍCIO_325_DEFINITIVO_IRT_Pleito_IRT-cálculo CAPA NEUTRALIDADE" xfId="2498" xr:uid="{00000000-0005-0000-0000-000072050000}"/>
    <cellStyle name="_ESCELSA_RESPOSTA_OFÍCIO_325_DEFINITIVO_IRT_Revisão A-1" xfId="2499" xr:uid="{00000000-0005-0000-0000-000073050000}"/>
    <cellStyle name="_ESCELSA_RESPOSTA_OFÍCIO_325_DEFINITIVO_IRT_Revisão A-1_IRT-cálculo" xfId="2500" xr:uid="{00000000-0005-0000-0000-000074050000}"/>
    <cellStyle name="_ESCELSA_RESPOSTA_OFÍCIO_325_DEFINITIVO_IRT_Revisão A-1_IRT-cálculo CAPA NEUTRALIDADE" xfId="2501" xr:uid="{00000000-0005-0000-0000-000075050000}"/>
    <cellStyle name="_ESCELSA_RESPOSTA_OFÍCIO_325_DEFINITIVO_IRT-cálculo" xfId="2502" xr:uid="{00000000-0005-0000-0000-000076050000}"/>
    <cellStyle name="_ESCELSA_RESPOSTA_OFÍCIO_325_DEFINITIVO_IRT-cálculo CAPA NEUTRALIDADE" xfId="2503" xr:uid="{00000000-0005-0000-0000-000077050000}"/>
    <cellStyle name="_ESCELSA_RESPOSTA_OFÍCIO_325_DEFINITIVO_Pasta1" xfId="1557" xr:uid="{00000000-0005-0000-0000-000078050000}"/>
    <cellStyle name="_ESCELSA_RESPOSTA_OFÍCIO_325_DEFINITIVO_Pasta1 2" xfId="2504" xr:uid="{00000000-0005-0000-0000-000079050000}"/>
    <cellStyle name="_ESCELSA_RESPOSTA_OFÍCIO_325_DEFINITIVO_Pasta1_atualização serviços taxados" xfId="42877" xr:uid="{00000000-0005-0000-0000-00007A050000}"/>
    <cellStyle name="_ESCELSA_RESPOSTA_OFÍCIO_325_DEFINITIVO_Pasta1_Financeiro Desconto na TUSD Consumidores Livres Reajuste 2010 - 03_03_2010" xfId="42878" xr:uid="{00000000-0005-0000-0000-00007B050000}"/>
    <cellStyle name="_ESCELSA_RESPOSTA_OFÍCIO_325_DEFINITIVO_Pasta1_Financeiro Desconto na TUSD Geradores Reajuste 2010 - 03_03_2010" xfId="42879" xr:uid="{00000000-0005-0000-0000-00007C050000}"/>
    <cellStyle name="_ESCELSA_RESPOSTA_OFÍCIO_325_DEFINITIVO_Pasta1_Financeiro Subsídio Baixa Renda Reajuste 2010 - 03_03_2010" xfId="42880" xr:uid="{00000000-0005-0000-0000-00007D050000}"/>
    <cellStyle name="_ESCELSA_RESPOSTA_OFÍCIO_325_DEFINITIVO_Pasta1_Financeiro Subsídio Rural Irrigante e Aquicultor Reajuste 2010 - 03_03_2010" xfId="42881" xr:uid="{00000000-0005-0000-0000-00007E050000}"/>
    <cellStyle name="_ESCELSA_RESPOSTA_OFÍCIO_325_DEFINITIVO_Pasta1_IRT-cálculo" xfId="2505" xr:uid="{00000000-0005-0000-0000-00007F050000}"/>
    <cellStyle name="_ESCELSA_RESPOSTA_OFÍCIO_325_DEFINITIVO_Pasta1_IRT-cálculo CAPA NEUTRALIDADE" xfId="2506" xr:uid="{00000000-0005-0000-0000-000080050000}"/>
    <cellStyle name="_ESCELSA_RESPOSTA_OFÍCIO_325_DEFINITIVO_Pasta1_SOBRECONTRATAÇÃO E CVA" xfId="2507" xr:uid="{00000000-0005-0000-0000-000081050000}"/>
    <cellStyle name="_ESCELSA_RESPOSTA_OFÍCIO_325_DEFINITIVO_Sheet1" xfId="2508" xr:uid="{00000000-0005-0000-0000-000082050000}"/>
    <cellStyle name="_ESCELSA_RESPOSTA_OFÍCIO_325_DEFINITIVO_Sheet2" xfId="2509" xr:uid="{00000000-0005-0000-0000-000083050000}"/>
    <cellStyle name="_ESCELSA_RESPOSTA_OFÍCIO_325_DEFINITIVO_SOBRECONTRATAÇÃO E CVA" xfId="2510" xr:uid="{00000000-0005-0000-0000-000084050000}"/>
    <cellStyle name="_Exposição" xfId="1558" xr:uid="{00000000-0005-0000-0000-000085050000}"/>
    <cellStyle name="_Fator Novo e Antigo 4 anos" xfId="2511" xr:uid="{00000000-0005-0000-0000-000086050000}"/>
    <cellStyle name="_Fator Novo e Antigo 4 anos_IRT-cálculo" xfId="42882" xr:uid="{00000000-0005-0000-0000-000087050000}"/>
    <cellStyle name="_Fiança EMG" xfId="2512" xr:uid="{00000000-0005-0000-0000-000088050000}"/>
    <cellStyle name="_Fiança ESE" xfId="2513" xr:uid="{00000000-0005-0000-0000-000089050000}"/>
    <cellStyle name="_Financeiro Desconto na TUSD Consumidores Livres Reajuste 2010 - 03_03_2010" xfId="42883" xr:uid="{00000000-0005-0000-0000-00008A050000}"/>
    <cellStyle name="_Financeiro Desconto na TUSD Geradores Reajuste 2010 - 03_03_2010" xfId="42884" xr:uid="{00000000-0005-0000-0000-00008B050000}"/>
    <cellStyle name="_Financeiro Subsídio Baixa Renda Reajuste 2010 - 03_03_2010" xfId="42885" xr:uid="{00000000-0005-0000-0000-00008C050000}"/>
    <cellStyle name="_Financeiro Subsídio Rural Irrigante e Aquicultor Reajuste 2010 - 03_03_2010" xfId="42886" xr:uid="{00000000-0005-0000-0000-00008D050000}"/>
    <cellStyle name="_Financiamento-Eletrobras Roger-Sergio-1-1" xfId="2514" xr:uid="{00000000-0005-0000-0000-00008E050000}"/>
    <cellStyle name="_FR CHESFxCeal, Cepisa e Saelpa-2005-protegida" xfId="241" xr:uid="{00000000-0005-0000-0000-00008F050000}"/>
    <cellStyle name="_FR CHESFxCeal, Cepisa e Saelpa-2005-protegida 2" xfId="1279" xr:uid="{00000000-0005-0000-0000-000090050000}"/>
    <cellStyle name="_FR CHESFxCeal, Cepisa e Saelpa-2005-protegida_2009.04.09 EEB IRT2009 Conexao CEMIG C Financeiro" xfId="2515" xr:uid="{00000000-0005-0000-0000-000091050000}"/>
    <cellStyle name="_FR CHESFxCeal, Cepisa e Saelpa-2005-protegida_atualização serviços taxados" xfId="42887" xr:uid="{00000000-0005-0000-0000-000092050000}"/>
    <cellStyle name="_FR CHESFxCeal, Cepisa e Saelpa-2005-protegida_Balanço" xfId="242" xr:uid="{00000000-0005-0000-0000-000093050000}"/>
    <cellStyle name="_FR CHESFxCeal, Cepisa e Saelpa-2005-protegida_Balanço 2" xfId="1280" xr:uid="{00000000-0005-0000-0000-000094050000}"/>
    <cellStyle name="_FR CHESFxCeal, Cepisa e Saelpa-2005-protegida_Calculo_Subsidio_ELFSM_26_06_08_Modelo_ANEEL" xfId="2516" xr:uid="{00000000-0005-0000-0000-000095050000}"/>
    <cellStyle name="_FR CHESFxCeal, Cepisa e Saelpa-2005-protegida_Calculo_Subsidio_ELFSM_26_06_08_Modelo_ANEEL_IRT-cálculo" xfId="2517" xr:uid="{00000000-0005-0000-0000-000096050000}"/>
    <cellStyle name="_FR CHESFxCeal, Cepisa e Saelpa-2005-protegida_Calculo_Subsidio_ELFSM_26_06_08_Modelo_ANEEL_IRT-cálculo CAPA NEUTRALIDADE" xfId="2518" xr:uid="{00000000-0005-0000-0000-000097050000}"/>
    <cellStyle name="_FR CHESFxCeal, Cepisa e Saelpa-2005-protegida_casulo 15" xfId="243" xr:uid="{00000000-0005-0000-0000-000098050000}"/>
    <cellStyle name="_FR CHESFxCeal, Cepisa e Saelpa-2005-protegida_casulo 5" xfId="244" xr:uid="{00000000-0005-0000-0000-000099050000}"/>
    <cellStyle name="_FR CHESFxCeal, Cepisa e Saelpa-2005-protegida_casulo 5 2" xfId="1281" xr:uid="{00000000-0005-0000-0000-00009A050000}"/>
    <cellStyle name="_FR CHESFxCeal, Cepisa e Saelpa-2005-protegida_casulo 5_Balanço" xfId="245" xr:uid="{00000000-0005-0000-0000-00009B050000}"/>
    <cellStyle name="_FR CHESFxCeal, Cepisa e Saelpa-2005-protegida_casulo 5_casulo 15" xfId="246" xr:uid="{00000000-0005-0000-0000-00009C050000}"/>
    <cellStyle name="_FR CHESFxCeal, Cepisa e Saelpa-2005-protegida_casulo 5_IRT EEB 2010" xfId="2519" xr:uid="{00000000-0005-0000-0000-00009D050000}"/>
    <cellStyle name="_FR CHESFxCeal, Cepisa e Saelpa-2005-protegida_CVA Borborema 2010 - Fiscalizada Final" xfId="2520" xr:uid="{00000000-0005-0000-0000-00009E050000}"/>
    <cellStyle name="_FR CHESFxCeal, Cepisa e Saelpa-2005-protegida_CVA e Subsídios fiscalização ESCELSA_08_07_2009 v3 SRE" xfId="2521" xr:uid="{00000000-0005-0000-0000-00009F050000}"/>
    <cellStyle name="_FR CHESFxCeal, Cepisa e Saelpa-2005-protegida_CVA Outros Componentes PROVISÃO" xfId="2522" xr:uid="{00000000-0005-0000-0000-0000A0050000}"/>
    <cellStyle name="_FR CHESFxCeal, Cepisa e Saelpa-2005-protegida_CVA_Projetada até dez-2008_Setembro" xfId="2523" xr:uid="{00000000-0005-0000-0000-0000A1050000}"/>
    <cellStyle name="_FR CHESFxCeal, Cepisa e Saelpa-2005-protegida_Energia Comprada" xfId="2524" xr:uid="{00000000-0005-0000-0000-0000A2050000}"/>
    <cellStyle name="_FR CHESFxCeal, Cepisa e Saelpa-2005-protegida_Energia Comprada_IRT-cálculo" xfId="2525" xr:uid="{00000000-0005-0000-0000-0000A3050000}"/>
    <cellStyle name="_FR CHESFxCeal, Cepisa e Saelpa-2005-protegida_Energia Comprada_IRT-cálculo CAPA NEUTRALIDADE" xfId="2526" xr:uid="{00000000-0005-0000-0000-0000A4050000}"/>
    <cellStyle name="_FR CHESFxCeal, Cepisa e Saelpa-2005-protegida_Fator X" xfId="1559" xr:uid="{00000000-0005-0000-0000-0000A5050000}"/>
    <cellStyle name="_FR CHESFxCeal, Cepisa e Saelpa-2005-protegida_Fator X 2" xfId="2527" xr:uid="{00000000-0005-0000-0000-0000A6050000}"/>
    <cellStyle name="_FR CHESFxCeal, Cepisa e Saelpa-2005-protegida_Fator X_atualização serviços taxados" xfId="42888" xr:uid="{00000000-0005-0000-0000-0000A7050000}"/>
    <cellStyle name="_FR CHESFxCeal, Cepisa e Saelpa-2005-protegida_Fator X_Financeiro Desconto na TUSD Consumidores Livres Reajuste 2010 - 03_03_2010" xfId="42889" xr:uid="{00000000-0005-0000-0000-0000A8050000}"/>
    <cellStyle name="_FR CHESFxCeal, Cepisa e Saelpa-2005-protegida_Fator X_Financeiro Desconto na TUSD Geradores Reajuste 2010 - 03_03_2010" xfId="42890" xr:uid="{00000000-0005-0000-0000-0000A9050000}"/>
    <cellStyle name="_FR CHESFxCeal, Cepisa e Saelpa-2005-protegida_Fator X_Financeiro Subsídio Baixa Renda Reajuste 2010 - 03_03_2010" xfId="42891" xr:uid="{00000000-0005-0000-0000-0000AA050000}"/>
    <cellStyle name="_FR CHESFxCeal, Cepisa e Saelpa-2005-protegida_Fator X_Financeiro Subsídio Rural Irrigante e Aquicultor Reajuste 2010 - 03_03_2010" xfId="42892" xr:uid="{00000000-0005-0000-0000-0000AB050000}"/>
    <cellStyle name="_FR CHESFxCeal, Cepisa e Saelpa-2005-protegida_Fator X_IRT-cálculo" xfId="2528" xr:uid="{00000000-0005-0000-0000-0000AC050000}"/>
    <cellStyle name="_FR CHESFxCeal, Cepisa e Saelpa-2005-protegida_Fator X_IRT-cálculo CAPA NEUTRALIDADE" xfId="2529" xr:uid="{00000000-0005-0000-0000-0000AD050000}"/>
    <cellStyle name="_FR CHESFxCeal, Cepisa e Saelpa-2005-protegida_Fator X_SOBRECONTRATAÇÃO E CVA" xfId="2530" xr:uid="{00000000-0005-0000-0000-0000AE050000}"/>
    <cellStyle name="_FR CHESFxCeal, Cepisa e Saelpa-2005-protegida_Financeiro Desconto na TUSD Consumidores Livres Reajuste 2010 - 03_03_2010" xfId="42893" xr:uid="{00000000-0005-0000-0000-0000AF050000}"/>
    <cellStyle name="_FR CHESFxCeal, Cepisa e Saelpa-2005-protegida_Financeiro Desconto na TUSD Geradores Reajuste 2010 - 03_03_2010" xfId="42894" xr:uid="{00000000-0005-0000-0000-0000B0050000}"/>
    <cellStyle name="_FR CHESFxCeal, Cepisa e Saelpa-2005-protegida_Financeiro Subsídio Baixa Renda Reajuste 2010 - 03_03_2010" xfId="42895" xr:uid="{00000000-0005-0000-0000-0000B1050000}"/>
    <cellStyle name="_FR CHESFxCeal, Cepisa e Saelpa-2005-protegida_Financeiro Subsídio Rural Irrigante e Aquicultor Reajuste 2010 - 03_03_2010" xfId="42896" xr:uid="{00000000-0005-0000-0000-0000B2050000}"/>
    <cellStyle name="_FR CHESFxCeal, Cepisa e Saelpa-2005-protegida_IF - Autoprodutores 2" xfId="2531" xr:uid="{00000000-0005-0000-0000-0000B3050000}"/>
    <cellStyle name="_FR CHESFxCeal, Cepisa e Saelpa-2005-protegida_IF_Consumidores livres e geradoras_2010" xfId="2532" xr:uid="{00000000-0005-0000-0000-0000B4050000}"/>
    <cellStyle name="_FR CHESFxCeal, Cepisa e Saelpa-2005-protegida_IRT (2)" xfId="1560" xr:uid="{00000000-0005-0000-0000-0000B5050000}"/>
    <cellStyle name="_FR CHESFxCeal, Cepisa e Saelpa-2005-protegida_IRT EEB 2010" xfId="2533" xr:uid="{00000000-0005-0000-0000-0000B6050000}"/>
    <cellStyle name="_FR CHESFxCeal, Cepisa e Saelpa-2005-protegida_IRT_1" xfId="1561" xr:uid="{00000000-0005-0000-0000-0000B7050000}"/>
    <cellStyle name="_FR CHESFxCeal, Cepisa e Saelpa-2005-protegida_IRT_1 2" xfId="2534" xr:uid="{00000000-0005-0000-0000-0000B8050000}"/>
    <cellStyle name="_FR CHESFxCeal, Cepisa e Saelpa-2005-protegida_IRT_1_atualização serviços taxados" xfId="42897" xr:uid="{00000000-0005-0000-0000-0000B9050000}"/>
    <cellStyle name="_FR CHESFxCeal, Cepisa e Saelpa-2005-protegida_IRT_1_Financeiro Desconto na TUSD Consumidores Livres Reajuste 2010 - 03_03_2010" xfId="42898" xr:uid="{00000000-0005-0000-0000-0000BA050000}"/>
    <cellStyle name="_FR CHESFxCeal, Cepisa e Saelpa-2005-protegida_IRT_1_Financeiro Desconto na TUSD Geradores Reajuste 2010 - 03_03_2010" xfId="42899" xr:uid="{00000000-0005-0000-0000-0000BB050000}"/>
    <cellStyle name="_FR CHESFxCeal, Cepisa e Saelpa-2005-protegida_IRT_1_Financeiro Subsídio Baixa Renda Reajuste 2010 - 03_03_2010" xfId="42900" xr:uid="{00000000-0005-0000-0000-0000BC050000}"/>
    <cellStyle name="_FR CHESFxCeal, Cepisa e Saelpa-2005-protegida_IRT_1_Financeiro Subsídio Rural Irrigante e Aquicultor Reajuste 2010 - 03_03_2010" xfId="42901" xr:uid="{00000000-0005-0000-0000-0000BD050000}"/>
    <cellStyle name="_FR CHESFxCeal, Cepisa e Saelpa-2005-protegida_IRT_1_IRT-cálculo" xfId="2535" xr:uid="{00000000-0005-0000-0000-0000BE050000}"/>
    <cellStyle name="_FR CHESFxCeal, Cepisa e Saelpa-2005-protegida_IRT_1_IRT-cálculo CAPA NEUTRALIDADE" xfId="2536" xr:uid="{00000000-0005-0000-0000-0000BF050000}"/>
    <cellStyle name="_FR CHESFxCeal, Cepisa e Saelpa-2005-protegida_IRT_1_SOBRECONTRATAÇÃO E CVA" xfId="2537" xr:uid="{00000000-0005-0000-0000-0000C0050000}"/>
    <cellStyle name="_FR CHESFxCeal, Cepisa e Saelpa-2005-protegida_IRT_Bragantina_maio_2009" xfId="2538" xr:uid="{00000000-0005-0000-0000-0000C1050000}"/>
    <cellStyle name="_FR CHESFxCeal, Cepisa e Saelpa-2005-protegida_IRT_Planilha Básica_ CETRIL" xfId="247" xr:uid="{00000000-0005-0000-0000-0000C2050000}"/>
    <cellStyle name="_FR CHESFxCeal, Cepisa e Saelpa-2005-protegida_IRT_Planilha Básica_ CETRIL 2" xfId="1282" xr:uid="{00000000-0005-0000-0000-0000C3050000}"/>
    <cellStyle name="_FR CHESFxCeal, Cepisa e Saelpa-2005-protegida_IRT_Planilha Básica_ CETRIL_Balanço" xfId="248" xr:uid="{00000000-0005-0000-0000-0000C4050000}"/>
    <cellStyle name="_FR CHESFxCeal, Cepisa e Saelpa-2005-protegida_IRT_Planilha Básica_ CETRIL_casulo 15" xfId="249" xr:uid="{00000000-0005-0000-0000-0000C5050000}"/>
    <cellStyle name="_FR CHESFxCeal, Cepisa e Saelpa-2005-protegida_IRT_Planilha Básica_ CETRIL_IRT EEB 2010" xfId="2539" xr:uid="{00000000-0005-0000-0000-0000C6050000}"/>
    <cellStyle name="_FR CHESFxCeal, Cepisa e Saelpa-2005-protegida_IRT_Planilha Básica_DIRETORIA" xfId="2540" xr:uid="{00000000-0005-0000-0000-0000C7050000}"/>
    <cellStyle name="_FR CHESFxCeal, Cepisa e Saelpa-2005-protegida_IRT_Pleito" xfId="2541" xr:uid="{00000000-0005-0000-0000-0000C8050000}"/>
    <cellStyle name="_FR CHESFxCeal, Cepisa e Saelpa-2005-protegida_IRT_Pleito_IRT-cálculo" xfId="2542" xr:uid="{00000000-0005-0000-0000-0000C9050000}"/>
    <cellStyle name="_FR CHESFxCeal, Cepisa e Saelpa-2005-protegida_IRT_Pleito_IRT-cálculo CAPA NEUTRALIDADE" xfId="2543" xr:uid="{00000000-0005-0000-0000-0000CA050000}"/>
    <cellStyle name="_FR CHESFxCeal, Cepisa e Saelpa-2005-protegida_IRT_Revisão A-1" xfId="2544" xr:uid="{00000000-0005-0000-0000-0000CB050000}"/>
    <cellStyle name="_FR CHESFxCeal, Cepisa e Saelpa-2005-protegida_IRT_Revisão A-1_IRT-cálculo" xfId="2545" xr:uid="{00000000-0005-0000-0000-0000CC050000}"/>
    <cellStyle name="_FR CHESFxCeal, Cepisa e Saelpa-2005-protegida_IRT_Revisão A-1_IRT-cálculo CAPA NEUTRALIDADE" xfId="2546" xr:uid="{00000000-0005-0000-0000-0000CD050000}"/>
    <cellStyle name="_FR CHESFxCeal, Cepisa e Saelpa-2005-protegida_IRT-cálculo" xfId="2547" xr:uid="{00000000-0005-0000-0000-0000CE050000}"/>
    <cellStyle name="_FR CHESFxCeal, Cepisa e Saelpa-2005-protegida_IRT-cálculo CAPA NEUTRALIDADE" xfId="2548" xr:uid="{00000000-0005-0000-0000-0000CF050000}"/>
    <cellStyle name="_FR CHESFxCeal, Cepisa e Saelpa-2005-protegida_Pasta1" xfId="1562" xr:uid="{00000000-0005-0000-0000-0000D0050000}"/>
    <cellStyle name="_FR CHESFxCeal, Cepisa e Saelpa-2005-protegida_Pasta1 2" xfId="2549" xr:uid="{00000000-0005-0000-0000-0000D1050000}"/>
    <cellStyle name="_FR CHESFxCeal, Cepisa e Saelpa-2005-protegida_Pasta1_atualização serviços taxados" xfId="42902" xr:uid="{00000000-0005-0000-0000-0000D2050000}"/>
    <cellStyle name="_FR CHESFxCeal, Cepisa e Saelpa-2005-protegida_Pasta1_Financeiro Desconto na TUSD Consumidores Livres Reajuste 2010 - 03_03_2010" xfId="42903" xr:uid="{00000000-0005-0000-0000-0000D3050000}"/>
    <cellStyle name="_FR CHESFxCeal, Cepisa e Saelpa-2005-protegida_Pasta1_Financeiro Desconto na TUSD Geradores Reajuste 2010 - 03_03_2010" xfId="42904" xr:uid="{00000000-0005-0000-0000-0000D4050000}"/>
    <cellStyle name="_FR CHESFxCeal, Cepisa e Saelpa-2005-protegida_Pasta1_Financeiro Subsídio Baixa Renda Reajuste 2010 - 03_03_2010" xfId="42905" xr:uid="{00000000-0005-0000-0000-0000D5050000}"/>
    <cellStyle name="_FR CHESFxCeal, Cepisa e Saelpa-2005-protegida_Pasta1_Financeiro Subsídio Rural Irrigante e Aquicultor Reajuste 2010 - 03_03_2010" xfId="42906" xr:uid="{00000000-0005-0000-0000-0000D6050000}"/>
    <cellStyle name="_FR CHESFxCeal, Cepisa e Saelpa-2005-protegida_Pasta1_IRT-cálculo" xfId="2550" xr:uid="{00000000-0005-0000-0000-0000D7050000}"/>
    <cellStyle name="_FR CHESFxCeal, Cepisa e Saelpa-2005-protegida_Pasta1_IRT-cálculo CAPA NEUTRALIDADE" xfId="2551" xr:uid="{00000000-0005-0000-0000-0000D8050000}"/>
    <cellStyle name="_FR CHESFxCeal, Cepisa e Saelpa-2005-protegida_Pasta1_SOBRECONTRATAÇÃO E CVA" xfId="2552" xr:uid="{00000000-0005-0000-0000-0000D9050000}"/>
    <cellStyle name="_FR CHESFxCeal, Cepisa e Saelpa-2005-protegida_PROVISÃO" xfId="2553" xr:uid="{00000000-0005-0000-0000-0000DA050000}"/>
    <cellStyle name="_FR CHESFxCeal, Cepisa e Saelpa-2005-protegida_Sheet1" xfId="2554" xr:uid="{00000000-0005-0000-0000-0000DB050000}"/>
    <cellStyle name="_FR CHESFxCeal, Cepisa e Saelpa-2005-protegida_SOBRECONTRATAÇÃO E CVA" xfId="2555" xr:uid="{00000000-0005-0000-0000-0000DC050000}"/>
    <cellStyle name="_FR CHESFxCeal, Cepisa e Saelpa-2005-protegida_SOBRECONTRATAÇÃO E CVA A-1" xfId="2556" xr:uid="{00000000-0005-0000-0000-0000DD050000}"/>
    <cellStyle name="_FR CHESFxCeal, Cepisa e Saelpa-2005-protegida_SOBRECONTRATAÇÃO E CVA A-1_IRT-cálculo" xfId="2557" xr:uid="{00000000-0005-0000-0000-0000DE050000}"/>
    <cellStyle name="_FR CHESFxCeal, Cepisa e Saelpa-2005-protegida_SOBRECONTRATAÇÃO E CVA A-1_IRT-cálculo CAPA NEUTRALIDADE" xfId="2558" xr:uid="{00000000-0005-0000-0000-0000DF050000}"/>
    <cellStyle name="_FR CHESFxCeal, Cepisa e Saelpa-2005-protegida_SOBRECONTRATAÇÃO-RES 255-2007-ap038-07-CPFL07" xfId="2559" xr:uid="{00000000-0005-0000-0000-0000E0050000}"/>
    <cellStyle name="_GARANTIAS - EMG" xfId="2560" xr:uid="{00000000-0005-0000-0000-0000E1050000}"/>
    <cellStyle name="_Garantias - ESE 2010" xfId="2561" xr:uid="{00000000-0005-0000-0000-0000E2050000}"/>
    <cellStyle name="_Garantias - Final" xfId="2562" xr:uid="{00000000-0005-0000-0000-0000E3050000}"/>
    <cellStyle name="_Hom07-Realinhamento ELETROPAULO FINAL  com tarifa cooperativa" xfId="2563" xr:uid="{00000000-0005-0000-0000-0000E4050000}"/>
    <cellStyle name="_Hom07-Realinhamento ELETROPAULO FINAL  com tarifa cooperativa_NOVA PLANILHA REVISÃO 1" xfId="2564" xr:uid="{00000000-0005-0000-0000-0000E5050000}"/>
    <cellStyle name="_Irrigantes_-_ESE_2010_aud" xfId="2565" xr:uid="{00000000-0005-0000-0000-0000E6050000}"/>
    <cellStyle name="_IRT" xfId="2566" xr:uid="{00000000-0005-0000-0000-0000E7050000}"/>
    <cellStyle name="_IRT - chesp 2005-V2 " xfId="250" xr:uid="{00000000-0005-0000-0000-0000E8050000}"/>
    <cellStyle name="_IRT - chesp 2005-V2 _atualização serviços taxados" xfId="42907" xr:uid="{00000000-0005-0000-0000-0000E9050000}"/>
    <cellStyle name="_IRT - chesp 2005-V2 _Calculo_Subsidio_ELFSM_26_06_08_Modelo_ANEEL" xfId="2567" xr:uid="{00000000-0005-0000-0000-0000EA050000}"/>
    <cellStyle name="_IRT - chesp 2005-V2 _Calculo_Subsidio_ELFSM_26_06_08_Modelo_ANEEL_IRT-cálculo" xfId="2568" xr:uid="{00000000-0005-0000-0000-0000EB050000}"/>
    <cellStyle name="_IRT - chesp 2005-V2 _Calculo_Subsidio_ELFSM_26_06_08_Modelo_ANEEL_IRT-cálculo CAPA NEUTRALIDADE" xfId="2569" xr:uid="{00000000-0005-0000-0000-0000EC050000}"/>
    <cellStyle name="_IRT - chesp 2005-V2 _CVA_Projetada até dez-2008_Setembro" xfId="2570" xr:uid="{00000000-0005-0000-0000-0000ED050000}"/>
    <cellStyle name="_IRT - chesp 2005-V2 _CVA_Projetada até dez-2008_Setembro_CVA Outros Componentes PROVISÃO" xfId="2571" xr:uid="{00000000-0005-0000-0000-0000EE050000}"/>
    <cellStyle name="_IRT - chesp 2005-V2 _CVA_Projetada até dez-2008_Setembro_PROVISÃO" xfId="2572" xr:uid="{00000000-0005-0000-0000-0000EF050000}"/>
    <cellStyle name="_IRT - chesp 2005-V2 _Energia Comprada" xfId="2573" xr:uid="{00000000-0005-0000-0000-0000F0050000}"/>
    <cellStyle name="_IRT - chesp 2005-V2 _Energia Comprada_IRT-cálculo" xfId="2574" xr:uid="{00000000-0005-0000-0000-0000F1050000}"/>
    <cellStyle name="_IRT - chesp 2005-V2 _Energia Comprada_IRT-cálculo CAPA NEUTRALIDADE" xfId="2575" xr:uid="{00000000-0005-0000-0000-0000F2050000}"/>
    <cellStyle name="_IRT - chesp 2005-V2 _Fator X" xfId="1563" xr:uid="{00000000-0005-0000-0000-0000F3050000}"/>
    <cellStyle name="_IRT - chesp 2005-V2 _Fator X_atualização serviços taxados" xfId="42908" xr:uid="{00000000-0005-0000-0000-0000F4050000}"/>
    <cellStyle name="_IRT - chesp 2005-V2 _Fator X_Financeiro Desconto na TUSD Consumidores Livres Reajuste 2010 - 03_03_2010" xfId="42909" xr:uid="{00000000-0005-0000-0000-0000F5050000}"/>
    <cellStyle name="_IRT - chesp 2005-V2 _Fator X_Financeiro Desconto na TUSD Geradores Reajuste 2010 - 03_03_2010" xfId="42910" xr:uid="{00000000-0005-0000-0000-0000F6050000}"/>
    <cellStyle name="_IRT - chesp 2005-V2 _Fator X_Financeiro Subsídio Baixa Renda Reajuste 2010 - 03_03_2010" xfId="42911" xr:uid="{00000000-0005-0000-0000-0000F7050000}"/>
    <cellStyle name="_IRT - chesp 2005-V2 _Fator X_Financeiro Subsídio Rural Irrigante e Aquicultor Reajuste 2010 - 03_03_2010" xfId="42912" xr:uid="{00000000-0005-0000-0000-0000F8050000}"/>
    <cellStyle name="_IRT - chesp 2005-V2 _Fator X_IRT-cálculo" xfId="2576" xr:uid="{00000000-0005-0000-0000-0000F9050000}"/>
    <cellStyle name="_IRT - chesp 2005-V2 _Fator X_IRT-cálculo CAPA NEUTRALIDADE" xfId="2577" xr:uid="{00000000-0005-0000-0000-0000FA050000}"/>
    <cellStyle name="_IRT - chesp 2005-V2 _Fator X_SOBRECONTRATAÇÃO E CVA" xfId="2578" xr:uid="{00000000-0005-0000-0000-0000FB050000}"/>
    <cellStyle name="_IRT - chesp 2005-V2 _Financeiro Desconto na TUSD Consumidores Livres Reajuste 2010 - 03_03_2010" xfId="42913" xr:uid="{00000000-0005-0000-0000-0000FC050000}"/>
    <cellStyle name="_IRT - chesp 2005-V2 _Financeiro Desconto na TUSD Geradores Reajuste 2010 - 03_03_2010" xfId="42914" xr:uid="{00000000-0005-0000-0000-0000FD050000}"/>
    <cellStyle name="_IRT - chesp 2005-V2 _Financeiro Subsídio Baixa Renda Reajuste 2010 - 03_03_2010" xfId="42915" xr:uid="{00000000-0005-0000-0000-0000FE050000}"/>
    <cellStyle name="_IRT - chesp 2005-V2 _Financeiro Subsídio Rural Irrigante e Aquicultor Reajuste 2010 - 03_03_2010" xfId="42916" xr:uid="{00000000-0005-0000-0000-0000FF050000}"/>
    <cellStyle name="_IRT - chesp 2005-V2 _IF - Autoprodutores 2" xfId="2579" xr:uid="{00000000-0005-0000-0000-000000060000}"/>
    <cellStyle name="_IRT - chesp 2005-V2 _IF_Consumidores livres e geradoras_2010" xfId="2580" xr:uid="{00000000-0005-0000-0000-000001060000}"/>
    <cellStyle name="_IRT - chesp 2005-V2 _IRT (2)" xfId="1564" xr:uid="{00000000-0005-0000-0000-000002060000}"/>
    <cellStyle name="_IRT - chesp 2005-V2 _IRT (2) 2" xfId="2581" xr:uid="{00000000-0005-0000-0000-000003060000}"/>
    <cellStyle name="_IRT - chesp 2005-V2 _IRT_1" xfId="1565" xr:uid="{00000000-0005-0000-0000-000004060000}"/>
    <cellStyle name="_IRT - chesp 2005-V2 _IRT_1_atualização serviços taxados" xfId="42917" xr:uid="{00000000-0005-0000-0000-000005060000}"/>
    <cellStyle name="_IRT - chesp 2005-V2 _IRT_1_Financeiro Desconto na TUSD Consumidores Livres Reajuste 2010 - 03_03_2010" xfId="42918" xr:uid="{00000000-0005-0000-0000-000006060000}"/>
    <cellStyle name="_IRT - chesp 2005-V2 _IRT_1_Financeiro Desconto na TUSD Geradores Reajuste 2010 - 03_03_2010" xfId="42919" xr:uid="{00000000-0005-0000-0000-000007060000}"/>
    <cellStyle name="_IRT - chesp 2005-V2 _IRT_1_Financeiro Subsídio Baixa Renda Reajuste 2010 - 03_03_2010" xfId="42920" xr:uid="{00000000-0005-0000-0000-000008060000}"/>
    <cellStyle name="_IRT - chesp 2005-V2 _IRT_1_Financeiro Subsídio Rural Irrigante e Aquicultor Reajuste 2010 - 03_03_2010" xfId="42921" xr:uid="{00000000-0005-0000-0000-000009060000}"/>
    <cellStyle name="_IRT - chesp 2005-V2 _IRT_1_IRT-cálculo" xfId="2582" xr:uid="{00000000-0005-0000-0000-00000A060000}"/>
    <cellStyle name="_IRT - chesp 2005-V2 _IRT_1_IRT-cálculo CAPA NEUTRALIDADE" xfId="2583" xr:uid="{00000000-0005-0000-0000-00000B060000}"/>
    <cellStyle name="_IRT - chesp 2005-V2 _IRT_1_SOBRECONTRATAÇÃO E CVA" xfId="2584" xr:uid="{00000000-0005-0000-0000-00000C060000}"/>
    <cellStyle name="_IRT - chesp 2005-V2 _IRT_Planilha Básica_ CETRIL" xfId="251" xr:uid="{00000000-0005-0000-0000-00000D060000}"/>
    <cellStyle name="_IRT - chesp 2005-V2 _IRT_Planilha Básica_ CETRIL 2" xfId="1283" xr:uid="{00000000-0005-0000-0000-00000E060000}"/>
    <cellStyle name="_IRT - chesp 2005-V2 _IRT_Pleito" xfId="2585" xr:uid="{00000000-0005-0000-0000-00000F060000}"/>
    <cellStyle name="_IRT - chesp 2005-V2 _IRT_Pleito_IRT-cálculo" xfId="2586" xr:uid="{00000000-0005-0000-0000-000010060000}"/>
    <cellStyle name="_IRT - chesp 2005-V2 _IRT_Pleito_IRT-cálculo CAPA NEUTRALIDADE" xfId="2587" xr:uid="{00000000-0005-0000-0000-000011060000}"/>
    <cellStyle name="_IRT - chesp 2005-V2 _IRT_Revisão A-1" xfId="2588" xr:uid="{00000000-0005-0000-0000-000012060000}"/>
    <cellStyle name="_IRT - chesp 2005-V2 _IRT-cálculo" xfId="2589" xr:uid="{00000000-0005-0000-0000-000013060000}"/>
    <cellStyle name="_IRT - chesp 2005-V2 _IRT-cálculo CAPA NEUTRALIDADE" xfId="2590" xr:uid="{00000000-0005-0000-0000-000014060000}"/>
    <cellStyle name="_IRT - chesp 2005-V2 _Pasta1" xfId="1566" xr:uid="{00000000-0005-0000-0000-000015060000}"/>
    <cellStyle name="_IRT - chesp 2005-V2 _Pasta1_atualização serviços taxados" xfId="42922" xr:uid="{00000000-0005-0000-0000-000016060000}"/>
    <cellStyle name="_IRT - chesp 2005-V2 _Pasta1_Financeiro Desconto na TUSD Consumidores Livres Reajuste 2010 - 03_03_2010" xfId="42923" xr:uid="{00000000-0005-0000-0000-000017060000}"/>
    <cellStyle name="_IRT - chesp 2005-V2 _Pasta1_Financeiro Desconto na TUSD Geradores Reajuste 2010 - 03_03_2010" xfId="42924" xr:uid="{00000000-0005-0000-0000-000018060000}"/>
    <cellStyle name="_IRT - chesp 2005-V2 _Pasta1_Financeiro Subsídio Baixa Renda Reajuste 2010 - 03_03_2010" xfId="42925" xr:uid="{00000000-0005-0000-0000-000019060000}"/>
    <cellStyle name="_IRT - chesp 2005-V2 _Pasta1_Financeiro Subsídio Rural Irrigante e Aquicultor Reajuste 2010 - 03_03_2010" xfId="42926" xr:uid="{00000000-0005-0000-0000-00001A060000}"/>
    <cellStyle name="_IRT - chesp 2005-V2 _Pasta1_IRT-cálculo" xfId="2591" xr:uid="{00000000-0005-0000-0000-00001B060000}"/>
    <cellStyle name="_IRT - chesp 2005-V2 _Pasta1_IRT-cálculo CAPA NEUTRALIDADE" xfId="2592" xr:uid="{00000000-0005-0000-0000-00001C060000}"/>
    <cellStyle name="_IRT - chesp 2005-V2 _Pasta1_SOBRECONTRATAÇÃO E CVA" xfId="2593" xr:uid="{00000000-0005-0000-0000-00001D060000}"/>
    <cellStyle name="_IRT - chesp 2005-V2 _Sheet1" xfId="2594" xr:uid="{00000000-0005-0000-0000-00001E060000}"/>
    <cellStyle name="_IRT - chesp 2005-V2 _SOBRECONTRATAÇÃO E CVA" xfId="2595" xr:uid="{00000000-0005-0000-0000-00001F060000}"/>
    <cellStyle name="_IRT - chesp 2005-V2 _SOBRECONTRATAÇÃO E CVA A-1" xfId="2596" xr:uid="{00000000-0005-0000-0000-000020060000}"/>
    <cellStyle name="_IRT - chesp 2005-V2 _SOBRECONTRATAÇÃO E CVA A-1_IRT-cálculo" xfId="2597" xr:uid="{00000000-0005-0000-0000-000021060000}"/>
    <cellStyle name="_IRT - chesp 2005-V2 _SOBRECONTRATAÇÃO E CVA A-1_IRT-cálculo CAPA NEUTRALIDADE" xfId="2598" xr:uid="{00000000-0005-0000-0000-000022060000}"/>
    <cellStyle name="_IRT 2" xfId="2599" xr:uid="{00000000-0005-0000-0000-000023060000}"/>
    <cellStyle name="_IRT 2005 - CELTINS-cláudia210605" xfId="252" xr:uid="{00000000-0005-0000-0000-000024060000}"/>
    <cellStyle name="_IRT 2005 - CELTINS-cláudia210605_atualização serviços taxados" xfId="42927" xr:uid="{00000000-0005-0000-0000-000025060000}"/>
    <cellStyle name="_IRT 2005 - CELTINS-cláudia210605_Calculo_Subsidio_ELFSM_26_06_08_Modelo_ANEEL" xfId="2600" xr:uid="{00000000-0005-0000-0000-000026060000}"/>
    <cellStyle name="_IRT 2005 - CELTINS-cláudia210605_Calculo_Subsidio_ELFSM_26_06_08_Modelo_ANEEL_IRT-cálculo" xfId="2601" xr:uid="{00000000-0005-0000-0000-000027060000}"/>
    <cellStyle name="_IRT 2005 - CELTINS-cláudia210605_Calculo_Subsidio_ELFSM_26_06_08_Modelo_ANEEL_IRT-cálculo CAPA NEUTRALIDADE" xfId="2602" xr:uid="{00000000-0005-0000-0000-000028060000}"/>
    <cellStyle name="_IRT 2005 - CELTINS-cláudia210605_CVA_Projetada até dez-2008_Setembro" xfId="2603" xr:uid="{00000000-0005-0000-0000-000029060000}"/>
    <cellStyle name="_IRT 2005 - CELTINS-cláudia210605_CVA_Projetada até dez-2008_Setembro_CVA Outros Componentes PROVISÃO" xfId="2604" xr:uid="{00000000-0005-0000-0000-00002A060000}"/>
    <cellStyle name="_IRT 2005 - CELTINS-cláudia210605_CVA_Projetada até dez-2008_Setembro_PROVISÃO" xfId="2605" xr:uid="{00000000-0005-0000-0000-00002B060000}"/>
    <cellStyle name="_IRT 2005 - CELTINS-cláudia210605_Energia Comprada" xfId="2606" xr:uid="{00000000-0005-0000-0000-00002C060000}"/>
    <cellStyle name="_IRT 2005 - CELTINS-cláudia210605_Energia Comprada_IRT-cálculo" xfId="2607" xr:uid="{00000000-0005-0000-0000-00002D060000}"/>
    <cellStyle name="_IRT 2005 - CELTINS-cláudia210605_Energia Comprada_IRT-cálculo CAPA NEUTRALIDADE" xfId="2608" xr:uid="{00000000-0005-0000-0000-00002E060000}"/>
    <cellStyle name="_IRT 2005 - CELTINS-cláudia210605_Fator X" xfId="1567" xr:uid="{00000000-0005-0000-0000-00002F060000}"/>
    <cellStyle name="_IRT 2005 - CELTINS-cláudia210605_Fator X_atualização serviços taxados" xfId="42928" xr:uid="{00000000-0005-0000-0000-000030060000}"/>
    <cellStyle name="_IRT 2005 - CELTINS-cláudia210605_Fator X_Financeiro Desconto na TUSD Consumidores Livres Reajuste 2010 - 03_03_2010" xfId="42929" xr:uid="{00000000-0005-0000-0000-000031060000}"/>
    <cellStyle name="_IRT 2005 - CELTINS-cláudia210605_Fator X_Financeiro Desconto na TUSD Geradores Reajuste 2010 - 03_03_2010" xfId="42930" xr:uid="{00000000-0005-0000-0000-000032060000}"/>
    <cellStyle name="_IRT 2005 - CELTINS-cláudia210605_Fator X_Financeiro Subsídio Baixa Renda Reajuste 2010 - 03_03_2010" xfId="42931" xr:uid="{00000000-0005-0000-0000-000033060000}"/>
    <cellStyle name="_IRT 2005 - CELTINS-cláudia210605_Fator X_Financeiro Subsídio Rural Irrigante e Aquicultor Reajuste 2010 - 03_03_2010" xfId="42932" xr:uid="{00000000-0005-0000-0000-000034060000}"/>
    <cellStyle name="_IRT 2005 - CELTINS-cláudia210605_Fator X_IRT-cálculo" xfId="2609" xr:uid="{00000000-0005-0000-0000-000035060000}"/>
    <cellStyle name="_IRT 2005 - CELTINS-cláudia210605_Fator X_IRT-cálculo CAPA NEUTRALIDADE" xfId="2610" xr:uid="{00000000-0005-0000-0000-000036060000}"/>
    <cellStyle name="_IRT 2005 - CELTINS-cláudia210605_Fator X_SOBRECONTRATAÇÃO E CVA" xfId="2611" xr:uid="{00000000-0005-0000-0000-000037060000}"/>
    <cellStyle name="_IRT 2005 - CELTINS-cláudia210605_Financeiro Desconto na TUSD Consumidores Livres Reajuste 2010 - 03_03_2010" xfId="42933" xr:uid="{00000000-0005-0000-0000-000038060000}"/>
    <cellStyle name="_IRT 2005 - CELTINS-cláudia210605_Financeiro Desconto na TUSD Geradores Reajuste 2010 - 03_03_2010" xfId="42934" xr:uid="{00000000-0005-0000-0000-000039060000}"/>
    <cellStyle name="_IRT 2005 - CELTINS-cláudia210605_Financeiro Subsídio Baixa Renda Reajuste 2010 - 03_03_2010" xfId="42935" xr:uid="{00000000-0005-0000-0000-00003A060000}"/>
    <cellStyle name="_IRT 2005 - CELTINS-cláudia210605_Financeiro Subsídio Rural Irrigante e Aquicultor Reajuste 2010 - 03_03_2010" xfId="42936" xr:uid="{00000000-0005-0000-0000-00003B060000}"/>
    <cellStyle name="_IRT 2005 - CELTINS-cláudia210605_IF - Autoprodutores 2" xfId="2612" xr:uid="{00000000-0005-0000-0000-00003C060000}"/>
    <cellStyle name="_IRT 2005 - CELTINS-cláudia210605_IF_Consumidores livres e geradoras_2010" xfId="2613" xr:uid="{00000000-0005-0000-0000-00003D060000}"/>
    <cellStyle name="_IRT 2005 - CELTINS-cláudia210605_IRT (2)" xfId="1568" xr:uid="{00000000-0005-0000-0000-00003E060000}"/>
    <cellStyle name="_IRT 2005 - CELTINS-cláudia210605_IRT (2) 2" xfId="2614" xr:uid="{00000000-0005-0000-0000-00003F060000}"/>
    <cellStyle name="_IRT 2005 - CELTINS-cláudia210605_IRT_1" xfId="1569" xr:uid="{00000000-0005-0000-0000-000040060000}"/>
    <cellStyle name="_IRT 2005 - CELTINS-cláudia210605_IRT_1_atualização serviços taxados" xfId="42937" xr:uid="{00000000-0005-0000-0000-000041060000}"/>
    <cellStyle name="_IRT 2005 - CELTINS-cláudia210605_IRT_1_Financeiro Desconto na TUSD Consumidores Livres Reajuste 2010 - 03_03_2010" xfId="42938" xr:uid="{00000000-0005-0000-0000-000042060000}"/>
    <cellStyle name="_IRT 2005 - CELTINS-cláudia210605_IRT_1_Financeiro Desconto na TUSD Geradores Reajuste 2010 - 03_03_2010" xfId="42939" xr:uid="{00000000-0005-0000-0000-000043060000}"/>
    <cellStyle name="_IRT 2005 - CELTINS-cláudia210605_IRT_1_Financeiro Subsídio Baixa Renda Reajuste 2010 - 03_03_2010" xfId="42940" xr:uid="{00000000-0005-0000-0000-000044060000}"/>
    <cellStyle name="_IRT 2005 - CELTINS-cláudia210605_IRT_1_Financeiro Subsídio Rural Irrigante e Aquicultor Reajuste 2010 - 03_03_2010" xfId="42941" xr:uid="{00000000-0005-0000-0000-000045060000}"/>
    <cellStyle name="_IRT 2005 - CELTINS-cláudia210605_IRT_1_IRT-cálculo" xfId="2615" xr:uid="{00000000-0005-0000-0000-000046060000}"/>
    <cellStyle name="_IRT 2005 - CELTINS-cláudia210605_IRT_1_IRT-cálculo CAPA NEUTRALIDADE" xfId="2616" xr:uid="{00000000-0005-0000-0000-000047060000}"/>
    <cellStyle name="_IRT 2005 - CELTINS-cláudia210605_IRT_1_SOBRECONTRATAÇÃO E CVA" xfId="2617" xr:uid="{00000000-0005-0000-0000-000048060000}"/>
    <cellStyle name="_IRT 2005 - CELTINS-cláudia210605_IRT_Planilha Básica_ CETRIL" xfId="253" xr:uid="{00000000-0005-0000-0000-000049060000}"/>
    <cellStyle name="_IRT 2005 - CELTINS-cláudia210605_IRT_Planilha Básica_ CETRIL 2" xfId="1284" xr:uid="{00000000-0005-0000-0000-00004A060000}"/>
    <cellStyle name="_IRT 2005 - CELTINS-cláudia210605_IRT_Pleito" xfId="2618" xr:uid="{00000000-0005-0000-0000-00004B060000}"/>
    <cellStyle name="_IRT 2005 - CELTINS-cláudia210605_IRT_Pleito_IRT-cálculo" xfId="2619" xr:uid="{00000000-0005-0000-0000-00004C060000}"/>
    <cellStyle name="_IRT 2005 - CELTINS-cláudia210605_IRT_Pleito_IRT-cálculo CAPA NEUTRALIDADE" xfId="2620" xr:uid="{00000000-0005-0000-0000-00004D060000}"/>
    <cellStyle name="_IRT 2005 - CELTINS-cláudia210605_IRT_Revisão A-1" xfId="2621" xr:uid="{00000000-0005-0000-0000-00004E060000}"/>
    <cellStyle name="_IRT 2005 - CELTINS-cláudia210605_IRT-cálculo" xfId="2622" xr:uid="{00000000-0005-0000-0000-00004F060000}"/>
    <cellStyle name="_IRT 2005 - CELTINS-cláudia210605_IRT-cálculo CAPA NEUTRALIDADE" xfId="2623" xr:uid="{00000000-0005-0000-0000-000050060000}"/>
    <cellStyle name="_IRT 2005 - CELTINS-cláudia210605_Pasta1" xfId="1570" xr:uid="{00000000-0005-0000-0000-000051060000}"/>
    <cellStyle name="_IRT 2005 - CELTINS-cláudia210605_Pasta1_atualização serviços taxados" xfId="42942" xr:uid="{00000000-0005-0000-0000-000052060000}"/>
    <cellStyle name="_IRT 2005 - CELTINS-cláudia210605_Pasta1_Financeiro Desconto na TUSD Consumidores Livres Reajuste 2010 - 03_03_2010" xfId="42943" xr:uid="{00000000-0005-0000-0000-000053060000}"/>
    <cellStyle name="_IRT 2005 - CELTINS-cláudia210605_Pasta1_Financeiro Desconto na TUSD Geradores Reajuste 2010 - 03_03_2010" xfId="42944" xr:uid="{00000000-0005-0000-0000-000054060000}"/>
    <cellStyle name="_IRT 2005 - CELTINS-cláudia210605_Pasta1_Financeiro Subsídio Baixa Renda Reajuste 2010 - 03_03_2010" xfId="42945" xr:uid="{00000000-0005-0000-0000-000055060000}"/>
    <cellStyle name="_IRT 2005 - CELTINS-cláudia210605_Pasta1_Financeiro Subsídio Rural Irrigante e Aquicultor Reajuste 2010 - 03_03_2010" xfId="42946" xr:uid="{00000000-0005-0000-0000-000056060000}"/>
    <cellStyle name="_IRT 2005 - CELTINS-cláudia210605_Pasta1_IRT-cálculo" xfId="2624" xr:uid="{00000000-0005-0000-0000-000057060000}"/>
    <cellStyle name="_IRT 2005 - CELTINS-cláudia210605_Pasta1_IRT-cálculo CAPA NEUTRALIDADE" xfId="2625" xr:uid="{00000000-0005-0000-0000-000058060000}"/>
    <cellStyle name="_IRT 2005 - CELTINS-cláudia210605_Pasta1_SOBRECONTRATAÇÃO E CVA" xfId="2626" xr:uid="{00000000-0005-0000-0000-000059060000}"/>
    <cellStyle name="_IRT 2005 - CELTINS-cláudia210605_Sheet1" xfId="2627" xr:uid="{00000000-0005-0000-0000-00005A060000}"/>
    <cellStyle name="_IRT 2005 - CELTINS-cláudia210605_SOBRECONTRATAÇÃO E CVA" xfId="2628" xr:uid="{00000000-0005-0000-0000-00005B060000}"/>
    <cellStyle name="_IRT 2005 - CELTINS-cláudia210605_SOBRECONTRATAÇÃO E CVA A-1" xfId="2629" xr:uid="{00000000-0005-0000-0000-00005C060000}"/>
    <cellStyle name="_IRT 2005 - CELTINS-cláudia210605_SOBRECONTRATAÇÃO E CVA A-1_IRT-cálculo" xfId="2630" xr:uid="{00000000-0005-0000-0000-00005D060000}"/>
    <cellStyle name="_IRT 2005 - CELTINS-cláudia210605_SOBRECONTRATAÇÃO E CVA A-1_IRT-cálculo CAPA NEUTRALIDADE" xfId="2631" xr:uid="{00000000-0005-0000-0000-00005E060000}"/>
    <cellStyle name="_IRT 2005 - CHESP-040705" xfId="254" xr:uid="{00000000-0005-0000-0000-00005F060000}"/>
    <cellStyle name="_IRT 2005 - CHESP-040705_atualização serviços taxados" xfId="42947" xr:uid="{00000000-0005-0000-0000-000060060000}"/>
    <cellStyle name="_IRT 2005 - CHESP-040705_Calculo_Subsidio_ELFSM_26_06_08_Modelo_ANEEL" xfId="2632" xr:uid="{00000000-0005-0000-0000-000061060000}"/>
    <cellStyle name="_IRT 2005 - CHESP-040705_Calculo_Subsidio_ELFSM_26_06_08_Modelo_ANEEL_IRT-cálculo" xfId="2633" xr:uid="{00000000-0005-0000-0000-000062060000}"/>
    <cellStyle name="_IRT 2005 - CHESP-040705_Calculo_Subsidio_ELFSM_26_06_08_Modelo_ANEEL_IRT-cálculo CAPA NEUTRALIDADE" xfId="2634" xr:uid="{00000000-0005-0000-0000-000063060000}"/>
    <cellStyle name="_IRT 2005 - CHESP-040705_CVA_Projetada até dez-2008_Setembro" xfId="2635" xr:uid="{00000000-0005-0000-0000-000064060000}"/>
    <cellStyle name="_IRT 2005 - CHESP-040705_CVA_Projetada até dez-2008_Setembro_CVA Outros Componentes PROVISÃO" xfId="2636" xr:uid="{00000000-0005-0000-0000-000065060000}"/>
    <cellStyle name="_IRT 2005 - CHESP-040705_CVA_Projetada até dez-2008_Setembro_PROVISÃO" xfId="2637" xr:uid="{00000000-0005-0000-0000-000066060000}"/>
    <cellStyle name="_IRT 2005 - CHESP-040705_Energia Comprada" xfId="2638" xr:uid="{00000000-0005-0000-0000-000067060000}"/>
    <cellStyle name="_IRT 2005 - CHESP-040705_Energia Comprada_IRT-cálculo" xfId="2639" xr:uid="{00000000-0005-0000-0000-000068060000}"/>
    <cellStyle name="_IRT 2005 - CHESP-040705_Energia Comprada_IRT-cálculo CAPA NEUTRALIDADE" xfId="2640" xr:uid="{00000000-0005-0000-0000-000069060000}"/>
    <cellStyle name="_IRT 2005 - CHESP-040705_Fator X" xfId="1571" xr:uid="{00000000-0005-0000-0000-00006A060000}"/>
    <cellStyle name="_IRT 2005 - CHESP-040705_Fator X_atualização serviços taxados" xfId="42948" xr:uid="{00000000-0005-0000-0000-00006B060000}"/>
    <cellStyle name="_IRT 2005 - CHESP-040705_Fator X_Financeiro Desconto na TUSD Consumidores Livres Reajuste 2010 - 03_03_2010" xfId="42949" xr:uid="{00000000-0005-0000-0000-00006C060000}"/>
    <cellStyle name="_IRT 2005 - CHESP-040705_Fator X_Financeiro Desconto na TUSD Geradores Reajuste 2010 - 03_03_2010" xfId="42950" xr:uid="{00000000-0005-0000-0000-00006D060000}"/>
    <cellStyle name="_IRT 2005 - CHESP-040705_Fator X_Financeiro Subsídio Baixa Renda Reajuste 2010 - 03_03_2010" xfId="42951" xr:uid="{00000000-0005-0000-0000-00006E060000}"/>
    <cellStyle name="_IRT 2005 - CHESP-040705_Fator X_Financeiro Subsídio Rural Irrigante e Aquicultor Reajuste 2010 - 03_03_2010" xfId="42952" xr:uid="{00000000-0005-0000-0000-00006F060000}"/>
    <cellStyle name="_IRT 2005 - CHESP-040705_Fator X_IRT-cálculo" xfId="2641" xr:uid="{00000000-0005-0000-0000-000070060000}"/>
    <cellStyle name="_IRT 2005 - CHESP-040705_Fator X_IRT-cálculo CAPA NEUTRALIDADE" xfId="2642" xr:uid="{00000000-0005-0000-0000-000071060000}"/>
    <cellStyle name="_IRT 2005 - CHESP-040705_Fator X_SOBRECONTRATAÇÃO E CVA" xfId="2643" xr:uid="{00000000-0005-0000-0000-000072060000}"/>
    <cellStyle name="_IRT 2005 - CHESP-040705_Financeiro Desconto na TUSD Consumidores Livres Reajuste 2010 - 03_03_2010" xfId="42953" xr:uid="{00000000-0005-0000-0000-000073060000}"/>
    <cellStyle name="_IRT 2005 - CHESP-040705_Financeiro Desconto na TUSD Geradores Reajuste 2010 - 03_03_2010" xfId="42954" xr:uid="{00000000-0005-0000-0000-000074060000}"/>
    <cellStyle name="_IRT 2005 - CHESP-040705_Financeiro Subsídio Baixa Renda Reajuste 2010 - 03_03_2010" xfId="42955" xr:uid="{00000000-0005-0000-0000-000075060000}"/>
    <cellStyle name="_IRT 2005 - CHESP-040705_Financeiro Subsídio Rural Irrigante e Aquicultor Reajuste 2010 - 03_03_2010" xfId="42956" xr:uid="{00000000-0005-0000-0000-000076060000}"/>
    <cellStyle name="_IRT 2005 - CHESP-040705_IF - Autoprodutores 2" xfId="2644" xr:uid="{00000000-0005-0000-0000-000077060000}"/>
    <cellStyle name="_IRT 2005 - CHESP-040705_IF_Consumidores livres e geradoras_2010" xfId="2645" xr:uid="{00000000-0005-0000-0000-000078060000}"/>
    <cellStyle name="_IRT 2005 - CHESP-040705_IRT (2)" xfId="1572" xr:uid="{00000000-0005-0000-0000-000079060000}"/>
    <cellStyle name="_IRT 2005 - CHESP-040705_IRT (2) 2" xfId="2646" xr:uid="{00000000-0005-0000-0000-00007A060000}"/>
    <cellStyle name="_IRT 2005 - CHESP-040705_IRT_1" xfId="1573" xr:uid="{00000000-0005-0000-0000-00007B060000}"/>
    <cellStyle name="_IRT 2005 - CHESP-040705_IRT_1_atualização serviços taxados" xfId="42957" xr:uid="{00000000-0005-0000-0000-00007C060000}"/>
    <cellStyle name="_IRT 2005 - CHESP-040705_IRT_1_Financeiro Desconto na TUSD Consumidores Livres Reajuste 2010 - 03_03_2010" xfId="42958" xr:uid="{00000000-0005-0000-0000-00007D060000}"/>
    <cellStyle name="_IRT 2005 - CHESP-040705_IRT_1_Financeiro Desconto na TUSD Geradores Reajuste 2010 - 03_03_2010" xfId="42959" xr:uid="{00000000-0005-0000-0000-00007E060000}"/>
    <cellStyle name="_IRT 2005 - CHESP-040705_IRT_1_Financeiro Subsídio Baixa Renda Reajuste 2010 - 03_03_2010" xfId="42960" xr:uid="{00000000-0005-0000-0000-00007F060000}"/>
    <cellStyle name="_IRT 2005 - CHESP-040705_IRT_1_Financeiro Subsídio Rural Irrigante e Aquicultor Reajuste 2010 - 03_03_2010" xfId="42961" xr:uid="{00000000-0005-0000-0000-000080060000}"/>
    <cellStyle name="_IRT 2005 - CHESP-040705_IRT_1_IRT-cálculo" xfId="2647" xr:uid="{00000000-0005-0000-0000-000081060000}"/>
    <cellStyle name="_IRT 2005 - CHESP-040705_IRT_1_IRT-cálculo CAPA NEUTRALIDADE" xfId="2648" xr:uid="{00000000-0005-0000-0000-000082060000}"/>
    <cellStyle name="_IRT 2005 - CHESP-040705_IRT_1_SOBRECONTRATAÇÃO E CVA" xfId="2649" xr:uid="{00000000-0005-0000-0000-000083060000}"/>
    <cellStyle name="_IRT 2005 - CHESP-040705_IRT_Planilha Básica_ CETRIL" xfId="255" xr:uid="{00000000-0005-0000-0000-000084060000}"/>
    <cellStyle name="_IRT 2005 - CHESP-040705_IRT_Planilha Básica_ CETRIL 2" xfId="1285" xr:uid="{00000000-0005-0000-0000-000085060000}"/>
    <cellStyle name="_IRT 2005 - CHESP-040705_IRT_Pleito" xfId="2650" xr:uid="{00000000-0005-0000-0000-000086060000}"/>
    <cellStyle name="_IRT 2005 - CHESP-040705_IRT_Pleito_IRT-cálculo" xfId="2651" xr:uid="{00000000-0005-0000-0000-000087060000}"/>
    <cellStyle name="_IRT 2005 - CHESP-040705_IRT_Pleito_IRT-cálculo CAPA NEUTRALIDADE" xfId="2652" xr:uid="{00000000-0005-0000-0000-000088060000}"/>
    <cellStyle name="_IRT 2005 - CHESP-040705_IRT_Revisão A-1" xfId="2653" xr:uid="{00000000-0005-0000-0000-000089060000}"/>
    <cellStyle name="_IRT 2005 - CHESP-040705_IRT-cálculo" xfId="2654" xr:uid="{00000000-0005-0000-0000-00008A060000}"/>
    <cellStyle name="_IRT 2005 - CHESP-040705_IRT-cálculo CAPA NEUTRALIDADE" xfId="2655" xr:uid="{00000000-0005-0000-0000-00008B060000}"/>
    <cellStyle name="_IRT 2005 - CHESP-040705_Pasta1" xfId="1574" xr:uid="{00000000-0005-0000-0000-00008C060000}"/>
    <cellStyle name="_IRT 2005 - CHESP-040705_Pasta1_atualização serviços taxados" xfId="42962" xr:uid="{00000000-0005-0000-0000-00008D060000}"/>
    <cellStyle name="_IRT 2005 - CHESP-040705_Pasta1_Financeiro Desconto na TUSD Consumidores Livres Reajuste 2010 - 03_03_2010" xfId="42963" xr:uid="{00000000-0005-0000-0000-00008E060000}"/>
    <cellStyle name="_IRT 2005 - CHESP-040705_Pasta1_Financeiro Desconto na TUSD Geradores Reajuste 2010 - 03_03_2010" xfId="42964" xr:uid="{00000000-0005-0000-0000-00008F060000}"/>
    <cellStyle name="_IRT 2005 - CHESP-040705_Pasta1_Financeiro Subsídio Baixa Renda Reajuste 2010 - 03_03_2010" xfId="42965" xr:uid="{00000000-0005-0000-0000-000090060000}"/>
    <cellStyle name="_IRT 2005 - CHESP-040705_Pasta1_Financeiro Subsídio Rural Irrigante e Aquicultor Reajuste 2010 - 03_03_2010" xfId="42966" xr:uid="{00000000-0005-0000-0000-000091060000}"/>
    <cellStyle name="_IRT 2005 - CHESP-040705_Pasta1_IRT-cálculo" xfId="2656" xr:uid="{00000000-0005-0000-0000-000092060000}"/>
    <cellStyle name="_IRT 2005 - CHESP-040705_Pasta1_IRT-cálculo CAPA NEUTRALIDADE" xfId="2657" xr:uid="{00000000-0005-0000-0000-000093060000}"/>
    <cellStyle name="_IRT 2005 - CHESP-040705_Pasta1_SOBRECONTRATAÇÃO E CVA" xfId="2658" xr:uid="{00000000-0005-0000-0000-000094060000}"/>
    <cellStyle name="_IRT 2005 - CHESP-040705_Sheet1" xfId="2659" xr:uid="{00000000-0005-0000-0000-000095060000}"/>
    <cellStyle name="_IRT 2005 - CHESP-040705_SOBRECONTRATAÇÃO E CVA" xfId="2660" xr:uid="{00000000-0005-0000-0000-000096060000}"/>
    <cellStyle name="_IRT 2005 - CHESP-040705_SOBRECONTRATAÇÃO E CVA A-1" xfId="2661" xr:uid="{00000000-0005-0000-0000-000097060000}"/>
    <cellStyle name="_IRT 2005 - CHESP-040705_SOBRECONTRATAÇÃO E CVA A-1_IRT-cálculo" xfId="2662" xr:uid="{00000000-0005-0000-0000-000098060000}"/>
    <cellStyle name="_IRT 2005 - CHESP-040705_SOBRECONTRATAÇÃO E CVA A-1_IRT-cálculo CAPA NEUTRALIDADE" xfId="2663" xr:uid="{00000000-0005-0000-0000-000099060000}"/>
    <cellStyle name="_IRT 2005 - CHESP-140705" xfId="256" xr:uid="{00000000-0005-0000-0000-00009A060000}"/>
    <cellStyle name="_IRT 2005 - CHESP-140705_atualização serviços taxados" xfId="42967" xr:uid="{00000000-0005-0000-0000-00009B060000}"/>
    <cellStyle name="_IRT 2005 - CHESP-140705_Calculo_Subsidio_ELFSM_26_06_08_Modelo_ANEEL" xfId="2664" xr:uid="{00000000-0005-0000-0000-00009C060000}"/>
    <cellStyle name="_IRT 2005 - CHESP-140705_Calculo_Subsidio_ELFSM_26_06_08_Modelo_ANEEL_IRT-cálculo" xfId="2665" xr:uid="{00000000-0005-0000-0000-00009D060000}"/>
    <cellStyle name="_IRT 2005 - CHESP-140705_Calculo_Subsidio_ELFSM_26_06_08_Modelo_ANEEL_IRT-cálculo CAPA NEUTRALIDADE" xfId="2666" xr:uid="{00000000-0005-0000-0000-00009E060000}"/>
    <cellStyle name="_IRT 2005 - CHESP-140705_CVA_Projetada até dez-2008_Setembro" xfId="2667" xr:uid="{00000000-0005-0000-0000-00009F060000}"/>
    <cellStyle name="_IRT 2005 - CHESP-140705_CVA_Projetada até dez-2008_Setembro_CVA Outros Componentes PROVISÃO" xfId="2668" xr:uid="{00000000-0005-0000-0000-0000A0060000}"/>
    <cellStyle name="_IRT 2005 - CHESP-140705_CVA_Projetada até dez-2008_Setembro_PROVISÃO" xfId="2669" xr:uid="{00000000-0005-0000-0000-0000A1060000}"/>
    <cellStyle name="_IRT 2005 - CHESP-140705_Energia Comprada" xfId="2670" xr:uid="{00000000-0005-0000-0000-0000A2060000}"/>
    <cellStyle name="_IRT 2005 - CHESP-140705_Energia Comprada_IRT-cálculo" xfId="2671" xr:uid="{00000000-0005-0000-0000-0000A3060000}"/>
    <cellStyle name="_IRT 2005 - CHESP-140705_Energia Comprada_IRT-cálculo CAPA NEUTRALIDADE" xfId="2672" xr:uid="{00000000-0005-0000-0000-0000A4060000}"/>
    <cellStyle name="_IRT 2005 - CHESP-140705_Fator X" xfId="1575" xr:uid="{00000000-0005-0000-0000-0000A5060000}"/>
    <cellStyle name="_IRT 2005 - CHESP-140705_Fator X_atualização serviços taxados" xfId="42968" xr:uid="{00000000-0005-0000-0000-0000A6060000}"/>
    <cellStyle name="_IRT 2005 - CHESP-140705_Fator X_Financeiro Desconto na TUSD Consumidores Livres Reajuste 2010 - 03_03_2010" xfId="42969" xr:uid="{00000000-0005-0000-0000-0000A7060000}"/>
    <cellStyle name="_IRT 2005 - CHESP-140705_Fator X_Financeiro Desconto na TUSD Geradores Reajuste 2010 - 03_03_2010" xfId="42970" xr:uid="{00000000-0005-0000-0000-0000A8060000}"/>
    <cellStyle name="_IRT 2005 - CHESP-140705_Fator X_Financeiro Subsídio Baixa Renda Reajuste 2010 - 03_03_2010" xfId="42971" xr:uid="{00000000-0005-0000-0000-0000A9060000}"/>
    <cellStyle name="_IRT 2005 - CHESP-140705_Fator X_Financeiro Subsídio Rural Irrigante e Aquicultor Reajuste 2010 - 03_03_2010" xfId="42972" xr:uid="{00000000-0005-0000-0000-0000AA060000}"/>
    <cellStyle name="_IRT 2005 - CHESP-140705_Fator X_IRT-cálculo" xfId="2673" xr:uid="{00000000-0005-0000-0000-0000AB060000}"/>
    <cellStyle name="_IRT 2005 - CHESP-140705_Fator X_IRT-cálculo CAPA NEUTRALIDADE" xfId="2674" xr:uid="{00000000-0005-0000-0000-0000AC060000}"/>
    <cellStyle name="_IRT 2005 - CHESP-140705_Fator X_SOBRECONTRATAÇÃO E CVA" xfId="2675" xr:uid="{00000000-0005-0000-0000-0000AD060000}"/>
    <cellStyle name="_IRT 2005 - CHESP-140705_Financeiro Desconto na TUSD Consumidores Livres Reajuste 2010 - 03_03_2010" xfId="42973" xr:uid="{00000000-0005-0000-0000-0000AE060000}"/>
    <cellStyle name="_IRT 2005 - CHESP-140705_Financeiro Desconto na TUSD Geradores Reajuste 2010 - 03_03_2010" xfId="42974" xr:uid="{00000000-0005-0000-0000-0000AF060000}"/>
    <cellStyle name="_IRT 2005 - CHESP-140705_Financeiro Subsídio Baixa Renda Reajuste 2010 - 03_03_2010" xfId="42975" xr:uid="{00000000-0005-0000-0000-0000B0060000}"/>
    <cellStyle name="_IRT 2005 - CHESP-140705_Financeiro Subsídio Rural Irrigante e Aquicultor Reajuste 2010 - 03_03_2010" xfId="42976" xr:uid="{00000000-0005-0000-0000-0000B1060000}"/>
    <cellStyle name="_IRT 2005 - CHESP-140705_IF - Autoprodutores 2" xfId="2676" xr:uid="{00000000-0005-0000-0000-0000B2060000}"/>
    <cellStyle name="_IRT 2005 - CHESP-140705_IF_Consumidores livres e geradoras_2010" xfId="2677" xr:uid="{00000000-0005-0000-0000-0000B3060000}"/>
    <cellStyle name="_IRT 2005 - CHESP-140705_IRT (2)" xfId="1576" xr:uid="{00000000-0005-0000-0000-0000B4060000}"/>
    <cellStyle name="_IRT 2005 - CHESP-140705_IRT (2) 2" xfId="2678" xr:uid="{00000000-0005-0000-0000-0000B5060000}"/>
    <cellStyle name="_IRT 2005 - CHESP-140705_IRT_1" xfId="1577" xr:uid="{00000000-0005-0000-0000-0000B6060000}"/>
    <cellStyle name="_IRT 2005 - CHESP-140705_IRT_1_atualização serviços taxados" xfId="42977" xr:uid="{00000000-0005-0000-0000-0000B7060000}"/>
    <cellStyle name="_IRT 2005 - CHESP-140705_IRT_1_Financeiro Desconto na TUSD Consumidores Livres Reajuste 2010 - 03_03_2010" xfId="42978" xr:uid="{00000000-0005-0000-0000-0000B8060000}"/>
    <cellStyle name="_IRT 2005 - CHESP-140705_IRT_1_Financeiro Desconto na TUSD Geradores Reajuste 2010 - 03_03_2010" xfId="42979" xr:uid="{00000000-0005-0000-0000-0000B9060000}"/>
    <cellStyle name="_IRT 2005 - CHESP-140705_IRT_1_Financeiro Subsídio Baixa Renda Reajuste 2010 - 03_03_2010" xfId="42980" xr:uid="{00000000-0005-0000-0000-0000BA060000}"/>
    <cellStyle name="_IRT 2005 - CHESP-140705_IRT_1_Financeiro Subsídio Rural Irrigante e Aquicultor Reajuste 2010 - 03_03_2010" xfId="42981" xr:uid="{00000000-0005-0000-0000-0000BB060000}"/>
    <cellStyle name="_IRT 2005 - CHESP-140705_IRT_1_IRT-cálculo" xfId="2679" xr:uid="{00000000-0005-0000-0000-0000BC060000}"/>
    <cellStyle name="_IRT 2005 - CHESP-140705_IRT_1_IRT-cálculo CAPA NEUTRALIDADE" xfId="2680" xr:uid="{00000000-0005-0000-0000-0000BD060000}"/>
    <cellStyle name="_IRT 2005 - CHESP-140705_IRT_1_SOBRECONTRATAÇÃO E CVA" xfId="2681" xr:uid="{00000000-0005-0000-0000-0000BE060000}"/>
    <cellStyle name="_IRT 2005 - CHESP-140705_IRT_Planilha Básica_ CETRIL" xfId="257" xr:uid="{00000000-0005-0000-0000-0000BF060000}"/>
    <cellStyle name="_IRT 2005 - CHESP-140705_IRT_Planilha Básica_ CETRIL 2" xfId="1286" xr:uid="{00000000-0005-0000-0000-0000C0060000}"/>
    <cellStyle name="_IRT 2005 - CHESP-140705_IRT_Pleito" xfId="2682" xr:uid="{00000000-0005-0000-0000-0000C1060000}"/>
    <cellStyle name="_IRT 2005 - CHESP-140705_IRT_Pleito_IRT-cálculo" xfId="2683" xr:uid="{00000000-0005-0000-0000-0000C2060000}"/>
    <cellStyle name="_IRT 2005 - CHESP-140705_IRT_Pleito_IRT-cálculo CAPA NEUTRALIDADE" xfId="2684" xr:uid="{00000000-0005-0000-0000-0000C3060000}"/>
    <cellStyle name="_IRT 2005 - CHESP-140705_IRT_Revisão A-1" xfId="2685" xr:uid="{00000000-0005-0000-0000-0000C4060000}"/>
    <cellStyle name="_IRT 2005 - CHESP-140705_IRT-cálculo" xfId="2686" xr:uid="{00000000-0005-0000-0000-0000C5060000}"/>
    <cellStyle name="_IRT 2005 - CHESP-140705_IRT-cálculo CAPA NEUTRALIDADE" xfId="2687" xr:uid="{00000000-0005-0000-0000-0000C6060000}"/>
    <cellStyle name="_IRT 2005 - CHESP-140705_Pasta1" xfId="1578" xr:uid="{00000000-0005-0000-0000-0000C7060000}"/>
    <cellStyle name="_IRT 2005 - CHESP-140705_Pasta1_atualização serviços taxados" xfId="42982" xr:uid="{00000000-0005-0000-0000-0000C8060000}"/>
    <cellStyle name="_IRT 2005 - CHESP-140705_Pasta1_Financeiro Desconto na TUSD Consumidores Livres Reajuste 2010 - 03_03_2010" xfId="42983" xr:uid="{00000000-0005-0000-0000-0000C9060000}"/>
    <cellStyle name="_IRT 2005 - CHESP-140705_Pasta1_Financeiro Desconto na TUSD Geradores Reajuste 2010 - 03_03_2010" xfId="42984" xr:uid="{00000000-0005-0000-0000-0000CA060000}"/>
    <cellStyle name="_IRT 2005 - CHESP-140705_Pasta1_Financeiro Subsídio Baixa Renda Reajuste 2010 - 03_03_2010" xfId="42985" xr:uid="{00000000-0005-0000-0000-0000CB060000}"/>
    <cellStyle name="_IRT 2005 - CHESP-140705_Pasta1_Financeiro Subsídio Rural Irrigante e Aquicultor Reajuste 2010 - 03_03_2010" xfId="42986" xr:uid="{00000000-0005-0000-0000-0000CC060000}"/>
    <cellStyle name="_IRT 2005 - CHESP-140705_Pasta1_IRT-cálculo" xfId="2688" xr:uid="{00000000-0005-0000-0000-0000CD060000}"/>
    <cellStyle name="_IRT 2005 - CHESP-140705_Pasta1_IRT-cálculo CAPA NEUTRALIDADE" xfId="2689" xr:uid="{00000000-0005-0000-0000-0000CE060000}"/>
    <cellStyle name="_IRT 2005 - CHESP-140705_Pasta1_SOBRECONTRATAÇÃO E CVA" xfId="2690" xr:uid="{00000000-0005-0000-0000-0000CF060000}"/>
    <cellStyle name="_IRT 2005 - CHESP-140705_Sheet1" xfId="2691" xr:uid="{00000000-0005-0000-0000-0000D0060000}"/>
    <cellStyle name="_IRT 2005 - CHESP-140705_SOBRECONTRATAÇÃO E CVA" xfId="2692" xr:uid="{00000000-0005-0000-0000-0000D1060000}"/>
    <cellStyle name="_IRT 2005 - CHESP-140705_SOBRECONTRATAÇÃO E CVA A-1" xfId="2693" xr:uid="{00000000-0005-0000-0000-0000D2060000}"/>
    <cellStyle name="_IRT 2005 - CHESP-140705_SOBRECONTRATAÇÃO E CVA A-1_IRT-cálculo" xfId="2694" xr:uid="{00000000-0005-0000-0000-0000D3060000}"/>
    <cellStyle name="_IRT 2005 - CHESP-140705_SOBRECONTRATAÇÃO E CVA A-1_IRT-cálculo CAPA NEUTRALIDADE" xfId="2695" xr:uid="{00000000-0005-0000-0000-0000D4060000}"/>
    <cellStyle name="_IRT 2006 - CEEE" xfId="258" xr:uid="{00000000-0005-0000-0000-0000D5060000}"/>
    <cellStyle name="_IRT 2006 - CEEE_atualização serviços taxados" xfId="42987" xr:uid="{00000000-0005-0000-0000-0000D6060000}"/>
    <cellStyle name="_IRT 2006 - CEEE_Calculo_Subsidio_ELFSM_26_06_08_Modelo_ANEEL" xfId="2696" xr:uid="{00000000-0005-0000-0000-0000D7060000}"/>
    <cellStyle name="_IRT 2006 - CEEE_Calculo_Subsidio_ELFSM_26_06_08_Modelo_ANEEL_IRT-cálculo" xfId="2697" xr:uid="{00000000-0005-0000-0000-0000D8060000}"/>
    <cellStyle name="_IRT 2006 - CEEE_Calculo_Subsidio_ELFSM_26_06_08_Modelo_ANEEL_IRT-cálculo CAPA NEUTRALIDADE" xfId="2698" xr:uid="{00000000-0005-0000-0000-0000D9060000}"/>
    <cellStyle name="_IRT 2006 - CEEE_CVA_Projetada até dez-2008_Setembro" xfId="2699" xr:uid="{00000000-0005-0000-0000-0000DA060000}"/>
    <cellStyle name="_IRT 2006 - CEEE_CVA_Projetada até dez-2008_Setembro_CVA Outros Componentes PROVISÃO" xfId="2700" xr:uid="{00000000-0005-0000-0000-0000DB060000}"/>
    <cellStyle name="_IRT 2006 - CEEE_CVA_Projetada até dez-2008_Setembro_PROVISÃO" xfId="2701" xr:uid="{00000000-0005-0000-0000-0000DC060000}"/>
    <cellStyle name="_IRT 2006 - CEEE_Energia Comprada" xfId="2702" xr:uid="{00000000-0005-0000-0000-0000DD060000}"/>
    <cellStyle name="_IRT 2006 - CEEE_Energia Comprada_IRT-cálculo" xfId="2703" xr:uid="{00000000-0005-0000-0000-0000DE060000}"/>
    <cellStyle name="_IRT 2006 - CEEE_Energia Comprada_IRT-cálculo CAPA NEUTRALIDADE" xfId="2704" xr:uid="{00000000-0005-0000-0000-0000DF060000}"/>
    <cellStyle name="_IRT 2006 - CEEE_Fator X" xfId="1579" xr:uid="{00000000-0005-0000-0000-0000E0060000}"/>
    <cellStyle name="_IRT 2006 - CEEE_Fator X_atualização serviços taxados" xfId="42988" xr:uid="{00000000-0005-0000-0000-0000E1060000}"/>
    <cellStyle name="_IRT 2006 - CEEE_Fator X_Financeiro Desconto na TUSD Consumidores Livres Reajuste 2010 - 03_03_2010" xfId="42989" xr:uid="{00000000-0005-0000-0000-0000E2060000}"/>
    <cellStyle name="_IRT 2006 - CEEE_Fator X_Financeiro Desconto na TUSD Geradores Reajuste 2010 - 03_03_2010" xfId="42990" xr:uid="{00000000-0005-0000-0000-0000E3060000}"/>
    <cellStyle name="_IRT 2006 - CEEE_Fator X_Financeiro Subsídio Baixa Renda Reajuste 2010 - 03_03_2010" xfId="42991" xr:uid="{00000000-0005-0000-0000-0000E4060000}"/>
    <cellStyle name="_IRT 2006 - CEEE_Fator X_Financeiro Subsídio Rural Irrigante e Aquicultor Reajuste 2010 - 03_03_2010" xfId="42992" xr:uid="{00000000-0005-0000-0000-0000E5060000}"/>
    <cellStyle name="_IRT 2006 - CEEE_Fator X_IRT-cálculo" xfId="2705" xr:uid="{00000000-0005-0000-0000-0000E6060000}"/>
    <cellStyle name="_IRT 2006 - CEEE_Fator X_IRT-cálculo CAPA NEUTRALIDADE" xfId="2706" xr:uid="{00000000-0005-0000-0000-0000E7060000}"/>
    <cellStyle name="_IRT 2006 - CEEE_Fator X_SOBRECONTRATAÇÃO E CVA" xfId="2707" xr:uid="{00000000-0005-0000-0000-0000E8060000}"/>
    <cellStyle name="_IRT 2006 - CEEE_Financeiro Desconto na TUSD Consumidores Livres Reajuste 2010 - 03_03_2010" xfId="42993" xr:uid="{00000000-0005-0000-0000-0000E9060000}"/>
    <cellStyle name="_IRT 2006 - CEEE_Financeiro Desconto na TUSD Geradores Reajuste 2010 - 03_03_2010" xfId="42994" xr:uid="{00000000-0005-0000-0000-0000EA060000}"/>
    <cellStyle name="_IRT 2006 - CEEE_Financeiro Subsídio Baixa Renda Reajuste 2010 - 03_03_2010" xfId="42995" xr:uid="{00000000-0005-0000-0000-0000EB060000}"/>
    <cellStyle name="_IRT 2006 - CEEE_Financeiro Subsídio Rural Irrigante e Aquicultor Reajuste 2010 - 03_03_2010" xfId="42996" xr:uid="{00000000-0005-0000-0000-0000EC060000}"/>
    <cellStyle name="_IRT 2006 - CEEE_IF - Autoprodutores 2" xfId="2708" xr:uid="{00000000-0005-0000-0000-0000ED060000}"/>
    <cellStyle name="_IRT 2006 - CEEE_IF_Consumidores livres e geradoras_2010" xfId="2709" xr:uid="{00000000-0005-0000-0000-0000EE060000}"/>
    <cellStyle name="_IRT 2006 - CEEE_IRT (2)" xfId="1580" xr:uid="{00000000-0005-0000-0000-0000EF060000}"/>
    <cellStyle name="_IRT 2006 - CEEE_IRT (2) 2" xfId="2710" xr:uid="{00000000-0005-0000-0000-0000F0060000}"/>
    <cellStyle name="_IRT 2006 - CEEE_IRT_1" xfId="1581" xr:uid="{00000000-0005-0000-0000-0000F1060000}"/>
    <cellStyle name="_IRT 2006 - CEEE_IRT_1_atualização serviços taxados" xfId="42997" xr:uid="{00000000-0005-0000-0000-0000F2060000}"/>
    <cellStyle name="_IRT 2006 - CEEE_IRT_1_Financeiro Desconto na TUSD Consumidores Livres Reajuste 2010 - 03_03_2010" xfId="42998" xr:uid="{00000000-0005-0000-0000-0000F3060000}"/>
    <cellStyle name="_IRT 2006 - CEEE_IRT_1_Financeiro Desconto na TUSD Geradores Reajuste 2010 - 03_03_2010" xfId="42999" xr:uid="{00000000-0005-0000-0000-0000F4060000}"/>
    <cellStyle name="_IRT 2006 - CEEE_IRT_1_Financeiro Subsídio Baixa Renda Reajuste 2010 - 03_03_2010" xfId="43000" xr:uid="{00000000-0005-0000-0000-0000F5060000}"/>
    <cellStyle name="_IRT 2006 - CEEE_IRT_1_Financeiro Subsídio Rural Irrigante e Aquicultor Reajuste 2010 - 03_03_2010" xfId="43001" xr:uid="{00000000-0005-0000-0000-0000F6060000}"/>
    <cellStyle name="_IRT 2006 - CEEE_IRT_1_IRT-cálculo" xfId="2711" xr:uid="{00000000-0005-0000-0000-0000F7060000}"/>
    <cellStyle name="_IRT 2006 - CEEE_IRT_1_IRT-cálculo CAPA NEUTRALIDADE" xfId="2712" xr:uid="{00000000-0005-0000-0000-0000F8060000}"/>
    <cellStyle name="_IRT 2006 - CEEE_IRT_1_SOBRECONTRATAÇÃO E CVA" xfId="2713" xr:uid="{00000000-0005-0000-0000-0000F9060000}"/>
    <cellStyle name="_IRT 2006 - CEEE_IRT_Planilha Básica_ CETRIL" xfId="259" xr:uid="{00000000-0005-0000-0000-0000FA060000}"/>
    <cellStyle name="_IRT 2006 - CEEE_IRT_Planilha Básica_ CETRIL 2" xfId="1287" xr:uid="{00000000-0005-0000-0000-0000FB060000}"/>
    <cellStyle name="_IRT 2006 - CEEE_IRT_Pleito" xfId="2714" xr:uid="{00000000-0005-0000-0000-0000FC060000}"/>
    <cellStyle name="_IRT 2006 - CEEE_IRT_Pleito_IRT-cálculo" xfId="2715" xr:uid="{00000000-0005-0000-0000-0000FD060000}"/>
    <cellStyle name="_IRT 2006 - CEEE_IRT_Pleito_IRT-cálculo CAPA NEUTRALIDADE" xfId="2716" xr:uid="{00000000-0005-0000-0000-0000FE060000}"/>
    <cellStyle name="_IRT 2006 - CEEE_IRT_Revisão A-1" xfId="2717" xr:uid="{00000000-0005-0000-0000-0000FF060000}"/>
    <cellStyle name="_IRT 2006 - CEEE_IRT-cálculo" xfId="2718" xr:uid="{00000000-0005-0000-0000-000000070000}"/>
    <cellStyle name="_IRT 2006 - CEEE_IRT-cálculo CAPA NEUTRALIDADE" xfId="2719" xr:uid="{00000000-0005-0000-0000-000001070000}"/>
    <cellStyle name="_IRT 2006 - CEEE_Pasta1" xfId="1582" xr:uid="{00000000-0005-0000-0000-000002070000}"/>
    <cellStyle name="_IRT 2006 - CEEE_Pasta1_atualização serviços taxados" xfId="43002" xr:uid="{00000000-0005-0000-0000-000003070000}"/>
    <cellStyle name="_IRT 2006 - CEEE_Pasta1_Financeiro Desconto na TUSD Consumidores Livres Reajuste 2010 - 03_03_2010" xfId="43003" xr:uid="{00000000-0005-0000-0000-000004070000}"/>
    <cellStyle name="_IRT 2006 - CEEE_Pasta1_Financeiro Desconto na TUSD Geradores Reajuste 2010 - 03_03_2010" xfId="43004" xr:uid="{00000000-0005-0000-0000-000005070000}"/>
    <cellStyle name="_IRT 2006 - CEEE_Pasta1_Financeiro Subsídio Baixa Renda Reajuste 2010 - 03_03_2010" xfId="43005" xr:uid="{00000000-0005-0000-0000-000006070000}"/>
    <cellStyle name="_IRT 2006 - CEEE_Pasta1_Financeiro Subsídio Rural Irrigante e Aquicultor Reajuste 2010 - 03_03_2010" xfId="43006" xr:uid="{00000000-0005-0000-0000-000007070000}"/>
    <cellStyle name="_IRT 2006 - CEEE_Pasta1_IRT-cálculo" xfId="2720" xr:uid="{00000000-0005-0000-0000-000008070000}"/>
    <cellStyle name="_IRT 2006 - CEEE_Pasta1_IRT-cálculo CAPA NEUTRALIDADE" xfId="2721" xr:uid="{00000000-0005-0000-0000-000009070000}"/>
    <cellStyle name="_IRT 2006 - CEEE_Pasta1_SOBRECONTRATAÇÃO E CVA" xfId="2722" xr:uid="{00000000-0005-0000-0000-00000A070000}"/>
    <cellStyle name="_IRT 2006 - CEEE_Sheet1" xfId="2723" xr:uid="{00000000-0005-0000-0000-00000B070000}"/>
    <cellStyle name="_IRT 2006 - CEEE_SOBRECONTRATAÇÃO E CVA" xfId="2724" xr:uid="{00000000-0005-0000-0000-00000C070000}"/>
    <cellStyle name="_IRT 2006 - CEEE_SOBRECONTRATAÇÃO E CVA A-1" xfId="2725" xr:uid="{00000000-0005-0000-0000-00000D070000}"/>
    <cellStyle name="_IRT 2006 - CEEE_SOBRECONTRATAÇÃO E CVA A-1_IRT-cálculo" xfId="2726" xr:uid="{00000000-0005-0000-0000-00000E070000}"/>
    <cellStyle name="_IRT 2006 - CEEE_SOBRECONTRATAÇÃO E CVA A-1_IRT-cálculo CAPA NEUTRALIDADE" xfId="2727" xr:uid="{00000000-0005-0000-0000-00000F070000}"/>
    <cellStyle name="_IRT 2006 Boa Vista" xfId="260" xr:uid="{00000000-0005-0000-0000-000010070000}"/>
    <cellStyle name="_IRT 2006 Boa Vista 2" xfId="1288" xr:uid="{00000000-0005-0000-0000-000011070000}"/>
    <cellStyle name="_IRT 2006 Boa Vista 3" xfId="2728" xr:uid="{00000000-0005-0000-0000-000012070000}"/>
    <cellStyle name="_IRT 2006 Boa Vista_Balanço" xfId="261" xr:uid="{00000000-0005-0000-0000-000013070000}"/>
    <cellStyle name="_IRT 2006 Boa Vista_casulo 15" xfId="262" xr:uid="{00000000-0005-0000-0000-000014070000}"/>
    <cellStyle name="_IRT 2006 Boa Vista_COELCE  ICMS Não Compensado RTO 2012 281211" xfId="2729" xr:uid="{00000000-0005-0000-0000-000015070000}"/>
    <cellStyle name="_IRT 2006 Boa Vista_COELCE - RTO 2011 - PLPT_PLANILHA_CÁLCULO_DÉFICIT" xfId="2730" xr:uid="{00000000-0005-0000-0000-000016070000}"/>
    <cellStyle name="_IRT 2006 Boa Vista_Exposição_Agosto 2" xfId="2731" xr:uid="{00000000-0005-0000-0000-000017070000}"/>
    <cellStyle name="_IRT 2006 Boa Vista_IRT EEB 2010" xfId="2732" xr:uid="{00000000-0005-0000-0000-000018070000}"/>
    <cellStyle name="_IRT 2006 Boa Vista_IRT_Revisão A-2" xfId="2733" xr:uid="{00000000-0005-0000-0000-000019070000}"/>
    <cellStyle name="_IRT 2006 Boa Vista_IRT-cálculo" xfId="2734" xr:uid="{00000000-0005-0000-0000-00001A070000}"/>
    <cellStyle name="_IRT 2006 Boa Vista_Simulação AES SUL 03_04_07" xfId="263" xr:uid="{00000000-0005-0000-0000-00001B070000}"/>
    <cellStyle name="_IRT 2006 Boa Vista_Simulação AES SUL 03_04_07 2" xfId="1289" xr:uid="{00000000-0005-0000-0000-00001C070000}"/>
    <cellStyle name="_IRT 2006 Boa Vista_Simulação AES SUL 03_04_07 3" xfId="2735" xr:uid="{00000000-0005-0000-0000-00001D070000}"/>
    <cellStyle name="_IRT 2006 Boa Vista_Simulação AES SUL 03_04_07_Balanço" xfId="264" xr:uid="{00000000-0005-0000-0000-00001E070000}"/>
    <cellStyle name="_IRT 2006 Boa Vista_Simulação AES SUL 03_04_07_casulo 15" xfId="265" xr:uid="{00000000-0005-0000-0000-00001F070000}"/>
    <cellStyle name="_IRT 2006 Boa Vista_Simulação AES SUL 03_04_07_IRT EEB 2010" xfId="2736" xr:uid="{00000000-0005-0000-0000-000020070000}"/>
    <cellStyle name="_IRT 2006 Boa Vista_Simulação congelamento COELCE 2011 - Propostas 3ª Fase AP040 (20.12.2011)" xfId="2737" xr:uid="{00000000-0005-0000-0000-000021070000}"/>
    <cellStyle name="_IRT 2006 Boa Vista_Sobrecontratação AES (2)" xfId="266" xr:uid="{00000000-0005-0000-0000-000022070000}"/>
    <cellStyle name="_IRT 2006 Boa Vista_Sobrecontratação AES (2) 2" xfId="1290" xr:uid="{00000000-0005-0000-0000-000023070000}"/>
    <cellStyle name="_IRT 2006 Boa Vista_Sobrecontratação AES (2) 3" xfId="2738" xr:uid="{00000000-0005-0000-0000-000024070000}"/>
    <cellStyle name="_IRT 2006 Boa Vista_Sobrecontratação AES (2)_Balanço" xfId="267" xr:uid="{00000000-0005-0000-0000-000025070000}"/>
    <cellStyle name="_IRT 2006 Boa Vista_Sobrecontratação AES (2)_casulo 15" xfId="268" xr:uid="{00000000-0005-0000-0000-000026070000}"/>
    <cellStyle name="_IRT 2006 Boa Vista_Sobrecontratação AES (2)_IRT EEB 2010" xfId="2739" xr:uid="{00000000-0005-0000-0000-000027070000}"/>
    <cellStyle name="_IRT 2006 Boa Vista_SOBRECONTRATAÇÃO E CVA" xfId="2740" xr:uid="{00000000-0005-0000-0000-000028070000}"/>
    <cellStyle name="_IRT 2007 - COELBA" xfId="269" xr:uid="{00000000-0005-0000-0000-000029070000}"/>
    <cellStyle name="_IRT 2007 - COELBA_atualização serviços taxados" xfId="43007" xr:uid="{00000000-0005-0000-0000-00002A070000}"/>
    <cellStyle name="_IRT 2007 - COELBA_Financeiro Desconto na TUSD Consumidores Livres Reajuste 2010 - 03_03_2010" xfId="43008" xr:uid="{00000000-0005-0000-0000-00002B070000}"/>
    <cellStyle name="_IRT 2007 - COELBA_Financeiro Desconto na TUSD Geradores Reajuste 2010 - 03_03_2010" xfId="43009" xr:uid="{00000000-0005-0000-0000-00002C070000}"/>
    <cellStyle name="_IRT 2007 - COELBA_Financeiro Subsídio Baixa Renda Reajuste 2010 - 03_03_2010" xfId="43010" xr:uid="{00000000-0005-0000-0000-00002D070000}"/>
    <cellStyle name="_IRT 2007 - COELBA_Financeiro Subsídio Rural Irrigante e Aquicultor Reajuste 2010 - 03_03_2010" xfId="43011" xr:uid="{00000000-0005-0000-0000-00002E070000}"/>
    <cellStyle name="_IRT 2007 - COELBA_IF - Autoprodutores 2" xfId="2741" xr:uid="{00000000-0005-0000-0000-00002F070000}"/>
    <cellStyle name="_IRT 2007 - COELBA_IF_Consumidores livres e geradoras_2010" xfId="2742" xr:uid="{00000000-0005-0000-0000-000030070000}"/>
    <cellStyle name="_IRT 2007 - COELBA_IRT-cálculo" xfId="2743" xr:uid="{00000000-0005-0000-0000-000031070000}"/>
    <cellStyle name="_IRT 2007 - COELBA_Sheet1" xfId="2744" xr:uid="{00000000-0005-0000-0000-000032070000}"/>
    <cellStyle name="_IRT 2007 - COELBA_Sheet2" xfId="2745" xr:uid="{00000000-0005-0000-0000-000033070000}"/>
    <cellStyle name="_IRT 2007 - Enersul" xfId="270" xr:uid="{00000000-0005-0000-0000-000034070000}"/>
    <cellStyle name="_IRT 2007 - Enersul_IF - Autoprodutores 2" xfId="2746" xr:uid="{00000000-0005-0000-0000-000035070000}"/>
    <cellStyle name="_IRT 2007 - Enersul_IF_Consumidores livres e geradoras_2010" xfId="2747" xr:uid="{00000000-0005-0000-0000-000036070000}"/>
    <cellStyle name="_IRT 2007 - Enersul_IRT-cálculo" xfId="2748" xr:uid="{00000000-0005-0000-0000-000037070000}"/>
    <cellStyle name="_IRT 2007 - Enersul_Sheet1" xfId="2749" xr:uid="{00000000-0005-0000-0000-000038070000}"/>
    <cellStyle name="_IRT CPEE_fev07" xfId="271" xr:uid="{00000000-0005-0000-0000-000039070000}"/>
    <cellStyle name="_IRT CPEE_fev07_atualização serviços taxados" xfId="43012" xr:uid="{00000000-0005-0000-0000-00003A070000}"/>
    <cellStyle name="_IRT CPEE_fev07_Calculo_Subsidio_ELFSM_26_06_08_Modelo_ANEEL" xfId="2750" xr:uid="{00000000-0005-0000-0000-00003B070000}"/>
    <cellStyle name="_IRT CPEE_fev07_Calculo_Subsidio_ELFSM_26_06_08_Modelo_ANEEL_IRT-cálculo" xfId="2751" xr:uid="{00000000-0005-0000-0000-00003C070000}"/>
    <cellStyle name="_IRT CPEE_fev07_Calculo_Subsidio_ELFSM_26_06_08_Modelo_ANEEL_IRT-cálculo CAPA NEUTRALIDADE" xfId="2752" xr:uid="{00000000-0005-0000-0000-00003D070000}"/>
    <cellStyle name="_IRT CPEE_fev07_CVA_Projetada até dez-2008_Setembro" xfId="2753" xr:uid="{00000000-0005-0000-0000-00003E070000}"/>
    <cellStyle name="_IRT CPEE_fev07_CVA_Projetada até dez-2008_Setembro_CVA Outros Componentes PROVISÃO" xfId="2754" xr:uid="{00000000-0005-0000-0000-00003F070000}"/>
    <cellStyle name="_IRT CPEE_fev07_CVA_Projetada até dez-2008_Setembro_PROVISÃO" xfId="2755" xr:uid="{00000000-0005-0000-0000-000040070000}"/>
    <cellStyle name="_IRT CPEE_fev07_Energia Comprada" xfId="2756" xr:uid="{00000000-0005-0000-0000-000041070000}"/>
    <cellStyle name="_IRT CPEE_fev07_Energia Comprada_IRT-cálculo" xfId="2757" xr:uid="{00000000-0005-0000-0000-000042070000}"/>
    <cellStyle name="_IRT CPEE_fev07_Energia Comprada_IRT-cálculo CAPA NEUTRALIDADE" xfId="2758" xr:uid="{00000000-0005-0000-0000-000043070000}"/>
    <cellStyle name="_IRT CPEE_fev07_Fator X" xfId="1583" xr:uid="{00000000-0005-0000-0000-000044070000}"/>
    <cellStyle name="_IRT CPEE_fev07_Fator X_atualização serviços taxados" xfId="43013" xr:uid="{00000000-0005-0000-0000-000045070000}"/>
    <cellStyle name="_IRT CPEE_fev07_Fator X_Financeiro Desconto na TUSD Consumidores Livres Reajuste 2010 - 03_03_2010" xfId="43014" xr:uid="{00000000-0005-0000-0000-000046070000}"/>
    <cellStyle name="_IRT CPEE_fev07_Fator X_Financeiro Desconto na TUSD Geradores Reajuste 2010 - 03_03_2010" xfId="43015" xr:uid="{00000000-0005-0000-0000-000047070000}"/>
    <cellStyle name="_IRT CPEE_fev07_Fator X_Financeiro Subsídio Baixa Renda Reajuste 2010 - 03_03_2010" xfId="43016" xr:uid="{00000000-0005-0000-0000-000048070000}"/>
    <cellStyle name="_IRT CPEE_fev07_Fator X_Financeiro Subsídio Rural Irrigante e Aquicultor Reajuste 2010 - 03_03_2010" xfId="43017" xr:uid="{00000000-0005-0000-0000-000049070000}"/>
    <cellStyle name="_IRT CPEE_fev07_Fator X_IRT-cálculo" xfId="2759" xr:uid="{00000000-0005-0000-0000-00004A070000}"/>
    <cellStyle name="_IRT CPEE_fev07_Fator X_IRT-cálculo CAPA NEUTRALIDADE" xfId="2760" xr:uid="{00000000-0005-0000-0000-00004B070000}"/>
    <cellStyle name="_IRT CPEE_fev07_Fator X_SOBRECONTRATAÇÃO E CVA" xfId="2761" xr:uid="{00000000-0005-0000-0000-00004C070000}"/>
    <cellStyle name="_IRT CPEE_fev07_Financeiro Desconto na TUSD Consumidores Livres Reajuste 2010 - 03_03_2010" xfId="43018" xr:uid="{00000000-0005-0000-0000-00004D070000}"/>
    <cellStyle name="_IRT CPEE_fev07_Financeiro Desconto na TUSD Geradores Reajuste 2010 - 03_03_2010" xfId="43019" xr:uid="{00000000-0005-0000-0000-00004E070000}"/>
    <cellStyle name="_IRT CPEE_fev07_Financeiro Subsídio Baixa Renda Reajuste 2010 - 03_03_2010" xfId="43020" xr:uid="{00000000-0005-0000-0000-00004F070000}"/>
    <cellStyle name="_IRT CPEE_fev07_Financeiro Subsídio Rural Irrigante e Aquicultor Reajuste 2010 - 03_03_2010" xfId="43021" xr:uid="{00000000-0005-0000-0000-000050070000}"/>
    <cellStyle name="_IRT CPEE_fev07_IF - Autoprodutores 2" xfId="2762" xr:uid="{00000000-0005-0000-0000-000051070000}"/>
    <cellStyle name="_IRT CPEE_fev07_IF_Consumidores livres e geradoras_2010" xfId="2763" xr:uid="{00000000-0005-0000-0000-000052070000}"/>
    <cellStyle name="_IRT CPEE_fev07_IRT (2)" xfId="1584" xr:uid="{00000000-0005-0000-0000-000053070000}"/>
    <cellStyle name="_IRT CPEE_fev07_IRT (2) 2" xfId="2764" xr:uid="{00000000-0005-0000-0000-000054070000}"/>
    <cellStyle name="_IRT CPEE_fev07_IRT_1" xfId="1585" xr:uid="{00000000-0005-0000-0000-000055070000}"/>
    <cellStyle name="_IRT CPEE_fev07_IRT_1_atualização serviços taxados" xfId="43022" xr:uid="{00000000-0005-0000-0000-000056070000}"/>
    <cellStyle name="_IRT CPEE_fev07_IRT_1_Financeiro Desconto na TUSD Consumidores Livres Reajuste 2010 - 03_03_2010" xfId="43023" xr:uid="{00000000-0005-0000-0000-000057070000}"/>
    <cellStyle name="_IRT CPEE_fev07_IRT_1_Financeiro Desconto na TUSD Geradores Reajuste 2010 - 03_03_2010" xfId="43024" xr:uid="{00000000-0005-0000-0000-000058070000}"/>
    <cellStyle name="_IRT CPEE_fev07_IRT_1_Financeiro Subsídio Baixa Renda Reajuste 2010 - 03_03_2010" xfId="43025" xr:uid="{00000000-0005-0000-0000-000059070000}"/>
    <cellStyle name="_IRT CPEE_fev07_IRT_1_Financeiro Subsídio Rural Irrigante e Aquicultor Reajuste 2010 - 03_03_2010" xfId="43026" xr:uid="{00000000-0005-0000-0000-00005A070000}"/>
    <cellStyle name="_IRT CPEE_fev07_IRT_1_IRT-cálculo" xfId="2765" xr:uid="{00000000-0005-0000-0000-00005B070000}"/>
    <cellStyle name="_IRT CPEE_fev07_IRT_1_IRT-cálculo CAPA NEUTRALIDADE" xfId="2766" xr:uid="{00000000-0005-0000-0000-00005C070000}"/>
    <cellStyle name="_IRT CPEE_fev07_IRT_1_SOBRECONTRATAÇÃO E CVA" xfId="2767" xr:uid="{00000000-0005-0000-0000-00005D070000}"/>
    <cellStyle name="_IRT CPEE_fev07_IRT_Planilha Básica_ CETRIL" xfId="272" xr:uid="{00000000-0005-0000-0000-00005E070000}"/>
    <cellStyle name="_IRT CPEE_fev07_IRT_Planilha Básica_ CETRIL 2" xfId="1291" xr:uid="{00000000-0005-0000-0000-00005F070000}"/>
    <cellStyle name="_IRT CPEE_fev07_IRT_Pleito" xfId="2768" xr:uid="{00000000-0005-0000-0000-000060070000}"/>
    <cellStyle name="_IRT CPEE_fev07_IRT_Pleito_IRT-cálculo" xfId="2769" xr:uid="{00000000-0005-0000-0000-000061070000}"/>
    <cellStyle name="_IRT CPEE_fev07_IRT_Pleito_IRT-cálculo CAPA NEUTRALIDADE" xfId="2770" xr:uid="{00000000-0005-0000-0000-000062070000}"/>
    <cellStyle name="_IRT CPEE_fev07_IRT_Revisão A-1" xfId="2771" xr:uid="{00000000-0005-0000-0000-000063070000}"/>
    <cellStyle name="_IRT CPEE_fev07_IRT-cálculo" xfId="2772" xr:uid="{00000000-0005-0000-0000-000064070000}"/>
    <cellStyle name="_IRT CPEE_fev07_IRT-cálculo CAPA NEUTRALIDADE" xfId="2773" xr:uid="{00000000-0005-0000-0000-000065070000}"/>
    <cellStyle name="_IRT CPEE_fev07_Pasta1" xfId="1586" xr:uid="{00000000-0005-0000-0000-000066070000}"/>
    <cellStyle name="_IRT CPEE_fev07_Pasta1_atualização serviços taxados" xfId="43027" xr:uid="{00000000-0005-0000-0000-000067070000}"/>
    <cellStyle name="_IRT CPEE_fev07_Pasta1_Financeiro Desconto na TUSD Consumidores Livres Reajuste 2010 - 03_03_2010" xfId="43028" xr:uid="{00000000-0005-0000-0000-000068070000}"/>
    <cellStyle name="_IRT CPEE_fev07_Pasta1_Financeiro Desconto na TUSD Geradores Reajuste 2010 - 03_03_2010" xfId="43029" xr:uid="{00000000-0005-0000-0000-000069070000}"/>
    <cellStyle name="_IRT CPEE_fev07_Pasta1_Financeiro Subsídio Baixa Renda Reajuste 2010 - 03_03_2010" xfId="43030" xr:uid="{00000000-0005-0000-0000-00006A070000}"/>
    <cellStyle name="_IRT CPEE_fev07_Pasta1_Financeiro Subsídio Rural Irrigante e Aquicultor Reajuste 2010 - 03_03_2010" xfId="43031" xr:uid="{00000000-0005-0000-0000-00006B070000}"/>
    <cellStyle name="_IRT CPEE_fev07_Pasta1_IRT-cálculo" xfId="2774" xr:uid="{00000000-0005-0000-0000-00006C070000}"/>
    <cellStyle name="_IRT CPEE_fev07_Pasta1_IRT-cálculo CAPA NEUTRALIDADE" xfId="2775" xr:uid="{00000000-0005-0000-0000-00006D070000}"/>
    <cellStyle name="_IRT CPEE_fev07_Pasta1_SOBRECONTRATAÇÃO E CVA" xfId="2776" xr:uid="{00000000-0005-0000-0000-00006E070000}"/>
    <cellStyle name="_IRT CPEE_fev07_pós-IGPM" xfId="273" xr:uid="{00000000-0005-0000-0000-00006F070000}"/>
    <cellStyle name="_IRT CPEE_fev07_pós-IGPM_atualização serviços taxados" xfId="43032" xr:uid="{00000000-0005-0000-0000-000070070000}"/>
    <cellStyle name="_IRT CPEE_fev07_pós-IGPM_Cálculo do Financeiro do Baixa Renda" xfId="2777" xr:uid="{00000000-0005-0000-0000-000071070000}"/>
    <cellStyle name="_IRT CPEE_fev07_pós-IGPM_Cálculo do Financeiro do Baixa Renda_IRT-cálculo" xfId="2778" xr:uid="{00000000-0005-0000-0000-000072070000}"/>
    <cellStyle name="_IRT CPEE_fev07_pós-IGPM_Cálculo do Financeiro do Baixa Renda_IRT-cálculo CAPA NEUTRALIDADE" xfId="2779" xr:uid="{00000000-0005-0000-0000-000073070000}"/>
    <cellStyle name="_IRT CPEE_fev07_pós-IGPM_Custo com Avaliação de Ativos para Base de Remuneração" xfId="2780" xr:uid="{00000000-0005-0000-0000-000074070000}"/>
    <cellStyle name="_IRT CPEE_fev07_pós-IGPM_Custo com Avaliação de Ativos para Base de Remuneração_IRT-cálculo" xfId="2781" xr:uid="{00000000-0005-0000-0000-000075070000}"/>
    <cellStyle name="_IRT CPEE_fev07_pós-IGPM_Custo com Avaliação de Ativos para Base de Remuneração_IRT-cálculo CAPA NEUTRALIDADE" xfId="2782" xr:uid="{00000000-0005-0000-0000-000076070000}"/>
    <cellStyle name="_IRT CPEE_fev07_pós-IGPM_Energia Comprada" xfId="2783" xr:uid="{00000000-0005-0000-0000-000077070000}"/>
    <cellStyle name="_IRT CPEE_fev07_pós-IGPM_Energia Comprada_IRT-cálculo" xfId="2784" xr:uid="{00000000-0005-0000-0000-000078070000}"/>
    <cellStyle name="_IRT CPEE_fev07_pós-IGPM_Energia Comprada_IRT-cálculo CAPA NEUTRALIDADE" xfId="2785" xr:uid="{00000000-0005-0000-0000-000079070000}"/>
    <cellStyle name="_IRT CPEE_fev07_pós-IGPM_Fator X" xfId="1587" xr:uid="{00000000-0005-0000-0000-00007A070000}"/>
    <cellStyle name="_IRT CPEE_fev07_pós-IGPM_Fator X_atualização serviços taxados" xfId="43033" xr:uid="{00000000-0005-0000-0000-00007B070000}"/>
    <cellStyle name="_IRT CPEE_fev07_pós-IGPM_Fator X_Financeiro Desconto na TUSD Consumidores Livres Reajuste 2010 - 03_03_2010" xfId="43034" xr:uid="{00000000-0005-0000-0000-00007C070000}"/>
    <cellStyle name="_IRT CPEE_fev07_pós-IGPM_Fator X_Financeiro Desconto na TUSD Geradores Reajuste 2010 - 03_03_2010" xfId="43035" xr:uid="{00000000-0005-0000-0000-00007D070000}"/>
    <cellStyle name="_IRT CPEE_fev07_pós-IGPM_Fator X_Financeiro Subsídio Baixa Renda Reajuste 2010 - 03_03_2010" xfId="43036" xr:uid="{00000000-0005-0000-0000-00007E070000}"/>
    <cellStyle name="_IRT CPEE_fev07_pós-IGPM_Fator X_Financeiro Subsídio Rural Irrigante e Aquicultor Reajuste 2010 - 03_03_2010" xfId="43037" xr:uid="{00000000-0005-0000-0000-00007F070000}"/>
    <cellStyle name="_IRT CPEE_fev07_pós-IGPM_Fator X_IRT-cálculo" xfId="2786" xr:uid="{00000000-0005-0000-0000-000080070000}"/>
    <cellStyle name="_IRT CPEE_fev07_pós-IGPM_Fator X_IRT-cálculo CAPA NEUTRALIDADE" xfId="2787" xr:uid="{00000000-0005-0000-0000-000081070000}"/>
    <cellStyle name="_IRT CPEE_fev07_pós-IGPM_Fator X_SOBRECONTRATAÇÃO E CVA" xfId="2788" xr:uid="{00000000-0005-0000-0000-000082070000}"/>
    <cellStyle name="_IRT CPEE_fev07_pós-IGPM_Financeiro Desconto na TUSD Consumidores Livres Reajuste 2010 - 03_03_2010" xfId="43038" xr:uid="{00000000-0005-0000-0000-000083070000}"/>
    <cellStyle name="_IRT CPEE_fev07_pós-IGPM_Financeiro Desconto na TUSD Geradores Reajuste 2010 - 03_03_2010" xfId="43039" xr:uid="{00000000-0005-0000-0000-000084070000}"/>
    <cellStyle name="_IRT CPEE_fev07_pós-IGPM_Financeiro Subsídio Baixa Renda Reajuste 2010 - 03_03_2010" xfId="43040" xr:uid="{00000000-0005-0000-0000-000085070000}"/>
    <cellStyle name="_IRT CPEE_fev07_pós-IGPM_Financeiro Subsídio Rural Irrigante e Aquicultor Reajuste 2010 - 03_03_2010" xfId="43041" xr:uid="{00000000-0005-0000-0000-000086070000}"/>
    <cellStyle name="_IRT CPEE_fev07_pós-IGPM_IF - Autoprodutores 2" xfId="2789" xr:uid="{00000000-0005-0000-0000-000087070000}"/>
    <cellStyle name="_IRT CPEE_fev07_pós-IGPM_IF_Consumidores livres e geradoras_2010" xfId="2790" xr:uid="{00000000-0005-0000-0000-000088070000}"/>
    <cellStyle name="_IRT CPEE_fev07_pós-IGPM_IRT (2)" xfId="1588" xr:uid="{00000000-0005-0000-0000-000089070000}"/>
    <cellStyle name="_IRT CPEE_fev07_pós-IGPM_IRT (2) 2" xfId="2791" xr:uid="{00000000-0005-0000-0000-00008A070000}"/>
    <cellStyle name="_IRT CPEE_fev07_pós-IGPM_IRT_1" xfId="1589" xr:uid="{00000000-0005-0000-0000-00008B070000}"/>
    <cellStyle name="_IRT CPEE_fev07_pós-IGPM_IRT_1_atualização serviços taxados" xfId="43042" xr:uid="{00000000-0005-0000-0000-00008C070000}"/>
    <cellStyle name="_IRT CPEE_fev07_pós-IGPM_IRT_1_Financeiro Desconto na TUSD Consumidores Livres Reajuste 2010 - 03_03_2010" xfId="43043" xr:uid="{00000000-0005-0000-0000-00008D070000}"/>
    <cellStyle name="_IRT CPEE_fev07_pós-IGPM_IRT_1_Financeiro Desconto na TUSD Geradores Reajuste 2010 - 03_03_2010" xfId="43044" xr:uid="{00000000-0005-0000-0000-00008E070000}"/>
    <cellStyle name="_IRT CPEE_fev07_pós-IGPM_IRT_1_Financeiro Subsídio Baixa Renda Reajuste 2010 - 03_03_2010" xfId="43045" xr:uid="{00000000-0005-0000-0000-00008F070000}"/>
    <cellStyle name="_IRT CPEE_fev07_pós-IGPM_IRT_1_Financeiro Subsídio Rural Irrigante e Aquicultor Reajuste 2010 - 03_03_2010" xfId="43046" xr:uid="{00000000-0005-0000-0000-000090070000}"/>
    <cellStyle name="_IRT CPEE_fev07_pós-IGPM_IRT_1_IRT-cálculo" xfId="2792" xr:uid="{00000000-0005-0000-0000-000091070000}"/>
    <cellStyle name="_IRT CPEE_fev07_pós-IGPM_IRT_1_IRT-cálculo CAPA NEUTRALIDADE" xfId="2793" xr:uid="{00000000-0005-0000-0000-000092070000}"/>
    <cellStyle name="_IRT CPEE_fev07_pós-IGPM_IRT_1_SOBRECONTRATAÇÃO E CVA" xfId="2794" xr:uid="{00000000-0005-0000-0000-000093070000}"/>
    <cellStyle name="_IRT CPEE_fev07_pós-IGPM_IRT_Revisão A-1" xfId="2795" xr:uid="{00000000-0005-0000-0000-000094070000}"/>
    <cellStyle name="_IRT CPEE_fev07_pós-IGPM_IRT-cálculo" xfId="2796" xr:uid="{00000000-0005-0000-0000-000095070000}"/>
    <cellStyle name="_IRT CPEE_fev07_pós-IGPM_IRT-cálculo CAPA NEUTRALIDADE" xfId="2797" xr:uid="{00000000-0005-0000-0000-000096070000}"/>
    <cellStyle name="_IRT CPEE_fev07_pós-IGPM_Pasta1" xfId="1590" xr:uid="{00000000-0005-0000-0000-000097070000}"/>
    <cellStyle name="_IRT CPEE_fev07_pós-IGPM_Pasta1_atualização serviços taxados" xfId="43047" xr:uid="{00000000-0005-0000-0000-000098070000}"/>
    <cellStyle name="_IRT CPEE_fev07_pós-IGPM_Pasta1_Financeiro Desconto na TUSD Consumidores Livres Reajuste 2010 - 03_03_2010" xfId="43048" xr:uid="{00000000-0005-0000-0000-000099070000}"/>
    <cellStyle name="_IRT CPEE_fev07_pós-IGPM_Pasta1_Financeiro Desconto na TUSD Geradores Reajuste 2010 - 03_03_2010" xfId="43049" xr:uid="{00000000-0005-0000-0000-00009A070000}"/>
    <cellStyle name="_IRT CPEE_fev07_pós-IGPM_Pasta1_Financeiro Subsídio Baixa Renda Reajuste 2010 - 03_03_2010" xfId="43050" xr:uid="{00000000-0005-0000-0000-00009B070000}"/>
    <cellStyle name="_IRT CPEE_fev07_pós-IGPM_Pasta1_Financeiro Subsídio Rural Irrigante e Aquicultor Reajuste 2010 - 03_03_2010" xfId="43051" xr:uid="{00000000-0005-0000-0000-00009C070000}"/>
    <cellStyle name="_IRT CPEE_fev07_pós-IGPM_Pasta1_IRT-cálculo" xfId="2798" xr:uid="{00000000-0005-0000-0000-00009D070000}"/>
    <cellStyle name="_IRT CPEE_fev07_pós-IGPM_Pasta1_IRT-cálculo CAPA NEUTRALIDADE" xfId="2799" xr:uid="{00000000-0005-0000-0000-00009E070000}"/>
    <cellStyle name="_IRT CPEE_fev07_pós-IGPM_Pasta1_SOBRECONTRATAÇÃO E CVA" xfId="2800" xr:uid="{00000000-0005-0000-0000-00009F070000}"/>
    <cellStyle name="_IRT CPEE_fev07_pós-IGPM_Sheet1" xfId="2801" xr:uid="{00000000-0005-0000-0000-0000A0070000}"/>
    <cellStyle name="_IRT CPEE_fev07_pós-IGPM_Sheet2" xfId="2802" xr:uid="{00000000-0005-0000-0000-0000A1070000}"/>
    <cellStyle name="_IRT CPEE_fev07_pós-IGPM_SOBRECONTRATAÇÃO E CVA" xfId="2803" xr:uid="{00000000-0005-0000-0000-0000A2070000}"/>
    <cellStyle name="_IRT CPEE_fev07_Sheet1" xfId="2804" xr:uid="{00000000-0005-0000-0000-0000A3070000}"/>
    <cellStyle name="_IRT CPEE_fev07_SOBRECONTRATAÇÃO E CVA" xfId="2805" xr:uid="{00000000-0005-0000-0000-0000A4070000}"/>
    <cellStyle name="_IRT CPEE_fev07_SOBRECONTRATAÇÃO E CVA A-1" xfId="2806" xr:uid="{00000000-0005-0000-0000-0000A5070000}"/>
    <cellStyle name="_IRT CPEE_fev07_SOBRECONTRATAÇÃO E CVA A-1_IRT-cálculo" xfId="2807" xr:uid="{00000000-0005-0000-0000-0000A6070000}"/>
    <cellStyle name="_IRT CPEE_fev07_SOBRECONTRATAÇÃO E CVA A-1_IRT-cálculo CAPA NEUTRALIDADE" xfId="2808" xr:uid="{00000000-0005-0000-0000-0000A7070000}"/>
    <cellStyle name="_IRT Energipe 2007" xfId="2809" xr:uid="{00000000-0005-0000-0000-0000A8070000}"/>
    <cellStyle name="_IRT IGUAÇU_2007 (2)" xfId="2810" xr:uid="{00000000-0005-0000-0000-0000A9070000}"/>
    <cellStyle name="_IRT SAELPA-2006" xfId="2811" xr:uid="{00000000-0005-0000-0000-0000AA070000}"/>
    <cellStyle name="_IRT SAELPA-2006_CVA Borborema 2010 - Fiscalizada Final" xfId="2812" xr:uid="{00000000-0005-0000-0000-0000AB070000}"/>
    <cellStyle name="_IRT_2006_Sulgipe_Final" xfId="274" xr:uid="{00000000-0005-0000-0000-0000AC070000}"/>
    <cellStyle name="_IRT_2006_Sulgipe_Final 2" xfId="1292" xr:uid="{00000000-0005-0000-0000-0000AD070000}"/>
    <cellStyle name="_IRT_2006_Sulgipe_Final 3" xfId="2813" xr:uid="{00000000-0005-0000-0000-0000AE070000}"/>
    <cellStyle name="_IRT_2006_Sulgipe_Final_Balanço" xfId="275" xr:uid="{00000000-0005-0000-0000-0000AF070000}"/>
    <cellStyle name="_IRT_2006_Sulgipe_Final_casulo 15" xfId="276" xr:uid="{00000000-0005-0000-0000-0000B0070000}"/>
    <cellStyle name="_IRT_2006_Sulgipe_Final_COELCE  ICMS Não Compensado RTO 2012 281211" xfId="2814" xr:uid="{00000000-0005-0000-0000-0000B1070000}"/>
    <cellStyle name="_IRT_2006_Sulgipe_Final_COELCE - RTO 2011 - PLPT_PLANILHA_CÁLCULO_DÉFICIT" xfId="2815" xr:uid="{00000000-0005-0000-0000-0000B2070000}"/>
    <cellStyle name="_IRT_2006_Sulgipe_Final_Exposição_Agosto 2" xfId="2816" xr:uid="{00000000-0005-0000-0000-0000B3070000}"/>
    <cellStyle name="_IRT_2006_Sulgipe_Final_IRT EEB 2010" xfId="2817" xr:uid="{00000000-0005-0000-0000-0000B4070000}"/>
    <cellStyle name="_IRT_2006_Sulgipe_Final_IRT_Revisão A-2" xfId="2818" xr:uid="{00000000-0005-0000-0000-0000B5070000}"/>
    <cellStyle name="_IRT_2006_Sulgipe_Final_IRT-cálculo" xfId="2819" xr:uid="{00000000-0005-0000-0000-0000B6070000}"/>
    <cellStyle name="_IRT_2006_Sulgipe_Final_Simulação AES SUL 03_04_07" xfId="277" xr:uid="{00000000-0005-0000-0000-0000B7070000}"/>
    <cellStyle name="_IRT_2006_Sulgipe_Final_Simulação AES SUL 03_04_07 2" xfId="1293" xr:uid="{00000000-0005-0000-0000-0000B8070000}"/>
    <cellStyle name="_IRT_2006_Sulgipe_Final_Simulação AES SUL 03_04_07 3" xfId="2820" xr:uid="{00000000-0005-0000-0000-0000B9070000}"/>
    <cellStyle name="_IRT_2006_Sulgipe_Final_Simulação AES SUL 03_04_07_Balanço" xfId="278" xr:uid="{00000000-0005-0000-0000-0000BA070000}"/>
    <cellStyle name="_IRT_2006_Sulgipe_Final_Simulação AES SUL 03_04_07_casulo 15" xfId="279" xr:uid="{00000000-0005-0000-0000-0000BB070000}"/>
    <cellStyle name="_IRT_2006_Sulgipe_Final_Simulação AES SUL 03_04_07_IRT EEB 2010" xfId="2821" xr:uid="{00000000-0005-0000-0000-0000BC070000}"/>
    <cellStyle name="_IRT_2006_Sulgipe_Final_Simulação congelamento COELCE 2011 - Propostas 3ª Fase AP040 (20.12.2011)" xfId="2822" xr:uid="{00000000-0005-0000-0000-0000BD070000}"/>
    <cellStyle name="_IRT_2006_Sulgipe_Final_Sobrecontratação AES (2)" xfId="280" xr:uid="{00000000-0005-0000-0000-0000BE070000}"/>
    <cellStyle name="_IRT_2006_Sulgipe_Final_Sobrecontratação AES (2) 2" xfId="1294" xr:uid="{00000000-0005-0000-0000-0000BF070000}"/>
    <cellStyle name="_IRT_2006_Sulgipe_Final_Sobrecontratação AES (2) 3" xfId="2823" xr:uid="{00000000-0005-0000-0000-0000C0070000}"/>
    <cellStyle name="_IRT_2006_Sulgipe_Final_Sobrecontratação AES (2)_Balanço" xfId="281" xr:uid="{00000000-0005-0000-0000-0000C1070000}"/>
    <cellStyle name="_IRT_2006_Sulgipe_Final_Sobrecontratação AES (2)_casulo 15" xfId="282" xr:uid="{00000000-0005-0000-0000-0000C2070000}"/>
    <cellStyle name="_IRT_2006_Sulgipe_Final_Sobrecontratação AES (2)_IRT EEB 2010" xfId="2824" xr:uid="{00000000-0005-0000-0000-0000C3070000}"/>
    <cellStyle name="_IRT_2006_Sulgipe_Final_SOBRECONTRATAÇÃO E CVA" xfId="2825" xr:uid="{00000000-0005-0000-0000-0000C4070000}"/>
    <cellStyle name="_IRT_Bragantina_maio_2009" xfId="2826" xr:uid="{00000000-0005-0000-0000-0000C5070000}"/>
    <cellStyle name="_IRT_CAT_LEO" xfId="2827" xr:uid="{00000000-0005-0000-0000-0000C6070000}"/>
    <cellStyle name="_IRT_CAT_LEO_CVA Borborema 2010 - Fiscalizada Final" xfId="2828" xr:uid="{00000000-0005-0000-0000-0000C7070000}"/>
    <cellStyle name="_IRT_CEEE_OUT2009" xfId="2829" xr:uid="{00000000-0005-0000-0000-0000C8070000}"/>
    <cellStyle name="_IRT_CELG_setembro2007_pósIPCA" xfId="2830" xr:uid="{00000000-0005-0000-0000-0000C9070000}"/>
    <cellStyle name="_IRT_CELG_setembro2007_pósIPCA_Cálculo do Financeiro do Baixa Renda" xfId="2831" xr:uid="{00000000-0005-0000-0000-0000CA070000}"/>
    <cellStyle name="_IRT_CELG_setembro2007_pósIPCA_Cálculo do Financeiro do Baixa Renda_IRT-cálculo" xfId="2832" xr:uid="{00000000-0005-0000-0000-0000CB070000}"/>
    <cellStyle name="_IRT_CELG_setembro2007_pósIPCA_Cálculo do Financeiro do Baixa Renda_IRT-cálculo CAPA NEUTRALIDADE" xfId="2833" xr:uid="{00000000-0005-0000-0000-0000CC070000}"/>
    <cellStyle name="_IRT_CELG_setembro2007_pósIPCA_Custo com Avaliação de Ativos para Base de Remuneração" xfId="2834" xr:uid="{00000000-0005-0000-0000-0000CD070000}"/>
    <cellStyle name="_IRT_CELG_setembro2007_pósIPCA_Custo com Avaliação de Ativos para Base de Remuneração_IRT-cálculo" xfId="2835" xr:uid="{00000000-0005-0000-0000-0000CE070000}"/>
    <cellStyle name="_IRT_CELG_setembro2007_pósIPCA_Custo com Avaliação de Ativos para Base de Remuneração_IRT-cálculo CAPA NEUTRALIDADE" xfId="2836" xr:uid="{00000000-0005-0000-0000-0000CF070000}"/>
    <cellStyle name="_IRT_CELG_setembro2007_pósIPCA_IF - Autoprodutores 2" xfId="2837" xr:uid="{00000000-0005-0000-0000-0000D0070000}"/>
    <cellStyle name="_IRT_CELG_setembro2007_pósIPCA_IF_Consumidores livres e geradoras_2010" xfId="2838" xr:uid="{00000000-0005-0000-0000-0000D1070000}"/>
    <cellStyle name="_IRT_CELG_setembro2007_pósIPCA_IRT-cálculo" xfId="43052" xr:uid="{00000000-0005-0000-0000-0000D2070000}"/>
    <cellStyle name="_IRT_CELG_setembro2007_pósIPCA_Sheet1" xfId="2839" xr:uid="{00000000-0005-0000-0000-0000D3070000}"/>
    <cellStyle name="_IRT_CELPE_abril_2007_hermano vfinal" xfId="43053" xr:uid="{00000000-0005-0000-0000-0000D4070000}"/>
    <cellStyle name="_IRT_CELPE_abril_2007_hermano vfinal teste" xfId="43054" xr:uid="{00000000-0005-0000-0000-0000D5070000}"/>
    <cellStyle name="_IRT_CEMAR_2007_VDef" xfId="283" xr:uid="{00000000-0005-0000-0000-0000D6070000}"/>
    <cellStyle name="_IRT_CEMAR_2007_VDef_IF - Autoprodutores 2" xfId="2840" xr:uid="{00000000-0005-0000-0000-0000D7070000}"/>
    <cellStyle name="_IRT_CEMAR_2007_VDef_IF_Consumidores livres e geradoras_2010" xfId="2841" xr:uid="{00000000-0005-0000-0000-0000D8070000}"/>
    <cellStyle name="_IRT_CEMAR_2007_VDef_IRT-cálculo" xfId="2842" xr:uid="{00000000-0005-0000-0000-0000D9070000}"/>
    <cellStyle name="_IRT_CEMAR_2007_VDef_Sheet1" xfId="2843" xr:uid="{00000000-0005-0000-0000-0000DA070000}"/>
    <cellStyle name="_IRT_CEMAT_2009" xfId="2844" xr:uid="{00000000-0005-0000-0000-0000DB070000}"/>
    <cellStyle name="_IRT_CEMIG_abr 2009" xfId="1591" xr:uid="{00000000-0005-0000-0000-0000DC070000}"/>
    <cellStyle name="_IRT_CERON_2008" xfId="43055" xr:uid="{00000000-0005-0000-0000-0000DD070000}"/>
    <cellStyle name="_IRT_COELCE_abr2008_prévia6 final" xfId="43056" xr:uid="{00000000-0005-0000-0000-0000DE070000}"/>
    <cellStyle name="_IRT_COPEL-DIS_junho2007" xfId="284" xr:uid="{00000000-0005-0000-0000-0000DF070000}"/>
    <cellStyle name="_IRT_COPEL-DIS_junho2007_atualização serviços taxados" xfId="43057" xr:uid="{00000000-0005-0000-0000-0000E0070000}"/>
    <cellStyle name="_IRT_COPEL-DIS_junho2007_Cálculo do Financeiro do Baixa Renda" xfId="2845" xr:uid="{00000000-0005-0000-0000-0000E1070000}"/>
    <cellStyle name="_IRT_COPEL-DIS_junho2007_Cálculo do Financeiro do Baixa Renda_IRT-cálculo" xfId="2846" xr:uid="{00000000-0005-0000-0000-0000E2070000}"/>
    <cellStyle name="_IRT_COPEL-DIS_junho2007_Cálculo do Financeiro do Baixa Renda_IRT-cálculo CAPA NEUTRALIDADE" xfId="2847" xr:uid="{00000000-0005-0000-0000-0000E3070000}"/>
    <cellStyle name="_IRT_COPEL-DIS_junho2007_Contratos_Compra_Energia_Fev_09_Jan_10_recebido_06_01_09" xfId="2848" xr:uid="{00000000-0005-0000-0000-0000E4070000}"/>
    <cellStyle name="_IRT_COPEL-DIS_junho2007_CT_DIR_13_2008_Anexo_II_IRT_ESCELSA_Memoria_de_Calculo" xfId="2849" xr:uid="{00000000-0005-0000-0000-0000E5070000}"/>
    <cellStyle name="_IRT_COPEL-DIS_junho2007_Custo com Avaliação de Ativos para Base de Remuneração" xfId="2850" xr:uid="{00000000-0005-0000-0000-0000E6070000}"/>
    <cellStyle name="_IRT_COPEL-DIS_junho2007_Custo com Avaliação de Ativos para Base de Remuneração_IRT-cálculo" xfId="2851" xr:uid="{00000000-0005-0000-0000-0000E7070000}"/>
    <cellStyle name="_IRT_COPEL-DIS_junho2007_Custo com Avaliação de Ativos para Base de Remuneração_IRT-cálculo CAPA NEUTRALIDADE" xfId="2852" xr:uid="{00000000-0005-0000-0000-0000E8070000}"/>
    <cellStyle name="_IRT_COPEL-DIS_junho2007_Energia Comprada" xfId="2853" xr:uid="{00000000-0005-0000-0000-0000E9070000}"/>
    <cellStyle name="_IRT_COPEL-DIS_junho2007_Energia Comprada_IRT-cálculo" xfId="2854" xr:uid="{00000000-0005-0000-0000-0000EA070000}"/>
    <cellStyle name="_IRT_COPEL-DIS_junho2007_Energia Comprada_IRT-cálculo CAPA NEUTRALIDADE" xfId="2855" xr:uid="{00000000-0005-0000-0000-0000EB070000}"/>
    <cellStyle name="_IRT_COPEL-DIS_junho2007_Fator X" xfId="1592" xr:uid="{00000000-0005-0000-0000-0000EC070000}"/>
    <cellStyle name="_IRT_COPEL-DIS_junho2007_Fator X_atualização serviços taxados" xfId="43058" xr:uid="{00000000-0005-0000-0000-0000ED070000}"/>
    <cellStyle name="_IRT_COPEL-DIS_junho2007_Fator X_Financeiro Desconto na TUSD Consumidores Livres Reajuste 2010 - 03_03_2010" xfId="43059" xr:uid="{00000000-0005-0000-0000-0000EE070000}"/>
    <cellStyle name="_IRT_COPEL-DIS_junho2007_Fator X_Financeiro Desconto na TUSD Geradores Reajuste 2010 - 03_03_2010" xfId="43060" xr:uid="{00000000-0005-0000-0000-0000EF070000}"/>
    <cellStyle name="_IRT_COPEL-DIS_junho2007_Fator X_Financeiro Subsídio Baixa Renda Reajuste 2010 - 03_03_2010" xfId="43061" xr:uid="{00000000-0005-0000-0000-0000F0070000}"/>
    <cellStyle name="_IRT_COPEL-DIS_junho2007_Fator X_Financeiro Subsídio Rural Irrigante e Aquicultor Reajuste 2010 - 03_03_2010" xfId="43062" xr:uid="{00000000-0005-0000-0000-0000F1070000}"/>
    <cellStyle name="_IRT_COPEL-DIS_junho2007_Fator X_IRT-cálculo" xfId="2856" xr:uid="{00000000-0005-0000-0000-0000F2070000}"/>
    <cellStyle name="_IRT_COPEL-DIS_junho2007_Fator X_IRT-cálculo CAPA NEUTRALIDADE" xfId="2857" xr:uid="{00000000-0005-0000-0000-0000F3070000}"/>
    <cellStyle name="_IRT_COPEL-DIS_junho2007_Fator X_SOBRECONTRATAÇÃO E CVA" xfId="2858" xr:uid="{00000000-0005-0000-0000-0000F4070000}"/>
    <cellStyle name="_IRT_COPEL-DIS_junho2007_Financeiro Desconto na TUSD Consumidores Livres Reajuste 2010 - 03_03_2010" xfId="43063" xr:uid="{00000000-0005-0000-0000-0000F5070000}"/>
    <cellStyle name="_IRT_COPEL-DIS_junho2007_Financeiro Desconto na TUSD Geradores Reajuste 2010 - 03_03_2010" xfId="43064" xr:uid="{00000000-0005-0000-0000-0000F6070000}"/>
    <cellStyle name="_IRT_COPEL-DIS_junho2007_Financeiro Subsídio Baixa Renda Reajuste 2010 - 03_03_2010" xfId="43065" xr:uid="{00000000-0005-0000-0000-0000F7070000}"/>
    <cellStyle name="_IRT_COPEL-DIS_junho2007_Financeiro Subsídio Rural Irrigante e Aquicultor Reajuste 2010 - 03_03_2010" xfId="43066" xr:uid="{00000000-0005-0000-0000-0000F8070000}"/>
    <cellStyle name="_IRT_COPEL-DIS_junho2007_IF - Autoprodutores 2" xfId="2859" xr:uid="{00000000-0005-0000-0000-0000F9070000}"/>
    <cellStyle name="_IRT_COPEL-DIS_junho2007_IF_Consumidores livres e geradoras_2010" xfId="2860" xr:uid="{00000000-0005-0000-0000-0000FA070000}"/>
    <cellStyle name="_IRT_COPEL-DIS_junho2007_IRT (2)" xfId="1593" xr:uid="{00000000-0005-0000-0000-0000FB070000}"/>
    <cellStyle name="_IRT_COPEL-DIS_junho2007_IRT (2) 2" xfId="2861" xr:uid="{00000000-0005-0000-0000-0000FC070000}"/>
    <cellStyle name="_IRT_COPEL-DIS_junho2007_IRT_1" xfId="1594" xr:uid="{00000000-0005-0000-0000-0000FD070000}"/>
    <cellStyle name="_IRT_COPEL-DIS_junho2007_IRT_1_atualização serviços taxados" xfId="43067" xr:uid="{00000000-0005-0000-0000-0000FE070000}"/>
    <cellStyle name="_IRT_COPEL-DIS_junho2007_IRT_1_Financeiro Desconto na TUSD Consumidores Livres Reajuste 2010 - 03_03_2010" xfId="43068" xr:uid="{00000000-0005-0000-0000-0000FF070000}"/>
    <cellStyle name="_IRT_COPEL-DIS_junho2007_IRT_1_Financeiro Desconto na TUSD Geradores Reajuste 2010 - 03_03_2010" xfId="43069" xr:uid="{00000000-0005-0000-0000-000000080000}"/>
    <cellStyle name="_IRT_COPEL-DIS_junho2007_IRT_1_Financeiro Subsídio Baixa Renda Reajuste 2010 - 03_03_2010" xfId="43070" xr:uid="{00000000-0005-0000-0000-000001080000}"/>
    <cellStyle name="_IRT_COPEL-DIS_junho2007_IRT_1_Financeiro Subsídio Rural Irrigante e Aquicultor Reajuste 2010 - 03_03_2010" xfId="43071" xr:uid="{00000000-0005-0000-0000-000002080000}"/>
    <cellStyle name="_IRT_COPEL-DIS_junho2007_IRT_1_IRT-cálculo" xfId="2862" xr:uid="{00000000-0005-0000-0000-000003080000}"/>
    <cellStyle name="_IRT_COPEL-DIS_junho2007_IRT_1_IRT-cálculo CAPA NEUTRALIDADE" xfId="2863" xr:uid="{00000000-0005-0000-0000-000004080000}"/>
    <cellStyle name="_IRT_COPEL-DIS_junho2007_IRT_1_SOBRECONTRATAÇÃO E CVA" xfId="2864" xr:uid="{00000000-0005-0000-0000-000005080000}"/>
    <cellStyle name="_IRT_COPEL-DIS_junho2007_IRT_ESCELSA_2009_Contratos_Compra_Energia_Ago_08_Jul_10_PerfilCarga_25_06_2009" xfId="2865" xr:uid="{00000000-0005-0000-0000-000006080000}"/>
    <cellStyle name="_IRT_COPEL-DIS_junho2007_IRT_Revisão A-1" xfId="2866" xr:uid="{00000000-0005-0000-0000-000007080000}"/>
    <cellStyle name="_IRT_COPEL-DIS_junho2007_IRT-cálculo" xfId="2867" xr:uid="{00000000-0005-0000-0000-000008080000}"/>
    <cellStyle name="_IRT_COPEL-DIS_junho2007_IRT-cálculo CAPA NEUTRALIDADE" xfId="2868" xr:uid="{00000000-0005-0000-0000-000009080000}"/>
    <cellStyle name="_IRT_COPEL-DIS_junho2007_Pasta1" xfId="1595" xr:uid="{00000000-0005-0000-0000-00000A080000}"/>
    <cellStyle name="_IRT_COPEL-DIS_junho2007_Pasta1_atualização serviços taxados" xfId="43072" xr:uid="{00000000-0005-0000-0000-00000B080000}"/>
    <cellStyle name="_IRT_COPEL-DIS_junho2007_Pasta1_Financeiro Desconto na TUSD Consumidores Livres Reajuste 2010 - 03_03_2010" xfId="43073" xr:uid="{00000000-0005-0000-0000-00000C080000}"/>
    <cellStyle name="_IRT_COPEL-DIS_junho2007_Pasta1_Financeiro Desconto na TUSD Geradores Reajuste 2010 - 03_03_2010" xfId="43074" xr:uid="{00000000-0005-0000-0000-00000D080000}"/>
    <cellStyle name="_IRT_COPEL-DIS_junho2007_Pasta1_Financeiro Subsídio Baixa Renda Reajuste 2010 - 03_03_2010" xfId="43075" xr:uid="{00000000-0005-0000-0000-00000E080000}"/>
    <cellStyle name="_IRT_COPEL-DIS_junho2007_Pasta1_Financeiro Subsídio Rural Irrigante e Aquicultor Reajuste 2010 - 03_03_2010" xfId="43076" xr:uid="{00000000-0005-0000-0000-00000F080000}"/>
    <cellStyle name="_IRT_COPEL-DIS_junho2007_Pasta1_IRT-cálculo" xfId="2869" xr:uid="{00000000-0005-0000-0000-000010080000}"/>
    <cellStyle name="_IRT_COPEL-DIS_junho2007_Pasta1_IRT-cálculo CAPA NEUTRALIDADE" xfId="2870" xr:uid="{00000000-0005-0000-0000-000011080000}"/>
    <cellStyle name="_IRT_COPEL-DIS_junho2007_Pasta1_SOBRECONTRATAÇÃO E CVA" xfId="2871" xr:uid="{00000000-0005-0000-0000-000012080000}"/>
    <cellStyle name="_IRT_COPEL-DIS_junho2007_Sheet1" xfId="2872" xr:uid="{00000000-0005-0000-0000-000013080000}"/>
    <cellStyle name="_IRT_COPEL-DIS_junho2007_Sheet2" xfId="2873" xr:uid="{00000000-0005-0000-0000-000014080000}"/>
    <cellStyle name="_IRT_COPEL-DIS_junho2007_SOBRECONTRATAÇÃO E CVA" xfId="2874" xr:uid="{00000000-0005-0000-0000-000015080000}"/>
    <cellStyle name="_IRT_CPFL_LESTE_PAULISTA(CPEE)_fev2009-COM_PREVISÃO_BR_da_Diretoria_pos_IGPM" xfId="285" xr:uid="{00000000-0005-0000-0000-000016080000}"/>
    <cellStyle name="_IRT_ENERGISA_SE_abr2009" xfId="2875" xr:uid="{00000000-0005-0000-0000-000017080000}"/>
    <cellStyle name="_IRT_ENF" xfId="2876" xr:uid="{00000000-0005-0000-0000-000018080000}"/>
    <cellStyle name="_IRT_Escelsa" xfId="2877" xr:uid="{00000000-0005-0000-0000-000019080000}"/>
    <cellStyle name="_IRT_IRT-cálculo" xfId="2878" xr:uid="{00000000-0005-0000-0000-00001A080000}"/>
    <cellStyle name="_IRT_IRT-cálculo CAPA NEUTRALIDADE" xfId="2879" xr:uid="{00000000-0005-0000-0000-00001B080000}"/>
    <cellStyle name="_IRT_LIGHT_nov2007" xfId="2880" xr:uid="{00000000-0005-0000-0000-00001C080000}"/>
    <cellStyle name="_IRT_LIGHT_nov2007_Cálculo do Financeiro do Baixa Renda" xfId="2881" xr:uid="{00000000-0005-0000-0000-00001D080000}"/>
    <cellStyle name="_IRT_LIGHT_nov2007_Cálculo do Financeiro do Baixa Renda_IRT-cálculo" xfId="2882" xr:uid="{00000000-0005-0000-0000-00001E080000}"/>
    <cellStyle name="_IRT_LIGHT_nov2007_Cálculo do Financeiro do Baixa Renda_IRT-cálculo CAPA NEUTRALIDADE" xfId="2883" xr:uid="{00000000-0005-0000-0000-00001F080000}"/>
    <cellStyle name="_IRT_LIGHT_nov2007_Custo com Avaliação de Ativos para Base de Remuneração" xfId="2884" xr:uid="{00000000-0005-0000-0000-000020080000}"/>
    <cellStyle name="_IRT_LIGHT_nov2007_Custo com Avaliação de Ativos para Base de Remuneração_IRT-cálculo" xfId="2885" xr:uid="{00000000-0005-0000-0000-000021080000}"/>
    <cellStyle name="_IRT_LIGHT_nov2007_Custo com Avaliação de Ativos para Base de Remuneração_IRT-cálculo CAPA NEUTRALIDADE" xfId="2886" xr:uid="{00000000-0005-0000-0000-000022080000}"/>
    <cellStyle name="_IRT_LIGHT_nov2007_IRT-cálculo" xfId="43077" xr:uid="{00000000-0005-0000-0000-000023080000}"/>
    <cellStyle name="_IRT_Planilha Básica_30jun2009" xfId="2887" xr:uid="{00000000-0005-0000-0000-000024080000}"/>
    <cellStyle name="_IRT_Planilha Básica_fev2010a" xfId="286" xr:uid="{00000000-0005-0000-0000-000025080000}"/>
    <cellStyle name="_IRT_Planilha Básica_fev2010a 2" xfId="1295" xr:uid="{00000000-0005-0000-0000-000026080000}"/>
    <cellStyle name="_IRT_Planilha Básica_fev2010a_Balanço" xfId="287" xr:uid="{00000000-0005-0000-0000-000027080000}"/>
    <cellStyle name="_IRT_Planilha Básica_fev2010a_casulo 15" xfId="288" xr:uid="{00000000-0005-0000-0000-000028080000}"/>
    <cellStyle name="_IRT_Planilha Básica_fev2010a_IRT EEB 2010" xfId="2888" xr:uid="{00000000-0005-0000-0000-000029080000}"/>
    <cellStyle name="_IRT_Planilha Básica_jun2009" xfId="2889" xr:uid="{00000000-0005-0000-0000-00002A080000}"/>
    <cellStyle name="_IRT_Planilha Básica_mar2010b" xfId="2890" xr:uid="{00000000-0005-0000-0000-00002B080000}"/>
    <cellStyle name="_IRT_Planilha Básica_março2009" xfId="289" xr:uid="{00000000-0005-0000-0000-00002C080000}"/>
    <cellStyle name="_IRT_Planilha Básica_março2009_COELCE  ICMS Não Compensado RTO 2012 281211" xfId="2891" xr:uid="{00000000-0005-0000-0000-00002D080000}"/>
    <cellStyle name="_IRT_Planilha Básica_março2009_COELCE - RTO 2011 - PLPT_PLANILHA_CÁLCULO_DÉFICIT" xfId="2892" xr:uid="{00000000-0005-0000-0000-00002E080000}"/>
    <cellStyle name="_IRT_Planilha Básica_março2009_IRT Piratininga 2009" xfId="290" xr:uid="{00000000-0005-0000-0000-00002F080000}"/>
    <cellStyle name="_IRT_Planilha Básica_março2009_IRT Piratininga 2009 2" xfId="1296" xr:uid="{00000000-0005-0000-0000-000030080000}"/>
    <cellStyle name="_IRT_Planilha Básica_março2009_IRT_Planilha Básica_ CETRIL" xfId="291" xr:uid="{00000000-0005-0000-0000-000031080000}"/>
    <cellStyle name="_IRT_Planilha Básica_março2009_IRT_Planilha Básica_ CETRIL 2" xfId="1297" xr:uid="{00000000-0005-0000-0000-000032080000}"/>
    <cellStyle name="_IRT_Planilha Básica_março2009_Simulação congelamento COELCE 2011 - Propostas 3ª Fase AP040 (20.12.2011)" xfId="2893" xr:uid="{00000000-0005-0000-0000-000033080000}"/>
    <cellStyle name="_IRT_Planilha Básica_NOVA METODOLOGIA" xfId="2894" xr:uid="{00000000-0005-0000-0000-000034080000}"/>
    <cellStyle name="_IRT_Planilha Básica_set2009" xfId="2895" xr:uid="{00000000-0005-0000-0000-000035080000}"/>
    <cellStyle name="_IRT_Pleito" xfId="2896" xr:uid="{00000000-0005-0000-0000-000036080000}"/>
    <cellStyle name="_IRT_Pleito_IRT-cálculo" xfId="2897" xr:uid="{00000000-0005-0000-0000-000037080000}"/>
    <cellStyle name="_IRT_Pleito_IRT-cálculo CAPA NEUTRALIDADE" xfId="2898" xr:uid="{00000000-0005-0000-0000-000038080000}"/>
    <cellStyle name="_IRT_Revisão A-1" xfId="2899" xr:uid="{00000000-0005-0000-0000-000039080000}"/>
    <cellStyle name="_IRT_Revisão A-2" xfId="2900" xr:uid="{00000000-0005-0000-0000-00003A080000}"/>
    <cellStyle name="_IRT_Santa 2010" xfId="2901" xr:uid="{00000000-0005-0000-0000-00003B080000}"/>
    <cellStyle name="_IRT_SantaCruzpós IGPM" xfId="2902" xr:uid="{00000000-0005-0000-0000-00003C080000}"/>
    <cellStyle name="_IRT2006_CEB_Final" xfId="292" xr:uid="{00000000-0005-0000-0000-00003D080000}"/>
    <cellStyle name="_IRT2006_CEB_Final 2" xfId="1298" xr:uid="{00000000-0005-0000-0000-00003E080000}"/>
    <cellStyle name="_IRT2006_CEB_Final 3" xfId="2903" xr:uid="{00000000-0005-0000-0000-00003F080000}"/>
    <cellStyle name="_IRT2006_CEB_Final_Balanço" xfId="293" xr:uid="{00000000-0005-0000-0000-000040080000}"/>
    <cellStyle name="_IRT2006_CEB_Final_casulo 15" xfId="294" xr:uid="{00000000-0005-0000-0000-000041080000}"/>
    <cellStyle name="_IRT2006_CEB_Final_Exposição_Agosto 2" xfId="2904" xr:uid="{00000000-0005-0000-0000-000042080000}"/>
    <cellStyle name="_IRT2006_CEB_Final_IRT EEB 2010" xfId="2905" xr:uid="{00000000-0005-0000-0000-000043080000}"/>
    <cellStyle name="_IRT2006_CEB_Final_IRT_Revisão A-2" xfId="2906" xr:uid="{00000000-0005-0000-0000-000044080000}"/>
    <cellStyle name="_IRT2006_CEB_Final_Simulação AES SUL 03_04_07" xfId="295" xr:uid="{00000000-0005-0000-0000-000045080000}"/>
    <cellStyle name="_IRT2006_CEB_Final_Simulação AES SUL 03_04_07 2" xfId="1299" xr:uid="{00000000-0005-0000-0000-000046080000}"/>
    <cellStyle name="_IRT2006_CEB_Final_Simulação AES SUL 03_04_07 3" xfId="2907" xr:uid="{00000000-0005-0000-0000-000047080000}"/>
    <cellStyle name="_IRT2006_CEB_Final_Simulação AES SUL 03_04_07_Balanço" xfId="296" xr:uid="{00000000-0005-0000-0000-000048080000}"/>
    <cellStyle name="_IRT2006_CEB_Final_Simulação AES SUL 03_04_07_casulo 15" xfId="297" xr:uid="{00000000-0005-0000-0000-000049080000}"/>
    <cellStyle name="_IRT2006_CEB_Final_Simulação AES SUL 03_04_07_IRT EEB 2010" xfId="2908" xr:uid="{00000000-0005-0000-0000-00004A080000}"/>
    <cellStyle name="_IRT2006_CEB_Final_Sobrecontratação AES (2)" xfId="298" xr:uid="{00000000-0005-0000-0000-00004B080000}"/>
    <cellStyle name="_IRT2006_CEB_Final_Sobrecontratação AES (2) 2" xfId="1300" xr:uid="{00000000-0005-0000-0000-00004C080000}"/>
    <cellStyle name="_IRT2006_CEB_Final_Sobrecontratação AES (2) 3" xfId="2909" xr:uid="{00000000-0005-0000-0000-00004D080000}"/>
    <cellStyle name="_IRT2006_CEB_Final_Sobrecontratação AES (2)_Balanço" xfId="299" xr:uid="{00000000-0005-0000-0000-00004E080000}"/>
    <cellStyle name="_IRT2006_CEB_Final_Sobrecontratação AES (2)_casulo 15" xfId="300" xr:uid="{00000000-0005-0000-0000-00004F080000}"/>
    <cellStyle name="_IRT2006_CEB_Final_Sobrecontratação AES (2)_IRT EEB 2010" xfId="2910" xr:uid="{00000000-0005-0000-0000-000050080000}"/>
    <cellStyle name="_IRT-2010_COPEL_PLPT_CALCULO_DEFICIT_RES_294_V4" xfId="1596" xr:uid="{00000000-0005-0000-0000-000051080000}"/>
    <cellStyle name="_IRT-2010_COPEL_SOBRECONTRATAÇÃOeCVAenergia" xfId="1597" xr:uid="{00000000-0005-0000-0000-000052080000}"/>
    <cellStyle name="_IRT-cálculo" xfId="2911" xr:uid="{00000000-0005-0000-0000-000053080000}"/>
    <cellStyle name="_Modelo  Repasse sobrecontratação" xfId="1598" xr:uid="{00000000-0005-0000-0000-000054080000}"/>
    <cellStyle name="_Modelo  Repasse sobrecontratação 2" xfId="2912" xr:uid="{00000000-0005-0000-0000-000055080000}"/>
    <cellStyle name="_Modelo IRT ANEELl_2010" xfId="43078" xr:uid="{00000000-0005-0000-0000-000056080000}"/>
    <cellStyle name="_MODELO PLANILHAS IRT-versão 2" xfId="301" xr:uid="{00000000-0005-0000-0000-000057080000}"/>
    <cellStyle name="_MODELO PLANILHAS IRT-versão 2_atualização serviços taxados" xfId="43079" xr:uid="{00000000-0005-0000-0000-000058080000}"/>
    <cellStyle name="_MODELO PLANILHAS IRT-versão 2_Calculo_Subsidio_ELFSM_26_06_08_Modelo_ANEEL" xfId="2913" xr:uid="{00000000-0005-0000-0000-000059080000}"/>
    <cellStyle name="_MODELO PLANILHAS IRT-versão 2_Calculo_Subsidio_ELFSM_26_06_08_Modelo_ANEEL_IRT-cálculo" xfId="2914" xr:uid="{00000000-0005-0000-0000-00005A080000}"/>
    <cellStyle name="_MODELO PLANILHAS IRT-versão 2_Calculo_Subsidio_ELFSM_26_06_08_Modelo_ANEEL_IRT-cálculo CAPA NEUTRALIDADE" xfId="2915" xr:uid="{00000000-0005-0000-0000-00005B080000}"/>
    <cellStyle name="_MODELO PLANILHAS IRT-versão 2_CVA_Projetada até dez-2008_Setembro" xfId="2916" xr:uid="{00000000-0005-0000-0000-00005C080000}"/>
    <cellStyle name="_MODELO PLANILHAS IRT-versão 2_CVA_Projetada até dez-2008_Setembro_CVA Outros Componentes PROVISÃO" xfId="2917" xr:uid="{00000000-0005-0000-0000-00005D080000}"/>
    <cellStyle name="_MODELO PLANILHAS IRT-versão 2_CVA_Projetada até dez-2008_Setembro_PROVISÃO" xfId="2918" xr:uid="{00000000-0005-0000-0000-00005E080000}"/>
    <cellStyle name="_MODELO PLANILHAS IRT-versão 2_Energia Comprada" xfId="2919" xr:uid="{00000000-0005-0000-0000-00005F080000}"/>
    <cellStyle name="_MODELO PLANILHAS IRT-versão 2_Energia Comprada_IRT-cálculo" xfId="2920" xr:uid="{00000000-0005-0000-0000-000060080000}"/>
    <cellStyle name="_MODELO PLANILHAS IRT-versão 2_Energia Comprada_IRT-cálculo CAPA NEUTRALIDADE" xfId="2921" xr:uid="{00000000-0005-0000-0000-000061080000}"/>
    <cellStyle name="_MODELO PLANILHAS IRT-versão 2_Fator X" xfId="1599" xr:uid="{00000000-0005-0000-0000-000062080000}"/>
    <cellStyle name="_MODELO PLANILHAS IRT-versão 2_Fator X_atualização serviços taxados" xfId="43080" xr:uid="{00000000-0005-0000-0000-000063080000}"/>
    <cellStyle name="_MODELO PLANILHAS IRT-versão 2_Fator X_Financeiro Desconto na TUSD Consumidores Livres Reajuste 2010 - 03_03_2010" xfId="43081" xr:uid="{00000000-0005-0000-0000-000064080000}"/>
    <cellStyle name="_MODELO PLANILHAS IRT-versão 2_Fator X_Financeiro Desconto na TUSD Geradores Reajuste 2010 - 03_03_2010" xfId="43082" xr:uid="{00000000-0005-0000-0000-000065080000}"/>
    <cellStyle name="_MODELO PLANILHAS IRT-versão 2_Fator X_Financeiro Subsídio Baixa Renda Reajuste 2010 - 03_03_2010" xfId="43083" xr:uid="{00000000-0005-0000-0000-000066080000}"/>
    <cellStyle name="_MODELO PLANILHAS IRT-versão 2_Fator X_Financeiro Subsídio Rural Irrigante e Aquicultor Reajuste 2010 - 03_03_2010" xfId="43084" xr:uid="{00000000-0005-0000-0000-000067080000}"/>
    <cellStyle name="_MODELO PLANILHAS IRT-versão 2_Fator X_IRT-cálculo" xfId="2922" xr:uid="{00000000-0005-0000-0000-000068080000}"/>
    <cellStyle name="_MODELO PLANILHAS IRT-versão 2_Fator X_IRT-cálculo CAPA NEUTRALIDADE" xfId="2923" xr:uid="{00000000-0005-0000-0000-000069080000}"/>
    <cellStyle name="_MODELO PLANILHAS IRT-versão 2_Fator X_SOBRECONTRATAÇÃO E CVA" xfId="2924" xr:uid="{00000000-0005-0000-0000-00006A080000}"/>
    <cellStyle name="_MODELO PLANILHAS IRT-versão 2_Financeiro Desconto na TUSD Consumidores Livres Reajuste 2010 - 03_03_2010" xfId="43085" xr:uid="{00000000-0005-0000-0000-00006B080000}"/>
    <cellStyle name="_MODELO PLANILHAS IRT-versão 2_Financeiro Desconto na TUSD Geradores Reajuste 2010 - 03_03_2010" xfId="43086" xr:uid="{00000000-0005-0000-0000-00006C080000}"/>
    <cellStyle name="_MODELO PLANILHAS IRT-versão 2_Financeiro Subsídio Baixa Renda Reajuste 2010 - 03_03_2010" xfId="43087" xr:uid="{00000000-0005-0000-0000-00006D080000}"/>
    <cellStyle name="_MODELO PLANILHAS IRT-versão 2_Financeiro Subsídio Rural Irrigante e Aquicultor Reajuste 2010 - 03_03_2010" xfId="43088" xr:uid="{00000000-0005-0000-0000-00006E080000}"/>
    <cellStyle name="_MODELO PLANILHAS IRT-versão 2_IF - Autoprodutores 2" xfId="2925" xr:uid="{00000000-0005-0000-0000-00006F080000}"/>
    <cellStyle name="_MODELO PLANILHAS IRT-versão 2_IF_Consumidores livres e geradoras_2010" xfId="2926" xr:uid="{00000000-0005-0000-0000-000070080000}"/>
    <cellStyle name="_MODELO PLANILHAS IRT-versão 2_IRT (2)" xfId="1600" xr:uid="{00000000-0005-0000-0000-000071080000}"/>
    <cellStyle name="_MODELO PLANILHAS IRT-versão 2_IRT (2) 2" xfId="2927" xr:uid="{00000000-0005-0000-0000-000072080000}"/>
    <cellStyle name="_MODELO PLANILHAS IRT-versão 2_IRT_1" xfId="1601" xr:uid="{00000000-0005-0000-0000-000073080000}"/>
    <cellStyle name="_MODELO PLANILHAS IRT-versão 2_IRT_1_atualização serviços taxados" xfId="43089" xr:uid="{00000000-0005-0000-0000-000074080000}"/>
    <cellStyle name="_MODELO PLANILHAS IRT-versão 2_IRT_1_Financeiro Desconto na TUSD Consumidores Livres Reajuste 2010 - 03_03_2010" xfId="43090" xr:uid="{00000000-0005-0000-0000-000075080000}"/>
    <cellStyle name="_MODELO PLANILHAS IRT-versão 2_IRT_1_Financeiro Desconto na TUSD Geradores Reajuste 2010 - 03_03_2010" xfId="43091" xr:uid="{00000000-0005-0000-0000-000076080000}"/>
    <cellStyle name="_MODELO PLANILHAS IRT-versão 2_IRT_1_Financeiro Subsídio Baixa Renda Reajuste 2010 - 03_03_2010" xfId="43092" xr:uid="{00000000-0005-0000-0000-000077080000}"/>
    <cellStyle name="_MODELO PLANILHAS IRT-versão 2_IRT_1_Financeiro Subsídio Rural Irrigante e Aquicultor Reajuste 2010 - 03_03_2010" xfId="43093" xr:uid="{00000000-0005-0000-0000-000078080000}"/>
    <cellStyle name="_MODELO PLANILHAS IRT-versão 2_IRT_1_IRT-cálculo" xfId="2928" xr:uid="{00000000-0005-0000-0000-000079080000}"/>
    <cellStyle name="_MODELO PLANILHAS IRT-versão 2_IRT_1_IRT-cálculo CAPA NEUTRALIDADE" xfId="2929" xr:uid="{00000000-0005-0000-0000-00007A080000}"/>
    <cellStyle name="_MODELO PLANILHAS IRT-versão 2_IRT_1_SOBRECONTRATAÇÃO E CVA" xfId="2930" xr:uid="{00000000-0005-0000-0000-00007B080000}"/>
    <cellStyle name="_MODELO PLANILHAS IRT-versão 2_IRT_Planilha Básica_ CETRIL" xfId="302" xr:uid="{00000000-0005-0000-0000-00007C080000}"/>
    <cellStyle name="_MODELO PLANILHAS IRT-versão 2_IRT_Planilha Básica_ CETRIL 2" xfId="1301" xr:uid="{00000000-0005-0000-0000-00007D080000}"/>
    <cellStyle name="_MODELO PLANILHAS IRT-versão 2_IRT_Pleito" xfId="2931" xr:uid="{00000000-0005-0000-0000-00007E080000}"/>
    <cellStyle name="_MODELO PLANILHAS IRT-versão 2_IRT_Pleito_IRT-cálculo" xfId="2932" xr:uid="{00000000-0005-0000-0000-00007F080000}"/>
    <cellStyle name="_MODELO PLANILHAS IRT-versão 2_IRT_Pleito_IRT-cálculo CAPA NEUTRALIDADE" xfId="2933" xr:uid="{00000000-0005-0000-0000-000080080000}"/>
    <cellStyle name="_MODELO PLANILHAS IRT-versão 2_IRT_Revisão A-1" xfId="2934" xr:uid="{00000000-0005-0000-0000-000081080000}"/>
    <cellStyle name="_MODELO PLANILHAS IRT-versão 2_IRT-cálculo" xfId="2935" xr:uid="{00000000-0005-0000-0000-000082080000}"/>
    <cellStyle name="_MODELO PLANILHAS IRT-versão 2_IRT-cálculo CAPA NEUTRALIDADE" xfId="2936" xr:uid="{00000000-0005-0000-0000-000083080000}"/>
    <cellStyle name="_MODELO PLANILHAS IRT-versão 2_Pasta1" xfId="1602" xr:uid="{00000000-0005-0000-0000-000084080000}"/>
    <cellStyle name="_MODELO PLANILHAS IRT-versão 2_Pasta1_atualização serviços taxados" xfId="43094" xr:uid="{00000000-0005-0000-0000-000085080000}"/>
    <cellStyle name="_MODELO PLANILHAS IRT-versão 2_Pasta1_Financeiro Desconto na TUSD Consumidores Livres Reajuste 2010 - 03_03_2010" xfId="43095" xr:uid="{00000000-0005-0000-0000-000086080000}"/>
    <cellStyle name="_MODELO PLANILHAS IRT-versão 2_Pasta1_Financeiro Desconto na TUSD Geradores Reajuste 2010 - 03_03_2010" xfId="43096" xr:uid="{00000000-0005-0000-0000-000087080000}"/>
    <cellStyle name="_MODELO PLANILHAS IRT-versão 2_Pasta1_Financeiro Subsídio Baixa Renda Reajuste 2010 - 03_03_2010" xfId="43097" xr:uid="{00000000-0005-0000-0000-000088080000}"/>
    <cellStyle name="_MODELO PLANILHAS IRT-versão 2_Pasta1_Financeiro Subsídio Rural Irrigante e Aquicultor Reajuste 2010 - 03_03_2010" xfId="43098" xr:uid="{00000000-0005-0000-0000-000089080000}"/>
    <cellStyle name="_MODELO PLANILHAS IRT-versão 2_Pasta1_IRT-cálculo" xfId="2937" xr:uid="{00000000-0005-0000-0000-00008A080000}"/>
    <cellStyle name="_MODELO PLANILHAS IRT-versão 2_Pasta1_IRT-cálculo CAPA NEUTRALIDADE" xfId="2938" xr:uid="{00000000-0005-0000-0000-00008B080000}"/>
    <cellStyle name="_MODELO PLANILHAS IRT-versão 2_Pasta1_SOBRECONTRATAÇÃO E CVA" xfId="2939" xr:uid="{00000000-0005-0000-0000-00008C080000}"/>
    <cellStyle name="_MODELO PLANILHAS IRT-versão 2_Sheet1" xfId="2940" xr:uid="{00000000-0005-0000-0000-00008D080000}"/>
    <cellStyle name="_MODELO PLANILHAS IRT-versão 2_SOBRECONTRATAÇÃO E CVA" xfId="2941" xr:uid="{00000000-0005-0000-0000-00008E080000}"/>
    <cellStyle name="_MODELO PLANILHAS IRT-versão 2_SOBRECONTRATAÇÃO E CVA A-1" xfId="2942" xr:uid="{00000000-0005-0000-0000-00008F080000}"/>
    <cellStyle name="_MODELO PLANILHAS IRT-versão 2_SOBRECONTRATAÇÃO E CVA A-1_IRT-cálculo" xfId="2943" xr:uid="{00000000-0005-0000-0000-000090080000}"/>
    <cellStyle name="_MODELO PLANILHAS IRT-versão 2_SOBRECONTRATAÇÃO E CVA A-1_IRT-cálculo CAPA NEUTRALIDADE" xfId="2944" xr:uid="{00000000-0005-0000-0000-000091080000}"/>
    <cellStyle name="_MODELO SALDO CVA" xfId="303" xr:uid="{00000000-0005-0000-0000-000092080000}"/>
    <cellStyle name="_MODELO SALDO CVA 2" xfId="1302" xr:uid="{00000000-0005-0000-0000-000093080000}"/>
    <cellStyle name="_MODELO SALDO CVA 3" xfId="2945" xr:uid="{00000000-0005-0000-0000-000094080000}"/>
    <cellStyle name="_MODELO SALDO CVA_Balanço" xfId="304" xr:uid="{00000000-0005-0000-0000-000095080000}"/>
    <cellStyle name="_MODELO SALDO CVA_casulo 15" xfId="305" xr:uid="{00000000-0005-0000-0000-000096080000}"/>
    <cellStyle name="_MODELO SALDO CVA_Exposição_Agosto 2" xfId="2946" xr:uid="{00000000-0005-0000-0000-000097080000}"/>
    <cellStyle name="_MODELO SALDO CVA_IRT EEB 2010" xfId="2947" xr:uid="{00000000-0005-0000-0000-000098080000}"/>
    <cellStyle name="_MODELO SALDO CVA_IRT_Revisão A-2" xfId="2948" xr:uid="{00000000-0005-0000-0000-000099080000}"/>
    <cellStyle name="_MODELO SALDO CVA_Simulação AES SUL 03_04_07" xfId="306" xr:uid="{00000000-0005-0000-0000-00009A080000}"/>
    <cellStyle name="_MODELO SALDO CVA_Simulação AES SUL 03_04_07 2" xfId="1303" xr:uid="{00000000-0005-0000-0000-00009B080000}"/>
    <cellStyle name="_MODELO SALDO CVA_Simulação AES SUL 03_04_07 3" xfId="2949" xr:uid="{00000000-0005-0000-0000-00009C080000}"/>
    <cellStyle name="_MODELO SALDO CVA_Simulação AES SUL 03_04_07_Balanço" xfId="307" xr:uid="{00000000-0005-0000-0000-00009D080000}"/>
    <cellStyle name="_MODELO SALDO CVA_Simulação AES SUL 03_04_07_casulo 15" xfId="308" xr:uid="{00000000-0005-0000-0000-00009E080000}"/>
    <cellStyle name="_MODELO SALDO CVA_Simulação AES SUL 03_04_07_IRT EEB 2010" xfId="2950" xr:uid="{00000000-0005-0000-0000-00009F080000}"/>
    <cellStyle name="_MODELO SALDO CVA_Sobrecontratação AES (2)" xfId="309" xr:uid="{00000000-0005-0000-0000-0000A0080000}"/>
    <cellStyle name="_MODELO SALDO CVA_Sobrecontratação AES (2) 2" xfId="1304" xr:uid="{00000000-0005-0000-0000-0000A1080000}"/>
    <cellStyle name="_MODELO SALDO CVA_Sobrecontratação AES (2) 3" xfId="2951" xr:uid="{00000000-0005-0000-0000-0000A2080000}"/>
    <cellStyle name="_MODELO SALDO CVA_Sobrecontratação AES (2)_Balanço" xfId="310" xr:uid="{00000000-0005-0000-0000-0000A3080000}"/>
    <cellStyle name="_MODELO SALDO CVA_Sobrecontratação AES (2)_casulo 15" xfId="311" xr:uid="{00000000-0005-0000-0000-0000A4080000}"/>
    <cellStyle name="_MODELO SALDO CVA_Sobrecontratação AES (2)_IRT EEB 2010" xfId="2952" xr:uid="{00000000-0005-0000-0000-0000A5080000}"/>
    <cellStyle name="_modelo_Sobrecontratacao" xfId="2953" xr:uid="{00000000-0005-0000-0000-0000A6080000}"/>
    <cellStyle name="_Oficio037-Planilha07 v18-04-07c" xfId="2954" xr:uid="{00000000-0005-0000-0000-0000A7080000}"/>
    <cellStyle name="_Oficio037-Planilha07 v18-04-07c_2009.04.09 EEB IRT2009 Conexao CEMIG C Financeiro" xfId="2955" xr:uid="{00000000-0005-0000-0000-0000A8080000}"/>
    <cellStyle name="_Oficio037-Planilha07 v18-04-07c_Base Mercado_EMG" xfId="2956" xr:uid="{00000000-0005-0000-0000-0000A9080000}"/>
    <cellStyle name="_Oficio037-Planilha07 v18-04-07c_IF - Autoprodutores 2" xfId="2957" xr:uid="{00000000-0005-0000-0000-0000AA080000}"/>
    <cellStyle name="_Oficio037-Planilha07 v18-04-07c_IF_Consumidores livres e geradoras_2010" xfId="2958" xr:uid="{00000000-0005-0000-0000-0000AB080000}"/>
    <cellStyle name="_Oficio037-Planilha07 v18-04-07c_IRT-cálculo" xfId="43099" xr:uid="{00000000-0005-0000-0000-0000AC080000}"/>
    <cellStyle name="_Oficio037-Planilha07 v18-04-07c_Pleito_IRT_ESE_2010_Envio_ANEEL_Final_atualizado_05_04" xfId="2959" xr:uid="{00000000-0005-0000-0000-0000AD080000}"/>
    <cellStyle name="_Oficio037-Planilha07 v18-04-07c_Sheet1" xfId="2960" xr:uid="{00000000-0005-0000-0000-0000AE080000}"/>
    <cellStyle name="_passivo PIS_COFINS" xfId="2961" xr:uid="{00000000-0005-0000-0000-0000AF080000}"/>
    <cellStyle name="_passivo PIS_COFINS_atualização serviços taxados" xfId="43100" xr:uid="{00000000-0005-0000-0000-0000B0080000}"/>
    <cellStyle name="_passivo PIS_COFINS_Financeiro Desconto na TUSD Consumidores Livres Reajuste 2010 - 03_03_2010" xfId="43101" xr:uid="{00000000-0005-0000-0000-0000B1080000}"/>
    <cellStyle name="_passivo PIS_COFINS_Financeiro Desconto na TUSD Geradores Reajuste 2010 - 03_03_2010" xfId="43102" xr:uid="{00000000-0005-0000-0000-0000B2080000}"/>
    <cellStyle name="_passivo PIS_COFINS_Financeiro Subsídio Baixa Renda Reajuste 2010 - 03_03_2010" xfId="43103" xr:uid="{00000000-0005-0000-0000-0000B3080000}"/>
    <cellStyle name="_passivo PIS_COFINS_Financeiro Subsídio Rural Irrigante e Aquicultor Reajuste 2010 - 03_03_2010" xfId="43104" xr:uid="{00000000-0005-0000-0000-0000B4080000}"/>
    <cellStyle name="_passivo PIS_COFINS_IF - Autoprodutores 2" xfId="2962" xr:uid="{00000000-0005-0000-0000-0000B5080000}"/>
    <cellStyle name="_passivo PIS_COFINS_IF_Consumidores livres e geradoras_2010" xfId="2963" xr:uid="{00000000-0005-0000-0000-0000B6080000}"/>
    <cellStyle name="_passivo PIS_COFINS_IRT-cálculo" xfId="2964" xr:uid="{00000000-0005-0000-0000-0000B7080000}"/>
    <cellStyle name="_passivo PIS_COFINS_Sheet1" xfId="2965" xr:uid="{00000000-0005-0000-0000-0000B8080000}"/>
    <cellStyle name="_Pasta1" xfId="312" xr:uid="{00000000-0005-0000-0000-0000B9080000}"/>
    <cellStyle name="_Pasta1 2" xfId="1305" xr:uid="{00000000-0005-0000-0000-0000BA080000}"/>
    <cellStyle name="_Pasta1 2 2" xfId="2966" xr:uid="{00000000-0005-0000-0000-0000BB080000}"/>
    <cellStyle name="_Pasta1 3" xfId="2967" xr:uid="{00000000-0005-0000-0000-0000BC080000}"/>
    <cellStyle name="_Pasta1_atualização serviços taxados" xfId="43105" xr:uid="{00000000-0005-0000-0000-0000BD080000}"/>
    <cellStyle name="_Pasta1_Balanço" xfId="313" xr:uid="{00000000-0005-0000-0000-0000BE080000}"/>
    <cellStyle name="_Pasta1_casulo 15" xfId="314" xr:uid="{00000000-0005-0000-0000-0000BF080000}"/>
    <cellStyle name="_Pasta1_CVA Borborema 2010 - Fiscalizada Final" xfId="2968" xr:uid="{00000000-0005-0000-0000-0000C0080000}"/>
    <cellStyle name="_Pasta1_Energia Comprada" xfId="2969" xr:uid="{00000000-0005-0000-0000-0000C1080000}"/>
    <cellStyle name="_Pasta1_Energia Comprada_IRT-cálculo" xfId="2970" xr:uid="{00000000-0005-0000-0000-0000C2080000}"/>
    <cellStyle name="_Pasta1_Energia Comprada_IRT-cálculo CAPA NEUTRALIDADE" xfId="2971" xr:uid="{00000000-0005-0000-0000-0000C3080000}"/>
    <cellStyle name="_Pasta1_Fator X" xfId="1603" xr:uid="{00000000-0005-0000-0000-0000C4080000}"/>
    <cellStyle name="_Pasta1_Fator X 2" xfId="2972" xr:uid="{00000000-0005-0000-0000-0000C5080000}"/>
    <cellStyle name="_Pasta1_Fator X_atualização serviços taxados" xfId="43106" xr:uid="{00000000-0005-0000-0000-0000C6080000}"/>
    <cellStyle name="_Pasta1_Fator X_Financeiro Desconto na TUSD Consumidores Livres Reajuste 2010 - 03_03_2010" xfId="43107" xr:uid="{00000000-0005-0000-0000-0000C7080000}"/>
    <cellStyle name="_Pasta1_Fator X_Financeiro Desconto na TUSD Geradores Reajuste 2010 - 03_03_2010" xfId="43108" xr:uid="{00000000-0005-0000-0000-0000C8080000}"/>
    <cellStyle name="_Pasta1_Fator X_Financeiro Subsídio Baixa Renda Reajuste 2010 - 03_03_2010" xfId="43109" xr:uid="{00000000-0005-0000-0000-0000C9080000}"/>
    <cellStyle name="_Pasta1_Fator X_Financeiro Subsídio Rural Irrigante e Aquicultor Reajuste 2010 - 03_03_2010" xfId="43110" xr:uid="{00000000-0005-0000-0000-0000CA080000}"/>
    <cellStyle name="_Pasta1_Fator X_IRT-cálculo" xfId="2973" xr:uid="{00000000-0005-0000-0000-0000CB080000}"/>
    <cellStyle name="_Pasta1_Fator X_IRT-cálculo CAPA NEUTRALIDADE" xfId="2974" xr:uid="{00000000-0005-0000-0000-0000CC080000}"/>
    <cellStyle name="_Pasta1_Fator X_SOBRECONTRATAÇÃO E CVA" xfId="2975" xr:uid="{00000000-0005-0000-0000-0000CD080000}"/>
    <cellStyle name="_Pasta1_Financeiro Desconto na TUSD Consumidores Livres Reajuste 2010 - 03_03_2010" xfId="43111" xr:uid="{00000000-0005-0000-0000-0000CE080000}"/>
    <cellStyle name="_Pasta1_Financeiro Desconto na TUSD Geradores Reajuste 2010 - 03_03_2010" xfId="43112" xr:uid="{00000000-0005-0000-0000-0000CF080000}"/>
    <cellStyle name="_Pasta1_Financeiro Subsídio Baixa Renda Reajuste 2010 - 03_03_2010" xfId="43113" xr:uid="{00000000-0005-0000-0000-0000D0080000}"/>
    <cellStyle name="_Pasta1_Financeiro Subsídio Rural Irrigante e Aquicultor Reajuste 2010 - 03_03_2010" xfId="43114" xr:uid="{00000000-0005-0000-0000-0000D1080000}"/>
    <cellStyle name="_Pasta1_IRT (2)" xfId="1604" xr:uid="{00000000-0005-0000-0000-0000D2080000}"/>
    <cellStyle name="_Pasta1_IRT EEB 2010" xfId="2976" xr:uid="{00000000-0005-0000-0000-0000D3080000}"/>
    <cellStyle name="_Pasta1_IRT_1" xfId="1605" xr:uid="{00000000-0005-0000-0000-0000D4080000}"/>
    <cellStyle name="_Pasta1_IRT_1 2" xfId="2977" xr:uid="{00000000-0005-0000-0000-0000D5080000}"/>
    <cellStyle name="_Pasta1_IRT_1_atualização serviços taxados" xfId="43115" xr:uid="{00000000-0005-0000-0000-0000D6080000}"/>
    <cellStyle name="_Pasta1_IRT_1_Financeiro Desconto na TUSD Consumidores Livres Reajuste 2010 - 03_03_2010" xfId="43116" xr:uid="{00000000-0005-0000-0000-0000D7080000}"/>
    <cellStyle name="_Pasta1_IRT_1_Financeiro Desconto na TUSD Geradores Reajuste 2010 - 03_03_2010" xfId="43117" xr:uid="{00000000-0005-0000-0000-0000D8080000}"/>
    <cellStyle name="_Pasta1_IRT_1_Financeiro Subsídio Baixa Renda Reajuste 2010 - 03_03_2010" xfId="43118" xr:uid="{00000000-0005-0000-0000-0000D9080000}"/>
    <cellStyle name="_Pasta1_IRT_1_Financeiro Subsídio Rural Irrigante e Aquicultor Reajuste 2010 - 03_03_2010" xfId="43119" xr:uid="{00000000-0005-0000-0000-0000DA080000}"/>
    <cellStyle name="_Pasta1_IRT_1_IRT-cálculo" xfId="2978" xr:uid="{00000000-0005-0000-0000-0000DB080000}"/>
    <cellStyle name="_Pasta1_IRT_1_IRT-cálculo CAPA NEUTRALIDADE" xfId="2979" xr:uid="{00000000-0005-0000-0000-0000DC080000}"/>
    <cellStyle name="_Pasta1_IRT_1_SOBRECONTRATAÇÃO E CVA" xfId="2980" xr:uid="{00000000-0005-0000-0000-0000DD080000}"/>
    <cellStyle name="_Pasta1_IRT_Planilha Básica_DIRETORIA" xfId="2981" xr:uid="{00000000-0005-0000-0000-0000DE080000}"/>
    <cellStyle name="_Pasta1_IRT_Revisão A-1" xfId="2982" xr:uid="{00000000-0005-0000-0000-0000DF080000}"/>
    <cellStyle name="_Pasta1_IRT-cálculo" xfId="2983" xr:uid="{00000000-0005-0000-0000-0000E0080000}"/>
    <cellStyle name="_Pasta1_IRT-cálculo CAPA NEUTRALIDADE" xfId="2984" xr:uid="{00000000-0005-0000-0000-0000E1080000}"/>
    <cellStyle name="_Pasta1_NOVA PLANILHA REVISÃO 1" xfId="2985" xr:uid="{00000000-0005-0000-0000-0000E2080000}"/>
    <cellStyle name="_Pasta1_Pasta1" xfId="1606" xr:uid="{00000000-0005-0000-0000-0000E3080000}"/>
    <cellStyle name="_Pasta1_Pasta1 2" xfId="2986" xr:uid="{00000000-0005-0000-0000-0000E4080000}"/>
    <cellStyle name="_Pasta1_Pasta1_atualização serviços taxados" xfId="43120" xr:uid="{00000000-0005-0000-0000-0000E5080000}"/>
    <cellStyle name="_Pasta1_Pasta1_Financeiro Desconto na TUSD Consumidores Livres Reajuste 2010 - 03_03_2010" xfId="43121" xr:uid="{00000000-0005-0000-0000-0000E6080000}"/>
    <cellStyle name="_Pasta1_Pasta1_Financeiro Desconto na TUSD Geradores Reajuste 2010 - 03_03_2010" xfId="43122" xr:uid="{00000000-0005-0000-0000-0000E7080000}"/>
    <cellStyle name="_Pasta1_Pasta1_Financeiro Subsídio Baixa Renda Reajuste 2010 - 03_03_2010" xfId="43123" xr:uid="{00000000-0005-0000-0000-0000E8080000}"/>
    <cellStyle name="_Pasta1_Pasta1_Financeiro Subsídio Rural Irrigante e Aquicultor Reajuste 2010 - 03_03_2010" xfId="43124" xr:uid="{00000000-0005-0000-0000-0000E9080000}"/>
    <cellStyle name="_Pasta1_Pasta1_IRT-cálculo" xfId="2987" xr:uid="{00000000-0005-0000-0000-0000EA080000}"/>
    <cellStyle name="_Pasta1_Pasta1_IRT-cálculo CAPA NEUTRALIDADE" xfId="2988" xr:uid="{00000000-0005-0000-0000-0000EB080000}"/>
    <cellStyle name="_Pasta1_Pasta1_SOBRECONTRATAÇÃO E CVA" xfId="2989" xr:uid="{00000000-0005-0000-0000-0000EC080000}"/>
    <cellStyle name="_Pasta1_SOBRECONTRATAÇÃO E CVA" xfId="2990" xr:uid="{00000000-0005-0000-0000-0000ED080000}"/>
    <cellStyle name="_Pasta11" xfId="1607" xr:uid="{00000000-0005-0000-0000-0000EE080000}"/>
    <cellStyle name="_Pasta11 2" xfId="2991" xr:uid="{00000000-0005-0000-0000-0000EF080000}"/>
    <cellStyle name="_Pasta11_atualização serviços taxados" xfId="43125" xr:uid="{00000000-0005-0000-0000-0000F0080000}"/>
    <cellStyle name="_Pasta11_Energia Comprada" xfId="2992" xr:uid="{00000000-0005-0000-0000-0000F1080000}"/>
    <cellStyle name="_Pasta11_Energia Comprada_IRT-cálculo" xfId="2993" xr:uid="{00000000-0005-0000-0000-0000F2080000}"/>
    <cellStyle name="_Pasta11_Energia Comprada_IRT-cálculo CAPA NEUTRALIDADE" xfId="2994" xr:uid="{00000000-0005-0000-0000-0000F3080000}"/>
    <cellStyle name="_Pasta11_Fator X" xfId="1608" xr:uid="{00000000-0005-0000-0000-0000F4080000}"/>
    <cellStyle name="_Pasta11_Fator X 2" xfId="2995" xr:uid="{00000000-0005-0000-0000-0000F5080000}"/>
    <cellStyle name="_Pasta11_Fator X_atualização serviços taxados" xfId="43126" xr:uid="{00000000-0005-0000-0000-0000F6080000}"/>
    <cellStyle name="_Pasta11_Fator X_Financeiro Desconto na TUSD Consumidores Livres Reajuste 2010 - 03_03_2010" xfId="43127" xr:uid="{00000000-0005-0000-0000-0000F7080000}"/>
    <cellStyle name="_Pasta11_Fator X_Financeiro Desconto na TUSD Geradores Reajuste 2010 - 03_03_2010" xfId="43128" xr:uid="{00000000-0005-0000-0000-0000F8080000}"/>
    <cellStyle name="_Pasta11_Fator X_Financeiro Subsídio Baixa Renda Reajuste 2010 - 03_03_2010" xfId="43129" xr:uid="{00000000-0005-0000-0000-0000F9080000}"/>
    <cellStyle name="_Pasta11_Fator X_Financeiro Subsídio Rural Irrigante e Aquicultor Reajuste 2010 - 03_03_2010" xfId="43130" xr:uid="{00000000-0005-0000-0000-0000FA080000}"/>
    <cellStyle name="_Pasta11_Fator X_IRT-cálculo" xfId="2996" xr:uid="{00000000-0005-0000-0000-0000FB080000}"/>
    <cellStyle name="_Pasta11_Fator X_IRT-cálculo CAPA NEUTRALIDADE" xfId="2997" xr:uid="{00000000-0005-0000-0000-0000FC080000}"/>
    <cellStyle name="_Pasta11_Fator X_SOBRECONTRATAÇÃO E CVA" xfId="2998" xr:uid="{00000000-0005-0000-0000-0000FD080000}"/>
    <cellStyle name="_Pasta11_Financeiro Desconto na TUSD Consumidores Livres Reajuste 2010 - 03_03_2010" xfId="43131" xr:uid="{00000000-0005-0000-0000-0000FE080000}"/>
    <cellStyle name="_Pasta11_Financeiro Desconto na TUSD Geradores Reajuste 2010 - 03_03_2010" xfId="43132" xr:uid="{00000000-0005-0000-0000-0000FF080000}"/>
    <cellStyle name="_Pasta11_Financeiro Subsídio Baixa Renda Reajuste 2010 - 03_03_2010" xfId="43133" xr:uid="{00000000-0005-0000-0000-000000090000}"/>
    <cellStyle name="_Pasta11_Financeiro Subsídio Rural Irrigante e Aquicultor Reajuste 2010 - 03_03_2010" xfId="43134" xr:uid="{00000000-0005-0000-0000-000001090000}"/>
    <cellStyle name="_Pasta11_IRT (2)" xfId="1609" xr:uid="{00000000-0005-0000-0000-000002090000}"/>
    <cellStyle name="_Pasta11_IRT_1" xfId="1610" xr:uid="{00000000-0005-0000-0000-000003090000}"/>
    <cellStyle name="_Pasta11_IRT_1 2" xfId="2999" xr:uid="{00000000-0005-0000-0000-000004090000}"/>
    <cellStyle name="_Pasta11_IRT_1_atualização serviços taxados" xfId="43135" xr:uid="{00000000-0005-0000-0000-000005090000}"/>
    <cellStyle name="_Pasta11_IRT_1_Financeiro Desconto na TUSD Consumidores Livres Reajuste 2010 - 03_03_2010" xfId="43136" xr:uid="{00000000-0005-0000-0000-000006090000}"/>
    <cellStyle name="_Pasta11_IRT_1_Financeiro Desconto na TUSD Geradores Reajuste 2010 - 03_03_2010" xfId="43137" xr:uid="{00000000-0005-0000-0000-000007090000}"/>
    <cellStyle name="_Pasta11_IRT_1_Financeiro Subsídio Baixa Renda Reajuste 2010 - 03_03_2010" xfId="43138" xr:uid="{00000000-0005-0000-0000-000008090000}"/>
    <cellStyle name="_Pasta11_IRT_1_Financeiro Subsídio Rural Irrigante e Aquicultor Reajuste 2010 - 03_03_2010" xfId="43139" xr:uid="{00000000-0005-0000-0000-000009090000}"/>
    <cellStyle name="_Pasta11_IRT_1_IRT-cálculo" xfId="3000" xr:uid="{00000000-0005-0000-0000-00000A090000}"/>
    <cellStyle name="_Pasta11_IRT_1_IRT-cálculo CAPA NEUTRALIDADE" xfId="3001" xr:uid="{00000000-0005-0000-0000-00000B090000}"/>
    <cellStyle name="_Pasta11_IRT_1_SOBRECONTRATAÇÃO E CVA" xfId="3002" xr:uid="{00000000-0005-0000-0000-00000C090000}"/>
    <cellStyle name="_Pasta11_IRT-cálculo" xfId="3003" xr:uid="{00000000-0005-0000-0000-00000D090000}"/>
    <cellStyle name="_Pasta11_IRT-cálculo CAPA NEUTRALIDADE" xfId="3004" xr:uid="{00000000-0005-0000-0000-00000E090000}"/>
    <cellStyle name="_Pasta11_Pasta1" xfId="1611" xr:uid="{00000000-0005-0000-0000-00000F090000}"/>
    <cellStyle name="_Pasta11_Pasta1 2" xfId="3005" xr:uid="{00000000-0005-0000-0000-000010090000}"/>
    <cellStyle name="_Pasta11_Pasta1_atualização serviços taxados" xfId="43140" xr:uid="{00000000-0005-0000-0000-000011090000}"/>
    <cellStyle name="_Pasta11_Pasta1_Financeiro Desconto na TUSD Consumidores Livres Reajuste 2010 - 03_03_2010" xfId="43141" xr:uid="{00000000-0005-0000-0000-000012090000}"/>
    <cellStyle name="_Pasta11_Pasta1_Financeiro Desconto na TUSD Geradores Reajuste 2010 - 03_03_2010" xfId="43142" xr:uid="{00000000-0005-0000-0000-000013090000}"/>
    <cellStyle name="_Pasta11_Pasta1_Financeiro Subsídio Baixa Renda Reajuste 2010 - 03_03_2010" xfId="43143" xr:uid="{00000000-0005-0000-0000-000014090000}"/>
    <cellStyle name="_Pasta11_Pasta1_Financeiro Subsídio Rural Irrigante e Aquicultor Reajuste 2010 - 03_03_2010" xfId="43144" xr:uid="{00000000-0005-0000-0000-000015090000}"/>
    <cellStyle name="_Pasta11_Pasta1_IRT-cálculo" xfId="3006" xr:uid="{00000000-0005-0000-0000-000016090000}"/>
    <cellStyle name="_Pasta11_Pasta1_IRT-cálculo CAPA NEUTRALIDADE" xfId="3007" xr:uid="{00000000-0005-0000-0000-000017090000}"/>
    <cellStyle name="_Pasta11_Pasta1_SOBRECONTRATAÇÃO E CVA" xfId="3008" xr:uid="{00000000-0005-0000-0000-000018090000}"/>
    <cellStyle name="_Pasta11_SOBRECONTRATAÇÃO E CVA" xfId="3009" xr:uid="{00000000-0005-0000-0000-000019090000}"/>
    <cellStyle name="_Pasta12" xfId="1612" xr:uid="{00000000-0005-0000-0000-00001A090000}"/>
    <cellStyle name="_Pasta12 2" xfId="3010" xr:uid="{00000000-0005-0000-0000-00001B090000}"/>
    <cellStyle name="_Pasta12_atualização serviços taxados" xfId="43145" xr:uid="{00000000-0005-0000-0000-00001C090000}"/>
    <cellStyle name="_Pasta12_Energia Comprada" xfId="3011" xr:uid="{00000000-0005-0000-0000-00001D090000}"/>
    <cellStyle name="_Pasta12_Energia Comprada_IRT-cálculo" xfId="3012" xr:uid="{00000000-0005-0000-0000-00001E090000}"/>
    <cellStyle name="_Pasta12_Energia Comprada_IRT-cálculo CAPA NEUTRALIDADE" xfId="3013" xr:uid="{00000000-0005-0000-0000-00001F090000}"/>
    <cellStyle name="_Pasta12_Fator X" xfId="1613" xr:uid="{00000000-0005-0000-0000-000020090000}"/>
    <cellStyle name="_Pasta12_Fator X 2" xfId="3014" xr:uid="{00000000-0005-0000-0000-000021090000}"/>
    <cellStyle name="_Pasta12_Fator X_atualização serviços taxados" xfId="43146" xr:uid="{00000000-0005-0000-0000-000022090000}"/>
    <cellStyle name="_Pasta12_Fator X_Financeiro Desconto na TUSD Consumidores Livres Reajuste 2010 - 03_03_2010" xfId="43147" xr:uid="{00000000-0005-0000-0000-000023090000}"/>
    <cellStyle name="_Pasta12_Fator X_Financeiro Desconto na TUSD Geradores Reajuste 2010 - 03_03_2010" xfId="43148" xr:uid="{00000000-0005-0000-0000-000024090000}"/>
    <cellStyle name="_Pasta12_Fator X_Financeiro Subsídio Baixa Renda Reajuste 2010 - 03_03_2010" xfId="43149" xr:uid="{00000000-0005-0000-0000-000025090000}"/>
    <cellStyle name="_Pasta12_Fator X_Financeiro Subsídio Rural Irrigante e Aquicultor Reajuste 2010 - 03_03_2010" xfId="43150" xr:uid="{00000000-0005-0000-0000-000026090000}"/>
    <cellStyle name="_Pasta12_Fator X_IRT-cálculo" xfId="3015" xr:uid="{00000000-0005-0000-0000-000027090000}"/>
    <cellStyle name="_Pasta12_Fator X_IRT-cálculo CAPA NEUTRALIDADE" xfId="3016" xr:uid="{00000000-0005-0000-0000-000028090000}"/>
    <cellStyle name="_Pasta12_Fator X_SOBRECONTRATAÇÃO E CVA" xfId="3017" xr:uid="{00000000-0005-0000-0000-000029090000}"/>
    <cellStyle name="_Pasta12_Financeiro Desconto na TUSD Consumidores Livres Reajuste 2010 - 03_03_2010" xfId="43151" xr:uid="{00000000-0005-0000-0000-00002A090000}"/>
    <cellStyle name="_Pasta12_Financeiro Desconto na TUSD Geradores Reajuste 2010 - 03_03_2010" xfId="43152" xr:uid="{00000000-0005-0000-0000-00002B090000}"/>
    <cellStyle name="_Pasta12_Financeiro Subsídio Baixa Renda Reajuste 2010 - 03_03_2010" xfId="43153" xr:uid="{00000000-0005-0000-0000-00002C090000}"/>
    <cellStyle name="_Pasta12_Financeiro Subsídio Rural Irrigante e Aquicultor Reajuste 2010 - 03_03_2010" xfId="43154" xr:uid="{00000000-0005-0000-0000-00002D090000}"/>
    <cellStyle name="_Pasta12_IRT (2)" xfId="1614" xr:uid="{00000000-0005-0000-0000-00002E090000}"/>
    <cellStyle name="_Pasta12_IRT_1" xfId="1615" xr:uid="{00000000-0005-0000-0000-00002F090000}"/>
    <cellStyle name="_Pasta12_IRT_1 2" xfId="3018" xr:uid="{00000000-0005-0000-0000-000030090000}"/>
    <cellStyle name="_Pasta12_IRT_1_atualização serviços taxados" xfId="43155" xr:uid="{00000000-0005-0000-0000-000031090000}"/>
    <cellStyle name="_Pasta12_IRT_1_Financeiro Desconto na TUSD Consumidores Livres Reajuste 2010 - 03_03_2010" xfId="43156" xr:uid="{00000000-0005-0000-0000-000032090000}"/>
    <cellStyle name="_Pasta12_IRT_1_Financeiro Desconto na TUSD Geradores Reajuste 2010 - 03_03_2010" xfId="43157" xr:uid="{00000000-0005-0000-0000-000033090000}"/>
    <cellStyle name="_Pasta12_IRT_1_Financeiro Subsídio Baixa Renda Reajuste 2010 - 03_03_2010" xfId="43158" xr:uid="{00000000-0005-0000-0000-000034090000}"/>
    <cellStyle name="_Pasta12_IRT_1_Financeiro Subsídio Rural Irrigante e Aquicultor Reajuste 2010 - 03_03_2010" xfId="43159" xr:uid="{00000000-0005-0000-0000-000035090000}"/>
    <cellStyle name="_Pasta12_IRT_1_IRT-cálculo" xfId="3019" xr:uid="{00000000-0005-0000-0000-000036090000}"/>
    <cellStyle name="_Pasta12_IRT_1_IRT-cálculo CAPA NEUTRALIDADE" xfId="3020" xr:uid="{00000000-0005-0000-0000-000037090000}"/>
    <cellStyle name="_Pasta12_IRT_1_SOBRECONTRATAÇÃO E CVA" xfId="3021" xr:uid="{00000000-0005-0000-0000-000038090000}"/>
    <cellStyle name="_Pasta12_IRT-cálculo" xfId="3022" xr:uid="{00000000-0005-0000-0000-000039090000}"/>
    <cellStyle name="_Pasta12_IRT-cálculo CAPA NEUTRALIDADE" xfId="3023" xr:uid="{00000000-0005-0000-0000-00003A090000}"/>
    <cellStyle name="_Pasta12_Pasta1" xfId="1616" xr:uid="{00000000-0005-0000-0000-00003B090000}"/>
    <cellStyle name="_Pasta12_Pasta1 2" xfId="3024" xr:uid="{00000000-0005-0000-0000-00003C090000}"/>
    <cellStyle name="_Pasta12_Pasta1_atualização serviços taxados" xfId="43160" xr:uid="{00000000-0005-0000-0000-00003D090000}"/>
    <cellStyle name="_Pasta12_Pasta1_Financeiro Desconto na TUSD Consumidores Livres Reajuste 2010 - 03_03_2010" xfId="43161" xr:uid="{00000000-0005-0000-0000-00003E090000}"/>
    <cellStyle name="_Pasta12_Pasta1_Financeiro Desconto na TUSD Geradores Reajuste 2010 - 03_03_2010" xfId="43162" xr:uid="{00000000-0005-0000-0000-00003F090000}"/>
    <cellStyle name="_Pasta12_Pasta1_Financeiro Subsídio Baixa Renda Reajuste 2010 - 03_03_2010" xfId="43163" xr:uid="{00000000-0005-0000-0000-000040090000}"/>
    <cellStyle name="_Pasta12_Pasta1_Financeiro Subsídio Rural Irrigante e Aquicultor Reajuste 2010 - 03_03_2010" xfId="43164" xr:uid="{00000000-0005-0000-0000-000041090000}"/>
    <cellStyle name="_Pasta12_Pasta1_IRT-cálculo" xfId="3025" xr:uid="{00000000-0005-0000-0000-000042090000}"/>
    <cellStyle name="_Pasta12_Pasta1_IRT-cálculo CAPA NEUTRALIDADE" xfId="3026" xr:uid="{00000000-0005-0000-0000-000043090000}"/>
    <cellStyle name="_Pasta12_Pasta1_SOBRECONTRATAÇÃO E CVA" xfId="3027" xr:uid="{00000000-0005-0000-0000-000044090000}"/>
    <cellStyle name="_Pasta12_SOBRECONTRATAÇÃO E CVA" xfId="3028" xr:uid="{00000000-0005-0000-0000-000045090000}"/>
    <cellStyle name="_Pasta2" xfId="315" xr:uid="{00000000-0005-0000-0000-000046090000}"/>
    <cellStyle name="_Pasta2 2" xfId="3029" xr:uid="{00000000-0005-0000-0000-000047090000}"/>
    <cellStyle name="_Pasta2 3" xfId="3030" xr:uid="{00000000-0005-0000-0000-000048090000}"/>
    <cellStyle name="_Pasta2_IF - Autoprodutores 2" xfId="3031" xr:uid="{00000000-0005-0000-0000-000049090000}"/>
    <cellStyle name="_Pasta2_IF_Consumidores livres e geradoras_2010" xfId="3032" xr:uid="{00000000-0005-0000-0000-00004A090000}"/>
    <cellStyle name="_Pasta2_IRT Piratininga 2009" xfId="316" xr:uid="{00000000-0005-0000-0000-00004B090000}"/>
    <cellStyle name="_Pasta2_IRT Piratininga 2009 2" xfId="1306" xr:uid="{00000000-0005-0000-0000-00004C090000}"/>
    <cellStyle name="_Pasta2_IRT_Planilha Básica_ CETRIL" xfId="317" xr:uid="{00000000-0005-0000-0000-00004D090000}"/>
    <cellStyle name="_Pasta2_IRT_Planilha Básica_ CETRIL 2" xfId="1307" xr:uid="{00000000-0005-0000-0000-00004E090000}"/>
    <cellStyle name="_Pasta2_IRT_Planilha Básica_mar2010b" xfId="3033" xr:uid="{00000000-0005-0000-0000-00004F090000}"/>
    <cellStyle name="_Pasta2_IRT-cálculo" xfId="3034" xr:uid="{00000000-0005-0000-0000-000050090000}"/>
    <cellStyle name="_Pasta2_Sheet1" xfId="3035" xr:uid="{00000000-0005-0000-0000-000051090000}"/>
    <cellStyle name="_Pasta2_SRE_SOBRECONTRATAÇÃO E CVA 7521_COELCE_V2" xfId="43165" xr:uid="{00000000-0005-0000-0000-000052090000}"/>
    <cellStyle name="_PERSONAL" xfId="3036" xr:uid="{00000000-0005-0000-0000-000053090000}"/>
    <cellStyle name="_PERSONAL_PERSONAL" xfId="3037" xr:uid="{00000000-0005-0000-0000-000054090000}"/>
    <cellStyle name="_PERSONAL_PERSONAL_1" xfId="3038" xr:uid="{00000000-0005-0000-0000-000055090000}"/>
    <cellStyle name="_PERSONAL_PERSONAL_2" xfId="3039" xr:uid="{00000000-0005-0000-0000-000056090000}"/>
    <cellStyle name="_PERSONAL_PERSONAL_3" xfId="3040" xr:uid="{00000000-0005-0000-0000-000057090000}"/>
    <cellStyle name="_Plan1" xfId="3041" xr:uid="{00000000-0005-0000-0000-000058090000}"/>
    <cellStyle name="_Plan2" xfId="1617" xr:uid="{00000000-0005-0000-0000-000059090000}"/>
    <cellStyle name="_Plan2 2" xfId="3042" xr:uid="{00000000-0005-0000-0000-00005A090000}"/>
    <cellStyle name="_Plan2_atualização serviços taxados" xfId="43166" xr:uid="{00000000-0005-0000-0000-00005B090000}"/>
    <cellStyle name="_Plan2_COELCE - RTO 2011 - PLPT_PLANILHA_CÁLCULO_DÉFICIT" xfId="3043" xr:uid="{00000000-0005-0000-0000-00005C090000}"/>
    <cellStyle name="_Plan2_Financeiro Desconto na TUSD Consumidores Livres Reajuste 2010 - 03_03_2010" xfId="43167" xr:uid="{00000000-0005-0000-0000-00005D090000}"/>
    <cellStyle name="_Plan2_Financeiro Desconto na TUSD Geradores Reajuste 2010 - 03_03_2010" xfId="43168" xr:uid="{00000000-0005-0000-0000-00005E090000}"/>
    <cellStyle name="_Plan2_Financeiro Subsídio Baixa Renda Reajuste 2010 - 03_03_2010" xfId="43169" xr:uid="{00000000-0005-0000-0000-00005F090000}"/>
    <cellStyle name="_Plan2_Financeiro Subsídio Rural Irrigante e Aquicultor Reajuste 2010 - 03_03_2010" xfId="43170" xr:uid="{00000000-0005-0000-0000-000060090000}"/>
    <cellStyle name="_Planilha 14.Gastos O&amp;M 29062007  Vfinal M 3" xfId="3044" xr:uid="{00000000-0005-0000-0000-000061090000}"/>
    <cellStyle name="_Planilha 15 Consumidores 28062007 final M 3" xfId="3045" xr:uid="{00000000-0005-0000-0000-000062090000}"/>
    <cellStyle name="_Planilha 17 Dados Físicos 28062007 vfinal M 3 " xfId="3046" xr:uid="{00000000-0005-0000-0000-000063090000}"/>
    <cellStyle name="_Planilha 18 Veículos 28062007 vfinal M 3" xfId="3047" xr:uid="{00000000-0005-0000-0000-000064090000}"/>
    <cellStyle name="_Planilha 19 Informática e Telecom vfinal M 3" xfId="3048" xr:uid="{00000000-0005-0000-0000-000065090000}"/>
    <cellStyle name="_Planilha 20 Edificações  28062007 vfinal M 3" xfId="3049" xr:uid="{00000000-0005-0000-0000-000066090000}"/>
    <cellStyle name="_Planilha16 CO RP 29062007 v final M 3" xfId="3050" xr:uid="{00000000-0005-0000-0000-000067090000}"/>
    <cellStyle name="_Planilhas_Desc_Tusd_-Validadas SFF" xfId="1618" xr:uid="{00000000-0005-0000-0000-000068090000}"/>
    <cellStyle name="_Planilhas_Desc_Tusd_-Validadas SFF 2" xfId="3051" xr:uid="{00000000-0005-0000-0000-000069090000}"/>
    <cellStyle name="_Planilhas_Desc_Tusd_-Validadas SFF_atualização serviços taxados" xfId="43171" xr:uid="{00000000-0005-0000-0000-00006A090000}"/>
    <cellStyle name="_Planilhas_Desc_Tusd_-Validadas SFF_Energia Comprada" xfId="3052" xr:uid="{00000000-0005-0000-0000-00006B090000}"/>
    <cellStyle name="_Planilhas_Desc_Tusd_-Validadas SFF_Energia Comprada_IRT-cálculo" xfId="3053" xr:uid="{00000000-0005-0000-0000-00006C090000}"/>
    <cellStyle name="_Planilhas_Desc_Tusd_-Validadas SFF_Energia Comprada_IRT-cálculo CAPA NEUTRALIDADE" xfId="3054" xr:uid="{00000000-0005-0000-0000-00006D090000}"/>
    <cellStyle name="_Planilhas_Desc_Tusd_-Validadas SFF_Fator X" xfId="1619" xr:uid="{00000000-0005-0000-0000-00006E090000}"/>
    <cellStyle name="_Planilhas_Desc_Tusd_-Validadas SFF_Fator X 2" xfId="3055" xr:uid="{00000000-0005-0000-0000-00006F090000}"/>
    <cellStyle name="_Planilhas_Desc_Tusd_-Validadas SFF_Fator X_atualização serviços taxados" xfId="43172" xr:uid="{00000000-0005-0000-0000-000070090000}"/>
    <cellStyle name="_Planilhas_Desc_Tusd_-Validadas SFF_Fator X_Financeiro Desconto na TUSD Consumidores Livres Reajuste 2010 - 03_03_2010" xfId="43173" xr:uid="{00000000-0005-0000-0000-000071090000}"/>
    <cellStyle name="_Planilhas_Desc_Tusd_-Validadas SFF_Fator X_Financeiro Desconto na TUSD Geradores Reajuste 2010 - 03_03_2010" xfId="43174" xr:uid="{00000000-0005-0000-0000-000072090000}"/>
    <cellStyle name="_Planilhas_Desc_Tusd_-Validadas SFF_Fator X_Financeiro Subsídio Baixa Renda Reajuste 2010 - 03_03_2010" xfId="43175" xr:uid="{00000000-0005-0000-0000-000073090000}"/>
    <cellStyle name="_Planilhas_Desc_Tusd_-Validadas SFF_Fator X_Financeiro Subsídio Rural Irrigante e Aquicultor Reajuste 2010 - 03_03_2010" xfId="43176" xr:uid="{00000000-0005-0000-0000-000074090000}"/>
    <cellStyle name="_Planilhas_Desc_Tusd_-Validadas SFF_Fator X_IRT-cálculo" xfId="3056" xr:uid="{00000000-0005-0000-0000-000075090000}"/>
    <cellStyle name="_Planilhas_Desc_Tusd_-Validadas SFF_Fator X_IRT-cálculo CAPA NEUTRALIDADE" xfId="3057" xr:uid="{00000000-0005-0000-0000-000076090000}"/>
    <cellStyle name="_Planilhas_Desc_Tusd_-Validadas SFF_Fator X_SOBRECONTRATAÇÃO E CVA" xfId="3058" xr:uid="{00000000-0005-0000-0000-000077090000}"/>
    <cellStyle name="_Planilhas_Desc_Tusd_-Validadas SFF_Financeiro Desconto na TUSD Consumidores Livres Reajuste 2010 - 03_03_2010" xfId="43177" xr:uid="{00000000-0005-0000-0000-000078090000}"/>
    <cellStyle name="_Planilhas_Desc_Tusd_-Validadas SFF_Financeiro Desconto na TUSD Geradores Reajuste 2010 - 03_03_2010" xfId="43178" xr:uid="{00000000-0005-0000-0000-000079090000}"/>
    <cellStyle name="_Planilhas_Desc_Tusd_-Validadas SFF_Financeiro Subsídio Baixa Renda Reajuste 2010 - 03_03_2010" xfId="43179" xr:uid="{00000000-0005-0000-0000-00007A090000}"/>
    <cellStyle name="_Planilhas_Desc_Tusd_-Validadas SFF_Financeiro Subsídio Rural Irrigante e Aquicultor Reajuste 2010 - 03_03_2010" xfId="43180" xr:uid="{00000000-0005-0000-0000-00007B090000}"/>
    <cellStyle name="_Planilhas_Desc_Tusd_-Validadas SFF_IRT (2)" xfId="1620" xr:uid="{00000000-0005-0000-0000-00007C090000}"/>
    <cellStyle name="_Planilhas_Desc_Tusd_-Validadas SFF_IRT_1" xfId="1621" xr:uid="{00000000-0005-0000-0000-00007D090000}"/>
    <cellStyle name="_Planilhas_Desc_Tusd_-Validadas SFF_IRT_1 2" xfId="3059" xr:uid="{00000000-0005-0000-0000-00007E090000}"/>
    <cellStyle name="_Planilhas_Desc_Tusd_-Validadas SFF_IRT_1_atualização serviços taxados" xfId="43181" xr:uid="{00000000-0005-0000-0000-00007F090000}"/>
    <cellStyle name="_Planilhas_Desc_Tusd_-Validadas SFF_IRT_1_Financeiro Desconto na TUSD Consumidores Livres Reajuste 2010 - 03_03_2010" xfId="43182" xr:uid="{00000000-0005-0000-0000-000080090000}"/>
    <cellStyle name="_Planilhas_Desc_Tusd_-Validadas SFF_IRT_1_Financeiro Desconto na TUSD Geradores Reajuste 2010 - 03_03_2010" xfId="43183" xr:uid="{00000000-0005-0000-0000-000081090000}"/>
    <cellStyle name="_Planilhas_Desc_Tusd_-Validadas SFF_IRT_1_Financeiro Subsídio Baixa Renda Reajuste 2010 - 03_03_2010" xfId="43184" xr:uid="{00000000-0005-0000-0000-000082090000}"/>
    <cellStyle name="_Planilhas_Desc_Tusd_-Validadas SFF_IRT_1_Financeiro Subsídio Rural Irrigante e Aquicultor Reajuste 2010 - 03_03_2010" xfId="43185" xr:uid="{00000000-0005-0000-0000-000083090000}"/>
    <cellStyle name="_Planilhas_Desc_Tusd_-Validadas SFF_IRT_1_IRT-cálculo" xfId="3060" xr:uid="{00000000-0005-0000-0000-000084090000}"/>
    <cellStyle name="_Planilhas_Desc_Tusd_-Validadas SFF_IRT_1_IRT-cálculo CAPA NEUTRALIDADE" xfId="3061" xr:uid="{00000000-0005-0000-0000-000085090000}"/>
    <cellStyle name="_Planilhas_Desc_Tusd_-Validadas SFF_IRT_1_SOBRECONTRATAÇÃO E CVA" xfId="3062" xr:uid="{00000000-0005-0000-0000-000086090000}"/>
    <cellStyle name="_Planilhas_Desc_Tusd_-Validadas SFF_IRT-cálculo" xfId="3063" xr:uid="{00000000-0005-0000-0000-000087090000}"/>
    <cellStyle name="_Planilhas_Desc_Tusd_-Validadas SFF_IRT-cálculo CAPA NEUTRALIDADE" xfId="3064" xr:uid="{00000000-0005-0000-0000-000088090000}"/>
    <cellStyle name="_Planilhas_Desc_Tusd_-Validadas SFF_Pasta1" xfId="1622" xr:uid="{00000000-0005-0000-0000-000089090000}"/>
    <cellStyle name="_Planilhas_Desc_Tusd_-Validadas SFF_Pasta1 2" xfId="3065" xr:uid="{00000000-0005-0000-0000-00008A090000}"/>
    <cellStyle name="_Planilhas_Desc_Tusd_-Validadas SFF_Pasta1_atualização serviços taxados" xfId="43186" xr:uid="{00000000-0005-0000-0000-00008B090000}"/>
    <cellStyle name="_Planilhas_Desc_Tusd_-Validadas SFF_Pasta1_Financeiro Desconto na TUSD Consumidores Livres Reajuste 2010 - 03_03_2010" xfId="43187" xr:uid="{00000000-0005-0000-0000-00008C090000}"/>
    <cellStyle name="_Planilhas_Desc_Tusd_-Validadas SFF_Pasta1_Financeiro Desconto na TUSD Geradores Reajuste 2010 - 03_03_2010" xfId="43188" xr:uid="{00000000-0005-0000-0000-00008D090000}"/>
    <cellStyle name="_Planilhas_Desc_Tusd_-Validadas SFF_Pasta1_Financeiro Subsídio Baixa Renda Reajuste 2010 - 03_03_2010" xfId="43189" xr:uid="{00000000-0005-0000-0000-00008E090000}"/>
    <cellStyle name="_Planilhas_Desc_Tusd_-Validadas SFF_Pasta1_Financeiro Subsídio Rural Irrigante e Aquicultor Reajuste 2010 - 03_03_2010" xfId="43190" xr:uid="{00000000-0005-0000-0000-00008F090000}"/>
    <cellStyle name="_Planilhas_Desc_Tusd_-Validadas SFF_Pasta1_IRT-cálculo" xfId="3066" xr:uid="{00000000-0005-0000-0000-000090090000}"/>
    <cellStyle name="_Planilhas_Desc_Tusd_-Validadas SFF_Pasta1_IRT-cálculo CAPA NEUTRALIDADE" xfId="3067" xr:uid="{00000000-0005-0000-0000-000091090000}"/>
    <cellStyle name="_Planilhas_Desc_Tusd_-Validadas SFF_Pasta1_SOBRECONTRATAÇÃO E CVA" xfId="3068" xr:uid="{00000000-0005-0000-0000-000092090000}"/>
    <cellStyle name="_Planilhas_Desc_Tusd_-Validadas SFF_SOBRECONTRATAÇÃO E CVA" xfId="3069" xr:uid="{00000000-0005-0000-0000-000093090000}"/>
    <cellStyle name="_Pleito PLT EMG" xfId="3070" xr:uid="{00000000-0005-0000-0000-000094090000}"/>
    <cellStyle name="_Pleito PLT EPB" xfId="3071" xr:uid="{00000000-0005-0000-0000-000095090000}"/>
    <cellStyle name="_Pleito PLT EPB_CVA Borborema 2010 - Fiscalizada Final" xfId="3072" xr:uid="{00000000-0005-0000-0000-000096090000}"/>
    <cellStyle name="_Pleito PLT ESE" xfId="3073" xr:uid="{00000000-0005-0000-0000-000097090000}"/>
    <cellStyle name="_Pleito_IRT_EBO_2010_FINAL_ENVIO_ANEEL" xfId="3074" xr:uid="{00000000-0005-0000-0000-000098090000}"/>
    <cellStyle name="_PLPT CEMIG 2009_PLANILHA_CÁLCULO_DÉFICIT_RESOLUÇÃO_294_2007_V3" xfId="318" xr:uid="{00000000-0005-0000-0000-000099090000}"/>
    <cellStyle name="_PLPT CEMIG 2009_PLANILHA_CÁLCULO_DÉFICIT_RESOLUÇÃO_294_2007_V3 2" xfId="1308" xr:uid="{00000000-0005-0000-0000-00009A090000}"/>
    <cellStyle name="_PLPT CEMIG 2009_PLANILHA_CÁLCULO_DÉFICIT_RESOLUÇÃO_294_2007_V3_Ajustes REAJUSTE 2008 ELETROPAULO" xfId="3075" xr:uid="{00000000-0005-0000-0000-00009B090000}"/>
    <cellStyle name="_PLPT CEMIG 2009_PLANILHA_CÁLCULO_DÉFICIT_RESOLUÇÃO_294_2007_V3_Ajustes REAJUSTE 2008 ELETROPAULO_IRT-cálculo" xfId="3076" xr:uid="{00000000-0005-0000-0000-00009C090000}"/>
    <cellStyle name="_PLPT CEMIG 2009_PLANILHA_CÁLCULO_DÉFICIT_RESOLUÇÃO_294_2007_V3_Ajustes REAJUSTE 2008 ELETROPAULO_IRT-cálculo CAPA NEUTRALIDADE" xfId="3077" xr:uid="{00000000-0005-0000-0000-00009D090000}"/>
    <cellStyle name="_PLPT CEMIG 2009_PLANILHA_CÁLCULO_DÉFICIT_RESOLUÇÃO_294_2007_V3_Ajustes REVISÃO 2007 ELETROPAULO" xfId="3078" xr:uid="{00000000-0005-0000-0000-00009E090000}"/>
    <cellStyle name="_PLPT CEMIG 2009_PLANILHA_CÁLCULO_DÉFICIT_RESOLUÇÃO_294_2007_V3_Ajustes REVISÃO 2007 ELETROPAULO_IRT-cálculo" xfId="3079" xr:uid="{00000000-0005-0000-0000-00009F090000}"/>
    <cellStyle name="_PLPT CEMIG 2009_PLANILHA_CÁLCULO_DÉFICIT_RESOLUÇÃO_294_2007_V3_Ajustes REVISÃO 2007 ELETROPAULO_IRT-cálculo CAPA NEUTRALIDADE" xfId="3080" xr:uid="{00000000-0005-0000-0000-0000A0090000}"/>
    <cellStyle name="_PLPT CEMIG 2009_PLANILHA_CÁLCULO_DÉFICIT_RESOLUÇÃO_294_2007_V3_Balanço" xfId="319" xr:uid="{00000000-0005-0000-0000-0000A1090000}"/>
    <cellStyle name="_PLPT CEMIG 2009_PLANILHA_CÁLCULO_DÉFICIT_RESOLUÇÃO_294_2007_V3_Balanço 2" xfId="1309" xr:uid="{00000000-0005-0000-0000-0000A2090000}"/>
    <cellStyle name="_PLPT CEMIG 2009_PLANILHA_CÁLCULO_DÉFICIT_RESOLUÇÃO_294_2007_V3_casulo 15" xfId="320" xr:uid="{00000000-0005-0000-0000-0000A3090000}"/>
    <cellStyle name="_PLPT CEMIG 2009_PLANILHA_CÁLCULO_DÉFICIT_RESOLUÇÃO_294_2007_V3_casulo 5" xfId="321" xr:uid="{00000000-0005-0000-0000-0000A4090000}"/>
    <cellStyle name="_PLPT CEMIG 2009_PLANILHA_CÁLCULO_DÉFICIT_RESOLUÇÃO_294_2007_V3_casulo 5 2" xfId="1310" xr:uid="{00000000-0005-0000-0000-0000A5090000}"/>
    <cellStyle name="_PLPT CEMIG 2009_PLANILHA_CÁLCULO_DÉFICIT_RESOLUÇÃO_294_2007_V3_casulo 5_Balanço" xfId="322" xr:uid="{00000000-0005-0000-0000-0000A6090000}"/>
    <cellStyle name="_PLPT CEMIG 2009_PLANILHA_CÁLCULO_DÉFICIT_RESOLUÇÃO_294_2007_V3_casulo 5_casulo 15" xfId="323" xr:uid="{00000000-0005-0000-0000-0000A7090000}"/>
    <cellStyle name="_PLPT CEMIG 2009_PLANILHA_CÁLCULO_DÉFICIT_RESOLUÇÃO_294_2007_V3_casulo 5_IRT EEB 2010" xfId="3081" xr:uid="{00000000-0005-0000-0000-0000A8090000}"/>
    <cellStyle name="_PLPT CEMIG 2009_PLANILHA_CÁLCULO_DÉFICIT_RESOLUÇÃO_294_2007_V3_IRT EEB 2010" xfId="3082" xr:uid="{00000000-0005-0000-0000-0000A9090000}"/>
    <cellStyle name="_PLPT CEMIG 2009_PLANILHA_CÁLCULO_DÉFICIT_RESOLUÇÃO_294_2007_V3_IRT Piratininga 2009" xfId="324" xr:uid="{00000000-0005-0000-0000-0000AA090000}"/>
    <cellStyle name="_PLPT CEMIG 2009_PLANILHA_CÁLCULO_DÉFICIT_RESOLUÇÃO_294_2007_V3_IRT Piratininga 2009 2" xfId="1311" xr:uid="{00000000-0005-0000-0000-0000AB090000}"/>
    <cellStyle name="_PLPT CEMIG 2009_PLANILHA_CÁLCULO_DÉFICIT_RESOLUÇÃO_294_2007_V3_IRT Piratininga 2009_Balanço" xfId="325" xr:uid="{00000000-0005-0000-0000-0000AC090000}"/>
    <cellStyle name="_PLPT CEMIG 2009_PLANILHA_CÁLCULO_DÉFICIT_RESOLUÇÃO_294_2007_V3_IRT Piratininga 2009_casulo 15" xfId="326" xr:uid="{00000000-0005-0000-0000-0000AD090000}"/>
    <cellStyle name="_PLPT CEMIG 2009_PLANILHA_CÁLCULO_DÉFICIT_RESOLUÇÃO_294_2007_V3_IRT Piratininga 2009_IRT EEB 2010" xfId="3083" xr:uid="{00000000-0005-0000-0000-0000AE090000}"/>
    <cellStyle name="_PLPT CEMIG 2009_PLANILHA_CÁLCULO_DÉFICIT_RESOLUÇÃO_294_2007_V3_IRT_Bragantina_maio_2009" xfId="3084" xr:uid="{00000000-0005-0000-0000-0000AF090000}"/>
    <cellStyle name="_PLPT CEMIG 2009_PLANILHA_CÁLCULO_DÉFICIT_RESOLUÇÃO_294_2007_V3_IRT_CEMAT_2009" xfId="3085" xr:uid="{00000000-0005-0000-0000-0000B0090000}"/>
    <cellStyle name="_PLPT CEMIG 2009_PLANILHA_CÁLCULO_DÉFICIT_RESOLUÇÃO_294_2007_V3_IRT_EBB_mai2010d" xfId="3086" xr:uid="{00000000-0005-0000-0000-0000B1090000}"/>
    <cellStyle name="_PLPT CEMIG 2009_PLANILHA_CÁLCULO_DÉFICIT_RESOLUÇÃO_294_2007_V3_IRT_Planilha Básica_ CETRIL" xfId="327" xr:uid="{00000000-0005-0000-0000-0000B2090000}"/>
    <cellStyle name="_PLPT CEMIG 2009_PLANILHA_CÁLCULO_DÉFICIT_RESOLUÇÃO_294_2007_V3_IRT_Planilha Básica_ CETRIL 2" xfId="1312" xr:uid="{00000000-0005-0000-0000-0000B3090000}"/>
    <cellStyle name="_PLPT CEMIG 2009_PLANILHA_CÁLCULO_DÉFICIT_RESOLUÇÃO_294_2007_V3_IRT_Planilha Básica_ CETRIL_Balanço" xfId="328" xr:uid="{00000000-0005-0000-0000-0000B4090000}"/>
    <cellStyle name="_PLPT CEMIG 2009_PLANILHA_CÁLCULO_DÉFICIT_RESOLUÇÃO_294_2007_V3_IRT_Planilha Básica_ CETRIL_casulo 15" xfId="329" xr:uid="{00000000-0005-0000-0000-0000B5090000}"/>
    <cellStyle name="_PLPT CEMIG 2009_PLANILHA_CÁLCULO_DÉFICIT_RESOLUÇÃO_294_2007_V3_IRT_Planilha Básica_ CETRIL_IRT EEB 2010" xfId="3087" xr:uid="{00000000-0005-0000-0000-0000B6090000}"/>
    <cellStyle name="_PLPT CEMIG 2009_PLANILHA_CÁLCULO_DÉFICIT_RESOLUÇÃO_294_2007_V3_IRT_Planilha Básica_DIRETORIA" xfId="3088" xr:uid="{00000000-0005-0000-0000-0000B7090000}"/>
    <cellStyle name="_PLPT CEMIG 2009_PLANILHA_CÁLCULO_DÉFICIT_RESOLUÇÃO_294_2007_V3_IRT_Planilha Básica_mar2010b" xfId="3089" xr:uid="{00000000-0005-0000-0000-0000B8090000}"/>
    <cellStyle name="_PLPT CEMIG 2009_PLANILHA_CÁLCULO_DÉFICIT_RESOLUÇÃO_294_2007_V3_IRT_Planilha Básica_mar2010d" xfId="330" xr:uid="{00000000-0005-0000-0000-0000B9090000}"/>
    <cellStyle name="_PLPT CEMIG 2009_PLANILHA_CÁLCULO_DÉFICIT_RESOLUÇÃO_294_2007_V3_IRT_Planilha Básica_mar2010d 2" xfId="1313" xr:uid="{00000000-0005-0000-0000-0000BA090000}"/>
    <cellStyle name="_PLPT CEMIG 2009_PLANILHA_CÁLCULO_DÉFICIT_RESOLUÇÃO_294_2007_V3_IRT-cálculo" xfId="3090" xr:uid="{00000000-0005-0000-0000-0000BB090000}"/>
    <cellStyle name="_PLPT CEMIG 2009_PLANILHA_CÁLCULO_DÉFICIT_RESOLUÇÃO_294_2007_V3_IRT-cálculo CAPA NEUTRALIDADE" xfId="3091" xr:uid="{00000000-0005-0000-0000-0000BC090000}"/>
    <cellStyle name="_PLPT CEMIG 2009_PLANILHA_CÁLCULO_DÉFICIT_RESOLUÇÃO_294_2007_V3_Resultados_DEA_RND_QUAL_PERDAS" xfId="42533" xr:uid="{00000000-0005-0000-0000-0000BD090000}"/>
    <cellStyle name="_PLPT CEMIG 2009_PLANILHA_CÁLCULO_DÉFICIT_RESOLUÇÃO_294_2007_V3_Subsídios para análise da SRE" xfId="331" xr:uid="{00000000-0005-0000-0000-0000BE090000}"/>
    <cellStyle name="_PLPT CEMIG 2009_PLANILHA_CÁLCULO_DÉFICIT_RESOLUÇÃO_294_2007_V3_Subsídios para análise da SRE 2" xfId="1314" xr:uid="{00000000-0005-0000-0000-0000BF090000}"/>
    <cellStyle name="_PLPT CEMIG 2009_PLANILHA_CÁLCULO_DÉFICIT_RESOLUÇÃO_294_2007_V3_Subsídios para análise da SRE_02 IRT Bandeirante 2009" xfId="3092" xr:uid="{00000000-0005-0000-0000-0000C0090000}"/>
    <cellStyle name="_PLPT CEMIG 2009_PLANILHA_CÁLCULO_DÉFICIT_RESOLUÇÃO_294_2007_V3_Subsídios para análise da SRE_1" xfId="3093" xr:uid="{00000000-0005-0000-0000-0000C1090000}"/>
    <cellStyle name="_PLPT CEMIG 2009_PLANILHA_CÁLCULO_DÉFICIT_RESOLUÇÃO_294_2007_V3_Subsídios para análise da SRE_Balanço" xfId="332" xr:uid="{00000000-0005-0000-0000-0000C2090000}"/>
    <cellStyle name="_PLPT CEMIG 2009_PLANILHA_CÁLCULO_DÉFICIT_RESOLUÇÃO_294_2007_V3_Subsídios para análise da SRE_Balanço 2" xfId="1315" xr:uid="{00000000-0005-0000-0000-0000C3090000}"/>
    <cellStyle name="_PLPT CEMIG 2009_PLANILHA_CÁLCULO_DÉFICIT_RESOLUÇÃO_294_2007_V3_Subsídios para análise da SRE_casulo 15" xfId="333" xr:uid="{00000000-0005-0000-0000-0000C4090000}"/>
    <cellStyle name="_PLPT CEMIG 2009_PLANILHA_CÁLCULO_DÉFICIT_RESOLUÇÃO_294_2007_V3_Subsídios para análise da SRE_casulo 5" xfId="334" xr:uid="{00000000-0005-0000-0000-0000C5090000}"/>
    <cellStyle name="_PLPT CEMIG 2009_PLANILHA_CÁLCULO_DÉFICIT_RESOLUÇÃO_294_2007_V3_Subsídios para análise da SRE_casulo 5 2" xfId="1316" xr:uid="{00000000-0005-0000-0000-0000C6090000}"/>
    <cellStyle name="_PLPT CEMIG 2009_PLANILHA_CÁLCULO_DÉFICIT_RESOLUÇÃO_294_2007_V3_Subsídios para análise da SRE_casulo 5_Balanço" xfId="335" xr:uid="{00000000-0005-0000-0000-0000C7090000}"/>
    <cellStyle name="_PLPT CEMIG 2009_PLANILHA_CÁLCULO_DÉFICIT_RESOLUÇÃO_294_2007_V3_Subsídios para análise da SRE_casulo 5_casulo 15" xfId="336" xr:uid="{00000000-0005-0000-0000-0000C8090000}"/>
    <cellStyle name="_PLPT CEMIG 2009_PLANILHA_CÁLCULO_DÉFICIT_RESOLUÇÃO_294_2007_V3_Subsídios para análise da SRE_casulo 5_IRT EEB 2010" xfId="3094" xr:uid="{00000000-0005-0000-0000-0000C9090000}"/>
    <cellStyle name="_PLPT CEMIG 2009_PLANILHA_CÁLCULO_DÉFICIT_RESOLUÇÃO_294_2007_V3_Subsídios para análise da SRE_IRT EEB 2010" xfId="3095" xr:uid="{00000000-0005-0000-0000-0000CA090000}"/>
    <cellStyle name="_PLPT CEMIG 2009_PLANILHA_CÁLCULO_DÉFICIT_RESOLUÇÃO_294_2007_V3_Subsídios para análise da SRE_IRT Piratininga 2009" xfId="337" xr:uid="{00000000-0005-0000-0000-0000CB090000}"/>
    <cellStyle name="_PLPT CEMIG 2009_PLANILHA_CÁLCULO_DÉFICIT_RESOLUÇÃO_294_2007_V3_Subsídios para análise da SRE_IRT Piratininga 2009 2" xfId="1317" xr:uid="{00000000-0005-0000-0000-0000CC090000}"/>
    <cellStyle name="_PLPT CEMIG 2009_PLANILHA_CÁLCULO_DÉFICIT_RESOLUÇÃO_294_2007_V3_Subsídios para análise da SRE_IRT Piratininga 2009_Balanço" xfId="338" xr:uid="{00000000-0005-0000-0000-0000CD090000}"/>
    <cellStyle name="_PLPT CEMIG 2009_PLANILHA_CÁLCULO_DÉFICIT_RESOLUÇÃO_294_2007_V3_Subsídios para análise da SRE_IRT Piratininga 2009_casulo 15" xfId="339" xr:uid="{00000000-0005-0000-0000-0000CE090000}"/>
    <cellStyle name="_PLPT CEMIG 2009_PLANILHA_CÁLCULO_DÉFICIT_RESOLUÇÃO_294_2007_V3_Subsídios para análise da SRE_IRT Piratininga 2009_IRT EEB 2010" xfId="3096" xr:uid="{00000000-0005-0000-0000-0000CF090000}"/>
    <cellStyle name="_PLPT CEMIG 2009_PLANILHA_CÁLCULO_DÉFICIT_RESOLUÇÃO_294_2007_V3_Subsídios para análise da SRE_IRT_EBB_mai2010d" xfId="3097" xr:uid="{00000000-0005-0000-0000-0000D0090000}"/>
    <cellStyle name="_PLPT CEMIG 2009_PLANILHA_CÁLCULO_DÉFICIT_RESOLUÇÃO_294_2007_V3_Subsídios para análise da SRE_IRT_Planilha Básica_ CETRIL" xfId="340" xr:uid="{00000000-0005-0000-0000-0000D1090000}"/>
    <cellStyle name="_PLPT CEMIG 2009_PLANILHA_CÁLCULO_DÉFICIT_RESOLUÇÃO_294_2007_V3_Subsídios para análise da SRE_IRT_Planilha Básica_ CETRIL 2" xfId="1318" xr:uid="{00000000-0005-0000-0000-0000D2090000}"/>
    <cellStyle name="_PLPT CEMIG 2009_PLANILHA_CÁLCULO_DÉFICIT_RESOLUÇÃO_294_2007_V3_Subsídios para análise da SRE_IRT_Planilha Básica_ CETRIL_Balanço" xfId="341" xr:uid="{00000000-0005-0000-0000-0000D3090000}"/>
    <cellStyle name="_PLPT CEMIG 2009_PLANILHA_CÁLCULO_DÉFICIT_RESOLUÇÃO_294_2007_V3_Subsídios para análise da SRE_IRT_Planilha Básica_ CETRIL_casulo 15" xfId="342" xr:uid="{00000000-0005-0000-0000-0000D4090000}"/>
    <cellStyle name="_PLPT CEMIG 2009_PLANILHA_CÁLCULO_DÉFICIT_RESOLUÇÃO_294_2007_V3_Subsídios para análise da SRE_IRT_Planilha Básica_ CETRIL_IRT EEB 2010" xfId="3098" xr:uid="{00000000-0005-0000-0000-0000D5090000}"/>
    <cellStyle name="_PLPT CEMIG 2009_PLANILHA_CÁLCULO_DÉFICIT_RESOLUÇÃO_294_2007_V3_Subsídios para análise da SRE_IRT_Planilha Básica_DIRETORIA" xfId="3099" xr:uid="{00000000-0005-0000-0000-0000D6090000}"/>
    <cellStyle name="_PLPT CEMIG 2009_PLANILHA_CÁLCULO_DÉFICIT_RESOLUÇÃO_294_2007_V3_Subsídios para análise da SRE_IRT_Planilha Básica_fev2010" xfId="3100" xr:uid="{00000000-0005-0000-0000-0000D7090000}"/>
    <cellStyle name="_PLPT CEMIG 2009_PLANILHA_CÁLCULO_DÉFICIT_RESOLUÇÃO_294_2007_V3_Subsídios para análise da SRE_IRT_Planilha Básica_fev2010a" xfId="343" xr:uid="{00000000-0005-0000-0000-0000D8090000}"/>
    <cellStyle name="_PLPT CEMIG 2009_PLANILHA_CÁLCULO_DÉFICIT_RESOLUÇÃO_294_2007_V3_Subsídios para análise da SRE_IRT_Planilha Básica_fev2010a 2" xfId="1319" xr:uid="{00000000-0005-0000-0000-0000D9090000}"/>
    <cellStyle name="_PLPT CEMIG 2009_PLANILHA_CÁLCULO_DÉFICIT_RESOLUÇÃO_294_2007_V3_Subsídios para análise da SRE_IRT_Planilha Básica_fev2010a_Balanço" xfId="344" xr:uid="{00000000-0005-0000-0000-0000DA090000}"/>
    <cellStyle name="_PLPT CEMIG 2009_PLANILHA_CÁLCULO_DÉFICIT_RESOLUÇÃO_294_2007_V3_Subsídios para análise da SRE_IRT_Planilha Básica_fev2010a_Balanço 2" xfId="1320" xr:uid="{00000000-0005-0000-0000-0000DB090000}"/>
    <cellStyle name="_PLPT CEMIG 2009_PLANILHA_CÁLCULO_DÉFICIT_RESOLUÇÃO_294_2007_V3_Subsídios para análise da SRE_IRT_Planilha Básica_fev2010a_casulo 15" xfId="345" xr:uid="{00000000-0005-0000-0000-0000DC090000}"/>
    <cellStyle name="_PLPT CEMIG 2009_PLANILHA_CÁLCULO_DÉFICIT_RESOLUÇÃO_294_2007_V3_Subsídios para análise da SRE_IRT_Planilha Básica_fev2010a_casulo 5" xfId="346" xr:uid="{00000000-0005-0000-0000-0000DD090000}"/>
    <cellStyle name="_PLPT CEMIG 2009_PLANILHA_CÁLCULO_DÉFICIT_RESOLUÇÃO_294_2007_V3_Subsídios para análise da SRE_IRT_Planilha Básica_fev2010a_casulo 5 2" xfId="1321" xr:uid="{00000000-0005-0000-0000-0000DE090000}"/>
    <cellStyle name="_PLPT CEMIG 2009_PLANILHA_CÁLCULO_DÉFICIT_RESOLUÇÃO_294_2007_V3_Subsídios para análise da SRE_IRT_Planilha Básica_fev2010a_casulo 5_Balanço" xfId="347" xr:uid="{00000000-0005-0000-0000-0000DF090000}"/>
    <cellStyle name="_PLPT CEMIG 2009_PLANILHA_CÁLCULO_DÉFICIT_RESOLUÇÃO_294_2007_V3_Subsídios para análise da SRE_IRT_Planilha Básica_fev2010a_casulo 5_casulo 15" xfId="348" xr:uid="{00000000-0005-0000-0000-0000E0090000}"/>
    <cellStyle name="_PLPT CEMIG 2009_PLANILHA_CÁLCULO_DÉFICIT_RESOLUÇÃO_294_2007_V3_Subsídios para análise da SRE_IRT_Planilha Básica_fev2010a_casulo 5_IRT EEB 2010" xfId="3101" xr:uid="{00000000-0005-0000-0000-0000E1090000}"/>
    <cellStyle name="_PLPT CEMIG 2009_PLANILHA_CÁLCULO_DÉFICIT_RESOLUÇÃO_294_2007_V3_Subsídios para análise da SRE_IRT_Planilha Básica_fev2010a_IRT EEB 2010" xfId="3102" xr:uid="{00000000-0005-0000-0000-0000E2090000}"/>
    <cellStyle name="_PLPT CEMIG 2009_PLANILHA_CÁLCULO_DÉFICIT_RESOLUÇÃO_294_2007_V3_Subsídios para análise da SRE_IRT_Planilha Básica_jan2010" xfId="3103" xr:uid="{00000000-0005-0000-0000-0000E3090000}"/>
    <cellStyle name="_PLPT CEMIG 2009_PLANILHA_CÁLCULO_DÉFICIT_RESOLUÇÃO_294_2007_V3_Subsídios para análise da SRE_IRT_Planilha Básica_mar2010b" xfId="3104" xr:uid="{00000000-0005-0000-0000-0000E4090000}"/>
    <cellStyle name="_PLPT CEMIG 2009_PLANILHA_CÁLCULO_DÉFICIT_RESOLUÇÃO_294_2007_V3_Subsídios para análise da SRE_IRT_Planilha Básica_mar2010d" xfId="349" xr:uid="{00000000-0005-0000-0000-0000E5090000}"/>
    <cellStyle name="_PLPT CEMIG 2009_PLANILHA_CÁLCULO_DÉFICIT_RESOLUÇÃO_294_2007_V3_Subsídios para análise da SRE_IRT_Planilha Básica_mar2010d 2" xfId="1322" xr:uid="{00000000-0005-0000-0000-0000E6090000}"/>
    <cellStyle name="_PLPT CEMIG 2009_PLANILHA_CÁLCULO_DÉFICIT_RESOLUÇÃO_294_2007_V3_Subsídios para análise da SRE_IRT_Planilha Básica_NOVA METODOLOGIA" xfId="3105" xr:uid="{00000000-0005-0000-0000-0000E7090000}"/>
    <cellStyle name="_PLPT CEMIG 2009_PLANILHA_CÁLCULO_DÉFICIT_RESOLUÇÃO_294_2007_V3_Subsídios para análise da SRE_IRT_Santa 2010" xfId="3106" xr:uid="{00000000-0005-0000-0000-0000E8090000}"/>
    <cellStyle name="_PLPT CEMIG 2009_PLANILHA_CÁLCULO_DÉFICIT_RESOLUÇÃO_294_2007_V3_Subsídios para análise da SRE_IRT-cálculo" xfId="3107" xr:uid="{00000000-0005-0000-0000-0000E9090000}"/>
    <cellStyle name="_PLPT CEMIG 2009_PLANILHA_CÁLCULO_DÉFICIT_RESOLUÇÃO_294_2007_V3_Subsídios para análise da SRE_IRT-cálculo CAPA NEUTRALIDADE" xfId="3108" xr:uid="{00000000-0005-0000-0000-0000EA090000}"/>
    <cellStyle name="_PLPT CEMIG 2009_PLANILHA_CÁLCULO_DÉFICIT_RESOLUÇÃO_294_2007_V3_Subsídios para análise da SRE_Resultados_DEA_RND_QUAL_PERDAS" xfId="42534" xr:uid="{00000000-0005-0000-0000-0000EB090000}"/>
    <cellStyle name="_PLPT CEMIG 2009_PLANILHA_CÁLCULO_DÉFICIT_RESOLUÇÃO_294_2007_V3_Subsídios para análise da SRE_teste ampla" xfId="350" xr:uid="{00000000-0005-0000-0000-0000EC090000}"/>
    <cellStyle name="_PLPT CEMIG 2009_PLANILHA_CÁLCULO_DÉFICIT_RESOLUÇÃO_294_2007_V3_Subsídios para análise da SRE_teste ampla 2" xfId="1323" xr:uid="{00000000-0005-0000-0000-0000ED090000}"/>
    <cellStyle name="_PLPT CEMIG 2009_PLANILHA_CÁLCULO_DÉFICIT_RESOLUÇÃO_294_2007_V3_Subsídios para análise da SRE_teste ampla_Balanço" xfId="351" xr:uid="{00000000-0005-0000-0000-0000EE090000}"/>
    <cellStyle name="_PLPT CEMIG 2009_PLANILHA_CÁLCULO_DÉFICIT_RESOLUÇÃO_294_2007_V3_Subsídios para análise da SRE_teste ampla_Balanço 2" xfId="1324" xr:uid="{00000000-0005-0000-0000-0000EF090000}"/>
    <cellStyle name="_PLPT CEMIG 2009_PLANILHA_CÁLCULO_DÉFICIT_RESOLUÇÃO_294_2007_V3_Subsídios para análise da SRE_teste ampla_casulo 15" xfId="352" xr:uid="{00000000-0005-0000-0000-0000F0090000}"/>
    <cellStyle name="_PLPT CEMIG 2009_PLANILHA_CÁLCULO_DÉFICIT_RESOLUÇÃO_294_2007_V3_Subsídios para análise da SRE_teste ampla_casulo 5" xfId="353" xr:uid="{00000000-0005-0000-0000-0000F1090000}"/>
    <cellStyle name="_PLPT CEMIG 2009_PLANILHA_CÁLCULO_DÉFICIT_RESOLUÇÃO_294_2007_V3_Subsídios para análise da SRE_teste ampla_casulo 5 2" xfId="1325" xr:uid="{00000000-0005-0000-0000-0000F2090000}"/>
    <cellStyle name="_PLPT CEMIG 2009_PLANILHA_CÁLCULO_DÉFICIT_RESOLUÇÃO_294_2007_V3_Subsídios para análise da SRE_teste ampla_casulo 5_Balanço" xfId="354" xr:uid="{00000000-0005-0000-0000-0000F3090000}"/>
    <cellStyle name="_PLPT CEMIG 2009_PLANILHA_CÁLCULO_DÉFICIT_RESOLUÇÃO_294_2007_V3_Subsídios para análise da SRE_teste ampla_casulo 5_casulo 15" xfId="355" xr:uid="{00000000-0005-0000-0000-0000F4090000}"/>
    <cellStyle name="_PLPT CEMIG 2009_PLANILHA_CÁLCULO_DÉFICIT_RESOLUÇÃO_294_2007_V3_Subsídios para análise da SRE_teste ampla_casulo 5_IRT EEB 2010" xfId="3109" xr:uid="{00000000-0005-0000-0000-0000F5090000}"/>
    <cellStyle name="_PLPT CEMIG 2009_PLANILHA_CÁLCULO_DÉFICIT_RESOLUÇÃO_294_2007_V3_Subsídios para análise da SRE_teste ampla_IRT EEB 2010" xfId="3110" xr:uid="{00000000-0005-0000-0000-0000F6090000}"/>
    <cellStyle name="_PLPT CEMIG 2009_PLANILHA_CÁLCULO_DÉFICIT_RESOLUÇÃO_294_2007_V3_SubsídiosAnáliseSRE_COSERN_IRT-2010" xfId="1623" xr:uid="{00000000-0005-0000-0000-0000F7090000}"/>
    <cellStyle name="_PLPT EMG 2010" xfId="3111" xr:uid="{00000000-0005-0000-0000-0000F8090000}"/>
    <cellStyle name="_PLPT EMG 2010_ANEEL" xfId="3112" xr:uid="{00000000-0005-0000-0000-0000F9090000}"/>
    <cellStyle name="_PLPT MOCOCA-2009_PLANILHA_CÁLCULO_DÉFICIT_RESOLUÇÃO_294_2007_V3" xfId="356" xr:uid="{00000000-0005-0000-0000-0000FA090000}"/>
    <cellStyle name="_PLPT MOCOCA-2009_PLANILHA_CÁLCULO_DÉFICIT_RESOLUÇÃO_294_2007_V3 2" xfId="1326" xr:uid="{00000000-0005-0000-0000-0000FB090000}"/>
    <cellStyle name="_PLPT MOCOCA-2009_PLANILHA_CÁLCULO_DÉFICIT_RESOLUÇÃO_294_2007_V3_02 IRT COSERN 2009" xfId="1624" xr:uid="{00000000-0005-0000-0000-0000FC090000}"/>
    <cellStyle name="_PLPT MOCOCA-2009_PLANILHA_CÁLCULO_DÉFICIT_RESOLUÇÃO_294_2007_V3_Ajustes REAJUSTE 2008 ELETROPAULO" xfId="3113" xr:uid="{00000000-0005-0000-0000-0000FD090000}"/>
    <cellStyle name="_PLPT MOCOCA-2009_PLANILHA_CÁLCULO_DÉFICIT_RESOLUÇÃO_294_2007_V3_Ajustes REAJUSTE 2008 ELETROPAULO_IRT-cálculo" xfId="3114" xr:uid="{00000000-0005-0000-0000-0000FE090000}"/>
    <cellStyle name="_PLPT MOCOCA-2009_PLANILHA_CÁLCULO_DÉFICIT_RESOLUÇÃO_294_2007_V3_Ajustes REAJUSTE 2008 ELETROPAULO_IRT-cálculo CAPA NEUTRALIDADE" xfId="3115" xr:uid="{00000000-0005-0000-0000-0000FF090000}"/>
    <cellStyle name="_PLPT MOCOCA-2009_PLANILHA_CÁLCULO_DÉFICIT_RESOLUÇÃO_294_2007_V3_Ajustes REVISÃO 2007 ELETROPAULO" xfId="3116" xr:uid="{00000000-0005-0000-0000-0000000A0000}"/>
    <cellStyle name="_PLPT MOCOCA-2009_PLANILHA_CÁLCULO_DÉFICIT_RESOLUÇÃO_294_2007_V3_Ajustes REVISÃO 2007 ELETROPAULO_IRT-cálculo" xfId="3117" xr:uid="{00000000-0005-0000-0000-0000010A0000}"/>
    <cellStyle name="_PLPT MOCOCA-2009_PLANILHA_CÁLCULO_DÉFICIT_RESOLUÇÃO_294_2007_V3_Ajustes REVISÃO 2007 ELETROPAULO_IRT-cálculo CAPA NEUTRALIDADE" xfId="3118" xr:uid="{00000000-0005-0000-0000-0000020A0000}"/>
    <cellStyle name="_PLPT MOCOCA-2009_PLANILHA_CÁLCULO_DÉFICIT_RESOLUÇÃO_294_2007_V3_atualização serviços taxados" xfId="43191" xr:uid="{00000000-0005-0000-0000-0000030A0000}"/>
    <cellStyle name="_PLPT MOCOCA-2009_PLANILHA_CÁLCULO_DÉFICIT_RESOLUÇÃO_294_2007_V3_Balanço" xfId="357" xr:uid="{00000000-0005-0000-0000-0000040A0000}"/>
    <cellStyle name="_PLPT MOCOCA-2009_PLANILHA_CÁLCULO_DÉFICIT_RESOLUÇÃO_294_2007_V3_Balanço 2" xfId="1327" xr:uid="{00000000-0005-0000-0000-0000050A0000}"/>
    <cellStyle name="_PLPT MOCOCA-2009_PLANILHA_CÁLCULO_DÉFICIT_RESOLUÇÃO_294_2007_V3_casulo 15" xfId="358" xr:uid="{00000000-0005-0000-0000-0000060A0000}"/>
    <cellStyle name="_PLPT MOCOCA-2009_PLANILHA_CÁLCULO_DÉFICIT_RESOLUÇÃO_294_2007_V3_casulo 5" xfId="359" xr:uid="{00000000-0005-0000-0000-0000070A0000}"/>
    <cellStyle name="_PLPT MOCOCA-2009_PLANILHA_CÁLCULO_DÉFICIT_RESOLUÇÃO_294_2007_V3_casulo 5 2" xfId="1328" xr:uid="{00000000-0005-0000-0000-0000080A0000}"/>
    <cellStyle name="_PLPT MOCOCA-2009_PLANILHA_CÁLCULO_DÉFICIT_RESOLUÇÃO_294_2007_V3_casulo 5_Balanço" xfId="360" xr:uid="{00000000-0005-0000-0000-0000090A0000}"/>
    <cellStyle name="_PLPT MOCOCA-2009_PLANILHA_CÁLCULO_DÉFICIT_RESOLUÇÃO_294_2007_V3_casulo 5_casulo 15" xfId="361" xr:uid="{00000000-0005-0000-0000-00000A0A0000}"/>
    <cellStyle name="_PLPT MOCOCA-2009_PLANILHA_CÁLCULO_DÉFICIT_RESOLUÇÃO_294_2007_V3_casulo 5_IRT EEB 2010" xfId="3119" xr:uid="{00000000-0005-0000-0000-00000B0A0000}"/>
    <cellStyle name="_PLPT MOCOCA-2009_PLANILHA_CÁLCULO_DÉFICIT_RESOLUÇÃO_294_2007_V3_Financeiro Desconto na TUSD Consumidores Livres Reajuste 2010 - 03_03_2010" xfId="43192" xr:uid="{00000000-0005-0000-0000-00000C0A0000}"/>
    <cellStyle name="_PLPT MOCOCA-2009_PLANILHA_CÁLCULO_DÉFICIT_RESOLUÇÃO_294_2007_V3_Financeiro Desconto na TUSD Geradores Reajuste 2010 - 03_03_2010" xfId="43193" xr:uid="{00000000-0005-0000-0000-00000D0A0000}"/>
    <cellStyle name="_PLPT MOCOCA-2009_PLANILHA_CÁLCULO_DÉFICIT_RESOLUÇÃO_294_2007_V3_Financeiro Subsídio Baixa Renda Reajuste 2010 - 03_03_2010" xfId="43194" xr:uid="{00000000-0005-0000-0000-00000E0A0000}"/>
    <cellStyle name="_PLPT MOCOCA-2009_PLANILHA_CÁLCULO_DÉFICIT_RESOLUÇÃO_294_2007_V3_Financeiro Subsídio Rural Irrigante e Aquicultor Reajuste 2010 - 03_03_2010" xfId="43195" xr:uid="{00000000-0005-0000-0000-00000F0A0000}"/>
    <cellStyle name="_PLPT MOCOCA-2009_PLANILHA_CÁLCULO_DÉFICIT_RESOLUÇÃO_294_2007_V3_IRT" xfId="3120" xr:uid="{00000000-0005-0000-0000-0000100A0000}"/>
    <cellStyle name="_PLPT MOCOCA-2009_PLANILHA_CÁLCULO_DÉFICIT_RESOLUÇÃO_294_2007_V3_IRT EEB 2010" xfId="3121" xr:uid="{00000000-0005-0000-0000-0000110A0000}"/>
    <cellStyle name="_PLPT MOCOCA-2009_PLANILHA_CÁLCULO_DÉFICIT_RESOLUÇÃO_294_2007_V3_IRT Piratininga 2009" xfId="362" xr:uid="{00000000-0005-0000-0000-0000120A0000}"/>
    <cellStyle name="_PLPT MOCOCA-2009_PLANILHA_CÁLCULO_DÉFICIT_RESOLUÇÃO_294_2007_V3_IRT Piratininga 2009 2" xfId="1329" xr:uid="{00000000-0005-0000-0000-0000130A0000}"/>
    <cellStyle name="_PLPT MOCOCA-2009_PLANILHA_CÁLCULO_DÉFICIT_RESOLUÇÃO_294_2007_V3_IRT Piratininga 2009_Balanço" xfId="363" xr:uid="{00000000-0005-0000-0000-0000140A0000}"/>
    <cellStyle name="_PLPT MOCOCA-2009_PLANILHA_CÁLCULO_DÉFICIT_RESOLUÇÃO_294_2007_V3_IRT Piratininga 2009_casulo 15" xfId="364" xr:uid="{00000000-0005-0000-0000-0000150A0000}"/>
    <cellStyle name="_PLPT MOCOCA-2009_PLANILHA_CÁLCULO_DÉFICIT_RESOLUÇÃO_294_2007_V3_IRT Piratininga 2009_IRT EEB 2010" xfId="3122" xr:uid="{00000000-0005-0000-0000-0000160A0000}"/>
    <cellStyle name="_PLPT MOCOCA-2009_PLANILHA_CÁLCULO_DÉFICIT_RESOLUÇÃO_294_2007_V3_IRT_Bragantina_maio_2009" xfId="3123" xr:uid="{00000000-0005-0000-0000-0000170A0000}"/>
    <cellStyle name="_PLPT MOCOCA-2009_PLANILHA_CÁLCULO_DÉFICIT_RESOLUÇÃO_294_2007_V3_IRT_CEMAT_2009" xfId="3124" xr:uid="{00000000-0005-0000-0000-0000180A0000}"/>
    <cellStyle name="_PLPT MOCOCA-2009_PLANILHA_CÁLCULO_DÉFICIT_RESOLUÇÃO_294_2007_V3_IRT_EBB_mai2010d" xfId="3125" xr:uid="{00000000-0005-0000-0000-0000190A0000}"/>
    <cellStyle name="_PLPT MOCOCA-2009_PLANILHA_CÁLCULO_DÉFICIT_RESOLUÇÃO_294_2007_V3_IRT_ENF" xfId="3126" xr:uid="{00000000-0005-0000-0000-00001A0A0000}"/>
    <cellStyle name="_PLPT MOCOCA-2009_PLANILHA_CÁLCULO_DÉFICIT_RESOLUÇÃO_294_2007_V3_IRT_Escelsa" xfId="3127" xr:uid="{00000000-0005-0000-0000-00001B0A0000}"/>
    <cellStyle name="_PLPT MOCOCA-2009_PLANILHA_CÁLCULO_DÉFICIT_RESOLUÇÃO_294_2007_V3_IRT_Planilha Básica_ CETRIL" xfId="365" xr:uid="{00000000-0005-0000-0000-00001C0A0000}"/>
    <cellStyle name="_PLPT MOCOCA-2009_PLANILHA_CÁLCULO_DÉFICIT_RESOLUÇÃO_294_2007_V3_IRT_Planilha Básica_ CETRIL 2" xfId="1330" xr:uid="{00000000-0005-0000-0000-00001D0A0000}"/>
    <cellStyle name="_PLPT MOCOCA-2009_PLANILHA_CÁLCULO_DÉFICIT_RESOLUÇÃO_294_2007_V3_IRT_Planilha Básica_ CETRIL_Balanço" xfId="366" xr:uid="{00000000-0005-0000-0000-00001E0A0000}"/>
    <cellStyle name="_PLPT MOCOCA-2009_PLANILHA_CÁLCULO_DÉFICIT_RESOLUÇÃO_294_2007_V3_IRT_Planilha Básica_ CETRIL_casulo 15" xfId="367" xr:uid="{00000000-0005-0000-0000-00001F0A0000}"/>
    <cellStyle name="_PLPT MOCOCA-2009_PLANILHA_CÁLCULO_DÉFICIT_RESOLUÇÃO_294_2007_V3_IRT_Planilha Básica_ CETRIL_IRT EEB 2010" xfId="3128" xr:uid="{00000000-0005-0000-0000-0000200A0000}"/>
    <cellStyle name="_PLPT MOCOCA-2009_PLANILHA_CÁLCULO_DÉFICIT_RESOLUÇÃO_294_2007_V3_IRT_Planilha Básica_30jun2009" xfId="3129" xr:uid="{00000000-0005-0000-0000-0000210A0000}"/>
    <cellStyle name="_PLPT MOCOCA-2009_PLANILHA_CÁLCULO_DÉFICIT_RESOLUÇÃO_294_2007_V3_IRT_Planilha Básica_DIRETORIA" xfId="3130" xr:uid="{00000000-0005-0000-0000-0000220A0000}"/>
    <cellStyle name="_PLPT MOCOCA-2009_PLANILHA_CÁLCULO_DÉFICIT_RESOLUÇÃO_294_2007_V3_IRT_Planilha Básica_jun2009" xfId="3131" xr:uid="{00000000-0005-0000-0000-0000230A0000}"/>
    <cellStyle name="_PLPT MOCOCA-2009_PLANILHA_CÁLCULO_DÉFICIT_RESOLUÇÃO_294_2007_V3_IRT_Planilha Básica_mar2010b" xfId="3132" xr:uid="{00000000-0005-0000-0000-0000240A0000}"/>
    <cellStyle name="_PLPT MOCOCA-2009_PLANILHA_CÁLCULO_DÉFICIT_RESOLUÇÃO_294_2007_V3_IRT_Planilha Básica_mar2010d" xfId="368" xr:uid="{00000000-0005-0000-0000-0000250A0000}"/>
    <cellStyle name="_PLPT MOCOCA-2009_PLANILHA_CÁLCULO_DÉFICIT_RESOLUÇÃO_294_2007_V3_IRT_Planilha Básica_mar2010d 2" xfId="1331" xr:uid="{00000000-0005-0000-0000-0000260A0000}"/>
    <cellStyle name="_PLPT MOCOCA-2009_PLANILHA_CÁLCULO_DÉFICIT_RESOLUÇÃO_294_2007_V3_IRT_Planilha Básica_março2009" xfId="369" xr:uid="{00000000-0005-0000-0000-0000270A0000}"/>
    <cellStyle name="_PLPT MOCOCA-2009_PLANILHA_CÁLCULO_DÉFICIT_RESOLUÇÃO_294_2007_V3_IRT_Planilha Básica_março2009 2" xfId="1332" xr:uid="{00000000-0005-0000-0000-0000280A0000}"/>
    <cellStyle name="_PLPT MOCOCA-2009_PLANILHA_CÁLCULO_DÉFICIT_RESOLUÇÃO_294_2007_V3_IRT_Planilha Básica_março2009_02 IRT Bandeirante 2009" xfId="3133" xr:uid="{00000000-0005-0000-0000-0000290A0000}"/>
    <cellStyle name="_PLPT MOCOCA-2009_PLANILHA_CÁLCULO_DÉFICIT_RESOLUÇÃO_294_2007_V3_IRT_Planilha Básica_março2009_Balanço" xfId="370" xr:uid="{00000000-0005-0000-0000-00002A0A0000}"/>
    <cellStyle name="_PLPT MOCOCA-2009_PLANILHA_CÁLCULO_DÉFICIT_RESOLUÇÃO_294_2007_V3_IRT_Planilha Básica_março2009_Balanço 2" xfId="1333" xr:uid="{00000000-0005-0000-0000-00002B0A0000}"/>
    <cellStyle name="_PLPT MOCOCA-2009_PLANILHA_CÁLCULO_DÉFICIT_RESOLUÇÃO_294_2007_V3_IRT_Planilha Básica_março2009_casulo 15" xfId="371" xr:uid="{00000000-0005-0000-0000-00002C0A0000}"/>
    <cellStyle name="_PLPT MOCOCA-2009_PLANILHA_CÁLCULO_DÉFICIT_RESOLUÇÃO_294_2007_V3_IRT_Planilha Básica_março2009_casulo 5" xfId="372" xr:uid="{00000000-0005-0000-0000-00002D0A0000}"/>
    <cellStyle name="_PLPT MOCOCA-2009_PLANILHA_CÁLCULO_DÉFICIT_RESOLUÇÃO_294_2007_V3_IRT_Planilha Básica_março2009_casulo 5 2" xfId="1334" xr:uid="{00000000-0005-0000-0000-00002E0A0000}"/>
    <cellStyle name="_PLPT MOCOCA-2009_PLANILHA_CÁLCULO_DÉFICIT_RESOLUÇÃO_294_2007_V3_IRT_Planilha Básica_março2009_casulo 5_Balanço" xfId="373" xr:uid="{00000000-0005-0000-0000-00002F0A0000}"/>
    <cellStyle name="_PLPT MOCOCA-2009_PLANILHA_CÁLCULO_DÉFICIT_RESOLUÇÃO_294_2007_V3_IRT_Planilha Básica_março2009_casulo 5_casulo 15" xfId="374" xr:uid="{00000000-0005-0000-0000-0000300A0000}"/>
    <cellStyle name="_PLPT MOCOCA-2009_PLANILHA_CÁLCULO_DÉFICIT_RESOLUÇÃO_294_2007_V3_IRT_Planilha Básica_março2009_casulo 5_IRT EEB 2010" xfId="3134" xr:uid="{00000000-0005-0000-0000-0000310A0000}"/>
    <cellStyle name="_PLPT MOCOCA-2009_PLANILHA_CÁLCULO_DÉFICIT_RESOLUÇÃO_294_2007_V3_IRT_Planilha Básica_março2009_COELCE  ICMS Não Compensado RTO 2012 281211" xfId="3135" xr:uid="{00000000-0005-0000-0000-0000320A0000}"/>
    <cellStyle name="_PLPT MOCOCA-2009_PLANILHA_CÁLCULO_DÉFICIT_RESOLUÇÃO_294_2007_V3_IRT_Planilha Básica_março2009_COELCE - RTO 2011 - PLPT_PLANILHA_CÁLCULO_DÉFICIT" xfId="3136" xr:uid="{00000000-0005-0000-0000-0000330A0000}"/>
    <cellStyle name="_PLPT MOCOCA-2009_PLANILHA_CÁLCULO_DÉFICIT_RESOLUÇÃO_294_2007_V3_IRT_Planilha Básica_março2009_IRT EEB 2010" xfId="3137" xr:uid="{00000000-0005-0000-0000-0000340A0000}"/>
    <cellStyle name="_PLPT MOCOCA-2009_PLANILHA_CÁLCULO_DÉFICIT_RESOLUÇÃO_294_2007_V3_IRT_Planilha Básica_março2009_IRT Piratininga 2009" xfId="375" xr:uid="{00000000-0005-0000-0000-0000350A0000}"/>
    <cellStyle name="_PLPT MOCOCA-2009_PLANILHA_CÁLCULO_DÉFICIT_RESOLUÇÃO_294_2007_V3_IRT_Planilha Básica_março2009_IRT Piratininga 2009 2" xfId="1335" xr:uid="{00000000-0005-0000-0000-0000360A0000}"/>
    <cellStyle name="_PLPT MOCOCA-2009_PLANILHA_CÁLCULO_DÉFICIT_RESOLUÇÃO_294_2007_V3_IRT_Planilha Básica_março2009_IRT Piratininga 2009_Balanço" xfId="376" xr:uid="{00000000-0005-0000-0000-0000370A0000}"/>
    <cellStyle name="_PLPT MOCOCA-2009_PLANILHA_CÁLCULO_DÉFICIT_RESOLUÇÃO_294_2007_V3_IRT_Planilha Básica_março2009_IRT Piratininga 2009_casulo 15" xfId="377" xr:uid="{00000000-0005-0000-0000-0000380A0000}"/>
    <cellStyle name="_PLPT MOCOCA-2009_PLANILHA_CÁLCULO_DÉFICIT_RESOLUÇÃO_294_2007_V3_IRT_Planilha Básica_março2009_IRT Piratininga 2009_IRT EEB 2010" xfId="3138" xr:uid="{00000000-0005-0000-0000-0000390A0000}"/>
    <cellStyle name="_PLPT MOCOCA-2009_PLANILHA_CÁLCULO_DÉFICIT_RESOLUÇÃO_294_2007_V3_IRT_Planilha Básica_março2009_IRT_EBB_mai2010d" xfId="3139" xr:uid="{00000000-0005-0000-0000-00003A0A0000}"/>
    <cellStyle name="_PLPT MOCOCA-2009_PLANILHA_CÁLCULO_DÉFICIT_RESOLUÇÃO_294_2007_V3_IRT_Planilha Básica_março2009_IRT_Planilha Básica_ CETRIL" xfId="378" xr:uid="{00000000-0005-0000-0000-00003B0A0000}"/>
    <cellStyle name="_PLPT MOCOCA-2009_PLANILHA_CÁLCULO_DÉFICIT_RESOLUÇÃO_294_2007_V3_IRT_Planilha Básica_março2009_IRT_Planilha Básica_ CETRIL 2" xfId="1336" xr:uid="{00000000-0005-0000-0000-00003C0A0000}"/>
    <cellStyle name="_PLPT MOCOCA-2009_PLANILHA_CÁLCULO_DÉFICIT_RESOLUÇÃO_294_2007_V3_IRT_Planilha Básica_março2009_IRT_Planilha Básica_ CETRIL_Balanço" xfId="379" xr:uid="{00000000-0005-0000-0000-00003D0A0000}"/>
    <cellStyle name="_PLPT MOCOCA-2009_PLANILHA_CÁLCULO_DÉFICIT_RESOLUÇÃO_294_2007_V3_IRT_Planilha Básica_março2009_IRT_Planilha Básica_ CETRIL_casulo 15" xfId="380" xr:uid="{00000000-0005-0000-0000-00003E0A0000}"/>
    <cellStyle name="_PLPT MOCOCA-2009_PLANILHA_CÁLCULO_DÉFICIT_RESOLUÇÃO_294_2007_V3_IRT_Planilha Básica_março2009_IRT_Planilha Básica_ CETRIL_IRT EEB 2010" xfId="3140" xr:uid="{00000000-0005-0000-0000-00003F0A0000}"/>
    <cellStyle name="_PLPT MOCOCA-2009_PLANILHA_CÁLCULO_DÉFICIT_RESOLUÇÃO_294_2007_V3_IRT_Planilha Básica_março2009_IRT_Planilha Básica_DIRETORIA" xfId="3141" xr:uid="{00000000-0005-0000-0000-0000400A0000}"/>
    <cellStyle name="_PLPT MOCOCA-2009_PLANILHA_CÁLCULO_DÉFICIT_RESOLUÇÃO_294_2007_V3_IRT_Planilha Básica_março2009_IRT_Planilha Básica_fev2010" xfId="3142" xr:uid="{00000000-0005-0000-0000-0000410A0000}"/>
    <cellStyle name="_PLPT MOCOCA-2009_PLANILHA_CÁLCULO_DÉFICIT_RESOLUÇÃO_294_2007_V3_IRT_Planilha Básica_março2009_IRT_Planilha Básica_fev2010a" xfId="381" xr:uid="{00000000-0005-0000-0000-0000420A0000}"/>
    <cellStyle name="_PLPT MOCOCA-2009_PLANILHA_CÁLCULO_DÉFICIT_RESOLUÇÃO_294_2007_V3_IRT_Planilha Básica_março2009_IRT_Planilha Básica_fev2010a 2" xfId="1337" xr:uid="{00000000-0005-0000-0000-0000430A0000}"/>
    <cellStyle name="_PLPT MOCOCA-2009_PLANILHA_CÁLCULO_DÉFICIT_RESOLUÇÃO_294_2007_V3_IRT_Planilha Básica_março2009_IRT_Planilha Básica_fev2010a_Balanço" xfId="382" xr:uid="{00000000-0005-0000-0000-0000440A0000}"/>
    <cellStyle name="_PLPT MOCOCA-2009_PLANILHA_CÁLCULO_DÉFICIT_RESOLUÇÃO_294_2007_V3_IRT_Planilha Básica_março2009_IRT_Planilha Básica_fev2010a_Balanço 2" xfId="1338" xr:uid="{00000000-0005-0000-0000-0000450A0000}"/>
    <cellStyle name="_PLPT MOCOCA-2009_PLANILHA_CÁLCULO_DÉFICIT_RESOLUÇÃO_294_2007_V3_IRT_Planilha Básica_março2009_IRT_Planilha Básica_fev2010a_casulo 15" xfId="383" xr:uid="{00000000-0005-0000-0000-0000460A0000}"/>
    <cellStyle name="_PLPT MOCOCA-2009_PLANILHA_CÁLCULO_DÉFICIT_RESOLUÇÃO_294_2007_V3_IRT_Planilha Básica_março2009_IRT_Planilha Básica_fev2010a_casulo 5" xfId="384" xr:uid="{00000000-0005-0000-0000-0000470A0000}"/>
    <cellStyle name="_PLPT MOCOCA-2009_PLANILHA_CÁLCULO_DÉFICIT_RESOLUÇÃO_294_2007_V3_IRT_Planilha Básica_março2009_IRT_Planilha Básica_fev2010a_casulo 5 2" xfId="1339" xr:uid="{00000000-0005-0000-0000-0000480A0000}"/>
    <cellStyle name="_PLPT MOCOCA-2009_PLANILHA_CÁLCULO_DÉFICIT_RESOLUÇÃO_294_2007_V3_IRT_Planilha Básica_março2009_IRT_Planilha Básica_fev2010a_casulo 5_Balanço" xfId="385" xr:uid="{00000000-0005-0000-0000-0000490A0000}"/>
    <cellStyle name="_PLPT MOCOCA-2009_PLANILHA_CÁLCULO_DÉFICIT_RESOLUÇÃO_294_2007_V3_IRT_Planilha Básica_março2009_IRT_Planilha Básica_fev2010a_casulo 5_casulo 15" xfId="386" xr:uid="{00000000-0005-0000-0000-00004A0A0000}"/>
    <cellStyle name="_PLPT MOCOCA-2009_PLANILHA_CÁLCULO_DÉFICIT_RESOLUÇÃO_294_2007_V3_IRT_Planilha Básica_março2009_IRT_Planilha Básica_fev2010a_casulo 5_IRT EEB 2010" xfId="3143" xr:uid="{00000000-0005-0000-0000-00004B0A0000}"/>
    <cellStyle name="_PLPT MOCOCA-2009_PLANILHA_CÁLCULO_DÉFICIT_RESOLUÇÃO_294_2007_V3_IRT_Planilha Básica_março2009_IRT_Planilha Básica_fev2010a_IRT EEB 2010" xfId="3144" xr:uid="{00000000-0005-0000-0000-00004C0A0000}"/>
    <cellStyle name="_PLPT MOCOCA-2009_PLANILHA_CÁLCULO_DÉFICIT_RESOLUÇÃO_294_2007_V3_IRT_Planilha Básica_março2009_IRT_Planilha Básica_jan2010" xfId="3145" xr:uid="{00000000-0005-0000-0000-00004D0A0000}"/>
    <cellStyle name="_PLPT MOCOCA-2009_PLANILHA_CÁLCULO_DÉFICIT_RESOLUÇÃO_294_2007_V3_IRT_Planilha Básica_março2009_IRT_Planilha Básica_mar2010d" xfId="387" xr:uid="{00000000-0005-0000-0000-00004E0A0000}"/>
    <cellStyle name="_PLPT MOCOCA-2009_PLANILHA_CÁLCULO_DÉFICIT_RESOLUÇÃO_294_2007_V3_IRT_Planilha Básica_março2009_IRT_Planilha Básica_mar2010d 2" xfId="1340" xr:uid="{00000000-0005-0000-0000-00004F0A0000}"/>
    <cellStyle name="_PLPT MOCOCA-2009_PLANILHA_CÁLCULO_DÉFICIT_RESOLUÇÃO_294_2007_V3_IRT_Planilha Básica_março2009_IRT_Planilha Básica_NOVA METODOLOGIA" xfId="3146" xr:uid="{00000000-0005-0000-0000-0000500A0000}"/>
    <cellStyle name="_PLPT MOCOCA-2009_PLANILHA_CÁLCULO_DÉFICIT_RESOLUÇÃO_294_2007_V3_IRT_Planilha Básica_março2009_IRT_Santa 2010" xfId="3147" xr:uid="{00000000-0005-0000-0000-0000510A0000}"/>
    <cellStyle name="_PLPT MOCOCA-2009_PLANILHA_CÁLCULO_DÉFICIT_RESOLUÇÃO_294_2007_V3_IRT_Planilha Básica_março2009_IRT-cálculo" xfId="43196" xr:uid="{00000000-0005-0000-0000-0000520A0000}"/>
    <cellStyle name="_PLPT MOCOCA-2009_PLANILHA_CÁLCULO_DÉFICIT_RESOLUÇÃO_294_2007_V3_IRT_Planilha Básica_março2009_Resultados_DEA_RND_QUAL_PERDAS" xfId="42535" xr:uid="{00000000-0005-0000-0000-0000530A0000}"/>
    <cellStyle name="_PLPT MOCOCA-2009_PLANILHA_CÁLCULO_DÉFICIT_RESOLUÇÃO_294_2007_V3_IRT_Planilha Básica_março2009_Simulação congelamento COELCE 2011 - Propostas 3ª Fase AP040 (20.12.2011)" xfId="3148" xr:uid="{00000000-0005-0000-0000-0000540A0000}"/>
    <cellStyle name="_PLPT MOCOCA-2009_PLANILHA_CÁLCULO_DÉFICIT_RESOLUÇÃO_294_2007_V3_IRT_Planilha Básica_março2009_teste ampla" xfId="388" xr:uid="{00000000-0005-0000-0000-0000550A0000}"/>
    <cellStyle name="_PLPT MOCOCA-2009_PLANILHA_CÁLCULO_DÉFICIT_RESOLUÇÃO_294_2007_V3_IRT_Planilha Básica_março2009_teste ampla 2" xfId="1341" xr:uid="{00000000-0005-0000-0000-0000560A0000}"/>
    <cellStyle name="_PLPT MOCOCA-2009_PLANILHA_CÁLCULO_DÉFICIT_RESOLUÇÃO_294_2007_V3_IRT_Planilha Básica_março2009_teste ampla_Balanço" xfId="389" xr:uid="{00000000-0005-0000-0000-0000570A0000}"/>
    <cellStyle name="_PLPT MOCOCA-2009_PLANILHA_CÁLCULO_DÉFICIT_RESOLUÇÃO_294_2007_V3_IRT_Planilha Básica_março2009_teste ampla_Balanço 2" xfId="1342" xr:uid="{00000000-0005-0000-0000-0000580A0000}"/>
    <cellStyle name="_PLPT MOCOCA-2009_PLANILHA_CÁLCULO_DÉFICIT_RESOLUÇÃO_294_2007_V3_IRT_Planilha Básica_março2009_teste ampla_casulo 15" xfId="390" xr:uid="{00000000-0005-0000-0000-0000590A0000}"/>
    <cellStyle name="_PLPT MOCOCA-2009_PLANILHA_CÁLCULO_DÉFICIT_RESOLUÇÃO_294_2007_V3_IRT_Planilha Básica_março2009_teste ampla_casulo 5" xfId="391" xr:uid="{00000000-0005-0000-0000-00005A0A0000}"/>
    <cellStyle name="_PLPT MOCOCA-2009_PLANILHA_CÁLCULO_DÉFICIT_RESOLUÇÃO_294_2007_V3_IRT_Planilha Básica_março2009_teste ampla_casulo 5 2" xfId="1343" xr:uid="{00000000-0005-0000-0000-00005B0A0000}"/>
    <cellStyle name="_PLPT MOCOCA-2009_PLANILHA_CÁLCULO_DÉFICIT_RESOLUÇÃO_294_2007_V3_IRT_Planilha Básica_março2009_teste ampla_casulo 5_Balanço" xfId="392" xr:uid="{00000000-0005-0000-0000-00005C0A0000}"/>
    <cellStyle name="_PLPT MOCOCA-2009_PLANILHA_CÁLCULO_DÉFICIT_RESOLUÇÃO_294_2007_V3_IRT_Planilha Básica_março2009_teste ampla_casulo 5_casulo 15" xfId="393" xr:uid="{00000000-0005-0000-0000-00005D0A0000}"/>
    <cellStyle name="_PLPT MOCOCA-2009_PLANILHA_CÁLCULO_DÉFICIT_RESOLUÇÃO_294_2007_V3_IRT_Planilha Básica_março2009_teste ampla_casulo 5_IRT EEB 2010" xfId="3149" xr:uid="{00000000-0005-0000-0000-00005E0A0000}"/>
    <cellStyle name="_PLPT MOCOCA-2009_PLANILHA_CÁLCULO_DÉFICIT_RESOLUÇÃO_294_2007_V3_IRT_Planilha Básica_março2009_teste ampla_IRT EEB 2010" xfId="3150" xr:uid="{00000000-0005-0000-0000-00005F0A0000}"/>
    <cellStyle name="_PLPT MOCOCA-2009_PLANILHA_CÁLCULO_DÉFICIT_RESOLUÇÃO_294_2007_V3_IRT-cálculo" xfId="3151" xr:uid="{00000000-0005-0000-0000-0000600A0000}"/>
    <cellStyle name="_PLPT MOCOCA-2009_PLANILHA_CÁLCULO_DÉFICIT_RESOLUÇÃO_294_2007_V3_IRT-cálculo CAPA NEUTRALIDADE" xfId="3152" xr:uid="{00000000-0005-0000-0000-0000610A0000}"/>
    <cellStyle name="_PLPT MOCOCA-2009_PLANILHA_CÁLCULO_DÉFICIT_RESOLUÇÃO_294_2007_V3_Resultados_DEA_RND_QUAL_PERDAS" xfId="42536" xr:uid="{00000000-0005-0000-0000-0000620A0000}"/>
    <cellStyle name="_PLPT MOCOCA-2009_PLANILHA_CÁLCULO_DÉFICIT_RESOLUÇÃO_294_2007_V3_Subsídios para análise da SRE" xfId="394" xr:uid="{00000000-0005-0000-0000-0000630A0000}"/>
    <cellStyle name="_PLPT MOCOCA-2009_PLANILHA_CÁLCULO_DÉFICIT_RESOLUÇÃO_294_2007_V3_Subsídios para análise da SRE 2" xfId="1344" xr:uid="{00000000-0005-0000-0000-0000640A0000}"/>
    <cellStyle name="_PLPT MOCOCA-2009_PLANILHA_CÁLCULO_DÉFICIT_RESOLUÇÃO_294_2007_V3_Subsídios para análise da SRE_02 IRT Bandeirante 2009" xfId="3153" xr:uid="{00000000-0005-0000-0000-0000650A0000}"/>
    <cellStyle name="_PLPT MOCOCA-2009_PLANILHA_CÁLCULO_DÉFICIT_RESOLUÇÃO_294_2007_V3_Subsídios para análise da SRE_1" xfId="3154" xr:uid="{00000000-0005-0000-0000-0000660A0000}"/>
    <cellStyle name="_PLPT MOCOCA-2009_PLANILHA_CÁLCULO_DÉFICIT_RESOLUÇÃO_294_2007_V3_Subsídios para análise da SRE_Balanço" xfId="395" xr:uid="{00000000-0005-0000-0000-0000670A0000}"/>
    <cellStyle name="_PLPT MOCOCA-2009_PLANILHA_CÁLCULO_DÉFICIT_RESOLUÇÃO_294_2007_V3_Subsídios para análise da SRE_Balanço 2" xfId="1345" xr:uid="{00000000-0005-0000-0000-0000680A0000}"/>
    <cellStyle name="_PLPT MOCOCA-2009_PLANILHA_CÁLCULO_DÉFICIT_RESOLUÇÃO_294_2007_V3_Subsídios para análise da SRE_casulo 15" xfId="396" xr:uid="{00000000-0005-0000-0000-0000690A0000}"/>
    <cellStyle name="_PLPT MOCOCA-2009_PLANILHA_CÁLCULO_DÉFICIT_RESOLUÇÃO_294_2007_V3_Subsídios para análise da SRE_casulo 5" xfId="397" xr:uid="{00000000-0005-0000-0000-00006A0A0000}"/>
    <cellStyle name="_PLPT MOCOCA-2009_PLANILHA_CÁLCULO_DÉFICIT_RESOLUÇÃO_294_2007_V3_Subsídios para análise da SRE_casulo 5 2" xfId="1346" xr:uid="{00000000-0005-0000-0000-00006B0A0000}"/>
    <cellStyle name="_PLPT MOCOCA-2009_PLANILHA_CÁLCULO_DÉFICIT_RESOLUÇÃO_294_2007_V3_Subsídios para análise da SRE_casulo 5_Balanço" xfId="398" xr:uid="{00000000-0005-0000-0000-00006C0A0000}"/>
    <cellStyle name="_PLPT MOCOCA-2009_PLANILHA_CÁLCULO_DÉFICIT_RESOLUÇÃO_294_2007_V3_Subsídios para análise da SRE_casulo 5_casulo 15" xfId="399" xr:uid="{00000000-0005-0000-0000-00006D0A0000}"/>
    <cellStyle name="_PLPT MOCOCA-2009_PLANILHA_CÁLCULO_DÉFICIT_RESOLUÇÃO_294_2007_V3_Subsídios para análise da SRE_casulo 5_IRT EEB 2010" xfId="3155" xr:uid="{00000000-0005-0000-0000-00006E0A0000}"/>
    <cellStyle name="_PLPT MOCOCA-2009_PLANILHA_CÁLCULO_DÉFICIT_RESOLUÇÃO_294_2007_V3_Subsídios para análise da SRE_IRT EEB 2010" xfId="3156" xr:uid="{00000000-0005-0000-0000-00006F0A0000}"/>
    <cellStyle name="_PLPT MOCOCA-2009_PLANILHA_CÁLCULO_DÉFICIT_RESOLUÇÃO_294_2007_V3_Subsídios para análise da SRE_IRT Piratininga 2009" xfId="400" xr:uid="{00000000-0005-0000-0000-0000700A0000}"/>
    <cellStyle name="_PLPT MOCOCA-2009_PLANILHA_CÁLCULO_DÉFICIT_RESOLUÇÃO_294_2007_V3_Subsídios para análise da SRE_IRT Piratininga 2009 2" xfId="1347" xr:uid="{00000000-0005-0000-0000-0000710A0000}"/>
    <cellStyle name="_PLPT MOCOCA-2009_PLANILHA_CÁLCULO_DÉFICIT_RESOLUÇÃO_294_2007_V3_Subsídios para análise da SRE_IRT Piratininga 2009_Balanço" xfId="401" xr:uid="{00000000-0005-0000-0000-0000720A0000}"/>
    <cellStyle name="_PLPT MOCOCA-2009_PLANILHA_CÁLCULO_DÉFICIT_RESOLUÇÃO_294_2007_V3_Subsídios para análise da SRE_IRT Piratininga 2009_casulo 15" xfId="402" xr:uid="{00000000-0005-0000-0000-0000730A0000}"/>
    <cellStyle name="_PLPT MOCOCA-2009_PLANILHA_CÁLCULO_DÉFICIT_RESOLUÇÃO_294_2007_V3_Subsídios para análise da SRE_IRT Piratininga 2009_IRT EEB 2010" xfId="3157" xr:uid="{00000000-0005-0000-0000-0000740A0000}"/>
    <cellStyle name="_PLPT MOCOCA-2009_PLANILHA_CÁLCULO_DÉFICIT_RESOLUÇÃO_294_2007_V3_Subsídios para análise da SRE_IRT_EBB_mai2010d" xfId="3158" xr:uid="{00000000-0005-0000-0000-0000750A0000}"/>
    <cellStyle name="_PLPT MOCOCA-2009_PLANILHA_CÁLCULO_DÉFICIT_RESOLUÇÃO_294_2007_V3_Subsídios para análise da SRE_IRT_Planilha Básica_ CETRIL" xfId="403" xr:uid="{00000000-0005-0000-0000-0000760A0000}"/>
    <cellStyle name="_PLPT MOCOCA-2009_PLANILHA_CÁLCULO_DÉFICIT_RESOLUÇÃO_294_2007_V3_Subsídios para análise da SRE_IRT_Planilha Básica_ CETRIL 2" xfId="1348" xr:uid="{00000000-0005-0000-0000-0000770A0000}"/>
    <cellStyle name="_PLPT MOCOCA-2009_PLANILHA_CÁLCULO_DÉFICIT_RESOLUÇÃO_294_2007_V3_Subsídios para análise da SRE_IRT_Planilha Básica_ CETRIL_Balanço" xfId="404" xr:uid="{00000000-0005-0000-0000-0000780A0000}"/>
    <cellStyle name="_PLPT MOCOCA-2009_PLANILHA_CÁLCULO_DÉFICIT_RESOLUÇÃO_294_2007_V3_Subsídios para análise da SRE_IRT_Planilha Básica_ CETRIL_casulo 15" xfId="405" xr:uid="{00000000-0005-0000-0000-0000790A0000}"/>
    <cellStyle name="_PLPT MOCOCA-2009_PLANILHA_CÁLCULO_DÉFICIT_RESOLUÇÃO_294_2007_V3_Subsídios para análise da SRE_IRT_Planilha Básica_ CETRIL_IRT EEB 2010" xfId="3159" xr:uid="{00000000-0005-0000-0000-00007A0A0000}"/>
    <cellStyle name="_PLPT MOCOCA-2009_PLANILHA_CÁLCULO_DÉFICIT_RESOLUÇÃO_294_2007_V3_Subsídios para análise da SRE_IRT_Planilha Básica_DIRETORIA" xfId="3160" xr:uid="{00000000-0005-0000-0000-00007B0A0000}"/>
    <cellStyle name="_PLPT MOCOCA-2009_PLANILHA_CÁLCULO_DÉFICIT_RESOLUÇÃO_294_2007_V3_Subsídios para análise da SRE_IRT_Planilha Básica_fev2010" xfId="3161" xr:uid="{00000000-0005-0000-0000-00007C0A0000}"/>
    <cellStyle name="_PLPT MOCOCA-2009_PLANILHA_CÁLCULO_DÉFICIT_RESOLUÇÃO_294_2007_V3_Subsídios para análise da SRE_IRT_Planilha Básica_fev2010a" xfId="406" xr:uid="{00000000-0005-0000-0000-00007D0A0000}"/>
    <cellStyle name="_PLPT MOCOCA-2009_PLANILHA_CÁLCULO_DÉFICIT_RESOLUÇÃO_294_2007_V3_Subsídios para análise da SRE_IRT_Planilha Básica_fev2010a 2" xfId="1349" xr:uid="{00000000-0005-0000-0000-00007E0A0000}"/>
    <cellStyle name="_PLPT MOCOCA-2009_PLANILHA_CÁLCULO_DÉFICIT_RESOLUÇÃO_294_2007_V3_Subsídios para análise da SRE_IRT_Planilha Básica_fev2010a_Balanço" xfId="407" xr:uid="{00000000-0005-0000-0000-00007F0A0000}"/>
    <cellStyle name="_PLPT MOCOCA-2009_PLANILHA_CÁLCULO_DÉFICIT_RESOLUÇÃO_294_2007_V3_Subsídios para análise da SRE_IRT_Planilha Básica_fev2010a_Balanço 2" xfId="1350" xr:uid="{00000000-0005-0000-0000-0000800A0000}"/>
    <cellStyle name="_PLPT MOCOCA-2009_PLANILHA_CÁLCULO_DÉFICIT_RESOLUÇÃO_294_2007_V3_Subsídios para análise da SRE_IRT_Planilha Básica_fev2010a_casulo 15" xfId="408" xr:uid="{00000000-0005-0000-0000-0000810A0000}"/>
    <cellStyle name="_PLPT MOCOCA-2009_PLANILHA_CÁLCULO_DÉFICIT_RESOLUÇÃO_294_2007_V3_Subsídios para análise da SRE_IRT_Planilha Básica_fev2010a_casulo 5" xfId="409" xr:uid="{00000000-0005-0000-0000-0000820A0000}"/>
    <cellStyle name="_PLPT MOCOCA-2009_PLANILHA_CÁLCULO_DÉFICIT_RESOLUÇÃO_294_2007_V3_Subsídios para análise da SRE_IRT_Planilha Básica_fev2010a_casulo 5 2" xfId="1351" xr:uid="{00000000-0005-0000-0000-0000830A0000}"/>
    <cellStyle name="_PLPT MOCOCA-2009_PLANILHA_CÁLCULO_DÉFICIT_RESOLUÇÃO_294_2007_V3_Subsídios para análise da SRE_IRT_Planilha Básica_fev2010a_casulo 5_Balanço" xfId="410" xr:uid="{00000000-0005-0000-0000-0000840A0000}"/>
    <cellStyle name="_PLPT MOCOCA-2009_PLANILHA_CÁLCULO_DÉFICIT_RESOLUÇÃO_294_2007_V3_Subsídios para análise da SRE_IRT_Planilha Básica_fev2010a_casulo 5_casulo 15" xfId="411" xr:uid="{00000000-0005-0000-0000-0000850A0000}"/>
    <cellStyle name="_PLPT MOCOCA-2009_PLANILHA_CÁLCULO_DÉFICIT_RESOLUÇÃO_294_2007_V3_Subsídios para análise da SRE_IRT_Planilha Básica_fev2010a_casulo 5_IRT EEB 2010" xfId="3162" xr:uid="{00000000-0005-0000-0000-0000860A0000}"/>
    <cellStyle name="_PLPT MOCOCA-2009_PLANILHA_CÁLCULO_DÉFICIT_RESOLUÇÃO_294_2007_V3_Subsídios para análise da SRE_IRT_Planilha Básica_fev2010a_IRT EEB 2010" xfId="3163" xr:uid="{00000000-0005-0000-0000-0000870A0000}"/>
    <cellStyle name="_PLPT MOCOCA-2009_PLANILHA_CÁLCULO_DÉFICIT_RESOLUÇÃO_294_2007_V3_Subsídios para análise da SRE_IRT_Planilha Básica_jan2010" xfId="3164" xr:uid="{00000000-0005-0000-0000-0000880A0000}"/>
    <cellStyle name="_PLPT MOCOCA-2009_PLANILHA_CÁLCULO_DÉFICIT_RESOLUÇÃO_294_2007_V3_Subsídios para análise da SRE_IRT_Planilha Básica_mar2010b" xfId="3165" xr:uid="{00000000-0005-0000-0000-0000890A0000}"/>
    <cellStyle name="_PLPT MOCOCA-2009_PLANILHA_CÁLCULO_DÉFICIT_RESOLUÇÃO_294_2007_V3_Subsídios para análise da SRE_IRT_Planilha Básica_mar2010d" xfId="412" xr:uid="{00000000-0005-0000-0000-00008A0A0000}"/>
    <cellStyle name="_PLPT MOCOCA-2009_PLANILHA_CÁLCULO_DÉFICIT_RESOLUÇÃO_294_2007_V3_Subsídios para análise da SRE_IRT_Planilha Básica_mar2010d 2" xfId="1352" xr:uid="{00000000-0005-0000-0000-00008B0A0000}"/>
    <cellStyle name="_PLPT MOCOCA-2009_PLANILHA_CÁLCULO_DÉFICIT_RESOLUÇÃO_294_2007_V3_Subsídios para análise da SRE_IRT_Planilha Básica_NOVA METODOLOGIA" xfId="3166" xr:uid="{00000000-0005-0000-0000-00008C0A0000}"/>
    <cellStyle name="_PLPT MOCOCA-2009_PLANILHA_CÁLCULO_DÉFICIT_RESOLUÇÃO_294_2007_V3_Subsídios para análise da SRE_IRT_Santa 2010" xfId="3167" xr:uid="{00000000-0005-0000-0000-00008D0A0000}"/>
    <cellStyle name="_PLPT MOCOCA-2009_PLANILHA_CÁLCULO_DÉFICIT_RESOLUÇÃO_294_2007_V3_Subsídios para análise da SRE_IRT-cálculo" xfId="3168" xr:uid="{00000000-0005-0000-0000-00008E0A0000}"/>
    <cellStyle name="_PLPT MOCOCA-2009_PLANILHA_CÁLCULO_DÉFICIT_RESOLUÇÃO_294_2007_V3_Subsídios para análise da SRE_IRT-cálculo CAPA NEUTRALIDADE" xfId="3169" xr:uid="{00000000-0005-0000-0000-00008F0A0000}"/>
    <cellStyle name="_PLPT MOCOCA-2009_PLANILHA_CÁLCULO_DÉFICIT_RESOLUÇÃO_294_2007_V3_Subsídios para análise da SRE_Resultados_DEA_RND_QUAL_PERDAS" xfId="42537" xr:uid="{00000000-0005-0000-0000-0000900A0000}"/>
    <cellStyle name="_PLPT MOCOCA-2009_PLANILHA_CÁLCULO_DÉFICIT_RESOLUÇÃO_294_2007_V3_Subsídios para análise da SRE_teste ampla" xfId="413" xr:uid="{00000000-0005-0000-0000-0000910A0000}"/>
    <cellStyle name="_PLPT MOCOCA-2009_PLANILHA_CÁLCULO_DÉFICIT_RESOLUÇÃO_294_2007_V3_Subsídios para análise da SRE_teste ampla 2" xfId="1353" xr:uid="{00000000-0005-0000-0000-0000920A0000}"/>
    <cellStyle name="_PLPT MOCOCA-2009_PLANILHA_CÁLCULO_DÉFICIT_RESOLUÇÃO_294_2007_V3_Subsídios para análise da SRE_teste ampla_Balanço" xfId="414" xr:uid="{00000000-0005-0000-0000-0000930A0000}"/>
    <cellStyle name="_PLPT MOCOCA-2009_PLANILHA_CÁLCULO_DÉFICIT_RESOLUÇÃO_294_2007_V3_Subsídios para análise da SRE_teste ampla_Balanço 2" xfId="1354" xr:uid="{00000000-0005-0000-0000-0000940A0000}"/>
    <cellStyle name="_PLPT MOCOCA-2009_PLANILHA_CÁLCULO_DÉFICIT_RESOLUÇÃO_294_2007_V3_Subsídios para análise da SRE_teste ampla_casulo 15" xfId="415" xr:uid="{00000000-0005-0000-0000-0000950A0000}"/>
    <cellStyle name="_PLPT MOCOCA-2009_PLANILHA_CÁLCULO_DÉFICIT_RESOLUÇÃO_294_2007_V3_Subsídios para análise da SRE_teste ampla_casulo 5" xfId="416" xr:uid="{00000000-0005-0000-0000-0000960A0000}"/>
    <cellStyle name="_PLPT MOCOCA-2009_PLANILHA_CÁLCULO_DÉFICIT_RESOLUÇÃO_294_2007_V3_Subsídios para análise da SRE_teste ampla_casulo 5 2" xfId="1355" xr:uid="{00000000-0005-0000-0000-0000970A0000}"/>
    <cellStyle name="_PLPT MOCOCA-2009_PLANILHA_CÁLCULO_DÉFICIT_RESOLUÇÃO_294_2007_V3_Subsídios para análise da SRE_teste ampla_casulo 5_Balanço" xfId="417" xr:uid="{00000000-0005-0000-0000-0000980A0000}"/>
    <cellStyle name="_PLPT MOCOCA-2009_PLANILHA_CÁLCULO_DÉFICIT_RESOLUÇÃO_294_2007_V3_Subsídios para análise da SRE_teste ampla_casulo 5_casulo 15" xfId="418" xr:uid="{00000000-0005-0000-0000-0000990A0000}"/>
    <cellStyle name="_PLPT MOCOCA-2009_PLANILHA_CÁLCULO_DÉFICIT_RESOLUÇÃO_294_2007_V3_Subsídios para análise da SRE_teste ampla_casulo 5_IRT EEB 2010" xfId="3170" xr:uid="{00000000-0005-0000-0000-00009A0A0000}"/>
    <cellStyle name="_PLPT MOCOCA-2009_PLANILHA_CÁLCULO_DÉFICIT_RESOLUÇÃO_294_2007_V3_Subsídios para análise da SRE_teste ampla_IRT EEB 2010" xfId="3171" xr:uid="{00000000-0005-0000-0000-00009B0A0000}"/>
    <cellStyle name="_PLPT MOCOCA-2009_PLANILHA_CÁLCULO_DÉFICIT_RESOLUÇÃO_294_2007_V3_SubsídiosAnáliseSRE_COSERN_IRT-2010" xfId="1625" xr:uid="{00000000-0005-0000-0000-00009C0A0000}"/>
    <cellStyle name="_PLPT_EPB_2010 " xfId="3172" xr:uid="{00000000-0005-0000-0000-00009D0A0000}"/>
    <cellStyle name="_PLPT_PLANILHA_ANEEL" xfId="3173" xr:uid="{00000000-0005-0000-0000-00009E0A0000}"/>
    <cellStyle name="_PLPT_PLANILHA_ANEEL_FINAL_12_07" xfId="3174" xr:uid="{00000000-0005-0000-0000-00009F0A0000}"/>
    <cellStyle name="_PLPT_PLANILHA_ANEEL_mbl" xfId="3175" xr:uid="{00000000-0005-0000-0000-0000A00A0000}"/>
    <cellStyle name="_PLPT_PLANILHA_CÁLCULO_DÉFICIT até revisão2007" xfId="3176" xr:uid="{00000000-0005-0000-0000-0000A10A0000}"/>
    <cellStyle name="_PLPT_PLANILHA_CÁLCULO_DÉFICIT até revisão2007_atualização serviços taxados" xfId="43197" xr:uid="{00000000-0005-0000-0000-0000A20A0000}"/>
    <cellStyle name="_PLPT_PLANILHA_CÁLCULO_DÉFICIT até revisão2007_Financeiro Desconto na TUSD Consumidores Livres Reajuste 2010 - 03_03_2010" xfId="43198" xr:uid="{00000000-0005-0000-0000-0000A30A0000}"/>
    <cellStyle name="_PLPT_PLANILHA_CÁLCULO_DÉFICIT até revisão2007_Financeiro Desconto na TUSD Geradores Reajuste 2010 - 03_03_2010" xfId="43199" xr:uid="{00000000-0005-0000-0000-0000A40A0000}"/>
    <cellStyle name="_PLPT_PLANILHA_CÁLCULO_DÉFICIT até revisão2007_Financeiro Subsídio Baixa Renda Reajuste 2010 - 03_03_2010" xfId="43200" xr:uid="{00000000-0005-0000-0000-0000A50A0000}"/>
    <cellStyle name="_PLPT_PLANILHA_CÁLCULO_DÉFICIT até revisão2007_Financeiro Subsídio Rural Irrigante e Aquicultor Reajuste 2010 - 03_03_2010" xfId="43201" xr:uid="{00000000-0005-0000-0000-0000A60A0000}"/>
    <cellStyle name="_PLPT_PLANILHA_CÁLCULO_DÉFICIT_RESOLUÇÃO_294_2007" xfId="3177" xr:uid="{00000000-0005-0000-0000-0000A70A0000}"/>
    <cellStyle name="_PLPT_PLANILHA_CÁLCULO_DÉFICIT_RESOLUÇÃO_294_2007_antes Da Revisão" xfId="3178" xr:uid="{00000000-0005-0000-0000-0000A80A0000}"/>
    <cellStyle name="_PLPT_PLANILHA_CÁLCULO_DÉFICIT_RESOLUÇÃO_294_2007_CELG 2008" xfId="3179" xr:uid="{00000000-0005-0000-0000-0000A90A0000}"/>
    <cellStyle name="_PLPT_PLANILHA_CÁLCULO_DÉFICIT_RESOLUÇÃO_294_2007_COELCE_Sem_Gov_Estado_pos_Rev2007" xfId="419" xr:uid="{00000000-0005-0000-0000-0000AA0A0000}"/>
    <cellStyle name="_PLPT_PLANILHA_CÁLCULO_DÉFICIT_RESOLUÇÃO_294_2007_COELCE_Sem_Gov_Estado_pos_Rev2007 2" xfId="1356" xr:uid="{00000000-0005-0000-0000-0000AB0A0000}"/>
    <cellStyle name="_PLPT_PLANILHA_CÁLCULO_DÉFICIT_RESOLUÇÃO_294_2007_COELCE_Sem_Gov_Estado_pos_Rev2007 3" xfId="3180" xr:uid="{00000000-0005-0000-0000-0000AC0A0000}"/>
    <cellStyle name="_PLPT_PLANILHA_CÁLCULO_DÉFICIT_RESOLUÇÃO_294_2007_COELCE_Sem_Gov_Estado_pos_Rev2007_02 IRT COSERN 2009" xfId="1626" xr:uid="{00000000-0005-0000-0000-0000AD0A0000}"/>
    <cellStyle name="_PLPT_PLANILHA_CÁLCULO_DÉFICIT_RESOLUÇÃO_294_2007_COELCE_Sem_Gov_Estado_pos_Rev2007_2008.08.07 CELPA IRT2008 Homologado" xfId="3181" xr:uid="{00000000-0005-0000-0000-0000AE0A0000}"/>
    <cellStyle name="_PLPT_PLANILHA_CÁLCULO_DÉFICIT_RESOLUÇÃO_294_2007_COELCE_Sem_Gov_Estado_pos_Rev2007_Ajustes REAJUSTE 2008 ELETROPAULO" xfId="3182" xr:uid="{00000000-0005-0000-0000-0000AF0A0000}"/>
    <cellStyle name="_PLPT_PLANILHA_CÁLCULO_DÉFICIT_RESOLUÇÃO_294_2007_COELCE_Sem_Gov_Estado_pos_Rev2007_Ajustes REAJUSTE 2008 ELETROPAULO_IRT-cálculo" xfId="3183" xr:uid="{00000000-0005-0000-0000-0000B00A0000}"/>
    <cellStyle name="_PLPT_PLANILHA_CÁLCULO_DÉFICIT_RESOLUÇÃO_294_2007_COELCE_Sem_Gov_Estado_pos_Rev2007_Ajustes REAJUSTE 2008 ELETROPAULO_IRT-cálculo CAPA NEUTRALIDADE" xfId="3184" xr:uid="{00000000-0005-0000-0000-0000B10A0000}"/>
    <cellStyle name="_PLPT_PLANILHA_CÁLCULO_DÉFICIT_RESOLUÇÃO_294_2007_COELCE_Sem_Gov_Estado_pos_Rev2007_Ajustes REVISÃO 2007 ELETROPAULO" xfId="3185" xr:uid="{00000000-0005-0000-0000-0000B20A0000}"/>
    <cellStyle name="_PLPT_PLANILHA_CÁLCULO_DÉFICIT_RESOLUÇÃO_294_2007_COELCE_Sem_Gov_Estado_pos_Rev2007_Ajustes REVISÃO 2007 ELETROPAULO_IRT-cálculo" xfId="3186" xr:uid="{00000000-0005-0000-0000-0000B30A0000}"/>
    <cellStyle name="_PLPT_PLANILHA_CÁLCULO_DÉFICIT_RESOLUÇÃO_294_2007_COELCE_Sem_Gov_Estado_pos_Rev2007_Ajustes REVISÃO 2007 ELETROPAULO_IRT-cálculo CAPA NEUTRALIDADE" xfId="3187" xr:uid="{00000000-0005-0000-0000-0000B40A0000}"/>
    <cellStyle name="_PLPT_PLANILHA_CÁLCULO_DÉFICIT_RESOLUÇÃO_294_2007_COELCE_Sem_Gov_Estado_pos_Rev2007_atualização serviços taxados" xfId="43202" xr:uid="{00000000-0005-0000-0000-0000B50A0000}"/>
    <cellStyle name="_PLPT_PLANILHA_CÁLCULO_DÉFICIT_RESOLUÇÃO_294_2007_COELCE_Sem_Gov_Estado_pos_Rev2007_Balanço" xfId="420" xr:uid="{00000000-0005-0000-0000-0000B60A0000}"/>
    <cellStyle name="_PLPT_PLANILHA_CÁLCULO_DÉFICIT_RESOLUÇÃO_294_2007_COELCE_Sem_Gov_Estado_pos_Rev2007_Balanço 2" xfId="1357" xr:uid="{00000000-0005-0000-0000-0000B70A0000}"/>
    <cellStyle name="_PLPT_PLANILHA_CÁLCULO_DÉFICIT_RESOLUÇÃO_294_2007_COELCE_Sem_Gov_Estado_pos_Rev2007_Calculo_Subsidio_ELFSM_26_06_08_Modelo_ANEEL" xfId="3188" xr:uid="{00000000-0005-0000-0000-0000B80A0000}"/>
    <cellStyle name="_PLPT_PLANILHA_CÁLCULO_DÉFICIT_RESOLUÇÃO_294_2007_COELCE_Sem_Gov_Estado_pos_Rev2007_Calculo_Subsidio_ELFSM_26_06_08_Modelo_ANEEL_IRT-cálculo" xfId="3189" xr:uid="{00000000-0005-0000-0000-0000B90A0000}"/>
    <cellStyle name="_PLPT_PLANILHA_CÁLCULO_DÉFICIT_RESOLUÇÃO_294_2007_COELCE_Sem_Gov_Estado_pos_Rev2007_Calculo_Subsidio_ELFSM_26_06_08_Modelo_ANEEL_IRT-cálculo CAPA NEUTRALIDADE" xfId="3190" xr:uid="{00000000-0005-0000-0000-0000BA0A0000}"/>
    <cellStyle name="_PLPT_PLANILHA_CÁLCULO_DÉFICIT_RESOLUÇÃO_294_2007_COELCE_Sem_Gov_Estado_pos_Rev2007_casulo 15" xfId="421" xr:uid="{00000000-0005-0000-0000-0000BB0A0000}"/>
    <cellStyle name="_PLPT_PLANILHA_CÁLCULO_DÉFICIT_RESOLUÇÃO_294_2007_COELCE_Sem_Gov_Estado_pos_Rev2007_casulo 5" xfId="422" xr:uid="{00000000-0005-0000-0000-0000BC0A0000}"/>
    <cellStyle name="_PLPT_PLANILHA_CÁLCULO_DÉFICIT_RESOLUÇÃO_294_2007_COELCE_Sem_Gov_Estado_pos_Rev2007_casulo 5 2" xfId="1358" xr:uid="{00000000-0005-0000-0000-0000BD0A0000}"/>
    <cellStyle name="_PLPT_PLANILHA_CÁLCULO_DÉFICIT_RESOLUÇÃO_294_2007_COELCE_Sem_Gov_Estado_pos_Rev2007_casulo 5_Balanço" xfId="423" xr:uid="{00000000-0005-0000-0000-0000BE0A0000}"/>
    <cellStyle name="_PLPT_PLANILHA_CÁLCULO_DÉFICIT_RESOLUÇÃO_294_2007_COELCE_Sem_Gov_Estado_pos_Rev2007_casulo 5_casulo 15" xfId="424" xr:uid="{00000000-0005-0000-0000-0000BF0A0000}"/>
    <cellStyle name="_PLPT_PLANILHA_CÁLCULO_DÉFICIT_RESOLUÇÃO_294_2007_COELCE_Sem_Gov_Estado_pos_Rev2007_casulo 5_IRT EEB 2010" xfId="3191" xr:uid="{00000000-0005-0000-0000-0000C00A0000}"/>
    <cellStyle name="_PLPT_PLANILHA_CÁLCULO_DÉFICIT_RESOLUÇÃO_294_2007_COELCE_Sem_Gov_Estado_pos_Rev2007_COELCE - Balanço de Energia - Reajuste 2009 - 02 02 2009" xfId="43203" xr:uid="{00000000-0005-0000-0000-0000C10A0000}"/>
    <cellStyle name="_PLPT_PLANILHA_CÁLCULO_DÉFICIT_RESOLUÇÃO_294_2007_COELCE_Sem_Gov_Estado_pos_Rev2007_COELCE - Compensação CVA Ano Anterior" xfId="43204" xr:uid="{00000000-0005-0000-0000-0000C20A0000}"/>
    <cellStyle name="_PLPT_PLANILHA_CÁLCULO_DÉFICIT_RESOLUÇÃO_294_2007_COELCE_Sem_Gov_Estado_pos_Rev2007_Compensação CVA Ano Anterior" xfId="43205" xr:uid="{00000000-0005-0000-0000-0000C30A0000}"/>
    <cellStyle name="_PLPT_PLANILHA_CÁLCULO_DÉFICIT_RESOLUÇÃO_294_2007_COELCE_Sem_Gov_Estado_pos_Rev2007_Cópia de IRT_CPFL_LESTE_PAULISTA(CPEE)_fev2009-COM_PREVISÃO_BR_da_Diretoria_pos_IGPM" xfId="425" xr:uid="{00000000-0005-0000-0000-0000C40A0000}"/>
    <cellStyle name="_PLPT_PLANILHA_CÁLCULO_DÉFICIT_RESOLUÇÃO_294_2007_COELCE_Sem_Gov_Estado_pos_Rev2007_Cópia de IRT_CPFL_LESTE_PAULISTA(CPEE)_fev2009-COM_PREVISÃO_BR_da_Diretoria_pos_IGPM 2" xfId="1359" xr:uid="{00000000-0005-0000-0000-0000C50A0000}"/>
    <cellStyle name="_PLPT_PLANILHA_CÁLCULO_DÉFICIT_RESOLUÇÃO_294_2007_COELCE_Sem_Gov_Estado_pos_Rev2007_Cópia de IRT_CPFL_LESTE_PAULISTA(CPEE)_fev2009-COM_PREVISÃO_BR_da_Diretoria_pos_IGPM_Balanço" xfId="426" xr:uid="{00000000-0005-0000-0000-0000C60A0000}"/>
    <cellStyle name="_PLPT_PLANILHA_CÁLCULO_DÉFICIT_RESOLUÇÃO_294_2007_COELCE_Sem_Gov_Estado_pos_Rev2007_Cópia de IRT_CPFL_LESTE_PAULISTA(CPEE)_fev2009-COM_PREVISÃO_BR_da_Diretoria_pos_IGPM_Balanço 2" xfId="1360" xr:uid="{00000000-0005-0000-0000-0000C70A0000}"/>
    <cellStyle name="_PLPT_PLANILHA_CÁLCULO_DÉFICIT_RESOLUÇÃO_294_2007_COELCE_Sem_Gov_Estado_pos_Rev2007_Cópia de IRT_CPFL_LESTE_PAULISTA(CPEE)_fev2009-COM_PREVISÃO_BR_da_Diretoria_pos_IGPM_casulo 15" xfId="427" xr:uid="{00000000-0005-0000-0000-0000C80A0000}"/>
    <cellStyle name="_PLPT_PLANILHA_CÁLCULO_DÉFICIT_RESOLUÇÃO_294_2007_COELCE_Sem_Gov_Estado_pos_Rev2007_Cópia de IRT_CPFL_LESTE_PAULISTA(CPEE)_fev2009-COM_PREVISÃO_BR_da_Diretoria_pos_IGPM_casulo 5" xfId="428" xr:uid="{00000000-0005-0000-0000-0000C90A0000}"/>
    <cellStyle name="_PLPT_PLANILHA_CÁLCULO_DÉFICIT_RESOLUÇÃO_294_2007_COELCE_Sem_Gov_Estado_pos_Rev2007_Cópia de IRT_CPFL_LESTE_PAULISTA(CPEE)_fev2009-COM_PREVISÃO_BR_da_Diretoria_pos_IGPM_casulo 5 2" xfId="1361" xr:uid="{00000000-0005-0000-0000-0000CA0A0000}"/>
    <cellStyle name="_PLPT_PLANILHA_CÁLCULO_DÉFICIT_RESOLUÇÃO_294_2007_COELCE_Sem_Gov_Estado_pos_Rev2007_Cópia de IRT_CPFL_LESTE_PAULISTA(CPEE)_fev2009-COM_PREVISÃO_BR_da_Diretoria_pos_IGPM_casulo 5_Balanço" xfId="429" xr:uid="{00000000-0005-0000-0000-0000CB0A0000}"/>
    <cellStyle name="_PLPT_PLANILHA_CÁLCULO_DÉFICIT_RESOLUÇÃO_294_2007_COELCE_Sem_Gov_Estado_pos_Rev2007_Cópia de IRT_CPFL_LESTE_PAULISTA(CPEE)_fev2009-COM_PREVISÃO_BR_da_Diretoria_pos_IGPM_casulo 5_casulo 15" xfId="430" xr:uid="{00000000-0005-0000-0000-0000CC0A0000}"/>
    <cellStyle name="_PLPT_PLANILHA_CÁLCULO_DÉFICIT_RESOLUÇÃO_294_2007_COELCE_Sem_Gov_Estado_pos_Rev2007_Cópia de IRT_CPFL_LESTE_PAULISTA(CPEE)_fev2009-COM_PREVISÃO_BR_da_Diretoria_pos_IGPM_casulo 5_IRT EEB 2010" xfId="3192" xr:uid="{00000000-0005-0000-0000-0000CD0A0000}"/>
    <cellStyle name="_PLPT_PLANILHA_CÁLCULO_DÉFICIT_RESOLUÇÃO_294_2007_COELCE_Sem_Gov_Estado_pos_Rev2007_Cópia de IRT_CPFL_LESTE_PAULISTA(CPEE)_fev2009-COM_PREVISÃO_BR_da_Diretoria_pos_IGPM_IRT EEB 2010" xfId="3193" xr:uid="{00000000-0005-0000-0000-0000CE0A0000}"/>
    <cellStyle name="_PLPT_PLANILHA_CÁLCULO_DÉFICIT_RESOLUÇÃO_294_2007_COELCE_Sem_Gov_Estado_pos_Rev2007_Exposição" xfId="3194" xr:uid="{00000000-0005-0000-0000-0000CF0A0000}"/>
    <cellStyle name="_PLPT_PLANILHA_CÁLCULO_DÉFICIT_RESOLUÇÃO_294_2007_COELCE_Sem_Gov_Estado_pos_Rev2007_Exposição 2008" xfId="3195" xr:uid="{00000000-0005-0000-0000-0000D00A0000}"/>
    <cellStyle name="_PLPT_PLANILHA_CÁLCULO_DÉFICIT_RESOLUÇÃO_294_2007_COELCE_Sem_Gov_Estado_pos_Rev2007_Exposição_Agosto 1" xfId="3196" xr:uid="{00000000-0005-0000-0000-0000D10A0000}"/>
    <cellStyle name="_PLPT_PLANILHA_CÁLCULO_DÉFICIT_RESOLUÇÃO_294_2007_COELCE_Sem_Gov_Estado_pos_Rev2007_Financeiro Desconto na TUSD Consumidores Livres Reajuste 2010 - 03_03_2010" xfId="43206" xr:uid="{00000000-0005-0000-0000-0000D20A0000}"/>
    <cellStyle name="_PLPT_PLANILHA_CÁLCULO_DÉFICIT_RESOLUÇÃO_294_2007_COELCE_Sem_Gov_Estado_pos_Rev2007_Financeiro Desconto na TUSD Geradores Reajuste 2010 - 03_03_2010" xfId="43207" xr:uid="{00000000-0005-0000-0000-0000D30A0000}"/>
    <cellStyle name="_PLPT_PLANILHA_CÁLCULO_DÉFICIT_RESOLUÇÃO_294_2007_COELCE_Sem_Gov_Estado_pos_Rev2007_Financeiro Subsídio Baixa Renda Reajuste 2010 - 03_03_2010" xfId="43208" xr:uid="{00000000-0005-0000-0000-0000D40A0000}"/>
    <cellStyle name="_PLPT_PLANILHA_CÁLCULO_DÉFICIT_RESOLUÇÃO_294_2007_COELCE_Sem_Gov_Estado_pos_Rev2007_Financeiro Subsídio Rural Irrigante e Aquicultor Reajuste 2010 - 03_03_2010" xfId="43209" xr:uid="{00000000-0005-0000-0000-0000D50A0000}"/>
    <cellStyle name="_PLPT_PLANILHA_CÁLCULO_DÉFICIT_RESOLUÇÃO_294_2007_COELCE_Sem_Gov_Estado_pos_Rev2007_IRT" xfId="3197" xr:uid="{00000000-0005-0000-0000-0000D60A0000}"/>
    <cellStyle name="_PLPT_PLANILHA_CÁLCULO_DÉFICIT_RESOLUÇÃO_294_2007_COELCE_Sem_Gov_Estado_pos_Rev2007_IRT EEB 2010" xfId="3198" xr:uid="{00000000-0005-0000-0000-0000D70A0000}"/>
    <cellStyle name="_PLPT_PLANILHA_CÁLCULO_DÉFICIT_RESOLUÇÃO_294_2007_COELCE_Sem_Gov_Estado_pos_Rev2007_IRT Piratininga 2009" xfId="431" xr:uid="{00000000-0005-0000-0000-0000D80A0000}"/>
    <cellStyle name="_PLPT_PLANILHA_CÁLCULO_DÉFICIT_RESOLUÇÃO_294_2007_COELCE_Sem_Gov_Estado_pos_Rev2007_IRT Piratininga 2009 2" xfId="1362" xr:uid="{00000000-0005-0000-0000-0000D90A0000}"/>
    <cellStyle name="_PLPT_PLANILHA_CÁLCULO_DÉFICIT_RESOLUÇÃO_294_2007_COELCE_Sem_Gov_Estado_pos_Rev2007_IRT Piratininga 2009_Balanço" xfId="432" xr:uid="{00000000-0005-0000-0000-0000DA0A0000}"/>
    <cellStyle name="_PLPT_PLANILHA_CÁLCULO_DÉFICIT_RESOLUÇÃO_294_2007_COELCE_Sem_Gov_Estado_pos_Rev2007_IRT Piratininga 2009_casulo 15" xfId="433" xr:uid="{00000000-0005-0000-0000-0000DB0A0000}"/>
    <cellStyle name="_PLPT_PLANILHA_CÁLCULO_DÉFICIT_RESOLUÇÃO_294_2007_COELCE_Sem_Gov_Estado_pos_Rev2007_IRT Piratininga 2009_IRT EEB 2010" xfId="3199" xr:uid="{00000000-0005-0000-0000-0000DC0A0000}"/>
    <cellStyle name="_PLPT_PLANILHA_CÁLCULO_DÉFICIT_RESOLUÇÃO_294_2007_COELCE_Sem_Gov_Estado_pos_Rev2007_IRT Reloaded" xfId="434" xr:uid="{00000000-0005-0000-0000-0000DD0A0000}"/>
    <cellStyle name="_PLPT_PLANILHA_CÁLCULO_DÉFICIT_RESOLUÇÃO_294_2007_COELCE_Sem_Gov_Estado_pos_Rev2007_IRT Reloaded 2" xfId="1363" xr:uid="{00000000-0005-0000-0000-0000DE0A0000}"/>
    <cellStyle name="_PLPT_PLANILHA_CÁLCULO_DÉFICIT_RESOLUÇÃO_294_2007_COELCE_Sem_Gov_Estado_pos_Rev2007_IRT Reloaded_Balanço" xfId="435" xr:uid="{00000000-0005-0000-0000-0000DF0A0000}"/>
    <cellStyle name="_PLPT_PLANILHA_CÁLCULO_DÉFICIT_RESOLUÇÃO_294_2007_COELCE_Sem_Gov_Estado_pos_Rev2007_IRT Reloaded_Balanço 2" xfId="1364" xr:uid="{00000000-0005-0000-0000-0000E00A0000}"/>
    <cellStyle name="_PLPT_PLANILHA_CÁLCULO_DÉFICIT_RESOLUÇÃO_294_2007_COELCE_Sem_Gov_Estado_pos_Rev2007_IRT Reloaded_casulo 15" xfId="436" xr:uid="{00000000-0005-0000-0000-0000E10A0000}"/>
    <cellStyle name="_PLPT_PLANILHA_CÁLCULO_DÉFICIT_RESOLUÇÃO_294_2007_COELCE_Sem_Gov_Estado_pos_Rev2007_IRT Reloaded_casulo 5" xfId="437" xr:uid="{00000000-0005-0000-0000-0000E20A0000}"/>
    <cellStyle name="_PLPT_PLANILHA_CÁLCULO_DÉFICIT_RESOLUÇÃO_294_2007_COELCE_Sem_Gov_Estado_pos_Rev2007_IRT Reloaded_casulo 5 2" xfId="1365" xr:uid="{00000000-0005-0000-0000-0000E30A0000}"/>
    <cellStyle name="_PLPT_PLANILHA_CÁLCULO_DÉFICIT_RESOLUÇÃO_294_2007_COELCE_Sem_Gov_Estado_pos_Rev2007_IRT Reloaded_casulo 5_Balanço" xfId="438" xr:uid="{00000000-0005-0000-0000-0000E40A0000}"/>
    <cellStyle name="_PLPT_PLANILHA_CÁLCULO_DÉFICIT_RESOLUÇÃO_294_2007_COELCE_Sem_Gov_Estado_pos_Rev2007_IRT Reloaded_casulo 5_casulo 15" xfId="439" xr:uid="{00000000-0005-0000-0000-0000E50A0000}"/>
    <cellStyle name="_PLPT_PLANILHA_CÁLCULO_DÉFICIT_RESOLUÇÃO_294_2007_COELCE_Sem_Gov_Estado_pos_Rev2007_IRT Reloaded_casulo 5_IRT EEB 2010" xfId="3200" xr:uid="{00000000-0005-0000-0000-0000E60A0000}"/>
    <cellStyle name="_PLPT_PLANILHA_CÁLCULO_DÉFICIT_RESOLUÇÃO_294_2007_COELCE_Sem_Gov_Estado_pos_Rev2007_IRT Reloaded_IRT EEB 2010" xfId="3201" xr:uid="{00000000-0005-0000-0000-0000E70A0000}"/>
    <cellStyle name="_PLPT_PLANILHA_CÁLCULO_DÉFICIT_RESOLUÇÃO_294_2007_COELCE_Sem_Gov_Estado_pos_Rev2007_IRT_1" xfId="1627" xr:uid="{00000000-0005-0000-0000-0000E80A0000}"/>
    <cellStyle name="_PLPT_PLANILHA_CÁLCULO_DÉFICIT_RESOLUÇÃO_294_2007_COELCE_Sem_Gov_Estado_pos_Rev2007_IRT_1 2" xfId="3202" xr:uid="{00000000-0005-0000-0000-0000E90A0000}"/>
    <cellStyle name="_PLPT_PLANILHA_CÁLCULO_DÉFICIT_RESOLUÇÃO_294_2007_COELCE_Sem_Gov_Estado_pos_Rev2007_IRT_1_atualização serviços taxados" xfId="43210" xr:uid="{00000000-0005-0000-0000-0000EA0A0000}"/>
    <cellStyle name="_PLPT_PLANILHA_CÁLCULO_DÉFICIT_RESOLUÇÃO_294_2007_COELCE_Sem_Gov_Estado_pos_Rev2007_IRT_1_Financeiro Desconto na TUSD Consumidores Livres Reajuste 2010 - 03_03_2010" xfId="43211" xr:uid="{00000000-0005-0000-0000-0000EB0A0000}"/>
    <cellStyle name="_PLPT_PLANILHA_CÁLCULO_DÉFICIT_RESOLUÇÃO_294_2007_COELCE_Sem_Gov_Estado_pos_Rev2007_IRT_1_Financeiro Desconto na TUSD Geradores Reajuste 2010 - 03_03_2010" xfId="43212" xr:uid="{00000000-0005-0000-0000-0000EC0A0000}"/>
    <cellStyle name="_PLPT_PLANILHA_CÁLCULO_DÉFICIT_RESOLUÇÃO_294_2007_COELCE_Sem_Gov_Estado_pos_Rev2007_IRT_1_Financeiro Subsídio Baixa Renda Reajuste 2010 - 03_03_2010" xfId="43213" xr:uid="{00000000-0005-0000-0000-0000ED0A0000}"/>
    <cellStyle name="_PLPT_PLANILHA_CÁLCULO_DÉFICIT_RESOLUÇÃO_294_2007_COELCE_Sem_Gov_Estado_pos_Rev2007_IRT_1_Financeiro Subsídio Rural Irrigante e Aquicultor Reajuste 2010 - 03_03_2010" xfId="43214" xr:uid="{00000000-0005-0000-0000-0000EE0A0000}"/>
    <cellStyle name="_PLPT_PLANILHA_CÁLCULO_DÉFICIT_RESOLUÇÃO_294_2007_COELCE_Sem_Gov_Estado_pos_Rev2007_IRT_1_IRT-cálculo" xfId="3203" xr:uid="{00000000-0005-0000-0000-0000EF0A0000}"/>
    <cellStyle name="_PLPT_PLANILHA_CÁLCULO_DÉFICIT_RESOLUÇÃO_294_2007_COELCE_Sem_Gov_Estado_pos_Rev2007_IRT_1_IRT-cálculo CAPA NEUTRALIDADE" xfId="3204" xr:uid="{00000000-0005-0000-0000-0000F00A0000}"/>
    <cellStyle name="_PLPT_PLANILHA_CÁLCULO_DÉFICIT_RESOLUÇÃO_294_2007_COELCE_Sem_Gov_Estado_pos_Rev2007_IRT_1_SOBRECONTRATAÇÃO E CVA" xfId="3205" xr:uid="{00000000-0005-0000-0000-0000F10A0000}"/>
    <cellStyle name="_PLPT_PLANILHA_CÁLCULO_DÉFICIT_RESOLUÇÃO_294_2007_COELCE_Sem_Gov_Estado_pos_Rev2007_IRT_Bragantina_maio_2009" xfId="3206" xr:uid="{00000000-0005-0000-0000-0000F20A0000}"/>
    <cellStyle name="_PLPT_PLANILHA_CÁLCULO_DÉFICIT_RESOLUÇÃO_294_2007_COELCE_Sem_Gov_Estado_pos_Rev2007_IRT_CEMAT_2009" xfId="3207" xr:uid="{00000000-0005-0000-0000-0000F30A0000}"/>
    <cellStyle name="_PLPT_PLANILHA_CÁLCULO_DÉFICIT_RESOLUÇÃO_294_2007_COELCE_Sem_Gov_Estado_pos_Rev2007_IRT_COELCE_abr2008" xfId="1628" xr:uid="{00000000-0005-0000-0000-0000F40A0000}"/>
    <cellStyle name="_PLPT_PLANILHA_CÁLCULO_DÉFICIT_RESOLUÇÃO_294_2007_COELCE_Sem_Gov_Estado_pos_Rev2007_IRT_COELCE_abr2008 2" xfId="3208" xr:uid="{00000000-0005-0000-0000-0000F50A0000}"/>
    <cellStyle name="_PLPT_PLANILHA_CÁLCULO_DÉFICIT_RESOLUÇÃO_294_2007_COELCE_Sem_Gov_Estado_pos_Rev2007_IRT_COELCE_abr2008_atualização serviços taxados" xfId="43215" xr:uid="{00000000-0005-0000-0000-0000F60A0000}"/>
    <cellStyle name="_PLPT_PLANILHA_CÁLCULO_DÉFICIT_RESOLUÇÃO_294_2007_COELCE_Sem_Gov_Estado_pos_Rev2007_IRT_COELCE_abr2008_COELCE - RTO 2011 - PLPT_PLANILHA_CÁLCULO_DÉFICIT" xfId="3209" xr:uid="{00000000-0005-0000-0000-0000F70A0000}"/>
    <cellStyle name="_PLPT_PLANILHA_CÁLCULO_DÉFICIT_RESOLUÇÃO_294_2007_COELCE_Sem_Gov_Estado_pos_Rev2007_IRT_COELCE_abr2008_Financeiro Desconto na TUSD Consumidores Livres Reajuste 2010 - 03_03_2010" xfId="43216" xr:uid="{00000000-0005-0000-0000-0000F80A0000}"/>
    <cellStyle name="_PLPT_PLANILHA_CÁLCULO_DÉFICIT_RESOLUÇÃO_294_2007_COELCE_Sem_Gov_Estado_pos_Rev2007_IRT_COELCE_abr2008_Financeiro Desconto na TUSD Geradores Reajuste 2010 - 03_03_2010" xfId="43217" xr:uid="{00000000-0005-0000-0000-0000F90A0000}"/>
    <cellStyle name="_PLPT_PLANILHA_CÁLCULO_DÉFICIT_RESOLUÇÃO_294_2007_COELCE_Sem_Gov_Estado_pos_Rev2007_IRT_COELCE_abr2008_Financeiro Subsídio Baixa Renda Reajuste 2010 - 03_03_2010" xfId="43218" xr:uid="{00000000-0005-0000-0000-0000FA0A0000}"/>
    <cellStyle name="_PLPT_PLANILHA_CÁLCULO_DÉFICIT_RESOLUÇÃO_294_2007_COELCE_Sem_Gov_Estado_pos_Rev2007_IRT_COELCE_abr2008_Financeiro Subsídio Rural Irrigante e Aquicultor Reajuste 2010 - 03_03_2010" xfId="43219" xr:uid="{00000000-0005-0000-0000-0000FB0A0000}"/>
    <cellStyle name="_PLPT_PLANILHA_CÁLCULO_DÉFICIT_RESOLUÇÃO_294_2007_COELCE_Sem_Gov_Estado_pos_Rev2007_IRT_EBB_mai2010d" xfId="3210" xr:uid="{00000000-0005-0000-0000-0000FC0A0000}"/>
    <cellStyle name="_PLPT_PLANILHA_CÁLCULO_DÉFICIT_RESOLUÇÃO_294_2007_COELCE_Sem_Gov_Estado_pos_Rev2007_IRT_ENERGISA_SE_abr2009" xfId="3211" xr:uid="{00000000-0005-0000-0000-0000FD0A0000}"/>
    <cellStyle name="_PLPT_PLANILHA_CÁLCULO_DÉFICIT_RESOLUÇÃO_294_2007_COELCE_Sem_Gov_Estado_pos_Rev2007_IRT_ENF" xfId="3212" xr:uid="{00000000-0005-0000-0000-0000FE0A0000}"/>
    <cellStyle name="_PLPT_PLANILHA_CÁLCULO_DÉFICIT_RESOLUÇÃO_294_2007_COELCE_Sem_Gov_Estado_pos_Rev2007_IRT_Escelsa" xfId="3213" xr:uid="{00000000-0005-0000-0000-0000FF0A0000}"/>
    <cellStyle name="_PLPT_PLANILHA_CÁLCULO_DÉFICIT_RESOLUÇÃO_294_2007_COELCE_Sem_Gov_Estado_pos_Rev2007_IRT_Planilha Básica_ CETRIL" xfId="440" xr:uid="{00000000-0005-0000-0000-0000000B0000}"/>
    <cellStyle name="_PLPT_PLANILHA_CÁLCULO_DÉFICIT_RESOLUÇÃO_294_2007_COELCE_Sem_Gov_Estado_pos_Rev2007_IRT_Planilha Básica_ CETRIL 2" xfId="1366" xr:uid="{00000000-0005-0000-0000-0000010B0000}"/>
    <cellStyle name="_PLPT_PLANILHA_CÁLCULO_DÉFICIT_RESOLUÇÃO_294_2007_COELCE_Sem_Gov_Estado_pos_Rev2007_IRT_Planilha Básica_ CETRIL_Balanço" xfId="441" xr:uid="{00000000-0005-0000-0000-0000020B0000}"/>
    <cellStyle name="_PLPT_PLANILHA_CÁLCULO_DÉFICIT_RESOLUÇÃO_294_2007_COELCE_Sem_Gov_Estado_pos_Rev2007_IRT_Planilha Básica_ CETRIL_casulo 15" xfId="442" xr:uid="{00000000-0005-0000-0000-0000030B0000}"/>
    <cellStyle name="_PLPT_PLANILHA_CÁLCULO_DÉFICIT_RESOLUÇÃO_294_2007_COELCE_Sem_Gov_Estado_pos_Rev2007_IRT_Planilha Básica_ CETRIL_IRT EEB 2010" xfId="3214" xr:uid="{00000000-0005-0000-0000-0000040B0000}"/>
    <cellStyle name="_PLPT_PLANILHA_CÁLCULO_DÉFICIT_RESOLUÇÃO_294_2007_COELCE_Sem_Gov_Estado_pos_Rev2007_IRT_Planilha Básica_30jun2009" xfId="3215" xr:uid="{00000000-0005-0000-0000-0000050B0000}"/>
    <cellStyle name="_PLPT_PLANILHA_CÁLCULO_DÉFICIT_RESOLUÇÃO_294_2007_COELCE_Sem_Gov_Estado_pos_Rev2007_IRT_Planilha Básica_DIRETORIA" xfId="3216" xr:uid="{00000000-0005-0000-0000-0000060B0000}"/>
    <cellStyle name="_PLPT_PLANILHA_CÁLCULO_DÉFICIT_RESOLUÇÃO_294_2007_COELCE_Sem_Gov_Estado_pos_Rev2007_IRT_Planilha Básica_fev2010" xfId="3217" xr:uid="{00000000-0005-0000-0000-0000070B0000}"/>
    <cellStyle name="_PLPT_PLANILHA_CÁLCULO_DÉFICIT_RESOLUÇÃO_294_2007_COELCE_Sem_Gov_Estado_pos_Rev2007_IRT_Planilha Básica_fev2010a" xfId="443" xr:uid="{00000000-0005-0000-0000-0000080B0000}"/>
    <cellStyle name="_PLPT_PLANILHA_CÁLCULO_DÉFICIT_RESOLUÇÃO_294_2007_COELCE_Sem_Gov_Estado_pos_Rev2007_IRT_Planilha Básica_fev2010a 2" xfId="1367" xr:uid="{00000000-0005-0000-0000-0000090B0000}"/>
    <cellStyle name="_PLPT_PLANILHA_CÁLCULO_DÉFICIT_RESOLUÇÃO_294_2007_COELCE_Sem_Gov_Estado_pos_Rev2007_IRT_Planilha Básica_fev2010a_Balanço" xfId="444" xr:uid="{00000000-0005-0000-0000-00000A0B0000}"/>
    <cellStyle name="_PLPT_PLANILHA_CÁLCULO_DÉFICIT_RESOLUÇÃO_294_2007_COELCE_Sem_Gov_Estado_pos_Rev2007_IRT_Planilha Básica_fev2010a_Balanço 2" xfId="1368" xr:uid="{00000000-0005-0000-0000-00000B0B0000}"/>
    <cellStyle name="_PLPT_PLANILHA_CÁLCULO_DÉFICIT_RESOLUÇÃO_294_2007_COELCE_Sem_Gov_Estado_pos_Rev2007_IRT_Planilha Básica_fev2010a_casulo 15" xfId="445" xr:uid="{00000000-0005-0000-0000-00000C0B0000}"/>
    <cellStyle name="_PLPT_PLANILHA_CÁLCULO_DÉFICIT_RESOLUÇÃO_294_2007_COELCE_Sem_Gov_Estado_pos_Rev2007_IRT_Planilha Básica_fev2010a_casulo 5" xfId="446" xr:uid="{00000000-0005-0000-0000-00000D0B0000}"/>
    <cellStyle name="_PLPT_PLANILHA_CÁLCULO_DÉFICIT_RESOLUÇÃO_294_2007_COELCE_Sem_Gov_Estado_pos_Rev2007_IRT_Planilha Básica_fev2010a_casulo 5 2" xfId="1369" xr:uid="{00000000-0005-0000-0000-00000E0B0000}"/>
    <cellStyle name="_PLPT_PLANILHA_CÁLCULO_DÉFICIT_RESOLUÇÃO_294_2007_COELCE_Sem_Gov_Estado_pos_Rev2007_IRT_Planilha Básica_fev2010a_casulo 5_Balanço" xfId="447" xr:uid="{00000000-0005-0000-0000-00000F0B0000}"/>
    <cellStyle name="_PLPT_PLANILHA_CÁLCULO_DÉFICIT_RESOLUÇÃO_294_2007_COELCE_Sem_Gov_Estado_pos_Rev2007_IRT_Planilha Básica_fev2010a_casulo 5_casulo 15" xfId="448" xr:uid="{00000000-0005-0000-0000-0000100B0000}"/>
    <cellStyle name="_PLPT_PLANILHA_CÁLCULO_DÉFICIT_RESOLUÇÃO_294_2007_COELCE_Sem_Gov_Estado_pos_Rev2007_IRT_Planilha Básica_fev2010a_casulo 5_IRT EEB 2010" xfId="3218" xr:uid="{00000000-0005-0000-0000-0000110B0000}"/>
    <cellStyle name="_PLPT_PLANILHA_CÁLCULO_DÉFICIT_RESOLUÇÃO_294_2007_COELCE_Sem_Gov_Estado_pos_Rev2007_IRT_Planilha Básica_fev2010a_IRT EEB 2010" xfId="3219" xr:uid="{00000000-0005-0000-0000-0000120B0000}"/>
    <cellStyle name="_PLPT_PLANILHA_CÁLCULO_DÉFICIT_RESOLUÇÃO_294_2007_COELCE_Sem_Gov_Estado_pos_Rev2007_IRT_Planilha Básica_jun2009" xfId="3220" xr:uid="{00000000-0005-0000-0000-0000130B0000}"/>
    <cellStyle name="_PLPT_PLANILHA_CÁLCULO_DÉFICIT_RESOLUÇÃO_294_2007_COELCE_Sem_Gov_Estado_pos_Rev2007_IRT_Planilha Básica_mar2010b" xfId="3221" xr:uid="{00000000-0005-0000-0000-0000140B0000}"/>
    <cellStyle name="_PLPT_PLANILHA_CÁLCULO_DÉFICIT_RESOLUÇÃO_294_2007_COELCE_Sem_Gov_Estado_pos_Rev2007_IRT_Planilha Básica_mar2010d" xfId="449" xr:uid="{00000000-0005-0000-0000-0000150B0000}"/>
    <cellStyle name="_PLPT_PLANILHA_CÁLCULO_DÉFICIT_RESOLUÇÃO_294_2007_COELCE_Sem_Gov_Estado_pos_Rev2007_IRT_Planilha Básica_mar2010d 2" xfId="1370" xr:uid="{00000000-0005-0000-0000-0000160B0000}"/>
    <cellStyle name="_PLPT_PLANILHA_CÁLCULO_DÉFICIT_RESOLUÇÃO_294_2007_COELCE_Sem_Gov_Estado_pos_Rev2007_IRT_Planilha Básica_março2009" xfId="450" xr:uid="{00000000-0005-0000-0000-0000170B0000}"/>
    <cellStyle name="_PLPT_PLANILHA_CÁLCULO_DÉFICIT_RESOLUÇÃO_294_2007_COELCE_Sem_Gov_Estado_pos_Rev2007_IRT_Planilha Básica_março2009 2" xfId="1371" xr:uid="{00000000-0005-0000-0000-0000180B0000}"/>
    <cellStyle name="_PLPT_PLANILHA_CÁLCULO_DÉFICIT_RESOLUÇÃO_294_2007_COELCE_Sem_Gov_Estado_pos_Rev2007_IRT_Planilha Básica_março2009_02 IRT Bandeirante 2009" xfId="3222" xr:uid="{00000000-0005-0000-0000-0000190B0000}"/>
    <cellStyle name="_PLPT_PLANILHA_CÁLCULO_DÉFICIT_RESOLUÇÃO_294_2007_COELCE_Sem_Gov_Estado_pos_Rev2007_IRT_Planilha Básica_março2009_Balanço" xfId="451" xr:uid="{00000000-0005-0000-0000-00001A0B0000}"/>
    <cellStyle name="_PLPT_PLANILHA_CÁLCULO_DÉFICIT_RESOLUÇÃO_294_2007_COELCE_Sem_Gov_Estado_pos_Rev2007_IRT_Planilha Básica_março2009_Balanço 2" xfId="1372" xr:uid="{00000000-0005-0000-0000-00001B0B0000}"/>
    <cellStyle name="_PLPT_PLANILHA_CÁLCULO_DÉFICIT_RESOLUÇÃO_294_2007_COELCE_Sem_Gov_Estado_pos_Rev2007_IRT_Planilha Básica_março2009_casulo 15" xfId="452" xr:uid="{00000000-0005-0000-0000-00001C0B0000}"/>
    <cellStyle name="_PLPT_PLANILHA_CÁLCULO_DÉFICIT_RESOLUÇÃO_294_2007_COELCE_Sem_Gov_Estado_pos_Rev2007_IRT_Planilha Básica_março2009_casulo 5" xfId="453" xr:uid="{00000000-0005-0000-0000-00001D0B0000}"/>
    <cellStyle name="_PLPT_PLANILHA_CÁLCULO_DÉFICIT_RESOLUÇÃO_294_2007_COELCE_Sem_Gov_Estado_pos_Rev2007_IRT_Planilha Básica_março2009_casulo 5 2" xfId="1373" xr:uid="{00000000-0005-0000-0000-00001E0B0000}"/>
    <cellStyle name="_PLPT_PLANILHA_CÁLCULO_DÉFICIT_RESOLUÇÃO_294_2007_COELCE_Sem_Gov_Estado_pos_Rev2007_IRT_Planilha Básica_março2009_casulo 5_Balanço" xfId="454" xr:uid="{00000000-0005-0000-0000-00001F0B0000}"/>
    <cellStyle name="_PLPT_PLANILHA_CÁLCULO_DÉFICIT_RESOLUÇÃO_294_2007_COELCE_Sem_Gov_Estado_pos_Rev2007_IRT_Planilha Básica_março2009_casulo 5_casulo 15" xfId="455" xr:uid="{00000000-0005-0000-0000-0000200B0000}"/>
    <cellStyle name="_PLPT_PLANILHA_CÁLCULO_DÉFICIT_RESOLUÇÃO_294_2007_COELCE_Sem_Gov_Estado_pos_Rev2007_IRT_Planilha Básica_março2009_casulo 5_IRT EEB 2010" xfId="3223" xr:uid="{00000000-0005-0000-0000-0000210B0000}"/>
    <cellStyle name="_PLPT_PLANILHA_CÁLCULO_DÉFICIT_RESOLUÇÃO_294_2007_COELCE_Sem_Gov_Estado_pos_Rev2007_IRT_Planilha Básica_março2009_COELCE  ICMS Não Compensado RTO 2012 281211" xfId="3224" xr:uid="{00000000-0005-0000-0000-0000220B0000}"/>
    <cellStyle name="_PLPT_PLANILHA_CÁLCULO_DÉFICIT_RESOLUÇÃO_294_2007_COELCE_Sem_Gov_Estado_pos_Rev2007_IRT_Planilha Básica_março2009_COELCE - RTO 2011 - PLPT_PLANILHA_CÁLCULO_DÉFICIT" xfId="3225" xr:uid="{00000000-0005-0000-0000-0000230B0000}"/>
    <cellStyle name="_PLPT_PLANILHA_CÁLCULO_DÉFICIT_RESOLUÇÃO_294_2007_COELCE_Sem_Gov_Estado_pos_Rev2007_IRT_Planilha Básica_março2009_IRT EEB 2010" xfId="3226" xr:uid="{00000000-0005-0000-0000-0000240B0000}"/>
    <cellStyle name="_PLPT_PLANILHA_CÁLCULO_DÉFICIT_RESOLUÇÃO_294_2007_COELCE_Sem_Gov_Estado_pos_Rev2007_IRT_Planilha Básica_março2009_IRT Piratininga 2009" xfId="456" xr:uid="{00000000-0005-0000-0000-0000250B0000}"/>
    <cellStyle name="_PLPT_PLANILHA_CÁLCULO_DÉFICIT_RESOLUÇÃO_294_2007_COELCE_Sem_Gov_Estado_pos_Rev2007_IRT_Planilha Básica_março2009_IRT Piratininga 2009 2" xfId="1374" xr:uid="{00000000-0005-0000-0000-0000260B0000}"/>
    <cellStyle name="_PLPT_PLANILHA_CÁLCULO_DÉFICIT_RESOLUÇÃO_294_2007_COELCE_Sem_Gov_Estado_pos_Rev2007_IRT_Planilha Básica_março2009_IRT Piratininga 2009_Balanço" xfId="457" xr:uid="{00000000-0005-0000-0000-0000270B0000}"/>
    <cellStyle name="_PLPT_PLANILHA_CÁLCULO_DÉFICIT_RESOLUÇÃO_294_2007_COELCE_Sem_Gov_Estado_pos_Rev2007_IRT_Planilha Básica_março2009_IRT Piratininga 2009_casulo 15" xfId="458" xr:uid="{00000000-0005-0000-0000-0000280B0000}"/>
    <cellStyle name="_PLPT_PLANILHA_CÁLCULO_DÉFICIT_RESOLUÇÃO_294_2007_COELCE_Sem_Gov_Estado_pos_Rev2007_IRT_Planilha Básica_março2009_IRT Piratininga 2009_IRT EEB 2010" xfId="3227" xr:uid="{00000000-0005-0000-0000-0000290B0000}"/>
    <cellStyle name="_PLPT_PLANILHA_CÁLCULO_DÉFICIT_RESOLUÇÃO_294_2007_COELCE_Sem_Gov_Estado_pos_Rev2007_IRT_Planilha Básica_março2009_IRT_EBB_mai2010d" xfId="3228" xr:uid="{00000000-0005-0000-0000-00002A0B0000}"/>
    <cellStyle name="_PLPT_PLANILHA_CÁLCULO_DÉFICIT_RESOLUÇÃO_294_2007_COELCE_Sem_Gov_Estado_pos_Rev2007_IRT_Planilha Básica_março2009_IRT_Planilha Básica_ CETRIL" xfId="459" xr:uid="{00000000-0005-0000-0000-00002B0B0000}"/>
    <cellStyle name="_PLPT_PLANILHA_CÁLCULO_DÉFICIT_RESOLUÇÃO_294_2007_COELCE_Sem_Gov_Estado_pos_Rev2007_IRT_Planilha Básica_março2009_IRT_Planilha Básica_ CETRIL 2" xfId="1375" xr:uid="{00000000-0005-0000-0000-00002C0B0000}"/>
    <cellStyle name="_PLPT_PLANILHA_CÁLCULO_DÉFICIT_RESOLUÇÃO_294_2007_COELCE_Sem_Gov_Estado_pos_Rev2007_IRT_Planilha Básica_março2009_IRT_Planilha Básica_ CETRIL_Balanço" xfId="460" xr:uid="{00000000-0005-0000-0000-00002D0B0000}"/>
    <cellStyle name="_PLPT_PLANILHA_CÁLCULO_DÉFICIT_RESOLUÇÃO_294_2007_COELCE_Sem_Gov_Estado_pos_Rev2007_IRT_Planilha Básica_março2009_IRT_Planilha Básica_ CETRIL_casulo 15" xfId="461" xr:uid="{00000000-0005-0000-0000-00002E0B0000}"/>
    <cellStyle name="_PLPT_PLANILHA_CÁLCULO_DÉFICIT_RESOLUÇÃO_294_2007_COELCE_Sem_Gov_Estado_pos_Rev2007_IRT_Planilha Básica_março2009_IRT_Planilha Básica_ CETRIL_IRT EEB 2010" xfId="3229" xr:uid="{00000000-0005-0000-0000-00002F0B0000}"/>
    <cellStyle name="_PLPT_PLANILHA_CÁLCULO_DÉFICIT_RESOLUÇÃO_294_2007_COELCE_Sem_Gov_Estado_pos_Rev2007_IRT_Planilha Básica_março2009_IRT_Planilha Básica_DIRETORIA" xfId="3230" xr:uid="{00000000-0005-0000-0000-0000300B0000}"/>
    <cellStyle name="_PLPT_PLANILHA_CÁLCULO_DÉFICIT_RESOLUÇÃO_294_2007_COELCE_Sem_Gov_Estado_pos_Rev2007_IRT_Planilha Básica_março2009_IRT_Planilha Básica_fev2010" xfId="3231" xr:uid="{00000000-0005-0000-0000-0000310B0000}"/>
    <cellStyle name="_PLPT_PLANILHA_CÁLCULO_DÉFICIT_RESOLUÇÃO_294_2007_COELCE_Sem_Gov_Estado_pos_Rev2007_IRT_Planilha Básica_março2009_IRT_Planilha Básica_fev2010a" xfId="462" xr:uid="{00000000-0005-0000-0000-0000320B0000}"/>
    <cellStyle name="_PLPT_PLANILHA_CÁLCULO_DÉFICIT_RESOLUÇÃO_294_2007_COELCE_Sem_Gov_Estado_pos_Rev2007_IRT_Planilha Básica_março2009_IRT_Planilha Básica_fev2010a 2" xfId="1376" xr:uid="{00000000-0005-0000-0000-0000330B0000}"/>
    <cellStyle name="_PLPT_PLANILHA_CÁLCULO_DÉFICIT_RESOLUÇÃO_294_2007_COELCE_Sem_Gov_Estado_pos_Rev2007_IRT_Planilha Básica_março2009_IRT_Planilha Básica_fev2010a_Balanço" xfId="463" xr:uid="{00000000-0005-0000-0000-0000340B0000}"/>
    <cellStyle name="_PLPT_PLANILHA_CÁLCULO_DÉFICIT_RESOLUÇÃO_294_2007_COELCE_Sem_Gov_Estado_pos_Rev2007_IRT_Planilha Básica_março2009_IRT_Planilha Básica_fev2010a_Balanço 2" xfId="1377" xr:uid="{00000000-0005-0000-0000-0000350B0000}"/>
    <cellStyle name="_PLPT_PLANILHA_CÁLCULO_DÉFICIT_RESOLUÇÃO_294_2007_COELCE_Sem_Gov_Estado_pos_Rev2007_IRT_Planilha Básica_março2009_IRT_Planilha Básica_fev2010a_casulo 15" xfId="464" xr:uid="{00000000-0005-0000-0000-0000360B0000}"/>
    <cellStyle name="_PLPT_PLANILHA_CÁLCULO_DÉFICIT_RESOLUÇÃO_294_2007_COELCE_Sem_Gov_Estado_pos_Rev2007_IRT_Planilha Básica_março2009_IRT_Planilha Básica_fev2010a_casulo 5" xfId="465" xr:uid="{00000000-0005-0000-0000-0000370B0000}"/>
    <cellStyle name="_PLPT_PLANILHA_CÁLCULO_DÉFICIT_RESOLUÇÃO_294_2007_COELCE_Sem_Gov_Estado_pos_Rev2007_IRT_Planilha Básica_março2009_IRT_Planilha Básica_fev2010a_casulo 5 2" xfId="1378" xr:uid="{00000000-0005-0000-0000-0000380B0000}"/>
    <cellStyle name="_PLPT_PLANILHA_CÁLCULO_DÉFICIT_RESOLUÇÃO_294_2007_COELCE_Sem_Gov_Estado_pos_Rev2007_IRT_Planilha Básica_março2009_IRT_Planilha Básica_fev2010a_casulo 5_Balanço" xfId="466" xr:uid="{00000000-0005-0000-0000-0000390B0000}"/>
    <cellStyle name="_PLPT_PLANILHA_CÁLCULO_DÉFICIT_RESOLUÇÃO_294_2007_COELCE_Sem_Gov_Estado_pos_Rev2007_IRT_Planilha Básica_março2009_IRT_Planilha Básica_fev2010a_casulo 5_casulo 15" xfId="467" xr:uid="{00000000-0005-0000-0000-00003A0B0000}"/>
    <cellStyle name="_PLPT_PLANILHA_CÁLCULO_DÉFICIT_RESOLUÇÃO_294_2007_COELCE_Sem_Gov_Estado_pos_Rev2007_IRT_Planilha Básica_março2009_IRT_Planilha Básica_fev2010a_casulo 5_IRT EEB 2010" xfId="3232" xr:uid="{00000000-0005-0000-0000-00003B0B0000}"/>
    <cellStyle name="_PLPT_PLANILHA_CÁLCULO_DÉFICIT_RESOLUÇÃO_294_2007_COELCE_Sem_Gov_Estado_pos_Rev2007_IRT_Planilha Básica_março2009_IRT_Planilha Básica_fev2010a_IRT EEB 2010" xfId="3233" xr:uid="{00000000-0005-0000-0000-00003C0B0000}"/>
    <cellStyle name="_PLPT_PLANILHA_CÁLCULO_DÉFICIT_RESOLUÇÃO_294_2007_COELCE_Sem_Gov_Estado_pos_Rev2007_IRT_Planilha Básica_março2009_IRT_Planilha Básica_jan2010" xfId="3234" xr:uid="{00000000-0005-0000-0000-00003D0B0000}"/>
    <cellStyle name="_PLPT_PLANILHA_CÁLCULO_DÉFICIT_RESOLUÇÃO_294_2007_COELCE_Sem_Gov_Estado_pos_Rev2007_IRT_Planilha Básica_março2009_IRT_Planilha Básica_mar2010d" xfId="468" xr:uid="{00000000-0005-0000-0000-00003E0B0000}"/>
    <cellStyle name="_PLPT_PLANILHA_CÁLCULO_DÉFICIT_RESOLUÇÃO_294_2007_COELCE_Sem_Gov_Estado_pos_Rev2007_IRT_Planilha Básica_março2009_IRT_Planilha Básica_mar2010d 2" xfId="1379" xr:uid="{00000000-0005-0000-0000-00003F0B0000}"/>
    <cellStyle name="_PLPT_PLANILHA_CÁLCULO_DÉFICIT_RESOLUÇÃO_294_2007_COELCE_Sem_Gov_Estado_pos_Rev2007_IRT_Planilha Básica_março2009_IRT_Planilha Básica_NOVA METODOLOGIA" xfId="3235" xr:uid="{00000000-0005-0000-0000-0000400B0000}"/>
    <cellStyle name="_PLPT_PLANILHA_CÁLCULO_DÉFICIT_RESOLUÇÃO_294_2007_COELCE_Sem_Gov_Estado_pos_Rev2007_IRT_Planilha Básica_março2009_IRT_Santa 2010" xfId="3236" xr:uid="{00000000-0005-0000-0000-0000410B0000}"/>
    <cellStyle name="_PLPT_PLANILHA_CÁLCULO_DÉFICIT_RESOLUÇÃO_294_2007_COELCE_Sem_Gov_Estado_pos_Rev2007_IRT_Planilha Básica_março2009_IRT-cálculo" xfId="43220" xr:uid="{00000000-0005-0000-0000-0000420B0000}"/>
    <cellStyle name="_PLPT_PLANILHA_CÁLCULO_DÉFICIT_RESOLUÇÃO_294_2007_COELCE_Sem_Gov_Estado_pos_Rev2007_IRT_Planilha Básica_março2009_Resultados_DEA_RND_QUAL_PERDAS" xfId="42538" xr:uid="{00000000-0005-0000-0000-0000430B0000}"/>
    <cellStyle name="_PLPT_PLANILHA_CÁLCULO_DÉFICIT_RESOLUÇÃO_294_2007_COELCE_Sem_Gov_Estado_pos_Rev2007_IRT_Planilha Básica_março2009_Simulação congelamento COELCE 2011 - Propostas 3ª Fase AP040 (20.12.2011)" xfId="3237" xr:uid="{00000000-0005-0000-0000-0000440B0000}"/>
    <cellStyle name="_PLPT_PLANILHA_CÁLCULO_DÉFICIT_RESOLUÇÃO_294_2007_COELCE_Sem_Gov_Estado_pos_Rev2007_IRT_Planilha Básica_março2009_teste ampla" xfId="469" xr:uid="{00000000-0005-0000-0000-0000450B0000}"/>
    <cellStyle name="_PLPT_PLANILHA_CÁLCULO_DÉFICIT_RESOLUÇÃO_294_2007_COELCE_Sem_Gov_Estado_pos_Rev2007_IRT_Planilha Básica_março2009_teste ampla 2" xfId="1380" xr:uid="{00000000-0005-0000-0000-0000460B0000}"/>
    <cellStyle name="_PLPT_PLANILHA_CÁLCULO_DÉFICIT_RESOLUÇÃO_294_2007_COELCE_Sem_Gov_Estado_pos_Rev2007_IRT_Planilha Básica_março2009_teste ampla_Balanço" xfId="470" xr:uid="{00000000-0005-0000-0000-0000470B0000}"/>
    <cellStyle name="_PLPT_PLANILHA_CÁLCULO_DÉFICIT_RESOLUÇÃO_294_2007_COELCE_Sem_Gov_Estado_pos_Rev2007_IRT_Planilha Básica_março2009_teste ampla_Balanço 2" xfId="1381" xr:uid="{00000000-0005-0000-0000-0000480B0000}"/>
    <cellStyle name="_PLPT_PLANILHA_CÁLCULO_DÉFICIT_RESOLUÇÃO_294_2007_COELCE_Sem_Gov_Estado_pos_Rev2007_IRT_Planilha Básica_março2009_teste ampla_casulo 15" xfId="471" xr:uid="{00000000-0005-0000-0000-0000490B0000}"/>
    <cellStyle name="_PLPT_PLANILHA_CÁLCULO_DÉFICIT_RESOLUÇÃO_294_2007_COELCE_Sem_Gov_Estado_pos_Rev2007_IRT_Planilha Básica_março2009_teste ampla_casulo 5" xfId="472" xr:uid="{00000000-0005-0000-0000-00004A0B0000}"/>
    <cellStyle name="_PLPT_PLANILHA_CÁLCULO_DÉFICIT_RESOLUÇÃO_294_2007_COELCE_Sem_Gov_Estado_pos_Rev2007_IRT_Planilha Básica_março2009_teste ampla_casulo 5 2" xfId="1382" xr:uid="{00000000-0005-0000-0000-00004B0B0000}"/>
    <cellStyle name="_PLPT_PLANILHA_CÁLCULO_DÉFICIT_RESOLUÇÃO_294_2007_COELCE_Sem_Gov_Estado_pos_Rev2007_IRT_Planilha Básica_março2009_teste ampla_casulo 5_Balanço" xfId="473" xr:uid="{00000000-0005-0000-0000-00004C0B0000}"/>
    <cellStyle name="_PLPT_PLANILHA_CÁLCULO_DÉFICIT_RESOLUÇÃO_294_2007_COELCE_Sem_Gov_Estado_pos_Rev2007_IRT_Planilha Básica_março2009_teste ampla_casulo 5_casulo 15" xfId="474" xr:uid="{00000000-0005-0000-0000-00004D0B0000}"/>
    <cellStyle name="_PLPT_PLANILHA_CÁLCULO_DÉFICIT_RESOLUÇÃO_294_2007_COELCE_Sem_Gov_Estado_pos_Rev2007_IRT_Planilha Básica_março2009_teste ampla_casulo 5_IRT EEB 2010" xfId="3238" xr:uid="{00000000-0005-0000-0000-00004E0B0000}"/>
    <cellStyle name="_PLPT_PLANILHA_CÁLCULO_DÉFICIT_RESOLUÇÃO_294_2007_COELCE_Sem_Gov_Estado_pos_Rev2007_IRT_Planilha Básica_março2009_teste ampla_IRT EEB 2010" xfId="3239" xr:uid="{00000000-0005-0000-0000-00004F0B0000}"/>
    <cellStyle name="_PLPT_PLANILHA_CÁLCULO_DÉFICIT_RESOLUÇÃO_294_2007_COELCE_Sem_Gov_Estado_pos_Rev2007_IRT_Planilha Básica_NOVA METODOLOGIA" xfId="3240" xr:uid="{00000000-0005-0000-0000-0000500B0000}"/>
    <cellStyle name="_PLPT_PLANILHA_CÁLCULO_DÉFICIT_RESOLUÇÃO_294_2007_COELCE_Sem_Gov_Estado_pos_Rev2007_IRT_Planilha Básica_out2009" xfId="475" xr:uid="{00000000-0005-0000-0000-0000510B0000}"/>
    <cellStyle name="_PLPT_PLANILHA_CÁLCULO_DÉFICIT_RESOLUÇÃO_294_2007_COELCE_Sem_Gov_Estado_pos_Rev2007_IRT_Planilha Básica_out2009 2" xfId="1383" xr:uid="{00000000-0005-0000-0000-0000520B0000}"/>
    <cellStyle name="_PLPT_PLANILHA_CÁLCULO_DÉFICIT_RESOLUÇÃO_294_2007_COELCE_Sem_Gov_Estado_pos_Rev2007_IRT_Planilha Básica_out2009_Balanço" xfId="476" xr:uid="{00000000-0005-0000-0000-0000530B0000}"/>
    <cellStyle name="_PLPT_PLANILHA_CÁLCULO_DÉFICIT_RESOLUÇÃO_294_2007_COELCE_Sem_Gov_Estado_pos_Rev2007_IRT_Planilha Básica_out2009_Balanço 2" xfId="1384" xr:uid="{00000000-0005-0000-0000-0000540B0000}"/>
    <cellStyle name="_PLPT_PLANILHA_CÁLCULO_DÉFICIT_RESOLUÇÃO_294_2007_COELCE_Sem_Gov_Estado_pos_Rev2007_IRT_Planilha Básica_out2009_casulo 15" xfId="477" xr:uid="{00000000-0005-0000-0000-0000550B0000}"/>
    <cellStyle name="_PLPT_PLANILHA_CÁLCULO_DÉFICIT_RESOLUÇÃO_294_2007_COELCE_Sem_Gov_Estado_pos_Rev2007_IRT_Planilha Básica_out2009_casulo 5" xfId="478" xr:uid="{00000000-0005-0000-0000-0000560B0000}"/>
    <cellStyle name="_PLPT_PLANILHA_CÁLCULO_DÉFICIT_RESOLUÇÃO_294_2007_COELCE_Sem_Gov_Estado_pos_Rev2007_IRT_Planilha Básica_out2009_casulo 5 2" xfId="1385" xr:uid="{00000000-0005-0000-0000-0000570B0000}"/>
    <cellStyle name="_PLPT_PLANILHA_CÁLCULO_DÉFICIT_RESOLUÇÃO_294_2007_COELCE_Sem_Gov_Estado_pos_Rev2007_IRT_Planilha Básica_out2009_casulo 5_Balanço" xfId="479" xr:uid="{00000000-0005-0000-0000-0000580B0000}"/>
    <cellStyle name="_PLPT_PLANILHA_CÁLCULO_DÉFICIT_RESOLUÇÃO_294_2007_COELCE_Sem_Gov_Estado_pos_Rev2007_IRT_Planilha Básica_out2009_casulo 5_casulo 15" xfId="480" xr:uid="{00000000-0005-0000-0000-0000590B0000}"/>
    <cellStyle name="_PLPT_PLANILHA_CÁLCULO_DÉFICIT_RESOLUÇÃO_294_2007_COELCE_Sem_Gov_Estado_pos_Rev2007_IRT_Planilha Básica_out2009_casulo 5_IRT EEB 2010" xfId="3241" xr:uid="{00000000-0005-0000-0000-00005A0B0000}"/>
    <cellStyle name="_PLPT_PLANILHA_CÁLCULO_DÉFICIT_RESOLUÇÃO_294_2007_COELCE_Sem_Gov_Estado_pos_Rev2007_IRT_Planilha Básica_out2009_IRT EEB 2010" xfId="3242" xr:uid="{00000000-0005-0000-0000-00005B0B0000}"/>
    <cellStyle name="_PLPT_PLANILHA_CÁLCULO_DÉFICIT_RESOLUÇÃO_294_2007_COELCE_Sem_Gov_Estado_pos_Rev2007_IRT_Pleito" xfId="3243" xr:uid="{00000000-0005-0000-0000-00005C0B0000}"/>
    <cellStyle name="_PLPT_PLANILHA_CÁLCULO_DÉFICIT_RESOLUÇÃO_294_2007_COELCE_Sem_Gov_Estado_pos_Rev2007_IRT_Pleito_IRT-cálculo" xfId="3244" xr:uid="{00000000-0005-0000-0000-00005D0B0000}"/>
    <cellStyle name="_PLPT_PLANILHA_CÁLCULO_DÉFICIT_RESOLUÇÃO_294_2007_COELCE_Sem_Gov_Estado_pos_Rev2007_IRT_Pleito_IRT-cálculo CAPA NEUTRALIDADE" xfId="3245" xr:uid="{00000000-0005-0000-0000-00005E0B0000}"/>
    <cellStyle name="_PLPT_PLANILHA_CÁLCULO_DÉFICIT_RESOLUÇÃO_294_2007_COELCE_Sem_Gov_Estado_pos_Rev2007_IRT_Revisão A-1" xfId="3246" xr:uid="{00000000-0005-0000-0000-00005F0B0000}"/>
    <cellStyle name="_PLPT_PLANILHA_CÁLCULO_DÉFICIT_RESOLUÇÃO_294_2007_COELCE_Sem_Gov_Estado_pos_Rev2007_IRT_Revisão A-1_IRT-cálculo" xfId="3247" xr:uid="{00000000-0005-0000-0000-0000600B0000}"/>
    <cellStyle name="_PLPT_PLANILHA_CÁLCULO_DÉFICIT_RESOLUÇÃO_294_2007_COELCE_Sem_Gov_Estado_pos_Rev2007_IRT_Revisão A-1_IRT-cálculo CAPA NEUTRALIDADE" xfId="3248" xr:uid="{00000000-0005-0000-0000-0000610B0000}"/>
    <cellStyle name="_PLPT_PLANILHA_CÁLCULO_DÉFICIT_RESOLUÇÃO_294_2007_COELCE_Sem_Gov_Estado_pos_Rev2007_IRT_SantaCruzpós IGPM" xfId="3249" xr:uid="{00000000-0005-0000-0000-0000620B0000}"/>
    <cellStyle name="_PLPT_PLANILHA_CÁLCULO_DÉFICIT_RESOLUÇÃO_294_2007_COELCE_Sem_Gov_Estado_pos_Rev2007_IRT1" xfId="3250" xr:uid="{00000000-0005-0000-0000-0000630B0000}"/>
    <cellStyle name="_PLPT_PLANILHA_CÁLCULO_DÉFICIT_RESOLUÇÃO_294_2007_COELCE_Sem_Gov_Estado_pos_Rev2007_IRT1_IRT-cálculo" xfId="3251" xr:uid="{00000000-0005-0000-0000-0000640B0000}"/>
    <cellStyle name="_PLPT_PLANILHA_CÁLCULO_DÉFICIT_RESOLUÇÃO_294_2007_COELCE_Sem_Gov_Estado_pos_Rev2007_IRT1_IRT-cálculo CAPA NEUTRALIDADE" xfId="3252" xr:uid="{00000000-0005-0000-0000-0000650B0000}"/>
    <cellStyle name="_PLPT_PLANILHA_CÁLCULO_DÉFICIT_RESOLUÇÃO_294_2007_COELCE_Sem_Gov_Estado_pos_Rev2007_IRT-2010_COPEL_SOBRECONTRATAÇÃOeCVAenergia" xfId="1629" xr:uid="{00000000-0005-0000-0000-0000660B0000}"/>
    <cellStyle name="_PLPT_PLANILHA_CÁLCULO_DÉFICIT_RESOLUÇÃO_294_2007_COELCE_Sem_Gov_Estado_pos_Rev2007_IRT-cálculo" xfId="3253" xr:uid="{00000000-0005-0000-0000-0000670B0000}"/>
    <cellStyle name="_PLPT_PLANILHA_CÁLCULO_DÉFICIT_RESOLUÇÃO_294_2007_COELCE_Sem_Gov_Estado_pos_Rev2007_IRT-cálculo CAPA NEUTRALIDADE" xfId="3254" xr:uid="{00000000-0005-0000-0000-0000680B0000}"/>
    <cellStyle name="_PLPT_PLANILHA_CÁLCULO_DÉFICIT_RESOLUÇÃO_294_2007_COELCE_Sem_Gov_Estado_pos_Rev2007_Modelo IRT ANEELl_2010" xfId="43221" xr:uid="{00000000-0005-0000-0000-0000690B0000}"/>
    <cellStyle name="_PLPT_PLANILHA_CÁLCULO_DÉFICIT_RESOLUÇÃO_294_2007_COELCE_Sem_Gov_Estado_pos_Rev2007_Pasta1" xfId="1630" xr:uid="{00000000-0005-0000-0000-00006A0B0000}"/>
    <cellStyle name="_PLPT_PLANILHA_CÁLCULO_DÉFICIT_RESOLUÇÃO_294_2007_COELCE_Sem_Gov_Estado_pos_Rev2007_Pasta1 2" xfId="3255" xr:uid="{00000000-0005-0000-0000-00006B0B0000}"/>
    <cellStyle name="_PLPT_PLANILHA_CÁLCULO_DÉFICIT_RESOLUÇÃO_294_2007_COELCE_Sem_Gov_Estado_pos_Rev2007_Pasta1_atualização serviços taxados" xfId="43222" xr:uid="{00000000-0005-0000-0000-00006C0B0000}"/>
    <cellStyle name="_PLPT_PLANILHA_CÁLCULO_DÉFICIT_RESOLUÇÃO_294_2007_COELCE_Sem_Gov_Estado_pos_Rev2007_Pasta1_Financeiro Desconto na TUSD Consumidores Livres Reajuste 2010 - 03_03_2010" xfId="43223" xr:uid="{00000000-0005-0000-0000-00006D0B0000}"/>
    <cellStyle name="_PLPT_PLANILHA_CÁLCULO_DÉFICIT_RESOLUÇÃO_294_2007_COELCE_Sem_Gov_Estado_pos_Rev2007_Pasta1_Financeiro Desconto na TUSD Geradores Reajuste 2010 - 03_03_2010" xfId="43224" xr:uid="{00000000-0005-0000-0000-00006E0B0000}"/>
    <cellStyle name="_PLPT_PLANILHA_CÁLCULO_DÉFICIT_RESOLUÇÃO_294_2007_COELCE_Sem_Gov_Estado_pos_Rev2007_Pasta1_Financeiro Subsídio Baixa Renda Reajuste 2010 - 03_03_2010" xfId="43225" xr:uid="{00000000-0005-0000-0000-00006F0B0000}"/>
    <cellStyle name="_PLPT_PLANILHA_CÁLCULO_DÉFICIT_RESOLUÇÃO_294_2007_COELCE_Sem_Gov_Estado_pos_Rev2007_Pasta1_Financeiro Subsídio Rural Irrigante e Aquicultor Reajuste 2010 - 03_03_2010" xfId="43226" xr:uid="{00000000-0005-0000-0000-0000700B0000}"/>
    <cellStyle name="_PLPT_PLANILHA_CÁLCULO_DÉFICIT_RESOLUÇÃO_294_2007_COELCE_Sem_Gov_Estado_pos_Rev2007_Pasta1_IRT-cálculo" xfId="3256" xr:uid="{00000000-0005-0000-0000-0000710B0000}"/>
    <cellStyle name="_PLPT_PLANILHA_CÁLCULO_DÉFICIT_RESOLUÇÃO_294_2007_COELCE_Sem_Gov_Estado_pos_Rev2007_Pasta1_IRT-cálculo CAPA NEUTRALIDADE" xfId="3257" xr:uid="{00000000-0005-0000-0000-0000720B0000}"/>
    <cellStyle name="_PLPT_PLANILHA_CÁLCULO_DÉFICIT_RESOLUÇÃO_294_2007_COELCE_Sem_Gov_Estado_pos_Rev2007_Pasta1_SOBRECONTRATAÇÃO E CVA" xfId="3258" xr:uid="{00000000-0005-0000-0000-0000730B0000}"/>
    <cellStyle name="_PLPT_PLANILHA_CÁLCULO_DÉFICIT_RESOLUÇÃO_294_2007_COELCE_Sem_Gov_Estado_pos_Rev2007_Pasta2" xfId="481" xr:uid="{00000000-0005-0000-0000-0000740B0000}"/>
    <cellStyle name="_PLPT_PLANILHA_CÁLCULO_DÉFICIT_RESOLUÇÃO_294_2007_COELCE_Sem_Gov_Estado_pos_Rev2007_Pasta2 2" xfId="1386" xr:uid="{00000000-0005-0000-0000-0000750B0000}"/>
    <cellStyle name="_PLPT_PLANILHA_CÁLCULO_DÉFICIT_RESOLUÇÃO_294_2007_COELCE_Sem_Gov_Estado_pos_Rev2007_Pasta2_02 IRT Bandeirante 2009" xfId="3259" xr:uid="{00000000-0005-0000-0000-0000760B0000}"/>
    <cellStyle name="_PLPT_PLANILHA_CÁLCULO_DÉFICIT_RESOLUÇÃO_294_2007_COELCE_Sem_Gov_Estado_pos_Rev2007_Pasta2_Balanço" xfId="482" xr:uid="{00000000-0005-0000-0000-0000770B0000}"/>
    <cellStyle name="_PLPT_PLANILHA_CÁLCULO_DÉFICIT_RESOLUÇÃO_294_2007_COELCE_Sem_Gov_Estado_pos_Rev2007_Pasta2_Balanço 2" xfId="1387" xr:uid="{00000000-0005-0000-0000-0000780B0000}"/>
    <cellStyle name="_PLPT_PLANILHA_CÁLCULO_DÉFICIT_RESOLUÇÃO_294_2007_COELCE_Sem_Gov_Estado_pos_Rev2007_Pasta2_casulo 15" xfId="483" xr:uid="{00000000-0005-0000-0000-0000790B0000}"/>
    <cellStyle name="_PLPT_PLANILHA_CÁLCULO_DÉFICIT_RESOLUÇÃO_294_2007_COELCE_Sem_Gov_Estado_pos_Rev2007_Pasta2_casulo 5" xfId="484" xr:uid="{00000000-0005-0000-0000-00007A0B0000}"/>
    <cellStyle name="_PLPT_PLANILHA_CÁLCULO_DÉFICIT_RESOLUÇÃO_294_2007_COELCE_Sem_Gov_Estado_pos_Rev2007_Pasta2_casulo 5 2" xfId="1388" xr:uid="{00000000-0005-0000-0000-00007B0B0000}"/>
    <cellStyle name="_PLPT_PLANILHA_CÁLCULO_DÉFICIT_RESOLUÇÃO_294_2007_COELCE_Sem_Gov_Estado_pos_Rev2007_Pasta2_casulo 5_Balanço" xfId="485" xr:uid="{00000000-0005-0000-0000-00007C0B0000}"/>
    <cellStyle name="_PLPT_PLANILHA_CÁLCULO_DÉFICIT_RESOLUÇÃO_294_2007_COELCE_Sem_Gov_Estado_pos_Rev2007_Pasta2_casulo 5_casulo 15" xfId="486" xr:uid="{00000000-0005-0000-0000-00007D0B0000}"/>
    <cellStyle name="_PLPT_PLANILHA_CÁLCULO_DÉFICIT_RESOLUÇÃO_294_2007_COELCE_Sem_Gov_Estado_pos_Rev2007_Pasta2_casulo 5_IRT EEB 2010" xfId="3260" xr:uid="{00000000-0005-0000-0000-00007E0B0000}"/>
    <cellStyle name="_PLPT_PLANILHA_CÁLCULO_DÉFICIT_RESOLUÇÃO_294_2007_COELCE_Sem_Gov_Estado_pos_Rev2007_Pasta2_IRT EEB 2010" xfId="3261" xr:uid="{00000000-0005-0000-0000-00007F0B0000}"/>
    <cellStyle name="_PLPT_PLANILHA_CÁLCULO_DÉFICIT_RESOLUÇÃO_294_2007_COELCE_Sem_Gov_Estado_pos_Rev2007_Pasta2_IRT Piratininga 2009" xfId="487" xr:uid="{00000000-0005-0000-0000-0000800B0000}"/>
    <cellStyle name="_PLPT_PLANILHA_CÁLCULO_DÉFICIT_RESOLUÇÃO_294_2007_COELCE_Sem_Gov_Estado_pos_Rev2007_Pasta2_IRT Piratininga 2009 2" xfId="1389" xr:uid="{00000000-0005-0000-0000-0000810B0000}"/>
    <cellStyle name="_PLPT_PLANILHA_CÁLCULO_DÉFICIT_RESOLUÇÃO_294_2007_COELCE_Sem_Gov_Estado_pos_Rev2007_Pasta2_IRT Piratininga 2009_Balanço" xfId="488" xr:uid="{00000000-0005-0000-0000-0000820B0000}"/>
    <cellStyle name="_PLPT_PLANILHA_CÁLCULO_DÉFICIT_RESOLUÇÃO_294_2007_COELCE_Sem_Gov_Estado_pos_Rev2007_Pasta2_IRT Piratininga 2009_casulo 15" xfId="489" xr:uid="{00000000-0005-0000-0000-0000830B0000}"/>
    <cellStyle name="_PLPT_PLANILHA_CÁLCULO_DÉFICIT_RESOLUÇÃO_294_2007_COELCE_Sem_Gov_Estado_pos_Rev2007_Pasta2_IRT Piratininga 2009_IRT EEB 2010" xfId="3262" xr:uid="{00000000-0005-0000-0000-0000840B0000}"/>
    <cellStyle name="_PLPT_PLANILHA_CÁLCULO_DÉFICIT_RESOLUÇÃO_294_2007_COELCE_Sem_Gov_Estado_pos_Rev2007_Pasta2_IRT_EBB_mai2010d" xfId="3263" xr:uid="{00000000-0005-0000-0000-0000850B0000}"/>
    <cellStyle name="_PLPT_PLANILHA_CÁLCULO_DÉFICIT_RESOLUÇÃO_294_2007_COELCE_Sem_Gov_Estado_pos_Rev2007_Pasta2_IRT_Planilha Básica_ CETRIL" xfId="490" xr:uid="{00000000-0005-0000-0000-0000860B0000}"/>
    <cellStyle name="_PLPT_PLANILHA_CÁLCULO_DÉFICIT_RESOLUÇÃO_294_2007_COELCE_Sem_Gov_Estado_pos_Rev2007_Pasta2_IRT_Planilha Básica_ CETRIL 2" xfId="1390" xr:uid="{00000000-0005-0000-0000-0000870B0000}"/>
    <cellStyle name="_PLPT_PLANILHA_CÁLCULO_DÉFICIT_RESOLUÇÃO_294_2007_COELCE_Sem_Gov_Estado_pos_Rev2007_Pasta2_IRT_Planilha Básica_ CETRIL_Balanço" xfId="491" xr:uid="{00000000-0005-0000-0000-0000880B0000}"/>
    <cellStyle name="_PLPT_PLANILHA_CÁLCULO_DÉFICIT_RESOLUÇÃO_294_2007_COELCE_Sem_Gov_Estado_pos_Rev2007_Pasta2_IRT_Planilha Básica_ CETRIL_casulo 15" xfId="492" xr:uid="{00000000-0005-0000-0000-0000890B0000}"/>
    <cellStyle name="_PLPT_PLANILHA_CÁLCULO_DÉFICIT_RESOLUÇÃO_294_2007_COELCE_Sem_Gov_Estado_pos_Rev2007_Pasta2_IRT_Planilha Básica_ CETRIL_IRT EEB 2010" xfId="3264" xr:uid="{00000000-0005-0000-0000-00008A0B0000}"/>
    <cellStyle name="_PLPT_PLANILHA_CÁLCULO_DÉFICIT_RESOLUÇÃO_294_2007_COELCE_Sem_Gov_Estado_pos_Rev2007_Pasta2_IRT_Planilha Básica_DIRETORIA" xfId="3265" xr:uid="{00000000-0005-0000-0000-00008B0B0000}"/>
    <cellStyle name="_PLPT_PLANILHA_CÁLCULO_DÉFICIT_RESOLUÇÃO_294_2007_COELCE_Sem_Gov_Estado_pos_Rev2007_Pasta2_IRT_Planilha Básica_fev2010" xfId="3266" xr:uid="{00000000-0005-0000-0000-00008C0B0000}"/>
    <cellStyle name="_PLPT_PLANILHA_CÁLCULO_DÉFICIT_RESOLUÇÃO_294_2007_COELCE_Sem_Gov_Estado_pos_Rev2007_Pasta2_IRT_Planilha Básica_fev2010a" xfId="493" xr:uid="{00000000-0005-0000-0000-00008D0B0000}"/>
    <cellStyle name="_PLPT_PLANILHA_CÁLCULO_DÉFICIT_RESOLUÇÃO_294_2007_COELCE_Sem_Gov_Estado_pos_Rev2007_Pasta2_IRT_Planilha Básica_fev2010a 2" xfId="1391" xr:uid="{00000000-0005-0000-0000-00008E0B0000}"/>
    <cellStyle name="_PLPT_PLANILHA_CÁLCULO_DÉFICIT_RESOLUÇÃO_294_2007_COELCE_Sem_Gov_Estado_pos_Rev2007_Pasta2_IRT_Planilha Básica_fev2010a_Balanço" xfId="494" xr:uid="{00000000-0005-0000-0000-00008F0B0000}"/>
    <cellStyle name="_PLPT_PLANILHA_CÁLCULO_DÉFICIT_RESOLUÇÃO_294_2007_COELCE_Sem_Gov_Estado_pos_Rev2007_Pasta2_IRT_Planilha Básica_fev2010a_Balanço 2" xfId="1392" xr:uid="{00000000-0005-0000-0000-0000900B0000}"/>
    <cellStyle name="_PLPT_PLANILHA_CÁLCULO_DÉFICIT_RESOLUÇÃO_294_2007_COELCE_Sem_Gov_Estado_pos_Rev2007_Pasta2_IRT_Planilha Básica_fev2010a_casulo 15" xfId="495" xr:uid="{00000000-0005-0000-0000-0000910B0000}"/>
    <cellStyle name="_PLPT_PLANILHA_CÁLCULO_DÉFICIT_RESOLUÇÃO_294_2007_COELCE_Sem_Gov_Estado_pos_Rev2007_Pasta2_IRT_Planilha Básica_fev2010a_casulo 5" xfId="496" xr:uid="{00000000-0005-0000-0000-0000920B0000}"/>
    <cellStyle name="_PLPT_PLANILHA_CÁLCULO_DÉFICIT_RESOLUÇÃO_294_2007_COELCE_Sem_Gov_Estado_pos_Rev2007_Pasta2_IRT_Planilha Básica_fev2010a_casulo 5 2" xfId="1393" xr:uid="{00000000-0005-0000-0000-0000930B0000}"/>
    <cellStyle name="_PLPT_PLANILHA_CÁLCULO_DÉFICIT_RESOLUÇÃO_294_2007_COELCE_Sem_Gov_Estado_pos_Rev2007_Pasta2_IRT_Planilha Básica_fev2010a_casulo 5_Balanço" xfId="497" xr:uid="{00000000-0005-0000-0000-0000940B0000}"/>
    <cellStyle name="_PLPT_PLANILHA_CÁLCULO_DÉFICIT_RESOLUÇÃO_294_2007_COELCE_Sem_Gov_Estado_pos_Rev2007_Pasta2_IRT_Planilha Básica_fev2010a_casulo 5_casulo 15" xfId="498" xr:uid="{00000000-0005-0000-0000-0000950B0000}"/>
    <cellStyle name="_PLPT_PLANILHA_CÁLCULO_DÉFICIT_RESOLUÇÃO_294_2007_COELCE_Sem_Gov_Estado_pos_Rev2007_Pasta2_IRT_Planilha Básica_fev2010a_casulo 5_IRT EEB 2010" xfId="3267" xr:uid="{00000000-0005-0000-0000-0000960B0000}"/>
    <cellStyle name="_PLPT_PLANILHA_CÁLCULO_DÉFICIT_RESOLUÇÃO_294_2007_COELCE_Sem_Gov_Estado_pos_Rev2007_Pasta2_IRT_Planilha Básica_fev2010a_IRT EEB 2010" xfId="3268" xr:uid="{00000000-0005-0000-0000-0000970B0000}"/>
    <cellStyle name="_PLPT_PLANILHA_CÁLCULO_DÉFICIT_RESOLUÇÃO_294_2007_COELCE_Sem_Gov_Estado_pos_Rev2007_Pasta2_IRT_Planilha Básica_jan2010" xfId="3269" xr:uid="{00000000-0005-0000-0000-0000980B0000}"/>
    <cellStyle name="_PLPT_PLANILHA_CÁLCULO_DÉFICIT_RESOLUÇÃO_294_2007_COELCE_Sem_Gov_Estado_pos_Rev2007_Pasta2_IRT_Planilha Básica_mar2010b" xfId="3270" xr:uid="{00000000-0005-0000-0000-0000990B0000}"/>
    <cellStyle name="_PLPT_PLANILHA_CÁLCULO_DÉFICIT_RESOLUÇÃO_294_2007_COELCE_Sem_Gov_Estado_pos_Rev2007_Pasta2_IRT_Planilha Básica_mar2010d" xfId="499" xr:uid="{00000000-0005-0000-0000-00009A0B0000}"/>
    <cellStyle name="_PLPT_PLANILHA_CÁLCULO_DÉFICIT_RESOLUÇÃO_294_2007_COELCE_Sem_Gov_Estado_pos_Rev2007_Pasta2_IRT_Planilha Básica_mar2010d 2" xfId="1394" xr:uid="{00000000-0005-0000-0000-00009B0B0000}"/>
    <cellStyle name="_PLPT_PLANILHA_CÁLCULO_DÉFICIT_RESOLUÇÃO_294_2007_COELCE_Sem_Gov_Estado_pos_Rev2007_Pasta2_IRT_Planilha Básica_NOVA METODOLOGIA" xfId="3271" xr:uid="{00000000-0005-0000-0000-00009C0B0000}"/>
    <cellStyle name="_PLPT_PLANILHA_CÁLCULO_DÉFICIT_RESOLUÇÃO_294_2007_COELCE_Sem_Gov_Estado_pos_Rev2007_Pasta2_IRT_Santa 2010" xfId="3272" xr:uid="{00000000-0005-0000-0000-00009D0B0000}"/>
    <cellStyle name="_PLPT_PLANILHA_CÁLCULO_DÉFICIT_RESOLUÇÃO_294_2007_COELCE_Sem_Gov_Estado_pos_Rev2007_Pasta2_IRT-cálculo" xfId="3273" xr:uid="{00000000-0005-0000-0000-00009E0B0000}"/>
    <cellStyle name="_PLPT_PLANILHA_CÁLCULO_DÉFICIT_RESOLUÇÃO_294_2007_COELCE_Sem_Gov_Estado_pos_Rev2007_Pasta2_IRT-cálculo CAPA NEUTRALIDADE" xfId="3274" xr:uid="{00000000-0005-0000-0000-00009F0B0000}"/>
    <cellStyle name="_PLPT_PLANILHA_CÁLCULO_DÉFICIT_RESOLUÇÃO_294_2007_COELCE_Sem_Gov_Estado_pos_Rev2007_Pasta2_Resultados_DEA_RND_QUAL_PERDAS" xfId="42539" xr:uid="{00000000-0005-0000-0000-0000A00B0000}"/>
    <cellStyle name="_PLPT_PLANILHA_CÁLCULO_DÉFICIT_RESOLUÇÃO_294_2007_COELCE_Sem_Gov_Estado_pos_Rev2007_Pasta2_teste ampla" xfId="500" xr:uid="{00000000-0005-0000-0000-0000A10B0000}"/>
    <cellStyle name="_PLPT_PLANILHA_CÁLCULO_DÉFICIT_RESOLUÇÃO_294_2007_COELCE_Sem_Gov_Estado_pos_Rev2007_Pasta2_teste ampla 2" xfId="1395" xr:uid="{00000000-0005-0000-0000-0000A20B0000}"/>
    <cellStyle name="_PLPT_PLANILHA_CÁLCULO_DÉFICIT_RESOLUÇÃO_294_2007_COELCE_Sem_Gov_Estado_pos_Rev2007_Pasta2_teste ampla_Balanço" xfId="501" xr:uid="{00000000-0005-0000-0000-0000A30B0000}"/>
    <cellStyle name="_PLPT_PLANILHA_CÁLCULO_DÉFICIT_RESOLUÇÃO_294_2007_COELCE_Sem_Gov_Estado_pos_Rev2007_Pasta2_teste ampla_Balanço 2" xfId="1396" xr:uid="{00000000-0005-0000-0000-0000A40B0000}"/>
    <cellStyle name="_PLPT_PLANILHA_CÁLCULO_DÉFICIT_RESOLUÇÃO_294_2007_COELCE_Sem_Gov_Estado_pos_Rev2007_Pasta2_teste ampla_casulo 15" xfId="502" xr:uid="{00000000-0005-0000-0000-0000A50B0000}"/>
    <cellStyle name="_PLPT_PLANILHA_CÁLCULO_DÉFICIT_RESOLUÇÃO_294_2007_COELCE_Sem_Gov_Estado_pos_Rev2007_Pasta2_teste ampla_casulo 5" xfId="503" xr:uid="{00000000-0005-0000-0000-0000A60B0000}"/>
    <cellStyle name="_PLPT_PLANILHA_CÁLCULO_DÉFICIT_RESOLUÇÃO_294_2007_COELCE_Sem_Gov_Estado_pos_Rev2007_Pasta2_teste ampla_casulo 5 2" xfId="1397" xr:uid="{00000000-0005-0000-0000-0000A70B0000}"/>
    <cellStyle name="_PLPT_PLANILHA_CÁLCULO_DÉFICIT_RESOLUÇÃO_294_2007_COELCE_Sem_Gov_Estado_pos_Rev2007_Pasta2_teste ampla_casulo 5_Balanço" xfId="504" xr:uid="{00000000-0005-0000-0000-0000A80B0000}"/>
    <cellStyle name="_PLPT_PLANILHA_CÁLCULO_DÉFICIT_RESOLUÇÃO_294_2007_COELCE_Sem_Gov_Estado_pos_Rev2007_Pasta2_teste ampla_casulo 5_casulo 15" xfId="505" xr:uid="{00000000-0005-0000-0000-0000A90B0000}"/>
    <cellStyle name="_PLPT_PLANILHA_CÁLCULO_DÉFICIT_RESOLUÇÃO_294_2007_COELCE_Sem_Gov_Estado_pos_Rev2007_Pasta2_teste ampla_casulo 5_IRT EEB 2010" xfId="3275" xr:uid="{00000000-0005-0000-0000-0000AA0B0000}"/>
    <cellStyle name="_PLPT_PLANILHA_CÁLCULO_DÉFICIT_RESOLUÇÃO_294_2007_COELCE_Sem_Gov_Estado_pos_Rev2007_Pasta2_teste ampla_IRT EEB 2010" xfId="3276" xr:uid="{00000000-0005-0000-0000-0000AB0B0000}"/>
    <cellStyle name="_PLPT_PLANILHA_CÁLCULO_DÉFICIT_RESOLUÇÃO_294_2007_COELCE_Sem_Gov_Estado_pos_Rev2007_Pleito_IRT_ESE_2010_Envio_ANEEL_Final_atualizado_05_04" xfId="3277" xr:uid="{00000000-0005-0000-0000-0000AC0B0000}"/>
    <cellStyle name="_PLPT_PLANILHA_CÁLCULO_DÉFICIT_RESOLUÇÃO_294_2007_COELCE_Sem_Gov_Estado_pos_Rev2007_Resultados_DEA_RND_QUAL_PERDAS" xfId="42540" xr:uid="{00000000-0005-0000-0000-0000AD0B0000}"/>
    <cellStyle name="_PLPT_PLANILHA_CÁLCULO_DÉFICIT_RESOLUÇÃO_294_2007_COELCE_Sem_Gov_Estado_pos_Rev2007_sobrecontratação 2009 v2" xfId="43227" xr:uid="{00000000-0005-0000-0000-0000AE0B0000}"/>
    <cellStyle name="_PLPT_PLANILHA_CÁLCULO_DÉFICIT_RESOLUÇÃO_294_2007_COELCE_Sem_Gov_Estado_pos_Rev2007_SOBRECONTRATAÇÃO E CVA Energisa Paraíba" xfId="3278" xr:uid="{00000000-0005-0000-0000-0000AF0B0000}"/>
    <cellStyle name="_PLPT_PLANILHA_CÁLCULO_DÉFICIT_RESOLUÇÃO_294_2007_COELCE_Sem_Gov_Estado_pos_Rev2007_SOBRECONTRATAÇÃO EPB 2010" xfId="3279" xr:uid="{00000000-0005-0000-0000-0000B00B0000}"/>
    <cellStyle name="_PLPT_PLANILHA_CÁLCULO_DÉFICIT_RESOLUÇÃO_294_2007_COELCE_Sem_Gov_Estado_pos_Rev2007_Sobrecontratação_e_CVA_Energia" xfId="3280" xr:uid="{00000000-0005-0000-0000-0000B10B0000}"/>
    <cellStyle name="_PLPT_PLANILHA_CÁLCULO_DÉFICIT_RESOLUÇÃO_294_2007_COELCE_Sem_Gov_Estado_pos_Rev2007_Sobrecontratação-CVAenergia_COSERN_IRT-2010_nova" xfId="1631" xr:uid="{00000000-0005-0000-0000-0000B20B0000}"/>
    <cellStyle name="_PLPT_PLANILHA_CÁLCULO_DÉFICIT_RESOLUÇÃO_294_2007_COELCE_Sem_Gov_Estado_pos_Rev2007_Subsídios para análise da SRE" xfId="506" xr:uid="{00000000-0005-0000-0000-0000B30B0000}"/>
    <cellStyle name="_PLPT_PLANILHA_CÁLCULO_DÉFICIT_RESOLUÇÃO_294_2007_COELCE_Sem_Gov_Estado_pos_Rev2007_Subsídios para análise da SRE 2" xfId="1398" xr:uid="{00000000-0005-0000-0000-0000B40B0000}"/>
    <cellStyle name="_PLPT_PLANILHA_CÁLCULO_DÉFICIT_RESOLUÇÃO_294_2007_COELCE_Sem_Gov_Estado_pos_Rev2007_Subsídios para análise da SRE_02 IRT Bandeirante 2009" xfId="3281" xr:uid="{00000000-0005-0000-0000-0000B50B0000}"/>
    <cellStyle name="_PLPT_PLANILHA_CÁLCULO_DÉFICIT_RESOLUÇÃO_294_2007_COELCE_Sem_Gov_Estado_pos_Rev2007_Subsídios para análise da SRE_1" xfId="3282" xr:uid="{00000000-0005-0000-0000-0000B60B0000}"/>
    <cellStyle name="_PLPT_PLANILHA_CÁLCULO_DÉFICIT_RESOLUÇÃO_294_2007_COELCE_Sem_Gov_Estado_pos_Rev2007_Subsídios para análise da SRE_Balanço" xfId="507" xr:uid="{00000000-0005-0000-0000-0000B70B0000}"/>
    <cellStyle name="_PLPT_PLANILHA_CÁLCULO_DÉFICIT_RESOLUÇÃO_294_2007_COELCE_Sem_Gov_Estado_pos_Rev2007_Subsídios para análise da SRE_Balanço 2" xfId="1399" xr:uid="{00000000-0005-0000-0000-0000B80B0000}"/>
    <cellStyle name="_PLPT_PLANILHA_CÁLCULO_DÉFICIT_RESOLUÇÃO_294_2007_COELCE_Sem_Gov_Estado_pos_Rev2007_Subsídios para análise da SRE_casulo 15" xfId="508" xr:uid="{00000000-0005-0000-0000-0000B90B0000}"/>
    <cellStyle name="_PLPT_PLANILHA_CÁLCULO_DÉFICIT_RESOLUÇÃO_294_2007_COELCE_Sem_Gov_Estado_pos_Rev2007_Subsídios para análise da SRE_casulo 5" xfId="509" xr:uid="{00000000-0005-0000-0000-0000BA0B0000}"/>
    <cellStyle name="_PLPT_PLANILHA_CÁLCULO_DÉFICIT_RESOLUÇÃO_294_2007_COELCE_Sem_Gov_Estado_pos_Rev2007_Subsídios para análise da SRE_casulo 5 2" xfId="1400" xr:uid="{00000000-0005-0000-0000-0000BB0B0000}"/>
    <cellStyle name="_PLPT_PLANILHA_CÁLCULO_DÉFICIT_RESOLUÇÃO_294_2007_COELCE_Sem_Gov_Estado_pos_Rev2007_Subsídios para análise da SRE_casulo 5_Balanço" xfId="510" xr:uid="{00000000-0005-0000-0000-0000BC0B0000}"/>
    <cellStyle name="_PLPT_PLANILHA_CÁLCULO_DÉFICIT_RESOLUÇÃO_294_2007_COELCE_Sem_Gov_Estado_pos_Rev2007_Subsídios para análise da SRE_casulo 5_casulo 15" xfId="511" xr:uid="{00000000-0005-0000-0000-0000BD0B0000}"/>
    <cellStyle name="_PLPT_PLANILHA_CÁLCULO_DÉFICIT_RESOLUÇÃO_294_2007_COELCE_Sem_Gov_Estado_pos_Rev2007_Subsídios para análise da SRE_casulo 5_IRT EEB 2010" xfId="3283" xr:uid="{00000000-0005-0000-0000-0000BE0B0000}"/>
    <cellStyle name="_PLPT_PLANILHA_CÁLCULO_DÉFICIT_RESOLUÇÃO_294_2007_COELCE_Sem_Gov_Estado_pos_Rev2007_Subsídios para análise da SRE_IRT EEB 2010" xfId="3284" xr:uid="{00000000-0005-0000-0000-0000BF0B0000}"/>
    <cellStyle name="_PLPT_PLANILHA_CÁLCULO_DÉFICIT_RESOLUÇÃO_294_2007_COELCE_Sem_Gov_Estado_pos_Rev2007_Subsídios para análise da SRE_IRT Piratininga 2009" xfId="512" xr:uid="{00000000-0005-0000-0000-0000C00B0000}"/>
    <cellStyle name="_PLPT_PLANILHA_CÁLCULO_DÉFICIT_RESOLUÇÃO_294_2007_COELCE_Sem_Gov_Estado_pos_Rev2007_Subsídios para análise da SRE_IRT Piratininga 2009 2" xfId="1401" xr:uid="{00000000-0005-0000-0000-0000C10B0000}"/>
    <cellStyle name="_PLPT_PLANILHA_CÁLCULO_DÉFICIT_RESOLUÇÃO_294_2007_COELCE_Sem_Gov_Estado_pos_Rev2007_Subsídios para análise da SRE_IRT Piratininga 2009_Balanço" xfId="513" xr:uid="{00000000-0005-0000-0000-0000C20B0000}"/>
    <cellStyle name="_PLPT_PLANILHA_CÁLCULO_DÉFICIT_RESOLUÇÃO_294_2007_COELCE_Sem_Gov_Estado_pos_Rev2007_Subsídios para análise da SRE_IRT Piratininga 2009_casulo 15" xfId="514" xr:uid="{00000000-0005-0000-0000-0000C30B0000}"/>
    <cellStyle name="_PLPT_PLANILHA_CÁLCULO_DÉFICIT_RESOLUÇÃO_294_2007_COELCE_Sem_Gov_Estado_pos_Rev2007_Subsídios para análise da SRE_IRT Piratininga 2009_IRT EEB 2010" xfId="3285" xr:uid="{00000000-0005-0000-0000-0000C40B0000}"/>
    <cellStyle name="_PLPT_PLANILHA_CÁLCULO_DÉFICIT_RESOLUÇÃO_294_2007_COELCE_Sem_Gov_Estado_pos_Rev2007_Subsídios para análise da SRE_IRT_EBB_mai2010d" xfId="3286" xr:uid="{00000000-0005-0000-0000-0000C50B0000}"/>
    <cellStyle name="_PLPT_PLANILHA_CÁLCULO_DÉFICIT_RESOLUÇÃO_294_2007_COELCE_Sem_Gov_Estado_pos_Rev2007_Subsídios para análise da SRE_IRT_Planilha Básica_ CETRIL" xfId="515" xr:uid="{00000000-0005-0000-0000-0000C60B0000}"/>
    <cellStyle name="_PLPT_PLANILHA_CÁLCULO_DÉFICIT_RESOLUÇÃO_294_2007_COELCE_Sem_Gov_Estado_pos_Rev2007_Subsídios para análise da SRE_IRT_Planilha Básica_ CETRIL 2" xfId="1402" xr:uid="{00000000-0005-0000-0000-0000C70B0000}"/>
    <cellStyle name="_PLPT_PLANILHA_CÁLCULO_DÉFICIT_RESOLUÇÃO_294_2007_COELCE_Sem_Gov_Estado_pos_Rev2007_Subsídios para análise da SRE_IRT_Planilha Básica_ CETRIL_Balanço" xfId="516" xr:uid="{00000000-0005-0000-0000-0000C80B0000}"/>
    <cellStyle name="_PLPT_PLANILHA_CÁLCULO_DÉFICIT_RESOLUÇÃO_294_2007_COELCE_Sem_Gov_Estado_pos_Rev2007_Subsídios para análise da SRE_IRT_Planilha Básica_ CETRIL_casulo 15" xfId="517" xr:uid="{00000000-0005-0000-0000-0000C90B0000}"/>
    <cellStyle name="_PLPT_PLANILHA_CÁLCULO_DÉFICIT_RESOLUÇÃO_294_2007_COELCE_Sem_Gov_Estado_pos_Rev2007_Subsídios para análise da SRE_IRT_Planilha Básica_ CETRIL_IRT EEB 2010" xfId="3287" xr:uid="{00000000-0005-0000-0000-0000CA0B0000}"/>
    <cellStyle name="_PLPT_PLANILHA_CÁLCULO_DÉFICIT_RESOLUÇÃO_294_2007_COELCE_Sem_Gov_Estado_pos_Rev2007_Subsídios para análise da SRE_IRT_Planilha Básica_DIRETORIA" xfId="3288" xr:uid="{00000000-0005-0000-0000-0000CB0B0000}"/>
    <cellStyle name="_PLPT_PLANILHA_CÁLCULO_DÉFICIT_RESOLUÇÃO_294_2007_COELCE_Sem_Gov_Estado_pos_Rev2007_Subsídios para análise da SRE_IRT_Planilha Básica_fev2010" xfId="3289" xr:uid="{00000000-0005-0000-0000-0000CC0B0000}"/>
    <cellStyle name="_PLPT_PLANILHA_CÁLCULO_DÉFICIT_RESOLUÇÃO_294_2007_COELCE_Sem_Gov_Estado_pos_Rev2007_Subsídios para análise da SRE_IRT_Planilha Básica_fev2010a" xfId="518" xr:uid="{00000000-0005-0000-0000-0000CD0B0000}"/>
    <cellStyle name="_PLPT_PLANILHA_CÁLCULO_DÉFICIT_RESOLUÇÃO_294_2007_COELCE_Sem_Gov_Estado_pos_Rev2007_Subsídios para análise da SRE_IRT_Planilha Básica_fev2010a 2" xfId="1403" xr:uid="{00000000-0005-0000-0000-0000CE0B0000}"/>
    <cellStyle name="_PLPT_PLANILHA_CÁLCULO_DÉFICIT_RESOLUÇÃO_294_2007_COELCE_Sem_Gov_Estado_pos_Rev2007_Subsídios para análise da SRE_IRT_Planilha Básica_fev2010a_Balanço" xfId="519" xr:uid="{00000000-0005-0000-0000-0000CF0B0000}"/>
    <cellStyle name="_PLPT_PLANILHA_CÁLCULO_DÉFICIT_RESOLUÇÃO_294_2007_COELCE_Sem_Gov_Estado_pos_Rev2007_Subsídios para análise da SRE_IRT_Planilha Básica_fev2010a_Balanço 2" xfId="1404" xr:uid="{00000000-0005-0000-0000-0000D00B0000}"/>
    <cellStyle name="_PLPT_PLANILHA_CÁLCULO_DÉFICIT_RESOLUÇÃO_294_2007_COELCE_Sem_Gov_Estado_pos_Rev2007_Subsídios para análise da SRE_IRT_Planilha Básica_fev2010a_casulo 15" xfId="520" xr:uid="{00000000-0005-0000-0000-0000D10B0000}"/>
    <cellStyle name="_PLPT_PLANILHA_CÁLCULO_DÉFICIT_RESOLUÇÃO_294_2007_COELCE_Sem_Gov_Estado_pos_Rev2007_Subsídios para análise da SRE_IRT_Planilha Básica_fev2010a_casulo 5" xfId="521" xr:uid="{00000000-0005-0000-0000-0000D20B0000}"/>
    <cellStyle name="_PLPT_PLANILHA_CÁLCULO_DÉFICIT_RESOLUÇÃO_294_2007_COELCE_Sem_Gov_Estado_pos_Rev2007_Subsídios para análise da SRE_IRT_Planilha Básica_fev2010a_casulo 5 2" xfId="1405" xr:uid="{00000000-0005-0000-0000-0000D30B0000}"/>
    <cellStyle name="_PLPT_PLANILHA_CÁLCULO_DÉFICIT_RESOLUÇÃO_294_2007_COELCE_Sem_Gov_Estado_pos_Rev2007_Subsídios para análise da SRE_IRT_Planilha Básica_fev2010a_casulo 5_Balanço" xfId="522" xr:uid="{00000000-0005-0000-0000-0000D40B0000}"/>
    <cellStyle name="_PLPT_PLANILHA_CÁLCULO_DÉFICIT_RESOLUÇÃO_294_2007_COELCE_Sem_Gov_Estado_pos_Rev2007_Subsídios para análise da SRE_IRT_Planilha Básica_fev2010a_casulo 5_casulo 15" xfId="523" xr:uid="{00000000-0005-0000-0000-0000D50B0000}"/>
    <cellStyle name="_PLPT_PLANILHA_CÁLCULO_DÉFICIT_RESOLUÇÃO_294_2007_COELCE_Sem_Gov_Estado_pos_Rev2007_Subsídios para análise da SRE_IRT_Planilha Básica_fev2010a_casulo 5_IRT EEB 2010" xfId="3290" xr:uid="{00000000-0005-0000-0000-0000D60B0000}"/>
    <cellStyle name="_PLPT_PLANILHA_CÁLCULO_DÉFICIT_RESOLUÇÃO_294_2007_COELCE_Sem_Gov_Estado_pos_Rev2007_Subsídios para análise da SRE_IRT_Planilha Básica_fev2010a_IRT EEB 2010" xfId="3291" xr:uid="{00000000-0005-0000-0000-0000D70B0000}"/>
    <cellStyle name="_PLPT_PLANILHA_CÁLCULO_DÉFICIT_RESOLUÇÃO_294_2007_COELCE_Sem_Gov_Estado_pos_Rev2007_Subsídios para análise da SRE_IRT_Planilha Básica_jan2010" xfId="3292" xr:uid="{00000000-0005-0000-0000-0000D80B0000}"/>
    <cellStyle name="_PLPT_PLANILHA_CÁLCULO_DÉFICIT_RESOLUÇÃO_294_2007_COELCE_Sem_Gov_Estado_pos_Rev2007_Subsídios para análise da SRE_IRT_Planilha Básica_mar2010b" xfId="3293" xr:uid="{00000000-0005-0000-0000-0000D90B0000}"/>
    <cellStyle name="_PLPT_PLANILHA_CÁLCULO_DÉFICIT_RESOLUÇÃO_294_2007_COELCE_Sem_Gov_Estado_pos_Rev2007_Subsídios para análise da SRE_IRT_Planilha Básica_mar2010d" xfId="524" xr:uid="{00000000-0005-0000-0000-0000DA0B0000}"/>
    <cellStyle name="_PLPT_PLANILHA_CÁLCULO_DÉFICIT_RESOLUÇÃO_294_2007_COELCE_Sem_Gov_Estado_pos_Rev2007_Subsídios para análise da SRE_IRT_Planilha Básica_mar2010d 2" xfId="1406" xr:uid="{00000000-0005-0000-0000-0000DB0B0000}"/>
    <cellStyle name="_PLPT_PLANILHA_CÁLCULO_DÉFICIT_RESOLUÇÃO_294_2007_COELCE_Sem_Gov_Estado_pos_Rev2007_Subsídios para análise da SRE_IRT_Planilha Básica_NOVA METODOLOGIA" xfId="3294" xr:uid="{00000000-0005-0000-0000-0000DC0B0000}"/>
    <cellStyle name="_PLPT_PLANILHA_CÁLCULO_DÉFICIT_RESOLUÇÃO_294_2007_COELCE_Sem_Gov_Estado_pos_Rev2007_Subsídios para análise da SRE_IRT_Santa 2010" xfId="3295" xr:uid="{00000000-0005-0000-0000-0000DD0B0000}"/>
    <cellStyle name="_PLPT_PLANILHA_CÁLCULO_DÉFICIT_RESOLUÇÃO_294_2007_COELCE_Sem_Gov_Estado_pos_Rev2007_Subsídios para análise da SRE_IRT-cálculo" xfId="3296" xr:uid="{00000000-0005-0000-0000-0000DE0B0000}"/>
    <cellStyle name="_PLPT_PLANILHA_CÁLCULO_DÉFICIT_RESOLUÇÃO_294_2007_COELCE_Sem_Gov_Estado_pos_Rev2007_Subsídios para análise da SRE_IRT-cálculo CAPA NEUTRALIDADE" xfId="3297" xr:uid="{00000000-0005-0000-0000-0000DF0B0000}"/>
    <cellStyle name="_PLPT_PLANILHA_CÁLCULO_DÉFICIT_RESOLUÇÃO_294_2007_COELCE_Sem_Gov_Estado_pos_Rev2007_Subsídios para análise da SRE_Resultados_DEA_RND_QUAL_PERDAS" xfId="42541" xr:uid="{00000000-0005-0000-0000-0000E00B0000}"/>
    <cellStyle name="_PLPT_PLANILHA_CÁLCULO_DÉFICIT_RESOLUÇÃO_294_2007_COELCE_Sem_Gov_Estado_pos_Rev2007_Subsídios para análise da SRE_teste ampla" xfId="525" xr:uid="{00000000-0005-0000-0000-0000E10B0000}"/>
    <cellStyle name="_PLPT_PLANILHA_CÁLCULO_DÉFICIT_RESOLUÇÃO_294_2007_COELCE_Sem_Gov_Estado_pos_Rev2007_Subsídios para análise da SRE_teste ampla 2" xfId="1407" xr:uid="{00000000-0005-0000-0000-0000E20B0000}"/>
    <cellStyle name="_PLPT_PLANILHA_CÁLCULO_DÉFICIT_RESOLUÇÃO_294_2007_COELCE_Sem_Gov_Estado_pos_Rev2007_Subsídios para análise da SRE_teste ampla_Balanço" xfId="526" xr:uid="{00000000-0005-0000-0000-0000E30B0000}"/>
    <cellStyle name="_PLPT_PLANILHA_CÁLCULO_DÉFICIT_RESOLUÇÃO_294_2007_COELCE_Sem_Gov_Estado_pos_Rev2007_Subsídios para análise da SRE_teste ampla_Balanço 2" xfId="1408" xr:uid="{00000000-0005-0000-0000-0000E40B0000}"/>
    <cellStyle name="_PLPT_PLANILHA_CÁLCULO_DÉFICIT_RESOLUÇÃO_294_2007_COELCE_Sem_Gov_Estado_pos_Rev2007_Subsídios para análise da SRE_teste ampla_casulo 15" xfId="527" xr:uid="{00000000-0005-0000-0000-0000E50B0000}"/>
    <cellStyle name="_PLPT_PLANILHA_CÁLCULO_DÉFICIT_RESOLUÇÃO_294_2007_COELCE_Sem_Gov_Estado_pos_Rev2007_Subsídios para análise da SRE_teste ampla_casulo 5" xfId="528" xr:uid="{00000000-0005-0000-0000-0000E60B0000}"/>
    <cellStyle name="_PLPT_PLANILHA_CÁLCULO_DÉFICIT_RESOLUÇÃO_294_2007_COELCE_Sem_Gov_Estado_pos_Rev2007_Subsídios para análise da SRE_teste ampla_casulo 5 2" xfId="1409" xr:uid="{00000000-0005-0000-0000-0000E70B0000}"/>
    <cellStyle name="_PLPT_PLANILHA_CÁLCULO_DÉFICIT_RESOLUÇÃO_294_2007_COELCE_Sem_Gov_Estado_pos_Rev2007_Subsídios para análise da SRE_teste ampla_casulo 5_Balanço" xfId="529" xr:uid="{00000000-0005-0000-0000-0000E80B0000}"/>
    <cellStyle name="_PLPT_PLANILHA_CÁLCULO_DÉFICIT_RESOLUÇÃO_294_2007_COELCE_Sem_Gov_Estado_pos_Rev2007_Subsídios para análise da SRE_teste ampla_casulo 5_casulo 15" xfId="530" xr:uid="{00000000-0005-0000-0000-0000E90B0000}"/>
    <cellStyle name="_PLPT_PLANILHA_CÁLCULO_DÉFICIT_RESOLUÇÃO_294_2007_COELCE_Sem_Gov_Estado_pos_Rev2007_Subsídios para análise da SRE_teste ampla_casulo 5_IRT EEB 2010" xfId="3298" xr:uid="{00000000-0005-0000-0000-0000EA0B0000}"/>
    <cellStyle name="_PLPT_PLANILHA_CÁLCULO_DÉFICIT_RESOLUÇÃO_294_2007_COELCE_Sem_Gov_Estado_pos_Rev2007_Subsídios para análise da SRE_teste ampla_IRT EEB 2010" xfId="3299" xr:uid="{00000000-0005-0000-0000-0000EB0B0000}"/>
    <cellStyle name="_PLPT_PLANILHA_CÁLCULO_DÉFICIT_RESOLUÇÃO_294_2007_COELCE_Sem_Gov_Estado_pos_Rev2007_SubsídiosAnáliseSRE_COSERN_IRT-2010" xfId="1632" xr:uid="{00000000-0005-0000-0000-0000EC0B0000}"/>
    <cellStyle name="_PLPT_PLANILHA_CÁLCULO_DÉFICIT_RESOLUÇÃO_294_2007_COELCE_Sem_Gov_Estado_pos_Rev2007_teste ampla" xfId="531" xr:uid="{00000000-0005-0000-0000-0000ED0B0000}"/>
    <cellStyle name="_PLPT_PLANILHA_CÁLCULO_DÉFICIT_RESOLUÇÃO_294_2007_COELCE_Sem_Gov_Estado_pos_Rev2007_teste ampla 2" xfId="1410" xr:uid="{00000000-0005-0000-0000-0000EE0B0000}"/>
    <cellStyle name="_PLPT_PLANILHA_CÁLCULO_DÉFICIT_RESOLUÇÃO_294_2007_COELCE_Sem_Gov_Estado_pos_Rev2007_teste ampla_Balanço" xfId="532" xr:uid="{00000000-0005-0000-0000-0000EF0B0000}"/>
    <cellStyle name="_PLPT_PLANILHA_CÁLCULO_DÉFICIT_RESOLUÇÃO_294_2007_COELCE_Sem_Gov_Estado_pos_Rev2007_teste ampla_Balanço 2" xfId="1411" xr:uid="{00000000-0005-0000-0000-0000F00B0000}"/>
    <cellStyle name="_PLPT_PLANILHA_CÁLCULO_DÉFICIT_RESOLUÇÃO_294_2007_COELCE_Sem_Gov_Estado_pos_Rev2007_teste ampla_casulo 15" xfId="533" xr:uid="{00000000-0005-0000-0000-0000F10B0000}"/>
    <cellStyle name="_PLPT_PLANILHA_CÁLCULO_DÉFICIT_RESOLUÇÃO_294_2007_COELCE_Sem_Gov_Estado_pos_Rev2007_teste ampla_casulo 5" xfId="534" xr:uid="{00000000-0005-0000-0000-0000F20B0000}"/>
    <cellStyle name="_PLPT_PLANILHA_CÁLCULO_DÉFICIT_RESOLUÇÃO_294_2007_COELCE_Sem_Gov_Estado_pos_Rev2007_teste ampla_casulo 5 2" xfId="1412" xr:uid="{00000000-0005-0000-0000-0000F30B0000}"/>
    <cellStyle name="_PLPT_PLANILHA_CÁLCULO_DÉFICIT_RESOLUÇÃO_294_2007_COELCE_Sem_Gov_Estado_pos_Rev2007_teste ampla_casulo 5_Balanço" xfId="535" xr:uid="{00000000-0005-0000-0000-0000F40B0000}"/>
    <cellStyle name="_PLPT_PLANILHA_CÁLCULO_DÉFICIT_RESOLUÇÃO_294_2007_COELCE_Sem_Gov_Estado_pos_Rev2007_teste ampla_casulo 5_casulo 15" xfId="536" xr:uid="{00000000-0005-0000-0000-0000F50B0000}"/>
    <cellStyle name="_PLPT_PLANILHA_CÁLCULO_DÉFICIT_RESOLUÇÃO_294_2007_COELCE_Sem_Gov_Estado_pos_Rev2007_teste ampla_casulo 5_IRT EEB 2010" xfId="3300" xr:uid="{00000000-0005-0000-0000-0000F60B0000}"/>
    <cellStyle name="_PLPT_PLANILHA_CÁLCULO_DÉFICIT_RESOLUÇÃO_294_2007_COELCE_Sem_Gov_Estado_pos_Rev2007_teste ampla_IRT EEB 2010" xfId="3301" xr:uid="{00000000-0005-0000-0000-0000F70B0000}"/>
    <cellStyle name="_PLPT_PLANILHA_CÁLCULO_DÉFICIT_RESOLUÇÃO_294_2007_COELCE_Sem_Gov_Estado-Ate_Rev2007" xfId="537" xr:uid="{00000000-0005-0000-0000-0000F80B0000}"/>
    <cellStyle name="_PLPT_PLANILHA_CÁLCULO_DÉFICIT_RESOLUÇÃO_294_2007_COELCE_Sem_Gov_Estado-Ate_Rev2007 2" xfId="1413" xr:uid="{00000000-0005-0000-0000-0000F90B0000}"/>
    <cellStyle name="_PLPT_PLANILHA_CÁLCULO_DÉFICIT_RESOLUÇÃO_294_2007_COELCE_Sem_Gov_Estado-Ate_Rev2007 3" xfId="3302" xr:uid="{00000000-0005-0000-0000-0000FA0B0000}"/>
    <cellStyle name="_PLPT_PLANILHA_CÁLCULO_DÉFICIT_RESOLUÇÃO_294_2007_COELCE_Sem_Gov_Estado-Ate_Rev2007_02 IRT COSERN 2009" xfId="1633" xr:uid="{00000000-0005-0000-0000-0000FB0B0000}"/>
    <cellStyle name="_PLPT_PLANILHA_CÁLCULO_DÉFICIT_RESOLUÇÃO_294_2007_COELCE_Sem_Gov_Estado-Ate_Rev2007_2008.08.07 CELPA IRT2008 Homologado" xfId="3303" xr:uid="{00000000-0005-0000-0000-0000FC0B0000}"/>
    <cellStyle name="_PLPT_PLANILHA_CÁLCULO_DÉFICIT_RESOLUÇÃO_294_2007_COELCE_Sem_Gov_Estado-Ate_Rev2007_Ajustes REAJUSTE 2008 ELETROPAULO" xfId="3304" xr:uid="{00000000-0005-0000-0000-0000FD0B0000}"/>
    <cellStyle name="_PLPT_PLANILHA_CÁLCULO_DÉFICIT_RESOLUÇÃO_294_2007_COELCE_Sem_Gov_Estado-Ate_Rev2007_Ajustes REAJUSTE 2008 ELETROPAULO_IRT-cálculo" xfId="3305" xr:uid="{00000000-0005-0000-0000-0000FE0B0000}"/>
    <cellStyle name="_PLPT_PLANILHA_CÁLCULO_DÉFICIT_RESOLUÇÃO_294_2007_COELCE_Sem_Gov_Estado-Ate_Rev2007_Ajustes REAJUSTE 2008 ELETROPAULO_IRT-cálculo CAPA NEUTRALIDADE" xfId="3306" xr:uid="{00000000-0005-0000-0000-0000FF0B0000}"/>
    <cellStyle name="_PLPT_PLANILHA_CÁLCULO_DÉFICIT_RESOLUÇÃO_294_2007_COELCE_Sem_Gov_Estado-Ate_Rev2007_Ajustes REVISÃO 2007 ELETROPAULO" xfId="3307" xr:uid="{00000000-0005-0000-0000-0000000C0000}"/>
    <cellStyle name="_PLPT_PLANILHA_CÁLCULO_DÉFICIT_RESOLUÇÃO_294_2007_COELCE_Sem_Gov_Estado-Ate_Rev2007_Ajustes REVISÃO 2007 ELETROPAULO_IRT-cálculo" xfId="3308" xr:uid="{00000000-0005-0000-0000-0000010C0000}"/>
    <cellStyle name="_PLPT_PLANILHA_CÁLCULO_DÉFICIT_RESOLUÇÃO_294_2007_COELCE_Sem_Gov_Estado-Ate_Rev2007_Ajustes REVISÃO 2007 ELETROPAULO_IRT-cálculo CAPA NEUTRALIDADE" xfId="3309" xr:uid="{00000000-0005-0000-0000-0000020C0000}"/>
    <cellStyle name="_PLPT_PLANILHA_CÁLCULO_DÉFICIT_RESOLUÇÃO_294_2007_COELCE_Sem_Gov_Estado-Ate_Rev2007_atualização serviços taxados" xfId="43228" xr:uid="{00000000-0005-0000-0000-0000030C0000}"/>
    <cellStyle name="_PLPT_PLANILHA_CÁLCULO_DÉFICIT_RESOLUÇÃO_294_2007_COELCE_Sem_Gov_Estado-Ate_Rev2007_Balanço" xfId="538" xr:uid="{00000000-0005-0000-0000-0000040C0000}"/>
    <cellStyle name="_PLPT_PLANILHA_CÁLCULO_DÉFICIT_RESOLUÇÃO_294_2007_COELCE_Sem_Gov_Estado-Ate_Rev2007_Balanço 2" xfId="1414" xr:uid="{00000000-0005-0000-0000-0000050C0000}"/>
    <cellStyle name="_PLPT_PLANILHA_CÁLCULO_DÉFICIT_RESOLUÇÃO_294_2007_COELCE_Sem_Gov_Estado-Ate_Rev2007_Calculo_Subsidio_ELFSM_26_06_08_Modelo_ANEEL" xfId="3310" xr:uid="{00000000-0005-0000-0000-0000060C0000}"/>
    <cellStyle name="_PLPT_PLANILHA_CÁLCULO_DÉFICIT_RESOLUÇÃO_294_2007_COELCE_Sem_Gov_Estado-Ate_Rev2007_Calculo_Subsidio_ELFSM_26_06_08_Modelo_ANEEL_IRT-cálculo" xfId="3311" xr:uid="{00000000-0005-0000-0000-0000070C0000}"/>
    <cellStyle name="_PLPT_PLANILHA_CÁLCULO_DÉFICIT_RESOLUÇÃO_294_2007_COELCE_Sem_Gov_Estado-Ate_Rev2007_Calculo_Subsidio_ELFSM_26_06_08_Modelo_ANEEL_IRT-cálculo CAPA NEUTRALIDADE" xfId="3312" xr:uid="{00000000-0005-0000-0000-0000080C0000}"/>
    <cellStyle name="_PLPT_PLANILHA_CÁLCULO_DÉFICIT_RESOLUÇÃO_294_2007_COELCE_Sem_Gov_Estado-Ate_Rev2007_casulo 15" xfId="539" xr:uid="{00000000-0005-0000-0000-0000090C0000}"/>
    <cellStyle name="_PLPT_PLANILHA_CÁLCULO_DÉFICIT_RESOLUÇÃO_294_2007_COELCE_Sem_Gov_Estado-Ate_Rev2007_casulo 5" xfId="540" xr:uid="{00000000-0005-0000-0000-00000A0C0000}"/>
    <cellStyle name="_PLPT_PLANILHA_CÁLCULO_DÉFICIT_RESOLUÇÃO_294_2007_COELCE_Sem_Gov_Estado-Ate_Rev2007_casulo 5 2" xfId="1415" xr:uid="{00000000-0005-0000-0000-00000B0C0000}"/>
    <cellStyle name="_PLPT_PLANILHA_CÁLCULO_DÉFICIT_RESOLUÇÃO_294_2007_COELCE_Sem_Gov_Estado-Ate_Rev2007_casulo 5_Balanço" xfId="541" xr:uid="{00000000-0005-0000-0000-00000C0C0000}"/>
    <cellStyle name="_PLPT_PLANILHA_CÁLCULO_DÉFICIT_RESOLUÇÃO_294_2007_COELCE_Sem_Gov_Estado-Ate_Rev2007_casulo 5_casulo 15" xfId="542" xr:uid="{00000000-0005-0000-0000-00000D0C0000}"/>
    <cellStyle name="_PLPT_PLANILHA_CÁLCULO_DÉFICIT_RESOLUÇÃO_294_2007_COELCE_Sem_Gov_Estado-Ate_Rev2007_casulo 5_IRT EEB 2010" xfId="3313" xr:uid="{00000000-0005-0000-0000-00000E0C0000}"/>
    <cellStyle name="_PLPT_PLANILHA_CÁLCULO_DÉFICIT_RESOLUÇÃO_294_2007_COELCE_Sem_Gov_Estado-Ate_Rev2007_COELCE - Balanço de Energia - Reajuste 2009 - 02 02 2009" xfId="43229" xr:uid="{00000000-0005-0000-0000-00000F0C0000}"/>
    <cellStyle name="_PLPT_PLANILHA_CÁLCULO_DÉFICIT_RESOLUÇÃO_294_2007_COELCE_Sem_Gov_Estado-Ate_Rev2007_COELCE - Compensação CVA Ano Anterior" xfId="43230" xr:uid="{00000000-0005-0000-0000-0000100C0000}"/>
    <cellStyle name="_PLPT_PLANILHA_CÁLCULO_DÉFICIT_RESOLUÇÃO_294_2007_COELCE_Sem_Gov_Estado-Ate_Rev2007_Compensação CVA Ano Anterior" xfId="43231" xr:uid="{00000000-0005-0000-0000-0000110C0000}"/>
    <cellStyle name="_PLPT_PLANILHA_CÁLCULO_DÉFICIT_RESOLUÇÃO_294_2007_COELCE_Sem_Gov_Estado-Ate_Rev2007_Cópia de IRT_CPFL_LESTE_PAULISTA(CPEE)_fev2009-COM_PREVISÃO_BR_da_Diretoria_pos_IGPM" xfId="543" xr:uid="{00000000-0005-0000-0000-0000120C0000}"/>
    <cellStyle name="_PLPT_PLANILHA_CÁLCULO_DÉFICIT_RESOLUÇÃO_294_2007_COELCE_Sem_Gov_Estado-Ate_Rev2007_Cópia de IRT_CPFL_LESTE_PAULISTA(CPEE)_fev2009-COM_PREVISÃO_BR_da_Diretoria_pos_IGPM 2" xfId="1416" xr:uid="{00000000-0005-0000-0000-0000130C0000}"/>
    <cellStyle name="_PLPT_PLANILHA_CÁLCULO_DÉFICIT_RESOLUÇÃO_294_2007_COELCE_Sem_Gov_Estado-Ate_Rev2007_Cópia de IRT_CPFL_LESTE_PAULISTA(CPEE)_fev2009-COM_PREVISÃO_BR_da_Diretoria_pos_IGPM_Balanço" xfId="544" xr:uid="{00000000-0005-0000-0000-0000140C0000}"/>
    <cellStyle name="_PLPT_PLANILHA_CÁLCULO_DÉFICIT_RESOLUÇÃO_294_2007_COELCE_Sem_Gov_Estado-Ate_Rev2007_Cópia de IRT_CPFL_LESTE_PAULISTA(CPEE)_fev2009-COM_PREVISÃO_BR_da_Diretoria_pos_IGPM_Balanço 2" xfId="1417" xr:uid="{00000000-0005-0000-0000-0000150C0000}"/>
    <cellStyle name="_PLPT_PLANILHA_CÁLCULO_DÉFICIT_RESOLUÇÃO_294_2007_COELCE_Sem_Gov_Estado-Ate_Rev2007_Cópia de IRT_CPFL_LESTE_PAULISTA(CPEE)_fev2009-COM_PREVISÃO_BR_da_Diretoria_pos_IGPM_casulo 15" xfId="545" xr:uid="{00000000-0005-0000-0000-0000160C0000}"/>
    <cellStyle name="_PLPT_PLANILHA_CÁLCULO_DÉFICIT_RESOLUÇÃO_294_2007_COELCE_Sem_Gov_Estado-Ate_Rev2007_Cópia de IRT_CPFL_LESTE_PAULISTA(CPEE)_fev2009-COM_PREVISÃO_BR_da_Diretoria_pos_IGPM_casulo 5" xfId="546" xr:uid="{00000000-0005-0000-0000-0000170C0000}"/>
    <cellStyle name="_PLPT_PLANILHA_CÁLCULO_DÉFICIT_RESOLUÇÃO_294_2007_COELCE_Sem_Gov_Estado-Ate_Rev2007_Cópia de IRT_CPFL_LESTE_PAULISTA(CPEE)_fev2009-COM_PREVISÃO_BR_da_Diretoria_pos_IGPM_casulo 5 2" xfId="1418" xr:uid="{00000000-0005-0000-0000-0000180C0000}"/>
    <cellStyle name="_PLPT_PLANILHA_CÁLCULO_DÉFICIT_RESOLUÇÃO_294_2007_COELCE_Sem_Gov_Estado-Ate_Rev2007_Cópia de IRT_CPFL_LESTE_PAULISTA(CPEE)_fev2009-COM_PREVISÃO_BR_da_Diretoria_pos_IGPM_casulo 5_Balanço" xfId="547" xr:uid="{00000000-0005-0000-0000-0000190C0000}"/>
    <cellStyle name="_PLPT_PLANILHA_CÁLCULO_DÉFICIT_RESOLUÇÃO_294_2007_COELCE_Sem_Gov_Estado-Ate_Rev2007_Cópia de IRT_CPFL_LESTE_PAULISTA(CPEE)_fev2009-COM_PREVISÃO_BR_da_Diretoria_pos_IGPM_casulo 5_casulo 15" xfId="548" xr:uid="{00000000-0005-0000-0000-00001A0C0000}"/>
    <cellStyle name="_PLPT_PLANILHA_CÁLCULO_DÉFICIT_RESOLUÇÃO_294_2007_COELCE_Sem_Gov_Estado-Ate_Rev2007_Cópia de IRT_CPFL_LESTE_PAULISTA(CPEE)_fev2009-COM_PREVISÃO_BR_da_Diretoria_pos_IGPM_casulo 5_IRT EEB 2010" xfId="3314" xr:uid="{00000000-0005-0000-0000-00001B0C0000}"/>
    <cellStyle name="_PLPT_PLANILHA_CÁLCULO_DÉFICIT_RESOLUÇÃO_294_2007_COELCE_Sem_Gov_Estado-Ate_Rev2007_Cópia de IRT_CPFL_LESTE_PAULISTA(CPEE)_fev2009-COM_PREVISÃO_BR_da_Diretoria_pos_IGPM_IRT EEB 2010" xfId="3315" xr:uid="{00000000-0005-0000-0000-00001C0C0000}"/>
    <cellStyle name="_PLPT_PLANILHA_CÁLCULO_DÉFICIT_RESOLUÇÃO_294_2007_COELCE_Sem_Gov_Estado-Ate_Rev2007_Exposição" xfId="3316" xr:uid="{00000000-0005-0000-0000-00001D0C0000}"/>
    <cellStyle name="_PLPT_PLANILHA_CÁLCULO_DÉFICIT_RESOLUÇÃO_294_2007_COELCE_Sem_Gov_Estado-Ate_Rev2007_Exposição 2008" xfId="3317" xr:uid="{00000000-0005-0000-0000-00001E0C0000}"/>
    <cellStyle name="_PLPT_PLANILHA_CÁLCULO_DÉFICIT_RESOLUÇÃO_294_2007_COELCE_Sem_Gov_Estado-Ate_Rev2007_Exposição_Agosto 1" xfId="3318" xr:uid="{00000000-0005-0000-0000-00001F0C0000}"/>
    <cellStyle name="_PLPT_PLANILHA_CÁLCULO_DÉFICIT_RESOLUÇÃO_294_2007_COELCE_Sem_Gov_Estado-Ate_Rev2007_Financeiro Desconto na TUSD Consumidores Livres Reajuste 2010 - 03_03_2010" xfId="43232" xr:uid="{00000000-0005-0000-0000-0000200C0000}"/>
    <cellStyle name="_PLPT_PLANILHA_CÁLCULO_DÉFICIT_RESOLUÇÃO_294_2007_COELCE_Sem_Gov_Estado-Ate_Rev2007_Financeiro Desconto na TUSD Geradores Reajuste 2010 - 03_03_2010" xfId="43233" xr:uid="{00000000-0005-0000-0000-0000210C0000}"/>
    <cellStyle name="_PLPT_PLANILHA_CÁLCULO_DÉFICIT_RESOLUÇÃO_294_2007_COELCE_Sem_Gov_Estado-Ate_Rev2007_Financeiro Subsídio Baixa Renda Reajuste 2010 - 03_03_2010" xfId="43234" xr:uid="{00000000-0005-0000-0000-0000220C0000}"/>
    <cellStyle name="_PLPT_PLANILHA_CÁLCULO_DÉFICIT_RESOLUÇÃO_294_2007_COELCE_Sem_Gov_Estado-Ate_Rev2007_Financeiro Subsídio Rural Irrigante e Aquicultor Reajuste 2010 - 03_03_2010" xfId="43235" xr:uid="{00000000-0005-0000-0000-0000230C0000}"/>
    <cellStyle name="_PLPT_PLANILHA_CÁLCULO_DÉFICIT_RESOLUÇÃO_294_2007_COELCE_Sem_Gov_Estado-Ate_Rev2007_IRT" xfId="3319" xr:uid="{00000000-0005-0000-0000-0000240C0000}"/>
    <cellStyle name="_PLPT_PLANILHA_CÁLCULO_DÉFICIT_RESOLUÇÃO_294_2007_COELCE_Sem_Gov_Estado-Ate_Rev2007_IRT EEB 2010" xfId="3320" xr:uid="{00000000-0005-0000-0000-0000250C0000}"/>
    <cellStyle name="_PLPT_PLANILHA_CÁLCULO_DÉFICIT_RESOLUÇÃO_294_2007_COELCE_Sem_Gov_Estado-Ate_Rev2007_IRT Piratininga 2009" xfId="549" xr:uid="{00000000-0005-0000-0000-0000260C0000}"/>
    <cellStyle name="_PLPT_PLANILHA_CÁLCULO_DÉFICIT_RESOLUÇÃO_294_2007_COELCE_Sem_Gov_Estado-Ate_Rev2007_IRT Piratininga 2009 2" xfId="1419" xr:uid="{00000000-0005-0000-0000-0000270C0000}"/>
    <cellStyle name="_PLPT_PLANILHA_CÁLCULO_DÉFICIT_RESOLUÇÃO_294_2007_COELCE_Sem_Gov_Estado-Ate_Rev2007_IRT Piratininga 2009_Balanço" xfId="550" xr:uid="{00000000-0005-0000-0000-0000280C0000}"/>
    <cellStyle name="_PLPT_PLANILHA_CÁLCULO_DÉFICIT_RESOLUÇÃO_294_2007_COELCE_Sem_Gov_Estado-Ate_Rev2007_IRT Piratininga 2009_casulo 15" xfId="551" xr:uid="{00000000-0005-0000-0000-0000290C0000}"/>
    <cellStyle name="_PLPT_PLANILHA_CÁLCULO_DÉFICIT_RESOLUÇÃO_294_2007_COELCE_Sem_Gov_Estado-Ate_Rev2007_IRT Piratininga 2009_IRT EEB 2010" xfId="3321" xr:uid="{00000000-0005-0000-0000-00002A0C0000}"/>
    <cellStyle name="_PLPT_PLANILHA_CÁLCULO_DÉFICIT_RESOLUÇÃO_294_2007_COELCE_Sem_Gov_Estado-Ate_Rev2007_IRT Reloaded" xfId="552" xr:uid="{00000000-0005-0000-0000-00002B0C0000}"/>
    <cellStyle name="_PLPT_PLANILHA_CÁLCULO_DÉFICIT_RESOLUÇÃO_294_2007_COELCE_Sem_Gov_Estado-Ate_Rev2007_IRT Reloaded 2" xfId="1420" xr:uid="{00000000-0005-0000-0000-00002C0C0000}"/>
    <cellStyle name="_PLPT_PLANILHA_CÁLCULO_DÉFICIT_RESOLUÇÃO_294_2007_COELCE_Sem_Gov_Estado-Ate_Rev2007_IRT Reloaded_Balanço" xfId="553" xr:uid="{00000000-0005-0000-0000-00002D0C0000}"/>
    <cellStyle name="_PLPT_PLANILHA_CÁLCULO_DÉFICIT_RESOLUÇÃO_294_2007_COELCE_Sem_Gov_Estado-Ate_Rev2007_IRT Reloaded_Balanço 2" xfId="1421" xr:uid="{00000000-0005-0000-0000-00002E0C0000}"/>
    <cellStyle name="_PLPT_PLANILHA_CÁLCULO_DÉFICIT_RESOLUÇÃO_294_2007_COELCE_Sem_Gov_Estado-Ate_Rev2007_IRT Reloaded_casulo 15" xfId="554" xr:uid="{00000000-0005-0000-0000-00002F0C0000}"/>
    <cellStyle name="_PLPT_PLANILHA_CÁLCULO_DÉFICIT_RESOLUÇÃO_294_2007_COELCE_Sem_Gov_Estado-Ate_Rev2007_IRT Reloaded_casulo 5" xfId="555" xr:uid="{00000000-0005-0000-0000-0000300C0000}"/>
    <cellStyle name="_PLPT_PLANILHA_CÁLCULO_DÉFICIT_RESOLUÇÃO_294_2007_COELCE_Sem_Gov_Estado-Ate_Rev2007_IRT Reloaded_casulo 5 2" xfId="1422" xr:uid="{00000000-0005-0000-0000-0000310C0000}"/>
    <cellStyle name="_PLPT_PLANILHA_CÁLCULO_DÉFICIT_RESOLUÇÃO_294_2007_COELCE_Sem_Gov_Estado-Ate_Rev2007_IRT Reloaded_casulo 5_Balanço" xfId="556" xr:uid="{00000000-0005-0000-0000-0000320C0000}"/>
    <cellStyle name="_PLPT_PLANILHA_CÁLCULO_DÉFICIT_RESOLUÇÃO_294_2007_COELCE_Sem_Gov_Estado-Ate_Rev2007_IRT Reloaded_casulo 5_casulo 15" xfId="557" xr:uid="{00000000-0005-0000-0000-0000330C0000}"/>
    <cellStyle name="_PLPT_PLANILHA_CÁLCULO_DÉFICIT_RESOLUÇÃO_294_2007_COELCE_Sem_Gov_Estado-Ate_Rev2007_IRT Reloaded_casulo 5_IRT EEB 2010" xfId="3322" xr:uid="{00000000-0005-0000-0000-0000340C0000}"/>
    <cellStyle name="_PLPT_PLANILHA_CÁLCULO_DÉFICIT_RESOLUÇÃO_294_2007_COELCE_Sem_Gov_Estado-Ate_Rev2007_IRT Reloaded_IRT EEB 2010" xfId="3323" xr:uid="{00000000-0005-0000-0000-0000350C0000}"/>
    <cellStyle name="_PLPT_PLANILHA_CÁLCULO_DÉFICIT_RESOLUÇÃO_294_2007_COELCE_Sem_Gov_Estado-Ate_Rev2007_IRT_1" xfId="1634" xr:uid="{00000000-0005-0000-0000-0000360C0000}"/>
    <cellStyle name="_PLPT_PLANILHA_CÁLCULO_DÉFICIT_RESOLUÇÃO_294_2007_COELCE_Sem_Gov_Estado-Ate_Rev2007_IRT_1 2" xfId="3324" xr:uid="{00000000-0005-0000-0000-0000370C0000}"/>
    <cellStyle name="_PLPT_PLANILHA_CÁLCULO_DÉFICIT_RESOLUÇÃO_294_2007_COELCE_Sem_Gov_Estado-Ate_Rev2007_IRT_1_atualização serviços taxados" xfId="43236" xr:uid="{00000000-0005-0000-0000-0000380C0000}"/>
    <cellStyle name="_PLPT_PLANILHA_CÁLCULO_DÉFICIT_RESOLUÇÃO_294_2007_COELCE_Sem_Gov_Estado-Ate_Rev2007_IRT_1_Financeiro Desconto na TUSD Consumidores Livres Reajuste 2010 - 03_03_2010" xfId="43237" xr:uid="{00000000-0005-0000-0000-0000390C0000}"/>
    <cellStyle name="_PLPT_PLANILHA_CÁLCULO_DÉFICIT_RESOLUÇÃO_294_2007_COELCE_Sem_Gov_Estado-Ate_Rev2007_IRT_1_Financeiro Desconto na TUSD Geradores Reajuste 2010 - 03_03_2010" xfId="43238" xr:uid="{00000000-0005-0000-0000-00003A0C0000}"/>
    <cellStyle name="_PLPT_PLANILHA_CÁLCULO_DÉFICIT_RESOLUÇÃO_294_2007_COELCE_Sem_Gov_Estado-Ate_Rev2007_IRT_1_Financeiro Subsídio Baixa Renda Reajuste 2010 - 03_03_2010" xfId="43239" xr:uid="{00000000-0005-0000-0000-00003B0C0000}"/>
    <cellStyle name="_PLPT_PLANILHA_CÁLCULO_DÉFICIT_RESOLUÇÃO_294_2007_COELCE_Sem_Gov_Estado-Ate_Rev2007_IRT_1_Financeiro Subsídio Rural Irrigante e Aquicultor Reajuste 2010 - 03_03_2010" xfId="43240" xr:uid="{00000000-0005-0000-0000-00003C0C0000}"/>
    <cellStyle name="_PLPT_PLANILHA_CÁLCULO_DÉFICIT_RESOLUÇÃO_294_2007_COELCE_Sem_Gov_Estado-Ate_Rev2007_IRT_1_IRT-cálculo" xfId="3325" xr:uid="{00000000-0005-0000-0000-00003D0C0000}"/>
    <cellStyle name="_PLPT_PLANILHA_CÁLCULO_DÉFICIT_RESOLUÇÃO_294_2007_COELCE_Sem_Gov_Estado-Ate_Rev2007_IRT_1_IRT-cálculo CAPA NEUTRALIDADE" xfId="3326" xr:uid="{00000000-0005-0000-0000-00003E0C0000}"/>
    <cellStyle name="_PLPT_PLANILHA_CÁLCULO_DÉFICIT_RESOLUÇÃO_294_2007_COELCE_Sem_Gov_Estado-Ate_Rev2007_IRT_1_SOBRECONTRATAÇÃO E CVA" xfId="3327" xr:uid="{00000000-0005-0000-0000-00003F0C0000}"/>
    <cellStyle name="_PLPT_PLANILHA_CÁLCULO_DÉFICIT_RESOLUÇÃO_294_2007_COELCE_Sem_Gov_Estado-Ate_Rev2007_IRT_Bragantina_maio_2009" xfId="3328" xr:uid="{00000000-0005-0000-0000-0000400C0000}"/>
    <cellStyle name="_PLPT_PLANILHA_CÁLCULO_DÉFICIT_RESOLUÇÃO_294_2007_COELCE_Sem_Gov_Estado-Ate_Rev2007_IRT_CEMAT_2009" xfId="3329" xr:uid="{00000000-0005-0000-0000-0000410C0000}"/>
    <cellStyle name="_PLPT_PLANILHA_CÁLCULO_DÉFICIT_RESOLUÇÃO_294_2007_COELCE_Sem_Gov_Estado-Ate_Rev2007_IRT_COELCE_abr2008" xfId="1635" xr:uid="{00000000-0005-0000-0000-0000420C0000}"/>
    <cellStyle name="_PLPT_PLANILHA_CÁLCULO_DÉFICIT_RESOLUÇÃO_294_2007_COELCE_Sem_Gov_Estado-Ate_Rev2007_IRT_COELCE_abr2008 2" xfId="3330" xr:uid="{00000000-0005-0000-0000-0000430C0000}"/>
    <cellStyle name="_PLPT_PLANILHA_CÁLCULO_DÉFICIT_RESOLUÇÃO_294_2007_COELCE_Sem_Gov_Estado-Ate_Rev2007_IRT_COELCE_abr2008_atualização serviços taxados" xfId="43241" xr:uid="{00000000-0005-0000-0000-0000440C0000}"/>
    <cellStyle name="_PLPT_PLANILHA_CÁLCULO_DÉFICIT_RESOLUÇÃO_294_2007_COELCE_Sem_Gov_Estado-Ate_Rev2007_IRT_COELCE_abr2008_COELCE - RTO 2011 - PLPT_PLANILHA_CÁLCULO_DÉFICIT" xfId="3331" xr:uid="{00000000-0005-0000-0000-0000450C0000}"/>
    <cellStyle name="_PLPT_PLANILHA_CÁLCULO_DÉFICIT_RESOLUÇÃO_294_2007_COELCE_Sem_Gov_Estado-Ate_Rev2007_IRT_COELCE_abr2008_Financeiro Desconto na TUSD Consumidores Livres Reajuste 2010 - 03_03_2010" xfId="43242" xr:uid="{00000000-0005-0000-0000-0000460C0000}"/>
    <cellStyle name="_PLPT_PLANILHA_CÁLCULO_DÉFICIT_RESOLUÇÃO_294_2007_COELCE_Sem_Gov_Estado-Ate_Rev2007_IRT_COELCE_abr2008_Financeiro Desconto na TUSD Geradores Reajuste 2010 - 03_03_2010" xfId="43243" xr:uid="{00000000-0005-0000-0000-0000470C0000}"/>
    <cellStyle name="_PLPT_PLANILHA_CÁLCULO_DÉFICIT_RESOLUÇÃO_294_2007_COELCE_Sem_Gov_Estado-Ate_Rev2007_IRT_COELCE_abr2008_Financeiro Subsídio Baixa Renda Reajuste 2010 - 03_03_2010" xfId="43244" xr:uid="{00000000-0005-0000-0000-0000480C0000}"/>
    <cellStyle name="_PLPT_PLANILHA_CÁLCULO_DÉFICIT_RESOLUÇÃO_294_2007_COELCE_Sem_Gov_Estado-Ate_Rev2007_IRT_COELCE_abr2008_Financeiro Subsídio Rural Irrigante e Aquicultor Reajuste 2010 - 03_03_2010" xfId="43245" xr:uid="{00000000-0005-0000-0000-0000490C0000}"/>
    <cellStyle name="_PLPT_PLANILHA_CÁLCULO_DÉFICIT_RESOLUÇÃO_294_2007_COELCE_Sem_Gov_Estado-Ate_Rev2007_IRT_EBB_mai2010d" xfId="3332" xr:uid="{00000000-0005-0000-0000-00004A0C0000}"/>
    <cellStyle name="_PLPT_PLANILHA_CÁLCULO_DÉFICIT_RESOLUÇÃO_294_2007_COELCE_Sem_Gov_Estado-Ate_Rev2007_IRT_ENERGISA_SE_abr2009" xfId="3333" xr:uid="{00000000-0005-0000-0000-00004B0C0000}"/>
    <cellStyle name="_PLPT_PLANILHA_CÁLCULO_DÉFICIT_RESOLUÇÃO_294_2007_COELCE_Sem_Gov_Estado-Ate_Rev2007_IRT_ENF" xfId="3334" xr:uid="{00000000-0005-0000-0000-00004C0C0000}"/>
    <cellStyle name="_PLPT_PLANILHA_CÁLCULO_DÉFICIT_RESOLUÇÃO_294_2007_COELCE_Sem_Gov_Estado-Ate_Rev2007_IRT_Escelsa" xfId="3335" xr:uid="{00000000-0005-0000-0000-00004D0C0000}"/>
    <cellStyle name="_PLPT_PLANILHA_CÁLCULO_DÉFICIT_RESOLUÇÃO_294_2007_COELCE_Sem_Gov_Estado-Ate_Rev2007_IRT_Planilha Básica_ CETRIL" xfId="558" xr:uid="{00000000-0005-0000-0000-00004E0C0000}"/>
    <cellStyle name="_PLPT_PLANILHA_CÁLCULO_DÉFICIT_RESOLUÇÃO_294_2007_COELCE_Sem_Gov_Estado-Ate_Rev2007_IRT_Planilha Básica_ CETRIL 2" xfId="1423" xr:uid="{00000000-0005-0000-0000-00004F0C0000}"/>
    <cellStyle name="_PLPT_PLANILHA_CÁLCULO_DÉFICIT_RESOLUÇÃO_294_2007_COELCE_Sem_Gov_Estado-Ate_Rev2007_IRT_Planilha Básica_ CETRIL_Balanço" xfId="559" xr:uid="{00000000-0005-0000-0000-0000500C0000}"/>
    <cellStyle name="_PLPT_PLANILHA_CÁLCULO_DÉFICIT_RESOLUÇÃO_294_2007_COELCE_Sem_Gov_Estado-Ate_Rev2007_IRT_Planilha Básica_ CETRIL_casulo 15" xfId="560" xr:uid="{00000000-0005-0000-0000-0000510C0000}"/>
    <cellStyle name="_PLPT_PLANILHA_CÁLCULO_DÉFICIT_RESOLUÇÃO_294_2007_COELCE_Sem_Gov_Estado-Ate_Rev2007_IRT_Planilha Básica_ CETRIL_IRT EEB 2010" xfId="3336" xr:uid="{00000000-0005-0000-0000-0000520C0000}"/>
    <cellStyle name="_PLPT_PLANILHA_CÁLCULO_DÉFICIT_RESOLUÇÃO_294_2007_COELCE_Sem_Gov_Estado-Ate_Rev2007_IRT_Planilha Básica_30jun2009" xfId="3337" xr:uid="{00000000-0005-0000-0000-0000530C0000}"/>
    <cellStyle name="_PLPT_PLANILHA_CÁLCULO_DÉFICIT_RESOLUÇÃO_294_2007_COELCE_Sem_Gov_Estado-Ate_Rev2007_IRT_Planilha Básica_DIRETORIA" xfId="3338" xr:uid="{00000000-0005-0000-0000-0000540C0000}"/>
    <cellStyle name="_PLPT_PLANILHA_CÁLCULO_DÉFICIT_RESOLUÇÃO_294_2007_COELCE_Sem_Gov_Estado-Ate_Rev2007_IRT_Planilha Básica_fev2010" xfId="3339" xr:uid="{00000000-0005-0000-0000-0000550C0000}"/>
    <cellStyle name="_PLPT_PLANILHA_CÁLCULO_DÉFICIT_RESOLUÇÃO_294_2007_COELCE_Sem_Gov_Estado-Ate_Rev2007_IRT_Planilha Básica_fev2010a" xfId="561" xr:uid="{00000000-0005-0000-0000-0000560C0000}"/>
    <cellStyle name="_PLPT_PLANILHA_CÁLCULO_DÉFICIT_RESOLUÇÃO_294_2007_COELCE_Sem_Gov_Estado-Ate_Rev2007_IRT_Planilha Básica_fev2010a 2" xfId="1424" xr:uid="{00000000-0005-0000-0000-0000570C0000}"/>
    <cellStyle name="_PLPT_PLANILHA_CÁLCULO_DÉFICIT_RESOLUÇÃO_294_2007_COELCE_Sem_Gov_Estado-Ate_Rev2007_IRT_Planilha Básica_fev2010a_Balanço" xfId="562" xr:uid="{00000000-0005-0000-0000-0000580C0000}"/>
    <cellStyle name="_PLPT_PLANILHA_CÁLCULO_DÉFICIT_RESOLUÇÃO_294_2007_COELCE_Sem_Gov_Estado-Ate_Rev2007_IRT_Planilha Básica_fev2010a_Balanço 2" xfId="1425" xr:uid="{00000000-0005-0000-0000-0000590C0000}"/>
    <cellStyle name="_PLPT_PLANILHA_CÁLCULO_DÉFICIT_RESOLUÇÃO_294_2007_COELCE_Sem_Gov_Estado-Ate_Rev2007_IRT_Planilha Básica_fev2010a_casulo 15" xfId="563" xr:uid="{00000000-0005-0000-0000-00005A0C0000}"/>
    <cellStyle name="_PLPT_PLANILHA_CÁLCULO_DÉFICIT_RESOLUÇÃO_294_2007_COELCE_Sem_Gov_Estado-Ate_Rev2007_IRT_Planilha Básica_fev2010a_casulo 5" xfId="564" xr:uid="{00000000-0005-0000-0000-00005B0C0000}"/>
    <cellStyle name="_PLPT_PLANILHA_CÁLCULO_DÉFICIT_RESOLUÇÃO_294_2007_COELCE_Sem_Gov_Estado-Ate_Rev2007_IRT_Planilha Básica_fev2010a_casulo 5 2" xfId="1426" xr:uid="{00000000-0005-0000-0000-00005C0C0000}"/>
    <cellStyle name="_PLPT_PLANILHA_CÁLCULO_DÉFICIT_RESOLUÇÃO_294_2007_COELCE_Sem_Gov_Estado-Ate_Rev2007_IRT_Planilha Básica_fev2010a_casulo 5_Balanço" xfId="565" xr:uid="{00000000-0005-0000-0000-00005D0C0000}"/>
    <cellStyle name="_PLPT_PLANILHA_CÁLCULO_DÉFICIT_RESOLUÇÃO_294_2007_COELCE_Sem_Gov_Estado-Ate_Rev2007_IRT_Planilha Básica_fev2010a_casulo 5_casulo 15" xfId="566" xr:uid="{00000000-0005-0000-0000-00005E0C0000}"/>
    <cellStyle name="_PLPT_PLANILHA_CÁLCULO_DÉFICIT_RESOLUÇÃO_294_2007_COELCE_Sem_Gov_Estado-Ate_Rev2007_IRT_Planilha Básica_fev2010a_casulo 5_IRT EEB 2010" xfId="3340" xr:uid="{00000000-0005-0000-0000-00005F0C0000}"/>
    <cellStyle name="_PLPT_PLANILHA_CÁLCULO_DÉFICIT_RESOLUÇÃO_294_2007_COELCE_Sem_Gov_Estado-Ate_Rev2007_IRT_Planilha Básica_fev2010a_IRT EEB 2010" xfId="3341" xr:uid="{00000000-0005-0000-0000-0000600C0000}"/>
    <cellStyle name="_PLPT_PLANILHA_CÁLCULO_DÉFICIT_RESOLUÇÃO_294_2007_COELCE_Sem_Gov_Estado-Ate_Rev2007_IRT_Planilha Básica_jun2009" xfId="3342" xr:uid="{00000000-0005-0000-0000-0000610C0000}"/>
    <cellStyle name="_PLPT_PLANILHA_CÁLCULO_DÉFICIT_RESOLUÇÃO_294_2007_COELCE_Sem_Gov_Estado-Ate_Rev2007_IRT_Planilha Básica_mar2010b" xfId="3343" xr:uid="{00000000-0005-0000-0000-0000620C0000}"/>
    <cellStyle name="_PLPT_PLANILHA_CÁLCULO_DÉFICIT_RESOLUÇÃO_294_2007_COELCE_Sem_Gov_Estado-Ate_Rev2007_IRT_Planilha Básica_mar2010d" xfId="567" xr:uid="{00000000-0005-0000-0000-0000630C0000}"/>
    <cellStyle name="_PLPT_PLANILHA_CÁLCULO_DÉFICIT_RESOLUÇÃO_294_2007_COELCE_Sem_Gov_Estado-Ate_Rev2007_IRT_Planilha Básica_mar2010d 2" xfId="1427" xr:uid="{00000000-0005-0000-0000-0000640C0000}"/>
    <cellStyle name="_PLPT_PLANILHA_CÁLCULO_DÉFICIT_RESOLUÇÃO_294_2007_COELCE_Sem_Gov_Estado-Ate_Rev2007_IRT_Planilha Básica_março2009" xfId="568" xr:uid="{00000000-0005-0000-0000-0000650C0000}"/>
    <cellStyle name="_PLPT_PLANILHA_CÁLCULO_DÉFICIT_RESOLUÇÃO_294_2007_COELCE_Sem_Gov_Estado-Ate_Rev2007_IRT_Planilha Básica_março2009 2" xfId="1428" xr:uid="{00000000-0005-0000-0000-0000660C0000}"/>
    <cellStyle name="_PLPT_PLANILHA_CÁLCULO_DÉFICIT_RESOLUÇÃO_294_2007_COELCE_Sem_Gov_Estado-Ate_Rev2007_IRT_Planilha Básica_março2009_02 IRT Bandeirante 2009" xfId="3344" xr:uid="{00000000-0005-0000-0000-0000670C0000}"/>
    <cellStyle name="_PLPT_PLANILHA_CÁLCULO_DÉFICIT_RESOLUÇÃO_294_2007_COELCE_Sem_Gov_Estado-Ate_Rev2007_IRT_Planilha Básica_março2009_Balanço" xfId="569" xr:uid="{00000000-0005-0000-0000-0000680C0000}"/>
    <cellStyle name="_PLPT_PLANILHA_CÁLCULO_DÉFICIT_RESOLUÇÃO_294_2007_COELCE_Sem_Gov_Estado-Ate_Rev2007_IRT_Planilha Básica_março2009_Balanço 2" xfId="1429" xr:uid="{00000000-0005-0000-0000-0000690C0000}"/>
    <cellStyle name="_PLPT_PLANILHA_CÁLCULO_DÉFICIT_RESOLUÇÃO_294_2007_COELCE_Sem_Gov_Estado-Ate_Rev2007_IRT_Planilha Básica_março2009_casulo 15" xfId="570" xr:uid="{00000000-0005-0000-0000-00006A0C0000}"/>
    <cellStyle name="_PLPT_PLANILHA_CÁLCULO_DÉFICIT_RESOLUÇÃO_294_2007_COELCE_Sem_Gov_Estado-Ate_Rev2007_IRT_Planilha Básica_março2009_casulo 5" xfId="571" xr:uid="{00000000-0005-0000-0000-00006B0C0000}"/>
    <cellStyle name="_PLPT_PLANILHA_CÁLCULO_DÉFICIT_RESOLUÇÃO_294_2007_COELCE_Sem_Gov_Estado-Ate_Rev2007_IRT_Planilha Básica_março2009_casulo 5 2" xfId="1430" xr:uid="{00000000-0005-0000-0000-00006C0C0000}"/>
    <cellStyle name="_PLPT_PLANILHA_CÁLCULO_DÉFICIT_RESOLUÇÃO_294_2007_COELCE_Sem_Gov_Estado-Ate_Rev2007_IRT_Planilha Básica_março2009_casulo 5_Balanço" xfId="572" xr:uid="{00000000-0005-0000-0000-00006D0C0000}"/>
    <cellStyle name="_PLPT_PLANILHA_CÁLCULO_DÉFICIT_RESOLUÇÃO_294_2007_COELCE_Sem_Gov_Estado-Ate_Rev2007_IRT_Planilha Básica_março2009_casulo 5_casulo 15" xfId="573" xr:uid="{00000000-0005-0000-0000-00006E0C0000}"/>
    <cellStyle name="_PLPT_PLANILHA_CÁLCULO_DÉFICIT_RESOLUÇÃO_294_2007_COELCE_Sem_Gov_Estado-Ate_Rev2007_IRT_Planilha Básica_março2009_casulo 5_IRT EEB 2010" xfId="3345" xr:uid="{00000000-0005-0000-0000-00006F0C0000}"/>
    <cellStyle name="_PLPT_PLANILHA_CÁLCULO_DÉFICIT_RESOLUÇÃO_294_2007_COELCE_Sem_Gov_Estado-Ate_Rev2007_IRT_Planilha Básica_março2009_COELCE  ICMS Não Compensado RTO 2012 281211" xfId="3346" xr:uid="{00000000-0005-0000-0000-0000700C0000}"/>
    <cellStyle name="_PLPT_PLANILHA_CÁLCULO_DÉFICIT_RESOLUÇÃO_294_2007_COELCE_Sem_Gov_Estado-Ate_Rev2007_IRT_Planilha Básica_março2009_COELCE - RTO 2011 - PLPT_PLANILHA_CÁLCULO_DÉFICIT" xfId="3347" xr:uid="{00000000-0005-0000-0000-0000710C0000}"/>
    <cellStyle name="_PLPT_PLANILHA_CÁLCULO_DÉFICIT_RESOLUÇÃO_294_2007_COELCE_Sem_Gov_Estado-Ate_Rev2007_IRT_Planilha Básica_março2009_IRT EEB 2010" xfId="3348" xr:uid="{00000000-0005-0000-0000-0000720C0000}"/>
    <cellStyle name="_PLPT_PLANILHA_CÁLCULO_DÉFICIT_RESOLUÇÃO_294_2007_COELCE_Sem_Gov_Estado-Ate_Rev2007_IRT_Planilha Básica_março2009_IRT Piratininga 2009" xfId="574" xr:uid="{00000000-0005-0000-0000-0000730C0000}"/>
    <cellStyle name="_PLPT_PLANILHA_CÁLCULO_DÉFICIT_RESOLUÇÃO_294_2007_COELCE_Sem_Gov_Estado-Ate_Rev2007_IRT_Planilha Básica_março2009_IRT Piratininga 2009 2" xfId="1431" xr:uid="{00000000-0005-0000-0000-0000740C0000}"/>
    <cellStyle name="_PLPT_PLANILHA_CÁLCULO_DÉFICIT_RESOLUÇÃO_294_2007_COELCE_Sem_Gov_Estado-Ate_Rev2007_IRT_Planilha Básica_março2009_IRT Piratininga 2009_Balanço" xfId="575" xr:uid="{00000000-0005-0000-0000-0000750C0000}"/>
    <cellStyle name="_PLPT_PLANILHA_CÁLCULO_DÉFICIT_RESOLUÇÃO_294_2007_COELCE_Sem_Gov_Estado-Ate_Rev2007_IRT_Planilha Básica_março2009_IRT Piratininga 2009_casulo 15" xfId="576" xr:uid="{00000000-0005-0000-0000-0000760C0000}"/>
    <cellStyle name="_PLPT_PLANILHA_CÁLCULO_DÉFICIT_RESOLUÇÃO_294_2007_COELCE_Sem_Gov_Estado-Ate_Rev2007_IRT_Planilha Básica_março2009_IRT Piratininga 2009_IRT EEB 2010" xfId="3349" xr:uid="{00000000-0005-0000-0000-0000770C0000}"/>
    <cellStyle name="_PLPT_PLANILHA_CÁLCULO_DÉFICIT_RESOLUÇÃO_294_2007_COELCE_Sem_Gov_Estado-Ate_Rev2007_IRT_Planilha Básica_março2009_IRT_EBB_mai2010d" xfId="3350" xr:uid="{00000000-0005-0000-0000-0000780C0000}"/>
    <cellStyle name="_PLPT_PLANILHA_CÁLCULO_DÉFICIT_RESOLUÇÃO_294_2007_COELCE_Sem_Gov_Estado-Ate_Rev2007_IRT_Planilha Básica_março2009_IRT_Planilha Básica_ CETRIL" xfId="577" xr:uid="{00000000-0005-0000-0000-0000790C0000}"/>
    <cellStyle name="_PLPT_PLANILHA_CÁLCULO_DÉFICIT_RESOLUÇÃO_294_2007_COELCE_Sem_Gov_Estado-Ate_Rev2007_IRT_Planilha Básica_março2009_IRT_Planilha Básica_ CETRIL 2" xfId="1432" xr:uid="{00000000-0005-0000-0000-00007A0C0000}"/>
    <cellStyle name="_PLPT_PLANILHA_CÁLCULO_DÉFICIT_RESOLUÇÃO_294_2007_COELCE_Sem_Gov_Estado-Ate_Rev2007_IRT_Planilha Básica_março2009_IRT_Planilha Básica_ CETRIL_Balanço" xfId="578" xr:uid="{00000000-0005-0000-0000-00007B0C0000}"/>
    <cellStyle name="_PLPT_PLANILHA_CÁLCULO_DÉFICIT_RESOLUÇÃO_294_2007_COELCE_Sem_Gov_Estado-Ate_Rev2007_IRT_Planilha Básica_março2009_IRT_Planilha Básica_ CETRIL_casulo 15" xfId="579" xr:uid="{00000000-0005-0000-0000-00007C0C0000}"/>
    <cellStyle name="_PLPT_PLANILHA_CÁLCULO_DÉFICIT_RESOLUÇÃO_294_2007_COELCE_Sem_Gov_Estado-Ate_Rev2007_IRT_Planilha Básica_março2009_IRT_Planilha Básica_ CETRIL_IRT EEB 2010" xfId="3351" xr:uid="{00000000-0005-0000-0000-00007D0C0000}"/>
    <cellStyle name="_PLPT_PLANILHA_CÁLCULO_DÉFICIT_RESOLUÇÃO_294_2007_COELCE_Sem_Gov_Estado-Ate_Rev2007_IRT_Planilha Básica_março2009_IRT_Planilha Básica_DIRETORIA" xfId="3352" xr:uid="{00000000-0005-0000-0000-00007E0C0000}"/>
    <cellStyle name="_PLPT_PLANILHA_CÁLCULO_DÉFICIT_RESOLUÇÃO_294_2007_COELCE_Sem_Gov_Estado-Ate_Rev2007_IRT_Planilha Básica_março2009_IRT_Planilha Básica_fev2010" xfId="3353" xr:uid="{00000000-0005-0000-0000-00007F0C0000}"/>
    <cellStyle name="_PLPT_PLANILHA_CÁLCULO_DÉFICIT_RESOLUÇÃO_294_2007_COELCE_Sem_Gov_Estado-Ate_Rev2007_IRT_Planilha Básica_março2009_IRT_Planilha Básica_fev2010a" xfId="580" xr:uid="{00000000-0005-0000-0000-0000800C0000}"/>
    <cellStyle name="_PLPT_PLANILHA_CÁLCULO_DÉFICIT_RESOLUÇÃO_294_2007_COELCE_Sem_Gov_Estado-Ate_Rev2007_IRT_Planilha Básica_março2009_IRT_Planilha Básica_fev2010a 2" xfId="1433" xr:uid="{00000000-0005-0000-0000-0000810C0000}"/>
    <cellStyle name="_PLPT_PLANILHA_CÁLCULO_DÉFICIT_RESOLUÇÃO_294_2007_COELCE_Sem_Gov_Estado-Ate_Rev2007_IRT_Planilha Básica_março2009_IRT_Planilha Básica_fev2010a_Balanço" xfId="581" xr:uid="{00000000-0005-0000-0000-0000820C0000}"/>
    <cellStyle name="_PLPT_PLANILHA_CÁLCULO_DÉFICIT_RESOLUÇÃO_294_2007_COELCE_Sem_Gov_Estado-Ate_Rev2007_IRT_Planilha Básica_março2009_IRT_Planilha Básica_fev2010a_Balanço 2" xfId="1434" xr:uid="{00000000-0005-0000-0000-0000830C0000}"/>
    <cellStyle name="_PLPT_PLANILHA_CÁLCULO_DÉFICIT_RESOLUÇÃO_294_2007_COELCE_Sem_Gov_Estado-Ate_Rev2007_IRT_Planilha Básica_março2009_IRT_Planilha Básica_fev2010a_casulo 15" xfId="582" xr:uid="{00000000-0005-0000-0000-0000840C0000}"/>
    <cellStyle name="_PLPT_PLANILHA_CÁLCULO_DÉFICIT_RESOLUÇÃO_294_2007_COELCE_Sem_Gov_Estado-Ate_Rev2007_IRT_Planilha Básica_março2009_IRT_Planilha Básica_fev2010a_casulo 5" xfId="583" xr:uid="{00000000-0005-0000-0000-0000850C0000}"/>
    <cellStyle name="_PLPT_PLANILHA_CÁLCULO_DÉFICIT_RESOLUÇÃO_294_2007_COELCE_Sem_Gov_Estado-Ate_Rev2007_IRT_Planilha Básica_março2009_IRT_Planilha Básica_fev2010a_casulo 5 2" xfId="1435" xr:uid="{00000000-0005-0000-0000-0000860C0000}"/>
    <cellStyle name="_PLPT_PLANILHA_CÁLCULO_DÉFICIT_RESOLUÇÃO_294_2007_COELCE_Sem_Gov_Estado-Ate_Rev2007_IRT_Planilha Básica_março2009_IRT_Planilha Básica_fev2010a_casulo 5_Balanço" xfId="584" xr:uid="{00000000-0005-0000-0000-0000870C0000}"/>
    <cellStyle name="_PLPT_PLANILHA_CÁLCULO_DÉFICIT_RESOLUÇÃO_294_2007_COELCE_Sem_Gov_Estado-Ate_Rev2007_IRT_Planilha Básica_março2009_IRT_Planilha Básica_fev2010a_casulo 5_casulo 15" xfId="585" xr:uid="{00000000-0005-0000-0000-0000880C0000}"/>
    <cellStyle name="_PLPT_PLANILHA_CÁLCULO_DÉFICIT_RESOLUÇÃO_294_2007_COELCE_Sem_Gov_Estado-Ate_Rev2007_IRT_Planilha Básica_março2009_IRT_Planilha Básica_fev2010a_casulo 5_IRT EEB 2010" xfId="3354" xr:uid="{00000000-0005-0000-0000-0000890C0000}"/>
    <cellStyle name="_PLPT_PLANILHA_CÁLCULO_DÉFICIT_RESOLUÇÃO_294_2007_COELCE_Sem_Gov_Estado-Ate_Rev2007_IRT_Planilha Básica_março2009_IRT_Planilha Básica_fev2010a_IRT EEB 2010" xfId="3355" xr:uid="{00000000-0005-0000-0000-00008A0C0000}"/>
    <cellStyle name="_PLPT_PLANILHA_CÁLCULO_DÉFICIT_RESOLUÇÃO_294_2007_COELCE_Sem_Gov_Estado-Ate_Rev2007_IRT_Planilha Básica_março2009_IRT_Planilha Básica_jan2010" xfId="3356" xr:uid="{00000000-0005-0000-0000-00008B0C0000}"/>
    <cellStyle name="_PLPT_PLANILHA_CÁLCULO_DÉFICIT_RESOLUÇÃO_294_2007_COELCE_Sem_Gov_Estado-Ate_Rev2007_IRT_Planilha Básica_março2009_IRT_Planilha Básica_mar2010d" xfId="586" xr:uid="{00000000-0005-0000-0000-00008C0C0000}"/>
    <cellStyle name="_PLPT_PLANILHA_CÁLCULO_DÉFICIT_RESOLUÇÃO_294_2007_COELCE_Sem_Gov_Estado-Ate_Rev2007_IRT_Planilha Básica_março2009_IRT_Planilha Básica_mar2010d 2" xfId="1436" xr:uid="{00000000-0005-0000-0000-00008D0C0000}"/>
    <cellStyle name="_PLPT_PLANILHA_CÁLCULO_DÉFICIT_RESOLUÇÃO_294_2007_COELCE_Sem_Gov_Estado-Ate_Rev2007_IRT_Planilha Básica_março2009_IRT_Planilha Básica_NOVA METODOLOGIA" xfId="3357" xr:uid="{00000000-0005-0000-0000-00008E0C0000}"/>
    <cellStyle name="_PLPT_PLANILHA_CÁLCULO_DÉFICIT_RESOLUÇÃO_294_2007_COELCE_Sem_Gov_Estado-Ate_Rev2007_IRT_Planilha Básica_março2009_IRT_Santa 2010" xfId="3358" xr:uid="{00000000-0005-0000-0000-00008F0C0000}"/>
    <cellStyle name="_PLPT_PLANILHA_CÁLCULO_DÉFICIT_RESOLUÇÃO_294_2007_COELCE_Sem_Gov_Estado-Ate_Rev2007_IRT_Planilha Básica_março2009_IRT-cálculo" xfId="43246" xr:uid="{00000000-0005-0000-0000-0000900C0000}"/>
    <cellStyle name="_PLPT_PLANILHA_CÁLCULO_DÉFICIT_RESOLUÇÃO_294_2007_COELCE_Sem_Gov_Estado-Ate_Rev2007_IRT_Planilha Básica_março2009_Resultados_DEA_RND_QUAL_PERDAS" xfId="42542" xr:uid="{00000000-0005-0000-0000-0000910C0000}"/>
    <cellStyle name="_PLPT_PLANILHA_CÁLCULO_DÉFICIT_RESOLUÇÃO_294_2007_COELCE_Sem_Gov_Estado-Ate_Rev2007_IRT_Planilha Básica_março2009_Simulação congelamento COELCE 2011 - Propostas 3ª Fase AP040 (20.12.2011)" xfId="3359" xr:uid="{00000000-0005-0000-0000-0000920C0000}"/>
    <cellStyle name="_PLPT_PLANILHA_CÁLCULO_DÉFICIT_RESOLUÇÃO_294_2007_COELCE_Sem_Gov_Estado-Ate_Rev2007_IRT_Planilha Básica_março2009_teste ampla" xfId="587" xr:uid="{00000000-0005-0000-0000-0000930C0000}"/>
    <cellStyle name="_PLPT_PLANILHA_CÁLCULO_DÉFICIT_RESOLUÇÃO_294_2007_COELCE_Sem_Gov_Estado-Ate_Rev2007_IRT_Planilha Básica_março2009_teste ampla 2" xfId="1437" xr:uid="{00000000-0005-0000-0000-0000940C0000}"/>
    <cellStyle name="_PLPT_PLANILHA_CÁLCULO_DÉFICIT_RESOLUÇÃO_294_2007_COELCE_Sem_Gov_Estado-Ate_Rev2007_IRT_Planilha Básica_março2009_teste ampla_Balanço" xfId="588" xr:uid="{00000000-0005-0000-0000-0000950C0000}"/>
    <cellStyle name="_PLPT_PLANILHA_CÁLCULO_DÉFICIT_RESOLUÇÃO_294_2007_COELCE_Sem_Gov_Estado-Ate_Rev2007_IRT_Planilha Básica_março2009_teste ampla_Balanço 2" xfId="1438" xr:uid="{00000000-0005-0000-0000-0000960C0000}"/>
    <cellStyle name="_PLPT_PLANILHA_CÁLCULO_DÉFICIT_RESOLUÇÃO_294_2007_COELCE_Sem_Gov_Estado-Ate_Rev2007_IRT_Planilha Básica_março2009_teste ampla_casulo 15" xfId="589" xr:uid="{00000000-0005-0000-0000-0000970C0000}"/>
    <cellStyle name="_PLPT_PLANILHA_CÁLCULO_DÉFICIT_RESOLUÇÃO_294_2007_COELCE_Sem_Gov_Estado-Ate_Rev2007_IRT_Planilha Básica_março2009_teste ampla_casulo 5" xfId="590" xr:uid="{00000000-0005-0000-0000-0000980C0000}"/>
    <cellStyle name="_PLPT_PLANILHA_CÁLCULO_DÉFICIT_RESOLUÇÃO_294_2007_COELCE_Sem_Gov_Estado-Ate_Rev2007_IRT_Planilha Básica_março2009_teste ampla_casulo 5 2" xfId="1439" xr:uid="{00000000-0005-0000-0000-0000990C0000}"/>
    <cellStyle name="_PLPT_PLANILHA_CÁLCULO_DÉFICIT_RESOLUÇÃO_294_2007_COELCE_Sem_Gov_Estado-Ate_Rev2007_IRT_Planilha Básica_março2009_teste ampla_casulo 5_Balanço" xfId="591" xr:uid="{00000000-0005-0000-0000-00009A0C0000}"/>
    <cellStyle name="_PLPT_PLANILHA_CÁLCULO_DÉFICIT_RESOLUÇÃO_294_2007_COELCE_Sem_Gov_Estado-Ate_Rev2007_IRT_Planilha Básica_março2009_teste ampla_casulo 5_casulo 15" xfId="592" xr:uid="{00000000-0005-0000-0000-00009B0C0000}"/>
    <cellStyle name="_PLPT_PLANILHA_CÁLCULO_DÉFICIT_RESOLUÇÃO_294_2007_COELCE_Sem_Gov_Estado-Ate_Rev2007_IRT_Planilha Básica_março2009_teste ampla_casulo 5_IRT EEB 2010" xfId="3360" xr:uid="{00000000-0005-0000-0000-00009C0C0000}"/>
    <cellStyle name="_PLPT_PLANILHA_CÁLCULO_DÉFICIT_RESOLUÇÃO_294_2007_COELCE_Sem_Gov_Estado-Ate_Rev2007_IRT_Planilha Básica_março2009_teste ampla_IRT EEB 2010" xfId="3361" xr:uid="{00000000-0005-0000-0000-00009D0C0000}"/>
    <cellStyle name="_PLPT_PLANILHA_CÁLCULO_DÉFICIT_RESOLUÇÃO_294_2007_COELCE_Sem_Gov_Estado-Ate_Rev2007_IRT_Planilha Básica_NOVA METODOLOGIA" xfId="3362" xr:uid="{00000000-0005-0000-0000-00009E0C0000}"/>
    <cellStyle name="_PLPT_PLANILHA_CÁLCULO_DÉFICIT_RESOLUÇÃO_294_2007_COELCE_Sem_Gov_Estado-Ate_Rev2007_IRT_Planilha Básica_out2009" xfId="593" xr:uid="{00000000-0005-0000-0000-00009F0C0000}"/>
    <cellStyle name="_PLPT_PLANILHA_CÁLCULO_DÉFICIT_RESOLUÇÃO_294_2007_COELCE_Sem_Gov_Estado-Ate_Rev2007_IRT_Planilha Básica_out2009 2" xfId="1440" xr:uid="{00000000-0005-0000-0000-0000A00C0000}"/>
    <cellStyle name="_PLPT_PLANILHA_CÁLCULO_DÉFICIT_RESOLUÇÃO_294_2007_COELCE_Sem_Gov_Estado-Ate_Rev2007_IRT_Planilha Básica_out2009_Balanço" xfId="594" xr:uid="{00000000-0005-0000-0000-0000A10C0000}"/>
    <cellStyle name="_PLPT_PLANILHA_CÁLCULO_DÉFICIT_RESOLUÇÃO_294_2007_COELCE_Sem_Gov_Estado-Ate_Rev2007_IRT_Planilha Básica_out2009_Balanço 2" xfId="1441" xr:uid="{00000000-0005-0000-0000-0000A20C0000}"/>
    <cellStyle name="_PLPT_PLANILHA_CÁLCULO_DÉFICIT_RESOLUÇÃO_294_2007_COELCE_Sem_Gov_Estado-Ate_Rev2007_IRT_Planilha Básica_out2009_casulo 15" xfId="595" xr:uid="{00000000-0005-0000-0000-0000A30C0000}"/>
    <cellStyle name="_PLPT_PLANILHA_CÁLCULO_DÉFICIT_RESOLUÇÃO_294_2007_COELCE_Sem_Gov_Estado-Ate_Rev2007_IRT_Planilha Básica_out2009_casulo 5" xfId="596" xr:uid="{00000000-0005-0000-0000-0000A40C0000}"/>
    <cellStyle name="_PLPT_PLANILHA_CÁLCULO_DÉFICIT_RESOLUÇÃO_294_2007_COELCE_Sem_Gov_Estado-Ate_Rev2007_IRT_Planilha Básica_out2009_casulo 5 2" xfId="1442" xr:uid="{00000000-0005-0000-0000-0000A50C0000}"/>
    <cellStyle name="_PLPT_PLANILHA_CÁLCULO_DÉFICIT_RESOLUÇÃO_294_2007_COELCE_Sem_Gov_Estado-Ate_Rev2007_IRT_Planilha Básica_out2009_casulo 5_Balanço" xfId="597" xr:uid="{00000000-0005-0000-0000-0000A60C0000}"/>
    <cellStyle name="_PLPT_PLANILHA_CÁLCULO_DÉFICIT_RESOLUÇÃO_294_2007_COELCE_Sem_Gov_Estado-Ate_Rev2007_IRT_Planilha Básica_out2009_casulo 5_casulo 15" xfId="598" xr:uid="{00000000-0005-0000-0000-0000A70C0000}"/>
    <cellStyle name="_PLPT_PLANILHA_CÁLCULO_DÉFICIT_RESOLUÇÃO_294_2007_COELCE_Sem_Gov_Estado-Ate_Rev2007_IRT_Planilha Básica_out2009_casulo 5_IRT EEB 2010" xfId="3363" xr:uid="{00000000-0005-0000-0000-0000A80C0000}"/>
    <cellStyle name="_PLPT_PLANILHA_CÁLCULO_DÉFICIT_RESOLUÇÃO_294_2007_COELCE_Sem_Gov_Estado-Ate_Rev2007_IRT_Planilha Básica_out2009_IRT EEB 2010" xfId="3364" xr:uid="{00000000-0005-0000-0000-0000A90C0000}"/>
    <cellStyle name="_PLPT_PLANILHA_CÁLCULO_DÉFICIT_RESOLUÇÃO_294_2007_COELCE_Sem_Gov_Estado-Ate_Rev2007_IRT_Pleito" xfId="3365" xr:uid="{00000000-0005-0000-0000-0000AA0C0000}"/>
    <cellStyle name="_PLPT_PLANILHA_CÁLCULO_DÉFICIT_RESOLUÇÃO_294_2007_COELCE_Sem_Gov_Estado-Ate_Rev2007_IRT_Pleito_IRT-cálculo" xfId="3366" xr:uid="{00000000-0005-0000-0000-0000AB0C0000}"/>
    <cellStyle name="_PLPT_PLANILHA_CÁLCULO_DÉFICIT_RESOLUÇÃO_294_2007_COELCE_Sem_Gov_Estado-Ate_Rev2007_IRT_Pleito_IRT-cálculo CAPA NEUTRALIDADE" xfId="3367" xr:uid="{00000000-0005-0000-0000-0000AC0C0000}"/>
    <cellStyle name="_PLPT_PLANILHA_CÁLCULO_DÉFICIT_RESOLUÇÃO_294_2007_COELCE_Sem_Gov_Estado-Ate_Rev2007_IRT_Revisão A-1" xfId="3368" xr:uid="{00000000-0005-0000-0000-0000AD0C0000}"/>
    <cellStyle name="_PLPT_PLANILHA_CÁLCULO_DÉFICIT_RESOLUÇÃO_294_2007_COELCE_Sem_Gov_Estado-Ate_Rev2007_IRT_Revisão A-1_IRT-cálculo" xfId="3369" xr:uid="{00000000-0005-0000-0000-0000AE0C0000}"/>
    <cellStyle name="_PLPT_PLANILHA_CÁLCULO_DÉFICIT_RESOLUÇÃO_294_2007_COELCE_Sem_Gov_Estado-Ate_Rev2007_IRT_Revisão A-1_IRT-cálculo CAPA NEUTRALIDADE" xfId="3370" xr:uid="{00000000-0005-0000-0000-0000AF0C0000}"/>
    <cellStyle name="_PLPT_PLANILHA_CÁLCULO_DÉFICIT_RESOLUÇÃO_294_2007_COELCE_Sem_Gov_Estado-Ate_Rev2007_IRT_SantaCruzpós IGPM" xfId="3371" xr:uid="{00000000-0005-0000-0000-0000B00C0000}"/>
    <cellStyle name="_PLPT_PLANILHA_CÁLCULO_DÉFICIT_RESOLUÇÃO_294_2007_COELCE_Sem_Gov_Estado-Ate_Rev2007_IRT1" xfId="3372" xr:uid="{00000000-0005-0000-0000-0000B10C0000}"/>
    <cellStyle name="_PLPT_PLANILHA_CÁLCULO_DÉFICIT_RESOLUÇÃO_294_2007_COELCE_Sem_Gov_Estado-Ate_Rev2007_IRT1_IRT-cálculo" xfId="3373" xr:uid="{00000000-0005-0000-0000-0000B20C0000}"/>
    <cellStyle name="_PLPT_PLANILHA_CÁLCULO_DÉFICIT_RESOLUÇÃO_294_2007_COELCE_Sem_Gov_Estado-Ate_Rev2007_IRT1_IRT-cálculo CAPA NEUTRALIDADE" xfId="3374" xr:uid="{00000000-0005-0000-0000-0000B30C0000}"/>
    <cellStyle name="_PLPT_PLANILHA_CÁLCULO_DÉFICIT_RESOLUÇÃO_294_2007_COELCE_Sem_Gov_Estado-Ate_Rev2007_IRT-2010_COPEL_SOBRECONTRATAÇÃOeCVAenergia" xfId="1636" xr:uid="{00000000-0005-0000-0000-0000B40C0000}"/>
    <cellStyle name="_PLPT_PLANILHA_CÁLCULO_DÉFICIT_RESOLUÇÃO_294_2007_COELCE_Sem_Gov_Estado-Ate_Rev2007_IRT-cálculo" xfId="3375" xr:uid="{00000000-0005-0000-0000-0000B50C0000}"/>
    <cellStyle name="_PLPT_PLANILHA_CÁLCULO_DÉFICIT_RESOLUÇÃO_294_2007_COELCE_Sem_Gov_Estado-Ate_Rev2007_IRT-cálculo CAPA NEUTRALIDADE" xfId="3376" xr:uid="{00000000-0005-0000-0000-0000B60C0000}"/>
    <cellStyle name="_PLPT_PLANILHA_CÁLCULO_DÉFICIT_RESOLUÇÃO_294_2007_COELCE_Sem_Gov_Estado-Ate_Rev2007_Modelo IRT ANEELl_2010" xfId="43247" xr:uid="{00000000-0005-0000-0000-0000B70C0000}"/>
    <cellStyle name="_PLPT_PLANILHA_CÁLCULO_DÉFICIT_RESOLUÇÃO_294_2007_COELCE_Sem_Gov_Estado-Ate_Rev2007_Pasta1" xfId="1637" xr:uid="{00000000-0005-0000-0000-0000B80C0000}"/>
    <cellStyle name="_PLPT_PLANILHA_CÁLCULO_DÉFICIT_RESOLUÇÃO_294_2007_COELCE_Sem_Gov_Estado-Ate_Rev2007_Pasta1 2" xfId="3377" xr:uid="{00000000-0005-0000-0000-0000B90C0000}"/>
    <cellStyle name="_PLPT_PLANILHA_CÁLCULO_DÉFICIT_RESOLUÇÃO_294_2007_COELCE_Sem_Gov_Estado-Ate_Rev2007_Pasta1_atualização serviços taxados" xfId="43248" xr:uid="{00000000-0005-0000-0000-0000BA0C0000}"/>
    <cellStyle name="_PLPT_PLANILHA_CÁLCULO_DÉFICIT_RESOLUÇÃO_294_2007_COELCE_Sem_Gov_Estado-Ate_Rev2007_Pasta1_Financeiro Desconto na TUSD Consumidores Livres Reajuste 2010 - 03_03_2010" xfId="43249" xr:uid="{00000000-0005-0000-0000-0000BB0C0000}"/>
    <cellStyle name="_PLPT_PLANILHA_CÁLCULO_DÉFICIT_RESOLUÇÃO_294_2007_COELCE_Sem_Gov_Estado-Ate_Rev2007_Pasta1_Financeiro Desconto na TUSD Geradores Reajuste 2010 - 03_03_2010" xfId="43250" xr:uid="{00000000-0005-0000-0000-0000BC0C0000}"/>
    <cellStyle name="_PLPT_PLANILHA_CÁLCULO_DÉFICIT_RESOLUÇÃO_294_2007_COELCE_Sem_Gov_Estado-Ate_Rev2007_Pasta1_Financeiro Subsídio Baixa Renda Reajuste 2010 - 03_03_2010" xfId="43251" xr:uid="{00000000-0005-0000-0000-0000BD0C0000}"/>
    <cellStyle name="_PLPT_PLANILHA_CÁLCULO_DÉFICIT_RESOLUÇÃO_294_2007_COELCE_Sem_Gov_Estado-Ate_Rev2007_Pasta1_Financeiro Subsídio Rural Irrigante e Aquicultor Reajuste 2010 - 03_03_2010" xfId="43252" xr:uid="{00000000-0005-0000-0000-0000BE0C0000}"/>
    <cellStyle name="_PLPT_PLANILHA_CÁLCULO_DÉFICIT_RESOLUÇÃO_294_2007_COELCE_Sem_Gov_Estado-Ate_Rev2007_Pasta1_IRT-cálculo" xfId="3378" xr:uid="{00000000-0005-0000-0000-0000BF0C0000}"/>
    <cellStyle name="_PLPT_PLANILHA_CÁLCULO_DÉFICIT_RESOLUÇÃO_294_2007_COELCE_Sem_Gov_Estado-Ate_Rev2007_Pasta1_IRT-cálculo CAPA NEUTRALIDADE" xfId="3379" xr:uid="{00000000-0005-0000-0000-0000C00C0000}"/>
    <cellStyle name="_PLPT_PLANILHA_CÁLCULO_DÉFICIT_RESOLUÇÃO_294_2007_COELCE_Sem_Gov_Estado-Ate_Rev2007_Pasta1_SOBRECONTRATAÇÃO E CVA" xfId="3380" xr:uid="{00000000-0005-0000-0000-0000C10C0000}"/>
    <cellStyle name="_PLPT_PLANILHA_CÁLCULO_DÉFICIT_RESOLUÇÃO_294_2007_COELCE_Sem_Gov_Estado-Ate_Rev2007_Pasta2" xfId="599" xr:uid="{00000000-0005-0000-0000-0000C20C0000}"/>
    <cellStyle name="_PLPT_PLANILHA_CÁLCULO_DÉFICIT_RESOLUÇÃO_294_2007_COELCE_Sem_Gov_Estado-Ate_Rev2007_Pasta2 2" xfId="1443" xr:uid="{00000000-0005-0000-0000-0000C30C0000}"/>
    <cellStyle name="_PLPT_PLANILHA_CÁLCULO_DÉFICIT_RESOLUÇÃO_294_2007_COELCE_Sem_Gov_Estado-Ate_Rev2007_Pasta2_02 IRT Bandeirante 2009" xfId="3381" xr:uid="{00000000-0005-0000-0000-0000C40C0000}"/>
    <cellStyle name="_PLPT_PLANILHA_CÁLCULO_DÉFICIT_RESOLUÇÃO_294_2007_COELCE_Sem_Gov_Estado-Ate_Rev2007_Pasta2_Balanço" xfId="600" xr:uid="{00000000-0005-0000-0000-0000C50C0000}"/>
    <cellStyle name="_PLPT_PLANILHA_CÁLCULO_DÉFICIT_RESOLUÇÃO_294_2007_COELCE_Sem_Gov_Estado-Ate_Rev2007_Pasta2_Balanço 2" xfId="1444" xr:uid="{00000000-0005-0000-0000-0000C60C0000}"/>
    <cellStyle name="_PLPT_PLANILHA_CÁLCULO_DÉFICIT_RESOLUÇÃO_294_2007_COELCE_Sem_Gov_Estado-Ate_Rev2007_Pasta2_casulo 15" xfId="601" xr:uid="{00000000-0005-0000-0000-0000C70C0000}"/>
    <cellStyle name="_PLPT_PLANILHA_CÁLCULO_DÉFICIT_RESOLUÇÃO_294_2007_COELCE_Sem_Gov_Estado-Ate_Rev2007_Pasta2_casulo 5" xfId="602" xr:uid="{00000000-0005-0000-0000-0000C80C0000}"/>
    <cellStyle name="_PLPT_PLANILHA_CÁLCULO_DÉFICIT_RESOLUÇÃO_294_2007_COELCE_Sem_Gov_Estado-Ate_Rev2007_Pasta2_casulo 5 2" xfId="1445" xr:uid="{00000000-0005-0000-0000-0000C90C0000}"/>
    <cellStyle name="_PLPT_PLANILHA_CÁLCULO_DÉFICIT_RESOLUÇÃO_294_2007_COELCE_Sem_Gov_Estado-Ate_Rev2007_Pasta2_casulo 5_Balanço" xfId="603" xr:uid="{00000000-0005-0000-0000-0000CA0C0000}"/>
    <cellStyle name="_PLPT_PLANILHA_CÁLCULO_DÉFICIT_RESOLUÇÃO_294_2007_COELCE_Sem_Gov_Estado-Ate_Rev2007_Pasta2_casulo 5_casulo 15" xfId="604" xr:uid="{00000000-0005-0000-0000-0000CB0C0000}"/>
    <cellStyle name="_PLPT_PLANILHA_CÁLCULO_DÉFICIT_RESOLUÇÃO_294_2007_COELCE_Sem_Gov_Estado-Ate_Rev2007_Pasta2_casulo 5_IRT EEB 2010" xfId="3382" xr:uid="{00000000-0005-0000-0000-0000CC0C0000}"/>
    <cellStyle name="_PLPT_PLANILHA_CÁLCULO_DÉFICIT_RESOLUÇÃO_294_2007_COELCE_Sem_Gov_Estado-Ate_Rev2007_Pasta2_IRT EEB 2010" xfId="3383" xr:uid="{00000000-0005-0000-0000-0000CD0C0000}"/>
    <cellStyle name="_PLPT_PLANILHA_CÁLCULO_DÉFICIT_RESOLUÇÃO_294_2007_COELCE_Sem_Gov_Estado-Ate_Rev2007_Pasta2_IRT Piratininga 2009" xfId="605" xr:uid="{00000000-0005-0000-0000-0000CE0C0000}"/>
    <cellStyle name="_PLPT_PLANILHA_CÁLCULO_DÉFICIT_RESOLUÇÃO_294_2007_COELCE_Sem_Gov_Estado-Ate_Rev2007_Pasta2_IRT Piratininga 2009 2" xfId="1446" xr:uid="{00000000-0005-0000-0000-0000CF0C0000}"/>
    <cellStyle name="_PLPT_PLANILHA_CÁLCULO_DÉFICIT_RESOLUÇÃO_294_2007_COELCE_Sem_Gov_Estado-Ate_Rev2007_Pasta2_IRT Piratininga 2009_Balanço" xfId="606" xr:uid="{00000000-0005-0000-0000-0000D00C0000}"/>
    <cellStyle name="_PLPT_PLANILHA_CÁLCULO_DÉFICIT_RESOLUÇÃO_294_2007_COELCE_Sem_Gov_Estado-Ate_Rev2007_Pasta2_IRT Piratininga 2009_casulo 15" xfId="607" xr:uid="{00000000-0005-0000-0000-0000D10C0000}"/>
    <cellStyle name="_PLPT_PLANILHA_CÁLCULO_DÉFICIT_RESOLUÇÃO_294_2007_COELCE_Sem_Gov_Estado-Ate_Rev2007_Pasta2_IRT Piratininga 2009_IRT EEB 2010" xfId="3384" xr:uid="{00000000-0005-0000-0000-0000D20C0000}"/>
    <cellStyle name="_PLPT_PLANILHA_CÁLCULO_DÉFICIT_RESOLUÇÃO_294_2007_COELCE_Sem_Gov_Estado-Ate_Rev2007_Pasta2_IRT_EBB_mai2010d" xfId="3385" xr:uid="{00000000-0005-0000-0000-0000D30C0000}"/>
    <cellStyle name="_PLPT_PLANILHA_CÁLCULO_DÉFICIT_RESOLUÇÃO_294_2007_COELCE_Sem_Gov_Estado-Ate_Rev2007_Pasta2_IRT_Planilha Básica_ CETRIL" xfId="608" xr:uid="{00000000-0005-0000-0000-0000D40C0000}"/>
    <cellStyle name="_PLPT_PLANILHA_CÁLCULO_DÉFICIT_RESOLUÇÃO_294_2007_COELCE_Sem_Gov_Estado-Ate_Rev2007_Pasta2_IRT_Planilha Básica_ CETRIL 2" xfId="1447" xr:uid="{00000000-0005-0000-0000-0000D50C0000}"/>
    <cellStyle name="_PLPT_PLANILHA_CÁLCULO_DÉFICIT_RESOLUÇÃO_294_2007_COELCE_Sem_Gov_Estado-Ate_Rev2007_Pasta2_IRT_Planilha Básica_ CETRIL_Balanço" xfId="609" xr:uid="{00000000-0005-0000-0000-0000D60C0000}"/>
    <cellStyle name="_PLPT_PLANILHA_CÁLCULO_DÉFICIT_RESOLUÇÃO_294_2007_COELCE_Sem_Gov_Estado-Ate_Rev2007_Pasta2_IRT_Planilha Básica_ CETRIL_casulo 15" xfId="610" xr:uid="{00000000-0005-0000-0000-0000D70C0000}"/>
    <cellStyle name="_PLPT_PLANILHA_CÁLCULO_DÉFICIT_RESOLUÇÃO_294_2007_COELCE_Sem_Gov_Estado-Ate_Rev2007_Pasta2_IRT_Planilha Básica_ CETRIL_IRT EEB 2010" xfId="3386" xr:uid="{00000000-0005-0000-0000-0000D80C0000}"/>
    <cellStyle name="_PLPT_PLANILHA_CÁLCULO_DÉFICIT_RESOLUÇÃO_294_2007_COELCE_Sem_Gov_Estado-Ate_Rev2007_Pasta2_IRT_Planilha Básica_DIRETORIA" xfId="3387" xr:uid="{00000000-0005-0000-0000-0000D90C0000}"/>
    <cellStyle name="_PLPT_PLANILHA_CÁLCULO_DÉFICIT_RESOLUÇÃO_294_2007_COELCE_Sem_Gov_Estado-Ate_Rev2007_Pasta2_IRT_Planilha Básica_fev2010" xfId="3388" xr:uid="{00000000-0005-0000-0000-0000DA0C0000}"/>
    <cellStyle name="_PLPT_PLANILHA_CÁLCULO_DÉFICIT_RESOLUÇÃO_294_2007_COELCE_Sem_Gov_Estado-Ate_Rev2007_Pasta2_IRT_Planilha Básica_fev2010a" xfId="611" xr:uid="{00000000-0005-0000-0000-0000DB0C0000}"/>
    <cellStyle name="_PLPT_PLANILHA_CÁLCULO_DÉFICIT_RESOLUÇÃO_294_2007_COELCE_Sem_Gov_Estado-Ate_Rev2007_Pasta2_IRT_Planilha Básica_fev2010a 2" xfId="1448" xr:uid="{00000000-0005-0000-0000-0000DC0C0000}"/>
    <cellStyle name="_PLPT_PLANILHA_CÁLCULO_DÉFICIT_RESOLUÇÃO_294_2007_COELCE_Sem_Gov_Estado-Ate_Rev2007_Pasta2_IRT_Planilha Básica_fev2010a_Balanço" xfId="612" xr:uid="{00000000-0005-0000-0000-0000DD0C0000}"/>
    <cellStyle name="_PLPT_PLANILHA_CÁLCULO_DÉFICIT_RESOLUÇÃO_294_2007_COELCE_Sem_Gov_Estado-Ate_Rev2007_Pasta2_IRT_Planilha Básica_fev2010a_Balanço 2" xfId="1449" xr:uid="{00000000-0005-0000-0000-0000DE0C0000}"/>
    <cellStyle name="_PLPT_PLANILHA_CÁLCULO_DÉFICIT_RESOLUÇÃO_294_2007_COELCE_Sem_Gov_Estado-Ate_Rev2007_Pasta2_IRT_Planilha Básica_fev2010a_casulo 15" xfId="613" xr:uid="{00000000-0005-0000-0000-0000DF0C0000}"/>
    <cellStyle name="_PLPT_PLANILHA_CÁLCULO_DÉFICIT_RESOLUÇÃO_294_2007_COELCE_Sem_Gov_Estado-Ate_Rev2007_Pasta2_IRT_Planilha Básica_fev2010a_casulo 5" xfId="614" xr:uid="{00000000-0005-0000-0000-0000E00C0000}"/>
    <cellStyle name="_PLPT_PLANILHA_CÁLCULO_DÉFICIT_RESOLUÇÃO_294_2007_COELCE_Sem_Gov_Estado-Ate_Rev2007_Pasta2_IRT_Planilha Básica_fev2010a_casulo 5 2" xfId="1450" xr:uid="{00000000-0005-0000-0000-0000E10C0000}"/>
    <cellStyle name="_PLPT_PLANILHA_CÁLCULO_DÉFICIT_RESOLUÇÃO_294_2007_COELCE_Sem_Gov_Estado-Ate_Rev2007_Pasta2_IRT_Planilha Básica_fev2010a_casulo 5_Balanço" xfId="615" xr:uid="{00000000-0005-0000-0000-0000E20C0000}"/>
    <cellStyle name="_PLPT_PLANILHA_CÁLCULO_DÉFICIT_RESOLUÇÃO_294_2007_COELCE_Sem_Gov_Estado-Ate_Rev2007_Pasta2_IRT_Planilha Básica_fev2010a_casulo 5_casulo 15" xfId="616" xr:uid="{00000000-0005-0000-0000-0000E30C0000}"/>
    <cellStyle name="_PLPT_PLANILHA_CÁLCULO_DÉFICIT_RESOLUÇÃO_294_2007_COELCE_Sem_Gov_Estado-Ate_Rev2007_Pasta2_IRT_Planilha Básica_fev2010a_casulo 5_IRT EEB 2010" xfId="3389" xr:uid="{00000000-0005-0000-0000-0000E40C0000}"/>
    <cellStyle name="_PLPT_PLANILHA_CÁLCULO_DÉFICIT_RESOLUÇÃO_294_2007_COELCE_Sem_Gov_Estado-Ate_Rev2007_Pasta2_IRT_Planilha Básica_fev2010a_IRT EEB 2010" xfId="3390" xr:uid="{00000000-0005-0000-0000-0000E50C0000}"/>
    <cellStyle name="_PLPT_PLANILHA_CÁLCULO_DÉFICIT_RESOLUÇÃO_294_2007_COELCE_Sem_Gov_Estado-Ate_Rev2007_Pasta2_IRT_Planilha Básica_jan2010" xfId="3391" xr:uid="{00000000-0005-0000-0000-0000E60C0000}"/>
    <cellStyle name="_PLPT_PLANILHA_CÁLCULO_DÉFICIT_RESOLUÇÃO_294_2007_COELCE_Sem_Gov_Estado-Ate_Rev2007_Pasta2_IRT_Planilha Básica_mar2010b" xfId="3392" xr:uid="{00000000-0005-0000-0000-0000E70C0000}"/>
    <cellStyle name="_PLPT_PLANILHA_CÁLCULO_DÉFICIT_RESOLUÇÃO_294_2007_COELCE_Sem_Gov_Estado-Ate_Rev2007_Pasta2_IRT_Planilha Básica_mar2010d" xfId="617" xr:uid="{00000000-0005-0000-0000-0000E80C0000}"/>
    <cellStyle name="_PLPT_PLANILHA_CÁLCULO_DÉFICIT_RESOLUÇÃO_294_2007_COELCE_Sem_Gov_Estado-Ate_Rev2007_Pasta2_IRT_Planilha Básica_mar2010d 2" xfId="1451" xr:uid="{00000000-0005-0000-0000-0000E90C0000}"/>
    <cellStyle name="_PLPT_PLANILHA_CÁLCULO_DÉFICIT_RESOLUÇÃO_294_2007_COELCE_Sem_Gov_Estado-Ate_Rev2007_Pasta2_IRT_Planilha Básica_NOVA METODOLOGIA" xfId="3393" xr:uid="{00000000-0005-0000-0000-0000EA0C0000}"/>
    <cellStyle name="_PLPT_PLANILHA_CÁLCULO_DÉFICIT_RESOLUÇÃO_294_2007_COELCE_Sem_Gov_Estado-Ate_Rev2007_Pasta2_IRT_Santa 2010" xfId="3394" xr:uid="{00000000-0005-0000-0000-0000EB0C0000}"/>
    <cellStyle name="_PLPT_PLANILHA_CÁLCULO_DÉFICIT_RESOLUÇÃO_294_2007_COELCE_Sem_Gov_Estado-Ate_Rev2007_Pasta2_IRT-cálculo" xfId="3395" xr:uid="{00000000-0005-0000-0000-0000EC0C0000}"/>
    <cellStyle name="_PLPT_PLANILHA_CÁLCULO_DÉFICIT_RESOLUÇÃO_294_2007_COELCE_Sem_Gov_Estado-Ate_Rev2007_Pasta2_IRT-cálculo CAPA NEUTRALIDADE" xfId="3396" xr:uid="{00000000-0005-0000-0000-0000ED0C0000}"/>
    <cellStyle name="_PLPT_PLANILHA_CÁLCULO_DÉFICIT_RESOLUÇÃO_294_2007_COELCE_Sem_Gov_Estado-Ate_Rev2007_Pasta2_Resultados_DEA_RND_QUAL_PERDAS" xfId="42543" xr:uid="{00000000-0005-0000-0000-0000EE0C0000}"/>
    <cellStyle name="_PLPT_PLANILHA_CÁLCULO_DÉFICIT_RESOLUÇÃO_294_2007_COELCE_Sem_Gov_Estado-Ate_Rev2007_Pasta2_teste ampla" xfId="618" xr:uid="{00000000-0005-0000-0000-0000EF0C0000}"/>
    <cellStyle name="_PLPT_PLANILHA_CÁLCULO_DÉFICIT_RESOLUÇÃO_294_2007_COELCE_Sem_Gov_Estado-Ate_Rev2007_Pasta2_teste ampla 2" xfId="1452" xr:uid="{00000000-0005-0000-0000-0000F00C0000}"/>
    <cellStyle name="_PLPT_PLANILHA_CÁLCULO_DÉFICIT_RESOLUÇÃO_294_2007_COELCE_Sem_Gov_Estado-Ate_Rev2007_Pasta2_teste ampla_Balanço" xfId="619" xr:uid="{00000000-0005-0000-0000-0000F10C0000}"/>
    <cellStyle name="_PLPT_PLANILHA_CÁLCULO_DÉFICIT_RESOLUÇÃO_294_2007_COELCE_Sem_Gov_Estado-Ate_Rev2007_Pasta2_teste ampla_Balanço 2" xfId="1453" xr:uid="{00000000-0005-0000-0000-0000F20C0000}"/>
    <cellStyle name="_PLPT_PLANILHA_CÁLCULO_DÉFICIT_RESOLUÇÃO_294_2007_COELCE_Sem_Gov_Estado-Ate_Rev2007_Pasta2_teste ampla_casulo 15" xfId="620" xr:uid="{00000000-0005-0000-0000-0000F30C0000}"/>
    <cellStyle name="_PLPT_PLANILHA_CÁLCULO_DÉFICIT_RESOLUÇÃO_294_2007_COELCE_Sem_Gov_Estado-Ate_Rev2007_Pasta2_teste ampla_casulo 5" xfId="621" xr:uid="{00000000-0005-0000-0000-0000F40C0000}"/>
    <cellStyle name="_PLPT_PLANILHA_CÁLCULO_DÉFICIT_RESOLUÇÃO_294_2007_COELCE_Sem_Gov_Estado-Ate_Rev2007_Pasta2_teste ampla_casulo 5 2" xfId="1454" xr:uid="{00000000-0005-0000-0000-0000F50C0000}"/>
    <cellStyle name="_PLPT_PLANILHA_CÁLCULO_DÉFICIT_RESOLUÇÃO_294_2007_COELCE_Sem_Gov_Estado-Ate_Rev2007_Pasta2_teste ampla_casulo 5_Balanço" xfId="622" xr:uid="{00000000-0005-0000-0000-0000F60C0000}"/>
    <cellStyle name="_PLPT_PLANILHA_CÁLCULO_DÉFICIT_RESOLUÇÃO_294_2007_COELCE_Sem_Gov_Estado-Ate_Rev2007_Pasta2_teste ampla_casulo 5_casulo 15" xfId="623" xr:uid="{00000000-0005-0000-0000-0000F70C0000}"/>
    <cellStyle name="_PLPT_PLANILHA_CÁLCULO_DÉFICIT_RESOLUÇÃO_294_2007_COELCE_Sem_Gov_Estado-Ate_Rev2007_Pasta2_teste ampla_casulo 5_IRT EEB 2010" xfId="3397" xr:uid="{00000000-0005-0000-0000-0000F80C0000}"/>
    <cellStyle name="_PLPT_PLANILHA_CÁLCULO_DÉFICIT_RESOLUÇÃO_294_2007_COELCE_Sem_Gov_Estado-Ate_Rev2007_Pasta2_teste ampla_IRT EEB 2010" xfId="3398" xr:uid="{00000000-0005-0000-0000-0000F90C0000}"/>
    <cellStyle name="_PLPT_PLANILHA_CÁLCULO_DÉFICIT_RESOLUÇÃO_294_2007_COELCE_Sem_Gov_Estado-Ate_Rev2007_Pleito_IRT_ESE_2010_Envio_ANEEL_Final_atualizado_05_04" xfId="3399" xr:uid="{00000000-0005-0000-0000-0000FA0C0000}"/>
    <cellStyle name="_PLPT_PLANILHA_CÁLCULO_DÉFICIT_RESOLUÇÃO_294_2007_COELCE_Sem_Gov_Estado-Ate_Rev2007_Resultados_DEA_RND_QUAL_PERDAS" xfId="42544" xr:uid="{00000000-0005-0000-0000-0000FB0C0000}"/>
    <cellStyle name="_PLPT_PLANILHA_CÁLCULO_DÉFICIT_RESOLUÇÃO_294_2007_COELCE_Sem_Gov_Estado-Ate_Rev2007_sobrecontratação 2009 v2" xfId="43253" xr:uid="{00000000-0005-0000-0000-0000FC0C0000}"/>
    <cellStyle name="_PLPT_PLANILHA_CÁLCULO_DÉFICIT_RESOLUÇÃO_294_2007_COELCE_Sem_Gov_Estado-Ate_Rev2007_SOBRECONTRATAÇÃO E CVA Energisa Paraíba" xfId="3400" xr:uid="{00000000-0005-0000-0000-0000FD0C0000}"/>
    <cellStyle name="_PLPT_PLANILHA_CÁLCULO_DÉFICIT_RESOLUÇÃO_294_2007_COELCE_Sem_Gov_Estado-Ate_Rev2007_SOBRECONTRATAÇÃO EPB 2010" xfId="3401" xr:uid="{00000000-0005-0000-0000-0000FE0C0000}"/>
    <cellStyle name="_PLPT_PLANILHA_CÁLCULO_DÉFICIT_RESOLUÇÃO_294_2007_COELCE_Sem_Gov_Estado-Ate_Rev2007_Sobrecontratação_e_CVA_Energia" xfId="3402" xr:uid="{00000000-0005-0000-0000-0000FF0C0000}"/>
    <cellStyle name="_PLPT_PLANILHA_CÁLCULO_DÉFICIT_RESOLUÇÃO_294_2007_COELCE_Sem_Gov_Estado-Ate_Rev2007_Sobrecontratação-CVAenergia_COSERN_IRT-2010_nova" xfId="1638" xr:uid="{00000000-0005-0000-0000-0000000D0000}"/>
    <cellStyle name="_PLPT_PLANILHA_CÁLCULO_DÉFICIT_RESOLUÇÃO_294_2007_COELCE_Sem_Gov_Estado-Ate_Rev2007_Subsídios para análise da SRE" xfId="624" xr:uid="{00000000-0005-0000-0000-0000010D0000}"/>
    <cellStyle name="_PLPT_PLANILHA_CÁLCULO_DÉFICIT_RESOLUÇÃO_294_2007_COELCE_Sem_Gov_Estado-Ate_Rev2007_Subsídios para análise da SRE 2" xfId="1455" xr:uid="{00000000-0005-0000-0000-0000020D0000}"/>
    <cellStyle name="_PLPT_PLANILHA_CÁLCULO_DÉFICIT_RESOLUÇÃO_294_2007_COELCE_Sem_Gov_Estado-Ate_Rev2007_Subsídios para análise da SRE_02 IRT Bandeirante 2009" xfId="3403" xr:uid="{00000000-0005-0000-0000-0000030D0000}"/>
    <cellStyle name="_PLPT_PLANILHA_CÁLCULO_DÉFICIT_RESOLUÇÃO_294_2007_COELCE_Sem_Gov_Estado-Ate_Rev2007_Subsídios para análise da SRE_1" xfId="3404" xr:uid="{00000000-0005-0000-0000-0000040D0000}"/>
    <cellStyle name="_PLPT_PLANILHA_CÁLCULO_DÉFICIT_RESOLUÇÃO_294_2007_COELCE_Sem_Gov_Estado-Ate_Rev2007_Subsídios para análise da SRE_Balanço" xfId="625" xr:uid="{00000000-0005-0000-0000-0000050D0000}"/>
    <cellStyle name="_PLPT_PLANILHA_CÁLCULO_DÉFICIT_RESOLUÇÃO_294_2007_COELCE_Sem_Gov_Estado-Ate_Rev2007_Subsídios para análise da SRE_Balanço 2" xfId="1456" xr:uid="{00000000-0005-0000-0000-0000060D0000}"/>
    <cellStyle name="_PLPT_PLANILHA_CÁLCULO_DÉFICIT_RESOLUÇÃO_294_2007_COELCE_Sem_Gov_Estado-Ate_Rev2007_Subsídios para análise da SRE_casulo 15" xfId="626" xr:uid="{00000000-0005-0000-0000-0000070D0000}"/>
    <cellStyle name="_PLPT_PLANILHA_CÁLCULO_DÉFICIT_RESOLUÇÃO_294_2007_COELCE_Sem_Gov_Estado-Ate_Rev2007_Subsídios para análise da SRE_casulo 5" xfId="627" xr:uid="{00000000-0005-0000-0000-0000080D0000}"/>
    <cellStyle name="_PLPT_PLANILHA_CÁLCULO_DÉFICIT_RESOLUÇÃO_294_2007_COELCE_Sem_Gov_Estado-Ate_Rev2007_Subsídios para análise da SRE_casulo 5 2" xfId="1457" xr:uid="{00000000-0005-0000-0000-0000090D0000}"/>
    <cellStyle name="_PLPT_PLANILHA_CÁLCULO_DÉFICIT_RESOLUÇÃO_294_2007_COELCE_Sem_Gov_Estado-Ate_Rev2007_Subsídios para análise da SRE_casulo 5_Balanço" xfId="628" xr:uid="{00000000-0005-0000-0000-00000A0D0000}"/>
    <cellStyle name="_PLPT_PLANILHA_CÁLCULO_DÉFICIT_RESOLUÇÃO_294_2007_COELCE_Sem_Gov_Estado-Ate_Rev2007_Subsídios para análise da SRE_casulo 5_casulo 15" xfId="629" xr:uid="{00000000-0005-0000-0000-00000B0D0000}"/>
    <cellStyle name="_PLPT_PLANILHA_CÁLCULO_DÉFICIT_RESOLUÇÃO_294_2007_COELCE_Sem_Gov_Estado-Ate_Rev2007_Subsídios para análise da SRE_casulo 5_IRT EEB 2010" xfId="3405" xr:uid="{00000000-0005-0000-0000-00000C0D0000}"/>
    <cellStyle name="_PLPT_PLANILHA_CÁLCULO_DÉFICIT_RESOLUÇÃO_294_2007_COELCE_Sem_Gov_Estado-Ate_Rev2007_Subsídios para análise da SRE_IRT EEB 2010" xfId="3406" xr:uid="{00000000-0005-0000-0000-00000D0D0000}"/>
    <cellStyle name="_PLPT_PLANILHA_CÁLCULO_DÉFICIT_RESOLUÇÃO_294_2007_COELCE_Sem_Gov_Estado-Ate_Rev2007_Subsídios para análise da SRE_IRT Piratininga 2009" xfId="630" xr:uid="{00000000-0005-0000-0000-00000E0D0000}"/>
    <cellStyle name="_PLPT_PLANILHA_CÁLCULO_DÉFICIT_RESOLUÇÃO_294_2007_COELCE_Sem_Gov_Estado-Ate_Rev2007_Subsídios para análise da SRE_IRT Piratininga 2009 2" xfId="1458" xr:uid="{00000000-0005-0000-0000-00000F0D0000}"/>
    <cellStyle name="_PLPT_PLANILHA_CÁLCULO_DÉFICIT_RESOLUÇÃO_294_2007_COELCE_Sem_Gov_Estado-Ate_Rev2007_Subsídios para análise da SRE_IRT Piratininga 2009_Balanço" xfId="631" xr:uid="{00000000-0005-0000-0000-0000100D0000}"/>
    <cellStyle name="_PLPT_PLANILHA_CÁLCULO_DÉFICIT_RESOLUÇÃO_294_2007_COELCE_Sem_Gov_Estado-Ate_Rev2007_Subsídios para análise da SRE_IRT Piratininga 2009_casulo 15" xfId="632" xr:uid="{00000000-0005-0000-0000-0000110D0000}"/>
    <cellStyle name="_PLPT_PLANILHA_CÁLCULO_DÉFICIT_RESOLUÇÃO_294_2007_COELCE_Sem_Gov_Estado-Ate_Rev2007_Subsídios para análise da SRE_IRT Piratininga 2009_IRT EEB 2010" xfId="3407" xr:uid="{00000000-0005-0000-0000-0000120D0000}"/>
    <cellStyle name="_PLPT_PLANILHA_CÁLCULO_DÉFICIT_RESOLUÇÃO_294_2007_COELCE_Sem_Gov_Estado-Ate_Rev2007_Subsídios para análise da SRE_IRT_EBB_mai2010d" xfId="3408" xr:uid="{00000000-0005-0000-0000-0000130D0000}"/>
    <cellStyle name="_PLPT_PLANILHA_CÁLCULO_DÉFICIT_RESOLUÇÃO_294_2007_COELCE_Sem_Gov_Estado-Ate_Rev2007_Subsídios para análise da SRE_IRT_Planilha Básica_ CETRIL" xfId="633" xr:uid="{00000000-0005-0000-0000-0000140D0000}"/>
    <cellStyle name="_PLPT_PLANILHA_CÁLCULO_DÉFICIT_RESOLUÇÃO_294_2007_COELCE_Sem_Gov_Estado-Ate_Rev2007_Subsídios para análise da SRE_IRT_Planilha Básica_ CETRIL 2" xfId="1459" xr:uid="{00000000-0005-0000-0000-0000150D0000}"/>
    <cellStyle name="_PLPT_PLANILHA_CÁLCULO_DÉFICIT_RESOLUÇÃO_294_2007_COELCE_Sem_Gov_Estado-Ate_Rev2007_Subsídios para análise da SRE_IRT_Planilha Básica_ CETRIL_Balanço" xfId="634" xr:uid="{00000000-0005-0000-0000-0000160D0000}"/>
    <cellStyle name="_PLPT_PLANILHA_CÁLCULO_DÉFICIT_RESOLUÇÃO_294_2007_COELCE_Sem_Gov_Estado-Ate_Rev2007_Subsídios para análise da SRE_IRT_Planilha Básica_ CETRIL_casulo 15" xfId="635" xr:uid="{00000000-0005-0000-0000-0000170D0000}"/>
    <cellStyle name="_PLPT_PLANILHA_CÁLCULO_DÉFICIT_RESOLUÇÃO_294_2007_COELCE_Sem_Gov_Estado-Ate_Rev2007_Subsídios para análise da SRE_IRT_Planilha Básica_ CETRIL_IRT EEB 2010" xfId="3409" xr:uid="{00000000-0005-0000-0000-0000180D0000}"/>
    <cellStyle name="_PLPT_PLANILHA_CÁLCULO_DÉFICIT_RESOLUÇÃO_294_2007_COELCE_Sem_Gov_Estado-Ate_Rev2007_Subsídios para análise da SRE_IRT_Planilha Básica_DIRETORIA" xfId="3410" xr:uid="{00000000-0005-0000-0000-0000190D0000}"/>
    <cellStyle name="_PLPT_PLANILHA_CÁLCULO_DÉFICIT_RESOLUÇÃO_294_2007_COELCE_Sem_Gov_Estado-Ate_Rev2007_Subsídios para análise da SRE_IRT_Planilha Básica_fev2010" xfId="3411" xr:uid="{00000000-0005-0000-0000-00001A0D0000}"/>
    <cellStyle name="_PLPT_PLANILHA_CÁLCULO_DÉFICIT_RESOLUÇÃO_294_2007_COELCE_Sem_Gov_Estado-Ate_Rev2007_Subsídios para análise da SRE_IRT_Planilha Básica_fev2010a" xfId="636" xr:uid="{00000000-0005-0000-0000-00001B0D0000}"/>
    <cellStyle name="_PLPT_PLANILHA_CÁLCULO_DÉFICIT_RESOLUÇÃO_294_2007_COELCE_Sem_Gov_Estado-Ate_Rev2007_Subsídios para análise da SRE_IRT_Planilha Básica_fev2010a 2" xfId="1460" xr:uid="{00000000-0005-0000-0000-00001C0D0000}"/>
    <cellStyle name="_PLPT_PLANILHA_CÁLCULO_DÉFICIT_RESOLUÇÃO_294_2007_COELCE_Sem_Gov_Estado-Ate_Rev2007_Subsídios para análise da SRE_IRT_Planilha Básica_fev2010a_Balanço" xfId="637" xr:uid="{00000000-0005-0000-0000-00001D0D0000}"/>
    <cellStyle name="_PLPT_PLANILHA_CÁLCULO_DÉFICIT_RESOLUÇÃO_294_2007_COELCE_Sem_Gov_Estado-Ate_Rev2007_Subsídios para análise da SRE_IRT_Planilha Básica_fev2010a_Balanço 2" xfId="1461" xr:uid="{00000000-0005-0000-0000-00001E0D0000}"/>
    <cellStyle name="_PLPT_PLANILHA_CÁLCULO_DÉFICIT_RESOLUÇÃO_294_2007_COELCE_Sem_Gov_Estado-Ate_Rev2007_Subsídios para análise da SRE_IRT_Planilha Básica_fev2010a_casulo 15" xfId="638" xr:uid="{00000000-0005-0000-0000-00001F0D0000}"/>
    <cellStyle name="_PLPT_PLANILHA_CÁLCULO_DÉFICIT_RESOLUÇÃO_294_2007_COELCE_Sem_Gov_Estado-Ate_Rev2007_Subsídios para análise da SRE_IRT_Planilha Básica_fev2010a_casulo 5" xfId="639" xr:uid="{00000000-0005-0000-0000-0000200D0000}"/>
    <cellStyle name="_PLPT_PLANILHA_CÁLCULO_DÉFICIT_RESOLUÇÃO_294_2007_COELCE_Sem_Gov_Estado-Ate_Rev2007_Subsídios para análise da SRE_IRT_Planilha Básica_fev2010a_casulo 5 2" xfId="1462" xr:uid="{00000000-0005-0000-0000-0000210D0000}"/>
    <cellStyle name="_PLPT_PLANILHA_CÁLCULO_DÉFICIT_RESOLUÇÃO_294_2007_COELCE_Sem_Gov_Estado-Ate_Rev2007_Subsídios para análise da SRE_IRT_Planilha Básica_fev2010a_casulo 5_Balanço" xfId="640" xr:uid="{00000000-0005-0000-0000-0000220D0000}"/>
    <cellStyle name="_PLPT_PLANILHA_CÁLCULO_DÉFICIT_RESOLUÇÃO_294_2007_COELCE_Sem_Gov_Estado-Ate_Rev2007_Subsídios para análise da SRE_IRT_Planilha Básica_fev2010a_casulo 5_casulo 15" xfId="641" xr:uid="{00000000-0005-0000-0000-0000230D0000}"/>
    <cellStyle name="_PLPT_PLANILHA_CÁLCULO_DÉFICIT_RESOLUÇÃO_294_2007_COELCE_Sem_Gov_Estado-Ate_Rev2007_Subsídios para análise da SRE_IRT_Planilha Básica_fev2010a_casulo 5_IRT EEB 2010" xfId="3412" xr:uid="{00000000-0005-0000-0000-0000240D0000}"/>
    <cellStyle name="_PLPT_PLANILHA_CÁLCULO_DÉFICIT_RESOLUÇÃO_294_2007_COELCE_Sem_Gov_Estado-Ate_Rev2007_Subsídios para análise da SRE_IRT_Planilha Básica_fev2010a_IRT EEB 2010" xfId="3413" xr:uid="{00000000-0005-0000-0000-0000250D0000}"/>
    <cellStyle name="_PLPT_PLANILHA_CÁLCULO_DÉFICIT_RESOLUÇÃO_294_2007_COELCE_Sem_Gov_Estado-Ate_Rev2007_Subsídios para análise da SRE_IRT_Planilha Básica_jan2010" xfId="3414" xr:uid="{00000000-0005-0000-0000-0000260D0000}"/>
    <cellStyle name="_PLPT_PLANILHA_CÁLCULO_DÉFICIT_RESOLUÇÃO_294_2007_COELCE_Sem_Gov_Estado-Ate_Rev2007_Subsídios para análise da SRE_IRT_Planilha Básica_mar2010b" xfId="3415" xr:uid="{00000000-0005-0000-0000-0000270D0000}"/>
    <cellStyle name="_PLPT_PLANILHA_CÁLCULO_DÉFICIT_RESOLUÇÃO_294_2007_COELCE_Sem_Gov_Estado-Ate_Rev2007_Subsídios para análise da SRE_IRT_Planilha Básica_mar2010d" xfId="642" xr:uid="{00000000-0005-0000-0000-0000280D0000}"/>
    <cellStyle name="_PLPT_PLANILHA_CÁLCULO_DÉFICIT_RESOLUÇÃO_294_2007_COELCE_Sem_Gov_Estado-Ate_Rev2007_Subsídios para análise da SRE_IRT_Planilha Básica_mar2010d 2" xfId="1463" xr:uid="{00000000-0005-0000-0000-0000290D0000}"/>
    <cellStyle name="_PLPT_PLANILHA_CÁLCULO_DÉFICIT_RESOLUÇÃO_294_2007_COELCE_Sem_Gov_Estado-Ate_Rev2007_Subsídios para análise da SRE_IRT_Planilha Básica_NOVA METODOLOGIA" xfId="3416" xr:uid="{00000000-0005-0000-0000-00002A0D0000}"/>
    <cellStyle name="_PLPT_PLANILHA_CÁLCULO_DÉFICIT_RESOLUÇÃO_294_2007_COELCE_Sem_Gov_Estado-Ate_Rev2007_Subsídios para análise da SRE_IRT_Santa 2010" xfId="3417" xr:uid="{00000000-0005-0000-0000-00002B0D0000}"/>
    <cellStyle name="_PLPT_PLANILHA_CÁLCULO_DÉFICIT_RESOLUÇÃO_294_2007_COELCE_Sem_Gov_Estado-Ate_Rev2007_Subsídios para análise da SRE_IRT-cálculo" xfId="3418" xr:uid="{00000000-0005-0000-0000-00002C0D0000}"/>
    <cellStyle name="_PLPT_PLANILHA_CÁLCULO_DÉFICIT_RESOLUÇÃO_294_2007_COELCE_Sem_Gov_Estado-Ate_Rev2007_Subsídios para análise da SRE_IRT-cálculo CAPA NEUTRALIDADE" xfId="3419" xr:uid="{00000000-0005-0000-0000-00002D0D0000}"/>
    <cellStyle name="_PLPT_PLANILHA_CÁLCULO_DÉFICIT_RESOLUÇÃO_294_2007_COELCE_Sem_Gov_Estado-Ate_Rev2007_Subsídios para análise da SRE_Resultados_DEA_RND_QUAL_PERDAS" xfId="42545" xr:uid="{00000000-0005-0000-0000-00002E0D0000}"/>
    <cellStyle name="_PLPT_PLANILHA_CÁLCULO_DÉFICIT_RESOLUÇÃO_294_2007_COELCE_Sem_Gov_Estado-Ate_Rev2007_Subsídios para análise da SRE_teste ampla" xfId="643" xr:uid="{00000000-0005-0000-0000-00002F0D0000}"/>
    <cellStyle name="_PLPT_PLANILHA_CÁLCULO_DÉFICIT_RESOLUÇÃO_294_2007_COELCE_Sem_Gov_Estado-Ate_Rev2007_Subsídios para análise da SRE_teste ampla 2" xfId="1464" xr:uid="{00000000-0005-0000-0000-0000300D0000}"/>
    <cellStyle name="_PLPT_PLANILHA_CÁLCULO_DÉFICIT_RESOLUÇÃO_294_2007_COELCE_Sem_Gov_Estado-Ate_Rev2007_Subsídios para análise da SRE_teste ampla_Balanço" xfId="644" xr:uid="{00000000-0005-0000-0000-0000310D0000}"/>
    <cellStyle name="_PLPT_PLANILHA_CÁLCULO_DÉFICIT_RESOLUÇÃO_294_2007_COELCE_Sem_Gov_Estado-Ate_Rev2007_Subsídios para análise da SRE_teste ampla_Balanço 2" xfId="1465" xr:uid="{00000000-0005-0000-0000-0000320D0000}"/>
    <cellStyle name="_PLPT_PLANILHA_CÁLCULO_DÉFICIT_RESOLUÇÃO_294_2007_COELCE_Sem_Gov_Estado-Ate_Rev2007_Subsídios para análise da SRE_teste ampla_casulo 15" xfId="645" xr:uid="{00000000-0005-0000-0000-0000330D0000}"/>
    <cellStyle name="_PLPT_PLANILHA_CÁLCULO_DÉFICIT_RESOLUÇÃO_294_2007_COELCE_Sem_Gov_Estado-Ate_Rev2007_Subsídios para análise da SRE_teste ampla_casulo 5" xfId="646" xr:uid="{00000000-0005-0000-0000-0000340D0000}"/>
    <cellStyle name="_PLPT_PLANILHA_CÁLCULO_DÉFICIT_RESOLUÇÃO_294_2007_COELCE_Sem_Gov_Estado-Ate_Rev2007_Subsídios para análise da SRE_teste ampla_casulo 5 2" xfId="1466" xr:uid="{00000000-0005-0000-0000-0000350D0000}"/>
    <cellStyle name="_PLPT_PLANILHA_CÁLCULO_DÉFICIT_RESOLUÇÃO_294_2007_COELCE_Sem_Gov_Estado-Ate_Rev2007_Subsídios para análise da SRE_teste ampla_casulo 5_Balanço" xfId="647" xr:uid="{00000000-0005-0000-0000-0000360D0000}"/>
    <cellStyle name="_PLPT_PLANILHA_CÁLCULO_DÉFICIT_RESOLUÇÃO_294_2007_COELCE_Sem_Gov_Estado-Ate_Rev2007_Subsídios para análise da SRE_teste ampla_casulo 5_casulo 15" xfId="648" xr:uid="{00000000-0005-0000-0000-0000370D0000}"/>
    <cellStyle name="_PLPT_PLANILHA_CÁLCULO_DÉFICIT_RESOLUÇÃO_294_2007_COELCE_Sem_Gov_Estado-Ate_Rev2007_Subsídios para análise da SRE_teste ampla_casulo 5_IRT EEB 2010" xfId="3420" xr:uid="{00000000-0005-0000-0000-0000380D0000}"/>
    <cellStyle name="_PLPT_PLANILHA_CÁLCULO_DÉFICIT_RESOLUÇÃO_294_2007_COELCE_Sem_Gov_Estado-Ate_Rev2007_Subsídios para análise da SRE_teste ampla_IRT EEB 2010" xfId="3421" xr:uid="{00000000-0005-0000-0000-0000390D0000}"/>
    <cellStyle name="_PLPT_PLANILHA_CÁLCULO_DÉFICIT_RESOLUÇÃO_294_2007_COELCE_Sem_Gov_Estado-Ate_Rev2007_SubsídiosAnáliseSRE_COSERN_IRT-2010" xfId="1639" xr:uid="{00000000-0005-0000-0000-00003A0D0000}"/>
    <cellStyle name="_PLPT_PLANILHA_CÁLCULO_DÉFICIT_RESOLUÇÃO_294_2007_COELCE_Sem_Gov_Estado-Ate_Rev2007_teste ampla" xfId="649" xr:uid="{00000000-0005-0000-0000-00003B0D0000}"/>
    <cellStyle name="_PLPT_PLANILHA_CÁLCULO_DÉFICIT_RESOLUÇÃO_294_2007_COELCE_Sem_Gov_Estado-Ate_Rev2007_teste ampla 2" xfId="1467" xr:uid="{00000000-0005-0000-0000-00003C0D0000}"/>
    <cellStyle name="_PLPT_PLANILHA_CÁLCULO_DÉFICIT_RESOLUÇÃO_294_2007_COELCE_Sem_Gov_Estado-Ate_Rev2007_teste ampla_Balanço" xfId="650" xr:uid="{00000000-0005-0000-0000-00003D0D0000}"/>
    <cellStyle name="_PLPT_PLANILHA_CÁLCULO_DÉFICIT_RESOLUÇÃO_294_2007_COELCE_Sem_Gov_Estado-Ate_Rev2007_teste ampla_Balanço 2" xfId="1468" xr:uid="{00000000-0005-0000-0000-00003E0D0000}"/>
    <cellStyle name="_PLPT_PLANILHA_CÁLCULO_DÉFICIT_RESOLUÇÃO_294_2007_COELCE_Sem_Gov_Estado-Ate_Rev2007_teste ampla_casulo 15" xfId="651" xr:uid="{00000000-0005-0000-0000-00003F0D0000}"/>
    <cellStyle name="_PLPT_PLANILHA_CÁLCULO_DÉFICIT_RESOLUÇÃO_294_2007_COELCE_Sem_Gov_Estado-Ate_Rev2007_teste ampla_casulo 5" xfId="652" xr:uid="{00000000-0005-0000-0000-0000400D0000}"/>
    <cellStyle name="_PLPT_PLANILHA_CÁLCULO_DÉFICIT_RESOLUÇÃO_294_2007_COELCE_Sem_Gov_Estado-Ate_Rev2007_teste ampla_casulo 5 2" xfId="1469" xr:uid="{00000000-0005-0000-0000-0000410D0000}"/>
    <cellStyle name="_PLPT_PLANILHA_CÁLCULO_DÉFICIT_RESOLUÇÃO_294_2007_COELCE_Sem_Gov_Estado-Ate_Rev2007_teste ampla_casulo 5_Balanço" xfId="653" xr:uid="{00000000-0005-0000-0000-0000420D0000}"/>
    <cellStyle name="_PLPT_PLANILHA_CÁLCULO_DÉFICIT_RESOLUÇÃO_294_2007_COELCE_Sem_Gov_Estado-Ate_Rev2007_teste ampla_casulo 5_casulo 15" xfId="654" xr:uid="{00000000-0005-0000-0000-0000430D0000}"/>
    <cellStyle name="_PLPT_PLANILHA_CÁLCULO_DÉFICIT_RESOLUÇÃO_294_2007_COELCE_Sem_Gov_Estado-Ate_Rev2007_teste ampla_casulo 5_IRT EEB 2010" xfId="3422" xr:uid="{00000000-0005-0000-0000-0000440D0000}"/>
    <cellStyle name="_PLPT_PLANILHA_CÁLCULO_DÉFICIT_RESOLUÇÃO_294_2007_COELCE_Sem_Gov_Estado-Ate_Rev2007_teste ampla_IRT EEB 2010" xfId="3423" xr:uid="{00000000-0005-0000-0000-0000450D0000}"/>
    <cellStyle name="_PLPT_PLANILHA_CÁLCULO_DÉFICIT_RESOLUÇÃO_294_2007_V2" xfId="3424" xr:uid="{00000000-0005-0000-0000-0000460D0000}"/>
    <cellStyle name="_PLPT_PLANILHA_CÁLCULO_DÉFICIT_RESOLUÇÃO_294_2007_V2_atualização serviços taxados" xfId="43254" xr:uid="{00000000-0005-0000-0000-0000470D0000}"/>
    <cellStyle name="_PLPT_PLANILHA_CÁLCULO_DÉFICIT_RESOLUÇÃO_294_2007_V2_Financeiro Desconto na TUSD Consumidores Livres Reajuste 2010 - 03_03_2010" xfId="43255" xr:uid="{00000000-0005-0000-0000-0000480D0000}"/>
    <cellStyle name="_PLPT_PLANILHA_CÁLCULO_DÉFICIT_RESOLUÇÃO_294_2007_V2_Financeiro Desconto na TUSD Geradores Reajuste 2010 - 03_03_2010" xfId="43256" xr:uid="{00000000-0005-0000-0000-0000490D0000}"/>
    <cellStyle name="_PLPT_PLANILHA_CÁLCULO_DÉFICIT_RESOLUÇÃO_294_2007_V2_Financeiro Subsídio Baixa Renda Reajuste 2010 - 03_03_2010" xfId="43257" xr:uid="{00000000-0005-0000-0000-00004A0D0000}"/>
    <cellStyle name="_PLPT_PLANILHA_CÁLCULO_DÉFICIT_RESOLUÇÃO_294_2007_V2_Financeiro Subsídio Rural Irrigante e Aquicultor Reajuste 2010 - 03_03_2010" xfId="43258" xr:uid="{00000000-0005-0000-0000-00004B0D0000}"/>
    <cellStyle name="_PLPT_PLANILHA_CÁLCULO_DÉFICIT_RESOLUÇÃO_294_2007_V3" xfId="3425" xr:uid="{00000000-0005-0000-0000-00004C0D0000}"/>
    <cellStyle name="_PLPT_PLANILHA_CÁLCULO_DÉFICIT_RESOLUÇÃO_294_2007_V3_atualização serviços taxados" xfId="43259" xr:uid="{00000000-0005-0000-0000-00004D0D0000}"/>
    <cellStyle name="_PLPT_PLANILHA_CÁLCULO_DÉFICIT_RESOLUÇÃO_294_2007_V3_Financeiro Desconto na TUSD Consumidores Livres Reajuste 2010 - 03_03_2010" xfId="43260" xr:uid="{00000000-0005-0000-0000-00004E0D0000}"/>
    <cellStyle name="_PLPT_PLANILHA_CÁLCULO_DÉFICIT_RESOLUÇÃO_294_2007_V3_Financeiro Desconto na TUSD Geradores Reajuste 2010 - 03_03_2010" xfId="43261" xr:uid="{00000000-0005-0000-0000-00004F0D0000}"/>
    <cellStyle name="_PLPT_PLANILHA_CÁLCULO_DÉFICIT_RESOLUÇÃO_294_2007_V3_Financeiro Subsídio Baixa Renda Reajuste 2010 - 03_03_2010" xfId="43262" xr:uid="{00000000-0005-0000-0000-0000500D0000}"/>
    <cellStyle name="_PLPT_PLANILHA_CÁLCULO_DÉFICIT_RESOLUÇÃO_294_2007_V3_Financeiro Subsídio Rural Irrigante e Aquicultor Reajuste 2010 - 03_03_2010" xfId="43263" xr:uid="{00000000-0005-0000-0000-0000510D0000}"/>
    <cellStyle name="_PLPT_PLANILHA_CÁLCULO_DÉFICIT_RESOLUÇÃO_294_2007_V3_IRT CEEE 2009" xfId="3426" xr:uid="{00000000-0005-0000-0000-0000520D0000}"/>
    <cellStyle name="_PLPT_Res294_v3_COSERN_IRT-2010" xfId="1640" xr:uid="{00000000-0005-0000-0000-0000530D0000}"/>
    <cellStyle name="_PLPT_RES294_V4_IRT2010_ELEKTRO" xfId="1641" xr:uid="{00000000-0005-0000-0000-0000540D0000}"/>
    <cellStyle name="_Projeção Refrescos Guararapes" xfId="3427" xr:uid="{00000000-0005-0000-0000-0000550D0000}"/>
    <cellStyle name="_PRTP Copel - Tabelas Auxiliares" xfId="43264" xr:uid="{00000000-0005-0000-0000-0000560D0000}"/>
    <cellStyle name="_PRTP_ EBO vFINAL" xfId="3428" xr:uid="{00000000-0005-0000-0000-0000570D0000}"/>
    <cellStyle name="_PRTP_EEVP_2007" xfId="43265" xr:uid="{00000000-0005-0000-0000-0000580D0000}"/>
    <cellStyle name="_PRTP_Santa Cruz-AP2" xfId="3429" xr:uid="{00000000-0005-0000-0000-0000590D0000}"/>
    <cellStyle name="_PRTP_Santa Cruz-Final" xfId="3430" xr:uid="{00000000-0005-0000-0000-00005A0D0000}"/>
    <cellStyle name="_PRTP_v5-COELCE-HOM" xfId="3431" xr:uid="{00000000-0005-0000-0000-00005B0D0000}"/>
    <cellStyle name="_PRTP_v5-COELCE-HOM_Abertura Tarifária CEB RTP 2008" xfId="3432" xr:uid="{00000000-0005-0000-0000-00005C0D0000}"/>
    <cellStyle name="_PRTP_v5-COELCE-HOM_Cópia de Cópia de SIMULAÇÃO ESTRUTURAv103 - REAJUSTE - teste ELETROPAULO 2008-C51" xfId="3433" xr:uid="{00000000-0005-0000-0000-00005D0D0000}"/>
    <cellStyle name="_PRTP_v5-COELCE-HOM_IRT-cálculo" xfId="3434" xr:uid="{00000000-0005-0000-0000-00005E0D0000}"/>
    <cellStyle name="_PRTP_v5-COELCE-HOM_IRT-cálculo CAPA NEUTRALIDADE" xfId="3435" xr:uid="{00000000-0005-0000-0000-00005F0D0000}"/>
    <cellStyle name="_PRTP_v5-COELCE-HOM_NOVA PLANIILHA - REAJUSTE-5" xfId="3436" xr:uid="{00000000-0005-0000-0000-0000600D0000}"/>
    <cellStyle name="_PRTP_v5-COELCE-HOM_NOVA PLANIILHA - REVISÃO 3" xfId="3437" xr:uid="{00000000-0005-0000-0000-0000610D0000}"/>
    <cellStyle name="_PRTP_v5-COELCE-HOM_NOVA PLANIILHA - REVISÃO 4" xfId="3438" xr:uid="{00000000-0005-0000-0000-0000620D0000}"/>
    <cellStyle name="_PRTP_v5-COELCE-HOM_NOVA PLANILHA REVISÃO 1" xfId="3439" xr:uid="{00000000-0005-0000-0000-0000630D0000}"/>
    <cellStyle name="_PRTP_v5-COELCE-HOM_SIMULAÇÃO ESTRUTURAv103 - REAJUSTE - teste ELETROPAULO 2008-C33" xfId="3440" xr:uid="{00000000-0005-0000-0000-0000640D0000}"/>
    <cellStyle name="_PRTP_v6-xxxxx" xfId="3441" xr:uid="{00000000-0005-0000-0000-0000650D0000}"/>
    <cellStyle name="_PRTP_vPUBLICAÇÃO_FINAL_-_CEMAT" xfId="3442" xr:uid="{00000000-0005-0000-0000-0000660D0000}"/>
    <cellStyle name="_QUADRO I -Desconto irrigantes 2007" xfId="3443" xr:uid="{00000000-0005-0000-0000-0000670D0000}"/>
    <cellStyle name="_QUADRO I -Desconto irrigantes 2007_atualização serviços taxados" xfId="43266" xr:uid="{00000000-0005-0000-0000-0000680D0000}"/>
    <cellStyle name="_QUADRO I -Desconto irrigantes 2007_Financeiro Desconto na TUSD Consumidores Livres Reajuste 2010 - 03_03_2010" xfId="43267" xr:uid="{00000000-0005-0000-0000-0000690D0000}"/>
    <cellStyle name="_QUADRO I -Desconto irrigantes 2007_Financeiro Desconto na TUSD Geradores Reajuste 2010 - 03_03_2010" xfId="43268" xr:uid="{00000000-0005-0000-0000-00006A0D0000}"/>
    <cellStyle name="_QUADRO I -Desconto irrigantes 2007_Financeiro Subsídio Baixa Renda Reajuste 2010 - 03_03_2010" xfId="43269" xr:uid="{00000000-0005-0000-0000-00006B0D0000}"/>
    <cellStyle name="_QUADRO I -Desconto irrigantes 2007_Financeiro Subsídio Rural Irrigante e Aquicultor Reajuste 2010 - 03_03_2010" xfId="43270" xr:uid="{00000000-0005-0000-0000-00006C0D0000}"/>
    <cellStyle name="_QUADRO I -Desconto irrigantes 2007_IF - Autoprodutores 2" xfId="3444" xr:uid="{00000000-0005-0000-0000-00006D0D0000}"/>
    <cellStyle name="_QUADRO I -Desconto irrigantes 2007_IF_Consumidores livres e geradoras_2010" xfId="3445" xr:uid="{00000000-0005-0000-0000-00006E0D0000}"/>
    <cellStyle name="_QUADRO I -Desconto irrigantes 2007_Sheet1" xfId="3446" xr:uid="{00000000-0005-0000-0000-00006F0D0000}"/>
    <cellStyle name="_QUADRO II - CUSD's concatenação_elektro" xfId="3447" xr:uid="{00000000-0005-0000-0000-0000700D0000}"/>
    <cellStyle name="_QUADRO II - CUSD's concatenação_elektro_atualização serviços taxados" xfId="43271" xr:uid="{00000000-0005-0000-0000-0000710D0000}"/>
    <cellStyle name="_QUADRO II - CUSD's concatenação_elektro_Financeiro Desconto na TUSD Consumidores Livres Reajuste 2010 - 03_03_2010" xfId="43272" xr:uid="{00000000-0005-0000-0000-0000720D0000}"/>
    <cellStyle name="_QUADRO II - CUSD's concatenação_elektro_Financeiro Desconto na TUSD Geradores Reajuste 2010 - 03_03_2010" xfId="43273" xr:uid="{00000000-0005-0000-0000-0000730D0000}"/>
    <cellStyle name="_QUADRO II - CUSD's concatenação_elektro_Financeiro Subsídio Baixa Renda Reajuste 2010 - 03_03_2010" xfId="43274" xr:uid="{00000000-0005-0000-0000-0000740D0000}"/>
    <cellStyle name="_QUADRO II - CUSD's concatenação_elektro_Financeiro Subsídio Rural Irrigante e Aquicultor Reajuste 2010 - 03_03_2010" xfId="43275" xr:uid="{00000000-0005-0000-0000-0000750D0000}"/>
    <cellStyle name="_QUADRO II - CUSD's concatenação_elektro_IF - Autoprodutores 2" xfId="3448" xr:uid="{00000000-0005-0000-0000-0000760D0000}"/>
    <cellStyle name="_QUADRO II - CUSD's concatenação_elektro_IF_Consumidores livres e geradoras_2010" xfId="3449" xr:uid="{00000000-0005-0000-0000-0000770D0000}"/>
    <cellStyle name="_QUADRO II - CUSD's concatenação_elektro_Sheet1" xfId="3450" xr:uid="{00000000-0005-0000-0000-0000780D0000}"/>
    <cellStyle name="_QUADRO X - Baixa Renda" xfId="3451" xr:uid="{00000000-0005-0000-0000-0000790D0000}"/>
    <cellStyle name="_QUADRO X - Baixa Renda_atualização serviços taxados" xfId="43276" xr:uid="{00000000-0005-0000-0000-00007A0D0000}"/>
    <cellStyle name="_QUADRO X - Baixa Renda_Financeiro Desconto na TUSD Consumidores Livres Reajuste 2010 - 03_03_2010" xfId="43277" xr:uid="{00000000-0005-0000-0000-00007B0D0000}"/>
    <cellStyle name="_QUADRO X - Baixa Renda_Financeiro Desconto na TUSD Geradores Reajuste 2010 - 03_03_2010" xfId="43278" xr:uid="{00000000-0005-0000-0000-00007C0D0000}"/>
    <cellStyle name="_QUADRO X - Baixa Renda_Financeiro Subsídio Baixa Renda Reajuste 2010 - 03_03_2010" xfId="43279" xr:uid="{00000000-0005-0000-0000-00007D0D0000}"/>
    <cellStyle name="_QUADRO X - Baixa Renda_Financeiro Subsídio Rural Irrigante e Aquicultor Reajuste 2010 - 03_03_2010" xfId="43280" xr:uid="{00000000-0005-0000-0000-00007E0D0000}"/>
    <cellStyle name="_QUADRO X - Baixa Renda_IF - Autoprodutores 2" xfId="3452" xr:uid="{00000000-0005-0000-0000-00007F0D0000}"/>
    <cellStyle name="_QUADRO X - Baixa Renda_IF_Consumidores livres e geradoras_2010" xfId="3453" xr:uid="{00000000-0005-0000-0000-0000800D0000}"/>
    <cellStyle name="_QUADRO X - Baixa Renda_Sheet1" xfId="3454" xr:uid="{00000000-0005-0000-0000-0000810D0000}"/>
    <cellStyle name="_REDE BÁSICA" xfId="3455" xr:uid="{00000000-0005-0000-0000-0000820D0000}"/>
    <cellStyle name="_Resultados_DEA_RND_QUAL_PERDAS" xfId="42546" xr:uid="{00000000-0005-0000-0000-0000830D0000}"/>
    <cellStyle name="_RGE - Repasse sobrecontratação" xfId="655" xr:uid="{00000000-0005-0000-0000-0000840D0000}"/>
    <cellStyle name="_RGE - Repasse sobrecontratação 2" xfId="1470" xr:uid="{00000000-0005-0000-0000-0000850D0000}"/>
    <cellStyle name="_RGE - Repasse sobrecontratação 3" xfId="3456" xr:uid="{00000000-0005-0000-0000-0000860D0000}"/>
    <cellStyle name="_RGE - Repasse sobrecontratação_Exposição_Agosto 2" xfId="3457" xr:uid="{00000000-0005-0000-0000-0000870D0000}"/>
    <cellStyle name="_RGE - Repasse sobrecontratação_IRT_Revisão A-2" xfId="3458" xr:uid="{00000000-0005-0000-0000-0000880D0000}"/>
    <cellStyle name="_RTP_EMG" xfId="3459" xr:uid="{00000000-0005-0000-0000-0000890D0000}"/>
    <cellStyle name="_RTP_ESCELSA_Subsidio_077_fiscalizada_sff" xfId="656" xr:uid="{00000000-0005-0000-0000-00008A0D0000}"/>
    <cellStyle name="_RTP_ESCELSA_Subsidio_077_fiscalizada_sff_atualização serviços taxados" xfId="43281" xr:uid="{00000000-0005-0000-0000-00008B0D0000}"/>
    <cellStyle name="_RTP_ESCELSA_Subsidio_077_fiscalizada_sff_Cálculo do Financeiro do Baixa Renda" xfId="3460" xr:uid="{00000000-0005-0000-0000-00008C0D0000}"/>
    <cellStyle name="_RTP_ESCELSA_Subsidio_077_fiscalizada_sff_Cálculo do Financeiro do Baixa Renda_IRT-cálculo" xfId="3461" xr:uid="{00000000-0005-0000-0000-00008D0D0000}"/>
    <cellStyle name="_RTP_ESCELSA_Subsidio_077_fiscalizada_sff_Cálculo do Financeiro do Baixa Renda_IRT-cálculo CAPA NEUTRALIDADE" xfId="3462" xr:uid="{00000000-0005-0000-0000-00008E0D0000}"/>
    <cellStyle name="_RTP_ESCELSA_Subsidio_077_fiscalizada_sff_Calculo_Subsidio_ELFSM_26_06_08_Modelo_ANEEL" xfId="3463" xr:uid="{00000000-0005-0000-0000-00008F0D0000}"/>
    <cellStyle name="_RTP_ESCELSA_Subsidio_077_fiscalizada_sff_Calculo_Subsidio_ELFSM_26_06_08_Modelo_ANEEL_IRT-cálculo" xfId="3464" xr:uid="{00000000-0005-0000-0000-0000900D0000}"/>
    <cellStyle name="_RTP_ESCELSA_Subsidio_077_fiscalizada_sff_Calculo_Subsidio_ELFSM_26_06_08_Modelo_ANEEL_IRT-cálculo CAPA NEUTRALIDADE" xfId="3465" xr:uid="{00000000-0005-0000-0000-0000910D0000}"/>
    <cellStyle name="_RTP_ESCELSA_Subsidio_077_fiscalizada_sff_Custo com Avaliação de Ativos para Base de Remuneração" xfId="3466" xr:uid="{00000000-0005-0000-0000-0000920D0000}"/>
    <cellStyle name="_RTP_ESCELSA_Subsidio_077_fiscalizada_sff_Custo com Avaliação de Ativos para Base de Remuneração_IRT-cálculo" xfId="3467" xr:uid="{00000000-0005-0000-0000-0000930D0000}"/>
    <cellStyle name="_RTP_ESCELSA_Subsidio_077_fiscalizada_sff_Custo com Avaliação de Ativos para Base de Remuneração_IRT-cálculo CAPA NEUTRALIDADE" xfId="3468" xr:uid="{00000000-0005-0000-0000-0000940D0000}"/>
    <cellStyle name="_RTP_ESCELSA_Subsidio_077_fiscalizada_sff_Energia Comprada" xfId="3469" xr:uid="{00000000-0005-0000-0000-0000950D0000}"/>
    <cellStyle name="_RTP_ESCELSA_Subsidio_077_fiscalizada_sff_Energia Comprada_IRT-cálculo" xfId="3470" xr:uid="{00000000-0005-0000-0000-0000960D0000}"/>
    <cellStyle name="_RTP_ESCELSA_Subsidio_077_fiscalizada_sff_Energia Comprada_IRT-cálculo CAPA NEUTRALIDADE" xfId="3471" xr:uid="{00000000-0005-0000-0000-0000970D0000}"/>
    <cellStyle name="_RTP_ESCELSA_Subsidio_077_fiscalizada_sff_Fator X" xfId="1642" xr:uid="{00000000-0005-0000-0000-0000980D0000}"/>
    <cellStyle name="_RTP_ESCELSA_Subsidio_077_fiscalizada_sff_Fator X_atualização serviços taxados" xfId="43282" xr:uid="{00000000-0005-0000-0000-0000990D0000}"/>
    <cellStyle name="_RTP_ESCELSA_Subsidio_077_fiscalizada_sff_Fator X_Financeiro Desconto na TUSD Consumidores Livres Reajuste 2010 - 03_03_2010" xfId="43283" xr:uid="{00000000-0005-0000-0000-00009A0D0000}"/>
    <cellStyle name="_RTP_ESCELSA_Subsidio_077_fiscalizada_sff_Fator X_Financeiro Desconto na TUSD Geradores Reajuste 2010 - 03_03_2010" xfId="43284" xr:uid="{00000000-0005-0000-0000-00009B0D0000}"/>
    <cellStyle name="_RTP_ESCELSA_Subsidio_077_fiscalizada_sff_Fator X_Financeiro Subsídio Baixa Renda Reajuste 2010 - 03_03_2010" xfId="43285" xr:uid="{00000000-0005-0000-0000-00009C0D0000}"/>
    <cellStyle name="_RTP_ESCELSA_Subsidio_077_fiscalizada_sff_Fator X_Financeiro Subsídio Rural Irrigante e Aquicultor Reajuste 2010 - 03_03_2010" xfId="43286" xr:uid="{00000000-0005-0000-0000-00009D0D0000}"/>
    <cellStyle name="_RTP_ESCELSA_Subsidio_077_fiscalizada_sff_Fator X_IRT-cálculo" xfId="3472" xr:uid="{00000000-0005-0000-0000-00009E0D0000}"/>
    <cellStyle name="_RTP_ESCELSA_Subsidio_077_fiscalizada_sff_Fator X_IRT-cálculo CAPA NEUTRALIDADE" xfId="3473" xr:uid="{00000000-0005-0000-0000-00009F0D0000}"/>
    <cellStyle name="_RTP_ESCELSA_Subsidio_077_fiscalizada_sff_Fator X_SOBRECONTRATAÇÃO E CVA" xfId="3474" xr:uid="{00000000-0005-0000-0000-0000A00D0000}"/>
    <cellStyle name="_RTP_ESCELSA_Subsidio_077_fiscalizada_sff_Financeiro Desconto na TUSD Consumidores Livres Reajuste 2010 - 03_03_2010" xfId="43287" xr:uid="{00000000-0005-0000-0000-0000A10D0000}"/>
    <cellStyle name="_RTP_ESCELSA_Subsidio_077_fiscalizada_sff_Financeiro Desconto na TUSD Geradores Reajuste 2010 - 03_03_2010" xfId="43288" xr:uid="{00000000-0005-0000-0000-0000A20D0000}"/>
    <cellStyle name="_RTP_ESCELSA_Subsidio_077_fiscalizada_sff_Financeiro Subsídio Baixa Renda Reajuste 2010 - 03_03_2010" xfId="43289" xr:uid="{00000000-0005-0000-0000-0000A30D0000}"/>
    <cellStyle name="_RTP_ESCELSA_Subsidio_077_fiscalizada_sff_Financeiro Subsídio Rural Irrigante e Aquicultor Reajuste 2010 - 03_03_2010" xfId="43290" xr:uid="{00000000-0005-0000-0000-0000A40D0000}"/>
    <cellStyle name="_RTP_ESCELSA_Subsidio_077_fiscalizada_sff_IF - Autoprodutores 2" xfId="3475" xr:uid="{00000000-0005-0000-0000-0000A50D0000}"/>
    <cellStyle name="_RTP_ESCELSA_Subsidio_077_fiscalizada_sff_IF_Consumidores livres e geradoras_2010" xfId="3476" xr:uid="{00000000-0005-0000-0000-0000A60D0000}"/>
    <cellStyle name="_RTP_ESCELSA_Subsidio_077_fiscalizada_sff_IRT (2)" xfId="1643" xr:uid="{00000000-0005-0000-0000-0000A70D0000}"/>
    <cellStyle name="_RTP_ESCELSA_Subsidio_077_fiscalizada_sff_IRT (2) 2" xfId="3477" xr:uid="{00000000-0005-0000-0000-0000A80D0000}"/>
    <cellStyle name="_RTP_ESCELSA_Subsidio_077_fiscalizada_sff_IRT_1" xfId="1644" xr:uid="{00000000-0005-0000-0000-0000A90D0000}"/>
    <cellStyle name="_RTP_ESCELSA_Subsidio_077_fiscalizada_sff_IRT_1_atualização serviços taxados" xfId="43291" xr:uid="{00000000-0005-0000-0000-0000AA0D0000}"/>
    <cellStyle name="_RTP_ESCELSA_Subsidio_077_fiscalizada_sff_IRT_1_Financeiro Desconto na TUSD Consumidores Livres Reajuste 2010 - 03_03_2010" xfId="43292" xr:uid="{00000000-0005-0000-0000-0000AB0D0000}"/>
    <cellStyle name="_RTP_ESCELSA_Subsidio_077_fiscalizada_sff_IRT_1_Financeiro Desconto na TUSD Geradores Reajuste 2010 - 03_03_2010" xfId="43293" xr:uid="{00000000-0005-0000-0000-0000AC0D0000}"/>
    <cellStyle name="_RTP_ESCELSA_Subsidio_077_fiscalizada_sff_IRT_1_Financeiro Subsídio Baixa Renda Reajuste 2010 - 03_03_2010" xfId="43294" xr:uid="{00000000-0005-0000-0000-0000AD0D0000}"/>
    <cellStyle name="_RTP_ESCELSA_Subsidio_077_fiscalizada_sff_IRT_1_Financeiro Subsídio Rural Irrigante e Aquicultor Reajuste 2010 - 03_03_2010" xfId="43295" xr:uid="{00000000-0005-0000-0000-0000AE0D0000}"/>
    <cellStyle name="_RTP_ESCELSA_Subsidio_077_fiscalizada_sff_IRT_1_IRT-cálculo" xfId="3478" xr:uid="{00000000-0005-0000-0000-0000AF0D0000}"/>
    <cellStyle name="_RTP_ESCELSA_Subsidio_077_fiscalizada_sff_IRT_1_IRT-cálculo CAPA NEUTRALIDADE" xfId="3479" xr:uid="{00000000-0005-0000-0000-0000B00D0000}"/>
    <cellStyle name="_RTP_ESCELSA_Subsidio_077_fiscalizada_sff_IRT_1_SOBRECONTRATAÇÃO E CVA" xfId="3480" xr:uid="{00000000-0005-0000-0000-0000B10D0000}"/>
    <cellStyle name="_RTP_ESCELSA_Subsidio_077_fiscalizada_sff_IRT_Pleito" xfId="3481" xr:uid="{00000000-0005-0000-0000-0000B20D0000}"/>
    <cellStyle name="_RTP_ESCELSA_Subsidio_077_fiscalizada_sff_IRT_Pleito_IRT-cálculo" xfId="3482" xr:uid="{00000000-0005-0000-0000-0000B30D0000}"/>
    <cellStyle name="_RTP_ESCELSA_Subsidio_077_fiscalizada_sff_IRT_Pleito_IRT-cálculo CAPA NEUTRALIDADE" xfId="3483" xr:uid="{00000000-0005-0000-0000-0000B40D0000}"/>
    <cellStyle name="_RTP_ESCELSA_Subsidio_077_fiscalizada_sff_IRT_Revisão A-1" xfId="3484" xr:uid="{00000000-0005-0000-0000-0000B50D0000}"/>
    <cellStyle name="_RTP_ESCELSA_Subsidio_077_fiscalizada_sff_IRT-cálculo" xfId="3485" xr:uid="{00000000-0005-0000-0000-0000B60D0000}"/>
    <cellStyle name="_RTP_ESCELSA_Subsidio_077_fiscalizada_sff_IRT-cálculo CAPA NEUTRALIDADE" xfId="3486" xr:uid="{00000000-0005-0000-0000-0000B70D0000}"/>
    <cellStyle name="_RTP_ESCELSA_Subsidio_077_fiscalizada_sff_Pasta1" xfId="1645" xr:uid="{00000000-0005-0000-0000-0000B80D0000}"/>
    <cellStyle name="_RTP_ESCELSA_Subsidio_077_fiscalizada_sff_Pasta1_atualização serviços taxados" xfId="43296" xr:uid="{00000000-0005-0000-0000-0000B90D0000}"/>
    <cellStyle name="_RTP_ESCELSA_Subsidio_077_fiscalizada_sff_Pasta1_Financeiro Desconto na TUSD Consumidores Livres Reajuste 2010 - 03_03_2010" xfId="43297" xr:uid="{00000000-0005-0000-0000-0000BA0D0000}"/>
    <cellStyle name="_RTP_ESCELSA_Subsidio_077_fiscalizada_sff_Pasta1_Financeiro Desconto na TUSD Geradores Reajuste 2010 - 03_03_2010" xfId="43298" xr:uid="{00000000-0005-0000-0000-0000BB0D0000}"/>
    <cellStyle name="_RTP_ESCELSA_Subsidio_077_fiscalizada_sff_Pasta1_Financeiro Subsídio Baixa Renda Reajuste 2010 - 03_03_2010" xfId="43299" xr:uid="{00000000-0005-0000-0000-0000BC0D0000}"/>
    <cellStyle name="_RTP_ESCELSA_Subsidio_077_fiscalizada_sff_Pasta1_Financeiro Subsídio Rural Irrigante e Aquicultor Reajuste 2010 - 03_03_2010" xfId="43300" xr:uid="{00000000-0005-0000-0000-0000BD0D0000}"/>
    <cellStyle name="_RTP_ESCELSA_Subsidio_077_fiscalizada_sff_Pasta1_IRT-cálculo" xfId="3487" xr:uid="{00000000-0005-0000-0000-0000BE0D0000}"/>
    <cellStyle name="_RTP_ESCELSA_Subsidio_077_fiscalizada_sff_Pasta1_IRT-cálculo CAPA NEUTRALIDADE" xfId="3488" xr:uid="{00000000-0005-0000-0000-0000BF0D0000}"/>
    <cellStyle name="_RTP_ESCELSA_Subsidio_077_fiscalizada_sff_Pasta1_SOBRECONTRATAÇÃO E CVA" xfId="3489" xr:uid="{00000000-0005-0000-0000-0000C00D0000}"/>
    <cellStyle name="_RTP_ESCELSA_Subsidio_077_fiscalizada_sff_Sheet1" xfId="3490" xr:uid="{00000000-0005-0000-0000-0000C10D0000}"/>
    <cellStyle name="_RTP_ESCELSA_Subsidio_077_fiscalizada_sff_Sheet2" xfId="3491" xr:uid="{00000000-0005-0000-0000-0000C20D0000}"/>
    <cellStyle name="_RTP_ESCELSA_Subsidio_077_fiscalizada_sff_SOBRECONTRATAÇÃO E CVA" xfId="3492" xr:uid="{00000000-0005-0000-0000-0000C30D0000}"/>
    <cellStyle name="_Santa Cruz Cliente por área 27062007" xfId="3493" xr:uid="{00000000-0005-0000-0000-0000C40D0000}"/>
    <cellStyle name="_SANTA CRUZ_2_CICLO_DADOS_INICIAIS" xfId="3494" xr:uid="{00000000-0005-0000-0000-0000C50D0000}"/>
    <cellStyle name="_SANTA CRUZ_2_CICLO_DADOS_INICIAIS (v 26-06)" xfId="3495" xr:uid="{00000000-0005-0000-0000-0000C60D0000}"/>
    <cellStyle name="_SANTA CRUZ_2_CICLO_DADOS_INICIAIS (Vx)" xfId="3496" xr:uid="{00000000-0005-0000-0000-0000C70D0000}"/>
    <cellStyle name="_SANTA CRUZ_2_CICLO_DADOS_INICIAIS(v4)" xfId="3497" xr:uid="{00000000-0005-0000-0000-0000C80D0000}"/>
    <cellStyle name="_SANTA CRUZ_2_CICLO_DADOS_INICIAIS_E3" xfId="3498" xr:uid="{00000000-0005-0000-0000-0000C90D0000}"/>
    <cellStyle name="_SANTA CRUZ_2_CICLO_DADOS_INICIAIS-28jun - EV" xfId="3499" xr:uid="{00000000-0005-0000-0000-0000CA0D0000}"/>
    <cellStyle name="_SANTA CRUZ_2_CICLO_DADOS_MERCADO_E1 (14jun)" xfId="3500" xr:uid="{00000000-0005-0000-0000-0000CB0D0000}"/>
    <cellStyle name="_SANTA CRUZ_2_CICLO_DADOS_MERCADO_E1 (15jun)" xfId="3501" xr:uid="{00000000-0005-0000-0000-0000CC0D0000}"/>
    <cellStyle name="_Santa Maria - Cons por municipio" xfId="3502" xr:uid="{00000000-0005-0000-0000-0000CD0D0000}"/>
    <cellStyle name="_Simulação AES SUL 03_04_07" xfId="657" xr:uid="{00000000-0005-0000-0000-0000CE0D0000}"/>
    <cellStyle name="_Simulação AES SUL 03_04_07 2" xfId="1471" xr:uid="{00000000-0005-0000-0000-0000CF0D0000}"/>
    <cellStyle name="_Simulação AES SUL 03_04_07_Balanço" xfId="658" xr:uid="{00000000-0005-0000-0000-0000D00D0000}"/>
    <cellStyle name="_Simulação AES SUL 03_04_07_casulo 15" xfId="659" xr:uid="{00000000-0005-0000-0000-0000D10D0000}"/>
    <cellStyle name="_Simulação AES SUL 03_04_07_IRT EEB 2010" xfId="3503" xr:uid="{00000000-0005-0000-0000-0000D20D0000}"/>
    <cellStyle name="_Simulação CAIUA - ANEEL" xfId="3504" xr:uid="{00000000-0005-0000-0000-0000D30D0000}"/>
    <cellStyle name="_Simulação CAIUA - ANEEL_2009.04.09 EEB IRT2009 Conexao CEMIG C Financeiro" xfId="3505" xr:uid="{00000000-0005-0000-0000-0000D40D0000}"/>
    <cellStyle name="_Simulação CAIUA - ANEEL_atualização serviços taxados" xfId="43301" xr:uid="{00000000-0005-0000-0000-0000D50D0000}"/>
    <cellStyle name="_Simulação CAIUA - ANEEL_CVA Borborema 2010 - Fiscalizada Final" xfId="3506" xr:uid="{00000000-0005-0000-0000-0000D60D0000}"/>
    <cellStyle name="_Simulação CAIUA - ANEEL_Financeiro Desconto na TUSD Consumidores Livres Reajuste 2010 - 03_03_2010" xfId="43302" xr:uid="{00000000-0005-0000-0000-0000D70D0000}"/>
    <cellStyle name="_Simulação CAIUA - ANEEL_Financeiro Desconto na TUSD Geradores Reajuste 2010 - 03_03_2010" xfId="43303" xr:uid="{00000000-0005-0000-0000-0000D80D0000}"/>
    <cellStyle name="_Simulação CAIUA - ANEEL_Financeiro Subsídio Baixa Renda Reajuste 2010 - 03_03_2010" xfId="43304" xr:uid="{00000000-0005-0000-0000-0000D90D0000}"/>
    <cellStyle name="_Simulação CAIUA - ANEEL_Financeiro Subsídio Rural Irrigante e Aquicultor Reajuste 2010 - 03_03_2010" xfId="43305" xr:uid="{00000000-0005-0000-0000-0000DA0D0000}"/>
    <cellStyle name="_Simulação CAIUA - ANEEL_IF - Autoprodutores 2" xfId="3507" xr:uid="{00000000-0005-0000-0000-0000DB0D0000}"/>
    <cellStyle name="_Simulação CAIUA - ANEEL_IF_Consumidores livres e geradoras_2010" xfId="3508" xr:uid="{00000000-0005-0000-0000-0000DC0D0000}"/>
    <cellStyle name="_Simulação CAIUA - ANEEL_Sheet1" xfId="3509" xr:uid="{00000000-0005-0000-0000-0000DD0D0000}"/>
    <cellStyle name="_Simulação CENF - ANEEL sobrecontratação" xfId="3510" xr:uid="{00000000-0005-0000-0000-0000DE0D0000}"/>
    <cellStyle name="_Simulação CENF - ANEEL sobrecontratação_CVA Borborema 2010 - Fiscalizada Final" xfId="3511" xr:uid="{00000000-0005-0000-0000-0000DF0D0000}"/>
    <cellStyle name="_Simulação congelamento COELCE 2011 - Propostas 3ª Fase AP040 (20.12.2011)" xfId="3512" xr:uid="{00000000-0005-0000-0000-0000E00D0000}"/>
    <cellStyle name="_Simulação Nova Carga Coteminas RT EBO" xfId="3513" xr:uid="{00000000-0005-0000-0000-0000E10D0000}"/>
    <cellStyle name="_Simulacao_4ª_RTP_ESCELSA_1" xfId="660" xr:uid="{00000000-0005-0000-0000-0000E20D0000}"/>
    <cellStyle name="_Simulacao_4ª_RTP_ESCELSA_1_IF - Autoprodutores 2" xfId="3514" xr:uid="{00000000-0005-0000-0000-0000E30D0000}"/>
    <cellStyle name="_Simulacao_4ª_RTP_ESCELSA_1_IF_Consumidores livres e geradoras_2010" xfId="3515" xr:uid="{00000000-0005-0000-0000-0000E40D0000}"/>
    <cellStyle name="_Simulacao_4ª_RTP_ESCELSA_1_IRT-cálculo" xfId="3516" xr:uid="{00000000-0005-0000-0000-0000E50D0000}"/>
    <cellStyle name="_Simulacao_4ª_RTP_ESCELSA_1_Sheet1" xfId="3517" xr:uid="{00000000-0005-0000-0000-0000E60D0000}"/>
    <cellStyle name="_Simulador Ampla - Proposta Preliminar" xfId="3518" xr:uid="{00000000-0005-0000-0000-0000E70D0000}"/>
    <cellStyle name="_Simulador Ampla_AP" xfId="3519" xr:uid="{00000000-0005-0000-0000-0000E80D0000}"/>
    <cellStyle name="_Simulador CELPE_2009" xfId="43306" xr:uid="{00000000-0005-0000-0000-0000E90D0000}"/>
    <cellStyle name="_Simulador COSERN-final" xfId="3520" xr:uid="{00000000-0005-0000-0000-0000EA0D0000}"/>
    <cellStyle name="_Simulador COSERN-final_IF - Autoprodutores 2" xfId="3521" xr:uid="{00000000-0005-0000-0000-0000EB0D0000}"/>
    <cellStyle name="_Simulador COSERN-final_IF_Consumidores livres e geradoras_2010" xfId="3522" xr:uid="{00000000-0005-0000-0000-0000EC0D0000}"/>
    <cellStyle name="_Simulador COSERN-final_Sheet1" xfId="3523" xr:uid="{00000000-0005-0000-0000-0000ED0D0000}"/>
    <cellStyle name="_Simulador modelo" xfId="3524" xr:uid="{00000000-0005-0000-0000-0000EE0D0000}"/>
    <cellStyle name="_Síntese Capex EBO encaminhado para Aneel" xfId="3525" xr:uid="{00000000-0005-0000-0000-0000EF0D0000}"/>
    <cellStyle name="_Síntese Executiva" xfId="3526" xr:uid="{00000000-0005-0000-0000-0000F00D0000}"/>
    <cellStyle name="_Sobrecontr - Plan Cabral_CEAL" xfId="3527" xr:uid="{00000000-0005-0000-0000-0000F10D0000}"/>
    <cellStyle name="_Sobrecontr - Plan Cabral_CEAL (!)" xfId="3528" xr:uid="{00000000-0005-0000-0000-0000F20D0000}"/>
    <cellStyle name="_Sobrecontr_CELPA - Plan.Cabral" xfId="3529" xr:uid="{00000000-0005-0000-0000-0000F30D0000}"/>
    <cellStyle name="_Sobrecontr_ELEKTRO - Plan Cabral_2007" xfId="3530" xr:uid="{00000000-0005-0000-0000-0000F40D0000}"/>
    <cellStyle name="_Sobrecontratação - Dados - Estimativa - Celpa CCEE" xfId="1646" xr:uid="{00000000-0005-0000-0000-0000F50D0000}"/>
    <cellStyle name="_Sobrecontratação - Dados - Estimativa - Celpa CCEE 2" xfId="3531" xr:uid="{00000000-0005-0000-0000-0000F60D0000}"/>
    <cellStyle name="_Sobrecontratação - Dados - Estimativa - Celpa CCEE_atualização serviços taxados" xfId="43307" xr:uid="{00000000-0005-0000-0000-0000F70D0000}"/>
    <cellStyle name="_Sobrecontratação - Dados - Estimativa - Celpa CCEE_COELCE - RTO 2011 - PLPT_PLANILHA_CÁLCULO_DÉFICIT" xfId="3532" xr:uid="{00000000-0005-0000-0000-0000F80D0000}"/>
    <cellStyle name="_Sobrecontratação - Dados - Estimativa - Celpa CCEE_Financeiro Desconto na TUSD Consumidores Livres Reajuste 2010 - 03_03_2010" xfId="43308" xr:uid="{00000000-0005-0000-0000-0000F90D0000}"/>
    <cellStyle name="_Sobrecontratação - Dados - Estimativa - Celpa CCEE_Financeiro Desconto na TUSD Geradores Reajuste 2010 - 03_03_2010" xfId="43309" xr:uid="{00000000-0005-0000-0000-0000FA0D0000}"/>
    <cellStyle name="_Sobrecontratação - Dados - Estimativa - Celpa CCEE_Financeiro Subsídio Baixa Renda Reajuste 2010 - 03_03_2010" xfId="43310" xr:uid="{00000000-0005-0000-0000-0000FB0D0000}"/>
    <cellStyle name="_Sobrecontratação - Dados - Estimativa - Celpa CCEE_Financeiro Subsídio Rural Irrigante e Aquicultor Reajuste 2010 - 03_03_2010" xfId="43311" xr:uid="{00000000-0005-0000-0000-0000FC0D0000}"/>
    <cellStyle name="_SOBRECONTRATAÇÃO - RES  255-2007 AES (2)" xfId="661" xr:uid="{00000000-0005-0000-0000-0000FD0D0000}"/>
    <cellStyle name="_SOBRECONTRATAÇÃO - RES  255-2007 AES (2) 2" xfId="1472" xr:uid="{00000000-0005-0000-0000-0000FE0D0000}"/>
    <cellStyle name="_SOBRECONTRATAÇÃO - RES  255-2007 AES (2)_Balanço" xfId="662" xr:uid="{00000000-0005-0000-0000-0000FF0D0000}"/>
    <cellStyle name="_SOBRECONTRATAÇÃO - RES  255-2007 AES (2)_casulo 15" xfId="663" xr:uid="{00000000-0005-0000-0000-0000000E0000}"/>
    <cellStyle name="_SOBRECONTRATAÇÃO - RES  255-2007 AES (2)_IRT EEB 2010" xfId="3533" xr:uid="{00000000-0005-0000-0000-0000010E0000}"/>
    <cellStyle name="_SOBRECONTRATAÇÃO - RES  255-2007 AES (3)" xfId="664" xr:uid="{00000000-0005-0000-0000-0000020E0000}"/>
    <cellStyle name="_SOBRECONTRATAÇÃO - RES  255-2007 AES (3) 2" xfId="1473" xr:uid="{00000000-0005-0000-0000-0000030E0000}"/>
    <cellStyle name="_SOBRECONTRATAÇÃO - RES  255-2007 AES (3)_Balanço" xfId="665" xr:uid="{00000000-0005-0000-0000-0000040E0000}"/>
    <cellStyle name="_SOBRECONTRATAÇÃO - RES  255-2007 AES (3)_casulo 15" xfId="666" xr:uid="{00000000-0005-0000-0000-0000050E0000}"/>
    <cellStyle name="_SOBRECONTRATAÇÃO - RES  255-2007 AES (3)_IRT EEB 2010" xfId="3534" xr:uid="{00000000-0005-0000-0000-0000060E0000}"/>
    <cellStyle name="_SOBRECONTRATAÇÃO - RES  255-2007-ELEKTRO-Rec.PROINFA" xfId="3535" xr:uid="{00000000-0005-0000-0000-0000070E0000}"/>
    <cellStyle name="_SOBRECONTRATAÇÃO - RES  255-2007-ELEKTRO-Rec.PROINFA_atualização serviços taxados" xfId="43312" xr:uid="{00000000-0005-0000-0000-0000080E0000}"/>
    <cellStyle name="_SOBRECONTRATAÇÃO - RES  255-2007-ELEKTRO-Rec.PROINFA_Financeiro Desconto na TUSD Consumidores Livres Reajuste 2010 - 03_03_2010" xfId="43313" xr:uid="{00000000-0005-0000-0000-0000090E0000}"/>
    <cellStyle name="_SOBRECONTRATAÇÃO - RES  255-2007-ELEKTRO-Rec.PROINFA_Financeiro Desconto na TUSD Geradores Reajuste 2010 - 03_03_2010" xfId="43314" xr:uid="{00000000-0005-0000-0000-00000A0E0000}"/>
    <cellStyle name="_SOBRECONTRATAÇÃO - RES  255-2007-ELEKTRO-Rec.PROINFA_Financeiro Subsídio Baixa Renda Reajuste 2010 - 03_03_2010" xfId="43315" xr:uid="{00000000-0005-0000-0000-00000B0E0000}"/>
    <cellStyle name="_SOBRECONTRATAÇÃO - RES  255-2007-ELEKTRO-Rec.PROINFA_Financeiro Subsídio Rural Irrigante e Aquicultor Reajuste 2010 - 03_03_2010" xfId="43316" xr:uid="{00000000-0005-0000-0000-00000C0E0000}"/>
    <cellStyle name="_SOBRECONTRATAÇÃO - RES. 255-2007, AES" xfId="667" xr:uid="{00000000-0005-0000-0000-00000D0E0000}"/>
    <cellStyle name="_SOBRECONTRATAÇÃO - RES. 255-2007, AES 2" xfId="1474" xr:uid="{00000000-0005-0000-0000-00000E0E0000}"/>
    <cellStyle name="_SOBRECONTRATAÇÃO - RES. 255-2007, AES_Balanço" xfId="668" xr:uid="{00000000-0005-0000-0000-00000F0E0000}"/>
    <cellStyle name="_SOBRECONTRATAÇÃO - RES. 255-2007, AES_casulo 15" xfId="669" xr:uid="{00000000-0005-0000-0000-0000100E0000}"/>
    <cellStyle name="_SOBRECONTRATAÇÃO - RES. 255-2007, AES_IRT EEB 2010" xfId="3536" xr:uid="{00000000-0005-0000-0000-0000110E0000}"/>
    <cellStyle name="_SOBRECONTRATAÇÃO - SAELPA 2007" xfId="3537" xr:uid="{00000000-0005-0000-0000-0000120E0000}"/>
    <cellStyle name="_Sobrecontratação AES (2)" xfId="670" xr:uid="{00000000-0005-0000-0000-0000130E0000}"/>
    <cellStyle name="_Sobrecontratação AES (2) 2" xfId="1475" xr:uid="{00000000-0005-0000-0000-0000140E0000}"/>
    <cellStyle name="_Sobrecontratação AES (2)_Balanço" xfId="671" xr:uid="{00000000-0005-0000-0000-0000150E0000}"/>
    <cellStyle name="_Sobrecontratação AES (2)_casulo 15" xfId="672" xr:uid="{00000000-0005-0000-0000-0000160E0000}"/>
    <cellStyle name="_Sobrecontratação AES (2)_IRT EEB 2010" xfId="3538" xr:uid="{00000000-0005-0000-0000-0000170E0000}"/>
    <cellStyle name="_SOBRECONTRATAÇÃO ANO CIVIL 2005 - CVA - APROVADO" xfId="3539" xr:uid="{00000000-0005-0000-0000-0000180E0000}"/>
    <cellStyle name="_SOBRECONTRATAÇÃO ANO CIVIL 2005 - CVA - APROVADO_atualização serviços taxados" xfId="43317" xr:uid="{00000000-0005-0000-0000-0000190E0000}"/>
    <cellStyle name="_SOBRECONTRATAÇÃO ANO CIVIL 2005 - CVA - APROVADO_Financeiro Desconto na TUSD Consumidores Livres Reajuste 2010 - 03_03_2010" xfId="43318" xr:uid="{00000000-0005-0000-0000-00001A0E0000}"/>
    <cellStyle name="_SOBRECONTRATAÇÃO ANO CIVIL 2005 - CVA - APROVADO_Financeiro Desconto na TUSD Geradores Reajuste 2010 - 03_03_2010" xfId="43319" xr:uid="{00000000-0005-0000-0000-00001B0E0000}"/>
    <cellStyle name="_SOBRECONTRATAÇÃO ANO CIVIL 2005 - CVA - APROVADO_Financeiro Subsídio Baixa Renda Reajuste 2010 - 03_03_2010" xfId="43320" xr:uid="{00000000-0005-0000-0000-00001C0E0000}"/>
    <cellStyle name="_SOBRECONTRATAÇÃO ANO CIVIL 2005 - CVA - APROVADO_Financeiro Subsídio Rural Irrigante e Aquicultor Reajuste 2010 - 03_03_2010" xfId="43321" xr:uid="{00000000-0005-0000-0000-00001D0E0000}"/>
    <cellStyle name="_SOBRECONTRATAÇÃO E CVA" xfId="3540" xr:uid="{00000000-0005-0000-0000-00001E0E0000}"/>
    <cellStyle name="_SOBRECONTRATAÇÃO E CVA A-1" xfId="3541" xr:uid="{00000000-0005-0000-0000-00001F0E0000}"/>
    <cellStyle name="_SOBRECONTRATAÇÃO E CVA A-1_IRT-cálculo" xfId="3542" xr:uid="{00000000-0005-0000-0000-0000200E0000}"/>
    <cellStyle name="_SOBRECONTRATAÇÃO E CVA A-1_IRT-cálculo CAPA NEUTRALIDADE" xfId="3543" xr:uid="{00000000-0005-0000-0000-0000210E0000}"/>
    <cellStyle name="_SOBRECONTRATAÇÃO E CVA Energisa Paraíba" xfId="3544" xr:uid="{00000000-0005-0000-0000-0000220E0000}"/>
    <cellStyle name="_SOBRECONTRATAÇÃO E CVAlinhas_EMG_08" xfId="3545" xr:uid="{00000000-0005-0000-0000-0000230E0000}"/>
    <cellStyle name="_Sobrecontratação e exposição_CCEE_SRE" xfId="1647" xr:uid="{00000000-0005-0000-0000-0000240E0000}"/>
    <cellStyle name="_Sobrecontratação e exposição_CCEE_SRE 2" xfId="3546" xr:uid="{00000000-0005-0000-0000-0000250E0000}"/>
    <cellStyle name="_Sobrecontratação e exposição_CCEE_SRE_atualização serviços taxados" xfId="43322" xr:uid="{00000000-0005-0000-0000-0000260E0000}"/>
    <cellStyle name="_Sobrecontratação e exposição_CCEE_SRE_Energia Comprada" xfId="3547" xr:uid="{00000000-0005-0000-0000-0000270E0000}"/>
    <cellStyle name="_Sobrecontratação e exposição_CCEE_SRE_Energia Comprada_IRT-cálculo" xfId="3548" xr:uid="{00000000-0005-0000-0000-0000280E0000}"/>
    <cellStyle name="_Sobrecontratação e exposição_CCEE_SRE_Energia Comprada_IRT-cálculo CAPA NEUTRALIDADE" xfId="3549" xr:uid="{00000000-0005-0000-0000-0000290E0000}"/>
    <cellStyle name="_Sobrecontratação e exposição_CCEE_SRE_Fator X" xfId="1648" xr:uid="{00000000-0005-0000-0000-00002A0E0000}"/>
    <cellStyle name="_Sobrecontratação e exposição_CCEE_SRE_Fator X 2" xfId="3550" xr:uid="{00000000-0005-0000-0000-00002B0E0000}"/>
    <cellStyle name="_Sobrecontratação e exposição_CCEE_SRE_Fator X_atualização serviços taxados" xfId="43323" xr:uid="{00000000-0005-0000-0000-00002C0E0000}"/>
    <cellStyle name="_Sobrecontratação e exposição_CCEE_SRE_Fator X_Financeiro Desconto na TUSD Consumidores Livres Reajuste 2010 - 03_03_2010" xfId="43324" xr:uid="{00000000-0005-0000-0000-00002D0E0000}"/>
    <cellStyle name="_Sobrecontratação e exposição_CCEE_SRE_Fator X_Financeiro Desconto na TUSD Geradores Reajuste 2010 - 03_03_2010" xfId="43325" xr:uid="{00000000-0005-0000-0000-00002E0E0000}"/>
    <cellStyle name="_Sobrecontratação e exposição_CCEE_SRE_Fator X_Financeiro Subsídio Baixa Renda Reajuste 2010 - 03_03_2010" xfId="43326" xr:uid="{00000000-0005-0000-0000-00002F0E0000}"/>
    <cellStyle name="_Sobrecontratação e exposição_CCEE_SRE_Fator X_Financeiro Subsídio Rural Irrigante e Aquicultor Reajuste 2010 - 03_03_2010" xfId="43327" xr:uid="{00000000-0005-0000-0000-0000300E0000}"/>
    <cellStyle name="_Sobrecontratação e exposição_CCEE_SRE_Fator X_IRT-cálculo" xfId="3551" xr:uid="{00000000-0005-0000-0000-0000310E0000}"/>
    <cellStyle name="_Sobrecontratação e exposição_CCEE_SRE_Fator X_IRT-cálculo CAPA NEUTRALIDADE" xfId="3552" xr:uid="{00000000-0005-0000-0000-0000320E0000}"/>
    <cellStyle name="_Sobrecontratação e exposição_CCEE_SRE_Fator X_SOBRECONTRATAÇÃO E CVA" xfId="3553" xr:uid="{00000000-0005-0000-0000-0000330E0000}"/>
    <cellStyle name="_Sobrecontratação e exposição_CCEE_SRE_Financeiro Desconto na TUSD Consumidores Livres Reajuste 2010 - 03_03_2010" xfId="43328" xr:uid="{00000000-0005-0000-0000-0000340E0000}"/>
    <cellStyle name="_Sobrecontratação e exposição_CCEE_SRE_Financeiro Desconto na TUSD Geradores Reajuste 2010 - 03_03_2010" xfId="43329" xr:uid="{00000000-0005-0000-0000-0000350E0000}"/>
    <cellStyle name="_Sobrecontratação e exposição_CCEE_SRE_Financeiro Subsídio Baixa Renda Reajuste 2010 - 03_03_2010" xfId="43330" xr:uid="{00000000-0005-0000-0000-0000360E0000}"/>
    <cellStyle name="_Sobrecontratação e exposição_CCEE_SRE_Financeiro Subsídio Rural Irrigante e Aquicultor Reajuste 2010 - 03_03_2010" xfId="43331" xr:uid="{00000000-0005-0000-0000-0000370E0000}"/>
    <cellStyle name="_Sobrecontratação e exposição_CCEE_SRE_IRT (2)" xfId="1649" xr:uid="{00000000-0005-0000-0000-0000380E0000}"/>
    <cellStyle name="_Sobrecontratação e exposição_CCEE_SRE_IRT_1" xfId="1650" xr:uid="{00000000-0005-0000-0000-0000390E0000}"/>
    <cellStyle name="_Sobrecontratação e exposição_CCEE_SRE_IRT_1 2" xfId="3554" xr:uid="{00000000-0005-0000-0000-00003A0E0000}"/>
    <cellStyle name="_Sobrecontratação e exposição_CCEE_SRE_IRT_1_atualização serviços taxados" xfId="43332" xr:uid="{00000000-0005-0000-0000-00003B0E0000}"/>
    <cellStyle name="_Sobrecontratação e exposição_CCEE_SRE_IRT_1_Financeiro Desconto na TUSD Consumidores Livres Reajuste 2010 - 03_03_2010" xfId="43333" xr:uid="{00000000-0005-0000-0000-00003C0E0000}"/>
    <cellStyle name="_Sobrecontratação e exposição_CCEE_SRE_IRT_1_Financeiro Desconto na TUSD Geradores Reajuste 2010 - 03_03_2010" xfId="43334" xr:uid="{00000000-0005-0000-0000-00003D0E0000}"/>
    <cellStyle name="_Sobrecontratação e exposição_CCEE_SRE_IRT_1_Financeiro Subsídio Baixa Renda Reajuste 2010 - 03_03_2010" xfId="43335" xr:uid="{00000000-0005-0000-0000-00003E0E0000}"/>
    <cellStyle name="_Sobrecontratação e exposição_CCEE_SRE_IRT_1_Financeiro Subsídio Rural Irrigante e Aquicultor Reajuste 2010 - 03_03_2010" xfId="43336" xr:uid="{00000000-0005-0000-0000-00003F0E0000}"/>
    <cellStyle name="_Sobrecontratação e exposição_CCEE_SRE_IRT_1_IRT-cálculo" xfId="3555" xr:uid="{00000000-0005-0000-0000-0000400E0000}"/>
    <cellStyle name="_Sobrecontratação e exposição_CCEE_SRE_IRT_1_IRT-cálculo CAPA NEUTRALIDADE" xfId="3556" xr:uid="{00000000-0005-0000-0000-0000410E0000}"/>
    <cellStyle name="_Sobrecontratação e exposição_CCEE_SRE_IRT_1_SOBRECONTRATAÇÃO E CVA" xfId="3557" xr:uid="{00000000-0005-0000-0000-0000420E0000}"/>
    <cellStyle name="_Sobrecontratação e exposição_CCEE_SRE_IRT-cálculo" xfId="3558" xr:uid="{00000000-0005-0000-0000-0000430E0000}"/>
    <cellStyle name="_Sobrecontratação e exposição_CCEE_SRE_IRT-cálculo CAPA NEUTRALIDADE" xfId="3559" xr:uid="{00000000-0005-0000-0000-0000440E0000}"/>
    <cellStyle name="_Sobrecontratação e exposição_CCEE_SRE_Pasta1" xfId="1651" xr:uid="{00000000-0005-0000-0000-0000450E0000}"/>
    <cellStyle name="_Sobrecontratação e exposição_CCEE_SRE_Pasta1 2" xfId="3560" xr:uid="{00000000-0005-0000-0000-0000460E0000}"/>
    <cellStyle name="_Sobrecontratação e exposição_CCEE_SRE_Pasta1_atualização serviços taxados" xfId="43337" xr:uid="{00000000-0005-0000-0000-0000470E0000}"/>
    <cellStyle name="_Sobrecontratação e exposição_CCEE_SRE_Pasta1_Financeiro Desconto na TUSD Consumidores Livres Reajuste 2010 - 03_03_2010" xfId="43338" xr:uid="{00000000-0005-0000-0000-0000480E0000}"/>
    <cellStyle name="_Sobrecontratação e exposição_CCEE_SRE_Pasta1_Financeiro Desconto na TUSD Geradores Reajuste 2010 - 03_03_2010" xfId="43339" xr:uid="{00000000-0005-0000-0000-0000490E0000}"/>
    <cellStyle name="_Sobrecontratação e exposição_CCEE_SRE_Pasta1_Financeiro Subsídio Baixa Renda Reajuste 2010 - 03_03_2010" xfId="43340" xr:uid="{00000000-0005-0000-0000-00004A0E0000}"/>
    <cellStyle name="_Sobrecontratação e exposição_CCEE_SRE_Pasta1_Financeiro Subsídio Rural Irrigante e Aquicultor Reajuste 2010 - 03_03_2010" xfId="43341" xr:uid="{00000000-0005-0000-0000-00004B0E0000}"/>
    <cellStyle name="_Sobrecontratação e exposição_CCEE_SRE_Pasta1_IRT-cálculo" xfId="3561" xr:uid="{00000000-0005-0000-0000-00004C0E0000}"/>
    <cellStyle name="_Sobrecontratação e exposição_CCEE_SRE_Pasta1_IRT-cálculo CAPA NEUTRALIDADE" xfId="3562" xr:uid="{00000000-0005-0000-0000-00004D0E0000}"/>
    <cellStyle name="_Sobrecontratação e exposição_CCEE_SRE_Pasta1_SOBRECONTRATAÇÃO E CVA" xfId="3563" xr:uid="{00000000-0005-0000-0000-00004E0E0000}"/>
    <cellStyle name="_Sobrecontratação e exposição_CCEE_SRE_SOBRECONTRATAÇÃO E CVA" xfId="3564" xr:uid="{00000000-0005-0000-0000-00004F0E0000}"/>
    <cellStyle name="_SOBRECONTRATAÇÃO EPB 2010" xfId="3565" xr:uid="{00000000-0005-0000-0000-0000500E0000}"/>
    <cellStyle name="_Sobrecontratação_e_CVA_Energia" xfId="3566" xr:uid="{00000000-0005-0000-0000-0000510E0000}"/>
    <cellStyle name="_Sobrecontratacao_ESE_IRT_2009" xfId="3567" xr:uid="{00000000-0005-0000-0000-0000520E0000}"/>
    <cellStyle name="_SOBRECONTRATAÇÃO-2008" xfId="3568" xr:uid="{00000000-0005-0000-0000-0000530E0000}"/>
    <cellStyle name="_Subsídios para análise da SRE" xfId="673" xr:uid="{00000000-0005-0000-0000-0000540E0000}"/>
    <cellStyle name="_Subsídios para análise da SRE_IRT Piratininga 2009" xfId="674" xr:uid="{00000000-0005-0000-0000-0000550E0000}"/>
    <cellStyle name="_Subsídios para análise da SRE_IRT Piratininga 2009 2" xfId="1476" xr:uid="{00000000-0005-0000-0000-0000560E0000}"/>
    <cellStyle name="_Subsídios para análise da SRE_IRT_Planilha Básica_ CETRIL" xfId="675" xr:uid="{00000000-0005-0000-0000-0000570E0000}"/>
    <cellStyle name="_Subsídios para análise da SRE_IRT_Planilha Básica_ CETRIL 2" xfId="1477" xr:uid="{00000000-0005-0000-0000-0000580E0000}"/>
    <cellStyle name="_Subsídios para análise da SRE_IRT_Planilha Básica_mar2010b" xfId="3569" xr:uid="{00000000-0005-0000-0000-0000590E0000}"/>
    <cellStyle name="_Subsídios para análise da SRE_IRT-cálculo" xfId="3570" xr:uid="{00000000-0005-0000-0000-00005A0E0000}"/>
    <cellStyle name="_SubsídiosAnáliseSRE_COSERN_IRT-2010" xfId="1652" xr:uid="{00000000-0005-0000-0000-00005B0E0000}"/>
    <cellStyle name="_Tabelas de apoio NT CELPE" xfId="43342" xr:uid="{00000000-0005-0000-0000-00005C0E0000}"/>
    <cellStyle name="_TARIFAS 2008 modelo" xfId="3571" xr:uid="{00000000-0005-0000-0000-00005D0E0000}"/>
    <cellStyle name="_Tarifas de Suprimento_Final" xfId="676" xr:uid="{00000000-0005-0000-0000-00005E0E0000}"/>
    <cellStyle name="_Tarifas de Suprimento_Final 2" xfId="1478" xr:uid="{00000000-0005-0000-0000-00005F0E0000}"/>
    <cellStyle name="_Tarifas de Suprimento_Final 3" xfId="3572" xr:uid="{00000000-0005-0000-0000-0000600E0000}"/>
    <cellStyle name="_Tarifas de Suprimento_Final_COELCE  ICMS Não Compensado RTO 2012 281211" xfId="3573" xr:uid="{00000000-0005-0000-0000-0000610E0000}"/>
    <cellStyle name="_Tarifas de Suprimento_Final_COELCE - RTO 2011 - PLPT_PLANILHA_CÁLCULO_DÉFICIT" xfId="3574" xr:uid="{00000000-0005-0000-0000-0000620E0000}"/>
    <cellStyle name="_Tarifas de Suprimento_Final_Exposição_Agosto 2" xfId="3575" xr:uid="{00000000-0005-0000-0000-0000630E0000}"/>
    <cellStyle name="_Tarifas de Suprimento_Final_IRT_Revisão A-2" xfId="3576" xr:uid="{00000000-0005-0000-0000-0000640E0000}"/>
    <cellStyle name="_Tarifas de Suprimento_Final_IRT-cálculo" xfId="3577" xr:uid="{00000000-0005-0000-0000-0000650E0000}"/>
    <cellStyle name="_Tarifas de Suprimento_Final_Simulação AES SUL 03_04_07" xfId="677" xr:uid="{00000000-0005-0000-0000-0000660E0000}"/>
    <cellStyle name="_Tarifas de Suprimento_Final_Simulação AES SUL 03_04_07 2" xfId="1479" xr:uid="{00000000-0005-0000-0000-0000670E0000}"/>
    <cellStyle name="_Tarifas de Suprimento_Final_Simulação AES SUL 03_04_07 3" xfId="3578" xr:uid="{00000000-0005-0000-0000-0000680E0000}"/>
    <cellStyle name="_Tarifas de Suprimento_Final_Simulação congelamento COELCE 2011 - Propostas 3ª Fase AP040 (20.12.2011)" xfId="3579" xr:uid="{00000000-0005-0000-0000-0000690E0000}"/>
    <cellStyle name="_Tarifas de Suprimento_Final_Sobrecontratação AES (2)" xfId="678" xr:uid="{00000000-0005-0000-0000-00006A0E0000}"/>
    <cellStyle name="_Tarifas de Suprimento_Final_Sobrecontratação AES (2) 2" xfId="1480" xr:uid="{00000000-0005-0000-0000-00006B0E0000}"/>
    <cellStyle name="_Tarifas de Suprimento_Final_Sobrecontratação AES (2) 3" xfId="3580" xr:uid="{00000000-0005-0000-0000-00006C0E0000}"/>
    <cellStyle name="_Tarifas de Suprimento_Final_SOBRECONTRATAÇÃO E CVA" xfId="3581" xr:uid="{00000000-0005-0000-0000-00006D0E0000}"/>
    <cellStyle name="_Tarifas suprimento_TUSD DMEPC" xfId="679" xr:uid="{00000000-0005-0000-0000-00006E0E0000}"/>
    <cellStyle name="_Tarifas suprimento_TUSD DMEPC_IRT Piratininga 2009" xfId="680" xr:uid="{00000000-0005-0000-0000-00006F0E0000}"/>
    <cellStyle name="_Tarifas suprimento_TUSD DMEPC_IRT Piratininga 2009 2" xfId="1481" xr:uid="{00000000-0005-0000-0000-0000700E0000}"/>
    <cellStyle name="_Tarifas suprimento_TUSD DMEPC_IRT_Planilha Básica_ CETRIL" xfId="681" xr:uid="{00000000-0005-0000-0000-0000710E0000}"/>
    <cellStyle name="_Tarifas suprimento_TUSD DMEPC_IRT_Planilha Básica_ CETRIL 2" xfId="1482" xr:uid="{00000000-0005-0000-0000-0000720E0000}"/>
    <cellStyle name="_Tarifas suprimento_TUSD DMEPC_IRT_Planilha Básica_mar2010b" xfId="3582" xr:uid="{00000000-0005-0000-0000-0000730E0000}"/>
    <cellStyle name="_Tarifas suprimento_TUSD DMEPC_IRT-cálculo" xfId="3583" xr:uid="{00000000-0005-0000-0000-0000740E0000}"/>
    <cellStyle name="_teste ampla" xfId="682" xr:uid="{00000000-0005-0000-0000-0000750E0000}"/>
    <cellStyle name="_teste ampla 2" xfId="1483" xr:uid="{00000000-0005-0000-0000-0000760E0000}"/>
    <cellStyle name="_teste ampla_Balanço" xfId="683" xr:uid="{00000000-0005-0000-0000-0000770E0000}"/>
    <cellStyle name="_teste ampla_casulo 15" xfId="684" xr:uid="{00000000-0005-0000-0000-0000780E0000}"/>
    <cellStyle name="_teste ampla_IRT EEB 2010" xfId="3584" xr:uid="{00000000-0005-0000-0000-0000790E0000}"/>
    <cellStyle name="_Tracking Account Coteminas EBO - FINAL" xfId="3585" xr:uid="{00000000-0005-0000-0000-00007A0E0000}"/>
    <cellStyle name="_Tracking Account Coteminas EBO - FINAL 2010" xfId="3586" xr:uid="{00000000-0005-0000-0000-00007B0E0000}"/>
    <cellStyle name="_TUSD AP PIE - ESE 2010" xfId="3587" xr:uid="{00000000-0005-0000-0000-00007C0E0000}"/>
    <cellStyle name="_TUSD FIO-B - ESE 2010" xfId="3588" xr:uid="{00000000-0005-0000-0000-00007D0E0000}"/>
    <cellStyle name="_TUSD G - ESE 2010" xfId="3589" xr:uid="{00000000-0005-0000-0000-00007E0E0000}"/>
    <cellStyle name="_VERSAO 800" xfId="3590" xr:uid="{00000000-0005-0000-0000-00007F0E0000}"/>
    <cellStyle name="£ BP" xfId="3591" xr:uid="{00000000-0005-0000-0000-0000800E0000}"/>
    <cellStyle name="¥ JY" xfId="3592" xr:uid="{00000000-0005-0000-0000-0000810E0000}"/>
    <cellStyle name="=C:\WINDOWS\SYSTEM32\COMMAND.COM" xfId="3593" xr:uid="{00000000-0005-0000-0000-0000820E0000}"/>
    <cellStyle name="=C:\WINDOWS\SYSTEM32\COMMAND.COM 2" xfId="3594" xr:uid="{00000000-0005-0000-0000-0000830E0000}"/>
    <cellStyle name="=C:\WINDOWS\SYSTEM32\COMMAND.COM 3" xfId="3595" xr:uid="{00000000-0005-0000-0000-0000840E0000}"/>
    <cellStyle name="=C:\WINDOWS\SYSTEM32\COMMAND.COM_IF - Autoprodutores" xfId="3596" xr:uid="{00000000-0005-0000-0000-0000850E0000}"/>
    <cellStyle name="=C:\WINNT\SYSTEM32\COMMAND.COM" xfId="3597" xr:uid="{00000000-0005-0000-0000-0000860E0000}"/>
    <cellStyle name="‡" xfId="3598" xr:uid="{00000000-0005-0000-0000-0000870E0000}"/>
    <cellStyle name="‡_IRT-cálculo" xfId="3599" xr:uid="{00000000-0005-0000-0000-0000880E0000}"/>
    <cellStyle name="‡_IRT-cálculo CAPA NEUTRALIDADE" xfId="3600" xr:uid="{00000000-0005-0000-0000-0000890E0000}"/>
    <cellStyle name="•W_laroux" xfId="3601" xr:uid="{00000000-0005-0000-0000-00008A0E0000}"/>
    <cellStyle name="0%" xfId="1653" xr:uid="{00000000-0005-0000-0000-00008B0E0000}"/>
    <cellStyle name="0% 2" xfId="3602" xr:uid="{00000000-0005-0000-0000-00008C0E0000}"/>
    <cellStyle name="0,0%" xfId="1654" xr:uid="{00000000-0005-0000-0000-00008D0E0000}"/>
    <cellStyle name="0.0%" xfId="1655" xr:uid="{00000000-0005-0000-0000-00008E0E0000}"/>
    <cellStyle name="0.00%" xfId="1656" xr:uid="{00000000-0005-0000-0000-00008F0E0000}"/>
    <cellStyle name="0.00% 2" xfId="3603" xr:uid="{00000000-0005-0000-0000-0000900E0000}"/>
    <cellStyle name="0000" xfId="3604" xr:uid="{00000000-0005-0000-0000-0000910E0000}"/>
    <cellStyle name="0000 2" xfId="3605" xr:uid="{00000000-0005-0000-0000-0000920E0000}"/>
    <cellStyle name="0000 3" xfId="3606" xr:uid="{00000000-0005-0000-0000-0000930E0000}"/>
    <cellStyle name="0000_IF - Autoprodutores" xfId="3607" xr:uid="{00000000-0005-0000-0000-0000940E0000}"/>
    <cellStyle name="000000" xfId="3608" xr:uid="{00000000-0005-0000-0000-0000950E0000}"/>
    <cellStyle name="1o.nível" xfId="685" xr:uid="{00000000-0005-0000-0000-0000960E0000}"/>
    <cellStyle name="1o.nível 2" xfId="3609" xr:uid="{00000000-0005-0000-0000-0000970E0000}"/>
    <cellStyle name="1o.nível 3" xfId="3610" xr:uid="{00000000-0005-0000-0000-0000980E0000}"/>
    <cellStyle name="20% - Accent1" xfId="686" xr:uid="{00000000-0005-0000-0000-0000990E0000}"/>
    <cellStyle name="20% - Accent1 2" xfId="3611" xr:uid="{00000000-0005-0000-0000-00009A0E0000}"/>
    <cellStyle name="20% - Accent2" xfId="687" xr:uid="{00000000-0005-0000-0000-00009B0E0000}"/>
    <cellStyle name="20% - Accent2 2" xfId="3612" xr:uid="{00000000-0005-0000-0000-00009C0E0000}"/>
    <cellStyle name="20% - Accent3" xfId="688" xr:uid="{00000000-0005-0000-0000-00009D0E0000}"/>
    <cellStyle name="20% - Accent3 2" xfId="3613" xr:uid="{00000000-0005-0000-0000-00009E0E0000}"/>
    <cellStyle name="20% - Accent4" xfId="689" xr:uid="{00000000-0005-0000-0000-00009F0E0000}"/>
    <cellStyle name="20% - Accent4 2" xfId="3614" xr:uid="{00000000-0005-0000-0000-0000A00E0000}"/>
    <cellStyle name="20% - Accent5" xfId="690" xr:uid="{00000000-0005-0000-0000-0000A10E0000}"/>
    <cellStyle name="20% - Accent5 2" xfId="3615" xr:uid="{00000000-0005-0000-0000-0000A20E0000}"/>
    <cellStyle name="20% - Accent6" xfId="691" xr:uid="{00000000-0005-0000-0000-0000A30E0000}"/>
    <cellStyle name="20% - Accent6 2" xfId="3616" xr:uid="{00000000-0005-0000-0000-0000A40E0000}"/>
    <cellStyle name="20% - Ênfase1 10" xfId="3617" xr:uid="{00000000-0005-0000-0000-0000A50E0000}"/>
    <cellStyle name="20% - Ênfase1 11" xfId="43343" xr:uid="{00000000-0005-0000-0000-0000A60E0000}"/>
    <cellStyle name="20% - Ênfase1 12" xfId="692" xr:uid="{00000000-0005-0000-0000-0000A70E0000}"/>
    <cellStyle name="20% - Ênfase1 2" xfId="929" xr:uid="{00000000-0005-0000-0000-0000A80E0000}"/>
    <cellStyle name="20% - Ênfase1 2 2" xfId="3618" xr:uid="{00000000-0005-0000-0000-0000A90E0000}"/>
    <cellStyle name="20% - Ênfase1 3" xfId="1732" xr:uid="{00000000-0005-0000-0000-0000AA0E0000}"/>
    <cellStyle name="20% - Ênfase1 3 2" xfId="3619" xr:uid="{00000000-0005-0000-0000-0000AB0E0000}"/>
    <cellStyle name="20% - Ênfase1 4" xfId="3620" xr:uid="{00000000-0005-0000-0000-0000AC0E0000}"/>
    <cellStyle name="20% - Ênfase1 4 2" xfId="3621" xr:uid="{00000000-0005-0000-0000-0000AD0E0000}"/>
    <cellStyle name="20% - Ênfase1 5" xfId="3622" xr:uid="{00000000-0005-0000-0000-0000AE0E0000}"/>
    <cellStyle name="20% - Ênfase1 6" xfId="3623" xr:uid="{00000000-0005-0000-0000-0000AF0E0000}"/>
    <cellStyle name="20% - Ênfase1 7" xfId="3624" xr:uid="{00000000-0005-0000-0000-0000B00E0000}"/>
    <cellStyle name="20% - Ênfase1 8" xfId="3625" xr:uid="{00000000-0005-0000-0000-0000B10E0000}"/>
    <cellStyle name="20% - Ênfase1 9" xfId="3626" xr:uid="{00000000-0005-0000-0000-0000B20E0000}"/>
    <cellStyle name="20% - Ênfase2 10" xfId="3627" xr:uid="{00000000-0005-0000-0000-0000B30E0000}"/>
    <cellStyle name="20% - Ênfase2 11" xfId="43344" xr:uid="{00000000-0005-0000-0000-0000B40E0000}"/>
    <cellStyle name="20% - Ênfase2 12" xfId="693" xr:uid="{00000000-0005-0000-0000-0000B50E0000}"/>
    <cellStyle name="20% - Ênfase2 2" xfId="930" xr:uid="{00000000-0005-0000-0000-0000B60E0000}"/>
    <cellStyle name="20% - Ênfase2 2 2" xfId="3628" xr:uid="{00000000-0005-0000-0000-0000B70E0000}"/>
    <cellStyle name="20% - Ênfase2 3" xfId="1733" xr:uid="{00000000-0005-0000-0000-0000B80E0000}"/>
    <cellStyle name="20% - Ênfase2 3 2" xfId="3629" xr:uid="{00000000-0005-0000-0000-0000B90E0000}"/>
    <cellStyle name="20% - Ênfase2 4" xfId="3630" xr:uid="{00000000-0005-0000-0000-0000BA0E0000}"/>
    <cellStyle name="20% - Ênfase2 4 2" xfId="3631" xr:uid="{00000000-0005-0000-0000-0000BB0E0000}"/>
    <cellStyle name="20% - Ênfase2 5" xfId="3632" xr:uid="{00000000-0005-0000-0000-0000BC0E0000}"/>
    <cellStyle name="20% - Ênfase2 6" xfId="3633" xr:uid="{00000000-0005-0000-0000-0000BD0E0000}"/>
    <cellStyle name="20% - Ênfase2 7" xfId="3634" xr:uid="{00000000-0005-0000-0000-0000BE0E0000}"/>
    <cellStyle name="20% - Ênfase2 8" xfId="3635" xr:uid="{00000000-0005-0000-0000-0000BF0E0000}"/>
    <cellStyle name="20% - Ênfase2 9" xfId="3636" xr:uid="{00000000-0005-0000-0000-0000C00E0000}"/>
    <cellStyle name="20% - Ênfase3 10" xfId="3637" xr:uid="{00000000-0005-0000-0000-0000C10E0000}"/>
    <cellStyle name="20% - Ênfase3 11" xfId="43345" xr:uid="{00000000-0005-0000-0000-0000C20E0000}"/>
    <cellStyle name="20% - Ênfase3 12" xfId="694" xr:uid="{00000000-0005-0000-0000-0000C30E0000}"/>
    <cellStyle name="20% - Ênfase3 2" xfId="931" xr:uid="{00000000-0005-0000-0000-0000C40E0000}"/>
    <cellStyle name="20% - Ênfase3 2 2" xfId="3638" xr:uid="{00000000-0005-0000-0000-0000C50E0000}"/>
    <cellStyle name="20% - Ênfase3 3" xfId="1734" xr:uid="{00000000-0005-0000-0000-0000C60E0000}"/>
    <cellStyle name="20% - Ênfase3 3 2" xfId="3639" xr:uid="{00000000-0005-0000-0000-0000C70E0000}"/>
    <cellStyle name="20% - Ênfase3 4" xfId="3640" xr:uid="{00000000-0005-0000-0000-0000C80E0000}"/>
    <cellStyle name="20% - Ênfase3 4 2" xfId="3641" xr:uid="{00000000-0005-0000-0000-0000C90E0000}"/>
    <cellStyle name="20% - Ênfase3 5" xfId="3642" xr:uid="{00000000-0005-0000-0000-0000CA0E0000}"/>
    <cellStyle name="20% - Ênfase3 6" xfId="3643" xr:uid="{00000000-0005-0000-0000-0000CB0E0000}"/>
    <cellStyle name="20% - Ênfase3 7" xfId="3644" xr:uid="{00000000-0005-0000-0000-0000CC0E0000}"/>
    <cellStyle name="20% - Ênfase3 8" xfId="3645" xr:uid="{00000000-0005-0000-0000-0000CD0E0000}"/>
    <cellStyle name="20% - Ênfase3 9" xfId="3646" xr:uid="{00000000-0005-0000-0000-0000CE0E0000}"/>
    <cellStyle name="20% - Ênfase4 10" xfId="3647" xr:uid="{00000000-0005-0000-0000-0000CF0E0000}"/>
    <cellStyle name="20% - Ênfase4 11" xfId="43346" xr:uid="{00000000-0005-0000-0000-0000D00E0000}"/>
    <cellStyle name="20% - Ênfase4 12" xfId="695" xr:uid="{00000000-0005-0000-0000-0000D10E0000}"/>
    <cellStyle name="20% - Ênfase4 2" xfId="932" xr:uid="{00000000-0005-0000-0000-0000D20E0000}"/>
    <cellStyle name="20% - Ênfase4 2 2" xfId="3648" xr:uid="{00000000-0005-0000-0000-0000D30E0000}"/>
    <cellStyle name="20% - Ênfase4 3" xfId="1735" xr:uid="{00000000-0005-0000-0000-0000D40E0000}"/>
    <cellStyle name="20% - Ênfase4 3 2" xfId="3649" xr:uid="{00000000-0005-0000-0000-0000D50E0000}"/>
    <cellStyle name="20% - Ênfase4 4" xfId="3650" xr:uid="{00000000-0005-0000-0000-0000D60E0000}"/>
    <cellStyle name="20% - Ênfase4 4 2" xfId="3651" xr:uid="{00000000-0005-0000-0000-0000D70E0000}"/>
    <cellStyle name="20% - Ênfase4 5" xfId="3652" xr:uid="{00000000-0005-0000-0000-0000D80E0000}"/>
    <cellStyle name="20% - Ênfase4 6" xfId="3653" xr:uid="{00000000-0005-0000-0000-0000D90E0000}"/>
    <cellStyle name="20% - Ênfase4 7" xfId="3654" xr:uid="{00000000-0005-0000-0000-0000DA0E0000}"/>
    <cellStyle name="20% - Ênfase4 8" xfId="3655" xr:uid="{00000000-0005-0000-0000-0000DB0E0000}"/>
    <cellStyle name="20% - Ênfase4 9" xfId="3656" xr:uid="{00000000-0005-0000-0000-0000DC0E0000}"/>
    <cellStyle name="20% - Ênfase5 10" xfId="3657" xr:uid="{00000000-0005-0000-0000-0000DD0E0000}"/>
    <cellStyle name="20% - Ênfase5 11" xfId="43347" xr:uid="{00000000-0005-0000-0000-0000DE0E0000}"/>
    <cellStyle name="20% - Ênfase5 12" xfId="696" xr:uid="{00000000-0005-0000-0000-0000DF0E0000}"/>
    <cellStyle name="20% - Ênfase5 2" xfId="933" xr:uid="{00000000-0005-0000-0000-0000E00E0000}"/>
    <cellStyle name="20% - Ênfase5 2 2" xfId="3658" xr:uid="{00000000-0005-0000-0000-0000E10E0000}"/>
    <cellStyle name="20% - Ênfase5 3" xfId="1736" xr:uid="{00000000-0005-0000-0000-0000E20E0000}"/>
    <cellStyle name="20% - Ênfase5 3 2" xfId="3659" xr:uid="{00000000-0005-0000-0000-0000E30E0000}"/>
    <cellStyle name="20% - Ênfase5 4" xfId="3660" xr:uid="{00000000-0005-0000-0000-0000E40E0000}"/>
    <cellStyle name="20% - Ênfase5 4 2" xfId="3661" xr:uid="{00000000-0005-0000-0000-0000E50E0000}"/>
    <cellStyle name="20% - Ênfase5 5" xfId="3662" xr:uid="{00000000-0005-0000-0000-0000E60E0000}"/>
    <cellStyle name="20% - Ênfase5 6" xfId="3663" xr:uid="{00000000-0005-0000-0000-0000E70E0000}"/>
    <cellStyle name="20% - Ênfase5 7" xfId="3664" xr:uid="{00000000-0005-0000-0000-0000E80E0000}"/>
    <cellStyle name="20% - Ênfase5 8" xfId="3665" xr:uid="{00000000-0005-0000-0000-0000E90E0000}"/>
    <cellStyle name="20% - Ênfase5 9" xfId="3666" xr:uid="{00000000-0005-0000-0000-0000EA0E0000}"/>
    <cellStyle name="20% - Ênfase6 10" xfId="3667" xr:uid="{00000000-0005-0000-0000-0000EB0E0000}"/>
    <cellStyle name="20% - Ênfase6 11" xfId="43348" xr:uid="{00000000-0005-0000-0000-0000EC0E0000}"/>
    <cellStyle name="20% - Ênfase6 12" xfId="697" xr:uid="{00000000-0005-0000-0000-0000ED0E0000}"/>
    <cellStyle name="20% - Ênfase6 2" xfId="934" xr:uid="{00000000-0005-0000-0000-0000EE0E0000}"/>
    <cellStyle name="20% - Ênfase6 2 2" xfId="3668" xr:uid="{00000000-0005-0000-0000-0000EF0E0000}"/>
    <cellStyle name="20% - Ênfase6 3" xfId="1737" xr:uid="{00000000-0005-0000-0000-0000F00E0000}"/>
    <cellStyle name="20% - Ênfase6 3 2" xfId="3669" xr:uid="{00000000-0005-0000-0000-0000F10E0000}"/>
    <cellStyle name="20% - Ênfase6 4" xfId="3670" xr:uid="{00000000-0005-0000-0000-0000F20E0000}"/>
    <cellStyle name="20% - Ênfase6 4 2" xfId="3671" xr:uid="{00000000-0005-0000-0000-0000F30E0000}"/>
    <cellStyle name="20% - Ênfase6 5" xfId="3672" xr:uid="{00000000-0005-0000-0000-0000F40E0000}"/>
    <cellStyle name="20% - Ênfase6 6" xfId="3673" xr:uid="{00000000-0005-0000-0000-0000F50E0000}"/>
    <cellStyle name="20% - Ênfase6 7" xfId="3674" xr:uid="{00000000-0005-0000-0000-0000F60E0000}"/>
    <cellStyle name="20% - Ênfase6 8" xfId="3675" xr:uid="{00000000-0005-0000-0000-0000F70E0000}"/>
    <cellStyle name="20% - Ênfase6 9" xfId="3676" xr:uid="{00000000-0005-0000-0000-0000F80E0000}"/>
    <cellStyle name="20% - Énfasis1" xfId="935" xr:uid="{00000000-0005-0000-0000-0000F90E0000}"/>
    <cellStyle name="20% - Énfasis1 10" xfId="3677" xr:uid="{00000000-0005-0000-0000-0000FA0E0000}"/>
    <cellStyle name="20% - Énfasis1 11" xfId="3678" xr:uid="{00000000-0005-0000-0000-0000FB0E0000}"/>
    <cellStyle name="20% - Énfasis1 12" xfId="3679" xr:uid="{00000000-0005-0000-0000-0000FC0E0000}"/>
    <cellStyle name="20% - Énfasis1 13" xfId="3680" xr:uid="{00000000-0005-0000-0000-0000FD0E0000}"/>
    <cellStyle name="20% - Énfasis1 14" xfId="3681" xr:uid="{00000000-0005-0000-0000-0000FE0E0000}"/>
    <cellStyle name="20% - Énfasis1 15" xfId="3682" xr:uid="{00000000-0005-0000-0000-0000FF0E0000}"/>
    <cellStyle name="20% - Énfasis1 16" xfId="3683" xr:uid="{00000000-0005-0000-0000-0000000F0000}"/>
    <cellStyle name="20% - Énfasis1 17" xfId="3684" xr:uid="{00000000-0005-0000-0000-0000010F0000}"/>
    <cellStyle name="20% - Énfasis1 18" xfId="3685" xr:uid="{00000000-0005-0000-0000-0000020F0000}"/>
    <cellStyle name="20% - Énfasis1 19" xfId="3686" xr:uid="{00000000-0005-0000-0000-0000030F0000}"/>
    <cellStyle name="20% - Énfasis1 2" xfId="3687" xr:uid="{00000000-0005-0000-0000-0000040F0000}"/>
    <cellStyle name="20% - Énfasis1 2 2" xfId="3688" xr:uid="{00000000-0005-0000-0000-0000050F0000}"/>
    <cellStyle name="20% - Énfasis1 20" xfId="3689" xr:uid="{00000000-0005-0000-0000-0000060F0000}"/>
    <cellStyle name="20% - Énfasis1 21" xfId="3690" xr:uid="{00000000-0005-0000-0000-0000070F0000}"/>
    <cellStyle name="20% - Énfasis1 22" xfId="3691" xr:uid="{00000000-0005-0000-0000-0000080F0000}"/>
    <cellStyle name="20% - Énfasis1 23" xfId="3692" xr:uid="{00000000-0005-0000-0000-0000090F0000}"/>
    <cellStyle name="20% - Énfasis1 24" xfId="3693" xr:uid="{00000000-0005-0000-0000-00000A0F0000}"/>
    <cellStyle name="20% - Énfasis1 25" xfId="3694" xr:uid="{00000000-0005-0000-0000-00000B0F0000}"/>
    <cellStyle name="20% - Énfasis1 3" xfId="3695" xr:uid="{00000000-0005-0000-0000-00000C0F0000}"/>
    <cellStyle name="20% - Énfasis1 3 2" xfId="3696" xr:uid="{00000000-0005-0000-0000-00000D0F0000}"/>
    <cellStyle name="20% - Énfasis1 4" xfId="3697" xr:uid="{00000000-0005-0000-0000-00000E0F0000}"/>
    <cellStyle name="20% - Énfasis1 5" xfId="3698" xr:uid="{00000000-0005-0000-0000-00000F0F0000}"/>
    <cellStyle name="20% - Énfasis1 6" xfId="3699" xr:uid="{00000000-0005-0000-0000-0000100F0000}"/>
    <cellStyle name="20% - Énfasis1 7" xfId="3700" xr:uid="{00000000-0005-0000-0000-0000110F0000}"/>
    <cellStyle name="20% - Énfasis1 8" xfId="3701" xr:uid="{00000000-0005-0000-0000-0000120F0000}"/>
    <cellStyle name="20% - Énfasis1 9" xfId="3702" xr:uid="{00000000-0005-0000-0000-0000130F0000}"/>
    <cellStyle name="20% - Énfasis2" xfId="936" xr:uid="{00000000-0005-0000-0000-0000140F0000}"/>
    <cellStyle name="20% - Énfasis2 10" xfId="3703" xr:uid="{00000000-0005-0000-0000-0000150F0000}"/>
    <cellStyle name="20% - Énfasis2 11" xfId="3704" xr:uid="{00000000-0005-0000-0000-0000160F0000}"/>
    <cellStyle name="20% - Énfasis2 12" xfId="3705" xr:uid="{00000000-0005-0000-0000-0000170F0000}"/>
    <cellStyle name="20% - Énfasis2 13" xfId="3706" xr:uid="{00000000-0005-0000-0000-0000180F0000}"/>
    <cellStyle name="20% - Énfasis2 14" xfId="3707" xr:uid="{00000000-0005-0000-0000-0000190F0000}"/>
    <cellStyle name="20% - Énfasis2 15" xfId="3708" xr:uid="{00000000-0005-0000-0000-00001A0F0000}"/>
    <cellStyle name="20% - Énfasis2 16" xfId="3709" xr:uid="{00000000-0005-0000-0000-00001B0F0000}"/>
    <cellStyle name="20% - Énfasis2 17" xfId="3710" xr:uid="{00000000-0005-0000-0000-00001C0F0000}"/>
    <cellStyle name="20% - Énfasis2 18" xfId="3711" xr:uid="{00000000-0005-0000-0000-00001D0F0000}"/>
    <cellStyle name="20% - Énfasis2 19" xfId="3712" xr:uid="{00000000-0005-0000-0000-00001E0F0000}"/>
    <cellStyle name="20% - Énfasis2 2" xfId="3713" xr:uid="{00000000-0005-0000-0000-00001F0F0000}"/>
    <cellStyle name="20% - Énfasis2 2 2" xfId="3714" xr:uid="{00000000-0005-0000-0000-0000200F0000}"/>
    <cellStyle name="20% - Énfasis2 20" xfId="3715" xr:uid="{00000000-0005-0000-0000-0000210F0000}"/>
    <cellStyle name="20% - Énfasis2 21" xfId="3716" xr:uid="{00000000-0005-0000-0000-0000220F0000}"/>
    <cellStyle name="20% - Énfasis2 22" xfId="3717" xr:uid="{00000000-0005-0000-0000-0000230F0000}"/>
    <cellStyle name="20% - Énfasis2 23" xfId="3718" xr:uid="{00000000-0005-0000-0000-0000240F0000}"/>
    <cellStyle name="20% - Énfasis2 24" xfId="3719" xr:uid="{00000000-0005-0000-0000-0000250F0000}"/>
    <cellStyle name="20% - Énfasis2 25" xfId="3720" xr:uid="{00000000-0005-0000-0000-0000260F0000}"/>
    <cellStyle name="20% - Énfasis2 3" xfId="3721" xr:uid="{00000000-0005-0000-0000-0000270F0000}"/>
    <cellStyle name="20% - Énfasis2 3 2" xfId="3722" xr:uid="{00000000-0005-0000-0000-0000280F0000}"/>
    <cellStyle name="20% - Énfasis2 4" xfId="3723" xr:uid="{00000000-0005-0000-0000-0000290F0000}"/>
    <cellStyle name="20% - Énfasis2 5" xfId="3724" xr:uid="{00000000-0005-0000-0000-00002A0F0000}"/>
    <cellStyle name="20% - Énfasis2 6" xfId="3725" xr:uid="{00000000-0005-0000-0000-00002B0F0000}"/>
    <cellStyle name="20% - Énfasis2 7" xfId="3726" xr:uid="{00000000-0005-0000-0000-00002C0F0000}"/>
    <cellStyle name="20% - Énfasis2 8" xfId="3727" xr:uid="{00000000-0005-0000-0000-00002D0F0000}"/>
    <cellStyle name="20% - Énfasis2 9" xfId="3728" xr:uid="{00000000-0005-0000-0000-00002E0F0000}"/>
    <cellStyle name="20% - Énfasis3" xfId="937" xr:uid="{00000000-0005-0000-0000-00002F0F0000}"/>
    <cellStyle name="20% - Énfasis3 10" xfId="3729" xr:uid="{00000000-0005-0000-0000-0000300F0000}"/>
    <cellStyle name="20% - Énfasis3 11" xfId="3730" xr:uid="{00000000-0005-0000-0000-0000310F0000}"/>
    <cellStyle name="20% - Énfasis3 12" xfId="3731" xr:uid="{00000000-0005-0000-0000-0000320F0000}"/>
    <cellStyle name="20% - Énfasis3 13" xfId="3732" xr:uid="{00000000-0005-0000-0000-0000330F0000}"/>
    <cellStyle name="20% - Énfasis3 14" xfId="3733" xr:uid="{00000000-0005-0000-0000-0000340F0000}"/>
    <cellStyle name="20% - Énfasis3 15" xfId="3734" xr:uid="{00000000-0005-0000-0000-0000350F0000}"/>
    <cellStyle name="20% - Énfasis3 16" xfId="3735" xr:uid="{00000000-0005-0000-0000-0000360F0000}"/>
    <cellStyle name="20% - Énfasis3 17" xfId="3736" xr:uid="{00000000-0005-0000-0000-0000370F0000}"/>
    <cellStyle name="20% - Énfasis3 18" xfId="3737" xr:uid="{00000000-0005-0000-0000-0000380F0000}"/>
    <cellStyle name="20% - Énfasis3 19" xfId="3738" xr:uid="{00000000-0005-0000-0000-0000390F0000}"/>
    <cellStyle name="20% - Énfasis3 2" xfId="3739" xr:uid="{00000000-0005-0000-0000-00003A0F0000}"/>
    <cellStyle name="20% - Énfasis3 2 2" xfId="3740" xr:uid="{00000000-0005-0000-0000-00003B0F0000}"/>
    <cellStyle name="20% - Énfasis3 20" xfId="3741" xr:uid="{00000000-0005-0000-0000-00003C0F0000}"/>
    <cellStyle name="20% - Énfasis3 21" xfId="3742" xr:uid="{00000000-0005-0000-0000-00003D0F0000}"/>
    <cellStyle name="20% - Énfasis3 22" xfId="3743" xr:uid="{00000000-0005-0000-0000-00003E0F0000}"/>
    <cellStyle name="20% - Énfasis3 23" xfId="3744" xr:uid="{00000000-0005-0000-0000-00003F0F0000}"/>
    <cellStyle name="20% - Énfasis3 24" xfId="3745" xr:uid="{00000000-0005-0000-0000-0000400F0000}"/>
    <cellStyle name="20% - Énfasis3 25" xfId="3746" xr:uid="{00000000-0005-0000-0000-0000410F0000}"/>
    <cellStyle name="20% - Énfasis3 3" xfId="3747" xr:uid="{00000000-0005-0000-0000-0000420F0000}"/>
    <cellStyle name="20% - Énfasis3 3 2" xfId="3748" xr:uid="{00000000-0005-0000-0000-0000430F0000}"/>
    <cellStyle name="20% - Énfasis3 4" xfId="3749" xr:uid="{00000000-0005-0000-0000-0000440F0000}"/>
    <cellStyle name="20% - Énfasis3 5" xfId="3750" xr:uid="{00000000-0005-0000-0000-0000450F0000}"/>
    <cellStyle name="20% - Énfasis3 6" xfId="3751" xr:uid="{00000000-0005-0000-0000-0000460F0000}"/>
    <cellStyle name="20% - Énfasis3 7" xfId="3752" xr:uid="{00000000-0005-0000-0000-0000470F0000}"/>
    <cellStyle name="20% - Énfasis3 8" xfId="3753" xr:uid="{00000000-0005-0000-0000-0000480F0000}"/>
    <cellStyle name="20% - Énfasis3 9" xfId="3754" xr:uid="{00000000-0005-0000-0000-0000490F0000}"/>
    <cellStyle name="20% - Énfasis4" xfId="938" xr:uid="{00000000-0005-0000-0000-00004A0F0000}"/>
    <cellStyle name="20% - Énfasis4 10" xfId="3755" xr:uid="{00000000-0005-0000-0000-00004B0F0000}"/>
    <cellStyle name="20% - Énfasis4 11" xfId="3756" xr:uid="{00000000-0005-0000-0000-00004C0F0000}"/>
    <cellStyle name="20% - Énfasis4 12" xfId="3757" xr:uid="{00000000-0005-0000-0000-00004D0F0000}"/>
    <cellStyle name="20% - Énfasis4 13" xfId="3758" xr:uid="{00000000-0005-0000-0000-00004E0F0000}"/>
    <cellStyle name="20% - Énfasis4 14" xfId="3759" xr:uid="{00000000-0005-0000-0000-00004F0F0000}"/>
    <cellStyle name="20% - Énfasis4 15" xfId="3760" xr:uid="{00000000-0005-0000-0000-0000500F0000}"/>
    <cellStyle name="20% - Énfasis4 16" xfId="3761" xr:uid="{00000000-0005-0000-0000-0000510F0000}"/>
    <cellStyle name="20% - Énfasis4 17" xfId="3762" xr:uid="{00000000-0005-0000-0000-0000520F0000}"/>
    <cellStyle name="20% - Énfasis4 18" xfId="3763" xr:uid="{00000000-0005-0000-0000-0000530F0000}"/>
    <cellStyle name="20% - Énfasis4 19" xfId="3764" xr:uid="{00000000-0005-0000-0000-0000540F0000}"/>
    <cellStyle name="20% - Énfasis4 2" xfId="3765" xr:uid="{00000000-0005-0000-0000-0000550F0000}"/>
    <cellStyle name="20% - Énfasis4 2 2" xfId="3766" xr:uid="{00000000-0005-0000-0000-0000560F0000}"/>
    <cellStyle name="20% - Énfasis4 20" xfId="3767" xr:uid="{00000000-0005-0000-0000-0000570F0000}"/>
    <cellStyle name="20% - Énfasis4 21" xfId="3768" xr:uid="{00000000-0005-0000-0000-0000580F0000}"/>
    <cellStyle name="20% - Énfasis4 22" xfId="3769" xr:uid="{00000000-0005-0000-0000-0000590F0000}"/>
    <cellStyle name="20% - Énfasis4 23" xfId="3770" xr:uid="{00000000-0005-0000-0000-00005A0F0000}"/>
    <cellStyle name="20% - Énfasis4 24" xfId="3771" xr:uid="{00000000-0005-0000-0000-00005B0F0000}"/>
    <cellStyle name="20% - Énfasis4 25" xfId="3772" xr:uid="{00000000-0005-0000-0000-00005C0F0000}"/>
    <cellStyle name="20% - Énfasis4 3" xfId="3773" xr:uid="{00000000-0005-0000-0000-00005D0F0000}"/>
    <cellStyle name="20% - Énfasis4 3 2" xfId="3774" xr:uid="{00000000-0005-0000-0000-00005E0F0000}"/>
    <cellStyle name="20% - Énfasis4 4" xfId="3775" xr:uid="{00000000-0005-0000-0000-00005F0F0000}"/>
    <cellStyle name="20% - Énfasis4 5" xfId="3776" xr:uid="{00000000-0005-0000-0000-0000600F0000}"/>
    <cellStyle name="20% - Énfasis4 6" xfId="3777" xr:uid="{00000000-0005-0000-0000-0000610F0000}"/>
    <cellStyle name="20% - Énfasis4 7" xfId="3778" xr:uid="{00000000-0005-0000-0000-0000620F0000}"/>
    <cellStyle name="20% - Énfasis4 8" xfId="3779" xr:uid="{00000000-0005-0000-0000-0000630F0000}"/>
    <cellStyle name="20% - Énfasis4 9" xfId="3780" xr:uid="{00000000-0005-0000-0000-0000640F0000}"/>
    <cellStyle name="20% - Énfasis5" xfId="939" xr:uid="{00000000-0005-0000-0000-0000650F0000}"/>
    <cellStyle name="20% - Énfasis5 10" xfId="3781" xr:uid="{00000000-0005-0000-0000-0000660F0000}"/>
    <cellStyle name="20% - Énfasis5 11" xfId="3782" xr:uid="{00000000-0005-0000-0000-0000670F0000}"/>
    <cellStyle name="20% - Énfasis5 12" xfId="3783" xr:uid="{00000000-0005-0000-0000-0000680F0000}"/>
    <cellStyle name="20% - Énfasis5 13" xfId="3784" xr:uid="{00000000-0005-0000-0000-0000690F0000}"/>
    <cellStyle name="20% - Énfasis5 14" xfId="3785" xr:uid="{00000000-0005-0000-0000-00006A0F0000}"/>
    <cellStyle name="20% - Énfasis5 15" xfId="3786" xr:uid="{00000000-0005-0000-0000-00006B0F0000}"/>
    <cellStyle name="20% - Énfasis5 16" xfId="3787" xr:uid="{00000000-0005-0000-0000-00006C0F0000}"/>
    <cellStyle name="20% - Énfasis5 17" xfId="3788" xr:uid="{00000000-0005-0000-0000-00006D0F0000}"/>
    <cellStyle name="20% - Énfasis5 18" xfId="3789" xr:uid="{00000000-0005-0000-0000-00006E0F0000}"/>
    <cellStyle name="20% - Énfasis5 19" xfId="3790" xr:uid="{00000000-0005-0000-0000-00006F0F0000}"/>
    <cellStyle name="20% - Énfasis5 2" xfId="3791" xr:uid="{00000000-0005-0000-0000-0000700F0000}"/>
    <cellStyle name="20% - Énfasis5 2 2" xfId="3792" xr:uid="{00000000-0005-0000-0000-0000710F0000}"/>
    <cellStyle name="20% - Énfasis5 20" xfId="3793" xr:uid="{00000000-0005-0000-0000-0000720F0000}"/>
    <cellStyle name="20% - Énfasis5 21" xfId="3794" xr:uid="{00000000-0005-0000-0000-0000730F0000}"/>
    <cellStyle name="20% - Énfasis5 22" xfId="3795" xr:uid="{00000000-0005-0000-0000-0000740F0000}"/>
    <cellStyle name="20% - Énfasis5 23" xfId="3796" xr:uid="{00000000-0005-0000-0000-0000750F0000}"/>
    <cellStyle name="20% - Énfasis5 24" xfId="3797" xr:uid="{00000000-0005-0000-0000-0000760F0000}"/>
    <cellStyle name="20% - Énfasis5 25" xfId="3798" xr:uid="{00000000-0005-0000-0000-0000770F0000}"/>
    <cellStyle name="20% - Énfasis5 3" xfId="3799" xr:uid="{00000000-0005-0000-0000-0000780F0000}"/>
    <cellStyle name="20% - Énfasis5 3 2" xfId="3800" xr:uid="{00000000-0005-0000-0000-0000790F0000}"/>
    <cellStyle name="20% - Énfasis5 4" xfId="3801" xr:uid="{00000000-0005-0000-0000-00007A0F0000}"/>
    <cellStyle name="20% - Énfasis5 5" xfId="3802" xr:uid="{00000000-0005-0000-0000-00007B0F0000}"/>
    <cellStyle name="20% - Énfasis5 6" xfId="3803" xr:uid="{00000000-0005-0000-0000-00007C0F0000}"/>
    <cellStyle name="20% - Énfasis5 7" xfId="3804" xr:uid="{00000000-0005-0000-0000-00007D0F0000}"/>
    <cellStyle name="20% - Énfasis5 8" xfId="3805" xr:uid="{00000000-0005-0000-0000-00007E0F0000}"/>
    <cellStyle name="20% - Énfasis5 9" xfId="3806" xr:uid="{00000000-0005-0000-0000-00007F0F0000}"/>
    <cellStyle name="20% - Énfasis6" xfId="940" xr:uid="{00000000-0005-0000-0000-0000800F0000}"/>
    <cellStyle name="20% - Énfasis6 10" xfId="3807" xr:uid="{00000000-0005-0000-0000-0000810F0000}"/>
    <cellStyle name="20% - Énfasis6 11" xfId="3808" xr:uid="{00000000-0005-0000-0000-0000820F0000}"/>
    <cellStyle name="20% - Énfasis6 12" xfId="3809" xr:uid="{00000000-0005-0000-0000-0000830F0000}"/>
    <cellStyle name="20% - Énfasis6 13" xfId="3810" xr:uid="{00000000-0005-0000-0000-0000840F0000}"/>
    <cellStyle name="20% - Énfasis6 14" xfId="3811" xr:uid="{00000000-0005-0000-0000-0000850F0000}"/>
    <cellStyle name="20% - Énfasis6 15" xfId="3812" xr:uid="{00000000-0005-0000-0000-0000860F0000}"/>
    <cellStyle name="20% - Énfasis6 16" xfId="3813" xr:uid="{00000000-0005-0000-0000-0000870F0000}"/>
    <cellStyle name="20% - Énfasis6 17" xfId="3814" xr:uid="{00000000-0005-0000-0000-0000880F0000}"/>
    <cellStyle name="20% - Énfasis6 18" xfId="3815" xr:uid="{00000000-0005-0000-0000-0000890F0000}"/>
    <cellStyle name="20% - Énfasis6 19" xfId="3816" xr:uid="{00000000-0005-0000-0000-00008A0F0000}"/>
    <cellStyle name="20% - Énfasis6 2" xfId="3817" xr:uid="{00000000-0005-0000-0000-00008B0F0000}"/>
    <cellStyle name="20% - Énfasis6 2 2" xfId="3818" xr:uid="{00000000-0005-0000-0000-00008C0F0000}"/>
    <cellStyle name="20% - Énfasis6 20" xfId="3819" xr:uid="{00000000-0005-0000-0000-00008D0F0000}"/>
    <cellStyle name="20% - Énfasis6 21" xfId="3820" xr:uid="{00000000-0005-0000-0000-00008E0F0000}"/>
    <cellStyle name="20% - Énfasis6 22" xfId="3821" xr:uid="{00000000-0005-0000-0000-00008F0F0000}"/>
    <cellStyle name="20% - Énfasis6 23" xfId="3822" xr:uid="{00000000-0005-0000-0000-0000900F0000}"/>
    <cellStyle name="20% - Énfasis6 24" xfId="3823" xr:uid="{00000000-0005-0000-0000-0000910F0000}"/>
    <cellStyle name="20% - Énfasis6 25" xfId="3824" xr:uid="{00000000-0005-0000-0000-0000920F0000}"/>
    <cellStyle name="20% - Énfasis6 3" xfId="3825" xr:uid="{00000000-0005-0000-0000-0000930F0000}"/>
    <cellStyle name="20% - Énfasis6 3 2" xfId="3826" xr:uid="{00000000-0005-0000-0000-0000940F0000}"/>
    <cellStyle name="20% - Énfasis6 4" xfId="3827" xr:uid="{00000000-0005-0000-0000-0000950F0000}"/>
    <cellStyle name="20% - Énfasis6 5" xfId="3828" xr:uid="{00000000-0005-0000-0000-0000960F0000}"/>
    <cellStyle name="20% - Énfasis6 6" xfId="3829" xr:uid="{00000000-0005-0000-0000-0000970F0000}"/>
    <cellStyle name="20% - Énfasis6 7" xfId="3830" xr:uid="{00000000-0005-0000-0000-0000980F0000}"/>
    <cellStyle name="20% - Énfasis6 8" xfId="3831" xr:uid="{00000000-0005-0000-0000-0000990F0000}"/>
    <cellStyle name="20% - Énfasis6 9" xfId="3832" xr:uid="{00000000-0005-0000-0000-00009A0F0000}"/>
    <cellStyle name="2o.nível" xfId="698" xr:uid="{00000000-0005-0000-0000-00009B0F0000}"/>
    <cellStyle name="40% - Accent1" xfId="699" xr:uid="{00000000-0005-0000-0000-00009C0F0000}"/>
    <cellStyle name="40% - Accent1 2" xfId="3833" xr:uid="{00000000-0005-0000-0000-00009D0F0000}"/>
    <cellStyle name="40% - Accent2" xfId="700" xr:uid="{00000000-0005-0000-0000-00009E0F0000}"/>
    <cellStyle name="40% - Accent2 2" xfId="3834" xr:uid="{00000000-0005-0000-0000-00009F0F0000}"/>
    <cellStyle name="40% - Accent3" xfId="701" xr:uid="{00000000-0005-0000-0000-0000A00F0000}"/>
    <cellStyle name="40% - Accent3 2" xfId="3835" xr:uid="{00000000-0005-0000-0000-0000A10F0000}"/>
    <cellStyle name="40% - Accent4" xfId="702" xr:uid="{00000000-0005-0000-0000-0000A20F0000}"/>
    <cellStyle name="40% - Accent4 2" xfId="3836" xr:uid="{00000000-0005-0000-0000-0000A30F0000}"/>
    <cellStyle name="40% - Accent5" xfId="703" xr:uid="{00000000-0005-0000-0000-0000A40F0000}"/>
    <cellStyle name="40% - Accent5 2" xfId="3837" xr:uid="{00000000-0005-0000-0000-0000A50F0000}"/>
    <cellStyle name="40% - Accent6" xfId="704" xr:uid="{00000000-0005-0000-0000-0000A60F0000}"/>
    <cellStyle name="40% - Accent6 2" xfId="3838" xr:uid="{00000000-0005-0000-0000-0000A70F0000}"/>
    <cellStyle name="40% - Ênfase1 10" xfId="3839" xr:uid="{00000000-0005-0000-0000-0000A80F0000}"/>
    <cellStyle name="40% - Ênfase1 11" xfId="43349" xr:uid="{00000000-0005-0000-0000-0000A90F0000}"/>
    <cellStyle name="40% - Ênfase1 12" xfId="705" xr:uid="{00000000-0005-0000-0000-0000AA0F0000}"/>
    <cellStyle name="40% - Ênfase1 2" xfId="941" xr:uid="{00000000-0005-0000-0000-0000AB0F0000}"/>
    <cellStyle name="40% - Ênfase1 2 2" xfId="3840" xr:uid="{00000000-0005-0000-0000-0000AC0F0000}"/>
    <cellStyle name="40% - Ênfase1 3" xfId="1738" xr:uid="{00000000-0005-0000-0000-0000AD0F0000}"/>
    <cellStyle name="40% - Ênfase1 3 2" xfId="3841" xr:uid="{00000000-0005-0000-0000-0000AE0F0000}"/>
    <cellStyle name="40% - Ênfase1 4" xfId="3842" xr:uid="{00000000-0005-0000-0000-0000AF0F0000}"/>
    <cellStyle name="40% - Ênfase1 4 2" xfId="3843" xr:uid="{00000000-0005-0000-0000-0000B00F0000}"/>
    <cellStyle name="40% - Ênfase1 5" xfId="3844" xr:uid="{00000000-0005-0000-0000-0000B10F0000}"/>
    <cellStyle name="40% - Ênfase1 6" xfId="3845" xr:uid="{00000000-0005-0000-0000-0000B20F0000}"/>
    <cellStyle name="40% - Ênfase1 7" xfId="3846" xr:uid="{00000000-0005-0000-0000-0000B30F0000}"/>
    <cellStyle name="40% - Ênfase1 8" xfId="3847" xr:uid="{00000000-0005-0000-0000-0000B40F0000}"/>
    <cellStyle name="40% - Ênfase1 9" xfId="3848" xr:uid="{00000000-0005-0000-0000-0000B50F0000}"/>
    <cellStyle name="40% - Ênfase2 10" xfId="3849" xr:uid="{00000000-0005-0000-0000-0000B60F0000}"/>
    <cellStyle name="40% - Ênfase2 11" xfId="43350" xr:uid="{00000000-0005-0000-0000-0000B70F0000}"/>
    <cellStyle name="40% - Ênfase2 12" xfId="706" xr:uid="{00000000-0005-0000-0000-0000B80F0000}"/>
    <cellStyle name="40% - Ênfase2 2" xfId="942" xr:uid="{00000000-0005-0000-0000-0000B90F0000}"/>
    <cellStyle name="40% - Ênfase2 2 2" xfId="3850" xr:uid="{00000000-0005-0000-0000-0000BA0F0000}"/>
    <cellStyle name="40% - Ênfase2 3" xfId="1739" xr:uid="{00000000-0005-0000-0000-0000BB0F0000}"/>
    <cellStyle name="40% - Ênfase2 3 2" xfId="3851" xr:uid="{00000000-0005-0000-0000-0000BC0F0000}"/>
    <cellStyle name="40% - Ênfase2 4" xfId="3852" xr:uid="{00000000-0005-0000-0000-0000BD0F0000}"/>
    <cellStyle name="40% - Ênfase2 4 2" xfId="3853" xr:uid="{00000000-0005-0000-0000-0000BE0F0000}"/>
    <cellStyle name="40% - Ênfase2 5" xfId="3854" xr:uid="{00000000-0005-0000-0000-0000BF0F0000}"/>
    <cellStyle name="40% - Ênfase2 6" xfId="3855" xr:uid="{00000000-0005-0000-0000-0000C00F0000}"/>
    <cellStyle name="40% - Ênfase2 7" xfId="3856" xr:uid="{00000000-0005-0000-0000-0000C10F0000}"/>
    <cellStyle name="40% - Ênfase2 8" xfId="3857" xr:uid="{00000000-0005-0000-0000-0000C20F0000}"/>
    <cellStyle name="40% - Ênfase2 9" xfId="3858" xr:uid="{00000000-0005-0000-0000-0000C30F0000}"/>
    <cellStyle name="40% - Ênfase3 10" xfId="3859" xr:uid="{00000000-0005-0000-0000-0000C40F0000}"/>
    <cellStyle name="40% - Ênfase3 11" xfId="43351" xr:uid="{00000000-0005-0000-0000-0000C50F0000}"/>
    <cellStyle name="40% - Ênfase3 12" xfId="707" xr:uid="{00000000-0005-0000-0000-0000C60F0000}"/>
    <cellStyle name="40% - Ênfase3 2" xfId="943" xr:uid="{00000000-0005-0000-0000-0000C70F0000}"/>
    <cellStyle name="40% - Ênfase3 2 2" xfId="3860" xr:uid="{00000000-0005-0000-0000-0000C80F0000}"/>
    <cellStyle name="40% - Ênfase3 3" xfId="1740" xr:uid="{00000000-0005-0000-0000-0000C90F0000}"/>
    <cellStyle name="40% - Ênfase3 3 2" xfId="3861" xr:uid="{00000000-0005-0000-0000-0000CA0F0000}"/>
    <cellStyle name="40% - Ênfase3 4" xfId="3862" xr:uid="{00000000-0005-0000-0000-0000CB0F0000}"/>
    <cellStyle name="40% - Ênfase3 4 2" xfId="3863" xr:uid="{00000000-0005-0000-0000-0000CC0F0000}"/>
    <cellStyle name="40% - Ênfase3 5" xfId="3864" xr:uid="{00000000-0005-0000-0000-0000CD0F0000}"/>
    <cellStyle name="40% - Ênfase3 6" xfId="3865" xr:uid="{00000000-0005-0000-0000-0000CE0F0000}"/>
    <cellStyle name="40% - Ênfase3 7" xfId="3866" xr:uid="{00000000-0005-0000-0000-0000CF0F0000}"/>
    <cellStyle name="40% - Ênfase3 8" xfId="3867" xr:uid="{00000000-0005-0000-0000-0000D00F0000}"/>
    <cellStyle name="40% - Ênfase3 9" xfId="3868" xr:uid="{00000000-0005-0000-0000-0000D10F0000}"/>
    <cellStyle name="40% - Ênfase4 10" xfId="3869" xr:uid="{00000000-0005-0000-0000-0000D20F0000}"/>
    <cellStyle name="40% - Ênfase4 11" xfId="43352" xr:uid="{00000000-0005-0000-0000-0000D30F0000}"/>
    <cellStyle name="40% - Ênfase4 12" xfId="708" xr:uid="{00000000-0005-0000-0000-0000D40F0000}"/>
    <cellStyle name="40% - Ênfase4 2" xfId="944" xr:uid="{00000000-0005-0000-0000-0000D50F0000}"/>
    <cellStyle name="40% - Ênfase4 2 2" xfId="3870" xr:uid="{00000000-0005-0000-0000-0000D60F0000}"/>
    <cellStyle name="40% - Ênfase4 3" xfId="1741" xr:uid="{00000000-0005-0000-0000-0000D70F0000}"/>
    <cellStyle name="40% - Ênfase4 3 2" xfId="3871" xr:uid="{00000000-0005-0000-0000-0000D80F0000}"/>
    <cellStyle name="40% - Ênfase4 4" xfId="3872" xr:uid="{00000000-0005-0000-0000-0000D90F0000}"/>
    <cellStyle name="40% - Ênfase4 4 2" xfId="3873" xr:uid="{00000000-0005-0000-0000-0000DA0F0000}"/>
    <cellStyle name="40% - Ênfase4 5" xfId="3874" xr:uid="{00000000-0005-0000-0000-0000DB0F0000}"/>
    <cellStyle name="40% - Ênfase4 6" xfId="3875" xr:uid="{00000000-0005-0000-0000-0000DC0F0000}"/>
    <cellStyle name="40% - Ênfase4 7" xfId="3876" xr:uid="{00000000-0005-0000-0000-0000DD0F0000}"/>
    <cellStyle name="40% - Ênfase4 8" xfId="3877" xr:uid="{00000000-0005-0000-0000-0000DE0F0000}"/>
    <cellStyle name="40% - Ênfase4 9" xfId="3878" xr:uid="{00000000-0005-0000-0000-0000DF0F0000}"/>
    <cellStyle name="40% - Ênfase5 10" xfId="3879" xr:uid="{00000000-0005-0000-0000-0000E00F0000}"/>
    <cellStyle name="40% - Ênfase5 11" xfId="43353" xr:uid="{00000000-0005-0000-0000-0000E10F0000}"/>
    <cellStyle name="40% - Ênfase5 12" xfId="709" xr:uid="{00000000-0005-0000-0000-0000E20F0000}"/>
    <cellStyle name="40% - Ênfase5 2" xfId="945" xr:uid="{00000000-0005-0000-0000-0000E30F0000}"/>
    <cellStyle name="40% - Ênfase5 2 2" xfId="3880" xr:uid="{00000000-0005-0000-0000-0000E40F0000}"/>
    <cellStyle name="40% - Ênfase5 3" xfId="1742" xr:uid="{00000000-0005-0000-0000-0000E50F0000}"/>
    <cellStyle name="40% - Ênfase5 3 2" xfId="3881" xr:uid="{00000000-0005-0000-0000-0000E60F0000}"/>
    <cellStyle name="40% - Ênfase5 4" xfId="3882" xr:uid="{00000000-0005-0000-0000-0000E70F0000}"/>
    <cellStyle name="40% - Ênfase5 4 2" xfId="3883" xr:uid="{00000000-0005-0000-0000-0000E80F0000}"/>
    <cellStyle name="40% - Ênfase5 5" xfId="3884" xr:uid="{00000000-0005-0000-0000-0000E90F0000}"/>
    <cellStyle name="40% - Ênfase5 6" xfId="3885" xr:uid="{00000000-0005-0000-0000-0000EA0F0000}"/>
    <cellStyle name="40% - Ênfase5 7" xfId="3886" xr:uid="{00000000-0005-0000-0000-0000EB0F0000}"/>
    <cellStyle name="40% - Ênfase5 8" xfId="3887" xr:uid="{00000000-0005-0000-0000-0000EC0F0000}"/>
    <cellStyle name="40% - Ênfase5 9" xfId="3888" xr:uid="{00000000-0005-0000-0000-0000ED0F0000}"/>
    <cellStyle name="40% - Ênfase6 10" xfId="3889" xr:uid="{00000000-0005-0000-0000-0000EE0F0000}"/>
    <cellStyle name="40% - Ênfase6 11" xfId="43354" xr:uid="{00000000-0005-0000-0000-0000EF0F0000}"/>
    <cellStyle name="40% - Ênfase6 12" xfId="710" xr:uid="{00000000-0005-0000-0000-0000F00F0000}"/>
    <cellStyle name="40% - Ênfase6 2" xfId="946" xr:uid="{00000000-0005-0000-0000-0000F10F0000}"/>
    <cellStyle name="40% - Ênfase6 2 2" xfId="3890" xr:uid="{00000000-0005-0000-0000-0000F20F0000}"/>
    <cellStyle name="40% - Ênfase6 3" xfId="1743" xr:uid="{00000000-0005-0000-0000-0000F30F0000}"/>
    <cellStyle name="40% - Ênfase6 3 2" xfId="3891" xr:uid="{00000000-0005-0000-0000-0000F40F0000}"/>
    <cellStyle name="40% - Ênfase6 4" xfId="3892" xr:uid="{00000000-0005-0000-0000-0000F50F0000}"/>
    <cellStyle name="40% - Ênfase6 4 2" xfId="3893" xr:uid="{00000000-0005-0000-0000-0000F60F0000}"/>
    <cellStyle name="40% - Ênfase6 5" xfId="3894" xr:uid="{00000000-0005-0000-0000-0000F70F0000}"/>
    <cellStyle name="40% - Ênfase6 6" xfId="3895" xr:uid="{00000000-0005-0000-0000-0000F80F0000}"/>
    <cellStyle name="40% - Ênfase6 7" xfId="3896" xr:uid="{00000000-0005-0000-0000-0000F90F0000}"/>
    <cellStyle name="40% - Ênfase6 8" xfId="3897" xr:uid="{00000000-0005-0000-0000-0000FA0F0000}"/>
    <cellStyle name="40% - Ênfase6 9" xfId="3898" xr:uid="{00000000-0005-0000-0000-0000FB0F0000}"/>
    <cellStyle name="40% - Énfasis1" xfId="947" xr:uid="{00000000-0005-0000-0000-0000FC0F0000}"/>
    <cellStyle name="40% - Énfasis1 10" xfId="3899" xr:uid="{00000000-0005-0000-0000-0000FD0F0000}"/>
    <cellStyle name="40% - Énfasis1 11" xfId="3900" xr:uid="{00000000-0005-0000-0000-0000FE0F0000}"/>
    <cellStyle name="40% - Énfasis1 12" xfId="3901" xr:uid="{00000000-0005-0000-0000-0000FF0F0000}"/>
    <cellStyle name="40% - Énfasis1 13" xfId="3902" xr:uid="{00000000-0005-0000-0000-000000100000}"/>
    <cellStyle name="40% - Énfasis1 14" xfId="3903" xr:uid="{00000000-0005-0000-0000-000001100000}"/>
    <cellStyle name="40% - Énfasis1 15" xfId="3904" xr:uid="{00000000-0005-0000-0000-000002100000}"/>
    <cellStyle name="40% - Énfasis1 16" xfId="3905" xr:uid="{00000000-0005-0000-0000-000003100000}"/>
    <cellStyle name="40% - Énfasis1 17" xfId="3906" xr:uid="{00000000-0005-0000-0000-000004100000}"/>
    <cellStyle name="40% - Énfasis1 18" xfId="3907" xr:uid="{00000000-0005-0000-0000-000005100000}"/>
    <cellStyle name="40% - Énfasis1 19" xfId="3908" xr:uid="{00000000-0005-0000-0000-000006100000}"/>
    <cellStyle name="40% - Énfasis1 2" xfId="3909" xr:uid="{00000000-0005-0000-0000-000007100000}"/>
    <cellStyle name="40% - Énfasis1 2 2" xfId="3910" xr:uid="{00000000-0005-0000-0000-000008100000}"/>
    <cellStyle name="40% - Énfasis1 20" xfId="3911" xr:uid="{00000000-0005-0000-0000-000009100000}"/>
    <cellStyle name="40% - Énfasis1 21" xfId="3912" xr:uid="{00000000-0005-0000-0000-00000A100000}"/>
    <cellStyle name="40% - Énfasis1 22" xfId="3913" xr:uid="{00000000-0005-0000-0000-00000B100000}"/>
    <cellStyle name="40% - Énfasis1 23" xfId="3914" xr:uid="{00000000-0005-0000-0000-00000C100000}"/>
    <cellStyle name="40% - Énfasis1 24" xfId="3915" xr:uid="{00000000-0005-0000-0000-00000D100000}"/>
    <cellStyle name="40% - Énfasis1 25" xfId="3916" xr:uid="{00000000-0005-0000-0000-00000E100000}"/>
    <cellStyle name="40% - Énfasis1 3" xfId="3917" xr:uid="{00000000-0005-0000-0000-00000F100000}"/>
    <cellStyle name="40% - Énfasis1 3 2" xfId="3918" xr:uid="{00000000-0005-0000-0000-000010100000}"/>
    <cellStyle name="40% - Énfasis1 4" xfId="3919" xr:uid="{00000000-0005-0000-0000-000011100000}"/>
    <cellStyle name="40% - Énfasis1 5" xfId="3920" xr:uid="{00000000-0005-0000-0000-000012100000}"/>
    <cellStyle name="40% - Énfasis1 6" xfId="3921" xr:uid="{00000000-0005-0000-0000-000013100000}"/>
    <cellStyle name="40% - Énfasis1 7" xfId="3922" xr:uid="{00000000-0005-0000-0000-000014100000}"/>
    <cellStyle name="40% - Énfasis1 8" xfId="3923" xr:uid="{00000000-0005-0000-0000-000015100000}"/>
    <cellStyle name="40% - Énfasis1 9" xfId="3924" xr:uid="{00000000-0005-0000-0000-000016100000}"/>
    <cellStyle name="40% - Énfasis2" xfId="948" xr:uid="{00000000-0005-0000-0000-000017100000}"/>
    <cellStyle name="40% - Énfasis2 10" xfId="3925" xr:uid="{00000000-0005-0000-0000-000018100000}"/>
    <cellStyle name="40% - Énfasis2 11" xfId="3926" xr:uid="{00000000-0005-0000-0000-000019100000}"/>
    <cellStyle name="40% - Énfasis2 12" xfId="3927" xr:uid="{00000000-0005-0000-0000-00001A100000}"/>
    <cellStyle name="40% - Énfasis2 13" xfId="3928" xr:uid="{00000000-0005-0000-0000-00001B100000}"/>
    <cellStyle name="40% - Énfasis2 14" xfId="3929" xr:uid="{00000000-0005-0000-0000-00001C100000}"/>
    <cellStyle name="40% - Énfasis2 15" xfId="3930" xr:uid="{00000000-0005-0000-0000-00001D100000}"/>
    <cellStyle name="40% - Énfasis2 16" xfId="3931" xr:uid="{00000000-0005-0000-0000-00001E100000}"/>
    <cellStyle name="40% - Énfasis2 17" xfId="3932" xr:uid="{00000000-0005-0000-0000-00001F100000}"/>
    <cellStyle name="40% - Énfasis2 18" xfId="3933" xr:uid="{00000000-0005-0000-0000-000020100000}"/>
    <cellStyle name="40% - Énfasis2 19" xfId="3934" xr:uid="{00000000-0005-0000-0000-000021100000}"/>
    <cellStyle name="40% - Énfasis2 2" xfId="3935" xr:uid="{00000000-0005-0000-0000-000022100000}"/>
    <cellStyle name="40% - Énfasis2 2 2" xfId="3936" xr:uid="{00000000-0005-0000-0000-000023100000}"/>
    <cellStyle name="40% - Énfasis2 20" xfId="3937" xr:uid="{00000000-0005-0000-0000-000024100000}"/>
    <cellStyle name="40% - Énfasis2 21" xfId="3938" xr:uid="{00000000-0005-0000-0000-000025100000}"/>
    <cellStyle name="40% - Énfasis2 22" xfId="3939" xr:uid="{00000000-0005-0000-0000-000026100000}"/>
    <cellStyle name="40% - Énfasis2 23" xfId="3940" xr:uid="{00000000-0005-0000-0000-000027100000}"/>
    <cellStyle name="40% - Énfasis2 24" xfId="3941" xr:uid="{00000000-0005-0000-0000-000028100000}"/>
    <cellStyle name="40% - Énfasis2 25" xfId="3942" xr:uid="{00000000-0005-0000-0000-000029100000}"/>
    <cellStyle name="40% - Énfasis2 3" xfId="3943" xr:uid="{00000000-0005-0000-0000-00002A100000}"/>
    <cellStyle name="40% - Énfasis2 3 2" xfId="3944" xr:uid="{00000000-0005-0000-0000-00002B100000}"/>
    <cellStyle name="40% - Énfasis2 4" xfId="3945" xr:uid="{00000000-0005-0000-0000-00002C100000}"/>
    <cellStyle name="40% - Énfasis2 5" xfId="3946" xr:uid="{00000000-0005-0000-0000-00002D100000}"/>
    <cellStyle name="40% - Énfasis2 6" xfId="3947" xr:uid="{00000000-0005-0000-0000-00002E100000}"/>
    <cellStyle name="40% - Énfasis2 7" xfId="3948" xr:uid="{00000000-0005-0000-0000-00002F100000}"/>
    <cellStyle name="40% - Énfasis2 8" xfId="3949" xr:uid="{00000000-0005-0000-0000-000030100000}"/>
    <cellStyle name="40% - Énfasis2 9" xfId="3950" xr:uid="{00000000-0005-0000-0000-000031100000}"/>
    <cellStyle name="40% - Énfasis3" xfId="949" xr:uid="{00000000-0005-0000-0000-000032100000}"/>
    <cellStyle name="40% - Énfasis3 10" xfId="3951" xr:uid="{00000000-0005-0000-0000-000033100000}"/>
    <cellStyle name="40% - Énfasis3 11" xfId="3952" xr:uid="{00000000-0005-0000-0000-000034100000}"/>
    <cellStyle name="40% - Énfasis3 12" xfId="3953" xr:uid="{00000000-0005-0000-0000-000035100000}"/>
    <cellStyle name="40% - Énfasis3 13" xfId="3954" xr:uid="{00000000-0005-0000-0000-000036100000}"/>
    <cellStyle name="40% - Énfasis3 14" xfId="3955" xr:uid="{00000000-0005-0000-0000-000037100000}"/>
    <cellStyle name="40% - Énfasis3 15" xfId="3956" xr:uid="{00000000-0005-0000-0000-000038100000}"/>
    <cellStyle name="40% - Énfasis3 16" xfId="3957" xr:uid="{00000000-0005-0000-0000-000039100000}"/>
    <cellStyle name="40% - Énfasis3 17" xfId="3958" xr:uid="{00000000-0005-0000-0000-00003A100000}"/>
    <cellStyle name="40% - Énfasis3 18" xfId="3959" xr:uid="{00000000-0005-0000-0000-00003B100000}"/>
    <cellStyle name="40% - Énfasis3 19" xfId="3960" xr:uid="{00000000-0005-0000-0000-00003C100000}"/>
    <cellStyle name="40% - Énfasis3 2" xfId="3961" xr:uid="{00000000-0005-0000-0000-00003D100000}"/>
    <cellStyle name="40% - Énfasis3 2 2" xfId="3962" xr:uid="{00000000-0005-0000-0000-00003E100000}"/>
    <cellStyle name="40% - Énfasis3 20" xfId="3963" xr:uid="{00000000-0005-0000-0000-00003F100000}"/>
    <cellStyle name="40% - Énfasis3 21" xfId="3964" xr:uid="{00000000-0005-0000-0000-000040100000}"/>
    <cellStyle name="40% - Énfasis3 22" xfId="3965" xr:uid="{00000000-0005-0000-0000-000041100000}"/>
    <cellStyle name="40% - Énfasis3 23" xfId="3966" xr:uid="{00000000-0005-0000-0000-000042100000}"/>
    <cellStyle name="40% - Énfasis3 24" xfId="3967" xr:uid="{00000000-0005-0000-0000-000043100000}"/>
    <cellStyle name="40% - Énfasis3 25" xfId="3968" xr:uid="{00000000-0005-0000-0000-000044100000}"/>
    <cellStyle name="40% - Énfasis3 3" xfId="3969" xr:uid="{00000000-0005-0000-0000-000045100000}"/>
    <cellStyle name="40% - Énfasis3 3 2" xfId="3970" xr:uid="{00000000-0005-0000-0000-000046100000}"/>
    <cellStyle name="40% - Énfasis3 4" xfId="3971" xr:uid="{00000000-0005-0000-0000-000047100000}"/>
    <cellStyle name="40% - Énfasis3 5" xfId="3972" xr:uid="{00000000-0005-0000-0000-000048100000}"/>
    <cellStyle name="40% - Énfasis3 6" xfId="3973" xr:uid="{00000000-0005-0000-0000-000049100000}"/>
    <cellStyle name="40% - Énfasis3 7" xfId="3974" xr:uid="{00000000-0005-0000-0000-00004A100000}"/>
    <cellStyle name="40% - Énfasis3 8" xfId="3975" xr:uid="{00000000-0005-0000-0000-00004B100000}"/>
    <cellStyle name="40% - Énfasis3 9" xfId="3976" xr:uid="{00000000-0005-0000-0000-00004C100000}"/>
    <cellStyle name="40% - Énfasis4" xfId="950" xr:uid="{00000000-0005-0000-0000-00004D100000}"/>
    <cellStyle name="40% - Énfasis4 10" xfId="3977" xr:uid="{00000000-0005-0000-0000-00004E100000}"/>
    <cellStyle name="40% - Énfasis4 11" xfId="3978" xr:uid="{00000000-0005-0000-0000-00004F100000}"/>
    <cellStyle name="40% - Énfasis4 12" xfId="3979" xr:uid="{00000000-0005-0000-0000-000050100000}"/>
    <cellStyle name="40% - Énfasis4 13" xfId="3980" xr:uid="{00000000-0005-0000-0000-000051100000}"/>
    <cellStyle name="40% - Énfasis4 14" xfId="3981" xr:uid="{00000000-0005-0000-0000-000052100000}"/>
    <cellStyle name="40% - Énfasis4 15" xfId="3982" xr:uid="{00000000-0005-0000-0000-000053100000}"/>
    <cellStyle name="40% - Énfasis4 16" xfId="3983" xr:uid="{00000000-0005-0000-0000-000054100000}"/>
    <cellStyle name="40% - Énfasis4 17" xfId="3984" xr:uid="{00000000-0005-0000-0000-000055100000}"/>
    <cellStyle name="40% - Énfasis4 18" xfId="3985" xr:uid="{00000000-0005-0000-0000-000056100000}"/>
    <cellStyle name="40% - Énfasis4 19" xfId="3986" xr:uid="{00000000-0005-0000-0000-000057100000}"/>
    <cellStyle name="40% - Énfasis4 2" xfId="3987" xr:uid="{00000000-0005-0000-0000-000058100000}"/>
    <cellStyle name="40% - Énfasis4 2 2" xfId="3988" xr:uid="{00000000-0005-0000-0000-000059100000}"/>
    <cellStyle name="40% - Énfasis4 20" xfId="3989" xr:uid="{00000000-0005-0000-0000-00005A100000}"/>
    <cellStyle name="40% - Énfasis4 21" xfId="3990" xr:uid="{00000000-0005-0000-0000-00005B100000}"/>
    <cellStyle name="40% - Énfasis4 22" xfId="3991" xr:uid="{00000000-0005-0000-0000-00005C100000}"/>
    <cellStyle name="40% - Énfasis4 23" xfId="3992" xr:uid="{00000000-0005-0000-0000-00005D100000}"/>
    <cellStyle name="40% - Énfasis4 24" xfId="3993" xr:uid="{00000000-0005-0000-0000-00005E100000}"/>
    <cellStyle name="40% - Énfasis4 25" xfId="3994" xr:uid="{00000000-0005-0000-0000-00005F100000}"/>
    <cellStyle name="40% - Énfasis4 3" xfId="3995" xr:uid="{00000000-0005-0000-0000-000060100000}"/>
    <cellStyle name="40% - Énfasis4 3 2" xfId="3996" xr:uid="{00000000-0005-0000-0000-000061100000}"/>
    <cellStyle name="40% - Énfasis4 4" xfId="3997" xr:uid="{00000000-0005-0000-0000-000062100000}"/>
    <cellStyle name="40% - Énfasis4 5" xfId="3998" xr:uid="{00000000-0005-0000-0000-000063100000}"/>
    <cellStyle name="40% - Énfasis4 6" xfId="3999" xr:uid="{00000000-0005-0000-0000-000064100000}"/>
    <cellStyle name="40% - Énfasis4 7" xfId="4000" xr:uid="{00000000-0005-0000-0000-000065100000}"/>
    <cellStyle name="40% - Énfasis4 8" xfId="4001" xr:uid="{00000000-0005-0000-0000-000066100000}"/>
    <cellStyle name="40% - Énfasis4 9" xfId="4002" xr:uid="{00000000-0005-0000-0000-000067100000}"/>
    <cellStyle name="40% - Énfasis5" xfId="951" xr:uid="{00000000-0005-0000-0000-000068100000}"/>
    <cellStyle name="40% - Énfasis5 10" xfId="4003" xr:uid="{00000000-0005-0000-0000-000069100000}"/>
    <cellStyle name="40% - Énfasis5 11" xfId="4004" xr:uid="{00000000-0005-0000-0000-00006A100000}"/>
    <cellStyle name="40% - Énfasis5 12" xfId="4005" xr:uid="{00000000-0005-0000-0000-00006B100000}"/>
    <cellStyle name="40% - Énfasis5 13" xfId="4006" xr:uid="{00000000-0005-0000-0000-00006C100000}"/>
    <cellStyle name="40% - Énfasis5 14" xfId="4007" xr:uid="{00000000-0005-0000-0000-00006D100000}"/>
    <cellStyle name="40% - Énfasis5 15" xfId="4008" xr:uid="{00000000-0005-0000-0000-00006E100000}"/>
    <cellStyle name="40% - Énfasis5 16" xfId="4009" xr:uid="{00000000-0005-0000-0000-00006F100000}"/>
    <cellStyle name="40% - Énfasis5 17" xfId="4010" xr:uid="{00000000-0005-0000-0000-000070100000}"/>
    <cellStyle name="40% - Énfasis5 18" xfId="4011" xr:uid="{00000000-0005-0000-0000-000071100000}"/>
    <cellStyle name="40% - Énfasis5 19" xfId="4012" xr:uid="{00000000-0005-0000-0000-000072100000}"/>
    <cellStyle name="40% - Énfasis5 2" xfId="4013" xr:uid="{00000000-0005-0000-0000-000073100000}"/>
    <cellStyle name="40% - Énfasis5 2 2" xfId="4014" xr:uid="{00000000-0005-0000-0000-000074100000}"/>
    <cellStyle name="40% - Énfasis5 20" xfId="4015" xr:uid="{00000000-0005-0000-0000-000075100000}"/>
    <cellStyle name="40% - Énfasis5 21" xfId="4016" xr:uid="{00000000-0005-0000-0000-000076100000}"/>
    <cellStyle name="40% - Énfasis5 22" xfId="4017" xr:uid="{00000000-0005-0000-0000-000077100000}"/>
    <cellStyle name="40% - Énfasis5 23" xfId="4018" xr:uid="{00000000-0005-0000-0000-000078100000}"/>
    <cellStyle name="40% - Énfasis5 24" xfId="4019" xr:uid="{00000000-0005-0000-0000-000079100000}"/>
    <cellStyle name="40% - Énfasis5 25" xfId="4020" xr:uid="{00000000-0005-0000-0000-00007A100000}"/>
    <cellStyle name="40% - Énfasis5 3" xfId="4021" xr:uid="{00000000-0005-0000-0000-00007B100000}"/>
    <cellStyle name="40% - Énfasis5 3 2" xfId="4022" xr:uid="{00000000-0005-0000-0000-00007C100000}"/>
    <cellStyle name="40% - Énfasis5 4" xfId="4023" xr:uid="{00000000-0005-0000-0000-00007D100000}"/>
    <cellStyle name="40% - Énfasis5 5" xfId="4024" xr:uid="{00000000-0005-0000-0000-00007E100000}"/>
    <cellStyle name="40% - Énfasis5 6" xfId="4025" xr:uid="{00000000-0005-0000-0000-00007F100000}"/>
    <cellStyle name="40% - Énfasis5 7" xfId="4026" xr:uid="{00000000-0005-0000-0000-000080100000}"/>
    <cellStyle name="40% - Énfasis5 8" xfId="4027" xr:uid="{00000000-0005-0000-0000-000081100000}"/>
    <cellStyle name="40% - Énfasis5 9" xfId="4028" xr:uid="{00000000-0005-0000-0000-000082100000}"/>
    <cellStyle name="40% - Énfasis6" xfId="952" xr:uid="{00000000-0005-0000-0000-000083100000}"/>
    <cellStyle name="40% - Énfasis6 10" xfId="4029" xr:uid="{00000000-0005-0000-0000-000084100000}"/>
    <cellStyle name="40% - Énfasis6 11" xfId="4030" xr:uid="{00000000-0005-0000-0000-000085100000}"/>
    <cellStyle name="40% - Énfasis6 12" xfId="4031" xr:uid="{00000000-0005-0000-0000-000086100000}"/>
    <cellStyle name="40% - Énfasis6 13" xfId="4032" xr:uid="{00000000-0005-0000-0000-000087100000}"/>
    <cellStyle name="40% - Énfasis6 14" xfId="4033" xr:uid="{00000000-0005-0000-0000-000088100000}"/>
    <cellStyle name="40% - Énfasis6 15" xfId="4034" xr:uid="{00000000-0005-0000-0000-000089100000}"/>
    <cellStyle name="40% - Énfasis6 16" xfId="4035" xr:uid="{00000000-0005-0000-0000-00008A100000}"/>
    <cellStyle name="40% - Énfasis6 17" xfId="4036" xr:uid="{00000000-0005-0000-0000-00008B100000}"/>
    <cellStyle name="40% - Énfasis6 18" xfId="4037" xr:uid="{00000000-0005-0000-0000-00008C100000}"/>
    <cellStyle name="40% - Énfasis6 19" xfId="4038" xr:uid="{00000000-0005-0000-0000-00008D100000}"/>
    <cellStyle name="40% - Énfasis6 2" xfId="4039" xr:uid="{00000000-0005-0000-0000-00008E100000}"/>
    <cellStyle name="40% - Énfasis6 2 2" xfId="4040" xr:uid="{00000000-0005-0000-0000-00008F100000}"/>
    <cellStyle name="40% - Énfasis6 20" xfId="4041" xr:uid="{00000000-0005-0000-0000-000090100000}"/>
    <cellStyle name="40% - Énfasis6 21" xfId="4042" xr:uid="{00000000-0005-0000-0000-000091100000}"/>
    <cellStyle name="40% - Énfasis6 22" xfId="4043" xr:uid="{00000000-0005-0000-0000-000092100000}"/>
    <cellStyle name="40% - Énfasis6 23" xfId="4044" xr:uid="{00000000-0005-0000-0000-000093100000}"/>
    <cellStyle name="40% - Énfasis6 24" xfId="4045" xr:uid="{00000000-0005-0000-0000-000094100000}"/>
    <cellStyle name="40% - Énfasis6 25" xfId="4046" xr:uid="{00000000-0005-0000-0000-000095100000}"/>
    <cellStyle name="40% - Énfasis6 3" xfId="4047" xr:uid="{00000000-0005-0000-0000-000096100000}"/>
    <cellStyle name="40% - Énfasis6 3 2" xfId="4048" xr:uid="{00000000-0005-0000-0000-000097100000}"/>
    <cellStyle name="40% - Énfasis6 4" xfId="4049" xr:uid="{00000000-0005-0000-0000-000098100000}"/>
    <cellStyle name="40% - Énfasis6 5" xfId="4050" xr:uid="{00000000-0005-0000-0000-000099100000}"/>
    <cellStyle name="40% - Énfasis6 6" xfId="4051" xr:uid="{00000000-0005-0000-0000-00009A100000}"/>
    <cellStyle name="40% - Énfasis6 7" xfId="4052" xr:uid="{00000000-0005-0000-0000-00009B100000}"/>
    <cellStyle name="40% - Énfasis6 8" xfId="4053" xr:uid="{00000000-0005-0000-0000-00009C100000}"/>
    <cellStyle name="40% - Énfasis6 9" xfId="4054" xr:uid="{00000000-0005-0000-0000-00009D100000}"/>
    <cellStyle name="60% - Accent1" xfId="711" xr:uid="{00000000-0005-0000-0000-00009E100000}"/>
    <cellStyle name="60% - Accent1 2" xfId="4055" xr:uid="{00000000-0005-0000-0000-00009F100000}"/>
    <cellStyle name="60% - Accent2" xfId="712" xr:uid="{00000000-0005-0000-0000-0000A0100000}"/>
    <cellStyle name="60% - Accent2 2" xfId="4056" xr:uid="{00000000-0005-0000-0000-0000A1100000}"/>
    <cellStyle name="60% - Accent3" xfId="713" xr:uid="{00000000-0005-0000-0000-0000A2100000}"/>
    <cellStyle name="60% - Accent3 2" xfId="4057" xr:uid="{00000000-0005-0000-0000-0000A3100000}"/>
    <cellStyle name="60% - Accent4" xfId="714" xr:uid="{00000000-0005-0000-0000-0000A4100000}"/>
    <cellStyle name="60% - Accent4 2" xfId="4058" xr:uid="{00000000-0005-0000-0000-0000A5100000}"/>
    <cellStyle name="60% - Accent5" xfId="715" xr:uid="{00000000-0005-0000-0000-0000A6100000}"/>
    <cellStyle name="60% - Accent5 2" xfId="4059" xr:uid="{00000000-0005-0000-0000-0000A7100000}"/>
    <cellStyle name="60% - Accent6" xfId="716" xr:uid="{00000000-0005-0000-0000-0000A8100000}"/>
    <cellStyle name="60% - Accent6 2" xfId="4060" xr:uid="{00000000-0005-0000-0000-0000A9100000}"/>
    <cellStyle name="60% - Ênfase1 10" xfId="4061" xr:uid="{00000000-0005-0000-0000-0000AA100000}"/>
    <cellStyle name="60% - Ênfase1 11" xfId="43355" xr:uid="{00000000-0005-0000-0000-0000AB100000}"/>
    <cellStyle name="60% - Ênfase1 12" xfId="717" xr:uid="{00000000-0005-0000-0000-0000AC100000}"/>
    <cellStyle name="60% - Ênfase1 2" xfId="953" xr:uid="{00000000-0005-0000-0000-0000AD100000}"/>
    <cellStyle name="60% - Ênfase1 2 2" xfId="4062" xr:uid="{00000000-0005-0000-0000-0000AE100000}"/>
    <cellStyle name="60% - Ênfase1 3" xfId="1744" xr:uid="{00000000-0005-0000-0000-0000AF100000}"/>
    <cellStyle name="60% - Ênfase1 3 2" xfId="4063" xr:uid="{00000000-0005-0000-0000-0000B0100000}"/>
    <cellStyle name="60% - Ênfase1 4" xfId="4064" xr:uid="{00000000-0005-0000-0000-0000B1100000}"/>
    <cellStyle name="60% - Ênfase1 4 2" xfId="4065" xr:uid="{00000000-0005-0000-0000-0000B2100000}"/>
    <cellStyle name="60% - Ênfase1 5" xfId="4066" xr:uid="{00000000-0005-0000-0000-0000B3100000}"/>
    <cellStyle name="60% - Ênfase1 6" xfId="4067" xr:uid="{00000000-0005-0000-0000-0000B4100000}"/>
    <cellStyle name="60% - Ênfase1 7" xfId="4068" xr:uid="{00000000-0005-0000-0000-0000B5100000}"/>
    <cellStyle name="60% - Ênfase1 8" xfId="4069" xr:uid="{00000000-0005-0000-0000-0000B6100000}"/>
    <cellStyle name="60% - Ênfase1 9" xfId="4070" xr:uid="{00000000-0005-0000-0000-0000B7100000}"/>
    <cellStyle name="60% - Ênfase2 10" xfId="4071" xr:uid="{00000000-0005-0000-0000-0000B8100000}"/>
    <cellStyle name="60% - Ênfase2 11" xfId="43356" xr:uid="{00000000-0005-0000-0000-0000B9100000}"/>
    <cellStyle name="60% - Ênfase2 12" xfId="718" xr:uid="{00000000-0005-0000-0000-0000BA100000}"/>
    <cellStyle name="60% - Ênfase2 2" xfId="954" xr:uid="{00000000-0005-0000-0000-0000BB100000}"/>
    <cellStyle name="60% - Ênfase2 2 2" xfId="4072" xr:uid="{00000000-0005-0000-0000-0000BC100000}"/>
    <cellStyle name="60% - Ênfase2 3" xfId="1745" xr:uid="{00000000-0005-0000-0000-0000BD100000}"/>
    <cellStyle name="60% - Ênfase2 3 2" xfId="4073" xr:uid="{00000000-0005-0000-0000-0000BE100000}"/>
    <cellStyle name="60% - Ênfase2 4" xfId="4074" xr:uid="{00000000-0005-0000-0000-0000BF100000}"/>
    <cellStyle name="60% - Ênfase2 4 2" xfId="4075" xr:uid="{00000000-0005-0000-0000-0000C0100000}"/>
    <cellStyle name="60% - Ênfase2 5" xfId="4076" xr:uid="{00000000-0005-0000-0000-0000C1100000}"/>
    <cellStyle name="60% - Ênfase2 6" xfId="4077" xr:uid="{00000000-0005-0000-0000-0000C2100000}"/>
    <cellStyle name="60% - Ênfase2 7" xfId="4078" xr:uid="{00000000-0005-0000-0000-0000C3100000}"/>
    <cellStyle name="60% - Ênfase2 8" xfId="4079" xr:uid="{00000000-0005-0000-0000-0000C4100000}"/>
    <cellStyle name="60% - Ênfase2 9" xfId="4080" xr:uid="{00000000-0005-0000-0000-0000C5100000}"/>
    <cellStyle name="60% - Ênfase3 10" xfId="4081" xr:uid="{00000000-0005-0000-0000-0000C6100000}"/>
    <cellStyle name="60% - Ênfase3 11" xfId="43357" xr:uid="{00000000-0005-0000-0000-0000C7100000}"/>
    <cellStyle name="60% - Ênfase3 12" xfId="719" xr:uid="{00000000-0005-0000-0000-0000C8100000}"/>
    <cellStyle name="60% - Ênfase3 2" xfId="955" xr:uid="{00000000-0005-0000-0000-0000C9100000}"/>
    <cellStyle name="60% - Ênfase3 2 2" xfId="4082" xr:uid="{00000000-0005-0000-0000-0000CA100000}"/>
    <cellStyle name="60% - Ênfase3 3" xfId="1746" xr:uid="{00000000-0005-0000-0000-0000CB100000}"/>
    <cellStyle name="60% - Ênfase3 3 2" xfId="4083" xr:uid="{00000000-0005-0000-0000-0000CC100000}"/>
    <cellStyle name="60% - Ênfase3 4" xfId="4084" xr:uid="{00000000-0005-0000-0000-0000CD100000}"/>
    <cellStyle name="60% - Ênfase3 4 2" xfId="4085" xr:uid="{00000000-0005-0000-0000-0000CE100000}"/>
    <cellStyle name="60% - Ênfase3 5" xfId="4086" xr:uid="{00000000-0005-0000-0000-0000CF100000}"/>
    <cellStyle name="60% - Ênfase3 6" xfId="4087" xr:uid="{00000000-0005-0000-0000-0000D0100000}"/>
    <cellStyle name="60% - Ênfase3 7" xfId="4088" xr:uid="{00000000-0005-0000-0000-0000D1100000}"/>
    <cellStyle name="60% - Ênfase3 8" xfId="4089" xr:uid="{00000000-0005-0000-0000-0000D2100000}"/>
    <cellStyle name="60% - Ênfase3 9" xfId="4090" xr:uid="{00000000-0005-0000-0000-0000D3100000}"/>
    <cellStyle name="60% - Ênfase4 10" xfId="4091" xr:uid="{00000000-0005-0000-0000-0000D4100000}"/>
    <cellStyle name="60% - Ênfase4 11" xfId="43358" xr:uid="{00000000-0005-0000-0000-0000D5100000}"/>
    <cellStyle name="60% - Ênfase4 12" xfId="720" xr:uid="{00000000-0005-0000-0000-0000D6100000}"/>
    <cellStyle name="60% - Ênfase4 2" xfId="956" xr:uid="{00000000-0005-0000-0000-0000D7100000}"/>
    <cellStyle name="60% - Ênfase4 2 2" xfId="4092" xr:uid="{00000000-0005-0000-0000-0000D8100000}"/>
    <cellStyle name="60% - Ênfase4 3" xfId="1747" xr:uid="{00000000-0005-0000-0000-0000D9100000}"/>
    <cellStyle name="60% - Ênfase4 3 2" xfId="4093" xr:uid="{00000000-0005-0000-0000-0000DA100000}"/>
    <cellStyle name="60% - Ênfase4 4" xfId="4094" xr:uid="{00000000-0005-0000-0000-0000DB100000}"/>
    <cellStyle name="60% - Ênfase4 4 2" xfId="4095" xr:uid="{00000000-0005-0000-0000-0000DC100000}"/>
    <cellStyle name="60% - Ênfase4 5" xfId="4096" xr:uid="{00000000-0005-0000-0000-0000DD100000}"/>
    <cellStyle name="60% - Ênfase4 6" xfId="4097" xr:uid="{00000000-0005-0000-0000-0000DE100000}"/>
    <cellStyle name="60% - Ênfase4 7" xfId="4098" xr:uid="{00000000-0005-0000-0000-0000DF100000}"/>
    <cellStyle name="60% - Ênfase4 8" xfId="4099" xr:uid="{00000000-0005-0000-0000-0000E0100000}"/>
    <cellStyle name="60% - Ênfase4 9" xfId="4100" xr:uid="{00000000-0005-0000-0000-0000E1100000}"/>
    <cellStyle name="60% - Ênfase5 10" xfId="4101" xr:uid="{00000000-0005-0000-0000-0000E2100000}"/>
    <cellStyle name="60% - Ênfase5 11" xfId="43359" xr:uid="{00000000-0005-0000-0000-0000E3100000}"/>
    <cellStyle name="60% - Ênfase5 12" xfId="721" xr:uid="{00000000-0005-0000-0000-0000E4100000}"/>
    <cellStyle name="60% - Ênfase5 2" xfId="957" xr:uid="{00000000-0005-0000-0000-0000E5100000}"/>
    <cellStyle name="60% - Ênfase5 2 2" xfId="4102" xr:uid="{00000000-0005-0000-0000-0000E6100000}"/>
    <cellStyle name="60% - Ênfase5 3" xfId="1748" xr:uid="{00000000-0005-0000-0000-0000E7100000}"/>
    <cellStyle name="60% - Ênfase5 3 2" xfId="4103" xr:uid="{00000000-0005-0000-0000-0000E8100000}"/>
    <cellStyle name="60% - Ênfase5 4" xfId="4104" xr:uid="{00000000-0005-0000-0000-0000E9100000}"/>
    <cellStyle name="60% - Ênfase5 4 2" xfId="4105" xr:uid="{00000000-0005-0000-0000-0000EA100000}"/>
    <cellStyle name="60% - Ênfase5 5" xfId="4106" xr:uid="{00000000-0005-0000-0000-0000EB100000}"/>
    <cellStyle name="60% - Ênfase5 6" xfId="4107" xr:uid="{00000000-0005-0000-0000-0000EC100000}"/>
    <cellStyle name="60% - Ênfase5 7" xfId="4108" xr:uid="{00000000-0005-0000-0000-0000ED100000}"/>
    <cellStyle name="60% - Ênfase5 8" xfId="4109" xr:uid="{00000000-0005-0000-0000-0000EE100000}"/>
    <cellStyle name="60% - Ênfase5 9" xfId="4110" xr:uid="{00000000-0005-0000-0000-0000EF100000}"/>
    <cellStyle name="60% - Ênfase6 10" xfId="4111" xr:uid="{00000000-0005-0000-0000-0000F0100000}"/>
    <cellStyle name="60% - Ênfase6 11" xfId="43360" xr:uid="{00000000-0005-0000-0000-0000F1100000}"/>
    <cellStyle name="60% - Ênfase6 12" xfId="722" xr:uid="{00000000-0005-0000-0000-0000F2100000}"/>
    <cellStyle name="60% - Ênfase6 2" xfId="958" xr:uid="{00000000-0005-0000-0000-0000F3100000}"/>
    <cellStyle name="60% - Ênfase6 2 2" xfId="4112" xr:uid="{00000000-0005-0000-0000-0000F4100000}"/>
    <cellStyle name="60% - Ênfase6 3" xfId="1749" xr:uid="{00000000-0005-0000-0000-0000F5100000}"/>
    <cellStyle name="60% - Ênfase6 3 2" xfId="4113" xr:uid="{00000000-0005-0000-0000-0000F6100000}"/>
    <cellStyle name="60% - Ênfase6 4" xfId="4114" xr:uid="{00000000-0005-0000-0000-0000F7100000}"/>
    <cellStyle name="60% - Ênfase6 4 2" xfId="4115" xr:uid="{00000000-0005-0000-0000-0000F8100000}"/>
    <cellStyle name="60% - Ênfase6 5" xfId="4116" xr:uid="{00000000-0005-0000-0000-0000F9100000}"/>
    <cellStyle name="60% - Ênfase6 6" xfId="4117" xr:uid="{00000000-0005-0000-0000-0000FA100000}"/>
    <cellStyle name="60% - Ênfase6 7" xfId="4118" xr:uid="{00000000-0005-0000-0000-0000FB100000}"/>
    <cellStyle name="60% - Ênfase6 8" xfId="4119" xr:uid="{00000000-0005-0000-0000-0000FC100000}"/>
    <cellStyle name="60% - Ênfase6 9" xfId="4120" xr:uid="{00000000-0005-0000-0000-0000FD100000}"/>
    <cellStyle name="60% - Énfasis1" xfId="959" xr:uid="{00000000-0005-0000-0000-0000FE100000}"/>
    <cellStyle name="60% - Énfasis1 2" xfId="4121" xr:uid="{00000000-0005-0000-0000-0000FF100000}"/>
    <cellStyle name="60% - Énfasis2" xfId="960" xr:uid="{00000000-0005-0000-0000-000000110000}"/>
    <cellStyle name="60% - Énfasis2 2" xfId="4122" xr:uid="{00000000-0005-0000-0000-000001110000}"/>
    <cellStyle name="60% - Énfasis3" xfId="961" xr:uid="{00000000-0005-0000-0000-000002110000}"/>
    <cellStyle name="60% - Énfasis3 2" xfId="4123" xr:uid="{00000000-0005-0000-0000-000003110000}"/>
    <cellStyle name="60% - Énfasis4" xfId="962" xr:uid="{00000000-0005-0000-0000-000004110000}"/>
    <cellStyle name="60% - Énfasis4 2" xfId="4124" xr:uid="{00000000-0005-0000-0000-000005110000}"/>
    <cellStyle name="60% - Énfasis5" xfId="963" xr:uid="{00000000-0005-0000-0000-000006110000}"/>
    <cellStyle name="60% - Énfasis5 2" xfId="4125" xr:uid="{00000000-0005-0000-0000-000007110000}"/>
    <cellStyle name="60% - Énfasis6" xfId="964" xr:uid="{00000000-0005-0000-0000-000008110000}"/>
    <cellStyle name="60% - Énfasis6 2" xfId="4126" xr:uid="{00000000-0005-0000-0000-000009110000}"/>
    <cellStyle name="8" xfId="723" xr:uid="{00000000-0005-0000-0000-00000A110000}"/>
    <cellStyle name="8_atualização serviços taxados" xfId="43361" xr:uid="{00000000-0005-0000-0000-00000B110000}"/>
    <cellStyle name="8_Cálculo do Financeiro do Baixa Renda" xfId="4127" xr:uid="{00000000-0005-0000-0000-00000C110000}"/>
    <cellStyle name="8_Cálculo do Financeiro do Baixa Renda_IRT-cálculo" xfId="4128" xr:uid="{00000000-0005-0000-0000-00000D110000}"/>
    <cellStyle name="8_Cálculo do Financeiro do Baixa Renda_IRT-cálculo CAPA NEUTRALIDADE" xfId="4129" xr:uid="{00000000-0005-0000-0000-00000E110000}"/>
    <cellStyle name="8_Calculo_Subsidio_ELFSM_26_06_08_Modelo_ANEEL" xfId="4130" xr:uid="{00000000-0005-0000-0000-00000F110000}"/>
    <cellStyle name="8_Calculo_Subsidio_ELFSM_26_06_08_Modelo_ANEEL_IRT-cálculo" xfId="4131" xr:uid="{00000000-0005-0000-0000-000010110000}"/>
    <cellStyle name="8_Calculo_Subsidio_ELFSM_26_06_08_Modelo_ANEEL_IRT-cálculo CAPA NEUTRALIDADE" xfId="4132" xr:uid="{00000000-0005-0000-0000-000011110000}"/>
    <cellStyle name="8_CELPE - Cálculo do RA0 para o IRT 2010" xfId="43362" xr:uid="{00000000-0005-0000-0000-000012110000}"/>
    <cellStyle name="8_CELPE REAJUSTE 2008 ver 6c (17mar08) (IRT revisado - reversão - bolhas)(corr Uso)" xfId="43363" xr:uid="{00000000-0005-0000-0000-000013110000}"/>
    <cellStyle name="8_CELPE REAJUSTE 2008 ver final (enviada 17mar08)" xfId="43364" xr:uid="{00000000-0005-0000-0000-000014110000}"/>
    <cellStyle name="8_COELBA_05_DIFERENÇAS_FINANCEIRAS_EM_RECUPERAÇÃO_Jan09" xfId="43365" xr:uid="{00000000-0005-0000-0000-000015110000}"/>
    <cellStyle name="8_COELBA_05_DIFERENÇAS_FINANCEIRAS_EM_RECUPERAÇÃO_Jan09_COELBA_IRT 2010_Simulador_21_08_09" xfId="43366" xr:uid="{00000000-0005-0000-0000-000016110000}"/>
    <cellStyle name="8_COELBA_06_DIFERENÇAS_FINANCEIRAS_EM_CONSTITUIÇÃO_Jan09" xfId="43367" xr:uid="{00000000-0005-0000-0000-000017110000}"/>
    <cellStyle name="8_COELBA_06_DIFERENÇAS_FINANCEIRAS_EM_CONSTITUIÇÃO_Jan09_COELBA_IRT 2010_Simulador_21_08_09" xfId="43368" xr:uid="{00000000-0005-0000-0000-000018110000}"/>
    <cellStyle name="8_COELBA_90 - Apuração da Receita e Reversão_IRT 2010" xfId="43369" xr:uid="{00000000-0005-0000-0000-000019110000}"/>
    <cellStyle name="8_COELBA_90 - Apuração da Receita e Reversão_IRT 2010_Jan_10" xfId="43370" xr:uid="{00000000-0005-0000-0000-00001A110000}"/>
    <cellStyle name="8_COELCE - Balanço de Energia - Reajuste 2009 - 02 02 2009" xfId="43371" xr:uid="{00000000-0005-0000-0000-00001B110000}"/>
    <cellStyle name="8_COELCE - Compensação CVA Ano Anterior" xfId="43372" xr:uid="{00000000-0005-0000-0000-00001C110000}"/>
    <cellStyle name="8_Compensação CVA Ano Anterior" xfId="43373" xr:uid="{00000000-0005-0000-0000-00001D110000}"/>
    <cellStyle name="8_Cópia de COELBA_06_DIFERENÃAS_FINANCEIRAS_EM_CONSTITUIÃ+O_Jul08" xfId="4133" xr:uid="{00000000-0005-0000-0000-00001E110000}"/>
    <cellStyle name="8_Custo com Avaliação de Ativos para Base de Remuneração" xfId="4134" xr:uid="{00000000-0005-0000-0000-00001F110000}"/>
    <cellStyle name="8_Custo com Avaliação de Ativos para Base de Remuneração_IRT-cálculo" xfId="4135" xr:uid="{00000000-0005-0000-0000-000020110000}"/>
    <cellStyle name="8_Custo com Avaliação de Ativos para Base de Remuneração_IRT-cálculo CAPA NEUTRALIDADE" xfId="4136" xr:uid="{00000000-0005-0000-0000-000021110000}"/>
    <cellStyle name="8_CVA_Projetada até dez-2008_Setembro" xfId="4137" xr:uid="{00000000-0005-0000-0000-000022110000}"/>
    <cellStyle name="8_CVA_Projetada até dez-2008_Setembro_CVA Outros Componentes PROVISÃO" xfId="4138" xr:uid="{00000000-0005-0000-0000-000023110000}"/>
    <cellStyle name="8_CVA_Projetada até dez-2008_Setembro_PROVISÃO" xfId="4139" xr:uid="{00000000-0005-0000-0000-000024110000}"/>
    <cellStyle name="8_Energia Comprada" xfId="4140" xr:uid="{00000000-0005-0000-0000-000025110000}"/>
    <cellStyle name="8_Energia Comprada_IRT-cálculo" xfId="4141" xr:uid="{00000000-0005-0000-0000-000026110000}"/>
    <cellStyle name="8_Energia Comprada_IRT-cálculo CAPA NEUTRALIDADE" xfId="4142" xr:uid="{00000000-0005-0000-0000-000027110000}"/>
    <cellStyle name="8_Fator X" xfId="1657" xr:uid="{00000000-0005-0000-0000-000028110000}"/>
    <cellStyle name="8_Fator X_atualização serviços taxados" xfId="43374" xr:uid="{00000000-0005-0000-0000-000029110000}"/>
    <cellStyle name="8_Fator X_Financeiro Desconto na TUSD Consumidores Livres Reajuste 2010 - 03_03_2010" xfId="43375" xr:uid="{00000000-0005-0000-0000-00002A110000}"/>
    <cellStyle name="8_Fator X_Financeiro Desconto na TUSD Geradores Reajuste 2010 - 03_03_2010" xfId="43376" xr:uid="{00000000-0005-0000-0000-00002B110000}"/>
    <cellStyle name="8_Fator X_Financeiro Subsídio Baixa Renda Reajuste 2010 - 03_03_2010" xfId="43377" xr:uid="{00000000-0005-0000-0000-00002C110000}"/>
    <cellStyle name="8_Fator X_Financeiro Subsídio Rural Irrigante e Aquicultor Reajuste 2010 - 03_03_2010" xfId="43378" xr:uid="{00000000-0005-0000-0000-00002D110000}"/>
    <cellStyle name="8_Fator X_IRT-cálculo" xfId="4143" xr:uid="{00000000-0005-0000-0000-00002E110000}"/>
    <cellStyle name="8_Fator X_IRT-cálculo CAPA NEUTRALIDADE" xfId="4144" xr:uid="{00000000-0005-0000-0000-00002F110000}"/>
    <cellStyle name="8_Fator X_SOBRECONTRATAÇÃO E CVA" xfId="4145" xr:uid="{00000000-0005-0000-0000-000030110000}"/>
    <cellStyle name="8_Financeiro Desconto na TUSD Consumidores Livres Reajuste 2010 - 03_03_2010" xfId="43379" xr:uid="{00000000-0005-0000-0000-000031110000}"/>
    <cellStyle name="8_Financeiro Desconto na TUSD Geradores Reajuste 2010 - 03_03_2010" xfId="43380" xr:uid="{00000000-0005-0000-0000-000032110000}"/>
    <cellStyle name="8_Financeiro Subsídio Baixa Renda Reajuste 2010 - 03_03_2010" xfId="43381" xr:uid="{00000000-0005-0000-0000-000033110000}"/>
    <cellStyle name="8_Financeiro Subsídio Rural Irrigante e Aquicultor Reajuste 2010 - 03_03_2010" xfId="43382" xr:uid="{00000000-0005-0000-0000-000034110000}"/>
    <cellStyle name="8_IF - Autoprodutores 2" xfId="4146" xr:uid="{00000000-0005-0000-0000-000035110000}"/>
    <cellStyle name="8_IF_Consumidores livres e geradoras_2010" xfId="4147" xr:uid="{00000000-0005-0000-0000-000036110000}"/>
    <cellStyle name="8_IRT (2)" xfId="1658" xr:uid="{00000000-0005-0000-0000-000037110000}"/>
    <cellStyle name="8_IRT (2) 2" xfId="4148" xr:uid="{00000000-0005-0000-0000-000038110000}"/>
    <cellStyle name="8_IRT Piratininga 2009" xfId="724" xr:uid="{00000000-0005-0000-0000-000039110000}"/>
    <cellStyle name="8_IRT Piratininga 2009 2" xfId="1484" xr:uid="{00000000-0005-0000-0000-00003A110000}"/>
    <cellStyle name="8_IRT_1" xfId="1659" xr:uid="{00000000-0005-0000-0000-00003B110000}"/>
    <cellStyle name="8_IRT_1_atualização serviços taxados" xfId="43383" xr:uid="{00000000-0005-0000-0000-00003C110000}"/>
    <cellStyle name="8_IRT_1_Financeiro Desconto na TUSD Consumidores Livres Reajuste 2010 - 03_03_2010" xfId="43384" xr:uid="{00000000-0005-0000-0000-00003D110000}"/>
    <cellStyle name="8_IRT_1_Financeiro Desconto na TUSD Geradores Reajuste 2010 - 03_03_2010" xfId="43385" xr:uid="{00000000-0005-0000-0000-00003E110000}"/>
    <cellStyle name="8_IRT_1_Financeiro Subsídio Baixa Renda Reajuste 2010 - 03_03_2010" xfId="43386" xr:uid="{00000000-0005-0000-0000-00003F110000}"/>
    <cellStyle name="8_IRT_1_Financeiro Subsídio Rural Irrigante e Aquicultor Reajuste 2010 - 03_03_2010" xfId="43387" xr:uid="{00000000-0005-0000-0000-000040110000}"/>
    <cellStyle name="8_IRT_1_IRT-cálculo" xfId="4149" xr:uid="{00000000-0005-0000-0000-000041110000}"/>
    <cellStyle name="8_IRT_1_IRT-cálculo CAPA NEUTRALIDADE" xfId="4150" xr:uid="{00000000-0005-0000-0000-000042110000}"/>
    <cellStyle name="8_IRT_1_SOBRECONTRATAÇÃO E CVA" xfId="4151" xr:uid="{00000000-0005-0000-0000-000043110000}"/>
    <cellStyle name="8_IRT_LIGHT_nov2007" xfId="1660" xr:uid="{00000000-0005-0000-0000-000044110000}"/>
    <cellStyle name="8_IRT_LIGHT_nov2007_atualização serviços taxados" xfId="43388" xr:uid="{00000000-0005-0000-0000-000045110000}"/>
    <cellStyle name="8_IRT_LIGHT_nov2007_Financeiro Desconto na TUSD Consumidores Livres Reajuste 2010 - 03_03_2010" xfId="43389" xr:uid="{00000000-0005-0000-0000-000046110000}"/>
    <cellStyle name="8_IRT_LIGHT_nov2007_Financeiro Desconto na TUSD Geradores Reajuste 2010 - 03_03_2010" xfId="43390" xr:uid="{00000000-0005-0000-0000-000047110000}"/>
    <cellStyle name="8_IRT_LIGHT_nov2007_Financeiro Subsídio Baixa Renda Reajuste 2010 - 03_03_2010" xfId="43391" xr:uid="{00000000-0005-0000-0000-000048110000}"/>
    <cellStyle name="8_IRT_LIGHT_nov2007_Financeiro Subsídio Rural Irrigante e Aquicultor Reajuste 2010 - 03_03_2010" xfId="43392" xr:uid="{00000000-0005-0000-0000-000049110000}"/>
    <cellStyle name="8_IRT_LIGHT_nov2007_IRT-cálculo" xfId="4152" xr:uid="{00000000-0005-0000-0000-00004A110000}"/>
    <cellStyle name="8_IRT_LIGHT_nov2007_IRT-cálculo CAPA NEUTRALIDADE" xfId="4153" xr:uid="{00000000-0005-0000-0000-00004B110000}"/>
    <cellStyle name="8_IRT_LIGHT_nov2007_SOBRECONTRATAÇÃO E CVA" xfId="4154" xr:uid="{00000000-0005-0000-0000-00004C110000}"/>
    <cellStyle name="8_IRT_Planilha Básica_ CETRIL" xfId="725" xr:uid="{00000000-0005-0000-0000-00004D110000}"/>
    <cellStyle name="8_IRT_Planilha Básica_ CETRIL 2" xfId="1485" xr:uid="{00000000-0005-0000-0000-00004E110000}"/>
    <cellStyle name="8_IRT_Planilha Básica_mar2010b" xfId="4155" xr:uid="{00000000-0005-0000-0000-00004F110000}"/>
    <cellStyle name="8_IRT_Pleito" xfId="4156" xr:uid="{00000000-0005-0000-0000-000050110000}"/>
    <cellStyle name="8_IRT_Pleito_IRT-cálculo" xfId="4157" xr:uid="{00000000-0005-0000-0000-000051110000}"/>
    <cellStyle name="8_IRT_Pleito_IRT-cálculo CAPA NEUTRALIDADE" xfId="4158" xr:uid="{00000000-0005-0000-0000-000052110000}"/>
    <cellStyle name="8_IRT1" xfId="4159" xr:uid="{00000000-0005-0000-0000-000053110000}"/>
    <cellStyle name="8_IRT1_IRT-cálculo" xfId="4160" xr:uid="{00000000-0005-0000-0000-000054110000}"/>
    <cellStyle name="8_IRT1_IRT-cálculo CAPA NEUTRALIDADE" xfId="4161" xr:uid="{00000000-0005-0000-0000-000055110000}"/>
    <cellStyle name="8_IRT-cálculo" xfId="4162" xr:uid="{00000000-0005-0000-0000-000056110000}"/>
    <cellStyle name="8_Modelo IRT ANEELl_2010" xfId="43393" xr:uid="{00000000-0005-0000-0000-000057110000}"/>
    <cellStyle name="8_Pasta1" xfId="1661" xr:uid="{00000000-0005-0000-0000-000058110000}"/>
    <cellStyle name="8_Pasta1_atualização serviços taxados" xfId="43394" xr:uid="{00000000-0005-0000-0000-000059110000}"/>
    <cellStyle name="8_Pasta1_Financeiro Desconto na TUSD Consumidores Livres Reajuste 2010 - 03_03_2010" xfId="43395" xr:uid="{00000000-0005-0000-0000-00005A110000}"/>
    <cellStyle name="8_Pasta1_Financeiro Desconto na TUSD Geradores Reajuste 2010 - 03_03_2010" xfId="43396" xr:uid="{00000000-0005-0000-0000-00005B110000}"/>
    <cellStyle name="8_Pasta1_Financeiro Subsídio Baixa Renda Reajuste 2010 - 03_03_2010" xfId="43397" xr:uid="{00000000-0005-0000-0000-00005C110000}"/>
    <cellStyle name="8_Pasta1_Financeiro Subsídio Rural Irrigante e Aquicultor Reajuste 2010 - 03_03_2010" xfId="43398" xr:uid="{00000000-0005-0000-0000-00005D110000}"/>
    <cellStyle name="8_Pasta1_IRT-cálculo" xfId="4163" xr:uid="{00000000-0005-0000-0000-00005E110000}"/>
    <cellStyle name="8_Pasta1_IRT-cálculo CAPA NEUTRALIDADE" xfId="4164" xr:uid="{00000000-0005-0000-0000-00005F110000}"/>
    <cellStyle name="8_Pasta1_SOBRECONTRATAÇÃO E CVA" xfId="4165" xr:uid="{00000000-0005-0000-0000-000060110000}"/>
    <cellStyle name="8_Receita de Venda Leilão Nova Térmico" xfId="4166" xr:uid="{00000000-0005-0000-0000-000061110000}"/>
    <cellStyle name="8_Receita de Venda Leilão Nova Térmico_IRT-cálculo" xfId="4167" xr:uid="{00000000-0005-0000-0000-000062110000}"/>
    <cellStyle name="8_Receita de Venda Leilão Nova Térmico_IRT-cálculo CAPA NEUTRALIDADE" xfId="4168" xr:uid="{00000000-0005-0000-0000-000063110000}"/>
    <cellStyle name="8_Recurso Administrativo IRT 2006 - Erro Receita Verificada" xfId="4169" xr:uid="{00000000-0005-0000-0000-000064110000}"/>
    <cellStyle name="8_Recurso Administrativo IRT 2006 - Erro Receita Verificada_IRT-cálculo" xfId="4170" xr:uid="{00000000-0005-0000-0000-000065110000}"/>
    <cellStyle name="8_Recurso Administrativo IRT 2006 - Erro Receita Verificada_IRT-cálculo CAPA NEUTRALIDADE" xfId="4171" xr:uid="{00000000-0005-0000-0000-000066110000}"/>
    <cellStyle name="8_Sheet1" xfId="4172" xr:uid="{00000000-0005-0000-0000-000067110000}"/>
    <cellStyle name="8_Sheet2" xfId="4173" xr:uid="{00000000-0005-0000-0000-000068110000}"/>
    <cellStyle name="8_Simulação CEPISA XX_08_07" xfId="1662" xr:uid="{00000000-0005-0000-0000-000069110000}"/>
    <cellStyle name="8_Simulação CEPISA XX_08_07 2" xfId="4174" xr:uid="{00000000-0005-0000-0000-00006A110000}"/>
    <cellStyle name="8_sobrecontratação 2009 v2" xfId="43399" xr:uid="{00000000-0005-0000-0000-00006B110000}"/>
    <cellStyle name="8_SOBRECONTRATAÇÃO E CVA" xfId="4175" xr:uid="{00000000-0005-0000-0000-00006C110000}"/>
    <cellStyle name="8_SOBRECONTRATAÇÃO E CVA A-1" xfId="4176" xr:uid="{00000000-0005-0000-0000-00006D110000}"/>
    <cellStyle name="8_SOBRECONTRATAÇÃO E CVA A-1_IRT-cálculo" xfId="4177" xr:uid="{00000000-0005-0000-0000-00006E110000}"/>
    <cellStyle name="8_SOBRECONTRATAÇÃO E CVA A-1_IRT-cálculo CAPA NEUTRALIDADE" xfId="4178" xr:uid="{00000000-0005-0000-0000-00006F110000}"/>
    <cellStyle name="8_Tabelas de apoio NT CELPE" xfId="43400" xr:uid="{00000000-0005-0000-0000-000070110000}"/>
    <cellStyle name="8_TUSD e TE 243_2006" xfId="4179" xr:uid="{00000000-0005-0000-0000-000071110000}"/>
    <cellStyle name="A3 297 x 420 mm" xfId="726" xr:uid="{00000000-0005-0000-0000-000072110000}"/>
    <cellStyle name="A3 297 x 420 mm 2" xfId="4180" xr:uid="{00000000-0005-0000-0000-000073110000}"/>
    <cellStyle name="A3 297 x 420 mm 3" xfId="43401" xr:uid="{00000000-0005-0000-0000-000074110000}"/>
    <cellStyle name="A3 297 x 420 mm 4" xfId="43402" xr:uid="{00000000-0005-0000-0000-000075110000}"/>
    <cellStyle name="ac" xfId="727" xr:uid="{00000000-0005-0000-0000-000076110000}"/>
    <cellStyle name="ac 2" xfId="965" xr:uid="{00000000-0005-0000-0000-000077110000}"/>
    <cellStyle name="Accent1" xfId="728" xr:uid="{00000000-0005-0000-0000-000078110000}"/>
    <cellStyle name="Accent1 - 20%" xfId="4181" xr:uid="{00000000-0005-0000-0000-000079110000}"/>
    <cellStyle name="Accent1 - 40%" xfId="4182" xr:uid="{00000000-0005-0000-0000-00007A110000}"/>
    <cellStyle name="Accent1 - 60%" xfId="4183" xr:uid="{00000000-0005-0000-0000-00007B110000}"/>
    <cellStyle name="Accent1 2" xfId="4184" xr:uid="{00000000-0005-0000-0000-00007C110000}"/>
    <cellStyle name="Accent1_Escelsa_2008_Versao regulatorio_Dyogenes" xfId="4185" xr:uid="{00000000-0005-0000-0000-00007D110000}"/>
    <cellStyle name="Accent2" xfId="729" xr:uid="{00000000-0005-0000-0000-00007E110000}"/>
    <cellStyle name="Accent2 - 20%" xfId="4186" xr:uid="{00000000-0005-0000-0000-00007F110000}"/>
    <cellStyle name="Accent2 - 40%" xfId="4187" xr:uid="{00000000-0005-0000-0000-000080110000}"/>
    <cellStyle name="Accent2 - 60%" xfId="4188" xr:uid="{00000000-0005-0000-0000-000081110000}"/>
    <cellStyle name="Accent2 2" xfId="4189" xr:uid="{00000000-0005-0000-0000-000082110000}"/>
    <cellStyle name="Accent2 3" xfId="4190" xr:uid="{00000000-0005-0000-0000-000083110000}"/>
    <cellStyle name="Accent2_Escelsa_2008_Versao regulatorio_Dyogenes" xfId="4191" xr:uid="{00000000-0005-0000-0000-000084110000}"/>
    <cellStyle name="Accent3" xfId="730" xr:uid="{00000000-0005-0000-0000-000085110000}"/>
    <cellStyle name="Accent3 - 20%" xfId="4192" xr:uid="{00000000-0005-0000-0000-000086110000}"/>
    <cellStyle name="Accent3 - 40%" xfId="4193" xr:uid="{00000000-0005-0000-0000-000087110000}"/>
    <cellStyle name="Accent3 - 60%" xfId="4194" xr:uid="{00000000-0005-0000-0000-000088110000}"/>
    <cellStyle name="Accent3 2" xfId="4195" xr:uid="{00000000-0005-0000-0000-000089110000}"/>
    <cellStyle name="Accent3 3" xfId="4196" xr:uid="{00000000-0005-0000-0000-00008A110000}"/>
    <cellStyle name="Accent3_Escelsa_2008_Versao regulatorio_Dyogenes" xfId="4197" xr:uid="{00000000-0005-0000-0000-00008B110000}"/>
    <cellStyle name="Accent4" xfId="731" xr:uid="{00000000-0005-0000-0000-00008C110000}"/>
    <cellStyle name="Accent4 - 20%" xfId="4198" xr:uid="{00000000-0005-0000-0000-00008D110000}"/>
    <cellStyle name="Accent4 - 40%" xfId="4199" xr:uid="{00000000-0005-0000-0000-00008E110000}"/>
    <cellStyle name="Accent4 - 60%" xfId="4200" xr:uid="{00000000-0005-0000-0000-00008F110000}"/>
    <cellStyle name="Accent4 2" xfId="4201" xr:uid="{00000000-0005-0000-0000-000090110000}"/>
    <cellStyle name="Accent4_Escelsa_2008_Versao regulatorio_Dyogenes" xfId="4202" xr:uid="{00000000-0005-0000-0000-000091110000}"/>
    <cellStyle name="Accent5" xfId="732" xr:uid="{00000000-0005-0000-0000-000092110000}"/>
    <cellStyle name="Accent5 - 20%" xfId="4203" xr:uid="{00000000-0005-0000-0000-000093110000}"/>
    <cellStyle name="Accent5 - 40%" xfId="4204" xr:uid="{00000000-0005-0000-0000-000094110000}"/>
    <cellStyle name="Accent5 - 60%" xfId="4205" xr:uid="{00000000-0005-0000-0000-000095110000}"/>
    <cellStyle name="Accent5 2" xfId="4206" xr:uid="{00000000-0005-0000-0000-000096110000}"/>
    <cellStyle name="Accent5_Escelsa_2008_Versao regulatorio_Dyogenes" xfId="4207" xr:uid="{00000000-0005-0000-0000-000097110000}"/>
    <cellStyle name="Accent6" xfId="733" xr:uid="{00000000-0005-0000-0000-000098110000}"/>
    <cellStyle name="Accent6 - 20%" xfId="4208" xr:uid="{00000000-0005-0000-0000-000099110000}"/>
    <cellStyle name="Accent6 - 40%" xfId="4209" xr:uid="{00000000-0005-0000-0000-00009A110000}"/>
    <cellStyle name="Accent6 - 60%" xfId="4210" xr:uid="{00000000-0005-0000-0000-00009B110000}"/>
    <cellStyle name="Accent6 2" xfId="4211" xr:uid="{00000000-0005-0000-0000-00009C110000}"/>
    <cellStyle name="Accent6_Escelsa_2008_Versao regulatorio_Dyogenes" xfId="4212" xr:uid="{00000000-0005-0000-0000-00009D110000}"/>
    <cellStyle name="Actual Date" xfId="734" xr:uid="{00000000-0005-0000-0000-00009E110000}"/>
    <cellStyle name="Actual Date 2" xfId="966" xr:uid="{00000000-0005-0000-0000-00009F110000}"/>
    <cellStyle name="Actual Date 3" xfId="967" xr:uid="{00000000-0005-0000-0000-0000A0110000}"/>
    <cellStyle name="Actual Date 4" xfId="968" xr:uid="{00000000-0005-0000-0000-0000A1110000}"/>
    <cellStyle name="Actual Date 5" xfId="969" xr:uid="{00000000-0005-0000-0000-0000A2110000}"/>
    <cellStyle name="Actual Date_COELCE CVA SRE (4)" xfId="4213" xr:uid="{00000000-0005-0000-0000-0000A3110000}"/>
    <cellStyle name="AFE" xfId="735" xr:uid="{00000000-0005-0000-0000-0000A4110000}"/>
    <cellStyle name="AFE 10" xfId="43403" xr:uid="{00000000-0005-0000-0000-0000A5110000}"/>
    <cellStyle name="AFE 10 10" xfId="43404" xr:uid="{00000000-0005-0000-0000-0000A6110000}"/>
    <cellStyle name="AFE 10 11" xfId="43405" xr:uid="{00000000-0005-0000-0000-0000A7110000}"/>
    <cellStyle name="AFE 10 12" xfId="43406" xr:uid="{00000000-0005-0000-0000-0000A8110000}"/>
    <cellStyle name="AFE 10 13" xfId="43407" xr:uid="{00000000-0005-0000-0000-0000A9110000}"/>
    <cellStyle name="AFE 10 14" xfId="43408" xr:uid="{00000000-0005-0000-0000-0000AA110000}"/>
    <cellStyle name="AFE 10 15" xfId="43409" xr:uid="{00000000-0005-0000-0000-0000AB110000}"/>
    <cellStyle name="AFE 10 16" xfId="43410" xr:uid="{00000000-0005-0000-0000-0000AC110000}"/>
    <cellStyle name="AFE 10 17" xfId="43411" xr:uid="{00000000-0005-0000-0000-0000AD110000}"/>
    <cellStyle name="AFE 10 18" xfId="43412" xr:uid="{00000000-0005-0000-0000-0000AE110000}"/>
    <cellStyle name="AFE 10 19" xfId="43413" xr:uid="{00000000-0005-0000-0000-0000AF110000}"/>
    <cellStyle name="AFE 10 2" xfId="43414" xr:uid="{00000000-0005-0000-0000-0000B0110000}"/>
    <cellStyle name="AFE 10 20" xfId="43415" xr:uid="{00000000-0005-0000-0000-0000B1110000}"/>
    <cellStyle name="AFE 10 21" xfId="43416" xr:uid="{00000000-0005-0000-0000-0000B2110000}"/>
    <cellStyle name="AFE 10 22" xfId="43417" xr:uid="{00000000-0005-0000-0000-0000B3110000}"/>
    <cellStyle name="AFE 10 23" xfId="43418" xr:uid="{00000000-0005-0000-0000-0000B4110000}"/>
    <cellStyle name="AFE 10 24" xfId="43419" xr:uid="{00000000-0005-0000-0000-0000B5110000}"/>
    <cellStyle name="AFE 10 25" xfId="43420" xr:uid="{00000000-0005-0000-0000-0000B6110000}"/>
    <cellStyle name="AFE 10 26" xfId="43421" xr:uid="{00000000-0005-0000-0000-0000B7110000}"/>
    <cellStyle name="AFE 10 27" xfId="43422" xr:uid="{00000000-0005-0000-0000-0000B8110000}"/>
    <cellStyle name="AFE 10 28" xfId="43423" xr:uid="{00000000-0005-0000-0000-0000B9110000}"/>
    <cellStyle name="AFE 10 3" xfId="43424" xr:uid="{00000000-0005-0000-0000-0000BA110000}"/>
    <cellStyle name="AFE 10 4" xfId="43425" xr:uid="{00000000-0005-0000-0000-0000BB110000}"/>
    <cellStyle name="AFE 10 5" xfId="43426" xr:uid="{00000000-0005-0000-0000-0000BC110000}"/>
    <cellStyle name="AFE 10 6" xfId="43427" xr:uid="{00000000-0005-0000-0000-0000BD110000}"/>
    <cellStyle name="AFE 10 7" xfId="43428" xr:uid="{00000000-0005-0000-0000-0000BE110000}"/>
    <cellStyle name="AFE 10 8" xfId="43429" xr:uid="{00000000-0005-0000-0000-0000BF110000}"/>
    <cellStyle name="AFE 10 9" xfId="43430" xr:uid="{00000000-0005-0000-0000-0000C0110000}"/>
    <cellStyle name="AFE 11" xfId="43431" xr:uid="{00000000-0005-0000-0000-0000C1110000}"/>
    <cellStyle name="AFE 12" xfId="43432" xr:uid="{00000000-0005-0000-0000-0000C2110000}"/>
    <cellStyle name="AFE 13" xfId="43433" xr:uid="{00000000-0005-0000-0000-0000C3110000}"/>
    <cellStyle name="AFE 14" xfId="43434" xr:uid="{00000000-0005-0000-0000-0000C4110000}"/>
    <cellStyle name="AFE 15" xfId="43435" xr:uid="{00000000-0005-0000-0000-0000C5110000}"/>
    <cellStyle name="AFE 16" xfId="43436" xr:uid="{00000000-0005-0000-0000-0000C6110000}"/>
    <cellStyle name="AFE 17" xfId="43437" xr:uid="{00000000-0005-0000-0000-0000C7110000}"/>
    <cellStyle name="AFE 18" xfId="43438" xr:uid="{00000000-0005-0000-0000-0000C8110000}"/>
    <cellStyle name="AFE 19" xfId="43439" xr:uid="{00000000-0005-0000-0000-0000C9110000}"/>
    <cellStyle name="AFE 2" xfId="921" xr:uid="{00000000-0005-0000-0000-0000CA110000}"/>
    <cellStyle name="AFE 2 2" xfId="4214" xr:uid="{00000000-0005-0000-0000-0000CB110000}"/>
    <cellStyle name="AFE 2 2 2" xfId="4215" xr:uid="{00000000-0005-0000-0000-0000CC110000}"/>
    <cellStyle name="AFE 2 3" xfId="4216" xr:uid="{00000000-0005-0000-0000-0000CD110000}"/>
    <cellStyle name="AFE 2 4" xfId="4217" xr:uid="{00000000-0005-0000-0000-0000CE110000}"/>
    <cellStyle name="AFE 2 4 2" xfId="4218" xr:uid="{00000000-0005-0000-0000-0000CF110000}"/>
    <cellStyle name="AFE 2 5" xfId="43440" xr:uid="{00000000-0005-0000-0000-0000D0110000}"/>
    <cellStyle name="AFE 20" xfId="43441" xr:uid="{00000000-0005-0000-0000-0000D1110000}"/>
    <cellStyle name="AFE 21" xfId="43442" xr:uid="{00000000-0005-0000-0000-0000D2110000}"/>
    <cellStyle name="AFE 22" xfId="43443" xr:uid="{00000000-0005-0000-0000-0000D3110000}"/>
    <cellStyle name="AFE 23" xfId="43444" xr:uid="{00000000-0005-0000-0000-0000D4110000}"/>
    <cellStyle name="AFE 24" xfId="43445" xr:uid="{00000000-0005-0000-0000-0000D5110000}"/>
    <cellStyle name="AFE 25" xfId="43446" xr:uid="{00000000-0005-0000-0000-0000D6110000}"/>
    <cellStyle name="AFE 26" xfId="43447" xr:uid="{00000000-0005-0000-0000-0000D7110000}"/>
    <cellStyle name="AFE 27" xfId="43448" xr:uid="{00000000-0005-0000-0000-0000D8110000}"/>
    <cellStyle name="AFE 28" xfId="43449" xr:uid="{00000000-0005-0000-0000-0000D9110000}"/>
    <cellStyle name="AFE 29" xfId="43450" xr:uid="{00000000-0005-0000-0000-0000DA110000}"/>
    <cellStyle name="AFE 3" xfId="970" xr:uid="{00000000-0005-0000-0000-0000DB110000}"/>
    <cellStyle name="AFE 3 2" xfId="4219" xr:uid="{00000000-0005-0000-0000-0000DC110000}"/>
    <cellStyle name="AFE 30" xfId="43451" xr:uid="{00000000-0005-0000-0000-0000DD110000}"/>
    <cellStyle name="AFE 31" xfId="43452" xr:uid="{00000000-0005-0000-0000-0000DE110000}"/>
    <cellStyle name="AFE 32" xfId="43453" xr:uid="{00000000-0005-0000-0000-0000DF110000}"/>
    <cellStyle name="AFE 33" xfId="43454" xr:uid="{00000000-0005-0000-0000-0000E0110000}"/>
    <cellStyle name="AFE 34" xfId="43455" xr:uid="{00000000-0005-0000-0000-0000E1110000}"/>
    <cellStyle name="AFE 35" xfId="43456" xr:uid="{00000000-0005-0000-0000-0000E2110000}"/>
    <cellStyle name="AFE 36" xfId="43457" xr:uid="{00000000-0005-0000-0000-0000E3110000}"/>
    <cellStyle name="AFE 37" xfId="43458" xr:uid="{00000000-0005-0000-0000-0000E4110000}"/>
    <cellStyle name="AFE 4" xfId="1663" xr:uid="{00000000-0005-0000-0000-0000E5110000}"/>
    <cellStyle name="AFE 4 2" xfId="4220" xr:uid="{00000000-0005-0000-0000-0000E6110000}"/>
    <cellStyle name="AFE 5" xfId="4221" xr:uid="{00000000-0005-0000-0000-0000E7110000}"/>
    <cellStyle name="AFE 5 2" xfId="4222" xr:uid="{00000000-0005-0000-0000-0000E8110000}"/>
    <cellStyle name="AFE 6" xfId="43459" xr:uid="{00000000-0005-0000-0000-0000E9110000}"/>
    <cellStyle name="AFE 7" xfId="43460" xr:uid="{00000000-0005-0000-0000-0000EA110000}"/>
    <cellStyle name="AFE 8" xfId="4223" xr:uid="{00000000-0005-0000-0000-0000EB110000}"/>
    <cellStyle name="AFE 8 10" xfId="43461" xr:uid="{00000000-0005-0000-0000-0000EC110000}"/>
    <cellStyle name="AFE 8 11" xfId="43462" xr:uid="{00000000-0005-0000-0000-0000ED110000}"/>
    <cellStyle name="AFE 8 12" xfId="43463" xr:uid="{00000000-0005-0000-0000-0000EE110000}"/>
    <cellStyle name="AFE 8 13" xfId="43464" xr:uid="{00000000-0005-0000-0000-0000EF110000}"/>
    <cellStyle name="AFE 8 14" xfId="43465" xr:uid="{00000000-0005-0000-0000-0000F0110000}"/>
    <cellStyle name="AFE 8 15" xfId="43466" xr:uid="{00000000-0005-0000-0000-0000F1110000}"/>
    <cellStyle name="AFE 8 16" xfId="43467" xr:uid="{00000000-0005-0000-0000-0000F2110000}"/>
    <cellStyle name="AFE 8 17" xfId="43468" xr:uid="{00000000-0005-0000-0000-0000F3110000}"/>
    <cellStyle name="AFE 8 18" xfId="43469" xr:uid="{00000000-0005-0000-0000-0000F4110000}"/>
    <cellStyle name="AFE 8 19" xfId="43470" xr:uid="{00000000-0005-0000-0000-0000F5110000}"/>
    <cellStyle name="AFE 8 2" xfId="4224" xr:uid="{00000000-0005-0000-0000-0000F6110000}"/>
    <cellStyle name="AFE 8 20" xfId="43471" xr:uid="{00000000-0005-0000-0000-0000F7110000}"/>
    <cellStyle name="AFE 8 21" xfId="43472" xr:uid="{00000000-0005-0000-0000-0000F8110000}"/>
    <cellStyle name="AFE 8 22" xfId="43473" xr:uid="{00000000-0005-0000-0000-0000F9110000}"/>
    <cellStyle name="AFE 8 23" xfId="43474" xr:uid="{00000000-0005-0000-0000-0000FA110000}"/>
    <cellStyle name="AFE 8 24" xfId="43475" xr:uid="{00000000-0005-0000-0000-0000FB110000}"/>
    <cellStyle name="AFE 8 25" xfId="43476" xr:uid="{00000000-0005-0000-0000-0000FC110000}"/>
    <cellStyle name="AFE 8 26" xfId="43477" xr:uid="{00000000-0005-0000-0000-0000FD110000}"/>
    <cellStyle name="AFE 8 27" xfId="43478" xr:uid="{00000000-0005-0000-0000-0000FE110000}"/>
    <cellStyle name="AFE 8 28" xfId="43479" xr:uid="{00000000-0005-0000-0000-0000FF110000}"/>
    <cellStyle name="AFE 8 29" xfId="43480" xr:uid="{00000000-0005-0000-0000-000000120000}"/>
    <cellStyle name="AFE 8 3" xfId="43481" xr:uid="{00000000-0005-0000-0000-000001120000}"/>
    <cellStyle name="AFE 8 4" xfId="43482" xr:uid="{00000000-0005-0000-0000-000002120000}"/>
    <cellStyle name="AFE 8 5" xfId="43483" xr:uid="{00000000-0005-0000-0000-000003120000}"/>
    <cellStyle name="AFE 8 6" xfId="43484" xr:uid="{00000000-0005-0000-0000-000004120000}"/>
    <cellStyle name="AFE 8 7" xfId="43485" xr:uid="{00000000-0005-0000-0000-000005120000}"/>
    <cellStyle name="AFE 8 8" xfId="43486" xr:uid="{00000000-0005-0000-0000-000006120000}"/>
    <cellStyle name="AFE 8 9" xfId="43487" xr:uid="{00000000-0005-0000-0000-000007120000}"/>
    <cellStyle name="AFE 9" xfId="43488" xr:uid="{00000000-0005-0000-0000-000008120000}"/>
    <cellStyle name="AFE_Ajuste SALDO CVA ANO ANTERIOR PÓS-REVISÃOx" xfId="4225" xr:uid="{00000000-0005-0000-0000-000009120000}"/>
    <cellStyle name="Amarelo%" xfId="736" xr:uid="{00000000-0005-0000-0000-00000A120000}"/>
    <cellStyle name="Amarelo% 2" xfId="4226" xr:uid="{00000000-0005-0000-0000-00000B120000}"/>
    <cellStyle name="Amarelo% 3" xfId="4227" xr:uid="{00000000-0005-0000-0000-00000C120000}"/>
    <cellStyle name="Amarelo% 3 2" xfId="4228" xr:uid="{00000000-0005-0000-0000-00000D120000}"/>
    <cellStyle name="Amarelocot" xfId="737" xr:uid="{00000000-0005-0000-0000-00000E120000}"/>
    <cellStyle name="Amarelocot 2" xfId="4229" xr:uid="{00000000-0005-0000-0000-00000F120000}"/>
    <cellStyle name="Amarelocot 3" xfId="4230" xr:uid="{00000000-0005-0000-0000-000010120000}"/>
    <cellStyle name="Amarelocot 3 2" xfId="4231" xr:uid="{00000000-0005-0000-0000-000011120000}"/>
    <cellStyle name="Amarelocot_IF - Autoprodutores 2" xfId="4232" xr:uid="{00000000-0005-0000-0000-000012120000}"/>
    <cellStyle name="apolo" xfId="4233" xr:uid="{00000000-0005-0000-0000-000013120000}"/>
    <cellStyle name="apolo 2" xfId="4234" xr:uid="{00000000-0005-0000-0000-000014120000}"/>
    <cellStyle name="apolo 3" xfId="4235" xr:uid="{00000000-0005-0000-0000-000015120000}"/>
    <cellStyle name="arial12" xfId="738" xr:uid="{00000000-0005-0000-0000-000016120000}"/>
    <cellStyle name="arial12 2" xfId="971" xr:uid="{00000000-0005-0000-0000-000017120000}"/>
    <cellStyle name="arial12 3" xfId="4236" xr:uid="{00000000-0005-0000-0000-000018120000}"/>
    <cellStyle name="arial12_IRT_Planilha Básica_ v2010_CERRP" xfId="1750" xr:uid="{00000000-0005-0000-0000-000019120000}"/>
    <cellStyle name="arial14" xfId="739" xr:uid="{00000000-0005-0000-0000-00001A120000}"/>
    <cellStyle name="Array" xfId="4237" xr:uid="{00000000-0005-0000-0000-00001B120000}"/>
    <cellStyle name="Array Enter" xfId="4238" xr:uid="{00000000-0005-0000-0000-00001C120000}"/>
    <cellStyle name="Array_IF - Autoprodutores" xfId="4239" xr:uid="{00000000-0005-0000-0000-00001D120000}"/>
    <cellStyle name="axlcolour" xfId="4240" xr:uid="{00000000-0005-0000-0000-00001E120000}"/>
    <cellStyle name="Bad" xfId="740" xr:uid="{00000000-0005-0000-0000-00001F120000}"/>
    <cellStyle name="Bad 2" xfId="4241" xr:uid="{00000000-0005-0000-0000-000020120000}"/>
    <cellStyle name="blank" xfId="4242" xr:uid="{00000000-0005-0000-0000-000021120000}"/>
    <cellStyle name="Body" xfId="741" xr:uid="{00000000-0005-0000-0000-000022120000}"/>
    <cellStyle name="Bold 11" xfId="742" xr:uid="{00000000-0005-0000-0000-000023120000}"/>
    <cellStyle name="Bold 11 2" xfId="4243" xr:uid="{00000000-0005-0000-0000-000024120000}"/>
    <cellStyle name="Bold 11 3" xfId="4244" xr:uid="{00000000-0005-0000-0000-000025120000}"/>
    <cellStyle name="Bold 11 3 2" xfId="4245" xr:uid="{00000000-0005-0000-0000-000026120000}"/>
    <cellStyle name="Bold 11_IF - Autoprodutores 2" xfId="4246" xr:uid="{00000000-0005-0000-0000-000027120000}"/>
    <cellStyle name="Bold/Border" xfId="4247" xr:uid="{00000000-0005-0000-0000-000028120000}"/>
    <cellStyle name="Bol-Data" xfId="743" xr:uid="{00000000-0005-0000-0000-000029120000}"/>
    <cellStyle name="bolet" xfId="744" xr:uid="{00000000-0005-0000-0000-00002A120000}"/>
    <cellStyle name="bolet 2" xfId="4248" xr:uid="{00000000-0005-0000-0000-00002B120000}"/>
    <cellStyle name="Bom 10" xfId="4249" xr:uid="{00000000-0005-0000-0000-00002C120000}"/>
    <cellStyle name="Bom 11" xfId="43489" xr:uid="{00000000-0005-0000-0000-00002D120000}"/>
    <cellStyle name="Bom 12" xfId="745" xr:uid="{00000000-0005-0000-0000-00002E120000}"/>
    <cellStyle name="Bom 2" xfId="972" xr:uid="{00000000-0005-0000-0000-00002F120000}"/>
    <cellStyle name="Bom 2 2" xfId="4250" xr:uid="{00000000-0005-0000-0000-000030120000}"/>
    <cellStyle name="Bom 3" xfId="1751" xr:uid="{00000000-0005-0000-0000-000031120000}"/>
    <cellStyle name="Bom 3 2" xfId="4251" xr:uid="{00000000-0005-0000-0000-000032120000}"/>
    <cellStyle name="Bom 4" xfId="4252" xr:uid="{00000000-0005-0000-0000-000033120000}"/>
    <cellStyle name="Bom 4 2" xfId="4253" xr:uid="{00000000-0005-0000-0000-000034120000}"/>
    <cellStyle name="Bom 5" xfId="4254" xr:uid="{00000000-0005-0000-0000-000035120000}"/>
    <cellStyle name="Bom 6" xfId="4255" xr:uid="{00000000-0005-0000-0000-000036120000}"/>
    <cellStyle name="Bom 7" xfId="4256" xr:uid="{00000000-0005-0000-0000-000037120000}"/>
    <cellStyle name="Bom 8" xfId="4257" xr:uid="{00000000-0005-0000-0000-000038120000}"/>
    <cellStyle name="Bom 9" xfId="4258" xr:uid="{00000000-0005-0000-0000-000039120000}"/>
    <cellStyle name="Border" xfId="4259" xr:uid="{00000000-0005-0000-0000-00003A120000}"/>
    <cellStyle name="Buena" xfId="973" xr:uid="{00000000-0005-0000-0000-00003B120000}"/>
    <cellStyle name="Buena 2" xfId="4260" xr:uid="{00000000-0005-0000-0000-00003C120000}"/>
    <cellStyle name="Bullet" xfId="4261" xr:uid="{00000000-0005-0000-0000-00003D120000}"/>
    <cellStyle name="Cabe‡alho 1" xfId="746" xr:uid="{00000000-0005-0000-0000-00003E120000}"/>
    <cellStyle name="Cabe‡alho 1 2" xfId="4262" xr:uid="{00000000-0005-0000-0000-00003F120000}"/>
    <cellStyle name="Cabe‡alho 1 3" xfId="4263" xr:uid="{00000000-0005-0000-0000-000040120000}"/>
    <cellStyle name="Cabe‡alho 2" xfId="747" xr:uid="{00000000-0005-0000-0000-000041120000}"/>
    <cellStyle name="Cabe‡alho 2 2" xfId="4264" xr:uid="{00000000-0005-0000-0000-000042120000}"/>
    <cellStyle name="Cabe‡alho 2 3" xfId="4265" xr:uid="{00000000-0005-0000-0000-000043120000}"/>
    <cellStyle name="CABEÇALHO" xfId="748" xr:uid="{00000000-0005-0000-0000-000044120000}"/>
    <cellStyle name="Cabeçalho 1" xfId="4266" xr:uid="{00000000-0005-0000-0000-000045120000}"/>
    <cellStyle name="Cabeçalho 2" xfId="4267" xr:uid="{00000000-0005-0000-0000-000046120000}"/>
    <cellStyle name="CABEÇALHO2" xfId="749" xr:uid="{00000000-0005-0000-0000-000047120000}"/>
    <cellStyle name="Calc Currency (0)" xfId="750" xr:uid="{00000000-0005-0000-0000-000048120000}"/>
    <cellStyle name="Calc Currency (0) 2" xfId="974" xr:uid="{00000000-0005-0000-0000-000049120000}"/>
    <cellStyle name="Calc Currency (0) 3" xfId="4268" xr:uid="{00000000-0005-0000-0000-00004A120000}"/>
    <cellStyle name="Calc Currency (0)_IRT_Planilha Básica_ v2010_CERRP" xfId="1752" xr:uid="{00000000-0005-0000-0000-00004B120000}"/>
    <cellStyle name="Calc Currency (2)" xfId="751" xr:uid="{00000000-0005-0000-0000-00004C120000}"/>
    <cellStyle name="Calc Percent (0)" xfId="752" xr:uid="{00000000-0005-0000-0000-00004D120000}"/>
    <cellStyle name="Calc Percent (1)" xfId="753" xr:uid="{00000000-0005-0000-0000-00004E120000}"/>
    <cellStyle name="Calc Percent (1) 2" xfId="975" xr:uid="{00000000-0005-0000-0000-00004F120000}"/>
    <cellStyle name="Calc Percent (1) 3" xfId="4269" xr:uid="{00000000-0005-0000-0000-000050120000}"/>
    <cellStyle name="Calc Percent (1)_IRT_Planilha Básica_ v2010_CERRP" xfId="1753" xr:uid="{00000000-0005-0000-0000-000051120000}"/>
    <cellStyle name="Calc Percent (2)" xfId="754" xr:uid="{00000000-0005-0000-0000-000052120000}"/>
    <cellStyle name="Calc Percent (2) 2" xfId="4270" xr:uid="{00000000-0005-0000-0000-000053120000}"/>
    <cellStyle name="Calc Percent (2) 3" xfId="4271" xr:uid="{00000000-0005-0000-0000-000054120000}"/>
    <cellStyle name="Calc Percent (2) 3 2" xfId="4272" xr:uid="{00000000-0005-0000-0000-000055120000}"/>
    <cellStyle name="Calc Percent (2)_IF - Autoprodutores 2" xfId="4273" xr:uid="{00000000-0005-0000-0000-000056120000}"/>
    <cellStyle name="Calc Units (0)" xfId="755" xr:uid="{00000000-0005-0000-0000-000057120000}"/>
    <cellStyle name="Calc Units (0) 2" xfId="976" xr:uid="{00000000-0005-0000-0000-000058120000}"/>
    <cellStyle name="Calc Units (0) 3" xfId="4274" xr:uid="{00000000-0005-0000-0000-000059120000}"/>
    <cellStyle name="Calc Units (0)_IRT_Planilha Básica_ v2010_CERRP" xfId="1754" xr:uid="{00000000-0005-0000-0000-00005A120000}"/>
    <cellStyle name="Calc Units (1)" xfId="756" xr:uid="{00000000-0005-0000-0000-00005B120000}"/>
    <cellStyle name="Calc Units (1) 2" xfId="977" xr:uid="{00000000-0005-0000-0000-00005C120000}"/>
    <cellStyle name="Calc Units (1) 3" xfId="4275" xr:uid="{00000000-0005-0000-0000-00005D120000}"/>
    <cellStyle name="Calc Units (1)_IRT_Planilha Básica_ v2010_CERRP" xfId="1755" xr:uid="{00000000-0005-0000-0000-00005E120000}"/>
    <cellStyle name="Calc Units (2)" xfId="757" xr:uid="{00000000-0005-0000-0000-00005F120000}"/>
    <cellStyle name="Calculation" xfId="758" xr:uid="{00000000-0005-0000-0000-000060120000}"/>
    <cellStyle name="Calculation 2" xfId="4276" xr:uid="{00000000-0005-0000-0000-000061120000}"/>
    <cellStyle name="Calculation 3" xfId="4277" xr:uid="{00000000-0005-0000-0000-000062120000}"/>
    <cellStyle name="Calculation 4" xfId="4278" xr:uid="{00000000-0005-0000-0000-000063120000}"/>
    <cellStyle name="Cálculo 10" xfId="4279" xr:uid="{00000000-0005-0000-0000-000064120000}"/>
    <cellStyle name="Cálculo 11" xfId="43490" xr:uid="{00000000-0005-0000-0000-000065120000}"/>
    <cellStyle name="Cálculo 12" xfId="759" xr:uid="{00000000-0005-0000-0000-000066120000}"/>
    <cellStyle name="Cálculo 2" xfId="978" xr:uid="{00000000-0005-0000-0000-000067120000}"/>
    <cellStyle name="Cálculo 2 2" xfId="4280" xr:uid="{00000000-0005-0000-0000-000068120000}"/>
    <cellStyle name="Cálculo 2 3" xfId="4281" xr:uid="{00000000-0005-0000-0000-000069120000}"/>
    <cellStyle name="Cálculo 2 4" xfId="4282" xr:uid="{00000000-0005-0000-0000-00006A120000}"/>
    <cellStyle name="Cálculo 3" xfId="1756" xr:uid="{00000000-0005-0000-0000-00006B120000}"/>
    <cellStyle name="Cálculo 3 2" xfId="4283" xr:uid="{00000000-0005-0000-0000-00006C120000}"/>
    <cellStyle name="Cálculo 4" xfId="4284" xr:uid="{00000000-0005-0000-0000-00006D120000}"/>
    <cellStyle name="Cálculo 4 2" xfId="4285" xr:uid="{00000000-0005-0000-0000-00006E120000}"/>
    <cellStyle name="Cálculo 5" xfId="4286" xr:uid="{00000000-0005-0000-0000-00006F120000}"/>
    <cellStyle name="Cálculo 6" xfId="4287" xr:uid="{00000000-0005-0000-0000-000070120000}"/>
    <cellStyle name="Cálculo 7" xfId="4288" xr:uid="{00000000-0005-0000-0000-000071120000}"/>
    <cellStyle name="Cálculo 8" xfId="4289" xr:uid="{00000000-0005-0000-0000-000072120000}"/>
    <cellStyle name="Cálculo 9" xfId="4290" xr:uid="{00000000-0005-0000-0000-000073120000}"/>
    <cellStyle name="CALDAS" xfId="760" xr:uid="{00000000-0005-0000-0000-000074120000}"/>
    <cellStyle name="CALDAS 2" xfId="4291" xr:uid="{00000000-0005-0000-0000-000075120000}"/>
    <cellStyle name="CALDAS 3" xfId="4292" xr:uid="{00000000-0005-0000-0000-000076120000}"/>
    <cellStyle name="CALDAS 4" xfId="4293" xr:uid="{00000000-0005-0000-0000-000077120000}"/>
    <cellStyle name="čárky [0]_Business Plan MCE" xfId="4294" xr:uid="{00000000-0005-0000-0000-000078120000}"/>
    <cellStyle name="čárky_Business Plan MCE" xfId="4295" xr:uid="{00000000-0005-0000-0000-000079120000}"/>
    <cellStyle name="Celda de comprobación" xfId="979" xr:uid="{00000000-0005-0000-0000-00007A120000}"/>
    <cellStyle name="Celda vinculada" xfId="980" xr:uid="{00000000-0005-0000-0000-00007B120000}"/>
    <cellStyle name="Célula de Verificação 2" xfId="981" xr:uid="{00000000-0005-0000-0000-00007C120000}"/>
    <cellStyle name="Célula de Verificação 2 2" xfId="4296" xr:uid="{00000000-0005-0000-0000-00007D120000}"/>
    <cellStyle name="Célula de Verificação 3" xfId="1757" xr:uid="{00000000-0005-0000-0000-00007E120000}"/>
    <cellStyle name="Célula de Verificação 4" xfId="4297" xr:uid="{00000000-0005-0000-0000-00007F120000}"/>
    <cellStyle name="Célula de Verificação 5" xfId="43491" xr:uid="{00000000-0005-0000-0000-000080120000}"/>
    <cellStyle name="Célula de Verificação 6" xfId="43492" xr:uid="{00000000-0005-0000-0000-000081120000}"/>
    <cellStyle name="Célula de Verificação 7" xfId="43493" xr:uid="{00000000-0005-0000-0000-000082120000}"/>
    <cellStyle name="Célula de Verificação 8" xfId="43494" xr:uid="{00000000-0005-0000-0000-000083120000}"/>
    <cellStyle name="Célula de Verificação 9" xfId="761" xr:uid="{00000000-0005-0000-0000-000084120000}"/>
    <cellStyle name="Célula Vinculada 2" xfId="982" xr:uid="{00000000-0005-0000-0000-000085120000}"/>
    <cellStyle name="Célula Vinculada 2 2" xfId="4298" xr:uid="{00000000-0005-0000-0000-000086120000}"/>
    <cellStyle name="Célula Vinculada 3" xfId="1758" xr:uid="{00000000-0005-0000-0000-000087120000}"/>
    <cellStyle name="Célula Vinculada 4" xfId="4299" xr:uid="{00000000-0005-0000-0000-000088120000}"/>
    <cellStyle name="Célula Vinculada 5" xfId="43495" xr:uid="{00000000-0005-0000-0000-000089120000}"/>
    <cellStyle name="Célula Vinculada 6" xfId="43496" xr:uid="{00000000-0005-0000-0000-00008A120000}"/>
    <cellStyle name="Célula Vinculada 7" xfId="43497" xr:uid="{00000000-0005-0000-0000-00008B120000}"/>
    <cellStyle name="Célula Vinculada 8" xfId="43498" xr:uid="{00000000-0005-0000-0000-00008C120000}"/>
    <cellStyle name="Célula Vinculada 9" xfId="762" xr:uid="{00000000-0005-0000-0000-00008D120000}"/>
    <cellStyle name="Changed no." xfId="4300" xr:uid="{00000000-0005-0000-0000-00008E120000}"/>
    <cellStyle name="Check Cell" xfId="763" xr:uid="{00000000-0005-0000-0000-00008F120000}"/>
    <cellStyle name="Check Cell 2" xfId="4301" xr:uid="{00000000-0005-0000-0000-000090120000}"/>
    <cellStyle name="Check Cell 3" xfId="4302" xr:uid="{00000000-0005-0000-0000-000091120000}"/>
    <cellStyle name="Check Cell_Escelsa_2008_Versao regulatorio_Dyogenes" xfId="4303" xr:uid="{00000000-0005-0000-0000-000092120000}"/>
    <cellStyle name="Code" xfId="764" xr:uid="{00000000-0005-0000-0000-000093120000}"/>
    <cellStyle name="Code 2" xfId="4304" xr:uid="{00000000-0005-0000-0000-000094120000}"/>
    <cellStyle name="Code Section" xfId="765" xr:uid="{00000000-0005-0000-0000-000095120000}"/>
    <cellStyle name="Code Section 2" xfId="4305" xr:uid="{00000000-0005-0000-0000-000096120000}"/>
    <cellStyle name="Code Section 3" xfId="4306" xr:uid="{00000000-0005-0000-0000-000097120000}"/>
    <cellStyle name="Code Section_IF - Autoprodutores 2" xfId="4307" xr:uid="{00000000-0005-0000-0000-000098120000}"/>
    <cellStyle name="Collegamento ipertestuale" xfId="4308" xr:uid="{00000000-0005-0000-0000-000099120000}"/>
    <cellStyle name="Comma  - Style1" xfId="766" xr:uid="{00000000-0005-0000-0000-00009A120000}"/>
    <cellStyle name="Comma  - Style2" xfId="4309" xr:uid="{00000000-0005-0000-0000-00009B120000}"/>
    <cellStyle name="Comma  - Style3" xfId="4310" xr:uid="{00000000-0005-0000-0000-00009C120000}"/>
    <cellStyle name="Comma  - Style4" xfId="4311" xr:uid="{00000000-0005-0000-0000-00009D120000}"/>
    <cellStyle name="Comma  - Style5" xfId="4312" xr:uid="{00000000-0005-0000-0000-00009E120000}"/>
    <cellStyle name="Comma  - Style6" xfId="4313" xr:uid="{00000000-0005-0000-0000-00009F120000}"/>
    <cellStyle name="Comma  - Style7" xfId="4314" xr:uid="{00000000-0005-0000-0000-0000A0120000}"/>
    <cellStyle name="Comma  - Style8" xfId="4315" xr:uid="{00000000-0005-0000-0000-0000A1120000}"/>
    <cellStyle name="Comma (0.0)" xfId="4316" xr:uid="{00000000-0005-0000-0000-0000A2120000}"/>
    <cellStyle name="Comma (0.00)" xfId="4317" xr:uid="{00000000-0005-0000-0000-0000A3120000}"/>
    <cellStyle name="Comma (hidden)" xfId="4318" xr:uid="{00000000-0005-0000-0000-0000A4120000}"/>
    <cellStyle name="Comma (index)" xfId="4319" xr:uid="{00000000-0005-0000-0000-0000A5120000}"/>
    <cellStyle name="Comma [0]_12matrix" xfId="767" xr:uid="{00000000-0005-0000-0000-0000A6120000}"/>
    <cellStyle name="Comma [00]" xfId="768" xr:uid="{00000000-0005-0000-0000-0000A7120000}"/>
    <cellStyle name="Comma [00] 2" xfId="983" xr:uid="{00000000-0005-0000-0000-0000A8120000}"/>
    <cellStyle name="Comma [00] 3" xfId="4320" xr:uid="{00000000-0005-0000-0000-0000A9120000}"/>
    <cellStyle name="Comma 0" xfId="4321" xr:uid="{00000000-0005-0000-0000-0000AA120000}"/>
    <cellStyle name="Comma 10" xfId="4322" xr:uid="{00000000-0005-0000-0000-0000AB120000}"/>
    <cellStyle name="Comma 13" xfId="1664" xr:uid="{00000000-0005-0000-0000-0000AC120000}"/>
    <cellStyle name="Comma 2" xfId="769" xr:uid="{00000000-0005-0000-0000-0000AD120000}"/>
    <cellStyle name="Comma 2 2" xfId="984" xr:uid="{00000000-0005-0000-0000-0000AE120000}"/>
    <cellStyle name="Comma 2 2 2" xfId="4323" xr:uid="{00000000-0005-0000-0000-0000AF120000}"/>
    <cellStyle name="Comma 2 2 3" xfId="4324" xr:uid="{00000000-0005-0000-0000-0000B0120000}"/>
    <cellStyle name="Comma 2 2 4" xfId="4325" xr:uid="{00000000-0005-0000-0000-0000B1120000}"/>
    <cellStyle name="Comma 2 2 5" xfId="4326" xr:uid="{00000000-0005-0000-0000-0000B2120000}"/>
    <cellStyle name="Comma 2 3" xfId="985" xr:uid="{00000000-0005-0000-0000-0000B3120000}"/>
    <cellStyle name="Comma 2 4" xfId="4327" xr:uid="{00000000-0005-0000-0000-0000B4120000}"/>
    <cellStyle name="Comma 2 5" xfId="42549" xr:uid="{00000000-0005-0000-0000-0000B5120000}"/>
    <cellStyle name="Comma 3" xfId="986" xr:uid="{00000000-0005-0000-0000-0000B6120000}"/>
    <cellStyle name="Comma 3 2" xfId="4328" xr:uid="{00000000-0005-0000-0000-0000B7120000}"/>
    <cellStyle name="Comma 3 4" xfId="9" xr:uid="{00000000-0005-0000-0000-0000B8120000}"/>
    <cellStyle name="Comma 4" xfId="987" xr:uid="{00000000-0005-0000-0000-0000B9120000}"/>
    <cellStyle name="Comma 4 2" xfId="4329" xr:uid="{00000000-0005-0000-0000-0000BA120000}"/>
    <cellStyle name="Comma 5" xfId="4330" xr:uid="{00000000-0005-0000-0000-0000BB120000}"/>
    <cellStyle name="Comma 6" xfId="4331" xr:uid="{00000000-0005-0000-0000-0000BC120000}"/>
    <cellStyle name="Comma 6 2" xfId="4332" xr:uid="{00000000-0005-0000-0000-0000BD120000}"/>
    <cellStyle name="Comma 63" xfId="4333" xr:uid="{00000000-0005-0000-0000-0000BE120000}"/>
    <cellStyle name="Comma 7" xfId="4334" xr:uid="{00000000-0005-0000-0000-0000BF120000}"/>
    <cellStyle name="Comma Black [0]" xfId="4335" xr:uid="{00000000-0005-0000-0000-0000C0120000}"/>
    <cellStyle name="Comma Black [1]" xfId="4336" xr:uid="{00000000-0005-0000-0000-0000C1120000}"/>
    <cellStyle name="Comma Black [2]" xfId="4337" xr:uid="{00000000-0005-0000-0000-0000C2120000}"/>
    <cellStyle name="Comma Blue [0]" xfId="4338" xr:uid="{00000000-0005-0000-0000-0000C3120000}"/>
    <cellStyle name="Comma Blue [1]" xfId="4339" xr:uid="{00000000-0005-0000-0000-0000C4120000}"/>
    <cellStyle name="Comma Blue [2]" xfId="4340" xr:uid="{00000000-0005-0000-0000-0000C5120000}"/>
    <cellStyle name="Comma_12matrix" xfId="770" xr:uid="{00000000-0005-0000-0000-0000C6120000}"/>
    <cellStyle name="Comma0" xfId="771" xr:uid="{00000000-0005-0000-0000-0000C7120000}"/>
    <cellStyle name="Comma0 - Estilo2" xfId="4341" xr:uid="{00000000-0005-0000-0000-0000C8120000}"/>
    <cellStyle name="Comma0 - Estilo3" xfId="4342" xr:uid="{00000000-0005-0000-0000-0000C9120000}"/>
    <cellStyle name="Comma0 - Modelo1" xfId="4343" xr:uid="{00000000-0005-0000-0000-0000CA120000}"/>
    <cellStyle name="Comma0 - Style1" xfId="4344" xr:uid="{00000000-0005-0000-0000-0000CB120000}"/>
    <cellStyle name="Comma0 2" xfId="4345" xr:uid="{00000000-0005-0000-0000-0000CC120000}"/>
    <cellStyle name="Comma0 3" xfId="4346" xr:uid="{00000000-0005-0000-0000-0000CD120000}"/>
    <cellStyle name="Comma1 - Estilo1" xfId="4347" xr:uid="{00000000-0005-0000-0000-0000CE120000}"/>
    <cellStyle name="Comma1 - Modelo2" xfId="4348" xr:uid="{00000000-0005-0000-0000-0000CF120000}"/>
    <cellStyle name="Comma1 - Style2" xfId="4349" xr:uid="{00000000-0005-0000-0000-0000D0120000}"/>
    <cellStyle name="Conferência" xfId="772" xr:uid="{00000000-0005-0000-0000-0000D1120000}"/>
    <cellStyle name="Conferência 2" xfId="4350" xr:uid="{00000000-0005-0000-0000-0000D2120000}"/>
    <cellStyle name="Conferência 3" xfId="4351" xr:uid="{00000000-0005-0000-0000-0000D3120000}"/>
    <cellStyle name="Conferência 3 2" xfId="4352" xr:uid="{00000000-0005-0000-0000-0000D4120000}"/>
    <cellStyle name="Curren - Style2" xfId="773" xr:uid="{00000000-0005-0000-0000-0000D5120000}"/>
    <cellStyle name="Currency (0)" xfId="774" xr:uid="{00000000-0005-0000-0000-0000D6120000}"/>
    <cellStyle name="Currency (0) 2" xfId="4353" xr:uid="{00000000-0005-0000-0000-0000D7120000}"/>
    <cellStyle name="Currency (2)" xfId="775" xr:uid="{00000000-0005-0000-0000-0000D8120000}"/>
    <cellStyle name="Currency (2) 2" xfId="4354" xr:uid="{00000000-0005-0000-0000-0000D9120000}"/>
    <cellStyle name="Currency (hidden)" xfId="4355" xr:uid="{00000000-0005-0000-0000-0000DA120000}"/>
    <cellStyle name="Currency [0]_12matrix" xfId="776" xr:uid="{00000000-0005-0000-0000-0000DB120000}"/>
    <cellStyle name="Currency [00]" xfId="777" xr:uid="{00000000-0005-0000-0000-0000DC120000}"/>
    <cellStyle name="Currency 0" xfId="4356" xr:uid="{00000000-0005-0000-0000-0000DD120000}"/>
    <cellStyle name="Currency 2" xfId="4357" xr:uid="{00000000-0005-0000-0000-0000DE120000}"/>
    <cellStyle name="Currency_12matrix" xfId="778" xr:uid="{00000000-0005-0000-0000-0000DF120000}"/>
    <cellStyle name="Currency0" xfId="779" xr:uid="{00000000-0005-0000-0000-0000E0120000}"/>
    <cellStyle name="Currency0 2" xfId="4358" xr:uid="{00000000-0005-0000-0000-0000E1120000}"/>
    <cellStyle name="Currency0 3" xfId="4359" xr:uid="{00000000-0005-0000-0000-0000E2120000}"/>
    <cellStyle name="Dash" xfId="4360" xr:uid="{00000000-0005-0000-0000-0000E3120000}"/>
    <cellStyle name="Data" xfId="780" xr:uid="{00000000-0005-0000-0000-0000E4120000}"/>
    <cellStyle name="Data 2" xfId="4361" xr:uid="{00000000-0005-0000-0000-0000E5120000}"/>
    <cellStyle name="Data 3" xfId="4362" xr:uid="{00000000-0005-0000-0000-0000E6120000}"/>
    <cellStyle name="Date" xfId="781" xr:uid="{00000000-0005-0000-0000-0000E7120000}"/>
    <cellStyle name="Date [mmm-yy]" xfId="1665" xr:uid="{00000000-0005-0000-0000-0000E8120000}"/>
    <cellStyle name="Date Aligned" xfId="4363" xr:uid="{00000000-0005-0000-0000-0000E9120000}"/>
    <cellStyle name="Date Short" xfId="782" xr:uid="{00000000-0005-0000-0000-0000EA120000}"/>
    <cellStyle name="Date Short 2" xfId="988" xr:uid="{00000000-0005-0000-0000-0000EB120000}"/>
    <cellStyle name="Date Short 3" xfId="4364" xr:uid="{00000000-0005-0000-0000-0000EC120000}"/>
    <cellStyle name="Date Short_IRT_Planilha Básica_ v2010_CERRP" xfId="1759" xr:uid="{00000000-0005-0000-0000-0000ED120000}"/>
    <cellStyle name="Date_02 IRT COSERN 2009" xfId="1666" xr:uid="{00000000-0005-0000-0000-0000EE120000}"/>
    <cellStyle name="Date-Time" xfId="783" xr:uid="{00000000-0005-0000-0000-0000EF120000}"/>
    <cellStyle name="Date-Time 2" xfId="4365" xr:uid="{00000000-0005-0000-0000-0000F0120000}"/>
    <cellStyle name="Date-Time 3" xfId="4366" xr:uid="{00000000-0005-0000-0000-0000F1120000}"/>
    <cellStyle name="Date-Time 3 2" xfId="4367" xr:uid="{00000000-0005-0000-0000-0000F2120000}"/>
    <cellStyle name="Dato" xfId="1667" xr:uid="{00000000-0005-0000-0000-0000F3120000}"/>
    <cellStyle name="Decimal 1" xfId="784" xr:uid="{00000000-0005-0000-0000-0000F4120000}"/>
    <cellStyle name="Decimal 1 2" xfId="4368" xr:uid="{00000000-0005-0000-0000-0000F5120000}"/>
    <cellStyle name="Decimal 1 3" xfId="4369" xr:uid="{00000000-0005-0000-0000-0000F6120000}"/>
    <cellStyle name="Decimal 1 3 2" xfId="4370" xr:uid="{00000000-0005-0000-0000-0000F7120000}"/>
    <cellStyle name="Decimal 2" xfId="785" xr:uid="{00000000-0005-0000-0000-0000F8120000}"/>
    <cellStyle name="Decimal 3" xfId="786" xr:uid="{00000000-0005-0000-0000-0000F9120000}"/>
    <cellStyle name="Decimal 3 2" xfId="4371" xr:uid="{00000000-0005-0000-0000-0000FA120000}"/>
    <cellStyle name="DELTA" xfId="787" xr:uid="{00000000-0005-0000-0000-0000FB120000}"/>
    <cellStyle name="DELTA 2" xfId="989" xr:uid="{00000000-0005-0000-0000-0000FC120000}"/>
    <cellStyle name="DELTA 3" xfId="4372" xr:uid="{00000000-0005-0000-0000-0000FD120000}"/>
    <cellStyle name="DELTA_IRT_Planilha Básica_ v2010_CERRP" xfId="1760" xr:uid="{00000000-0005-0000-0000-0000FE120000}"/>
    <cellStyle name="DESCRIÇÃO" xfId="4373" xr:uid="{00000000-0005-0000-0000-0000FF120000}"/>
    <cellStyle name="Design" xfId="4374" xr:uid="{00000000-0005-0000-0000-000000130000}"/>
    <cellStyle name="Design 2" xfId="4375" xr:uid="{00000000-0005-0000-0000-000001130000}"/>
    <cellStyle name="Design 3" xfId="4376" xr:uid="{00000000-0005-0000-0000-000002130000}"/>
    <cellStyle name="Design_IF - Autoprodutores" xfId="4377" xr:uid="{00000000-0005-0000-0000-000003130000}"/>
    <cellStyle name="Dia" xfId="4378" xr:uid="{00000000-0005-0000-0000-000004130000}"/>
    <cellStyle name="Dotted Line" xfId="4379" xr:uid="{00000000-0005-0000-0000-000005130000}"/>
    <cellStyle name="E&amp;Y House" xfId="4380" xr:uid="{00000000-0005-0000-0000-000006130000}"/>
    <cellStyle name="Emphasis 1" xfId="4381" xr:uid="{00000000-0005-0000-0000-000007130000}"/>
    <cellStyle name="Emphasis 2" xfId="4382" xr:uid="{00000000-0005-0000-0000-000008130000}"/>
    <cellStyle name="Emphasis 3" xfId="4383" xr:uid="{00000000-0005-0000-0000-000009130000}"/>
    <cellStyle name="Encabez1" xfId="4384" xr:uid="{00000000-0005-0000-0000-00000A130000}"/>
    <cellStyle name="Encabez2" xfId="4385" xr:uid="{00000000-0005-0000-0000-00000B130000}"/>
    <cellStyle name="Encabezado 4" xfId="990" xr:uid="{00000000-0005-0000-0000-00000C130000}"/>
    <cellStyle name="Ênfase1 10" xfId="4386" xr:uid="{00000000-0005-0000-0000-00000D130000}"/>
    <cellStyle name="Ênfase1 11" xfId="43499" xr:uid="{00000000-0005-0000-0000-00000E130000}"/>
    <cellStyle name="Ênfase1 12" xfId="788" xr:uid="{00000000-0005-0000-0000-00000F130000}"/>
    <cellStyle name="Ênfase1 2" xfId="991" xr:uid="{00000000-0005-0000-0000-000010130000}"/>
    <cellStyle name="Ênfase1 2 2" xfId="4387" xr:uid="{00000000-0005-0000-0000-000011130000}"/>
    <cellStyle name="Ênfase1 3" xfId="1761" xr:uid="{00000000-0005-0000-0000-000012130000}"/>
    <cellStyle name="Ênfase1 3 2" xfId="4388" xr:uid="{00000000-0005-0000-0000-000013130000}"/>
    <cellStyle name="Ênfase1 4" xfId="4389" xr:uid="{00000000-0005-0000-0000-000014130000}"/>
    <cellStyle name="Ênfase1 4 2" xfId="4390" xr:uid="{00000000-0005-0000-0000-000015130000}"/>
    <cellStyle name="Ênfase1 5" xfId="4391" xr:uid="{00000000-0005-0000-0000-000016130000}"/>
    <cellStyle name="Ênfase1 6" xfId="4392" xr:uid="{00000000-0005-0000-0000-000017130000}"/>
    <cellStyle name="Ênfase1 7" xfId="4393" xr:uid="{00000000-0005-0000-0000-000018130000}"/>
    <cellStyle name="Ênfase1 8" xfId="4394" xr:uid="{00000000-0005-0000-0000-000019130000}"/>
    <cellStyle name="Ênfase1 9" xfId="4395" xr:uid="{00000000-0005-0000-0000-00001A130000}"/>
    <cellStyle name="Ênfase2 10" xfId="4396" xr:uid="{00000000-0005-0000-0000-00001B130000}"/>
    <cellStyle name="Ênfase2 11" xfId="43500" xr:uid="{00000000-0005-0000-0000-00001C130000}"/>
    <cellStyle name="Ênfase2 12" xfId="789" xr:uid="{00000000-0005-0000-0000-00001D130000}"/>
    <cellStyle name="Ênfase2 2" xfId="992" xr:uid="{00000000-0005-0000-0000-00001E130000}"/>
    <cellStyle name="Ênfase2 2 2" xfId="4397" xr:uid="{00000000-0005-0000-0000-00001F130000}"/>
    <cellStyle name="Ênfase2 3" xfId="1762" xr:uid="{00000000-0005-0000-0000-000020130000}"/>
    <cellStyle name="Ênfase2 3 2" xfId="4398" xr:uid="{00000000-0005-0000-0000-000021130000}"/>
    <cellStyle name="Ênfase2 4" xfId="4399" xr:uid="{00000000-0005-0000-0000-000022130000}"/>
    <cellStyle name="Ênfase2 4 2" xfId="4400" xr:uid="{00000000-0005-0000-0000-000023130000}"/>
    <cellStyle name="Ênfase2 5" xfId="4401" xr:uid="{00000000-0005-0000-0000-000024130000}"/>
    <cellStyle name="Ênfase2 6" xfId="4402" xr:uid="{00000000-0005-0000-0000-000025130000}"/>
    <cellStyle name="Ênfase2 7" xfId="4403" xr:uid="{00000000-0005-0000-0000-000026130000}"/>
    <cellStyle name="Ênfase2 8" xfId="4404" xr:uid="{00000000-0005-0000-0000-000027130000}"/>
    <cellStyle name="Ênfase2 9" xfId="4405" xr:uid="{00000000-0005-0000-0000-000028130000}"/>
    <cellStyle name="Ênfase3 10" xfId="4406" xr:uid="{00000000-0005-0000-0000-000029130000}"/>
    <cellStyle name="Ênfase3 11" xfId="43501" xr:uid="{00000000-0005-0000-0000-00002A130000}"/>
    <cellStyle name="Ênfase3 12" xfId="790" xr:uid="{00000000-0005-0000-0000-00002B130000}"/>
    <cellStyle name="Ênfase3 2" xfId="993" xr:uid="{00000000-0005-0000-0000-00002C130000}"/>
    <cellStyle name="Ênfase3 2 2" xfId="4407" xr:uid="{00000000-0005-0000-0000-00002D130000}"/>
    <cellStyle name="Ênfase3 3" xfId="1763" xr:uid="{00000000-0005-0000-0000-00002E130000}"/>
    <cellStyle name="Ênfase3 3 2" xfId="4408" xr:uid="{00000000-0005-0000-0000-00002F130000}"/>
    <cellStyle name="Ênfase3 4" xfId="4409" xr:uid="{00000000-0005-0000-0000-000030130000}"/>
    <cellStyle name="Ênfase3 4 2" xfId="4410" xr:uid="{00000000-0005-0000-0000-000031130000}"/>
    <cellStyle name="Ênfase3 5" xfId="4411" xr:uid="{00000000-0005-0000-0000-000032130000}"/>
    <cellStyle name="Ênfase3 6" xfId="4412" xr:uid="{00000000-0005-0000-0000-000033130000}"/>
    <cellStyle name="Ênfase3 7" xfId="4413" xr:uid="{00000000-0005-0000-0000-000034130000}"/>
    <cellStyle name="Ênfase3 8" xfId="4414" xr:uid="{00000000-0005-0000-0000-000035130000}"/>
    <cellStyle name="Ênfase3 9" xfId="4415" xr:uid="{00000000-0005-0000-0000-000036130000}"/>
    <cellStyle name="Ênfase4 10" xfId="4416" xr:uid="{00000000-0005-0000-0000-000037130000}"/>
    <cellStyle name="Ênfase4 11" xfId="43502" xr:uid="{00000000-0005-0000-0000-000038130000}"/>
    <cellStyle name="Ênfase4 12" xfId="791" xr:uid="{00000000-0005-0000-0000-000039130000}"/>
    <cellStyle name="Ênfase4 2" xfId="994" xr:uid="{00000000-0005-0000-0000-00003A130000}"/>
    <cellStyle name="Ênfase4 2 2" xfId="4417" xr:uid="{00000000-0005-0000-0000-00003B130000}"/>
    <cellStyle name="Ênfase4 3" xfId="1764" xr:uid="{00000000-0005-0000-0000-00003C130000}"/>
    <cellStyle name="Ênfase4 3 2" xfId="4418" xr:uid="{00000000-0005-0000-0000-00003D130000}"/>
    <cellStyle name="Ênfase4 4" xfId="4419" xr:uid="{00000000-0005-0000-0000-00003E130000}"/>
    <cellStyle name="Ênfase4 4 2" xfId="4420" xr:uid="{00000000-0005-0000-0000-00003F130000}"/>
    <cellStyle name="Ênfase4 5" xfId="4421" xr:uid="{00000000-0005-0000-0000-000040130000}"/>
    <cellStyle name="Ênfase4 6" xfId="4422" xr:uid="{00000000-0005-0000-0000-000041130000}"/>
    <cellStyle name="Ênfase4 7" xfId="4423" xr:uid="{00000000-0005-0000-0000-000042130000}"/>
    <cellStyle name="Ênfase4 8" xfId="4424" xr:uid="{00000000-0005-0000-0000-000043130000}"/>
    <cellStyle name="Ênfase4 9" xfId="4425" xr:uid="{00000000-0005-0000-0000-000044130000}"/>
    <cellStyle name="Ênfase5 10" xfId="4426" xr:uid="{00000000-0005-0000-0000-000045130000}"/>
    <cellStyle name="Ênfase5 11" xfId="43503" xr:uid="{00000000-0005-0000-0000-000046130000}"/>
    <cellStyle name="Ênfase5 12" xfId="792" xr:uid="{00000000-0005-0000-0000-000047130000}"/>
    <cellStyle name="Ênfase5 2" xfId="995" xr:uid="{00000000-0005-0000-0000-000048130000}"/>
    <cellStyle name="Ênfase5 2 2" xfId="4427" xr:uid="{00000000-0005-0000-0000-000049130000}"/>
    <cellStyle name="Ênfase5 3" xfId="1765" xr:uid="{00000000-0005-0000-0000-00004A130000}"/>
    <cellStyle name="Ênfase5 3 2" xfId="4428" xr:uid="{00000000-0005-0000-0000-00004B130000}"/>
    <cellStyle name="Ênfase5 4" xfId="4429" xr:uid="{00000000-0005-0000-0000-00004C130000}"/>
    <cellStyle name="Ênfase5 4 2" xfId="4430" xr:uid="{00000000-0005-0000-0000-00004D130000}"/>
    <cellStyle name="Ênfase5 5" xfId="4431" xr:uid="{00000000-0005-0000-0000-00004E130000}"/>
    <cellStyle name="Ênfase5 6" xfId="4432" xr:uid="{00000000-0005-0000-0000-00004F130000}"/>
    <cellStyle name="Ênfase5 7" xfId="4433" xr:uid="{00000000-0005-0000-0000-000050130000}"/>
    <cellStyle name="Ênfase5 8" xfId="4434" xr:uid="{00000000-0005-0000-0000-000051130000}"/>
    <cellStyle name="Ênfase5 9" xfId="4435" xr:uid="{00000000-0005-0000-0000-000052130000}"/>
    <cellStyle name="Ênfase6 10" xfId="4436" xr:uid="{00000000-0005-0000-0000-000053130000}"/>
    <cellStyle name="Ênfase6 11" xfId="43504" xr:uid="{00000000-0005-0000-0000-000054130000}"/>
    <cellStyle name="Ênfase6 12" xfId="793" xr:uid="{00000000-0005-0000-0000-000055130000}"/>
    <cellStyle name="Ênfase6 2" xfId="996" xr:uid="{00000000-0005-0000-0000-000056130000}"/>
    <cellStyle name="Ênfase6 2 2" xfId="4437" xr:uid="{00000000-0005-0000-0000-000057130000}"/>
    <cellStyle name="Ênfase6 3" xfId="1766" xr:uid="{00000000-0005-0000-0000-000058130000}"/>
    <cellStyle name="Ênfase6 3 2" xfId="4438" xr:uid="{00000000-0005-0000-0000-000059130000}"/>
    <cellStyle name="Ênfase6 4" xfId="4439" xr:uid="{00000000-0005-0000-0000-00005A130000}"/>
    <cellStyle name="Ênfase6 4 2" xfId="4440" xr:uid="{00000000-0005-0000-0000-00005B130000}"/>
    <cellStyle name="Ênfase6 5" xfId="4441" xr:uid="{00000000-0005-0000-0000-00005C130000}"/>
    <cellStyle name="Ênfase6 6" xfId="4442" xr:uid="{00000000-0005-0000-0000-00005D130000}"/>
    <cellStyle name="Ênfase6 7" xfId="4443" xr:uid="{00000000-0005-0000-0000-00005E130000}"/>
    <cellStyle name="Ênfase6 8" xfId="4444" xr:uid="{00000000-0005-0000-0000-00005F130000}"/>
    <cellStyle name="Ênfase6 9" xfId="4445" xr:uid="{00000000-0005-0000-0000-000060130000}"/>
    <cellStyle name="Énfasis1" xfId="997" xr:uid="{00000000-0005-0000-0000-000061130000}"/>
    <cellStyle name="Énfasis1 2" xfId="4446" xr:uid="{00000000-0005-0000-0000-000062130000}"/>
    <cellStyle name="Énfasis2" xfId="998" xr:uid="{00000000-0005-0000-0000-000063130000}"/>
    <cellStyle name="Énfasis2 2" xfId="4447" xr:uid="{00000000-0005-0000-0000-000064130000}"/>
    <cellStyle name="Énfasis3" xfId="999" xr:uid="{00000000-0005-0000-0000-000065130000}"/>
    <cellStyle name="Énfasis3 2" xfId="4448" xr:uid="{00000000-0005-0000-0000-000066130000}"/>
    <cellStyle name="Énfasis4" xfId="1000" xr:uid="{00000000-0005-0000-0000-000067130000}"/>
    <cellStyle name="Énfasis4 2" xfId="4449" xr:uid="{00000000-0005-0000-0000-000068130000}"/>
    <cellStyle name="Énfasis5" xfId="1001" xr:uid="{00000000-0005-0000-0000-000069130000}"/>
    <cellStyle name="Énfasis5 2" xfId="4450" xr:uid="{00000000-0005-0000-0000-00006A130000}"/>
    <cellStyle name="Énfasis6" xfId="1002" xr:uid="{00000000-0005-0000-0000-00006B130000}"/>
    <cellStyle name="Énfasis6 2" xfId="4451" xr:uid="{00000000-0005-0000-0000-00006C130000}"/>
    <cellStyle name="Enter Currency (0)" xfId="794" xr:uid="{00000000-0005-0000-0000-00006D130000}"/>
    <cellStyle name="Enter Currency (0) 2" xfId="1003" xr:uid="{00000000-0005-0000-0000-00006E130000}"/>
    <cellStyle name="Enter Currency (0) 3" xfId="4452" xr:uid="{00000000-0005-0000-0000-00006F130000}"/>
    <cellStyle name="Enter Currency (0)_IRT_Planilha Básica_ v2010_CERRP" xfId="1767" xr:uid="{00000000-0005-0000-0000-000070130000}"/>
    <cellStyle name="Enter Currency (2)" xfId="795" xr:uid="{00000000-0005-0000-0000-000071130000}"/>
    <cellStyle name="Enter Units (0)" xfId="796" xr:uid="{00000000-0005-0000-0000-000072130000}"/>
    <cellStyle name="Enter Units (0) 2" xfId="1004" xr:uid="{00000000-0005-0000-0000-000073130000}"/>
    <cellStyle name="Enter Units (0) 3" xfId="4453" xr:uid="{00000000-0005-0000-0000-000074130000}"/>
    <cellStyle name="Enter Units (0)_IRT_Planilha Básica_ v2010_CERRP" xfId="1768" xr:uid="{00000000-0005-0000-0000-000075130000}"/>
    <cellStyle name="Enter Units (1)" xfId="797" xr:uid="{00000000-0005-0000-0000-000076130000}"/>
    <cellStyle name="Enter Units (1) 2" xfId="1005" xr:uid="{00000000-0005-0000-0000-000077130000}"/>
    <cellStyle name="Enter Units (1) 3" xfId="4454" xr:uid="{00000000-0005-0000-0000-000078130000}"/>
    <cellStyle name="Enter Units (1)_IRT_Planilha Básica_ v2010_CERRP" xfId="1769" xr:uid="{00000000-0005-0000-0000-000079130000}"/>
    <cellStyle name="Enter Units (2)" xfId="798" xr:uid="{00000000-0005-0000-0000-00007A130000}"/>
    <cellStyle name="En-tête 1" xfId="4455" xr:uid="{00000000-0005-0000-0000-00007B130000}"/>
    <cellStyle name="En-tête 2" xfId="4456" xr:uid="{00000000-0005-0000-0000-00007C130000}"/>
    <cellStyle name="Entrada 10" xfId="4457" xr:uid="{00000000-0005-0000-0000-00007D130000}"/>
    <cellStyle name="Entrada 11" xfId="43505" xr:uid="{00000000-0005-0000-0000-00007E130000}"/>
    <cellStyle name="Entrada 12" xfId="799" xr:uid="{00000000-0005-0000-0000-00007F130000}"/>
    <cellStyle name="Entrada 2" xfId="1006" xr:uid="{00000000-0005-0000-0000-000080130000}"/>
    <cellStyle name="Entrada 2 2" xfId="4458" xr:uid="{00000000-0005-0000-0000-000081130000}"/>
    <cellStyle name="Entrada 2 3" xfId="4459" xr:uid="{00000000-0005-0000-0000-000082130000}"/>
    <cellStyle name="Entrada 2 4" xfId="4460" xr:uid="{00000000-0005-0000-0000-000083130000}"/>
    <cellStyle name="Entrada 3" xfId="1770" xr:uid="{00000000-0005-0000-0000-000084130000}"/>
    <cellStyle name="Entrada 3 2" xfId="4461" xr:uid="{00000000-0005-0000-0000-000085130000}"/>
    <cellStyle name="Entrada 4" xfId="1771" xr:uid="{00000000-0005-0000-0000-000086130000}"/>
    <cellStyle name="Entrada 4 2" xfId="4462" xr:uid="{00000000-0005-0000-0000-000087130000}"/>
    <cellStyle name="Entrada 5" xfId="4463" xr:uid="{00000000-0005-0000-0000-000088130000}"/>
    <cellStyle name="Entrada 6" xfId="4464" xr:uid="{00000000-0005-0000-0000-000089130000}"/>
    <cellStyle name="Entrada 7" xfId="4465" xr:uid="{00000000-0005-0000-0000-00008A130000}"/>
    <cellStyle name="Entrada 8" xfId="4466" xr:uid="{00000000-0005-0000-0000-00008B130000}"/>
    <cellStyle name="Entrada 9" xfId="4467" xr:uid="{00000000-0005-0000-0000-00008C130000}"/>
    <cellStyle name="Estilo 1" xfId="800" xr:uid="{00000000-0005-0000-0000-00008D130000}"/>
    <cellStyle name="Estilo 1 2" xfId="920" xr:uid="{00000000-0005-0000-0000-00008E130000}"/>
    <cellStyle name="Estilo 1 2 2" xfId="1772" xr:uid="{00000000-0005-0000-0000-00008F130000}"/>
    <cellStyle name="Estilo 1 2 2 2" xfId="4468" xr:uid="{00000000-0005-0000-0000-000090130000}"/>
    <cellStyle name="Estilo 1 2 3" xfId="4469" xr:uid="{00000000-0005-0000-0000-000091130000}"/>
    <cellStyle name="Estilo 1 3" xfId="1668" xr:uid="{00000000-0005-0000-0000-000092130000}"/>
    <cellStyle name="Estilo 1 3 2" xfId="4470" xr:uid="{00000000-0005-0000-0000-000093130000}"/>
    <cellStyle name="Estilo 1 4" xfId="1669" xr:uid="{00000000-0005-0000-0000-000094130000}"/>
    <cellStyle name="Estilo 1 4 2" xfId="4471" xr:uid="{00000000-0005-0000-0000-000095130000}"/>
    <cellStyle name="Estilo 1 5" xfId="1670" xr:uid="{00000000-0005-0000-0000-000096130000}"/>
    <cellStyle name="Estilo 1 5 2" xfId="4472" xr:uid="{00000000-0005-0000-0000-000097130000}"/>
    <cellStyle name="Estilo 1 6" xfId="4473" xr:uid="{00000000-0005-0000-0000-000098130000}"/>
    <cellStyle name="Estilo 1_2008.08.07 CELPA IRT2008 Homologado" xfId="4474" xr:uid="{00000000-0005-0000-0000-000099130000}"/>
    <cellStyle name="Euro" xfId="801" xr:uid="{00000000-0005-0000-0000-00009A130000}"/>
    <cellStyle name="Euro 2" xfId="4475" xr:uid="{00000000-0005-0000-0000-00009B130000}"/>
    <cellStyle name="Euro 2 2" xfId="4476" xr:uid="{00000000-0005-0000-0000-00009C130000}"/>
    <cellStyle name="Euro 3" xfId="4477" xr:uid="{00000000-0005-0000-0000-00009D130000}"/>
    <cellStyle name="Euro 4" xfId="4478" xr:uid="{00000000-0005-0000-0000-00009E130000}"/>
    <cellStyle name="Euro 4 2" xfId="4479" xr:uid="{00000000-0005-0000-0000-00009F130000}"/>
    <cellStyle name="Ex_MISTO" xfId="802" xr:uid="{00000000-0005-0000-0000-0000A0130000}"/>
    <cellStyle name="Excel_BuiltIn_Comma 1" xfId="4480" xr:uid="{00000000-0005-0000-0000-0000A1130000}"/>
    <cellStyle name="Explanatory Text" xfId="13" xr:uid="{00000000-0005-0000-0000-0000A2130000}"/>
    <cellStyle name="Explanatory Text 2" xfId="4481" xr:uid="{00000000-0005-0000-0000-0000A3130000}"/>
    <cellStyle name="EY House" xfId="4482" xr:uid="{00000000-0005-0000-0000-0000A4130000}"/>
    <cellStyle name="EY House 2" xfId="4483" xr:uid="{00000000-0005-0000-0000-0000A5130000}"/>
    <cellStyle name="EY House 3" xfId="4484" xr:uid="{00000000-0005-0000-0000-0000A6130000}"/>
    <cellStyle name="F2" xfId="4485" xr:uid="{00000000-0005-0000-0000-0000A7130000}"/>
    <cellStyle name="F3" xfId="4486" xr:uid="{00000000-0005-0000-0000-0000A8130000}"/>
    <cellStyle name="F4" xfId="4487" xr:uid="{00000000-0005-0000-0000-0000A9130000}"/>
    <cellStyle name="F5" xfId="4488" xr:uid="{00000000-0005-0000-0000-0000AA130000}"/>
    <cellStyle name="F6" xfId="4489" xr:uid="{00000000-0005-0000-0000-0000AB130000}"/>
    <cellStyle name="F7" xfId="4490" xr:uid="{00000000-0005-0000-0000-0000AC130000}"/>
    <cellStyle name="F8" xfId="4491" xr:uid="{00000000-0005-0000-0000-0000AD130000}"/>
    <cellStyle name="Feature" xfId="4492" xr:uid="{00000000-0005-0000-0000-0000AE130000}"/>
    <cellStyle name="Feature 2" xfId="4493" xr:uid="{00000000-0005-0000-0000-0000AF130000}"/>
    <cellStyle name="Feature 3" xfId="4494" xr:uid="{00000000-0005-0000-0000-0000B0130000}"/>
    <cellStyle name="FIELD" xfId="803" xr:uid="{00000000-0005-0000-0000-0000B1130000}"/>
    <cellStyle name="FIELD 2" xfId="4495" xr:uid="{00000000-0005-0000-0000-0000B2130000}"/>
    <cellStyle name="FIELD 3" xfId="4496" xr:uid="{00000000-0005-0000-0000-0000B3130000}"/>
    <cellStyle name="Fijo" xfId="4497" xr:uid="{00000000-0005-0000-0000-0000B4130000}"/>
    <cellStyle name="Financier0" xfId="4498" xr:uid="{00000000-0005-0000-0000-0000B5130000}"/>
    <cellStyle name="Financiero" xfId="4499" xr:uid="{00000000-0005-0000-0000-0000B6130000}"/>
    <cellStyle name="Fixed" xfId="804" xr:uid="{00000000-0005-0000-0000-0000B7130000}"/>
    <cellStyle name="Fixed 2" xfId="1007" xr:uid="{00000000-0005-0000-0000-0000B8130000}"/>
    <cellStyle name="Fixed 2 2" xfId="4500" xr:uid="{00000000-0005-0000-0000-0000B9130000}"/>
    <cellStyle name="Fixed 3" xfId="1008" xr:uid="{00000000-0005-0000-0000-0000BA130000}"/>
    <cellStyle name="Fixed 4" xfId="1009" xr:uid="{00000000-0005-0000-0000-0000BB130000}"/>
    <cellStyle name="Fixed 4 2" xfId="4501" xr:uid="{00000000-0005-0000-0000-0000BC130000}"/>
    <cellStyle name="Fixed_IF - Autoprodutores 2" xfId="4502" xr:uid="{00000000-0005-0000-0000-0000BD130000}"/>
    <cellStyle name="Fixo" xfId="805" xr:uid="{00000000-0005-0000-0000-0000BE130000}"/>
    <cellStyle name="Fixo 2" xfId="4503" xr:uid="{00000000-0005-0000-0000-0000BF130000}"/>
    <cellStyle name="Fixo 3" xfId="4504" xr:uid="{00000000-0005-0000-0000-0000C0130000}"/>
    <cellStyle name="Followed Hyperlink" xfId="806" xr:uid="{00000000-0005-0000-0000-0000C1130000}"/>
    <cellStyle name="Footnote" xfId="4505" xr:uid="{00000000-0005-0000-0000-0000C2130000}"/>
    <cellStyle name="forms" xfId="4506" xr:uid="{00000000-0005-0000-0000-0000C3130000}"/>
    <cellStyle name="FORMULAS" xfId="4507" xr:uid="{00000000-0005-0000-0000-0000C4130000}"/>
    <cellStyle name="fundoamarelo" xfId="807" xr:uid="{00000000-0005-0000-0000-0000C5130000}"/>
    <cellStyle name="fundoazul" xfId="808" xr:uid="{00000000-0005-0000-0000-0000C6130000}"/>
    <cellStyle name="fundocinza" xfId="809" xr:uid="{00000000-0005-0000-0000-0000C7130000}"/>
    <cellStyle name="fundodeentrada" xfId="810" xr:uid="{00000000-0005-0000-0000-0000C8130000}"/>
    <cellStyle name="fundodeentrada 10" xfId="4508" xr:uid="{00000000-0005-0000-0000-0000C9130000}"/>
    <cellStyle name="fundodeentrada 10 2" xfId="43506" xr:uid="{00000000-0005-0000-0000-0000CA130000}"/>
    <cellStyle name="fundodeentrada 11" xfId="43507" xr:uid="{00000000-0005-0000-0000-0000CB130000}"/>
    <cellStyle name="fundodeentrada 11 2" xfId="43508" xr:uid="{00000000-0005-0000-0000-0000CC130000}"/>
    <cellStyle name="fundodeentrada 12" xfId="43509" xr:uid="{00000000-0005-0000-0000-0000CD130000}"/>
    <cellStyle name="fundodeentrada 12 2" xfId="43510" xr:uid="{00000000-0005-0000-0000-0000CE130000}"/>
    <cellStyle name="fundodeentrada 13" xfId="43511" xr:uid="{00000000-0005-0000-0000-0000CF130000}"/>
    <cellStyle name="fundodeentrada 13 2" xfId="43512" xr:uid="{00000000-0005-0000-0000-0000D0130000}"/>
    <cellStyle name="fundodeentrada 14" xfId="43513" xr:uid="{00000000-0005-0000-0000-0000D1130000}"/>
    <cellStyle name="fundodeentrada 14 2" xfId="43514" xr:uid="{00000000-0005-0000-0000-0000D2130000}"/>
    <cellStyle name="fundodeentrada 15" xfId="43515" xr:uid="{00000000-0005-0000-0000-0000D3130000}"/>
    <cellStyle name="fundodeentrada 15 2" xfId="43516" xr:uid="{00000000-0005-0000-0000-0000D4130000}"/>
    <cellStyle name="fundodeentrada 16" xfId="43517" xr:uid="{00000000-0005-0000-0000-0000D5130000}"/>
    <cellStyle name="fundodeentrada 16 2" xfId="43518" xr:uid="{00000000-0005-0000-0000-0000D6130000}"/>
    <cellStyle name="fundodeentrada 17" xfId="43519" xr:uid="{00000000-0005-0000-0000-0000D7130000}"/>
    <cellStyle name="fundodeentrada 17 2" xfId="43520" xr:uid="{00000000-0005-0000-0000-0000D8130000}"/>
    <cellStyle name="fundodeentrada 18" xfId="43521" xr:uid="{00000000-0005-0000-0000-0000D9130000}"/>
    <cellStyle name="fundodeentrada 18 2" xfId="43522" xr:uid="{00000000-0005-0000-0000-0000DA130000}"/>
    <cellStyle name="fundodeentrada 19" xfId="43523" xr:uid="{00000000-0005-0000-0000-0000DB130000}"/>
    <cellStyle name="fundodeentrada 19 2" xfId="43524" xr:uid="{00000000-0005-0000-0000-0000DC130000}"/>
    <cellStyle name="fundodeentrada 2" xfId="1010" xr:uid="{00000000-0005-0000-0000-0000DD130000}"/>
    <cellStyle name="fundodeentrada 2 2" xfId="4509" xr:uid="{00000000-0005-0000-0000-0000DE130000}"/>
    <cellStyle name="fundodeentrada 2 3" xfId="4510" xr:uid="{00000000-0005-0000-0000-0000DF130000}"/>
    <cellStyle name="fundodeentrada 2 4" xfId="4511" xr:uid="{00000000-0005-0000-0000-0000E0130000}"/>
    <cellStyle name="fundodeentrada 20" xfId="43525" xr:uid="{00000000-0005-0000-0000-0000E1130000}"/>
    <cellStyle name="fundodeentrada 20 2" xfId="43526" xr:uid="{00000000-0005-0000-0000-0000E2130000}"/>
    <cellStyle name="fundodeentrada 21" xfId="43527" xr:uid="{00000000-0005-0000-0000-0000E3130000}"/>
    <cellStyle name="fundodeentrada 21 2" xfId="43528" xr:uid="{00000000-0005-0000-0000-0000E4130000}"/>
    <cellStyle name="fundodeentrada 22" xfId="43529" xr:uid="{00000000-0005-0000-0000-0000E5130000}"/>
    <cellStyle name="fundodeentrada 22 2" xfId="43530" xr:uid="{00000000-0005-0000-0000-0000E6130000}"/>
    <cellStyle name="fundodeentrada 23" xfId="43531" xr:uid="{00000000-0005-0000-0000-0000E7130000}"/>
    <cellStyle name="fundodeentrada 23 2" xfId="43532" xr:uid="{00000000-0005-0000-0000-0000E8130000}"/>
    <cellStyle name="fundodeentrada 24" xfId="43533" xr:uid="{00000000-0005-0000-0000-0000E9130000}"/>
    <cellStyle name="fundodeentrada 24 2" xfId="43534" xr:uid="{00000000-0005-0000-0000-0000EA130000}"/>
    <cellStyle name="fundodeentrada 25" xfId="43535" xr:uid="{00000000-0005-0000-0000-0000EB130000}"/>
    <cellStyle name="fundodeentrada 25 2" xfId="43536" xr:uid="{00000000-0005-0000-0000-0000EC130000}"/>
    <cellStyle name="fundodeentrada 26" xfId="43537" xr:uid="{00000000-0005-0000-0000-0000ED130000}"/>
    <cellStyle name="fundodeentrada 26 2" xfId="43538" xr:uid="{00000000-0005-0000-0000-0000EE130000}"/>
    <cellStyle name="fundodeentrada 27" xfId="43539" xr:uid="{00000000-0005-0000-0000-0000EF130000}"/>
    <cellStyle name="fundodeentrada 27 2" xfId="43540" xr:uid="{00000000-0005-0000-0000-0000F0130000}"/>
    <cellStyle name="fundodeentrada 28" xfId="43541" xr:uid="{00000000-0005-0000-0000-0000F1130000}"/>
    <cellStyle name="fundodeentrada 28 2" xfId="43542" xr:uid="{00000000-0005-0000-0000-0000F2130000}"/>
    <cellStyle name="fundodeentrada 29" xfId="43543" xr:uid="{00000000-0005-0000-0000-0000F3130000}"/>
    <cellStyle name="fundodeentrada 3" xfId="4512" xr:uid="{00000000-0005-0000-0000-0000F4130000}"/>
    <cellStyle name="fundodeentrada 3 2" xfId="43544" xr:uid="{00000000-0005-0000-0000-0000F5130000}"/>
    <cellStyle name="fundodeentrada 4" xfId="4513" xr:uid="{00000000-0005-0000-0000-0000F6130000}"/>
    <cellStyle name="fundodeentrada 4 2" xfId="43545" xr:uid="{00000000-0005-0000-0000-0000F7130000}"/>
    <cellStyle name="fundodeentrada 5" xfId="4514" xr:uid="{00000000-0005-0000-0000-0000F8130000}"/>
    <cellStyle name="fundodeentrada 5 2" xfId="43546" xr:uid="{00000000-0005-0000-0000-0000F9130000}"/>
    <cellStyle name="fundodeentrada 6" xfId="4515" xr:uid="{00000000-0005-0000-0000-0000FA130000}"/>
    <cellStyle name="fundodeentrada 6 2" xfId="43547" xr:uid="{00000000-0005-0000-0000-0000FB130000}"/>
    <cellStyle name="fundodeentrada 7" xfId="4516" xr:uid="{00000000-0005-0000-0000-0000FC130000}"/>
    <cellStyle name="fundodeentrada 7 2" xfId="43548" xr:uid="{00000000-0005-0000-0000-0000FD130000}"/>
    <cellStyle name="fundodeentrada 8" xfId="4517" xr:uid="{00000000-0005-0000-0000-0000FE130000}"/>
    <cellStyle name="fundodeentrada 8 2" xfId="43549" xr:uid="{00000000-0005-0000-0000-0000FF130000}"/>
    <cellStyle name="fundodeentrada 9" xfId="4518" xr:uid="{00000000-0005-0000-0000-000000140000}"/>
    <cellStyle name="fundodeentrada 9 2" xfId="43550" xr:uid="{00000000-0005-0000-0000-000001140000}"/>
    <cellStyle name="fundoentrada" xfId="811" xr:uid="{00000000-0005-0000-0000-000002140000}"/>
    <cellStyle name="fundoentrada 2" xfId="4519" xr:uid="{00000000-0005-0000-0000-000003140000}"/>
    <cellStyle name="fundoentrada 3" xfId="4520" xr:uid="{00000000-0005-0000-0000-000004140000}"/>
    <cellStyle name="fundoentrada 3 2" xfId="4521" xr:uid="{00000000-0005-0000-0000-000005140000}"/>
    <cellStyle name="Geral" xfId="4522" xr:uid="{00000000-0005-0000-0000-000006140000}"/>
    <cellStyle name="Geral 2" xfId="4523" xr:uid="{00000000-0005-0000-0000-000007140000}"/>
    <cellStyle name="Geral 3" xfId="4524" xr:uid="{00000000-0005-0000-0000-000008140000}"/>
    <cellStyle name="Geral_IF - Autoprodutores" xfId="4525" xr:uid="{00000000-0005-0000-0000-000009140000}"/>
    <cellStyle name="Good" xfId="812" xr:uid="{00000000-0005-0000-0000-00000A140000}"/>
    <cellStyle name="Good 2" xfId="4526" xr:uid="{00000000-0005-0000-0000-00000B140000}"/>
    <cellStyle name="Grey" xfId="813" xr:uid="{00000000-0005-0000-0000-00000C140000}"/>
    <cellStyle name="Grey 2" xfId="1011" xr:uid="{00000000-0005-0000-0000-00000D140000}"/>
    <cellStyle name="Grey 3" xfId="1012" xr:uid="{00000000-0005-0000-0000-00000E140000}"/>
    <cellStyle name="Grey 4" xfId="1013" xr:uid="{00000000-0005-0000-0000-00000F140000}"/>
    <cellStyle name="Grey 5" xfId="1014" xr:uid="{00000000-0005-0000-0000-000010140000}"/>
    <cellStyle name="Grey 6" xfId="4527" xr:uid="{00000000-0005-0000-0000-000011140000}"/>
    <cellStyle name="Grey 7" xfId="4528" xr:uid="{00000000-0005-0000-0000-000012140000}"/>
    <cellStyle name="Grey 8" xfId="4529" xr:uid="{00000000-0005-0000-0000-000013140000}"/>
    <cellStyle name="Grey 9" xfId="4530" xr:uid="{00000000-0005-0000-0000-000014140000}"/>
    <cellStyle name="Grey_COELCE CVA SRE (4)" xfId="4531" xr:uid="{00000000-0005-0000-0000-000015140000}"/>
    <cellStyle name="Hard Percent" xfId="4532" xr:uid="{00000000-0005-0000-0000-000016140000}"/>
    <cellStyle name="HEADER" xfId="814" xr:uid="{00000000-0005-0000-0000-000017140000}"/>
    <cellStyle name="Header1" xfId="815" xr:uid="{00000000-0005-0000-0000-000018140000}"/>
    <cellStyle name="Header1 2" xfId="4533" xr:uid="{00000000-0005-0000-0000-000019140000}"/>
    <cellStyle name="Header1 3" xfId="4534" xr:uid="{00000000-0005-0000-0000-00001A140000}"/>
    <cellStyle name="Header1 4" xfId="4535" xr:uid="{00000000-0005-0000-0000-00001B140000}"/>
    <cellStyle name="Header1 5" xfId="4536" xr:uid="{00000000-0005-0000-0000-00001C140000}"/>
    <cellStyle name="Header1 6" xfId="4537" xr:uid="{00000000-0005-0000-0000-00001D140000}"/>
    <cellStyle name="Header2" xfId="816" xr:uid="{00000000-0005-0000-0000-00001E140000}"/>
    <cellStyle name="Header2 2" xfId="4538" xr:uid="{00000000-0005-0000-0000-00001F140000}"/>
    <cellStyle name="Header2 3" xfId="4539" xr:uid="{00000000-0005-0000-0000-000020140000}"/>
    <cellStyle name="Header2 4" xfId="4540" xr:uid="{00000000-0005-0000-0000-000021140000}"/>
    <cellStyle name="Heading 1" xfId="817" xr:uid="{00000000-0005-0000-0000-000022140000}"/>
    <cellStyle name="Heading 1 2" xfId="1015" xr:uid="{00000000-0005-0000-0000-000023140000}"/>
    <cellStyle name="Heading 1 3" xfId="4541" xr:uid="{00000000-0005-0000-0000-000024140000}"/>
    <cellStyle name="Heading 1_SOBRECONTRATAÇÃO E CVA" xfId="4542" xr:uid="{00000000-0005-0000-0000-000025140000}"/>
    <cellStyle name="Heading 2" xfId="818" xr:uid="{00000000-0005-0000-0000-000026140000}"/>
    <cellStyle name="Heading 2 2" xfId="1016" xr:uid="{00000000-0005-0000-0000-000027140000}"/>
    <cellStyle name="Heading 2 3" xfId="4543" xr:uid="{00000000-0005-0000-0000-000028140000}"/>
    <cellStyle name="Heading 2_SOBRECONTRATAÇÃO E CVA" xfId="4544" xr:uid="{00000000-0005-0000-0000-000029140000}"/>
    <cellStyle name="Heading 3" xfId="819" xr:uid="{00000000-0005-0000-0000-00002A140000}"/>
    <cellStyle name="Heading 3 2" xfId="4545" xr:uid="{00000000-0005-0000-0000-00002B140000}"/>
    <cellStyle name="Heading 4" xfId="820" xr:uid="{00000000-0005-0000-0000-00002C140000}"/>
    <cellStyle name="Heading 4 2" xfId="4546" xr:uid="{00000000-0005-0000-0000-00002D140000}"/>
    <cellStyle name="Heading1" xfId="821" xr:uid="{00000000-0005-0000-0000-00002E140000}"/>
    <cellStyle name="Heading1 2" xfId="1017" xr:uid="{00000000-0005-0000-0000-00002F140000}"/>
    <cellStyle name="Heading1 2 2" xfId="4547" xr:uid="{00000000-0005-0000-0000-000030140000}"/>
    <cellStyle name="Heading1 3" xfId="1018" xr:uid="{00000000-0005-0000-0000-000031140000}"/>
    <cellStyle name="Heading1 4" xfId="1019" xr:uid="{00000000-0005-0000-0000-000032140000}"/>
    <cellStyle name="Heading1 4 2" xfId="4548" xr:uid="{00000000-0005-0000-0000-000033140000}"/>
    <cellStyle name="Heading1 5" xfId="1020" xr:uid="{00000000-0005-0000-0000-000034140000}"/>
    <cellStyle name="Heading1_IF - Autoprodutores 2" xfId="4549" xr:uid="{00000000-0005-0000-0000-000035140000}"/>
    <cellStyle name="Heading2" xfId="822" xr:uid="{00000000-0005-0000-0000-000036140000}"/>
    <cellStyle name="Heading2 2" xfId="1021" xr:uid="{00000000-0005-0000-0000-000037140000}"/>
    <cellStyle name="Heading2 2 2" xfId="4550" xr:uid="{00000000-0005-0000-0000-000038140000}"/>
    <cellStyle name="Heading2 3" xfId="1022" xr:uid="{00000000-0005-0000-0000-000039140000}"/>
    <cellStyle name="Heading2 4" xfId="1023" xr:uid="{00000000-0005-0000-0000-00003A140000}"/>
    <cellStyle name="Heading2 4 2" xfId="4551" xr:uid="{00000000-0005-0000-0000-00003B140000}"/>
    <cellStyle name="Heading2 5" xfId="1024" xr:uid="{00000000-0005-0000-0000-00003C140000}"/>
    <cellStyle name="Heading2_IF - Autoprodutores 2" xfId="4552" xr:uid="{00000000-0005-0000-0000-00003D140000}"/>
    <cellStyle name="Hidden" xfId="4553" xr:uid="{00000000-0005-0000-0000-00003E140000}"/>
    <cellStyle name="HIGHLIGHT" xfId="823" xr:uid="{00000000-0005-0000-0000-00003F140000}"/>
    <cellStyle name="HIGHLIGHT 2" xfId="4554" xr:uid="{00000000-0005-0000-0000-000040140000}"/>
    <cellStyle name="HIGHLIGHT_COELCE CVA SRE (4)" xfId="4555" xr:uid="{00000000-0005-0000-0000-000041140000}"/>
    <cellStyle name="Hiperlink" xfId="43985" builtinId="8"/>
    <cellStyle name="Hiperlink 3" xfId="824" xr:uid="{00000000-0005-0000-0000-000043140000}"/>
    <cellStyle name="Hipervínculo visitado_ESSAL" xfId="1671" xr:uid="{00000000-0005-0000-0000-000044140000}"/>
    <cellStyle name="Hipervínculo_ESSAL" xfId="1672" xr:uid="{00000000-0005-0000-0000-000045140000}"/>
    <cellStyle name="Hyperlink 2" xfId="4556" xr:uid="{00000000-0005-0000-0000-000046140000}"/>
    <cellStyle name="Hyperlink 2 2" xfId="43551" xr:uid="{00000000-0005-0000-0000-000047140000}"/>
    <cellStyle name="Hyperlink 3" xfId="4557" xr:uid="{00000000-0005-0000-0000-000048140000}"/>
    <cellStyle name="Hyperlink 4" xfId="4558" xr:uid="{00000000-0005-0000-0000-000049140000}"/>
    <cellStyle name="Hyperlink 5" xfId="43552" xr:uid="{00000000-0005-0000-0000-00004A140000}"/>
    <cellStyle name="Hyperlink_casulo 5" xfId="825" xr:uid="{00000000-0005-0000-0000-00004B140000}"/>
    <cellStyle name="Incorrecto" xfId="1025" xr:uid="{00000000-0005-0000-0000-00004C140000}"/>
    <cellStyle name="Incorreto" xfId="826" xr:uid="{00000000-0005-0000-0000-00004D140000}"/>
    <cellStyle name="Incorreto 2" xfId="1026" xr:uid="{00000000-0005-0000-0000-00004E140000}"/>
    <cellStyle name="Incorreto 2 2" xfId="4559" xr:uid="{00000000-0005-0000-0000-00004F140000}"/>
    <cellStyle name="Incorreto 3" xfId="1773" xr:uid="{00000000-0005-0000-0000-000050140000}"/>
    <cellStyle name="Incorreto 4" xfId="4560" xr:uid="{00000000-0005-0000-0000-000051140000}"/>
    <cellStyle name="Incorreto 5" xfId="43553" xr:uid="{00000000-0005-0000-0000-000052140000}"/>
    <cellStyle name="Incorreto 6" xfId="43554" xr:uid="{00000000-0005-0000-0000-000053140000}"/>
    <cellStyle name="Incorreto 7" xfId="43555" xr:uid="{00000000-0005-0000-0000-000054140000}"/>
    <cellStyle name="Incorreto 8" xfId="43556" xr:uid="{00000000-0005-0000-0000-000055140000}"/>
    <cellStyle name="Indefinido" xfId="827" xr:uid="{00000000-0005-0000-0000-000056140000}"/>
    <cellStyle name="Indefinido 2" xfId="4561" xr:uid="{00000000-0005-0000-0000-000057140000}"/>
    <cellStyle name="Info Cell" xfId="4562" xr:uid="{00000000-0005-0000-0000-000058140000}"/>
    <cellStyle name="Information" xfId="4563" xr:uid="{00000000-0005-0000-0000-000059140000}"/>
    <cellStyle name="Input" xfId="828" xr:uid="{00000000-0005-0000-0000-00005A140000}"/>
    <cellStyle name="Input %" xfId="829" xr:uid="{00000000-0005-0000-0000-00005B140000}"/>
    <cellStyle name="Input % 2" xfId="4564" xr:uid="{00000000-0005-0000-0000-00005C140000}"/>
    <cellStyle name="Input % 3" xfId="4565" xr:uid="{00000000-0005-0000-0000-00005D140000}"/>
    <cellStyle name="Input % 4" xfId="4566" xr:uid="{00000000-0005-0000-0000-00005E140000}"/>
    <cellStyle name="Input (%)" xfId="4567" xr:uid="{00000000-0005-0000-0000-00005F140000}"/>
    <cellStyle name="Input (%) 2" xfId="4568" xr:uid="{00000000-0005-0000-0000-000060140000}"/>
    <cellStyle name="Input (%) 3" xfId="4569" xr:uid="{00000000-0005-0000-0000-000061140000}"/>
    <cellStyle name="Input (£m)" xfId="4570" xr:uid="{00000000-0005-0000-0000-000062140000}"/>
    <cellStyle name="Input (£m) 2" xfId="4571" xr:uid="{00000000-0005-0000-0000-000063140000}"/>
    <cellStyle name="Input (£m) 3" xfId="4572" xr:uid="{00000000-0005-0000-0000-000064140000}"/>
    <cellStyle name="Input (No)" xfId="4573" xr:uid="{00000000-0005-0000-0000-000065140000}"/>
    <cellStyle name="Input (No) 2" xfId="4574" xr:uid="{00000000-0005-0000-0000-000066140000}"/>
    <cellStyle name="Input (No) 3" xfId="4575" xr:uid="{00000000-0005-0000-0000-000067140000}"/>
    <cellStyle name="Input [yellow]" xfId="830" xr:uid="{00000000-0005-0000-0000-000068140000}"/>
    <cellStyle name="Input [yellow] 2" xfId="1027" xr:uid="{00000000-0005-0000-0000-000069140000}"/>
    <cellStyle name="Input [yellow] 2 2" xfId="4576" xr:uid="{00000000-0005-0000-0000-00006A140000}"/>
    <cellStyle name="Input [yellow] 2 3" xfId="4577" xr:uid="{00000000-0005-0000-0000-00006B140000}"/>
    <cellStyle name="Input [yellow] 2 4" xfId="4578" xr:uid="{00000000-0005-0000-0000-00006C140000}"/>
    <cellStyle name="Input [yellow] 3" xfId="1028" xr:uid="{00000000-0005-0000-0000-00006D140000}"/>
    <cellStyle name="Input [yellow] 4" xfId="1029" xr:uid="{00000000-0005-0000-0000-00006E140000}"/>
    <cellStyle name="Input [yellow] 5" xfId="1030" xr:uid="{00000000-0005-0000-0000-00006F140000}"/>
    <cellStyle name="Input [yellow] 6" xfId="4579" xr:uid="{00000000-0005-0000-0000-000070140000}"/>
    <cellStyle name="Input [yellow] 7" xfId="4580" xr:uid="{00000000-0005-0000-0000-000071140000}"/>
    <cellStyle name="Input [yellow] 8" xfId="4581" xr:uid="{00000000-0005-0000-0000-000072140000}"/>
    <cellStyle name="Input [yellow] 9" xfId="4582" xr:uid="{00000000-0005-0000-0000-000073140000}"/>
    <cellStyle name="Input [yellow]_COELCE CVA SRE (4)" xfId="4583" xr:uid="{00000000-0005-0000-0000-000074140000}"/>
    <cellStyle name="Input 1" xfId="831" xr:uid="{00000000-0005-0000-0000-000075140000}"/>
    <cellStyle name="Input 1 2" xfId="4584" xr:uid="{00000000-0005-0000-0000-000076140000}"/>
    <cellStyle name="Input 1 3" xfId="4585" xr:uid="{00000000-0005-0000-0000-000077140000}"/>
    <cellStyle name="Input 1 3 2" xfId="4586" xr:uid="{00000000-0005-0000-0000-000078140000}"/>
    <cellStyle name="Input 1_IF - Autoprodutores 2" xfId="4587" xr:uid="{00000000-0005-0000-0000-000079140000}"/>
    <cellStyle name="Input 10" xfId="1031" xr:uid="{00000000-0005-0000-0000-00007A140000}"/>
    <cellStyle name="Input 11" xfId="1032" xr:uid="{00000000-0005-0000-0000-00007B140000}"/>
    <cellStyle name="Input 12" xfId="1033" xr:uid="{00000000-0005-0000-0000-00007C140000}"/>
    <cellStyle name="Input 13" xfId="1034" xr:uid="{00000000-0005-0000-0000-00007D140000}"/>
    <cellStyle name="Input 2" xfId="1035" xr:uid="{00000000-0005-0000-0000-00007E140000}"/>
    <cellStyle name="Input 3" xfId="832" xr:uid="{00000000-0005-0000-0000-00007F140000}"/>
    <cellStyle name="Input 3 2" xfId="4588" xr:uid="{00000000-0005-0000-0000-000080140000}"/>
    <cellStyle name="Input 4" xfId="1036" xr:uid="{00000000-0005-0000-0000-000081140000}"/>
    <cellStyle name="Input 5" xfId="1037" xr:uid="{00000000-0005-0000-0000-000082140000}"/>
    <cellStyle name="Input 6" xfId="1038" xr:uid="{00000000-0005-0000-0000-000083140000}"/>
    <cellStyle name="Input 7" xfId="1039" xr:uid="{00000000-0005-0000-0000-000084140000}"/>
    <cellStyle name="Input 8" xfId="1040" xr:uid="{00000000-0005-0000-0000-000085140000}"/>
    <cellStyle name="Input 9" xfId="1041" xr:uid="{00000000-0005-0000-0000-000086140000}"/>
    <cellStyle name="input override" xfId="4589" xr:uid="{00000000-0005-0000-0000-000087140000}"/>
    <cellStyle name="Input_Análise CO" xfId="42547" xr:uid="{00000000-0005-0000-0000-000088140000}"/>
    <cellStyle name="Kristopher's model" xfId="4590" xr:uid="{00000000-0005-0000-0000-000089140000}"/>
    <cellStyle name="Lien hypertexte" xfId="4591" xr:uid="{00000000-0005-0000-0000-00008A140000}"/>
    <cellStyle name="Link Currency (0)" xfId="833" xr:uid="{00000000-0005-0000-0000-00008B140000}"/>
    <cellStyle name="Link Currency (0) 2" xfId="1042" xr:uid="{00000000-0005-0000-0000-00008C140000}"/>
    <cellStyle name="Link Currency (0) 3" xfId="4592" xr:uid="{00000000-0005-0000-0000-00008D140000}"/>
    <cellStyle name="Link Currency (0)_IRT_Planilha Básica_ v2010_CERRP" xfId="1774" xr:uid="{00000000-0005-0000-0000-00008E140000}"/>
    <cellStyle name="Link Currency (2)" xfId="834" xr:uid="{00000000-0005-0000-0000-00008F140000}"/>
    <cellStyle name="Link Units (0)" xfId="835" xr:uid="{00000000-0005-0000-0000-000090140000}"/>
    <cellStyle name="Link Units (0) 2" xfId="1043" xr:uid="{00000000-0005-0000-0000-000091140000}"/>
    <cellStyle name="Link Units (0) 3" xfId="4593" xr:uid="{00000000-0005-0000-0000-000092140000}"/>
    <cellStyle name="Link Units (0)_IRT_Planilha Básica_ v2010_CERRP" xfId="1775" xr:uid="{00000000-0005-0000-0000-000093140000}"/>
    <cellStyle name="Link Units (1)" xfId="836" xr:uid="{00000000-0005-0000-0000-000094140000}"/>
    <cellStyle name="Link Units (1) 2" xfId="1044" xr:uid="{00000000-0005-0000-0000-000095140000}"/>
    <cellStyle name="Link Units (1) 3" xfId="4594" xr:uid="{00000000-0005-0000-0000-000096140000}"/>
    <cellStyle name="Link Units (1)_IRT_Planilha Básica_ v2010_CERRP" xfId="1776" xr:uid="{00000000-0005-0000-0000-000097140000}"/>
    <cellStyle name="Link Units (2)" xfId="837" xr:uid="{00000000-0005-0000-0000-000098140000}"/>
    <cellStyle name="Linked Cell" xfId="838" xr:uid="{00000000-0005-0000-0000-000099140000}"/>
    <cellStyle name="Linked Cell 2" xfId="4595" xr:uid="{00000000-0005-0000-0000-00009A140000}"/>
    <cellStyle name="MacroCode" xfId="4596" xr:uid="{00000000-0005-0000-0000-00009B140000}"/>
    <cellStyle name="měny_Business Plan MCE" xfId="4597" xr:uid="{00000000-0005-0000-0000-00009C140000}"/>
    <cellStyle name="Migliaia (0)_00_REV" xfId="4598" xr:uid="{00000000-0005-0000-0000-00009D140000}"/>
    <cellStyle name="Migliaia_1320 NX" xfId="4599" xr:uid="{00000000-0005-0000-0000-00009E140000}"/>
    <cellStyle name="Mike" xfId="4600" xr:uid="{00000000-0005-0000-0000-00009F140000}"/>
    <cellStyle name="Millares [0]_10 AVERIAS MASIVAS + ANT" xfId="4601" xr:uid="{00000000-0005-0000-0000-0000A0140000}"/>
    <cellStyle name="Millares 2" xfId="1045" xr:uid="{00000000-0005-0000-0000-0000A1140000}"/>
    <cellStyle name="Millares 2 10" xfId="4602" xr:uid="{00000000-0005-0000-0000-0000A2140000}"/>
    <cellStyle name="Millares 2 11" xfId="4603" xr:uid="{00000000-0005-0000-0000-0000A3140000}"/>
    <cellStyle name="Millares 2 12" xfId="4604" xr:uid="{00000000-0005-0000-0000-0000A4140000}"/>
    <cellStyle name="Millares 2 13" xfId="4605" xr:uid="{00000000-0005-0000-0000-0000A5140000}"/>
    <cellStyle name="Millares 2 14" xfId="4606" xr:uid="{00000000-0005-0000-0000-0000A6140000}"/>
    <cellStyle name="Millares 2 15" xfId="4607" xr:uid="{00000000-0005-0000-0000-0000A7140000}"/>
    <cellStyle name="Millares 2 16" xfId="4608" xr:uid="{00000000-0005-0000-0000-0000A8140000}"/>
    <cellStyle name="Millares 2 17" xfId="4609" xr:uid="{00000000-0005-0000-0000-0000A9140000}"/>
    <cellStyle name="Millares 2 18" xfId="4610" xr:uid="{00000000-0005-0000-0000-0000AA140000}"/>
    <cellStyle name="Millares 2 19" xfId="4611" xr:uid="{00000000-0005-0000-0000-0000AB140000}"/>
    <cellStyle name="Millares 2 2" xfId="4612" xr:uid="{00000000-0005-0000-0000-0000AC140000}"/>
    <cellStyle name="Millares 2 20" xfId="4613" xr:uid="{00000000-0005-0000-0000-0000AD140000}"/>
    <cellStyle name="Millares 2 21" xfId="4614" xr:uid="{00000000-0005-0000-0000-0000AE140000}"/>
    <cellStyle name="Millares 2 22" xfId="4615" xr:uid="{00000000-0005-0000-0000-0000AF140000}"/>
    <cellStyle name="Millares 2 23" xfId="4616" xr:uid="{00000000-0005-0000-0000-0000B0140000}"/>
    <cellStyle name="Millares 2 24" xfId="4617" xr:uid="{00000000-0005-0000-0000-0000B1140000}"/>
    <cellStyle name="Millares 2 25" xfId="4618" xr:uid="{00000000-0005-0000-0000-0000B2140000}"/>
    <cellStyle name="Millares 2 3" xfId="4619" xr:uid="{00000000-0005-0000-0000-0000B3140000}"/>
    <cellStyle name="Millares 2 4" xfId="4620" xr:uid="{00000000-0005-0000-0000-0000B4140000}"/>
    <cellStyle name="Millares 2 5" xfId="4621" xr:uid="{00000000-0005-0000-0000-0000B5140000}"/>
    <cellStyle name="Millares 2 6" xfId="4622" xr:uid="{00000000-0005-0000-0000-0000B6140000}"/>
    <cellStyle name="Millares 2 7" xfId="4623" xr:uid="{00000000-0005-0000-0000-0000B7140000}"/>
    <cellStyle name="Millares 2 8" xfId="4624" xr:uid="{00000000-0005-0000-0000-0000B8140000}"/>
    <cellStyle name="Millares 2 9" xfId="4625" xr:uid="{00000000-0005-0000-0000-0000B9140000}"/>
    <cellStyle name="Millares 3" xfId="1046" xr:uid="{00000000-0005-0000-0000-0000BA140000}"/>
    <cellStyle name="Millares 3 10" xfId="4626" xr:uid="{00000000-0005-0000-0000-0000BB140000}"/>
    <cellStyle name="Millares 3 11" xfId="4627" xr:uid="{00000000-0005-0000-0000-0000BC140000}"/>
    <cellStyle name="Millares 3 12" xfId="4628" xr:uid="{00000000-0005-0000-0000-0000BD140000}"/>
    <cellStyle name="Millares 3 13" xfId="4629" xr:uid="{00000000-0005-0000-0000-0000BE140000}"/>
    <cellStyle name="Millares 3 14" xfId="4630" xr:uid="{00000000-0005-0000-0000-0000BF140000}"/>
    <cellStyle name="Millares 3 15" xfId="4631" xr:uid="{00000000-0005-0000-0000-0000C0140000}"/>
    <cellStyle name="Millares 3 16" xfId="4632" xr:uid="{00000000-0005-0000-0000-0000C1140000}"/>
    <cellStyle name="Millares 3 17" xfId="4633" xr:uid="{00000000-0005-0000-0000-0000C2140000}"/>
    <cellStyle name="Millares 3 18" xfId="4634" xr:uid="{00000000-0005-0000-0000-0000C3140000}"/>
    <cellStyle name="Millares 3 19" xfId="4635" xr:uid="{00000000-0005-0000-0000-0000C4140000}"/>
    <cellStyle name="Millares 3 2" xfId="4636" xr:uid="{00000000-0005-0000-0000-0000C5140000}"/>
    <cellStyle name="Millares 3 20" xfId="4637" xr:uid="{00000000-0005-0000-0000-0000C6140000}"/>
    <cellStyle name="Millares 3 21" xfId="4638" xr:uid="{00000000-0005-0000-0000-0000C7140000}"/>
    <cellStyle name="Millares 3 22" xfId="4639" xr:uid="{00000000-0005-0000-0000-0000C8140000}"/>
    <cellStyle name="Millares 3 23" xfId="4640" xr:uid="{00000000-0005-0000-0000-0000C9140000}"/>
    <cellStyle name="Millares 3 24" xfId="4641" xr:uid="{00000000-0005-0000-0000-0000CA140000}"/>
    <cellStyle name="Millares 3 25" xfId="4642" xr:uid="{00000000-0005-0000-0000-0000CB140000}"/>
    <cellStyle name="Millares 3 3" xfId="4643" xr:uid="{00000000-0005-0000-0000-0000CC140000}"/>
    <cellStyle name="Millares 3 4" xfId="4644" xr:uid="{00000000-0005-0000-0000-0000CD140000}"/>
    <cellStyle name="Millares 3 5" xfId="4645" xr:uid="{00000000-0005-0000-0000-0000CE140000}"/>
    <cellStyle name="Millares 3 6" xfId="4646" xr:uid="{00000000-0005-0000-0000-0000CF140000}"/>
    <cellStyle name="Millares 3 7" xfId="4647" xr:uid="{00000000-0005-0000-0000-0000D0140000}"/>
    <cellStyle name="Millares 3 8" xfId="4648" xr:uid="{00000000-0005-0000-0000-0000D1140000}"/>
    <cellStyle name="Millares 3 9" xfId="4649" xr:uid="{00000000-0005-0000-0000-0000D2140000}"/>
    <cellStyle name="Millares 4" xfId="1047" xr:uid="{00000000-0005-0000-0000-0000D3140000}"/>
    <cellStyle name="Millares 4 10" xfId="4650" xr:uid="{00000000-0005-0000-0000-0000D4140000}"/>
    <cellStyle name="Millares 4 11" xfId="4651" xr:uid="{00000000-0005-0000-0000-0000D5140000}"/>
    <cellStyle name="Millares 4 12" xfId="4652" xr:uid="{00000000-0005-0000-0000-0000D6140000}"/>
    <cellStyle name="Millares 4 13" xfId="4653" xr:uid="{00000000-0005-0000-0000-0000D7140000}"/>
    <cellStyle name="Millares 4 14" xfId="4654" xr:uid="{00000000-0005-0000-0000-0000D8140000}"/>
    <cellStyle name="Millares 4 15" xfId="4655" xr:uid="{00000000-0005-0000-0000-0000D9140000}"/>
    <cellStyle name="Millares 4 16" xfId="4656" xr:uid="{00000000-0005-0000-0000-0000DA140000}"/>
    <cellStyle name="Millares 4 17" xfId="4657" xr:uid="{00000000-0005-0000-0000-0000DB140000}"/>
    <cellStyle name="Millares 4 18" xfId="4658" xr:uid="{00000000-0005-0000-0000-0000DC140000}"/>
    <cellStyle name="Millares 4 19" xfId="4659" xr:uid="{00000000-0005-0000-0000-0000DD140000}"/>
    <cellStyle name="Millares 4 2" xfId="4660" xr:uid="{00000000-0005-0000-0000-0000DE140000}"/>
    <cellStyle name="Millares 4 20" xfId="4661" xr:uid="{00000000-0005-0000-0000-0000DF140000}"/>
    <cellStyle name="Millares 4 21" xfId="4662" xr:uid="{00000000-0005-0000-0000-0000E0140000}"/>
    <cellStyle name="Millares 4 22" xfId="4663" xr:uid="{00000000-0005-0000-0000-0000E1140000}"/>
    <cellStyle name="Millares 4 23" xfId="4664" xr:uid="{00000000-0005-0000-0000-0000E2140000}"/>
    <cellStyle name="Millares 4 24" xfId="4665" xr:uid="{00000000-0005-0000-0000-0000E3140000}"/>
    <cellStyle name="Millares 4 25" xfId="4666" xr:uid="{00000000-0005-0000-0000-0000E4140000}"/>
    <cellStyle name="Millares 4 3" xfId="4667" xr:uid="{00000000-0005-0000-0000-0000E5140000}"/>
    <cellStyle name="Millares 4 4" xfId="4668" xr:uid="{00000000-0005-0000-0000-0000E6140000}"/>
    <cellStyle name="Millares 4 5" xfId="4669" xr:uid="{00000000-0005-0000-0000-0000E7140000}"/>
    <cellStyle name="Millares 4 6" xfId="4670" xr:uid="{00000000-0005-0000-0000-0000E8140000}"/>
    <cellStyle name="Millares 4 7" xfId="4671" xr:uid="{00000000-0005-0000-0000-0000E9140000}"/>
    <cellStyle name="Millares 4 8" xfId="4672" xr:uid="{00000000-0005-0000-0000-0000EA140000}"/>
    <cellStyle name="Millares 4 9" xfId="4673" xr:uid="{00000000-0005-0000-0000-0000EB140000}"/>
    <cellStyle name="Millares 5" xfId="1048" xr:uid="{00000000-0005-0000-0000-0000EC140000}"/>
    <cellStyle name="Millares 5 10" xfId="4674" xr:uid="{00000000-0005-0000-0000-0000ED140000}"/>
    <cellStyle name="Millares 5 11" xfId="4675" xr:uid="{00000000-0005-0000-0000-0000EE140000}"/>
    <cellStyle name="Millares 5 12" xfId="4676" xr:uid="{00000000-0005-0000-0000-0000EF140000}"/>
    <cellStyle name="Millares 5 13" xfId="4677" xr:uid="{00000000-0005-0000-0000-0000F0140000}"/>
    <cellStyle name="Millares 5 14" xfId="4678" xr:uid="{00000000-0005-0000-0000-0000F1140000}"/>
    <cellStyle name="Millares 5 15" xfId="4679" xr:uid="{00000000-0005-0000-0000-0000F2140000}"/>
    <cellStyle name="Millares 5 16" xfId="4680" xr:uid="{00000000-0005-0000-0000-0000F3140000}"/>
    <cellStyle name="Millares 5 17" xfId="4681" xr:uid="{00000000-0005-0000-0000-0000F4140000}"/>
    <cellStyle name="Millares 5 18" xfId="4682" xr:uid="{00000000-0005-0000-0000-0000F5140000}"/>
    <cellStyle name="Millares 5 19" xfId="4683" xr:uid="{00000000-0005-0000-0000-0000F6140000}"/>
    <cellStyle name="Millares 5 2" xfId="4684" xr:uid="{00000000-0005-0000-0000-0000F7140000}"/>
    <cellStyle name="Millares 5 20" xfId="4685" xr:uid="{00000000-0005-0000-0000-0000F8140000}"/>
    <cellStyle name="Millares 5 21" xfId="4686" xr:uid="{00000000-0005-0000-0000-0000F9140000}"/>
    <cellStyle name="Millares 5 22" xfId="4687" xr:uid="{00000000-0005-0000-0000-0000FA140000}"/>
    <cellStyle name="Millares 5 23" xfId="4688" xr:uid="{00000000-0005-0000-0000-0000FB140000}"/>
    <cellStyle name="Millares 5 24" xfId="4689" xr:uid="{00000000-0005-0000-0000-0000FC140000}"/>
    <cellStyle name="Millares 5 25" xfId="4690" xr:uid="{00000000-0005-0000-0000-0000FD140000}"/>
    <cellStyle name="Millares 5 3" xfId="4691" xr:uid="{00000000-0005-0000-0000-0000FE140000}"/>
    <cellStyle name="Millares 5 4" xfId="4692" xr:uid="{00000000-0005-0000-0000-0000FF140000}"/>
    <cellStyle name="Millares 5 5" xfId="4693" xr:uid="{00000000-0005-0000-0000-000000150000}"/>
    <cellStyle name="Millares 5 6" xfId="4694" xr:uid="{00000000-0005-0000-0000-000001150000}"/>
    <cellStyle name="Millares 5 7" xfId="4695" xr:uid="{00000000-0005-0000-0000-000002150000}"/>
    <cellStyle name="Millares 5 8" xfId="4696" xr:uid="{00000000-0005-0000-0000-000003150000}"/>
    <cellStyle name="Millares 5 9" xfId="4697" xr:uid="{00000000-0005-0000-0000-000004150000}"/>
    <cellStyle name="Millares_10 AVERIAS MASIVAS + ANT" xfId="4698" xr:uid="{00000000-0005-0000-0000-000005150000}"/>
    <cellStyle name="Milliers [0]_~S9STD" xfId="4699" xr:uid="{00000000-0005-0000-0000-000006150000}"/>
    <cellStyle name="Milliers_~S9STD" xfId="4700" xr:uid="{00000000-0005-0000-0000-000007150000}"/>
    <cellStyle name="Misto" xfId="1673" xr:uid="{00000000-0005-0000-0000-000008150000}"/>
    <cellStyle name="Moeda 10" xfId="839" xr:uid="{00000000-0005-0000-0000-000009150000}"/>
    <cellStyle name="Moeda 2 2" xfId="1049" xr:uid="{00000000-0005-0000-0000-00000B150000}"/>
    <cellStyle name="Moeda 2 2 2" xfId="4701" xr:uid="{00000000-0005-0000-0000-00000C150000}"/>
    <cellStyle name="Moeda 2 2 3" xfId="4702" xr:uid="{00000000-0005-0000-0000-00000D150000}"/>
    <cellStyle name="Moeda 2 2 4" xfId="4703" xr:uid="{00000000-0005-0000-0000-00000E150000}"/>
    <cellStyle name="Moeda 2 2 5" xfId="4704" xr:uid="{00000000-0005-0000-0000-00000F150000}"/>
    <cellStyle name="Moeda 2 3" xfId="1777" xr:uid="{00000000-0005-0000-0000-000010150000}"/>
    <cellStyle name="Moeda 2 3 2" xfId="4705" xr:uid="{00000000-0005-0000-0000-000011150000}"/>
    <cellStyle name="Moeda 2 3 3" xfId="4706" xr:uid="{00000000-0005-0000-0000-000012150000}"/>
    <cellStyle name="Moeda 2 3 4" xfId="4707" xr:uid="{00000000-0005-0000-0000-000013150000}"/>
    <cellStyle name="Moeda 2 4" xfId="4708" xr:uid="{00000000-0005-0000-0000-000014150000}"/>
    <cellStyle name="Moeda 2 4 2" xfId="4709" xr:uid="{00000000-0005-0000-0000-000015150000}"/>
    <cellStyle name="Moeda 2 4 3" xfId="4710" xr:uid="{00000000-0005-0000-0000-000016150000}"/>
    <cellStyle name="Moeda 2 4 4" xfId="4711" xr:uid="{00000000-0005-0000-0000-000017150000}"/>
    <cellStyle name="Moeda 2 5" xfId="4712" xr:uid="{00000000-0005-0000-0000-000018150000}"/>
    <cellStyle name="Moeda 2 5 2" xfId="4713" xr:uid="{00000000-0005-0000-0000-000019150000}"/>
    <cellStyle name="Moeda 2 5 3" xfId="4714" xr:uid="{00000000-0005-0000-0000-00001A150000}"/>
    <cellStyle name="Moeda 2 5 4" xfId="4715" xr:uid="{00000000-0005-0000-0000-00001B150000}"/>
    <cellStyle name="Moeda 2 6" xfId="4716" xr:uid="{00000000-0005-0000-0000-00001C150000}"/>
    <cellStyle name="Moeda 2 6 2" xfId="4717" xr:uid="{00000000-0005-0000-0000-00001D150000}"/>
    <cellStyle name="Moeda 2 6 3" xfId="4718" xr:uid="{00000000-0005-0000-0000-00001E150000}"/>
    <cellStyle name="Moeda 2 6 4" xfId="4719" xr:uid="{00000000-0005-0000-0000-00001F150000}"/>
    <cellStyle name="Moeda 2 7" xfId="4720" xr:uid="{00000000-0005-0000-0000-000020150000}"/>
    <cellStyle name="Moeda 2 8" xfId="4721" xr:uid="{00000000-0005-0000-0000-000021150000}"/>
    <cellStyle name="Moeda 2 9" xfId="918" xr:uid="{00000000-0005-0000-0000-000022150000}"/>
    <cellStyle name="Moeda 3" xfId="1050" xr:uid="{00000000-0005-0000-0000-000023150000}"/>
    <cellStyle name="Moeda 3 2" xfId="4722" xr:uid="{00000000-0005-0000-0000-000024150000}"/>
    <cellStyle name="Moeda 30" xfId="43557" xr:uid="{00000000-0005-0000-0000-000025150000}"/>
    <cellStyle name="Moeda 4" xfId="1674" xr:uid="{00000000-0005-0000-0000-000026150000}"/>
    <cellStyle name="Moeda 4 2" xfId="4723" xr:uid="{00000000-0005-0000-0000-000027150000}"/>
    <cellStyle name="Moeda 4 3" xfId="4724" xr:uid="{00000000-0005-0000-0000-000028150000}"/>
    <cellStyle name="Moeda 5" xfId="1490" xr:uid="{00000000-0005-0000-0000-000029150000}"/>
    <cellStyle name="Moeda 5 2" xfId="4725" xr:uid="{00000000-0005-0000-0000-00002A150000}"/>
    <cellStyle name="Moeda 6" xfId="1778" xr:uid="{00000000-0005-0000-0000-00002B150000}"/>
    <cellStyle name="Moeda 6 2" xfId="43558" xr:uid="{00000000-0005-0000-0000-00002C150000}"/>
    <cellStyle name="Moeda 7" xfId="4726" xr:uid="{00000000-0005-0000-0000-00002D150000}"/>
    <cellStyle name="Moeda 8" xfId="43559" xr:uid="{00000000-0005-0000-0000-00002E150000}"/>
    <cellStyle name="Moeda 8 2" xfId="43560" xr:uid="{00000000-0005-0000-0000-00002F150000}"/>
    <cellStyle name="Moeda 9" xfId="43948" xr:uid="{00000000-0005-0000-0000-000030150000}"/>
    <cellStyle name="Moeda0" xfId="840" xr:uid="{00000000-0005-0000-0000-000031150000}"/>
    <cellStyle name="Moeda0 2" xfId="4727" xr:uid="{00000000-0005-0000-0000-000032150000}"/>
    <cellStyle name="Moeda0 3" xfId="4728" xr:uid="{00000000-0005-0000-0000-000033150000}"/>
    <cellStyle name="Moneda [0]_0499EJEG" xfId="4729" xr:uid="{00000000-0005-0000-0000-000034150000}"/>
    <cellStyle name="Moneda_0499EJEG" xfId="4730" xr:uid="{00000000-0005-0000-0000-000035150000}"/>
    <cellStyle name="Monétaire [0]_~S9STD" xfId="4731" xr:uid="{00000000-0005-0000-0000-000036150000}"/>
    <cellStyle name="Monétaire_~S9STD" xfId="4732" xr:uid="{00000000-0005-0000-0000-000037150000}"/>
    <cellStyle name="Monétaire0" xfId="4733" xr:uid="{00000000-0005-0000-0000-000038150000}"/>
    <cellStyle name="Monetario" xfId="4734" xr:uid="{00000000-0005-0000-0000-000039150000}"/>
    <cellStyle name="Month" xfId="841" xr:uid="{00000000-0005-0000-0000-00003A150000}"/>
    <cellStyle name="Month 2" xfId="4735" xr:uid="{00000000-0005-0000-0000-00003B150000}"/>
    <cellStyle name="Month 3" xfId="4736" xr:uid="{00000000-0005-0000-0000-00003C150000}"/>
    <cellStyle name="Month 3 2" xfId="4737" xr:uid="{00000000-0005-0000-0000-00003D150000}"/>
    <cellStyle name="movimentação" xfId="842" xr:uid="{00000000-0005-0000-0000-00003E150000}"/>
    <cellStyle name="movimentação 2" xfId="1051" xr:uid="{00000000-0005-0000-0000-00003F150000}"/>
    <cellStyle name="Multiple" xfId="4738" xr:uid="{00000000-0005-0000-0000-000040150000}"/>
    <cellStyle name="Multiple Black [0]" xfId="4739" xr:uid="{00000000-0005-0000-0000-000041150000}"/>
    <cellStyle name="Multiple Black [1]" xfId="4740" xr:uid="{00000000-0005-0000-0000-000042150000}"/>
    <cellStyle name="Multiple Black [2]" xfId="4741" xr:uid="{00000000-0005-0000-0000-000043150000}"/>
    <cellStyle name="Multiple Blue [0]" xfId="4742" xr:uid="{00000000-0005-0000-0000-000044150000}"/>
    <cellStyle name="Multiple Blue [1]" xfId="4743" xr:uid="{00000000-0005-0000-0000-000045150000}"/>
    <cellStyle name="Multiple Blue [2]" xfId="4744" xr:uid="{00000000-0005-0000-0000-000046150000}"/>
    <cellStyle name="Neutra" xfId="843" xr:uid="{00000000-0005-0000-0000-000047150000}"/>
    <cellStyle name="Neutra 10" xfId="4745" xr:uid="{00000000-0005-0000-0000-000048150000}"/>
    <cellStyle name="Neutra 11" xfId="43561" xr:uid="{00000000-0005-0000-0000-000049150000}"/>
    <cellStyle name="Neutra 2" xfId="1052" xr:uid="{00000000-0005-0000-0000-00004A150000}"/>
    <cellStyle name="Neutra 2 2" xfId="4746" xr:uid="{00000000-0005-0000-0000-00004B150000}"/>
    <cellStyle name="Neutra 3" xfId="1779" xr:uid="{00000000-0005-0000-0000-00004C150000}"/>
    <cellStyle name="Neutra 3 2" xfId="4747" xr:uid="{00000000-0005-0000-0000-00004D150000}"/>
    <cellStyle name="Neutra 4" xfId="4748" xr:uid="{00000000-0005-0000-0000-00004E150000}"/>
    <cellStyle name="Neutra 4 2" xfId="4749" xr:uid="{00000000-0005-0000-0000-00004F150000}"/>
    <cellStyle name="Neutra 5" xfId="4750" xr:uid="{00000000-0005-0000-0000-000050150000}"/>
    <cellStyle name="Neutra 6" xfId="4751" xr:uid="{00000000-0005-0000-0000-000051150000}"/>
    <cellStyle name="Neutra 7" xfId="4752" xr:uid="{00000000-0005-0000-0000-000052150000}"/>
    <cellStyle name="Neutra 8" xfId="4753" xr:uid="{00000000-0005-0000-0000-000053150000}"/>
    <cellStyle name="Neutra 9" xfId="4754" xr:uid="{00000000-0005-0000-0000-000054150000}"/>
    <cellStyle name="Neutral" xfId="844" xr:uid="{00000000-0005-0000-0000-000055150000}"/>
    <cellStyle name="Neutral 2" xfId="4755" xr:uid="{00000000-0005-0000-0000-000056150000}"/>
    <cellStyle name="NívelLinha_2_1998" xfId="4756" xr:uid="{00000000-0005-0000-0000-000057150000}"/>
    <cellStyle name="no dec" xfId="845" xr:uid="{00000000-0005-0000-0000-000058150000}"/>
    <cellStyle name="no dec 2" xfId="4757" xr:uid="{00000000-0005-0000-0000-000059150000}"/>
    <cellStyle name="no dec 3" xfId="4758" xr:uid="{00000000-0005-0000-0000-00005A150000}"/>
    <cellStyle name="No-definido" xfId="1675" xr:uid="{00000000-0005-0000-0000-00005B150000}"/>
    <cellStyle name="Non_definito" xfId="4759" xr:uid="{00000000-0005-0000-0000-00005C150000}"/>
    <cellStyle name="Normal" xfId="0" builtinId="0"/>
    <cellStyle name="Normal - Estilo1" xfId="4760" xr:uid="{00000000-0005-0000-0000-00005E150000}"/>
    <cellStyle name="Normal - Estilo2" xfId="4761" xr:uid="{00000000-0005-0000-0000-00005F150000}"/>
    <cellStyle name="Normal - Estilo3" xfId="4762" xr:uid="{00000000-0005-0000-0000-000060150000}"/>
    <cellStyle name="Normal - Estilo4" xfId="4763" xr:uid="{00000000-0005-0000-0000-000061150000}"/>
    <cellStyle name="Normal - Estilo5" xfId="4764" xr:uid="{00000000-0005-0000-0000-000062150000}"/>
    <cellStyle name="Normal - Estilo6" xfId="4765" xr:uid="{00000000-0005-0000-0000-000063150000}"/>
    <cellStyle name="Normal - Estilo7" xfId="4766" xr:uid="{00000000-0005-0000-0000-000064150000}"/>
    <cellStyle name="Normal - Estilo8" xfId="4767" xr:uid="{00000000-0005-0000-0000-000065150000}"/>
    <cellStyle name="Normal - Style1" xfId="846" xr:uid="{00000000-0005-0000-0000-000066150000}"/>
    <cellStyle name="Normal - Style1 10" xfId="4768" xr:uid="{00000000-0005-0000-0000-000067150000}"/>
    <cellStyle name="Normal - Style1 2" xfId="1053" xr:uid="{00000000-0005-0000-0000-000068150000}"/>
    <cellStyle name="Normal - Style1 2 3" xfId="2" xr:uid="{00000000-0005-0000-0000-000069150000}"/>
    <cellStyle name="Normal - Style1 3" xfId="1054" xr:uid="{00000000-0005-0000-0000-00006A150000}"/>
    <cellStyle name="Normal - Style1 4" xfId="1055" xr:uid="{00000000-0005-0000-0000-00006B150000}"/>
    <cellStyle name="Normal - Style1 5" xfId="1056" xr:uid="{00000000-0005-0000-0000-00006C150000}"/>
    <cellStyle name="Normal - Style1 6" xfId="4769" xr:uid="{00000000-0005-0000-0000-00006D150000}"/>
    <cellStyle name="Normal - Style1 7" xfId="4770" xr:uid="{00000000-0005-0000-0000-00006E150000}"/>
    <cellStyle name="Normal - Style1 8" xfId="4771" xr:uid="{00000000-0005-0000-0000-00006F150000}"/>
    <cellStyle name="Normal - Style1 9" xfId="4772" xr:uid="{00000000-0005-0000-0000-000070150000}"/>
    <cellStyle name="Normal (%)" xfId="847" xr:uid="{00000000-0005-0000-0000-000071150000}"/>
    <cellStyle name="Normal (%) 2" xfId="1057" xr:uid="{00000000-0005-0000-0000-000072150000}"/>
    <cellStyle name="Normal (%) 3" xfId="1780" xr:uid="{00000000-0005-0000-0000-000073150000}"/>
    <cellStyle name="Normal (%) 4" xfId="1781" xr:uid="{00000000-0005-0000-0000-000074150000}"/>
    <cellStyle name="Normal (£m)" xfId="4773" xr:uid="{00000000-0005-0000-0000-000075150000}"/>
    <cellStyle name="Normal (£m) 2" xfId="4774" xr:uid="{00000000-0005-0000-0000-000076150000}"/>
    <cellStyle name="Normal (£m) 3" xfId="4775" xr:uid="{00000000-0005-0000-0000-000077150000}"/>
    <cellStyle name="Normal (No)" xfId="848" xr:uid="{00000000-0005-0000-0000-000078150000}"/>
    <cellStyle name="Normal (No) 2" xfId="1058" xr:uid="{00000000-0005-0000-0000-000079150000}"/>
    <cellStyle name="Normal (No) 3" xfId="1782" xr:uid="{00000000-0005-0000-0000-00007A150000}"/>
    <cellStyle name="Normal (No) 4" xfId="1783" xr:uid="{00000000-0005-0000-0000-00007B150000}"/>
    <cellStyle name="Normal (x)" xfId="4776" xr:uid="{00000000-0005-0000-0000-00007C150000}"/>
    <cellStyle name="Normal (x) 2" xfId="4777" xr:uid="{00000000-0005-0000-0000-00007D150000}"/>
    <cellStyle name="Normal (x) 3" xfId="4778" xr:uid="{00000000-0005-0000-0000-00007E150000}"/>
    <cellStyle name="Normal 10" xfId="18" xr:uid="{00000000-0005-0000-0000-00007F150000}"/>
    <cellStyle name="Normal 10 10" xfId="4779" xr:uid="{00000000-0005-0000-0000-000080150000}"/>
    <cellStyle name="Normal 10 10 10" xfId="4780" xr:uid="{00000000-0005-0000-0000-000081150000}"/>
    <cellStyle name="Normal 10 10 11" xfId="4781" xr:uid="{00000000-0005-0000-0000-000082150000}"/>
    <cellStyle name="Normal 10 10 12" xfId="4782" xr:uid="{00000000-0005-0000-0000-000083150000}"/>
    <cellStyle name="Normal 10 10 13" xfId="4783" xr:uid="{00000000-0005-0000-0000-000084150000}"/>
    <cellStyle name="Normal 10 10 2" xfId="4784" xr:uid="{00000000-0005-0000-0000-000085150000}"/>
    <cellStyle name="Normal 10 10 2 2" xfId="4785" xr:uid="{00000000-0005-0000-0000-000086150000}"/>
    <cellStyle name="Normal 10 10 2 3" xfId="4786" xr:uid="{00000000-0005-0000-0000-000087150000}"/>
    <cellStyle name="Normal 10 10 2 4" xfId="4787" xr:uid="{00000000-0005-0000-0000-000088150000}"/>
    <cellStyle name="Normal 10 10 2 5" xfId="4788" xr:uid="{00000000-0005-0000-0000-000089150000}"/>
    <cellStyle name="Normal 10 10 2 6" xfId="4789" xr:uid="{00000000-0005-0000-0000-00008A150000}"/>
    <cellStyle name="Normal 10 10 3" xfId="4790" xr:uid="{00000000-0005-0000-0000-00008B150000}"/>
    <cellStyle name="Normal 10 10 3 2" xfId="4791" xr:uid="{00000000-0005-0000-0000-00008C150000}"/>
    <cellStyle name="Normal 10 10 3 3" xfId="4792" xr:uid="{00000000-0005-0000-0000-00008D150000}"/>
    <cellStyle name="Normal 10 10 3 4" xfId="4793" xr:uid="{00000000-0005-0000-0000-00008E150000}"/>
    <cellStyle name="Normal 10 10 3 5" xfId="4794" xr:uid="{00000000-0005-0000-0000-00008F150000}"/>
    <cellStyle name="Normal 10 10 3 6" xfId="4795" xr:uid="{00000000-0005-0000-0000-000090150000}"/>
    <cellStyle name="Normal 10 10 4" xfId="4796" xr:uid="{00000000-0005-0000-0000-000091150000}"/>
    <cellStyle name="Normal 10 10 4 2" xfId="4797" xr:uid="{00000000-0005-0000-0000-000092150000}"/>
    <cellStyle name="Normal 10 10 4 3" xfId="4798" xr:uid="{00000000-0005-0000-0000-000093150000}"/>
    <cellStyle name="Normal 10 10 4 4" xfId="4799" xr:uid="{00000000-0005-0000-0000-000094150000}"/>
    <cellStyle name="Normal 10 10 4 5" xfId="4800" xr:uid="{00000000-0005-0000-0000-000095150000}"/>
    <cellStyle name="Normal 10 10 4 6" xfId="4801" xr:uid="{00000000-0005-0000-0000-000096150000}"/>
    <cellStyle name="Normal 10 10 5" xfId="4802" xr:uid="{00000000-0005-0000-0000-000097150000}"/>
    <cellStyle name="Normal 10 10 5 2" xfId="4803" xr:uid="{00000000-0005-0000-0000-000098150000}"/>
    <cellStyle name="Normal 10 10 5 3" xfId="4804" xr:uid="{00000000-0005-0000-0000-000099150000}"/>
    <cellStyle name="Normal 10 10 5 4" xfId="4805" xr:uid="{00000000-0005-0000-0000-00009A150000}"/>
    <cellStyle name="Normal 10 10 5 5" xfId="4806" xr:uid="{00000000-0005-0000-0000-00009B150000}"/>
    <cellStyle name="Normal 10 10 5 6" xfId="4807" xr:uid="{00000000-0005-0000-0000-00009C150000}"/>
    <cellStyle name="Normal 10 10 6" xfId="4808" xr:uid="{00000000-0005-0000-0000-00009D150000}"/>
    <cellStyle name="Normal 10 10 6 2" xfId="4809" xr:uid="{00000000-0005-0000-0000-00009E150000}"/>
    <cellStyle name="Normal 10 10 6 3" xfId="4810" xr:uid="{00000000-0005-0000-0000-00009F150000}"/>
    <cellStyle name="Normal 10 10 6 4" xfId="4811" xr:uid="{00000000-0005-0000-0000-0000A0150000}"/>
    <cellStyle name="Normal 10 10 6 5" xfId="4812" xr:uid="{00000000-0005-0000-0000-0000A1150000}"/>
    <cellStyle name="Normal 10 10 6 6" xfId="4813" xr:uid="{00000000-0005-0000-0000-0000A2150000}"/>
    <cellStyle name="Normal 10 10 7" xfId="4814" xr:uid="{00000000-0005-0000-0000-0000A3150000}"/>
    <cellStyle name="Normal 10 10 7 2" xfId="4815" xr:uid="{00000000-0005-0000-0000-0000A4150000}"/>
    <cellStyle name="Normal 10 10 7 3" xfId="4816" xr:uid="{00000000-0005-0000-0000-0000A5150000}"/>
    <cellStyle name="Normal 10 10 7 4" xfId="4817" xr:uid="{00000000-0005-0000-0000-0000A6150000}"/>
    <cellStyle name="Normal 10 10 7 5" xfId="4818" xr:uid="{00000000-0005-0000-0000-0000A7150000}"/>
    <cellStyle name="Normal 10 10 7 6" xfId="4819" xr:uid="{00000000-0005-0000-0000-0000A8150000}"/>
    <cellStyle name="Normal 10 10 8" xfId="4820" xr:uid="{00000000-0005-0000-0000-0000A9150000}"/>
    <cellStyle name="Normal 10 10 8 2" xfId="4821" xr:uid="{00000000-0005-0000-0000-0000AA150000}"/>
    <cellStyle name="Normal 10 10 8 3" xfId="4822" xr:uid="{00000000-0005-0000-0000-0000AB150000}"/>
    <cellStyle name="Normal 10 10 8 4" xfId="4823" xr:uid="{00000000-0005-0000-0000-0000AC150000}"/>
    <cellStyle name="Normal 10 10 8 5" xfId="4824" xr:uid="{00000000-0005-0000-0000-0000AD150000}"/>
    <cellStyle name="Normal 10 10 8 6" xfId="4825" xr:uid="{00000000-0005-0000-0000-0000AE150000}"/>
    <cellStyle name="Normal 10 10 9" xfId="4826" xr:uid="{00000000-0005-0000-0000-0000AF150000}"/>
    <cellStyle name="Normal 10 11" xfId="4827" xr:uid="{00000000-0005-0000-0000-0000B0150000}"/>
    <cellStyle name="Normal 10 11 10" xfId="4828" xr:uid="{00000000-0005-0000-0000-0000B1150000}"/>
    <cellStyle name="Normal 10 11 11" xfId="4829" xr:uid="{00000000-0005-0000-0000-0000B2150000}"/>
    <cellStyle name="Normal 10 11 12" xfId="4830" xr:uid="{00000000-0005-0000-0000-0000B3150000}"/>
    <cellStyle name="Normal 10 11 13" xfId="4831" xr:uid="{00000000-0005-0000-0000-0000B4150000}"/>
    <cellStyle name="Normal 10 11 2" xfId="4832" xr:uid="{00000000-0005-0000-0000-0000B5150000}"/>
    <cellStyle name="Normal 10 11 2 2" xfId="4833" xr:uid="{00000000-0005-0000-0000-0000B6150000}"/>
    <cellStyle name="Normal 10 11 2 3" xfId="4834" xr:uid="{00000000-0005-0000-0000-0000B7150000}"/>
    <cellStyle name="Normal 10 11 2 4" xfId="4835" xr:uid="{00000000-0005-0000-0000-0000B8150000}"/>
    <cellStyle name="Normal 10 11 2 5" xfId="4836" xr:uid="{00000000-0005-0000-0000-0000B9150000}"/>
    <cellStyle name="Normal 10 11 2 6" xfId="4837" xr:uid="{00000000-0005-0000-0000-0000BA150000}"/>
    <cellStyle name="Normal 10 11 3" xfId="4838" xr:uid="{00000000-0005-0000-0000-0000BB150000}"/>
    <cellStyle name="Normal 10 11 3 2" xfId="4839" xr:uid="{00000000-0005-0000-0000-0000BC150000}"/>
    <cellStyle name="Normal 10 11 3 3" xfId="4840" xr:uid="{00000000-0005-0000-0000-0000BD150000}"/>
    <cellStyle name="Normal 10 11 3 4" xfId="4841" xr:uid="{00000000-0005-0000-0000-0000BE150000}"/>
    <cellStyle name="Normal 10 11 3 5" xfId="4842" xr:uid="{00000000-0005-0000-0000-0000BF150000}"/>
    <cellStyle name="Normal 10 11 3 6" xfId="4843" xr:uid="{00000000-0005-0000-0000-0000C0150000}"/>
    <cellStyle name="Normal 10 11 4" xfId="4844" xr:uid="{00000000-0005-0000-0000-0000C1150000}"/>
    <cellStyle name="Normal 10 11 4 2" xfId="4845" xr:uid="{00000000-0005-0000-0000-0000C2150000}"/>
    <cellStyle name="Normal 10 11 4 3" xfId="4846" xr:uid="{00000000-0005-0000-0000-0000C3150000}"/>
    <cellStyle name="Normal 10 11 4 4" xfId="4847" xr:uid="{00000000-0005-0000-0000-0000C4150000}"/>
    <cellStyle name="Normal 10 11 4 5" xfId="4848" xr:uid="{00000000-0005-0000-0000-0000C5150000}"/>
    <cellStyle name="Normal 10 11 4 6" xfId="4849" xr:uid="{00000000-0005-0000-0000-0000C6150000}"/>
    <cellStyle name="Normal 10 11 5" xfId="4850" xr:uid="{00000000-0005-0000-0000-0000C7150000}"/>
    <cellStyle name="Normal 10 11 5 2" xfId="4851" xr:uid="{00000000-0005-0000-0000-0000C8150000}"/>
    <cellStyle name="Normal 10 11 5 3" xfId="4852" xr:uid="{00000000-0005-0000-0000-0000C9150000}"/>
    <cellStyle name="Normal 10 11 5 4" xfId="4853" xr:uid="{00000000-0005-0000-0000-0000CA150000}"/>
    <cellStyle name="Normal 10 11 5 5" xfId="4854" xr:uid="{00000000-0005-0000-0000-0000CB150000}"/>
    <cellStyle name="Normal 10 11 5 6" xfId="4855" xr:uid="{00000000-0005-0000-0000-0000CC150000}"/>
    <cellStyle name="Normal 10 11 6" xfId="4856" xr:uid="{00000000-0005-0000-0000-0000CD150000}"/>
    <cellStyle name="Normal 10 11 6 2" xfId="4857" xr:uid="{00000000-0005-0000-0000-0000CE150000}"/>
    <cellStyle name="Normal 10 11 6 3" xfId="4858" xr:uid="{00000000-0005-0000-0000-0000CF150000}"/>
    <cellStyle name="Normal 10 11 6 4" xfId="4859" xr:uid="{00000000-0005-0000-0000-0000D0150000}"/>
    <cellStyle name="Normal 10 11 6 5" xfId="4860" xr:uid="{00000000-0005-0000-0000-0000D1150000}"/>
    <cellStyle name="Normal 10 11 6 6" xfId="4861" xr:uid="{00000000-0005-0000-0000-0000D2150000}"/>
    <cellStyle name="Normal 10 11 7" xfId="4862" xr:uid="{00000000-0005-0000-0000-0000D3150000}"/>
    <cellStyle name="Normal 10 11 7 2" xfId="4863" xr:uid="{00000000-0005-0000-0000-0000D4150000}"/>
    <cellStyle name="Normal 10 11 7 3" xfId="4864" xr:uid="{00000000-0005-0000-0000-0000D5150000}"/>
    <cellStyle name="Normal 10 11 7 4" xfId="4865" xr:uid="{00000000-0005-0000-0000-0000D6150000}"/>
    <cellStyle name="Normal 10 11 7 5" xfId="4866" xr:uid="{00000000-0005-0000-0000-0000D7150000}"/>
    <cellStyle name="Normal 10 11 7 6" xfId="4867" xr:uid="{00000000-0005-0000-0000-0000D8150000}"/>
    <cellStyle name="Normal 10 11 8" xfId="4868" xr:uid="{00000000-0005-0000-0000-0000D9150000}"/>
    <cellStyle name="Normal 10 11 8 2" xfId="4869" xr:uid="{00000000-0005-0000-0000-0000DA150000}"/>
    <cellStyle name="Normal 10 11 8 3" xfId="4870" xr:uid="{00000000-0005-0000-0000-0000DB150000}"/>
    <cellStyle name="Normal 10 11 8 4" xfId="4871" xr:uid="{00000000-0005-0000-0000-0000DC150000}"/>
    <cellStyle name="Normal 10 11 8 5" xfId="4872" xr:uid="{00000000-0005-0000-0000-0000DD150000}"/>
    <cellStyle name="Normal 10 11 8 6" xfId="4873" xr:uid="{00000000-0005-0000-0000-0000DE150000}"/>
    <cellStyle name="Normal 10 11 9" xfId="4874" xr:uid="{00000000-0005-0000-0000-0000DF150000}"/>
    <cellStyle name="Normal 10 12" xfId="4875" xr:uid="{00000000-0005-0000-0000-0000E0150000}"/>
    <cellStyle name="Normal 10 12 10" xfId="4876" xr:uid="{00000000-0005-0000-0000-0000E1150000}"/>
    <cellStyle name="Normal 10 12 11" xfId="4877" xr:uid="{00000000-0005-0000-0000-0000E2150000}"/>
    <cellStyle name="Normal 10 12 12" xfId="4878" xr:uid="{00000000-0005-0000-0000-0000E3150000}"/>
    <cellStyle name="Normal 10 12 13" xfId="4879" xr:uid="{00000000-0005-0000-0000-0000E4150000}"/>
    <cellStyle name="Normal 10 12 2" xfId="4880" xr:uid="{00000000-0005-0000-0000-0000E5150000}"/>
    <cellStyle name="Normal 10 12 2 2" xfId="4881" xr:uid="{00000000-0005-0000-0000-0000E6150000}"/>
    <cellStyle name="Normal 10 12 2 3" xfId="4882" xr:uid="{00000000-0005-0000-0000-0000E7150000}"/>
    <cellStyle name="Normal 10 12 2 4" xfId="4883" xr:uid="{00000000-0005-0000-0000-0000E8150000}"/>
    <cellStyle name="Normal 10 12 2 5" xfId="4884" xr:uid="{00000000-0005-0000-0000-0000E9150000}"/>
    <cellStyle name="Normal 10 12 2 6" xfId="4885" xr:uid="{00000000-0005-0000-0000-0000EA150000}"/>
    <cellStyle name="Normal 10 12 3" xfId="4886" xr:uid="{00000000-0005-0000-0000-0000EB150000}"/>
    <cellStyle name="Normal 10 12 3 2" xfId="4887" xr:uid="{00000000-0005-0000-0000-0000EC150000}"/>
    <cellStyle name="Normal 10 12 3 3" xfId="4888" xr:uid="{00000000-0005-0000-0000-0000ED150000}"/>
    <cellStyle name="Normal 10 12 3 4" xfId="4889" xr:uid="{00000000-0005-0000-0000-0000EE150000}"/>
    <cellStyle name="Normal 10 12 3 5" xfId="4890" xr:uid="{00000000-0005-0000-0000-0000EF150000}"/>
    <cellStyle name="Normal 10 12 3 6" xfId="4891" xr:uid="{00000000-0005-0000-0000-0000F0150000}"/>
    <cellStyle name="Normal 10 12 4" xfId="4892" xr:uid="{00000000-0005-0000-0000-0000F1150000}"/>
    <cellStyle name="Normal 10 12 4 2" xfId="4893" xr:uid="{00000000-0005-0000-0000-0000F2150000}"/>
    <cellStyle name="Normal 10 12 4 3" xfId="4894" xr:uid="{00000000-0005-0000-0000-0000F3150000}"/>
    <cellStyle name="Normal 10 12 4 4" xfId="4895" xr:uid="{00000000-0005-0000-0000-0000F4150000}"/>
    <cellStyle name="Normal 10 12 4 5" xfId="4896" xr:uid="{00000000-0005-0000-0000-0000F5150000}"/>
    <cellStyle name="Normal 10 12 4 6" xfId="4897" xr:uid="{00000000-0005-0000-0000-0000F6150000}"/>
    <cellStyle name="Normal 10 12 5" xfId="4898" xr:uid="{00000000-0005-0000-0000-0000F7150000}"/>
    <cellStyle name="Normal 10 12 5 2" xfId="4899" xr:uid="{00000000-0005-0000-0000-0000F8150000}"/>
    <cellStyle name="Normal 10 12 5 3" xfId="4900" xr:uid="{00000000-0005-0000-0000-0000F9150000}"/>
    <cellStyle name="Normal 10 12 5 4" xfId="4901" xr:uid="{00000000-0005-0000-0000-0000FA150000}"/>
    <cellStyle name="Normal 10 12 5 5" xfId="4902" xr:uid="{00000000-0005-0000-0000-0000FB150000}"/>
    <cellStyle name="Normal 10 12 5 6" xfId="4903" xr:uid="{00000000-0005-0000-0000-0000FC150000}"/>
    <cellStyle name="Normal 10 12 6" xfId="4904" xr:uid="{00000000-0005-0000-0000-0000FD150000}"/>
    <cellStyle name="Normal 10 12 6 2" xfId="4905" xr:uid="{00000000-0005-0000-0000-0000FE150000}"/>
    <cellStyle name="Normal 10 12 6 3" xfId="4906" xr:uid="{00000000-0005-0000-0000-0000FF150000}"/>
    <cellStyle name="Normal 10 12 6 4" xfId="4907" xr:uid="{00000000-0005-0000-0000-000000160000}"/>
    <cellStyle name="Normal 10 12 6 5" xfId="4908" xr:uid="{00000000-0005-0000-0000-000001160000}"/>
    <cellStyle name="Normal 10 12 6 6" xfId="4909" xr:uid="{00000000-0005-0000-0000-000002160000}"/>
    <cellStyle name="Normal 10 12 7" xfId="4910" xr:uid="{00000000-0005-0000-0000-000003160000}"/>
    <cellStyle name="Normal 10 12 7 2" xfId="4911" xr:uid="{00000000-0005-0000-0000-000004160000}"/>
    <cellStyle name="Normal 10 12 7 3" xfId="4912" xr:uid="{00000000-0005-0000-0000-000005160000}"/>
    <cellStyle name="Normal 10 12 7 4" xfId="4913" xr:uid="{00000000-0005-0000-0000-000006160000}"/>
    <cellStyle name="Normal 10 12 7 5" xfId="4914" xr:uid="{00000000-0005-0000-0000-000007160000}"/>
    <cellStyle name="Normal 10 12 7 6" xfId="4915" xr:uid="{00000000-0005-0000-0000-000008160000}"/>
    <cellStyle name="Normal 10 12 8" xfId="4916" xr:uid="{00000000-0005-0000-0000-000009160000}"/>
    <cellStyle name="Normal 10 12 8 2" xfId="4917" xr:uid="{00000000-0005-0000-0000-00000A160000}"/>
    <cellStyle name="Normal 10 12 8 3" xfId="4918" xr:uid="{00000000-0005-0000-0000-00000B160000}"/>
    <cellStyle name="Normal 10 12 8 4" xfId="4919" xr:uid="{00000000-0005-0000-0000-00000C160000}"/>
    <cellStyle name="Normal 10 12 8 5" xfId="4920" xr:uid="{00000000-0005-0000-0000-00000D160000}"/>
    <cellStyle name="Normal 10 12 8 6" xfId="4921" xr:uid="{00000000-0005-0000-0000-00000E160000}"/>
    <cellStyle name="Normal 10 12 9" xfId="4922" xr:uid="{00000000-0005-0000-0000-00000F160000}"/>
    <cellStyle name="Normal 10 13" xfId="4923" xr:uid="{00000000-0005-0000-0000-000010160000}"/>
    <cellStyle name="Normal 10 13 10" xfId="4924" xr:uid="{00000000-0005-0000-0000-000011160000}"/>
    <cellStyle name="Normal 10 13 11" xfId="4925" xr:uid="{00000000-0005-0000-0000-000012160000}"/>
    <cellStyle name="Normal 10 13 12" xfId="4926" xr:uid="{00000000-0005-0000-0000-000013160000}"/>
    <cellStyle name="Normal 10 13 13" xfId="4927" xr:uid="{00000000-0005-0000-0000-000014160000}"/>
    <cellStyle name="Normal 10 13 2" xfId="4928" xr:uid="{00000000-0005-0000-0000-000015160000}"/>
    <cellStyle name="Normal 10 13 2 2" xfId="4929" xr:uid="{00000000-0005-0000-0000-000016160000}"/>
    <cellStyle name="Normal 10 13 2 3" xfId="4930" xr:uid="{00000000-0005-0000-0000-000017160000}"/>
    <cellStyle name="Normal 10 13 2 4" xfId="4931" xr:uid="{00000000-0005-0000-0000-000018160000}"/>
    <cellStyle name="Normal 10 13 2 5" xfId="4932" xr:uid="{00000000-0005-0000-0000-000019160000}"/>
    <cellStyle name="Normal 10 13 2 6" xfId="4933" xr:uid="{00000000-0005-0000-0000-00001A160000}"/>
    <cellStyle name="Normal 10 13 3" xfId="4934" xr:uid="{00000000-0005-0000-0000-00001B160000}"/>
    <cellStyle name="Normal 10 13 3 2" xfId="4935" xr:uid="{00000000-0005-0000-0000-00001C160000}"/>
    <cellStyle name="Normal 10 13 3 3" xfId="4936" xr:uid="{00000000-0005-0000-0000-00001D160000}"/>
    <cellStyle name="Normal 10 13 3 4" xfId="4937" xr:uid="{00000000-0005-0000-0000-00001E160000}"/>
    <cellStyle name="Normal 10 13 3 5" xfId="4938" xr:uid="{00000000-0005-0000-0000-00001F160000}"/>
    <cellStyle name="Normal 10 13 3 6" xfId="4939" xr:uid="{00000000-0005-0000-0000-000020160000}"/>
    <cellStyle name="Normal 10 13 4" xfId="4940" xr:uid="{00000000-0005-0000-0000-000021160000}"/>
    <cellStyle name="Normal 10 13 4 2" xfId="4941" xr:uid="{00000000-0005-0000-0000-000022160000}"/>
    <cellStyle name="Normal 10 13 4 3" xfId="4942" xr:uid="{00000000-0005-0000-0000-000023160000}"/>
    <cellStyle name="Normal 10 13 4 4" xfId="4943" xr:uid="{00000000-0005-0000-0000-000024160000}"/>
    <cellStyle name="Normal 10 13 4 5" xfId="4944" xr:uid="{00000000-0005-0000-0000-000025160000}"/>
    <cellStyle name="Normal 10 13 4 6" xfId="4945" xr:uid="{00000000-0005-0000-0000-000026160000}"/>
    <cellStyle name="Normal 10 13 5" xfId="4946" xr:uid="{00000000-0005-0000-0000-000027160000}"/>
    <cellStyle name="Normal 10 13 5 2" xfId="4947" xr:uid="{00000000-0005-0000-0000-000028160000}"/>
    <cellStyle name="Normal 10 13 5 3" xfId="4948" xr:uid="{00000000-0005-0000-0000-000029160000}"/>
    <cellStyle name="Normal 10 13 5 4" xfId="4949" xr:uid="{00000000-0005-0000-0000-00002A160000}"/>
    <cellStyle name="Normal 10 13 5 5" xfId="4950" xr:uid="{00000000-0005-0000-0000-00002B160000}"/>
    <cellStyle name="Normal 10 13 5 6" xfId="4951" xr:uid="{00000000-0005-0000-0000-00002C160000}"/>
    <cellStyle name="Normal 10 13 6" xfId="4952" xr:uid="{00000000-0005-0000-0000-00002D160000}"/>
    <cellStyle name="Normal 10 13 6 2" xfId="4953" xr:uid="{00000000-0005-0000-0000-00002E160000}"/>
    <cellStyle name="Normal 10 13 6 3" xfId="4954" xr:uid="{00000000-0005-0000-0000-00002F160000}"/>
    <cellStyle name="Normal 10 13 6 4" xfId="4955" xr:uid="{00000000-0005-0000-0000-000030160000}"/>
    <cellStyle name="Normal 10 13 6 5" xfId="4956" xr:uid="{00000000-0005-0000-0000-000031160000}"/>
    <cellStyle name="Normal 10 13 6 6" xfId="4957" xr:uid="{00000000-0005-0000-0000-000032160000}"/>
    <cellStyle name="Normal 10 13 7" xfId="4958" xr:uid="{00000000-0005-0000-0000-000033160000}"/>
    <cellStyle name="Normal 10 13 7 2" xfId="4959" xr:uid="{00000000-0005-0000-0000-000034160000}"/>
    <cellStyle name="Normal 10 13 7 3" xfId="4960" xr:uid="{00000000-0005-0000-0000-000035160000}"/>
    <cellStyle name="Normal 10 13 7 4" xfId="4961" xr:uid="{00000000-0005-0000-0000-000036160000}"/>
    <cellStyle name="Normal 10 13 7 5" xfId="4962" xr:uid="{00000000-0005-0000-0000-000037160000}"/>
    <cellStyle name="Normal 10 13 7 6" xfId="4963" xr:uid="{00000000-0005-0000-0000-000038160000}"/>
    <cellStyle name="Normal 10 13 8" xfId="4964" xr:uid="{00000000-0005-0000-0000-000039160000}"/>
    <cellStyle name="Normal 10 13 8 2" xfId="4965" xr:uid="{00000000-0005-0000-0000-00003A160000}"/>
    <cellStyle name="Normal 10 13 8 3" xfId="4966" xr:uid="{00000000-0005-0000-0000-00003B160000}"/>
    <cellStyle name="Normal 10 13 8 4" xfId="4967" xr:uid="{00000000-0005-0000-0000-00003C160000}"/>
    <cellStyle name="Normal 10 13 8 5" xfId="4968" xr:uid="{00000000-0005-0000-0000-00003D160000}"/>
    <cellStyle name="Normal 10 13 8 6" xfId="4969" xr:uid="{00000000-0005-0000-0000-00003E160000}"/>
    <cellStyle name="Normal 10 13 9" xfId="4970" xr:uid="{00000000-0005-0000-0000-00003F160000}"/>
    <cellStyle name="Normal 10 14" xfId="4971" xr:uid="{00000000-0005-0000-0000-000040160000}"/>
    <cellStyle name="Normal 10 14 10" xfId="4972" xr:uid="{00000000-0005-0000-0000-000041160000}"/>
    <cellStyle name="Normal 10 14 11" xfId="4973" xr:uid="{00000000-0005-0000-0000-000042160000}"/>
    <cellStyle name="Normal 10 14 12" xfId="4974" xr:uid="{00000000-0005-0000-0000-000043160000}"/>
    <cellStyle name="Normal 10 14 13" xfId="4975" xr:uid="{00000000-0005-0000-0000-000044160000}"/>
    <cellStyle name="Normal 10 14 2" xfId="4976" xr:uid="{00000000-0005-0000-0000-000045160000}"/>
    <cellStyle name="Normal 10 14 2 2" xfId="4977" xr:uid="{00000000-0005-0000-0000-000046160000}"/>
    <cellStyle name="Normal 10 14 2 3" xfId="4978" xr:uid="{00000000-0005-0000-0000-000047160000}"/>
    <cellStyle name="Normal 10 14 2 4" xfId="4979" xr:uid="{00000000-0005-0000-0000-000048160000}"/>
    <cellStyle name="Normal 10 14 2 5" xfId="4980" xr:uid="{00000000-0005-0000-0000-000049160000}"/>
    <cellStyle name="Normal 10 14 2 6" xfId="4981" xr:uid="{00000000-0005-0000-0000-00004A160000}"/>
    <cellStyle name="Normal 10 14 3" xfId="4982" xr:uid="{00000000-0005-0000-0000-00004B160000}"/>
    <cellStyle name="Normal 10 14 3 2" xfId="4983" xr:uid="{00000000-0005-0000-0000-00004C160000}"/>
    <cellStyle name="Normal 10 14 3 3" xfId="4984" xr:uid="{00000000-0005-0000-0000-00004D160000}"/>
    <cellStyle name="Normal 10 14 3 4" xfId="4985" xr:uid="{00000000-0005-0000-0000-00004E160000}"/>
    <cellStyle name="Normal 10 14 3 5" xfId="4986" xr:uid="{00000000-0005-0000-0000-00004F160000}"/>
    <cellStyle name="Normal 10 14 3 6" xfId="4987" xr:uid="{00000000-0005-0000-0000-000050160000}"/>
    <cellStyle name="Normal 10 14 4" xfId="4988" xr:uid="{00000000-0005-0000-0000-000051160000}"/>
    <cellStyle name="Normal 10 14 4 2" xfId="4989" xr:uid="{00000000-0005-0000-0000-000052160000}"/>
    <cellStyle name="Normal 10 14 4 3" xfId="4990" xr:uid="{00000000-0005-0000-0000-000053160000}"/>
    <cellStyle name="Normal 10 14 4 4" xfId="4991" xr:uid="{00000000-0005-0000-0000-000054160000}"/>
    <cellStyle name="Normal 10 14 4 5" xfId="4992" xr:uid="{00000000-0005-0000-0000-000055160000}"/>
    <cellStyle name="Normal 10 14 4 6" xfId="4993" xr:uid="{00000000-0005-0000-0000-000056160000}"/>
    <cellStyle name="Normal 10 14 5" xfId="4994" xr:uid="{00000000-0005-0000-0000-000057160000}"/>
    <cellStyle name="Normal 10 14 5 2" xfId="4995" xr:uid="{00000000-0005-0000-0000-000058160000}"/>
    <cellStyle name="Normal 10 14 5 3" xfId="4996" xr:uid="{00000000-0005-0000-0000-000059160000}"/>
    <cellStyle name="Normal 10 14 5 4" xfId="4997" xr:uid="{00000000-0005-0000-0000-00005A160000}"/>
    <cellStyle name="Normal 10 14 5 5" xfId="4998" xr:uid="{00000000-0005-0000-0000-00005B160000}"/>
    <cellStyle name="Normal 10 14 5 6" xfId="4999" xr:uid="{00000000-0005-0000-0000-00005C160000}"/>
    <cellStyle name="Normal 10 14 6" xfId="5000" xr:uid="{00000000-0005-0000-0000-00005D160000}"/>
    <cellStyle name="Normal 10 14 6 2" xfId="5001" xr:uid="{00000000-0005-0000-0000-00005E160000}"/>
    <cellStyle name="Normal 10 14 6 3" xfId="5002" xr:uid="{00000000-0005-0000-0000-00005F160000}"/>
    <cellStyle name="Normal 10 14 6 4" xfId="5003" xr:uid="{00000000-0005-0000-0000-000060160000}"/>
    <cellStyle name="Normal 10 14 6 5" xfId="5004" xr:uid="{00000000-0005-0000-0000-000061160000}"/>
    <cellStyle name="Normal 10 14 6 6" xfId="5005" xr:uid="{00000000-0005-0000-0000-000062160000}"/>
    <cellStyle name="Normal 10 14 7" xfId="5006" xr:uid="{00000000-0005-0000-0000-000063160000}"/>
    <cellStyle name="Normal 10 14 7 2" xfId="5007" xr:uid="{00000000-0005-0000-0000-000064160000}"/>
    <cellStyle name="Normal 10 14 7 3" xfId="5008" xr:uid="{00000000-0005-0000-0000-000065160000}"/>
    <cellStyle name="Normal 10 14 7 4" xfId="5009" xr:uid="{00000000-0005-0000-0000-000066160000}"/>
    <cellStyle name="Normal 10 14 7 5" xfId="5010" xr:uid="{00000000-0005-0000-0000-000067160000}"/>
    <cellStyle name="Normal 10 14 7 6" xfId="5011" xr:uid="{00000000-0005-0000-0000-000068160000}"/>
    <cellStyle name="Normal 10 14 8" xfId="5012" xr:uid="{00000000-0005-0000-0000-000069160000}"/>
    <cellStyle name="Normal 10 14 8 2" xfId="5013" xr:uid="{00000000-0005-0000-0000-00006A160000}"/>
    <cellStyle name="Normal 10 14 8 3" xfId="5014" xr:uid="{00000000-0005-0000-0000-00006B160000}"/>
    <cellStyle name="Normal 10 14 8 4" xfId="5015" xr:uid="{00000000-0005-0000-0000-00006C160000}"/>
    <cellStyle name="Normal 10 14 8 5" xfId="5016" xr:uid="{00000000-0005-0000-0000-00006D160000}"/>
    <cellStyle name="Normal 10 14 8 6" xfId="5017" xr:uid="{00000000-0005-0000-0000-00006E160000}"/>
    <cellStyle name="Normal 10 14 9" xfId="5018" xr:uid="{00000000-0005-0000-0000-00006F160000}"/>
    <cellStyle name="Normal 10 15" xfId="5019" xr:uid="{00000000-0005-0000-0000-000070160000}"/>
    <cellStyle name="Normal 10 15 10" xfId="5020" xr:uid="{00000000-0005-0000-0000-000071160000}"/>
    <cellStyle name="Normal 10 15 11" xfId="5021" xr:uid="{00000000-0005-0000-0000-000072160000}"/>
    <cellStyle name="Normal 10 15 12" xfId="5022" xr:uid="{00000000-0005-0000-0000-000073160000}"/>
    <cellStyle name="Normal 10 15 13" xfId="5023" xr:uid="{00000000-0005-0000-0000-000074160000}"/>
    <cellStyle name="Normal 10 15 2" xfId="5024" xr:uid="{00000000-0005-0000-0000-000075160000}"/>
    <cellStyle name="Normal 10 15 2 2" xfId="5025" xr:uid="{00000000-0005-0000-0000-000076160000}"/>
    <cellStyle name="Normal 10 15 2 3" xfId="5026" xr:uid="{00000000-0005-0000-0000-000077160000}"/>
    <cellStyle name="Normal 10 15 2 4" xfId="5027" xr:uid="{00000000-0005-0000-0000-000078160000}"/>
    <cellStyle name="Normal 10 15 2 5" xfId="5028" xr:uid="{00000000-0005-0000-0000-000079160000}"/>
    <cellStyle name="Normal 10 15 2 6" xfId="5029" xr:uid="{00000000-0005-0000-0000-00007A160000}"/>
    <cellStyle name="Normal 10 15 3" xfId="5030" xr:uid="{00000000-0005-0000-0000-00007B160000}"/>
    <cellStyle name="Normal 10 15 3 2" xfId="5031" xr:uid="{00000000-0005-0000-0000-00007C160000}"/>
    <cellStyle name="Normal 10 15 3 3" xfId="5032" xr:uid="{00000000-0005-0000-0000-00007D160000}"/>
    <cellStyle name="Normal 10 15 3 4" xfId="5033" xr:uid="{00000000-0005-0000-0000-00007E160000}"/>
    <cellStyle name="Normal 10 15 3 5" xfId="5034" xr:uid="{00000000-0005-0000-0000-00007F160000}"/>
    <cellStyle name="Normal 10 15 3 6" xfId="5035" xr:uid="{00000000-0005-0000-0000-000080160000}"/>
    <cellStyle name="Normal 10 15 4" xfId="5036" xr:uid="{00000000-0005-0000-0000-000081160000}"/>
    <cellStyle name="Normal 10 15 4 2" xfId="5037" xr:uid="{00000000-0005-0000-0000-000082160000}"/>
    <cellStyle name="Normal 10 15 4 3" xfId="5038" xr:uid="{00000000-0005-0000-0000-000083160000}"/>
    <cellStyle name="Normal 10 15 4 4" xfId="5039" xr:uid="{00000000-0005-0000-0000-000084160000}"/>
    <cellStyle name="Normal 10 15 4 5" xfId="5040" xr:uid="{00000000-0005-0000-0000-000085160000}"/>
    <cellStyle name="Normal 10 15 4 6" xfId="5041" xr:uid="{00000000-0005-0000-0000-000086160000}"/>
    <cellStyle name="Normal 10 15 5" xfId="5042" xr:uid="{00000000-0005-0000-0000-000087160000}"/>
    <cellStyle name="Normal 10 15 5 2" xfId="5043" xr:uid="{00000000-0005-0000-0000-000088160000}"/>
    <cellStyle name="Normal 10 15 5 3" xfId="5044" xr:uid="{00000000-0005-0000-0000-000089160000}"/>
    <cellStyle name="Normal 10 15 5 4" xfId="5045" xr:uid="{00000000-0005-0000-0000-00008A160000}"/>
    <cellStyle name="Normal 10 15 5 5" xfId="5046" xr:uid="{00000000-0005-0000-0000-00008B160000}"/>
    <cellStyle name="Normal 10 15 5 6" xfId="5047" xr:uid="{00000000-0005-0000-0000-00008C160000}"/>
    <cellStyle name="Normal 10 15 6" xfId="5048" xr:uid="{00000000-0005-0000-0000-00008D160000}"/>
    <cellStyle name="Normal 10 15 6 2" xfId="5049" xr:uid="{00000000-0005-0000-0000-00008E160000}"/>
    <cellStyle name="Normal 10 15 6 3" xfId="5050" xr:uid="{00000000-0005-0000-0000-00008F160000}"/>
    <cellStyle name="Normal 10 15 6 4" xfId="5051" xr:uid="{00000000-0005-0000-0000-000090160000}"/>
    <cellStyle name="Normal 10 15 6 5" xfId="5052" xr:uid="{00000000-0005-0000-0000-000091160000}"/>
    <cellStyle name="Normal 10 15 6 6" xfId="5053" xr:uid="{00000000-0005-0000-0000-000092160000}"/>
    <cellStyle name="Normal 10 15 7" xfId="5054" xr:uid="{00000000-0005-0000-0000-000093160000}"/>
    <cellStyle name="Normal 10 15 7 2" xfId="5055" xr:uid="{00000000-0005-0000-0000-000094160000}"/>
    <cellStyle name="Normal 10 15 7 3" xfId="5056" xr:uid="{00000000-0005-0000-0000-000095160000}"/>
    <cellStyle name="Normal 10 15 7 4" xfId="5057" xr:uid="{00000000-0005-0000-0000-000096160000}"/>
    <cellStyle name="Normal 10 15 7 5" xfId="5058" xr:uid="{00000000-0005-0000-0000-000097160000}"/>
    <cellStyle name="Normal 10 15 7 6" xfId="5059" xr:uid="{00000000-0005-0000-0000-000098160000}"/>
    <cellStyle name="Normal 10 15 8" xfId="5060" xr:uid="{00000000-0005-0000-0000-000099160000}"/>
    <cellStyle name="Normal 10 15 8 2" xfId="5061" xr:uid="{00000000-0005-0000-0000-00009A160000}"/>
    <cellStyle name="Normal 10 15 8 3" xfId="5062" xr:uid="{00000000-0005-0000-0000-00009B160000}"/>
    <cellStyle name="Normal 10 15 8 4" xfId="5063" xr:uid="{00000000-0005-0000-0000-00009C160000}"/>
    <cellStyle name="Normal 10 15 8 5" xfId="5064" xr:uid="{00000000-0005-0000-0000-00009D160000}"/>
    <cellStyle name="Normal 10 15 8 6" xfId="5065" xr:uid="{00000000-0005-0000-0000-00009E160000}"/>
    <cellStyle name="Normal 10 15 9" xfId="5066" xr:uid="{00000000-0005-0000-0000-00009F160000}"/>
    <cellStyle name="Normal 10 16" xfId="5067" xr:uid="{00000000-0005-0000-0000-0000A0160000}"/>
    <cellStyle name="Normal 10 16 10" xfId="5068" xr:uid="{00000000-0005-0000-0000-0000A1160000}"/>
    <cellStyle name="Normal 10 16 11" xfId="5069" xr:uid="{00000000-0005-0000-0000-0000A2160000}"/>
    <cellStyle name="Normal 10 16 12" xfId="5070" xr:uid="{00000000-0005-0000-0000-0000A3160000}"/>
    <cellStyle name="Normal 10 16 13" xfId="5071" xr:uid="{00000000-0005-0000-0000-0000A4160000}"/>
    <cellStyle name="Normal 10 16 2" xfId="5072" xr:uid="{00000000-0005-0000-0000-0000A5160000}"/>
    <cellStyle name="Normal 10 16 2 2" xfId="5073" xr:uid="{00000000-0005-0000-0000-0000A6160000}"/>
    <cellStyle name="Normal 10 16 2 3" xfId="5074" xr:uid="{00000000-0005-0000-0000-0000A7160000}"/>
    <cellStyle name="Normal 10 16 2 4" xfId="5075" xr:uid="{00000000-0005-0000-0000-0000A8160000}"/>
    <cellStyle name="Normal 10 16 2 5" xfId="5076" xr:uid="{00000000-0005-0000-0000-0000A9160000}"/>
    <cellStyle name="Normal 10 16 2 6" xfId="5077" xr:uid="{00000000-0005-0000-0000-0000AA160000}"/>
    <cellStyle name="Normal 10 16 3" xfId="5078" xr:uid="{00000000-0005-0000-0000-0000AB160000}"/>
    <cellStyle name="Normal 10 16 3 2" xfId="5079" xr:uid="{00000000-0005-0000-0000-0000AC160000}"/>
    <cellStyle name="Normal 10 16 3 3" xfId="5080" xr:uid="{00000000-0005-0000-0000-0000AD160000}"/>
    <cellStyle name="Normal 10 16 3 4" xfId="5081" xr:uid="{00000000-0005-0000-0000-0000AE160000}"/>
    <cellStyle name="Normal 10 16 3 5" xfId="5082" xr:uid="{00000000-0005-0000-0000-0000AF160000}"/>
    <cellStyle name="Normal 10 16 3 6" xfId="5083" xr:uid="{00000000-0005-0000-0000-0000B0160000}"/>
    <cellStyle name="Normal 10 16 4" xfId="5084" xr:uid="{00000000-0005-0000-0000-0000B1160000}"/>
    <cellStyle name="Normal 10 16 4 2" xfId="5085" xr:uid="{00000000-0005-0000-0000-0000B2160000}"/>
    <cellStyle name="Normal 10 16 4 3" xfId="5086" xr:uid="{00000000-0005-0000-0000-0000B3160000}"/>
    <cellStyle name="Normal 10 16 4 4" xfId="5087" xr:uid="{00000000-0005-0000-0000-0000B4160000}"/>
    <cellStyle name="Normal 10 16 4 5" xfId="5088" xr:uid="{00000000-0005-0000-0000-0000B5160000}"/>
    <cellStyle name="Normal 10 16 4 6" xfId="5089" xr:uid="{00000000-0005-0000-0000-0000B6160000}"/>
    <cellStyle name="Normal 10 16 5" xfId="5090" xr:uid="{00000000-0005-0000-0000-0000B7160000}"/>
    <cellStyle name="Normal 10 16 5 2" xfId="5091" xr:uid="{00000000-0005-0000-0000-0000B8160000}"/>
    <cellStyle name="Normal 10 16 5 3" xfId="5092" xr:uid="{00000000-0005-0000-0000-0000B9160000}"/>
    <cellStyle name="Normal 10 16 5 4" xfId="5093" xr:uid="{00000000-0005-0000-0000-0000BA160000}"/>
    <cellStyle name="Normal 10 16 5 5" xfId="5094" xr:uid="{00000000-0005-0000-0000-0000BB160000}"/>
    <cellStyle name="Normal 10 16 5 6" xfId="5095" xr:uid="{00000000-0005-0000-0000-0000BC160000}"/>
    <cellStyle name="Normal 10 16 6" xfId="5096" xr:uid="{00000000-0005-0000-0000-0000BD160000}"/>
    <cellStyle name="Normal 10 16 6 2" xfId="5097" xr:uid="{00000000-0005-0000-0000-0000BE160000}"/>
    <cellStyle name="Normal 10 16 6 3" xfId="5098" xr:uid="{00000000-0005-0000-0000-0000BF160000}"/>
    <cellStyle name="Normal 10 16 6 4" xfId="5099" xr:uid="{00000000-0005-0000-0000-0000C0160000}"/>
    <cellStyle name="Normal 10 16 6 5" xfId="5100" xr:uid="{00000000-0005-0000-0000-0000C1160000}"/>
    <cellStyle name="Normal 10 16 6 6" xfId="5101" xr:uid="{00000000-0005-0000-0000-0000C2160000}"/>
    <cellStyle name="Normal 10 16 7" xfId="5102" xr:uid="{00000000-0005-0000-0000-0000C3160000}"/>
    <cellStyle name="Normal 10 16 7 2" xfId="5103" xr:uid="{00000000-0005-0000-0000-0000C4160000}"/>
    <cellStyle name="Normal 10 16 7 3" xfId="5104" xr:uid="{00000000-0005-0000-0000-0000C5160000}"/>
    <cellStyle name="Normal 10 16 7 4" xfId="5105" xr:uid="{00000000-0005-0000-0000-0000C6160000}"/>
    <cellStyle name="Normal 10 16 7 5" xfId="5106" xr:uid="{00000000-0005-0000-0000-0000C7160000}"/>
    <cellStyle name="Normal 10 16 7 6" xfId="5107" xr:uid="{00000000-0005-0000-0000-0000C8160000}"/>
    <cellStyle name="Normal 10 16 8" xfId="5108" xr:uid="{00000000-0005-0000-0000-0000C9160000}"/>
    <cellStyle name="Normal 10 16 8 2" xfId="5109" xr:uid="{00000000-0005-0000-0000-0000CA160000}"/>
    <cellStyle name="Normal 10 16 8 3" xfId="5110" xr:uid="{00000000-0005-0000-0000-0000CB160000}"/>
    <cellStyle name="Normal 10 16 8 4" xfId="5111" xr:uid="{00000000-0005-0000-0000-0000CC160000}"/>
    <cellStyle name="Normal 10 16 8 5" xfId="5112" xr:uid="{00000000-0005-0000-0000-0000CD160000}"/>
    <cellStyle name="Normal 10 16 8 6" xfId="5113" xr:uid="{00000000-0005-0000-0000-0000CE160000}"/>
    <cellStyle name="Normal 10 16 9" xfId="5114" xr:uid="{00000000-0005-0000-0000-0000CF160000}"/>
    <cellStyle name="Normal 10 17" xfId="5115" xr:uid="{00000000-0005-0000-0000-0000D0160000}"/>
    <cellStyle name="Normal 10 17 10" xfId="5116" xr:uid="{00000000-0005-0000-0000-0000D1160000}"/>
    <cellStyle name="Normal 10 17 11" xfId="5117" xr:uid="{00000000-0005-0000-0000-0000D2160000}"/>
    <cellStyle name="Normal 10 17 12" xfId="5118" xr:uid="{00000000-0005-0000-0000-0000D3160000}"/>
    <cellStyle name="Normal 10 17 13" xfId="5119" xr:uid="{00000000-0005-0000-0000-0000D4160000}"/>
    <cellStyle name="Normal 10 17 2" xfId="5120" xr:uid="{00000000-0005-0000-0000-0000D5160000}"/>
    <cellStyle name="Normal 10 17 2 2" xfId="5121" xr:uid="{00000000-0005-0000-0000-0000D6160000}"/>
    <cellStyle name="Normal 10 17 2 3" xfId="5122" xr:uid="{00000000-0005-0000-0000-0000D7160000}"/>
    <cellStyle name="Normal 10 17 2 4" xfId="5123" xr:uid="{00000000-0005-0000-0000-0000D8160000}"/>
    <cellStyle name="Normal 10 17 2 5" xfId="5124" xr:uid="{00000000-0005-0000-0000-0000D9160000}"/>
    <cellStyle name="Normal 10 17 2 6" xfId="5125" xr:uid="{00000000-0005-0000-0000-0000DA160000}"/>
    <cellStyle name="Normal 10 17 3" xfId="5126" xr:uid="{00000000-0005-0000-0000-0000DB160000}"/>
    <cellStyle name="Normal 10 17 3 2" xfId="5127" xr:uid="{00000000-0005-0000-0000-0000DC160000}"/>
    <cellStyle name="Normal 10 17 3 3" xfId="5128" xr:uid="{00000000-0005-0000-0000-0000DD160000}"/>
    <cellStyle name="Normal 10 17 3 4" xfId="5129" xr:uid="{00000000-0005-0000-0000-0000DE160000}"/>
    <cellStyle name="Normal 10 17 3 5" xfId="5130" xr:uid="{00000000-0005-0000-0000-0000DF160000}"/>
    <cellStyle name="Normal 10 17 3 6" xfId="5131" xr:uid="{00000000-0005-0000-0000-0000E0160000}"/>
    <cellStyle name="Normal 10 17 4" xfId="5132" xr:uid="{00000000-0005-0000-0000-0000E1160000}"/>
    <cellStyle name="Normal 10 17 4 2" xfId="5133" xr:uid="{00000000-0005-0000-0000-0000E2160000}"/>
    <cellStyle name="Normal 10 17 4 3" xfId="5134" xr:uid="{00000000-0005-0000-0000-0000E3160000}"/>
    <cellStyle name="Normal 10 17 4 4" xfId="5135" xr:uid="{00000000-0005-0000-0000-0000E4160000}"/>
    <cellStyle name="Normal 10 17 4 5" xfId="5136" xr:uid="{00000000-0005-0000-0000-0000E5160000}"/>
    <cellStyle name="Normal 10 17 4 6" xfId="5137" xr:uid="{00000000-0005-0000-0000-0000E6160000}"/>
    <cellStyle name="Normal 10 17 5" xfId="5138" xr:uid="{00000000-0005-0000-0000-0000E7160000}"/>
    <cellStyle name="Normal 10 17 5 2" xfId="5139" xr:uid="{00000000-0005-0000-0000-0000E8160000}"/>
    <cellStyle name="Normal 10 17 5 3" xfId="5140" xr:uid="{00000000-0005-0000-0000-0000E9160000}"/>
    <cellStyle name="Normal 10 17 5 4" xfId="5141" xr:uid="{00000000-0005-0000-0000-0000EA160000}"/>
    <cellStyle name="Normal 10 17 5 5" xfId="5142" xr:uid="{00000000-0005-0000-0000-0000EB160000}"/>
    <cellStyle name="Normal 10 17 5 6" xfId="5143" xr:uid="{00000000-0005-0000-0000-0000EC160000}"/>
    <cellStyle name="Normal 10 17 6" xfId="5144" xr:uid="{00000000-0005-0000-0000-0000ED160000}"/>
    <cellStyle name="Normal 10 17 6 2" xfId="5145" xr:uid="{00000000-0005-0000-0000-0000EE160000}"/>
    <cellStyle name="Normal 10 17 6 3" xfId="5146" xr:uid="{00000000-0005-0000-0000-0000EF160000}"/>
    <cellStyle name="Normal 10 17 6 4" xfId="5147" xr:uid="{00000000-0005-0000-0000-0000F0160000}"/>
    <cellStyle name="Normal 10 17 6 5" xfId="5148" xr:uid="{00000000-0005-0000-0000-0000F1160000}"/>
    <cellStyle name="Normal 10 17 6 6" xfId="5149" xr:uid="{00000000-0005-0000-0000-0000F2160000}"/>
    <cellStyle name="Normal 10 17 7" xfId="5150" xr:uid="{00000000-0005-0000-0000-0000F3160000}"/>
    <cellStyle name="Normal 10 17 7 2" xfId="5151" xr:uid="{00000000-0005-0000-0000-0000F4160000}"/>
    <cellStyle name="Normal 10 17 7 3" xfId="5152" xr:uid="{00000000-0005-0000-0000-0000F5160000}"/>
    <cellStyle name="Normal 10 17 7 4" xfId="5153" xr:uid="{00000000-0005-0000-0000-0000F6160000}"/>
    <cellStyle name="Normal 10 17 7 5" xfId="5154" xr:uid="{00000000-0005-0000-0000-0000F7160000}"/>
    <cellStyle name="Normal 10 17 7 6" xfId="5155" xr:uid="{00000000-0005-0000-0000-0000F8160000}"/>
    <cellStyle name="Normal 10 17 8" xfId="5156" xr:uid="{00000000-0005-0000-0000-0000F9160000}"/>
    <cellStyle name="Normal 10 17 8 2" xfId="5157" xr:uid="{00000000-0005-0000-0000-0000FA160000}"/>
    <cellStyle name="Normal 10 17 8 3" xfId="5158" xr:uid="{00000000-0005-0000-0000-0000FB160000}"/>
    <cellStyle name="Normal 10 17 8 4" xfId="5159" xr:uid="{00000000-0005-0000-0000-0000FC160000}"/>
    <cellStyle name="Normal 10 17 8 5" xfId="5160" xr:uid="{00000000-0005-0000-0000-0000FD160000}"/>
    <cellStyle name="Normal 10 17 8 6" xfId="5161" xr:uid="{00000000-0005-0000-0000-0000FE160000}"/>
    <cellStyle name="Normal 10 17 9" xfId="5162" xr:uid="{00000000-0005-0000-0000-0000FF160000}"/>
    <cellStyle name="Normal 10 18" xfId="5163" xr:uid="{00000000-0005-0000-0000-000000170000}"/>
    <cellStyle name="Normal 10 18 10" xfId="5164" xr:uid="{00000000-0005-0000-0000-000001170000}"/>
    <cellStyle name="Normal 10 18 11" xfId="5165" xr:uid="{00000000-0005-0000-0000-000002170000}"/>
    <cellStyle name="Normal 10 18 12" xfId="5166" xr:uid="{00000000-0005-0000-0000-000003170000}"/>
    <cellStyle name="Normal 10 18 13" xfId="5167" xr:uid="{00000000-0005-0000-0000-000004170000}"/>
    <cellStyle name="Normal 10 18 2" xfId="5168" xr:uid="{00000000-0005-0000-0000-000005170000}"/>
    <cellStyle name="Normal 10 18 2 2" xfId="5169" xr:uid="{00000000-0005-0000-0000-000006170000}"/>
    <cellStyle name="Normal 10 18 2 3" xfId="5170" xr:uid="{00000000-0005-0000-0000-000007170000}"/>
    <cellStyle name="Normal 10 18 2 4" xfId="5171" xr:uid="{00000000-0005-0000-0000-000008170000}"/>
    <cellStyle name="Normal 10 18 2 5" xfId="5172" xr:uid="{00000000-0005-0000-0000-000009170000}"/>
    <cellStyle name="Normal 10 18 2 6" xfId="5173" xr:uid="{00000000-0005-0000-0000-00000A170000}"/>
    <cellStyle name="Normal 10 18 3" xfId="5174" xr:uid="{00000000-0005-0000-0000-00000B170000}"/>
    <cellStyle name="Normal 10 18 3 2" xfId="5175" xr:uid="{00000000-0005-0000-0000-00000C170000}"/>
    <cellStyle name="Normal 10 18 3 3" xfId="5176" xr:uid="{00000000-0005-0000-0000-00000D170000}"/>
    <cellStyle name="Normal 10 18 3 4" xfId="5177" xr:uid="{00000000-0005-0000-0000-00000E170000}"/>
    <cellStyle name="Normal 10 18 3 5" xfId="5178" xr:uid="{00000000-0005-0000-0000-00000F170000}"/>
    <cellStyle name="Normal 10 18 3 6" xfId="5179" xr:uid="{00000000-0005-0000-0000-000010170000}"/>
    <cellStyle name="Normal 10 18 4" xfId="5180" xr:uid="{00000000-0005-0000-0000-000011170000}"/>
    <cellStyle name="Normal 10 18 4 2" xfId="5181" xr:uid="{00000000-0005-0000-0000-000012170000}"/>
    <cellStyle name="Normal 10 18 4 3" xfId="5182" xr:uid="{00000000-0005-0000-0000-000013170000}"/>
    <cellStyle name="Normal 10 18 4 4" xfId="5183" xr:uid="{00000000-0005-0000-0000-000014170000}"/>
    <cellStyle name="Normal 10 18 4 5" xfId="5184" xr:uid="{00000000-0005-0000-0000-000015170000}"/>
    <cellStyle name="Normal 10 18 4 6" xfId="5185" xr:uid="{00000000-0005-0000-0000-000016170000}"/>
    <cellStyle name="Normal 10 18 5" xfId="5186" xr:uid="{00000000-0005-0000-0000-000017170000}"/>
    <cellStyle name="Normal 10 18 5 2" xfId="5187" xr:uid="{00000000-0005-0000-0000-000018170000}"/>
    <cellStyle name="Normal 10 18 5 3" xfId="5188" xr:uid="{00000000-0005-0000-0000-000019170000}"/>
    <cellStyle name="Normal 10 18 5 4" xfId="5189" xr:uid="{00000000-0005-0000-0000-00001A170000}"/>
    <cellStyle name="Normal 10 18 5 5" xfId="5190" xr:uid="{00000000-0005-0000-0000-00001B170000}"/>
    <cellStyle name="Normal 10 18 5 6" xfId="5191" xr:uid="{00000000-0005-0000-0000-00001C170000}"/>
    <cellStyle name="Normal 10 18 6" xfId="5192" xr:uid="{00000000-0005-0000-0000-00001D170000}"/>
    <cellStyle name="Normal 10 18 6 2" xfId="5193" xr:uid="{00000000-0005-0000-0000-00001E170000}"/>
    <cellStyle name="Normal 10 18 6 3" xfId="5194" xr:uid="{00000000-0005-0000-0000-00001F170000}"/>
    <cellStyle name="Normal 10 18 6 4" xfId="5195" xr:uid="{00000000-0005-0000-0000-000020170000}"/>
    <cellStyle name="Normal 10 18 6 5" xfId="5196" xr:uid="{00000000-0005-0000-0000-000021170000}"/>
    <cellStyle name="Normal 10 18 6 6" xfId="5197" xr:uid="{00000000-0005-0000-0000-000022170000}"/>
    <cellStyle name="Normal 10 18 7" xfId="5198" xr:uid="{00000000-0005-0000-0000-000023170000}"/>
    <cellStyle name="Normal 10 18 7 2" xfId="5199" xr:uid="{00000000-0005-0000-0000-000024170000}"/>
    <cellStyle name="Normal 10 18 7 3" xfId="5200" xr:uid="{00000000-0005-0000-0000-000025170000}"/>
    <cellStyle name="Normal 10 18 7 4" xfId="5201" xr:uid="{00000000-0005-0000-0000-000026170000}"/>
    <cellStyle name="Normal 10 18 7 5" xfId="5202" xr:uid="{00000000-0005-0000-0000-000027170000}"/>
    <cellStyle name="Normal 10 18 7 6" xfId="5203" xr:uid="{00000000-0005-0000-0000-000028170000}"/>
    <cellStyle name="Normal 10 18 8" xfId="5204" xr:uid="{00000000-0005-0000-0000-000029170000}"/>
    <cellStyle name="Normal 10 18 8 2" xfId="5205" xr:uid="{00000000-0005-0000-0000-00002A170000}"/>
    <cellStyle name="Normal 10 18 8 3" xfId="5206" xr:uid="{00000000-0005-0000-0000-00002B170000}"/>
    <cellStyle name="Normal 10 18 8 4" xfId="5207" xr:uid="{00000000-0005-0000-0000-00002C170000}"/>
    <cellStyle name="Normal 10 18 8 5" xfId="5208" xr:uid="{00000000-0005-0000-0000-00002D170000}"/>
    <cellStyle name="Normal 10 18 8 6" xfId="5209" xr:uid="{00000000-0005-0000-0000-00002E170000}"/>
    <cellStyle name="Normal 10 18 9" xfId="5210" xr:uid="{00000000-0005-0000-0000-00002F170000}"/>
    <cellStyle name="Normal 10 19" xfId="5211" xr:uid="{00000000-0005-0000-0000-000030170000}"/>
    <cellStyle name="Normal 10 19 10" xfId="5212" xr:uid="{00000000-0005-0000-0000-000031170000}"/>
    <cellStyle name="Normal 10 19 11" xfId="5213" xr:uid="{00000000-0005-0000-0000-000032170000}"/>
    <cellStyle name="Normal 10 19 12" xfId="5214" xr:uid="{00000000-0005-0000-0000-000033170000}"/>
    <cellStyle name="Normal 10 19 13" xfId="5215" xr:uid="{00000000-0005-0000-0000-000034170000}"/>
    <cellStyle name="Normal 10 19 2" xfId="5216" xr:uid="{00000000-0005-0000-0000-000035170000}"/>
    <cellStyle name="Normal 10 19 2 2" xfId="5217" xr:uid="{00000000-0005-0000-0000-000036170000}"/>
    <cellStyle name="Normal 10 19 2 3" xfId="5218" xr:uid="{00000000-0005-0000-0000-000037170000}"/>
    <cellStyle name="Normal 10 19 2 4" xfId="5219" xr:uid="{00000000-0005-0000-0000-000038170000}"/>
    <cellStyle name="Normal 10 19 2 5" xfId="5220" xr:uid="{00000000-0005-0000-0000-000039170000}"/>
    <cellStyle name="Normal 10 19 2 6" xfId="5221" xr:uid="{00000000-0005-0000-0000-00003A170000}"/>
    <cellStyle name="Normal 10 19 3" xfId="5222" xr:uid="{00000000-0005-0000-0000-00003B170000}"/>
    <cellStyle name="Normal 10 19 3 2" xfId="5223" xr:uid="{00000000-0005-0000-0000-00003C170000}"/>
    <cellStyle name="Normal 10 19 3 3" xfId="5224" xr:uid="{00000000-0005-0000-0000-00003D170000}"/>
    <cellStyle name="Normal 10 19 3 4" xfId="5225" xr:uid="{00000000-0005-0000-0000-00003E170000}"/>
    <cellStyle name="Normal 10 19 3 5" xfId="5226" xr:uid="{00000000-0005-0000-0000-00003F170000}"/>
    <cellStyle name="Normal 10 19 3 6" xfId="5227" xr:uid="{00000000-0005-0000-0000-000040170000}"/>
    <cellStyle name="Normal 10 19 4" xfId="5228" xr:uid="{00000000-0005-0000-0000-000041170000}"/>
    <cellStyle name="Normal 10 19 4 2" xfId="5229" xr:uid="{00000000-0005-0000-0000-000042170000}"/>
    <cellStyle name="Normal 10 19 4 3" xfId="5230" xr:uid="{00000000-0005-0000-0000-000043170000}"/>
    <cellStyle name="Normal 10 19 4 4" xfId="5231" xr:uid="{00000000-0005-0000-0000-000044170000}"/>
    <cellStyle name="Normal 10 19 4 5" xfId="5232" xr:uid="{00000000-0005-0000-0000-000045170000}"/>
    <cellStyle name="Normal 10 19 4 6" xfId="5233" xr:uid="{00000000-0005-0000-0000-000046170000}"/>
    <cellStyle name="Normal 10 19 5" xfId="5234" xr:uid="{00000000-0005-0000-0000-000047170000}"/>
    <cellStyle name="Normal 10 19 5 2" xfId="5235" xr:uid="{00000000-0005-0000-0000-000048170000}"/>
    <cellStyle name="Normal 10 19 5 3" xfId="5236" xr:uid="{00000000-0005-0000-0000-000049170000}"/>
    <cellStyle name="Normal 10 19 5 4" xfId="5237" xr:uid="{00000000-0005-0000-0000-00004A170000}"/>
    <cellStyle name="Normal 10 19 5 5" xfId="5238" xr:uid="{00000000-0005-0000-0000-00004B170000}"/>
    <cellStyle name="Normal 10 19 5 6" xfId="5239" xr:uid="{00000000-0005-0000-0000-00004C170000}"/>
    <cellStyle name="Normal 10 19 6" xfId="5240" xr:uid="{00000000-0005-0000-0000-00004D170000}"/>
    <cellStyle name="Normal 10 19 6 2" xfId="5241" xr:uid="{00000000-0005-0000-0000-00004E170000}"/>
    <cellStyle name="Normal 10 19 6 3" xfId="5242" xr:uid="{00000000-0005-0000-0000-00004F170000}"/>
    <cellStyle name="Normal 10 19 6 4" xfId="5243" xr:uid="{00000000-0005-0000-0000-000050170000}"/>
    <cellStyle name="Normal 10 19 6 5" xfId="5244" xr:uid="{00000000-0005-0000-0000-000051170000}"/>
    <cellStyle name="Normal 10 19 6 6" xfId="5245" xr:uid="{00000000-0005-0000-0000-000052170000}"/>
    <cellStyle name="Normal 10 19 7" xfId="5246" xr:uid="{00000000-0005-0000-0000-000053170000}"/>
    <cellStyle name="Normal 10 19 7 2" xfId="5247" xr:uid="{00000000-0005-0000-0000-000054170000}"/>
    <cellStyle name="Normal 10 19 7 3" xfId="5248" xr:uid="{00000000-0005-0000-0000-000055170000}"/>
    <cellStyle name="Normal 10 19 7 4" xfId="5249" xr:uid="{00000000-0005-0000-0000-000056170000}"/>
    <cellStyle name="Normal 10 19 7 5" xfId="5250" xr:uid="{00000000-0005-0000-0000-000057170000}"/>
    <cellStyle name="Normal 10 19 7 6" xfId="5251" xr:uid="{00000000-0005-0000-0000-000058170000}"/>
    <cellStyle name="Normal 10 19 8" xfId="5252" xr:uid="{00000000-0005-0000-0000-000059170000}"/>
    <cellStyle name="Normal 10 19 8 2" xfId="5253" xr:uid="{00000000-0005-0000-0000-00005A170000}"/>
    <cellStyle name="Normal 10 19 8 3" xfId="5254" xr:uid="{00000000-0005-0000-0000-00005B170000}"/>
    <cellStyle name="Normal 10 19 8 4" xfId="5255" xr:uid="{00000000-0005-0000-0000-00005C170000}"/>
    <cellStyle name="Normal 10 19 8 5" xfId="5256" xr:uid="{00000000-0005-0000-0000-00005D170000}"/>
    <cellStyle name="Normal 10 19 8 6" xfId="5257" xr:uid="{00000000-0005-0000-0000-00005E170000}"/>
    <cellStyle name="Normal 10 19 9" xfId="5258" xr:uid="{00000000-0005-0000-0000-00005F170000}"/>
    <cellStyle name="Normal 10 2" xfId="5259" xr:uid="{00000000-0005-0000-0000-000060170000}"/>
    <cellStyle name="Normal 10 2 10" xfId="5260" xr:uid="{00000000-0005-0000-0000-000061170000}"/>
    <cellStyle name="Normal 10 2 10 2" xfId="5261" xr:uid="{00000000-0005-0000-0000-000062170000}"/>
    <cellStyle name="Normal 10 2 10 2 2" xfId="5262" xr:uid="{00000000-0005-0000-0000-000063170000}"/>
    <cellStyle name="Normal 10 2 10 2 3" xfId="5263" xr:uid="{00000000-0005-0000-0000-000064170000}"/>
    <cellStyle name="Normal 10 2 10 2 4" xfId="5264" xr:uid="{00000000-0005-0000-0000-000065170000}"/>
    <cellStyle name="Normal 10 2 10 3" xfId="5265" xr:uid="{00000000-0005-0000-0000-000066170000}"/>
    <cellStyle name="Normal 10 2 10 3 2" xfId="5266" xr:uid="{00000000-0005-0000-0000-000067170000}"/>
    <cellStyle name="Normal 10 2 10 3 3" xfId="5267" xr:uid="{00000000-0005-0000-0000-000068170000}"/>
    <cellStyle name="Normal 10 2 10 3 4" xfId="5268" xr:uid="{00000000-0005-0000-0000-000069170000}"/>
    <cellStyle name="Normal 10 2 10 4" xfId="5269" xr:uid="{00000000-0005-0000-0000-00006A170000}"/>
    <cellStyle name="Normal 10 2 10 5" xfId="5270" xr:uid="{00000000-0005-0000-0000-00006B170000}"/>
    <cellStyle name="Normal 10 2 10 6" xfId="5271" xr:uid="{00000000-0005-0000-0000-00006C170000}"/>
    <cellStyle name="Normal 10 2 11" xfId="5272" xr:uid="{00000000-0005-0000-0000-00006D170000}"/>
    <cellStyle name="Normal 10 2 11 2" xfId="5273" xr:uid="{00000000-0005-0000-0000-00006E170000}"/>
    <cellStyle name="Normal 10 2 11 2 2" xfId="5274" xr:uid="{00000000-0005-0000-0000-00006F170000}"/>
    <cellStyle name="Normal 10 2 11 2 3" xfId="5275" xr:uid="{00000000-0005-0000-0000-000070170000}"/>
    <cellStyle name="Normal 10 2 11 2 4" xfId="5276" xr:uid="{00000000-0005-0000-0000-000071170000}"/>
    <cellStyle name="Normal 10 2 11 3" xfId="5277" xr:uid="{00000000-0005-0000-0000-000072170000}"/>
    <cellStyle name="Normal 10 2 11 3 2" xfId="5278" xr:uid="{00000000-0005-0000-0000-000073170000}"/>
    <cellStyle name="Normal 10 2 11 3 3" xfId="5279" xr:uid="{00000000-0005-0000-0000-000074170000}"/>
    <cellStyle name="Normal 10 2 11 3 4" xfId="5280" xr:uid="{00000000-0005-0000-0000-000075170000}"/>
    <cellStyle name="Normal 10 2 11 4" xfId="5281" xr:uid="{00000000-0005-0000-0000-000076170000}"/>
    <cellStyle name="Normal 10 2 11 5" xfId="5282" xr:uid="{00000000-0005-0000-0000-000077170000}"/>
    <cellStyle name="Normal 10 2 11 6" xfId="5283" xr:uid="{00000000-0005-0000-0000-000078170000}"/>
    <cellStyle name="Normal 10 2 12" xfId="5284" xr:uid="{00000000-0005-0000-0000-000079170000}"/>
    <cellStyle name="Normal 10 2 12 2" xfId="5285" xr:uid="{00000000-0005-0000-0000-00007A170000}"/>
    <cellStyle name="Normal 10 2 12 2 2" xfId="5286" xr:uid="{00000000-0005-0000-0000-00007B170000}"/>
    <cellStyle name="Normal 10 2 12 2 3" xfId="5287" xr:uid="{00000000-0005-0000-0000-00007C170000}"/>
    <cellStyle name="Normal 10 2 12 2 4" xfId="5288" xr:uid="{00000000-0005-0000-0000-00007D170000}"/>
    <cellStyle name="Normal 10 2 12 3" xfId="5289" xr:uid="{00000000-0005-0000-0000-00007E170000}"/>
    <cellStyle name="Normal 10 2 12 3 2" xfId="5290" xr:uid="{00000000-0005-0000-0000-00007F170000}"/>
    <cellStyle name="Normal 10 2 12 3 3" xfId="5291" xr:uid="{00000000-0005-0000-0000-000080170000}"/>
    <cellStyle name="Normal 10 2 12 3 4" xfId="5292" xr:uid="{00000000-0005-0000-0000-000081170000}"/>
    <cellStyle name="Normal 10 2 12 4" xfId="5293" xr:uid="{00000000-0005-0000-0000-000082170000}"/>
    <cellStyle name="Normal 10 2 12 5" xfId="5294" xr:uid="{00000000-0005-0000-0000-000083170000}"/>
    <cellStyle name="Normal 10 2 12 6" xfId="5295" xr:uid="{00000000-0005-0000-0000-000084170000}"/>
    <cellStyle name="Normal 10 2 13" xfId="5296" xr:uid="{00000000-0005-0000-0000-000085170000}"/>
    <cellStyle name="Normal 10 2 13 2" xfId="5297" xr:uid="{00000000-0005-0000-0000-000086170000}"/>
    <cellStyle name="Normal 10 2 13 2 2" xfId="5298" xr:uid="{00000000-0005-0000-0000-000087170000}"/>
    <cellStyle name="Normal 10 2 13 2 3" xfId="5299" xr:uid="{00000000-0005-0000-0000-000088170000}"/>
    <cellStyle name="Normal 10 2 13 2 4" xfId="5300" xr:uid="{00000000-0005-0000-0000-000089170000}"/>
    <cellStyle name="Normal 10 2 13 3" xfId="5301" xr:uid="{00000000-0005-0000-0000-00008A170000}"/>
    <cellStyle name="Normal 10 2 13 3 2" xfId="5302" xr:uid="{00000000-0005-0000-0000-00008B170000}"/>
    <cellStyle name="Normal 10 2 13 3 3" xfId="5303" xr:uid="{00000000-0005-0000-0000-00008C170000}"/>
    <cellStyle name="Normal 10 2 13 3 4" xfId="5304" xr:uid="{00000000-0005-0000-0000-00008D170000}"/>
    <cellStyle name="Normal 10 2 13 4" xfId="5305" xr:uid="{00000000-0005-0000-0000-00008E170000}"/>
    <cellStyle name="Normal 10 2 13 5" xfId="5306" xr:uid="{00000000-0005-0000-0000-00008F170000}"/>
    <cellStyle name="Normal 10 2 13 6" xfId="5307" xr:uid="{00000000-0005-0000-0000-000090170000}"/>
    <cellStyle name="Normal 10 2 14" xfId="5308" xr:uid="{00000000-0005-0000-0000-000091170000}"/>
    <cellStyle name="Normal 10 2 14 2" xfId="5309" xr:uid="{00000000-0005-0000-0000-000092170000}"/>
    <cellStyle name="Normal 10 2 14 2 2" xfId="5310" xr:uid="{00000000-0005-0000-0000-000093170000}"/>
    <cellStyle name="Normal 10 2 14 2 3" xfId="5311" xr:uid="{00000000-0005-0000-0000-000094170000}"/>
    <cellStyle name="Normal 10 2 14 2 4" xfId="5312" xr:uid="{00000000-0005-0000-0000-000095170000}"/>
    <cellStyle name="Normal 10 2 14 3" xfId="5313" xr:uid="{00000000-0005-0000-0000-000096170000}"/>
    <cellStyle name="Normal 10 2 14 3 2" xfId="5314" xr:uid="{00000000-0005-0000-0000-000097170000}"/>
    <cellStyle name="Normal 10 2 14 3 3" xfId="5315" xr:uid="{00000000-0005-0000-0000-000098170000}"/>
    <cellStyle name="Normal 10 2 14 3 4" xfId="5316" xr:uid="{00000000-0005-0000-0000-000099170000}"/>
    <cellStyle name="Normal 10 2 14 4" xfId="5317" xr:uid="{00000000-0005-0000-0000-00009A170000}"/>
    <cellStyle name="Normal 10 2 14 5" xfId="5318" xr:uid="{00000000-0005-0000-0000-00009B170000}"/>
    <cellStyle name="Normal 10 2 14 6" xfId="5319" xr:uid="{00000000-0005-0000-0000-00009C170000}"/>
    <cellStyle name="Normal 10 2 15" xfId="5320" xr:uid="{00000000-0005-0000-0000-00009D170000}"/>
    <cellStyle name="Normal 10 2 15 2" xfId="5321" xr:uid="{00000000-0005-0000-0000-00009E170000}"/>
    <cellStyle name="Normal 10 2 15 2 2" xfId="5322" xr:uid="{00000000-0005-0000-0000-00009F170000}"/>
    <cellStyle name="Normal 10 2 15 2 3" xfId="5323" xr:uid="{00000000-0005-0000-0000-0000A0170000}"/>
    <cellStyle name="Normal 10 2 15 2 4" xfId="5324" xr:uid="{00000000-0005-0000-0000-0000A1170000}"/>
    <cellStyle name="Normal 10 2 15 3" xfId="5325" xr:uid="{00000000-0005-0000-0000-0000A2170000}"/>
    <cellStyle name="Normal 10 2 15 3 2" xfId="5326" xr:uid="{00000000-0005-0000-0000-0000A3170000}"/>
    <cellStyle name="Normal 10 2 15 3 3" xfId="5327" xr:uid="{00000000-0005-0000-0000-0000A4170000}"/>
    <cellStyle name="Normal 10 2 15 3 4" xfId="5328" xr:uid="{00000000-0005-0000-0000-0000A5170000}"/>
    <cellStyle name="Normal 10 2 15 4" xfId="5329" xr:uid="{00000000-0005-0000-0000-0000A6170000}"/>
    <cellStyle name="Normal 10 2 15 5" xfId="5330" xr:uid="{00000000-0005-0000-0000-0000A7170000}"/>
    <cellStyle name="Normal 10 2 15 6" xfId="5331" xr:uid="{00000000-0005-0000-0000-0000A8170000}"/>
    <cellStyle name="Normal 10 2 16" xfId="5332" xr:uid="{00000000-0005-0000-0000-0000A9170000}"/>
    <cellStyle name="Normal 10 2 16 2" xfId="5333" xr:uid="{00000000-0005-0000-0000-0000AA170000}"/>
    <cellStyle name="Normal 10 2 16 2 2" xfId="5334" xr:uid="{00000000-0005-0000-0000-0000AB170000}"/>
    <cellStyle name="Normal 10 2 16 2 3" xfId="5335" xr:uid="{00000000-0005-0000-0000-0000AC170000}"/>
    <cellStyle name="Normal 10 2 16 2 4" xfId="5336" xr:uid="{00000000-0005-0000-0000-0000AD170000}"/>
    <cellStyle name="Normal 10 2 16 3" xfId="5337" xr:uid="{00000000-0005-0000-0000-0000AE170000}"/>
    <cellStyle name="Normal 10 2 16 3 2" xfId="5338" xr:uid="{00000000-0005-0000-0000-0000AF170000}"/>
    <cellStyle name="Normal 10 2 16 3 3" xfId="5339" xr:uid="{00000000-0005-0000-0000-0000B0170000}"/>
    <cellStyle name="Normal 10 2 16 3 4" xfId="5340" xr:uid="{00000000-0005-0000-0000-0000B1170000}"/>
    <cellStyle name="Normal 10 2 16 4" xfId="5341" xr:uid="{00000000-0005-0000-0000-0000B2170000}"/>
    <cellStyle name="Normal 10 2 16 5" xfId="5342" xr:uid="{00000000-0005-0000-0000-0000B3170000}"/>
    <cellStyle name="Normal 10 2 16 6" xfId="5343" xr:uid="{00000000-0005-0000-0000-0000B4170000}"/>
    <cellStyle name="Normal 10 2 17" xfId="5344" xr:uid="{00000000-0005-0000-0000-0000B5170000}"/>
    <cellStyle name="Normal 10 2 17 2" xfId="5345" xr:uid="{00000000-0005-0000-0000-0000B6170000}"/>
    <cellStyle name="Normal 10 2 17 2 2" xfId="5346" xr:uid="{00000000-0005-0000-0000-0000B7170000}"/>
    <cellStyle name="Normal 10 2 17 2 3" xfId="5347" xr:uid="{00000000-0005-0000-0000-0000B8170000}"/>
    <cellStyle name="Normal 10 2 17 2 4" xfId="5348" xr:uid="{00000000-0005-0000-0000-0000B9170000}"/>
    <cellStyle name="Normal 10 2 17 3" xfId="5349" xr:uid="{00000000-0005-0000-0000-0000BA170000}"/>
    <cellStyle name="Normal 10 2 17 3 2" xfId="5350" xr:uid="{00000000-0005-0000-0000-0000BB170000}"/>
    <cellStyle name="Normal 10 2 17 3 3" xfId="5351" xr:uid="{00000000-0005-0000-0000-0000BC170000}"/>
    <cellStyle name="Normal 10 2 17 3 4" xfId="5352" xr:uid="{00000000-0005-0000-0000-0000BD170000}"/>
    <cellStyle name="Normal 10 2 17 4" xfId="5353" xr:uid="{00000000-0005-0000-0000-0000BE170000}"/>
    <cellStyle name="Normal 10 2 17 5" xfId="5354" xr:uid="{00000000-0005-0000-0000-0000BF170000}"/>
    <cellStyle name="Normal 10 2 17 6" xfId="5355" xr:uid="{00000000-0005-0000-0000-0000C0170000}"/>
    <cellStyle name="Normal 10 2 18" xfId="5356" xr:uid="{00000000-0005-0000-0000-0000C1170000}"/>
    <cellStyle name="Normal 10 2 18 2" xfId="5357" xr:uid="{00000000-0005-0000-0000-0000C2170000}"/>
    <cellStyle name="Normal 10 2 18 3" xfId="5358" xr:uid="{00000000-0005-0000-0000-0000C3170000}"/>
    <cellStyle name="Normal 10 2 18 4" xfId="5359" xr:uid="{00000000-0005-0000-0000-0000C4170000}"/>
    <cellStyle name="Normal 10 2 19" xfId="5360" xr:uid="{00000000-0005-0000-0000-0000C5170000}"/>
    <cellStyle name="Normal 10 2 19 2" xfId="5361" xr:uid="{00000000-0005-0000-0000-0000C6170000}"/>
    <cellStyle name="Normal 10 2 19 3" xfId="5362" xr:uid="{00000000-0005-0000-0000-0000C7170000}"/>
    <cellStyle name="Normal 10 2 19 4" xfId="5363" xr:uid="{00000000-0005-0000-0000-0000C8170000}"/>
    <cellStyle name="Normal 10 2 2" xfId="5364" xr:uid="{00000000-0005-0000-0000-0000C9170000}"/>
    <cellStyle name="Normal 10 2 2 2" xfId="5365" xr:uid="{00000000-0005-0000-0000-0000CA170000}"/>
    <cellStyle name="Normal 10 2 2 2 2" xfId="5366" xr:uid="{00000000-0005-0000-0000-0000CB170000}"/>
    <cellStyle name="Normal 10 2 2 2 3" xfId="5367" xr:uid="{00000000-0005-0000-0000-0000CC170000}"/>
    <cellStyle name="Normal 10 2 2 2 4" xfId="5368" xr:uid="{00000000-0005-0000-0000-0000CD170000}"/>
    <cellStyle name="Normal 10 2 2 3" xfId="5369" xr:uid="{00000000-0005-0000-0000-0000CE170000}"/>
    <cellStyle name="Normal 10 2 2 3 2" xfId="5370" xr:uid="{00000000-0005-0000-0000-0000CF170000}"/>
    <cellStyle name="Normal 10 2 2 3 3" xfId="5371" xr:uid="{00000000-0005-0000-0000-0000D0170000}"/>
    <cellStyle name="Normal 10 2 2 3 4" xfId="5372" xr:uid="{00000000-0005-0000-0000-0000D1170000}"/>
    <cellStyle name="Normal 10 2 2 4" xfId="5373" xr:uid="{00000000-0005-0000-0000-0000D2170000}"/>
    <cellStyle name="Normal 10 2 2 5" xfId="5374" xr:uid="{00000000-0005-0000-0000-0000D3170000}"/>
    <cellStyle name="Normal 10 2 2 6" xfId="5375" xr:uid="{00000000-0005-0000-0000-0000D4170000}"/>
    <cellStyle name="Normal 10 2 20" xfId="5376" xr:uid="{00000000-0005-0000-0000-0000D5170000}"/>
    <cellStyle name="Normal 10 2 20 2" xfId="5377" xr:uid="{00000000-0005-0000-0000-0000D6170000}"/>
    <cellStyle name="Normal 10 2 20 3" xfId="5378" xr:uid="{00000000-0005-0000-0000-0000D7170000}"/>
    <cellStyle name="Normal 10 2 20 4" xfId="5379" xr:uid="{00000000-0005-0000-0000-0000D8170000}"/>
    <cellStyle name="Normal 10 2 21" xfId="5380" xr:uid="{00000000-0005-0000-0000-0000D9170000}"/>
    <cellStyle name="Normal 10 2 22" xfId="5381" xr:uid="{00000000-0005-0000-0000-0000DA170000}"/>
    <cellStyle name="Normal 10 2 23" xfId="5382" xr:uid="{00000000-0005-0000-0000-0000DB170000}"/>
    <cellStyle name="Normal 10 2 24" xfId="5383" xr:uid="{00000000-0005-0000-0000-0000DC170000}"/>
    <cellStyle name="Normal 10 2 3" xfId="5384" xr:uid="{00000000-0005-0000-0000-0000DD170000}"/>
    <cellStyle name="Normal 10 2 3 2" xfId="5385" xr:uid="{00000000-0005-0000-0000-0000DE170000}"/>
    <cellStyle name="Normal 10 2 3 2 2" xfId="5386" xr:uid="{00000000-0005-0000-0000-0000DF170000}"/>
    <cellStyle name="Normal 10 2 3 2 3" xfId="5387" xr:uid="{00000000-0005-0000-0000-0000E0170000}"/>
    <cellStyle name="Normal 10 2 3 2 4" xfId="5388" xr:uid="{00000000-0005-0000-0000-0000E1170000}"/>
    <cellStyle name="Normal 10 2 3 3" xfId="5389" xr:uid="{00000000-0005-0000-0000-0000E2170000}"/>
    <cellStyle name="Normal 10 2 3 3 2" xfId="5390" xr:uid="{00000000-0005-0000-0000-0000E3170000}"/>
    <cellStyle name="Normal 10 2 3 3 3" xfId="5391" xr:uid="{00000000-0005-0000-0000-0000E4170000}"/>
    <cellStyle name="Normal 10 2 3 3 4" xfId="5392" xr:uid="{00000000-0005-0000-0000-0000E5170000}"/>
    <cellStyle name="Normal 10 2 3 4" xfId="5393" xr:uid="{00000000-0005-0000-0000-0000E6170000}"/>
    <cellStyle name="Normal 10 2 3 5" xfId="5394" xr:uid="{00000000-0005-0000-0000-0000E7170000}"/>
    <cellStyle name="Normal 10 2 3 6" xfId="5395" xr:uid="{00000000-0005-0000-0000-0000E8170000}"/>
    <cellStyle name="Normal 10 2 4" xfId="5396" xr:uid="{00000000-0005-0000-0000-0000E9170000}"/>
    <cellStyle name="Normal 10 2 4 2" xfId="5397" xr:uid="{00000000-0005-0000-0000-0000EA170000}"/>
    <cellStyle name="Normal 10 2 4 2 2" xfId="5398" xr:uid="{00000000-0005-0000-0000-0000EB170000}"/>
    <cellStyle name="Normal 10 2 4 2 3" xfId="5399" xr:uid="{00000000-0005-0000-0000-0000EC170000}"/>
    <cellStyle name="Normal 10 2 4 2 4" xfId="5400" xr:uid="{00000000-0005-0000-0000-0000ED170000}"/>
    <cellStyle name="Normal 10 2 4 3" xfId="5401" xr:uid="{00000000-0005-0000-0000-0000EE170000}"/>
    <cellStyle name="Normal 10 2 4 3 2" xfId="5402" xr:uid="{00000000-0005-0000-0000-0000EF170000}"/>
    <cellStyle name="Normal 10 2 4 3 3" xfId="5403" xr:uid="{00000000-0005-0000-0000-0000F0170000}"/>
    <cellStyle name="Normal 10 2 4 3 4" xfId="5404" xr:uid="{00000000-0005-0000-0000-0000F1170000}"/>
    <cellStyle name="Normal 10 2 4 4" xfId="5405" xr:uid="{00000000-0005-0000-0000-0000F2170000}"/>
    <cellStyle name="Normal 10 2 4 5" xfId="5406" xr:uid="{00000000-0005-0000-0000-0000F3170000}"/>
    <cellStyle name="Normal 10 2 4 6" xfId="5407" xr:uid="{00000000-0005-0000-0000-0000F4170000}"/>
    <cellStyle name="Normal 10 2 5" xfId="5408" xr:uid="{00000000-0005-0000-0000-0000F5170000}"/>
    <cellStyle name="Normal 10 2 5 2" xfId="5409" xr:uid="{00000000-0005-0000-0000-0000F6170000}"/>
    <cellStyle name="Normal 10 2 5 2 2" xfId="5410" xr:uid="{00000000-0005-0000-0000-0000F7170000}"/>
    <cellStyle name="Normal 10 2 5 2 3" xfId="5411" xr:uid="{00000000-0005-0000-0000-0000F8170000}"/>
    <cellStyle name="Normal 10 2 5 2 4" xfId="5412" xr:uid="{00000000-0005-0000-0000-0000F9170000}"/>
    <cellStyle name="Normal 10 2 5 3" xfId="5413" xr:uid="{00000000-0005-0000-0000-0000FA170000}"/>
    <cellStyle name="Normal 10 2 5 3 2" xfId="5414" xr:uid="{00000000-0005-0000-0000-0000FB170000}"/>
    <cellStyle name="Normal 10 2 5 3 3" xfId="5415" xr:uid="{00000000-0005-0000-0000-0000FC170000}"/>
    <cellStyle name="Normal 10 2 5 3 4" xfId="5416" xr:uid="{00000000-0005-0000-0000-0000FD170000}"/>
    <cellStyle name="Normal 10 2 5 4" xfId="5417" xr:uid="{00000000-0005-0000-0000-0000FE170000}"/>
    <cellStyle name="Normal 10 2 5 5" xfId="5418" xr:uid="{00000000-0005-0000-0000-0000FF170000}"/>
    <cellStyle name="Normal 10 2 5 6" xfId="5419" xr:uid="{00000000-0005-0000-0000-000000180000}"/>
    <cellStyle name="Normal 10 2 6" xfId="5420" xr:uid="{00000000-0005-0000-0000-000001180000}"/>
    <cellStyle name="Normal 10 2 6 2" xfId="5421" xr:uid="{00000000-0005-0000-0000-000002180000}"/>
    <cellStyle name="Normal 10 2 6 2 2" xfId="5422" xr:uid="{00000000-0005-0000-0000-000003180000}"/>
    <cellStyle name="Normal 10 2 6 2 3" xfId="5423" xr:uid="{00000000-0005-0000-0000-000004180000}"/>
    <cellStyle name="Normal 10 2 6 2 4" xfId="5424" xr:uid="{00000000-0005-0000-0000-000005180000}"/>
    <cellStyle name="Normal 10 2 6 3" xfId="5425" xr:uid="{00000000-0005-0000-0000-000006180000}"/>
    <cellStyle name="Normal 10 2 6 3 2" xfId="5426" xr:uid="{00000000-0005-0000-0000-000007180000}"/>
    <cellStyle name="Normal 10 2 6 3 3" xfId="5427" xr:uid="{00000000-0005-0000-0000-000008180000}"/>
    <cellStyle name="Normal 10 2 6 3 4" xfId="5428" xr:uid="{00000000-0005-0000-0000-000009180000}"/>
    <cellStyle name="Normal 10 2 6 4" xfId="5429" xr:uid="{00000000-0005-0000-0000-00000A180000}"/>
    <cellStyle name="Normal 10 2 6 5" xfId="5430" xr:uid="{00000000-0005-0000-0000-00000B180000}"/>
    <cellStyle name="Normal 10 2 6 6" xfId="5431" xr:uid="{00000000-0005-0000-0000-00000C180000}"/>
    <cellStyle name="Normal 10 2 7" xfId="5432" xr:uid="{00000000-0005-0000-0000-00000D180000}"/>
    <cellStyle name="Normal 10 2 7 2" xfId="5433" xr:uid="{00000000-0005-0000-0000-00000E180000}"/>
    <cellStyle name="Normal 10 2 7 2 2" xfId="5434" xr:uid="{00000000-0005-0000-0000-00000F180000}"/>
    <cellStyle name="Normal 10 2 7 2 3" xfId="5435" xr:uid="{00000000-0005-0000-0000-000010180000}"/>
    <cellStyle name="Normal 10 2 7 2 4" xfId="5436" xr:uid="{00000000-0005-0000-0000-000011180000}"/>
    <cellStyle name="Normal 10 2 7 3" xfId="5437" xr:uid="{00000000-0005-0000-0000-000012180000}"/>
    <cellStyle name="Normal 10 2 7 3 2" xfId="5438" xr:uid="{00000000-0005-0000-0000-000013180000}"/>
    <cellStyle name="Normal 10 2 7 3 3" xfId="5439" xr:uid="{00000000-0005-0000-0000-000014180000}"/>
    <cellStyle name="Normal 10 2 7 3 4" xfId="5440" xr:uid="{00000000-0005-0000-0000-000015180000}"/>
    <cellStyle name="Normal 10 2 7 4" xfId="5441" xr:uid="{00000000-0005-0000-0000-000016180000}"/>
    <cellStyle name="Normal 10 2 7 5" xfId="5442" xr:uid="{00000000-0005-0000-0000-000017180000}"/>
    <cellStyle name="Normal 10 2 7 6" xfId="5443" xr:uid="{00000000-0005-0000-0000-000018180000}"/>
    <cellStyle name="Normal 10 2 8" xfId="5444" xr:uid="{00000000-0005-0000-0000-000019180000}"/>
    <cellStyle name="Normal 10 2 8 2" xfId="5445" xr:uid="{00000000-0005-0000-0000-00001A180000}"/>
    <cellStyle name="Normal 10 2 8 2 2" xfId="5446" xr:uid="{00000000-0005-0000-0000-00001B180000}"/>
    <cellStyle name="Normal 10 2 8 2 3" xfId="5447" xr:uid="{00000000-0005-0000-0000-00001C180000}"/>
    <cellStyle name="Normal 10 2 8 2 4" xfId="5448" xr:uid="{00000000-0005-0000-0000-00001D180000}"/>
    <cellStyle name="Normal 10 2 8 3" xfId="5449" xr:uid="{00000000-0005-0000-0000-00001E180000}"/>
    <cellStyle name="Normal 10 2 8 3 2" xfId="5450" xr:uid="{00000000-0005-0000-0000-00001F180000}"/>
    <cellStyle name="Normal 10 2 8 3 3" xfId="5451" xr:uid="{00000000-0005-0000-0000-000020180000}"/>
    <cellStyle name="Normal 10 2 8 3 4" xfId="5452" xr:uid="{00000000-0005-0000-0000-000021180000}"/>
    <cellStyle name="Normal 10 2 8 4" xfId="5453" xr:uid="{00000000-0005-0000-0000-000022180000}"/>
    <cellStyle name="Normal 10 2 8 5" xfId="5454" xr:uid="{00000000-0005-0000-0000-000023180000}"/>
    <cellStyle name="Normal 10 2 8 6" xfId="5455" xr:uid="{00000000-0005-0000-0000-000024180000}"/>
    <cellStyle name="Normal 10 2 9" xfId="5456" xr:uid="{00000000-0005-0000-0000-000025180000}"/>
    <cellStyle name="Normal 10 2 9 2" xfId="5457" xr:uid="{00000000-0005-0000-0000-000026180000}"/>
    <cellStyle name="Normal 10 2 9 2 2" xfId="5458" xr:uid="{00000000-0005-0000-0000-000027180000}"/>
    <cellStyle name="Normal 10 2 9 2 3" xfId="5459" xr:uid="{00000000-0005-0000-0000-000028180000}"/>
    <cellStyle name="Normal 10 2 9 2 4" xfId="5460" xr:uid="{00000000-0005-0000-0000-000029180000}"/>
    <cellStyle name="Normal 10 2 9 3" xfId="5461" xr:uid="{00000000-0005-0000-0000-00002A180000}"/>
    <cellStyle name="Normal 10 2 9 3 2" xfId="5462" xr:uid="{00000000-0005-0000-0000-00002B180000}"/>
    <cellStyle name="Normal 10 2 9 3 3" xfId="5463" xr:uid="{00000000-0005-0000-0000-00002C180000}"/>
    <cellStyle name="Normal 10 2 9 3 4" xfId="5464" xr:uid="{00000000-0005-0000-0000-00002D180000}"/>
    <cellStyle name="Normal 10 2 9 4" xfId="5465" xr:uid="{00000000-0005-0000-0000-00002E180000}"/>
    <cellStyle name="Normal 10 2 9 5" xfId="5466" xr:uid="{00000000-0005-0000-0000-00002F180000}"/>
    <cellStyle name="Normal 10 2 9 6" xfId="5467" xr:uid="{00000000-0005-0000-0000-000030180000}"/>
    <cellStyle name="Normal 10 20" xfId="5468" xr:uid="{00000000-0005-0000-0000-000031180000}"/>
    <cellStyle name="Normal 10 20 10" xfId="5469" xr:uid="{00000000-0005-0000-0000-000032180000}"/>
    <cellStyle name="Normal 10 20 11" xfId="5470" xr:uid="{00000000-0005-0000-0000-000033180000}"/>
    <cellStyle name="Normal 10 20 12" xfId="5471" xr:uid="{00000000-0005-0000-0000-000034180000}"/>
    <cellStyle name="Normal 10 20 13" xfId="5472" xr:uid="{00000000-0005-0000-0000-000035180000}"/>
    <cellStyle name="Normal 10 20 2" xfId="5473" xr:uid="{00000000-0005-0000-0000-000036180000}"/>
    <cellStyle name="Normal 10 20 2 2" xfId="5474" xr:uid="{00000000-0005-0000-0000-000037180000}"/>
    <cellStyle name="Normal 10 20 2 3" xfId="5475" xr:uid="{00000000-0005-0000-0000-000038180000}"/>
    <cellStyle name="Normal 10 20 2 4" xfId="5476" xr:uid="{00000000-0005-0000-0000-000039180000}"/>
    <cellStyle name="Normal 10 20 2 5" xfId="5477" xr:uid="{00000000-0005-0000-0000-00003A180000}"/>
    <cellStyle name="Normal 10 20 2 6" xfId="5478" xr:uid="{00000000-0005-0000-0000-00003B180000}"/>
    <cellStyle name="Normal 10 20 3" xfId="5479" xr:uid="{00000000-0005-0000-0000-00003C180000}"/>
    <cellStyle name="Normal 10 20 3 2" xfId="5480" xr:uid="{00000000-0005-0000-0000-00003D180000}"/>
    <cellStyle name="Normal 10 20 3 3" xfId="5481" xr:uid="{00000000-0005-0000-0000-00003E180000}"/>
    <cellStyle name="Normal 10 20 3 4" xfId="5482" xr:uid="{00000000-0005-0000-0000-00003F180000}"/>
    <cellStyle name="Normal 10 20 3 5" xfId="5483" xr:uid="{00000000-0005-0000-0000-000040180000}"/>
    <cellStyle name="Normal 10 20 3 6" xfId="5484" xr:uid="{00000000-0005-0000-0000-000041180000}"/>
    <cellStyle name="Normal 10 20 4" xfId="5485" xr:uid="{00000000-0005-0000-0000-000042180000}"/>
    <cellStyle name="Normal 10 20 4 2" xfId="5486" xr:uid="{00000000-0005-0000-0000-000043180000}"/>
    <cellStyle name="Normal 10 20 4 3" xfId="5487" xr:uid="{00000000-0005-0000-0000-000044180000}"/>
    <cellStyle name="Normal 10 20 4 4" xfId="5488" xr:uid="{00000000-0005-0000-0000-000045180000}"/>
    <cellStyle name="Normal 10 20 4 5" xfId="5489" xr:uid="{00000000-0005-0000-0000-000046180000}"/>
    <cellStyle name="Normal 10 20 4 6" xfId="5490" xr:uid="{00000000-0005-0000-0000-000047180000}"/>
    <cellStyle name="Normal 10 20 5" xfId="5491" xr:uid="{00000000-0005-0000-0000-000048180000}"/>
    <cellStyle name="Normal 10 20 5 2" xfId="5492" xr:uid="{00000000-0005-0000-0000-000049180000}"/>
    <cellStyle name="Normal 10 20 5 3" xfId="5493" xr:uid="{00000000-0005-0000-0000-00004A180000}"/>
    <cellStyle name="Normal 10 20 5 4" xfId="5494" xr:uid="{00000000-0005-0000-0000-00004B180000}"/>
    <cellStyle name="Normal 10 20 5 5" xfId="5495" xr:uid="{00000000-0005-0000-0000-00004C180000}"/>
    <cellStyle name="Normal 10 20 5 6" xfId="5496" xr:uid="{00000000-0005-0000-0000-00004D180000}"/>
    <cellStyle name="Normal 10 20 6" xfId="5497" xr:uid="{00000000-0005-0000-0000-00004E180000}"/>
    <cellStyle name="Normal 10 20 6 2" xfId="5498" xr:uid="{00000000-0005-0000-0000-00004F180000}"/>
    <cellStyle name="Normal 10 20 6 3" xfId="5499" xr:uid="{00000000-0005-0000-0000-000050180000}"/>
    <cellStyle name="Normal 10 20 6 4" xfId="5500" xr:uid="{00000000-0005-0000-0000-000051180000}"/>
    <cellStyle name="Normal 10 20 6 5" xfId="5501" xr:uid="{00000000-0005-0000-0000-000052180000}"/>
    <cellStyle name="Normal 10 20 6 6" xfId="5502" xr:uid="{00000000-0005-0000-0000-000053180000}"/>
    <cellStyle name="Normal 10 20 7" xfId="5503" xr:uid="{00000000-0005-0000-0000-000054180000}"/>
    <cellStyle name="Normal 10 20 7 2" xfId="5504" xr:uid="{00000000-0005-0000-0000-000055180000}"/>
    <cellStyle name="Normal 10 20 7 3" xfId="5505" xr:uid="{00000000-0005-0000-0000-000056180000}"/>
    <cellStyle name="Normal 10 20 7 4" xfId="5506" xr:uid="{00000000-0005-0000-0000-000057180000}"/>
    <cellStyle name="Normal 10 20 7 5" xfId="5507" xr:uid="{00000000-0005-0000-0000-000058180000}"/>
    <cellStyle name="Normal 10 20 7 6" xfId="5508" xr:uid="{00000000-0005-0000-0000-000059180000}"/>
    <cellStyle name="Normal 10 20 8" xfId="5509" xr:uid="{00000000-0005-0000-0000-00005A180000}"/>
    <cellStyle name="Normal 10 20 8 2" xfId="5510" xr:uid="{00000000-0005-0000-0000-00005B180000}"/>
    <cellStyle name="Normal 10 20 8 3" xfId="5511" xr:uid="{00000000-0005-0000-0000-00005C180000}"/>
    <cellStyle name="Normal 10 20 8 4" xfId="5512" xr:uid="{00000000-0005-0000-0000-00005D180000}"/>
    <cellStyle name="Normal 10 20 8 5" xfId="5513" xr:uid="{00000000-0005-0000-0000-00005E180000}"/>
    <cellStyle name="Normal 10 20 8 6" xfId="5514" xr:uid="{00000000-0005-0000-0000-00005F180000}"/>
    <cellStyle name="Normal 10 20 9" xfId="5515" xr:uid="{00000000-0005-0000-0000-000060180000}"/>
    <cellStyle name="Normal 10 21" xfId="5516" xr:uid="{00000000-0005-0000-0000-000061180000}"/>
    <cellStyle name="Normal 10 21 10" xfId="5517" xr:uid="{00000000-0005-0000-0000-000062180000}"/>
    <cellStyle name="Normal 10 21 11" xfId="5518" xr:uid="{00000000-0005-0000-0000-000063180000}"/>
    <cellStyle name="Normal 10 21 12" xfId="5519" xr:uid="{00000000-0005-0000-0000-000064180000}"/>
    <cellStyle name="Normal 10 21 13" xfId="5520" xr:uid="{00000000-0005-0000-0000-000065180000}"/>
    <cellStyle name="Normal 10 21 2" xfId="5521" xr:uid="{00000000-0005-0000-0000-000066180000}"/>
    <cellStyle name="Normal 10 21 2 2" xfId="5522" xr:uid="{00000000-0005-0000-0000-000067180000}"/>
    <cellStyle name="Normal 10 21 2 3" xfId="5523" xr:uid="{00000000-0005-0000-0000-000068180000}"/>
    <cellStyle name="Normal 10 21 2 4" xfId="5524" xr:uid="{00000000-0005-0000-0000-000069180000}"/>
    <cellStyle name="Normal 10 21 2 5" xfId="5525" xr:uid="{00000000-0005-0000-0000-00006A180000}"/>
    <cellStyle name="Normal 10 21 2 6" xfId="5526" xr:uid="{00000000-0005-0000-0000-00006B180000}"/>
    <cellStyle name="Normal 10 21 3" xfId="5527" xr:uid="{00000000-0005-0000-0000-00006C180000}"/>
    <cellStyle name="Normal 10 21 3 2" xfId="5528" xr:uid="{00000000-0005-0000-0000-00006D180000}"/>
    <cellStyle name="Normal 10 21 3 3" xfId="5529" xr:uid="{00000000-0005-0000-0000-00006E180000}"/>
    <cellStyle name="Normal 10 21 3 4" xfId="5530" xr:uid="{00000000-0005-0000-0000-00006F180000}"/>
    <cellStyle name="Normal 10 21 3 5" xfId="5531" xr:uid="{00000000-0005-0000-0000-000070180000}"/>
    <cellStyle name="Normal 10 21 3 6" xfId="5532" xr:uid="{00000000-0005-0000-0000-000071180000}"/>
    <cellStyle name="Normal 10 21 4" xfId="5533" xr:uid="{00000000-0005-0000-0000-000072180000}"/>
    <cellStyle name="Normal 10 21 4 2" xfId="5534" xr:uid="{00000000-0005-0000-0000-000073180000}"/>
    <cellStyle name="Normal 10 21 4 3" xfId="5535" xr:uid="{00000000-0005-0000-0000-000074180000}"/>
    <cellStyle name="Normal 10 21 4 4" xfId="5536" xr:uid="{00000000-0005-0000-0000-000075180000}"/>
    <cellStyle name="Normal 10 21 4 5" xfId="5537" xr:uid="{00000000-0005-0000-0000-000076180000}"/>
    <cellStyle name="Normal 10 21 4 6" xfId="5538" xr:uid="{00000000-0005-0000-0000-000077180000}"/>
    <cellStyle name="Normal 10 21 5" xfId="5539" xr:uid="{00000000-0005-0000-0000-000078180000}"/>
    <cellStyle name="Normal 10 21 5 2" xfId="5540" xr:uid="{00000000-0005-0000-0000-000079180000}"/>
    <cellStyle name="Normal 10 21 5 3" xfId="5541" xr:uid="{00000000-0005-0000-0000-00007A180000}"/>
    <cellStyle name="Normal 10 21 5 4" xfId="5542" xr:uid="{00000000-0005-0000-0000-00007B180000}"/>
    <cellStyle name="Normal 10 21 5 5" xfId="5543" xr:uid="{00000000-0005-0000-0000-00007C180000}"/>
    <cellStyle name="Normal 10 21 5 6" xfId="5544" xr:uid="{00000000-0005-0000-0000-00007D180000}"/>
    <cellStyle name="Normal 10 21 6" xfId="5545" xr:uid="{00000000-0005-0000-0000-00007E180000}"/>
    <cellStyle name="Normal 10 21 6 2" xfId="5546" xr:uid="{00000000-0005-0000-0000-00007F180000}"/>
    <cellStyle name="Normal 10 21 6 3" xfId="5547" xr:uid="{00000000-0005-0000-0000-000080180000}"/>
    <cellStyle name="Normal 10 21 6 4" xfId="5548" xr:uid="{00000000-0005-0000-0000-000081180000}"/>
    <cellStyle name="Normal 10 21 6 5" xfId="5549" xr:uid="{00000000-0005-0000-0000-000082180000}"/>
    <cellStyle name="Normal 10 21 6 6" xfId="5550" xr:uid="{00000000-0005-0000-0000-000083180000}"/>
    <cellStyle name="Normal 10 21 7" xfId="5551" xr:uid="{00000000-0005-0000-0000-000084180000}"/>
    <cellStyle name="Normal 10 21 7 2" xfId="5552" xr:uid="{00000000-0005-0000-0000-000085180000}"/>
    <cellStyle name="Normal 10 21 7 3" xfId="5553" xr:uid="{00000000-0005-0000-0000-000086180000}"/>
    <cellStyle name="Normal 10 21 7 4" xfId="5554" xr:uid="{00000000-0005-0000-0000-000087180000}"/>
    <cellStyle name="Normal 10 21 7 5" xfId="5555" xr:uid="{00000000-0005-0000-0000-000088180000}"/>
    <cellStyle name="Normal 10 21 7 6" xfId="5556" xr:uid="{00000000-0005-0000-0000-000089180000}"/>
    <cellStyle name="Normal 10 21 8" xfId="5557" xr:uid="{00000000-0005-0000-0000-00008A180000}"/>
    <cellStyle name="Normal 10 21 8 2" xfId="5558" xr:uid="{00000000-0005-0000-0000-00008B180000}"/>
    <cellStyle name="Normal 10 21 8 3" xfId="5559" xr:uid="{00000000-0005-0000-0000-00008C180000}"/>
    <cellStyle name="Normal 10 21 8 4" xfId="5560" xr:uid="{00000000-0005-0000-0000-00008D180000}"/>
    <cellStyle name="Normal 10 21 8 5" xfId="5561" xr:uid="{00000000-0005-0000-0000-00008E180000}"/>
    <cellStyle name="Normal 10 21 8 6" xfId="5562" xr:uid="{00000000-0005-0000-0000-00008F180000}"/>
    <cellStyle name="Normal 10 21 9" xfId="5563" xr:uid="{00000000-0005-0000-0000-000090180000}"/>
    <cellStyle name="Normal 10 22" xfId="5564" xr:uid="{00000000-0005-0000-0000-000091180000}"/>
    <cellStyle name="Normal 10 22 10" xfId="5565" xr:uid="{00000000-0005-0000-0000-000092180000}"/>
    <cellStyle name="Normal 10 22 11" xfId="5566" xr:uid="{00000000-0005-0000-0000-000093180000}"/>
    <cellStyle name="Normal 10 22 12" xfId="5567" xr:uid="{00000000-0005-0000-0000-000094180000}"/>
    <cellStyle name="Normal 10 22 13" xfId="5568" xr:uid="{00000000-0005-0000-0000-000095180000}"/>
    <cellStyle name="Normal 10 22 2" xfId="5569" xr:uid="{00000000-0005-0000-0000-000096180000}"/>
    <cellStyle name="Normal 10 22 2 2" xfId="5570" xr:uid="{00000000-0005-0000-0000-000097180000}"/>
    <cellStyle name="Normal 10 22 2 3" xfId="5571" xr:uid="{00000000-0005-0000-0000-000098180000}"/>
    <cellStyle name="Normal 10 22 2 4" xfId="5572" xr:uid="{00000000-0005-0000-0000-000099180000}"/>
    <cellStyle name="Normal 10 22 2 5" xfId="5573" xr:uid="{00000000-0005-0000-0000-00009A180000}"/>
    <cellStyle name="Normal 10 22 2 6" xfId="5574" xr:uid="{00000000-0005-0000-0000-00009B180000}"/>
    <cellStyle name="Normal 10 22 3" xfId="5575" xr:uid="{00000000-0005-0000-0000-00009C180000}"/>
    <cellStyle name="Normal 10 22 3 2" xfId="5576" xr:uid="{00000000-0005-0000-0000-00009D180000}"/>
    <cellStyle name="Normal 10 22 3 3" xfId="5577" xr:uid="{00000000-0005-0000-0000-00009E180000}"/>
    <cellStyle name="Normal 10 22 3 4" xfId="5578" xr:uid="{00000000-0005-0000-0000-00009F180000}"/>
    <cellStyle name="Normal 10 22 3 5" xfId="5579" xr:uid="{00000000-0005-0000-0000-0000A0180000}"/>
    <cellStyle name="Normal 10 22 3 6" xfId="5580" xr:uid="{00000000-0005-0000-0000-0000A1180000}"/>
    <cellStyle name="Normal 10 22 4" xfId="5581" xr:uid="{00000000-0005-0000-0000-0000A2180000}"/>
    <cellStyle name="Normal 10 22 4 2" xfId="5582" xr:uid="{00000000-0005-0000-0000-0000A3180000}"/>
    <cellStyle name="Normal 10 22 4 3" xfId="5583" xr:uid="{00000000-0005-0000-0000-0000A4180000}"/>
    <cellStyle name="Normal 10 22 4 4" xfId="5584" xr:uid="{00000000-0005-0000-0000-0000A5180000}"/>
    <cellStyle name="Normal 10 22 4 5" xfId="5585" xr:uid="{00000000-0005-0000-0000-0000A6180000}"/>
    <cellStyle name="Normal 10 22 4 6" xfId="5586" xr:uid="{00000000-0005-0000-0000-0000A7180000}"/>
    <cellStyle name="Normal 10 22 5" xfId="5587" xr:uid="{00000000-0005-0000-0000-0000A8180000}"/>
    <cellStyle name="Normal 10 22 5 2" xfId="5588" xr:uid="{00000000-0005-0000-0000-0000A9180000}"/>
    <cellStyle name="Normal 10 22 5 3" xfId="5589" xr:uid="{00000000-0005-0000-0000-0000AA180000}"/>
    <cellStyle name="Normal 10 22 5 4" xfId="5590" xr:uid="{00000000-0005-0000-0000-0000AB180000}"/>
    <cellStyle name="Normal 10 22 5 5" xfId="5591" xr:uid="{00000000-0005-0000-0000-0000AC180000}"/>
    <cellStyle name="Normal 10 22 5 6" xfId="5592" xr:uid="{00000000-0005-0000-0000-0000AD180000}"/>
    <cellStyle name="Normal 10 22 6" xfId="5593" xr:uid="{00000000-0005-0000-0000-0000AE180000}"/>
    <cellStyle name="Normal 10 22 6 2" xfId="5594" xr:uid="{00000000-0005-0000-0000-0000AF180000}"/>
    <cellStyle name="Normal 10 22 6 3" xfId="5595" xr:uid="{00000000-0005-0000-0000-0000B0180000}"/>
    <cellStyle name="Normal 10 22 6 4" xfId="5596" xr:uid="{00000000-0005-0000-0000-0000B1180000}"/>
    <cellStyle name="Normal 10 22 6 5" xfId="5597" xr:uid="{00000000-0005-0000-0000-0000B2180000}"/>
    <cellStyle name="Normal 10 22 6 6" xfId="5598" xr:uid="{00000000-0005-0000-0000-0000B3180000}"/>
    <cellStyle name="Normal 10 22 7" xfId="5599" xr:uid="{00000000-0005-0000-0000-0000B4180000}"/>
    <cellStyle name="Normal 10 22 7 2" xfId="5600" xr:uid="{00000000-0005-0000-0000-0000B5180000}"/>
    <cellStyle name="Normal 10 22 7 3" xfId="5601" xr:uid="{00000000-0005-0000-0000-0000B6180000}"/>
    <cellStyle name="Normal 10 22 7 4" xfId="5602" xr:uid="{00000000-0005-0000-0000-0000B7180000}"/>
    <cellStyle name="Normal 10 22 7 5" xfId="5603" xr:uid="{00000000-0005-0000-0000-0000B8180000}"/>
    <cellStyle name="Normal 10 22 7 6" xfId="5604" xr:uid="{00000000-0005-0000-0000-0000B9180000}"/>
    <cellStyle name="Normal 10 22 8" xfId="5605" xr:uid="{00000000-0005-0000-0000-0000BA180000}"/>
    <cellStyle name="Normal 10 22 8 2" xfId="5606" xr:uid="{00000000-0005-0000-0000-0000BB180000}"/>
    <cellStyle name="Normal 10 22 8 3" xfId="5607" xr:uid="{00000000-0005-0000-0000-0000BC180000}"/>
    <cellStyle name="Normal 10 22 8 4" xfId="5608" xr:uid="{00000000-0005-0000-0000-0000BD180000}"/>
    <cellStyle name="Normal 10 22 8 5" xfId="5609" xr:uid="{00000000-0005-0000-0000-0000BE180000}"/>
    <cellStyle name="Normal 10 22 8 6" xfId="5610" xr:uid="{00000000-0005-0000-0000-0000BF180000}"/>
    <cellStyle name="Normal 10 22 9" xfId="5611" xr:uid="{00000000-0005-0000-0000-0000C0180000}"/>
    <cellStyle name="Normal 10 23" xfId="5612" xr:uid="{00000000-0005-0000-0000-0000C1180000}"/>
    <cellStyle name="Normal 10 23 10" xfId="5613" xr:uid="{00000000-0005-0000-0000-0000C2180000}"/>
    <cellStyle name="Normal 10 23 11" xfId="5614" xr:uid="{00000000-0005-0000-0000-0000C3180000}"/>
    <cellStyle name="Normal 10 23 12" xfId="5615" xr:uid="{00000000-0005-0000-0000-0000C4180000}"/>
    <cellStyle name="Normal 10 23 13" xfId="5616" xr:uid="{00000000-0005-0000-0000-0000C5180000}"/>
    <cellStyle name="Normal 10 23 2" xfId="5617" xr:uid="{00000000-0005-0000-0000-0000C6180000}"/>
    <cellStyle name="Normal 10 23 2 2" xfId="5618" xr:uid="{00000000-0005-0000-0000-0000C7180000}"/>
    <cellStyle name="Normal 10 23 2 3" xfId="5619" xr:uid="{00000000-0005-0000-0000-0000C8180000}"/>
    <cellStyle name="Normal 10 23 2 4" xfId="5620" xr:uid="{00000000-0005-0000-0000-0000C9180000}"/>
    <cellStyle name="Normal 10 23 2 5" xfId="5621" xr:uid="{00000000-0005-0000-0000-0000CA180000}"/>
    <cellStyle name="Normal 10 23 2 6" xfId="5622" xr:uid="{00000000-0005-0000-0000-0000CB180000}"/>
    <cellStyle name="Normal 10 23 3" xfId="5623" xr:uid="{00000000-0005-0000-0000-0000CC180000}"/>
    <cellStyle name="Normal 10 23 3 2" xfId="5624" xr:uid="{00000000-0005-0000-0000-0000CD180000}"/>
    <cellStyle name="Normal 10 23 3 3" xfId="5625" xr:uid="{00000000-0005-0000-0000-0000CE180000}"/>
    <cellStyle name="Normal 10 23 3 4" xfId="5626" xr:uid="{00000000-0005-0000-0000-0000CF180000}"/>
    <cellStyle name="Normal 10 23 3 5" xfId="5627" xr:uid="{00000000-0005-0000-0000-0000D0180000}"/>
    <cellStyle name="Normal 10 23 3 6" xfId="5628" xr:uid="{00000000-0005-0000-0000-0000D1180000}"/>
    <cellStyle name="Normal 10 23 4" xfId="5629" xr:uid="{00000000-0005-0000-0000-0000D2180000}"/>
    <cellStyle name="Normal 10 23 4 2" xfId="5630" xr:uid="{00000000-0005-0000-0000-0000D3180000}"/>
    <cellStyle name="Normal 10 23 4 3" xfId="5631" xr:uid="{00000000-0005-0000-0000-0000D4180000}"/>
    <cellStyle name="Normal 10 23 4 4" xfId="5632" xr:uid="{00000000-0005-0000-0000-0000D5180000}"/>
    <cellStyle name="Normal 10 23 4 5" xfId="5633" xr:uid="{00000000-0005-0000-0000-0000D6180000}"/>
    <cellStyle name="Normal 10 23 4 6" xfId="5634" xr:uid="{00000000-0005-0000-0000-0000D7180000}"/>
    <cellStyle name="Normal 10 23 5" xfId="5635" xr:uid="{00000000-0005-0000-0000-0000D8180000}"/>
    <cellStyle name="Normal 10 23 5 2" xfId="5636" xr:uid="{00000000-0005-0000-0000-0000D9180000}"/>
    <cellStyle name="Normal 10 23 5 3" xfId="5637" xr:uid="{00000000-0005-0000-0000-0000DA180000}"/>
    <cellStyle name="Normal 10 23 5 4" xfId="5638" xr:uid="{00000000-0005-0000-0000-0000DB180000}"/>
    <cellStyle name="Normal 10 23 5 5" xfId="5639" xr:uid="{00000000-0005-0000-0000-0000DC180000}"/>
    <cellStyle name="Normal 10 23 5 6" xfId="5640" xr:uid="{00000000-0005-0000-0000-0000DD180000}"/>
    <cellStyle name="Normal 10 23 6" xfId="5641" xr:uid="{00000000-0005-0000-0000-0000DE180000}"/>
    <cellStyle name="Normal 10 23 6 2" xfId="5642" xr:uid="{00000000-0005-0000-0000-0000DF180000}"/>
    <cellStyle name="Normal 10 23 6 3" xfId="5643" xr:uid="{00000000-0005-0000-0000-0000E0180000}"/>
    <cellStyle name="Normal 10 23 6 4" xfId="5644" xr:uid="{00000000-0005-0000-0000-0000E1180000}"/>
    <cellStyle name="Normal 10 23 6 5" xfId="5645" xr:uid="{00000000-0005-0000-0000-0000E2180000}"/>
    <cellStyle name="Normal 10 23 6 6" xfId="5646" xr:uid="{00000000-0005-0000-0000-0000E3180000}"/>
    <cellStyle name="Normal 10 23 7" xfId="5647" xr:uid="{00000000-0005-0000-0000-0000E4180000}"/>
    <cellStyle name="Normal 10 23 7 2" xfId="5648" xr:uid="{00000000-0005-0000-0000-0000E5180000}"/>
    <cellStyle name="Normal 10 23 7 3" xfId="5649" xr:uid="{00000000-0005-0000-0000-0000E6180000}"/>
    <cellStyle name="Normal 10 23 7 4" xfId="5650" xr:uid="{00000000-0005-0000-0000-0000E7180000}"/>
    <cellStyle name="Normal 10 23 7 5" xfId="5651" xr:uid="{00000000-0005-0000-0000-0000E8180000}"/>
    <cellStyle name="Normal 10 23 7 6" xfId="5652" xr:uid="{00000000-0005-0000-0000-0000E9180000}"/>
    <cellStyle name="Normal 10 23 8" xfId="5653" xr:uid="{00000000-0005-0000-0000-0000EA180000}"/>
    <cellStyle name="Normal 10 23 8 2" xfId="5654" xr:uid="{00000000-0005-0000-0000-0000EB180000}"/>
    <cellStyle name="Normal 10 23 8 3" xfId="5655" xr:uid="{00000000-0005-0000-0000-0000EC180000}"/>
    <cellStyle name="Normal 10 23 8 4" xfId="5656" xr:uid="{00000000-0005-0000-0000-0000ED180000}"/>
    <cellStyle name="Normal 10 23 8 5" xfId="5657" xr:uid="{00000000-0005-0000-0000-0000EE180000}"/>
    <cellStyle name="Normal 10 23 8 6" xfId="5658" xr:uid="{00000000-0005-0000-0000-0000EF180000}"/>
    <cellStyle name="Normal 10 23 9" xfId="5659" xr:uid="{00000000-0005-0000-0000-0000F0180000}"/>
    <cellStyle name="Normal 10 24" xfId="5660" xr:uid="{00000000-0005-0000-0000-0000F1180000}"/>
    <cellStyle name="Normal 10 24 10" xfId="5661" xr:uid="{00000000-0005-0000-0000-0000F2180000}"/>
    <cellStyle name="Normal 10 24 11" xfId="5662" xr:uid="{00000000-0005-0000-0000-0000F3180000}"/>
    <cellStyle name="Normal 10 24 12" xfId="5663" xr:uid="{00000000-0005-0000-0000-0000F4180000}"/>
    <cellStyle name="Normal 10 24 13" xfId="5664" xr:uid="{00000000-0005-0000-0000-0000F5180000}"/>
    <cellStyle name="Normal 10 24 2" xfId="5665" xr:uid="{00000000-0005-0000-0000-0000F6180000}"/>
    <cellStyle name="Normal 10 24 2 2" xfId="5666" xr:uid="{00000000-0005-0000-0000-0000F7180000}"/>
    <cellStyle name="Normal 10 24 2 3" xfId="5667" xr:uid="{00000000-0005-0000-0000-0000F8180000}"/>
    <cellStyle name="Normal 10 24 2 4" xfId="5668" xr:uid="{00000000-0005-0000-0000-0000F9180000}"/>
    <cellStyle name="Normal 10 24 2 5" xfId="5669" xr:uid="{00000000-0005-0000-0000-0000FA180000}"/>
    <cellStyle name="Normal 10 24 2 6" xfId="5670" xr:uid="{00000000-0005-0000-0000-0000FB180000}"/>
    <cellStyle name="Normal 10 24 3" xfId="5671" xr:uid="{00000000-0005-0000-0000-0000FC180000}"/>
    <cellStyle name="Normal 10 24 3 2" xfId="5672" xr:uid="{00000000-0005-0000-0000-0000FD180000}"/>
    <cellStyle name="Normal 10 24 3 3" xfId="5673" xr:uid="{00000000-0005-0000-0000-0000FE180000}"/>
    <cellStyle name="Normal 10 24 3 4" xfId="5674" xr:uid="{00000000-0005-0000-0000-0000FF180000}"/>
    <cellStyle name="Normal 10 24 3 5" xfId="5675" xr:uid="{00000000-0005-0000-0000-000000190000}"/>
    <cellStyle name="Normal 10 24 3 6" xfId="5676" xr:uid="{00000000-0005-0000-0000-000001190000}"/>
    <cellStyle name="Normal 10 24 4" xfId="5677" xr:uid="{00000000-0005-0000-0000-000002190000}"/>
    <cellStyle name="Normal 10 24 4 2" xfId="5678" xr:uid="{00000000-0005-0000-0000-000003190000}"/>
    <cellStyle name="Normal 10 24 4 3" xfId="5679" xr:uid="{00000000-0005-0000-0000-000004190000}"/>
    <cellStyle name="Normal 10 24 4 4" xfId="5680" xr:uid="{00000000-0005-0000-0000-000005190000}"/>
    <cellStyle name="Normal 10 24 4 5" xfId="5681" xr:uid="{00000000-0005-0000-0000-000006190000}"/>
    <cellStyle name="Normal 10 24 4 6" xfId="5682" xr:uid="{00000000-0005-0000-0000-000007190000}"/>
    <cellStyle name="Normal 10 24 5" xfId="5683" xr:uid="{00000000-0005-0000-0000-000008190000}"/>
    <cellStyle name="Normal 10 24 5 2" xfId="5684" xr:uid="{00000000-0005-0000-0000-000009190000}"/>
    <cellStyle name="Normal 10 24 5 3" xfId="5685" xr:uid="{00000000-0005-0000-0000-00000A190000}"/>
    <cellStyle name="Normal 10 24 5 4" xfId="5686" xr:uid="{00000000-0005-0000-0000-00000B190000}"/>
    <cellStyle name="Normal 10 24 5 5" xfId="5687" xr:uid="{00000000-0005-0000-0000-00000C190000}"/>
    <cellStyle name="Normal 10 24 5 6" xfId="5688" xr:uid="{00000000-0005-0000-0000-00000D190000}"/>
    <cellStyle name="Normal 10 24 6" xfId="5689" xr:uid="{00000000-0005-0000-0000-00000E190000}"/>
    <cellStyle name="Normal 10 24 6 2" xfId="5690" xr:uid="{00000000-0005-0000-0000-00000F190000}"/>
    <cellStyle name="Normal 10 24 6 3" xfId="5691" xr:uid="{00000000-0005-0000-0000-000010190000}"/>
    <cellStyle name="Normal 10 24 6 4" xfId="5692" xr:uid="{00000000-0005-0000-0000-000011190000}"/>
    <cellStyle name="Normal 10 24 6 5" xfId="5693" xr:uid="{00000000-0005-0000-0000-000012190000}"/>
    <cellStyle name="Normal 10 24 6 6" xfId="5694" xr:uid="{00000000-0005-0000-0000-000013190000}"/>
    <cellStyle name="Normal 10 24 7" xfId="5695" xr:uid="{00000000-0005-0000-0000-000014190000}"/>
    <cellStyle name="Normal 10 24 7 2" xfId="5696" xr:uid="{00000000-0005-0000-0000-000015190000}"/>
    <cellStyle name="Normal 10 24 7 3" xfId="5697" xr:uid="{00000000-0005-0000-0000-000016190000}"/>
    <cellStyle name="Normal 10 24 7 4" xfId="5698" xr:uid="{00000000-0005-0000-0000-000017190000}"/>
    <cellStyle name="Normal 10 24 7 5" xfId="5699" xr:uid="{00000000-0005-0000-0000-000018190000}"/>
    <cellStyle name="Normal 10 24 7 6" xfId="5700" xr:uid="{00000000-0005-0000-0000-000019190000}"/>
    <cellStyle name="Normal 10 24 8" xfId="5701" xr:uid="{00000000-0005-0000-0000-00001A190000}"/>
    <cellStyle name="Normal 10 24 8 2" xfId="5702" xr:uid="{00000000-0005-0000-0000-00001B190000}"/>
    <cellStyle name="Normal 10 24 8 3" xfId="5703" xr:uid="{00000000-0005-0000-0000-00001C190000}"/>
    <cellStyle name="Normal 10 24 8 4" xfId="5704" xr:uid="{00000000-0005-0000-0000-00001D190000}"/>
    <cellStyle name="Normal 10 24 8 5" xfId="5705" xr:uid="{00000000-0005-0000-0000-00001E190000}"/>
    <cellStyle name="Normal 10 24 8 6" xfId="5706" xr:uid="{00000000-0005-0000-0000-00001F190000}"/>
    <cellStyle name="Normal 10 24 9" xfId="5707" xr:uid="{00000000-0005-0000-0000-000020190000}"/>
    <cellStyle name="Normal 10 25" xfId="5708" xr:uid="{00000000-0005-0000-0000-000021190000}"/>
    <cellStyle name="Normal 10 25 10" xfId="5709" xr:uid="{00000000-0005-0000-0000-000022190000}"/>
    <cellStyle name="Normal 10 25 11" xfId="5710" xr:uid="{00000000-0005-0000-0000-000023190000}"/>
    <cellStyle name="Normal 10 25 12" xfId="5711" xr:uid="{00000000-0005-0000-0000-000024190000}"/>
    <cellStyle name="Normal 10 25 13" xfId="5712" xr:uid="{00000000-0005-0000-0000-000025190000}"/>
    <cellStyle name="Normal 10 25 2" xfId="5713" xr:uid="{00000000-0005-0000-0000-000026190000}"/>
    <cellStyle name="Normal 10 25 2 2" xfId="5714" xr:uid="{00000000-0005-0000-0000-000027190000}"/>
    <cellStyle name="Normal 10 25 2 3" xfId="5715" xr:uid="{00000000-0005-0000-0000-000028190000}"/>
    <cellStyle name="Normal 10 25 2 4" xfId="5716" xr:uid="{00000000-0005-0000-0000-000029190000}"/>
    <cellStyle name="Normal 10 25 2 5" xfId="5717" xr:uid="{00000000-0005-0000-0000-00002A190000}"/>
    <cellStyle name="Normal 10 25 2 6" xfId="5718" xr:uid="{00000000-0005-0000-0000-00002B190000}"/>
    <cellStyle name="Normal 10 25 3" xfId="5719" xr:uid="{00000000-0005-0000-0000-00002C190000}"/>
    <cellStyle name="Normal 10 25 3 2" xfId="5720" xr:uid="{00000000-0005-0000-0000-00002D190000}"/>
    <cellStyle name="Normal 10 25 3 3" xfId="5721" xr:uid="{00000000-0005-0000-0000-00002E190000}"/>
    <cellStyle name="Normal 10 25 3 4" xfId="5722" xr:uid="{00000000-0005-0000-0000-00002F190000}"/>
    <cellStyle name="Normal 10 25 3 5" xfId="5723" xr:uid="{00000000-0005-0000-0000-000030190000}"/>
    <cellStyle name="Normal 10 25 3 6" xfId="5724" xr:uid="{00000000-0005-0000-0000-000031190000}"/>
    <cellStyle name="Normal 10 25 4" xfId="5725" xr:uid="{00000000-0005-0000-0000-000032190000}"/>
    <cellStyle name="Normal 10 25 4 2" xfId="5726" xr:uid="{00000000-0005-0000-0000-000033190000}"/>
    <cellStyle name="Normal 10 25 4 3" xfId="5727" xr:uid="{00000000-0005-0000-0000-000034190000}"/>
    <cellStyle name="Normal 10 25 4 4" xfId="5728" xr:uid="{00000000-0005-0000-0000-000035190000}"/>
    <cellStyle name="Normal 10 25 4 5" xfId="5729" xr:uid="{00000000-0005-0000-0000-000036190000}"/>
    <cellStyle name="Normal 10 25 4 6" xfId="5730" xr:uid="{00000000-0005-0000-0000-000037190000}"/>
    <cellStyle name="Normal 10 25 5" xfId="5731" xr:uid="{00000000-0005-0000-0000-000038190000}"/>
    <cellStyle name="Normal 10 25 5 2" xfId="5732" xr:uid="{00000000-0005-0000-0000-000039190000}"/>
    <cellStyle name="Normal 10 25 5 3" xfId="5733" xr:uid="{00000000-0005-0000-0000-00003A190000}"/>
    <cellStyle name="Normal 10 25 5 4" xfId="5734" xr:uid="{00000000-0005-0000-0000-00003B190000}"/>
    <cellStyle name="Normal 10 25 5 5" xfId="5735" xr:uid="{00000000-0005-0000-0000-00003C190000}"/>
    <cellStyle name="Normal 10 25 5 6" xfId="5736" xr:uid="{00000000-0005-0000-0000-00003D190000}"/>
    <cellStyle name="Normal 10 25 6" xfId="5737" xr:uid="{00000000-0005-0000-0000-00003E190000}"/>
    <cellStyle name="Normal 10 25 6 2" xfId="5738" xr:uid="{00000000-0005-0000-0000-00003F190000}"/>
    <cellStyle name="Normal 10 25 6 3" xfId="5739" xr:uid="{00000000-0005-0000-0000-000040190000}"/>
    <cellStyle name="Normal 10 25 6 4" xfId="5740" xr:uid="{00000000-0005-0000-0000-000041190000}"/>
    <cellStyle name="Normal 10 25 6 5" xfId="5741" xr:uid="{00000000-0005-0000-0000-000042190000}"/>
    <cellStyle name="Normal 10 25 6 6" xfId="5742" xr:uid="{00000000-0005-0000-0000-000043190000}"/>
    <cellStyle name="Normal 10 25 7" xfId="5743" xr:uid="{00000000-0005-0000-0000-000044190000}"/>
    <cellStyle name="Normal 10 25 7 2" xfId="5744" xr:uid="{00000000-0005-0000-0000-000045190000}"/>
    <cellStyle name="Normal 10 25 7 3" xfId="5745" xr:uid="{00000000-0005-0000-0000-000046190000}"/>
    <cellStyle name="Normal 10 25 7 4" xfId="5746" xr:uid="{00000000-0005-0000-0000-000047190000}"/>
    <cellStyle name="Normal 10 25 7 5" xfId="5747" xr:uid="{00000000-0005-0000-0000-000048190000}"/>
    <cellStyle name="Normal 10 25 7 6" xfId="5748" xr:uid="{00000000-0005-0000-0000-000049190000}"/>
    <cellStyle name="Normal 10 25 8" xfId="5749" xr:uid="{00000000-0005-0000-0000-00004A190000}"/>
    <cellStyle name="Normal 10 25 8 2" xfId="5750" xr:uid="{00000000-0005-0000-0000-00004B190000}"/>
    <cellStyle name="Normal 10 25 8 3" xfId="5751" xr:uid="{00000000-0005-0000-0000-00004C190000}"/>
    <cellStyle name="Normal 10 25 8 4" xfId="5752" xr:uid="{00000000-0005-0000-0000-00004D190000}"/>
    <cellStyle name="Normal 10 25 8 5" xfId="5753" xr:uid="{00000000-0005-0000-0000-00004E190000}"/>
    <cellStyle name="Normal 10 25 8 6" xfId="5754" xr:uid="{00000000-0005-0000-0000-00004F190000}"/>
    <cellStyle name="Normal 10 25 9" xfId="5755" xr:uid="{00000000-0005-0000-0000-000050190000}"/>
    <cellStyle name="Normal 10 26" xfId="5756" xr:uid="{00000000-0005-0000-0000-000051190000}"/>
    <cellStyle name="Normal 10 26 10" xfId="5757" xr:uid="{00000000-0005-0000-0000-000052190000}"/>
    <cellStyle name="Normal 10 26 11" xfId="5758" xr:uid="{00000000-0005-0000-0000-000053190000}"/>
    <cellStyle name="Normal 10 26 12" xfId="5759" xr:uid="{00000000-0005-0000-0000-000054190000}"/>
    <cellStyle name="Normal 10 26 13" xfId="5760" xr:uid="{00000000-0005-0000-0000-000055190000}"/>
    <cellStyle name="Normal 10 26 2" xfId="5761" xr:uid="{00000000-0005-0000-0000-000056190000}"/>
    <cellStyle name="Normal 10 26 2 2" xfId="5762" xr:uid="{00000000-0005-0000-0000-000057190000}"/>
    <cellStyle name="Normal 10 26 2 3" xfId="5763" xr:uid="{00000000-0005-0000-0000-000058190000}"/>
    <cellStyle name="Normal 10 26 2 4" xfId="5764" xr:uid="{00000000-0005-0000-0000-000059190000}"/>
    <cellStyle name="Normal 10 26 2 5" xfId="5765" xr:uid="{00000000-0005-0000-0000-00005A190000}"/>
    <cellStyle name="Normal 10 26 2 6" xfId="5766" xr:uid="{00000000-0005-0000-0000-00005B190000}"/>
    <cellStyle name="Normal 10 26 3" xfId="5767" xr:uid="{00000000-0005-0000-0000-00005C190000}"/>
    <cellStyle name="Normal 10 26 3 2" xfId="5768" xr:uid="{00000000-0005-0000-0000-00005D190000}"/>
    <cellStyle name="Normal 10 26 3 3" xfId="5769" xr:uid="{00000000-0005-0000-0000-00005E190000}"/>
    <cellStyle name="Normal 10 26 3 4" xfId="5770" xr:uid="{00000000-0005-0000-0000-00005F190000}"/>
    <cellStyle name="Normal 10 26 3 5" xfId="5771" xr:uid="{00000000-0005-0000-0000-000060190000}"/>
    <cellStyle name="Normal 10 26 3 6" xfId="5772" xr:uid="{00000000-0005-0000-0000-000061190000}"/>
    <cellStyle name="Normal 10 26 4" xfId="5773" xr:uid="{00000000-0005-0000-0000-000062190000}"/>
    <cellStyle name="Normal 10 26 4 2" xfId="5774" xr:uid="{00000000-0005-0000-0000-000063190000}"/>
    <cellStyle name="Normal 10 26 4 3" xfId="5775" xr:uid="{00000000-0005-0000-0000-000064190000}"/>
    <cellStyle name="Normal 10 26 4 4" xfId="5776" xr:uid="{00000000-0005-0000-0000-000065190000}"/>
    <cellStyle name="Normal 10 26 4 5" xfId="5777" xr:uid="{00000000-0005-0000-0000-000066190000}"/>
    <cellStyle name="Normal 10 26 4 6" xfId="5778" xr:uid="{00000000-0005-0000-0000-000067190000}"/>
    <cellStyle name="Normal 10 26 5" xfId="5779" xr:uid="{00000000-0005-0000-0000-000068190000}"/>
    <cellStyle name="Normal 10 26 5 2" xfId="5780" xr:uid="{00000000-0005-0000-0000-000069190000}"/>
    <cellStyle name="Normal 10 26 5 3" xfId="5781" xr:uid="{00000000-0005-0000-0000-00006A190000}"/>
    <cellStyle name="Normal 10 26 5 4" xfId="5782" xr:uid="{00000000-0005-0000-0000-00006B190000}"/>
    <cellStyle name="Normal 10 26 5 5" xfId="5783" xr:uid="{00000000-0005-0000-0000-00006C190000}"/>
    <cellStyle name="Normal 10 26 5 6" xfId="5784" xr:uid="{00000000-0005-0000-0000-00006D190000}"/>
    <cellStyle name="Normal 10 26 6" xfId="5785" xr:uid="{00000000-0005-0000-0000-00006E190000}"/>
    <cellStyle name="Normal 10 26 6 2" xfId="5786" xr:uid="{00000000-0005-0000-0000-00006F190000}"/>
    <cellStyle name="Normal 10 26 6 3" xfId="5787" xr:uid="{00000000-0005-0000-0000-000070190000}"/>
    <cellStyle name="Normal 10 26 6 4" xfId="5788" xr:uid="{00000000-0005-0000-0000-000071190000}"/>
    <cellStyle name="Normal 10 26 6 5" xfId="5789" xr:uid="{00000000-0005-0000-0000-000072190000}"/>
    <cellStyle name="Normal 10 26 6 6" xfId="5790" xr:uid="{00000000-0005-0000-0000-000073190000}"/>
    <cellStyle name="Normal 10 26 7" xfId="5791" xr:uid="{00000000-0005-0000-0000-000074190000}"/>
    <cellStyle name="Normal 10 26 7 2" xfId="5792" xr:uid="{00000000-0005-0000-0000-000075190000}"/>
    <cellStyle name="Normal 10 26 7 3" xfId="5793" xr:uid="{00000000-0005-0000-0000-000076190000}"/>
    <cellStyle name="Normal 10 26 7 4" xfId="5794" xr:uid="{00000000-0005-0000-0000-000077190000}"/>
    <cellStyle name="Normal 10 26 7 5" xfId="5795" xr:uid="{00000000-0005-0000-0000-000078190000}"/>
    <cellStyle name="Normal 10 26 7 6" xfId="5796" xr:uid="{00000000-0005-0000-0000-000079190000}"/>
    <cellStyle name="Normal 10 26 8" xfId="5797" xr:uid="{00000000-0005-0000-0000-00007A190000}"/>
    <cellStyle name="Normal 10 26 8 2" xfId="5798" xr:uid="{00000000-0005-0000-0000-00007B190000}"/>
    <cellStyle name="Normal 10 26 8 3" xfId="5799" xr:uid="{00000000-0005-0000-0000-00007C190000}"/>
    <cellStyle name="Normal 10 26 8 4" xfId="5800" xr:uid="{00000000-0005-0000-0000-00007D190000}"/>
    <cellStyle name="Normal 10 26 8 5" xfId="5801" xr:uid="{00000000-0005-0000-0000-00007E190000}"/>
    <cellStyle name="Normal 10 26 8 6" xfId="5802" xr:uid="{00000000-0005-0000-0000-00007F190000}"/>
    <cellStyle name="Normal 10 26 9" xfId="5803" xr:uid="{00000000-0005-0000-0000-000080190000}"/>
    <cellStyle name="Normal 10 27" xfId="5804" xr:uid="{00000000-0005-0000-0000-000081190000}"/>
    <cellStyle name="Normal 10 27 10" xfId="5805" xr:uid="{00000000-0005-0000-0000-000082190000}"/>
    <cellStyle name="Normal 10 27 11" xfId="5806" xr:uid="{00000000-0005-0000-0000-000083190000}"/>
    <cellStyle name="Normal 10 27 12" xfId="5807" xr:uid="{00000000-0005-0000-0000-000084190000}"/>
    <cellStyle name="Normal 10 27 13" xfId="5808" xr:uid="{00000000-0005-0000-0000-000085190000}"/>
    <cellStyle name="Normal 10 27 2" xfId="5809" xr:uid="{00000000-0005-0000-0000-000086190000}"/>
    <cellStyle name="Normal 10 27 2 2" xfId="5810" xr:uid="{00000000-0005-0000-0000-000087190000}"/>
    <cellStyle name="Normal 10 27 2 3" xfId="5811" xr:uid="{00000000-0005-0000-0000-000088190000}"/>
    <cellStyle name="Normal 10 27 2 4" xfId="5812" xr:uid="{00000000-0005-0000-0000-000089190000}"/>
    <cellStyle name="Normal 10 27 2 5" xfId="5813" xr:uid="{00000000-0005-0000-0000-00008A190000}"/>
    <cellStyle name="Normal 10 27 2 6" xfId="5814" xr:uid="{00000000-0005-0000-0000-00008B190000}"/>
    <cellStyle name="Normal 10 27 3" xfId="5815" xr:uid="{00000000-0005-0000-0000-00008C190000}"/>
    <cellStyle name="Normal 10 27 3 2" xfId="5816" xr:uid="{00000000-0005-0000-0000-00008D190000}"/>
    <cellStyle name="Normal 10 27 3 3" xfId="5817" xr:uid="{00000000-0005-0000-0000-00008E190000}"/>
    <cellStyle name="Normal 10 27 3 4" xfId="5818" xr:uid="{00000000-0005-0000-0000-00008F190000}"/>
    <cellStyle name="Normal 10 27 3 5" xfId="5819" xr:uid="{00000000-0005-0000-0000-000090190000}"/>
    <cellStyle name="Normal 10 27 3 6" xfId="5820" xr:uid="{00000000-0005-0000-0000-000091190000}"/>
    <cellStyle name="Normal 10 27 4" xfId="5821" xr:uid="{00000000-0005-0000-0000-000092190000}"/>
    <cellStyle name="Normal 10 27 4 2" xfId="5822" xr:uid="{00000000-0005-0000-0000-000093190000}"/>
    <cellStyle name="Normal 10 27 4 3" xfId="5823" xr:uid="{00000000-0005-0000-0000-000094190000}"/>
    <cellStyle name="Normal 10 27 4 4" xfId="5824" xr:uid="{00000000-0005-0000-0000-000095190000}"/>
    <cellStyle name="Normal 10 27 4 5" xfId="5825" xr:uid="{00000000-0005-0000-0000-000096190000}"/>
    <cellStyle name="Normal 10 27 4 6" xfId="5826" xr:uid="{00000000-0005-0000-0000-000097190000}"/>
    <cellStyle name="Normal 10 27 5" xfId="5827" xr:uid="{00000000-0005-0000-0000-000098190000}"/>
    <cellStyle name="Normal 10 27 5 2" xfId="5828" xr:uid="{00000000-0005-0000-0000-000099190000}"/>
    <cellStyle name="Normal 10 27 5 3" xfId="5829" xr:uid="{00000000-0005-0000-0000-00009A190000}"/>
    <cellStyle name="Normal 10 27 5 4" xfId="5830" xr:uid="{00000000-0005-0000-0000-00009B190000}"/>
    <cellStyle name="Normal 10 27 5 5" xfId="5831" xr:uid="{00000000-0005-0000-0000-00009C190000}"/>
    <cellStyle name="Normal 10 27 5 6" xfId="5832" xr:uid="{00000000-0005-0000-0000-00009D190000}"/>
    <cellStyle name="Normal 10 27 6" xfId="5833" xr:uid="{00000000-0005-0000-0000-00009E190000}"/>
    <cellStyle name="Normal 10 27 6 2" xfId="5834" xr:uid="{00000000-0005-0000-0000-00009F190000}"/>
    <cellStyle name="Normal 10 27 6 3" xfId="5835" xr:uid="{00000000-0005-0000-0000-0000A0190000}"/>
    <cellStyle name="Normal 10 27 6 4" xfId="5836" xr:uid="{00000000-0005-0000-0000-0000A1190000}"/>
    <cellStyle name="Normal 10 27 6 5" xfId="5837" xr:uid="{00000000-0005-0000-0000-0000A2190000}"/>
    <cellStyle name="Normal 10 27 6 6" xfId="5838" xr:uid="{00000000-0005-0000-0000-0000A3190000}"/>
    <cellStyle name="Normal 10 27 7" xfId="5839" xr:uid="{00000000-0005-0000-0000-0000A4190000}"/>
    <cellStyle name="Normal 10 27 7 2" xfId="5840" xr:uid="{00000000-0005-0000-0000-0000A5190000}"/>
    <cellStyle name="Normal 10 27 7 3" xfId="5841" xr:uid="{00000000-0005-0000-0000-0000A6190000}"/>
    <cellStyle name="Normal 10 27 7 4" xfId="5842" xr:uid="{00000000-0005-0000-0000-0000A7190000}"/>
    <cellStyle name="Normal 10 27 7 5" xfId="5843" xr:uid="{00000000-0005-0000-0000-0000A8190000}"/>
    <cellStyle name="Normal 10 27 7 6" xfId="5844" xr:uid="{00000000-0005-0000-0000-0000A9190000}"/>
    <cellStyle name="Normal 10 27 8" xfId="5845" xr:uid="{00000000-0005-0000-0000-0000AA190000}"/>
    <cellStyle name="Normal 10 27 8 2" xfId="5846" xr:uid="{00000000-0005-0000-0000-0000AB190000}"/>
    <cellStyle name="Normal 10 27 8 3" xfId="5847" xr:uid="{00000000-0005-0000-0000-0000AC190000}"/>
    <cellStyle name="Normal 10 27 8 4" xfId="5848" xr:uid="{00000000-0005-0000-0000-0000AD190000}"/>
    <cellStyle name="Normal 10 27 8 5" xfId="5849" xr:uid="{00000000-0005-0000-0000-0000AE190000}"/>
    <cellStyle name="Normal 10 27 8 6" xfId="5850" xr:uid="{00000000-0005-0000-0000-0000AF190000}"/>
    <cellStyle name="Normal 10 27 9" xfId="5851" xr:uid="{00000000-0005-0000-0000-0000B0190000}"/>
    <cellStyle name="Normal 10 28" xfId="5852" xr:uid="{00000000-0005-0000-0000-0000B1190000}"/>
    <cellStyle name="Normal 10 28 10" xfId="5853" xr:uid="{00000000-0005-0000-0000-0000B2190000}"/>
    <cellStyle name="Normal 10 28 11" xfId="5854" xr:uid="{00000000-0005-0000-0000-0000B3190000}"/>
    <cellStyle name="Normal 10 28 12" xfId="5855" xr:uid="{00000000-0005-0000-0000-0000B4190000}"/>
    <cellStyle name="Normal 10 28 13" xfId="5856" xr:uid="{00000000-0005-0000-0000-0000B5190000}"/>
    <cellStyle name="Normal 10 28 2" xfId="5857" xr:uid="{00000000-0005-0000-0000-0000B6190000}"/>
    <cellStyle name="Normal 10 28 2 2" xfId="5858" xr:uid="{00000000-0005-0000-0000-0000B7190000}"/>
    <cellStyle name="Normal 10 28 2 3" xfId="5859" xr:uid="{00000000-0005-0000-0000-0000B8190000}"/>
    <cellStyle name="Normal 10 28 2 4" xfId="5860" xr:uid="{00000000-0005-0000-0000-0000B9190000}"/>
    <cellStyle name="Normal 10 28 2 5" xfId="5861" xr:uid="{00000000-0005-0000-0000-0000BA190000}"/>
    <cellStyle name="Normal 10 28 2 6" xfId="5862" xr:uid="{00000000-0005-0000-0000-0000BB190000}"/>
    <cellStyle name="Normal 10 28 3" xfId="5863" xr:uid="{00000000-0005-0000-0000-0000BC190000}"/>
    <cellStyle name="Normal 10 28 3 2" xfId="5864" xr:uid="{00000000-0005-0000-0000-0000BD190000}"/>
    <cellStyle name="Normal 10 28 3 3" xfId="5865" xr:uid="{00000000-0005-0000-0000-0000BE190000}"/>
    <cellStyle name="Normal 10 28 3 4" xfId="5866" xr:uid="{00000000-0005-0000-0000-0000BF190000}"/>
    <cellStyle name="Normal 10 28 3 5" xfId="5867" xr:uid="{00000000-0005-0000-0000-0000C0190000}"/>
    <cellStyle name="Normal 10 28 3 6" xfId="5868" xr:uid="{00000000-0005-0000-0000-0000C1190000}"/>
    <cellStyle name="Normal 10 28 4" xfId="5869" xr:uid="{00000000-0005-0000-0000-0000C2190000}"/>
    <cellStyle name="Normal 10 28 4 2" xfId="5870" xr:uid="{00000000-0005-0000-0000-0000C3190000}"/>
    <cellStyle name="Normal 10 28 4 3" xfId="5871" xr:uid="{00000000-0005-0000-0000-0000C4190000}"/>
    <cellStyle name="Normal 10 28 4 4" xfId="5872" xr:uid="{00000000-0005-0000-0000-0000C5190000}"/>
    <cellStyle name="Normal 10 28 4 5" xfId="5873" xr:uid="{00000000-0005-0000-0000-0000C6190000}"/>
    <cellStyle name="Normal 10 28 4 6" xfId="5874" xr:uid="{00000000-0005-0000-0000-0000C7190000}"/>
    <cellStyle name="Normal 10 28 5" xfId="5875" xr:uid="{00000000-0005-0000-0000-0000C8190000}"/>
    <cellStyle name="Normal 10 28 5 2" xfId="5876" xr:uid="{00000000-0005-0000-0000-0000C9190000}"/>
    <cellStyle name="Normal 10 28 5 3" xfId="5877" xr:uid="{00000000-0005-0000-0000-0000CA190000}"/>
    <cellStyle name="Normal 10 28 5 4" xfId="5878" xr:uid="{00000000-0005-0000-0000-0000CB190000}"/>
    <cellStyle name="Normal 10 28 5 5" xfId="5879" xr:uid="{00000000-0005-0000-0000-0000CC190000}"/>
    <cellStyle name="Normal 10 28 5 6" xfId="5880" xr:uid="{00000000-0005-0000-0000-0000CD190000}"/>
    <cellStyle name="Normal 10 28 6" xfId="5881" xr:uid="{00000000-0005-0000-0000-0000CE190000}"/>
    <cellStyle name="Normal 10 28 6 2" xfId="5882" xr:uid="{00000000-0005-0000-0000-0000CF190000}"/>
    <cellStyle name="Normal 10 28 6 3" xfId="5883" xr:uid="{00000000-0005-0000-0000-0000D0190000}"/>
    <cellStyle name="Normal 10 28 6 4" xfId="5884" xr:uid="{00000000-0005-0000-0000-0000D1190000}"/>
    <cellStyle name="Normal 10 28 6 5" xfId="5885" xr:uid="{00000000-0005-0000-0000-0000D2190000}"/>
    <cellStyle name="Normal 10 28 6 6" xfId="5886" xr:uid="{00000000-0005-0000-0000-0000D3190000}"/>
    <cellStyle name="Normal 10 28 7" xfId="5887" xr:uid="{00000000-0005-0000-0000-0000D4190000}"/>
    <cellStyle name="Normal 10 28 7 2" xfId="5888" xr:uid="{00000000-0005-0000-0000-0000D5190000}"/>
    <cellStyle name="Normal 10 28 7 3" xfId="5889" xr:uid="{00000000-0005-0000-0000-0000D6190000}"/>
    <cellStyle name="Normal 10 28 7 4" xfId="5890" xr:uid="{00000000-0005-0000-0000-0000D7190000}"/>
    <cellStyle name="Normal 10 28 7 5" xfId="5891" xr:uid="{00000000-0005-0000-0000-0000D8190000}"/>
    <cellStyle name="Normal 10 28 7 6" xfId="5892" xr:uid="{00000000-0005-0000-0000-0000D9190000}"/>
    <cellStyle name="Normal 10 28 8" xfId="5893" xr:uid="{00000000-0005-0000-0000-0000DA190000}"/>
    <cellStyle name="Normal 10 28 8 2" xfId="5894" xr:uid="{00000000-0005-0000-0000-0000DB190000}"/>
    <cellStyle name="Normal 10 28 8 3" xfId="5895" xr:uid="{00000000-0005-0000-0000-0000DC190000}"/>
    <cellStyle name="Normal 10 28 8 4" xfId="5896" xr:uid="{00000000-0005-0000-0000-0000DD190000}"/>
    <cellStyle name="Normal 10 28 8 5" xfId="5897" xr:uid="{00000000-0005-0000-0000-0000DE190000}"/>
    <cellStyle name="Normal 10 28 8 6" xfId="5898" xr:uid="{00000000-0005-0000-0000-0000DF190000}"/>
    <cellStyle name="Normal 10 28 9" xfId="5899" xr:uid="{00000000-0005-0000-0000-0000E0190000}"/>
    <cellStyle name="Normal 10 29" xfId="5900" xr:uid="{00000000-0005-0000-0000-0000E1190000}"/>
    <cellStyle name="Normal 10 29 10" xfId="5901" xr:uid="{00000000-0005-0000-0000-0000E2190000}"/>
    <cellStyle name="Normal 10 29 11" xfId="5902" xr:uid="{00000000-0005-0000-0000-0000E3190000}"/>
    <cellStyle name="Normal 10 29 12" xfId="5903" xr:uid="{00000000-0005-0000-0000-0000E4190000}"/>
    <cellStyle name="Normal 10 29 13" xfId="5904" xr:uid="{00000000-0005-0000-0000-0000E5190000}"/>
    <cellStyle name="Normal 10 29 2" xfId="5905" xr:uid="{00000000-0005-0000-0000-0000E6190000}"/>
    <cellStyle name="Normal 10 29 2 2" xfId="5906" xr:uid="{00000000-0005-0000-0000-0000E7190000}"/>
    <cellStyle name="Normal 10 29 2 3" xfId="5907" xr:uid="{00000000-0005-0000-0000-0000E8190000}"/>
    <cellStyle name="Normal 10 29 2 4" xfId="5908" xr:uid="{00000000-0005-0000-0000-0000E9190000}"/>
    <cellStyle name="Normal 10 29 2 5" xfId="5909" xr:uid="{00000000-0005-0000-0000-0000EA190000}"/>
    <cellStyle name="Normal 10 29 2 6" xfId="5910" xr:uid="{00000000-0005-0000-0000-0000EB190000}"/>
    <cellStyle name="Normal 10 29 3" xfId="5911" xr:uid="{00000000-0005-0000-0000-0000EC190000}"/>
    <cellStyle name="Normal 10 29 3 2" xfId="5912" xr:uid="{00000000-0005-0000-0000-0000ED190000}"/>
    <cellStyle name="Normal 10 29 3 3" xfId="5913" xr:uid="{00000000-0005-0000-0000-0000EE190000}"/>
    <cellStyle name="Normal 10 29 3 4" xfId="5914" xr:uid="{00000000-0005-0000-0000-0000EF190000}"/>
    <cellStyle name="Normal 10 29 3 5" xfId="5915" xr:uid="{00000000-0005-0000-0000-0000F0190000}"/>
    <cellStyle name="Normal 10 29 3 6" xfId="5916" xr:uid="{00000000-0005-0000-0000-0000F1190000}"/>
    <cellStyle name="Normal 10 29 4" xfId="5917" xr:uid="{00000000-0005-0000-0000-0000F2190000}"/>
    <cellStyle name="Normal 10 29 4 2" xfId="5918" xr:uid="{00000000-0005-0000-0000-0000F3190000}"/>
    <cellStyle name="Normal 10 29 4 3" xfId="5919" xr:uid="{00000000-0005-0000-0000-0000F4190000}"/>
    <cellStyle name="Normal 10 29 4 4" xfId="5920" xr:uid="{00000000-0005-0000-0000-0000F5190000}"/>
    <cellStyle name="Normal 10 29 4 5" xfId="5921" xr:uid="{00000000-0005-0000-0000-0000F6190000}"/>
    <cellStyle name="Normal 10 29 4 6" xfId="5922" xr:uid="{00000000-0005-0000-0000-0000F7190000}"/>
    <cellStyle name="Normal 10 29 5" xfId="5923" xr:uid="{00000000-0005-0000-0000-0000F8190000}"/>
    <cellStyle name="Normal 10 29 5 2" xfId="5924" xr:uid="{00000000-0005-0000-0000-0000F9190000}"/>
    <cellStyle name="Normal 10 29 5 3" xfId="5925" xr:uid="{00000000-0005-0000-0000-0000FA190000}"/>
    <cellStyle name="Normal 10 29 5 4" xfId="5926" xr:uid="{00000000-0005-0000-0000-0000FB190000}"/>
    <cellStyle name="Normal 10 29 5 5" xfId="5927" xr:uid="{00000000-0005-0000-0000-0000FC190000}"/>
    <cellStyle name="Normal 10 29 5 6" xfId="5928" xr:uid="{00000000-0005-0000-0000-0000FD190000}"/>
    <cellStyle name="Normal 10 29 6" xfId="5929" xr:uid="{00000000-0005-0000-0000-0000FE190000}"/>
    <cellStyle name="Normal 10 29 6 2" xfId="5930" xr:uid="{00000000-0005-0000-0000-0000FF190000}"/>
    <cellStyle name="Normal 10 29 6 3" xfId="5931" xr:uid="{00000000-0005-0000-0000-0000001A0000}"/>
    <cellStyle name="Normal 10 29 6 4" xfId="5932" xr:uid="{00000000-0005-0000-0000-0000011A0000}"/>
    <cellStyle name="Normal 10 29 6 5" xfId="5933" xr:uid="{00000000-0005-0000-0000-0000021A0000}"/>
    <cellStyle name="Normal 10 29 6 6" xfId="5934" xr:uid="{00000000-0005-0000-0000-0000031A0000}"/>
    <cellStyle name="Normal 10 29 7" xfId="5935" xr:uid="{00000000-0005-0000-0000-0000041A0000}"/>
    <cellStyle name="Normal 10 29 7 2" xfId="5936" xr:uid="{00000000-0005-0000-0000-0000051A0000}"/>
    <cellStyle name="Normal 10 29 7 3" xfId="5937" xr:uid="{00000000-0005-0000-0000-0000061A0000}"/>
    <cellStyle name="Normal 10 29 7 4" xfId="5938" xr:uid="{00000000-0005-0000-0000-0000071A0000}"/>
    <cellStyle name="Normal 10 29 7 5" xfId="5939" xr:uid="{00000000-0005-0000-0000-0000081A0000}"/>
    <cellStyle name="Normal 10 29 7 6" xfId="5940" xr:uid="{00000000-0005-0000-0000-0000091A0000}"/>
    <cellStyle name="Normal 10 29 8" xfId="5941" xr:uid="{00000000-0005-0000-0000-00000A1A0000}"/>
    <cellStyle name="Normal 10 29 8 2" xfId="5942" xr:uid="{00000000-0005-0000-0000-00000B1A0000}"/>
    <cellStyle name="Normal 10 29 8 3" xfId="5943" xr:uid="{00000000-0005-0000-0000-00000C1A0000}"/>
    <cellStyle name="Normal 10 29 8 4" xfId="5944" xr:uid="{00000000-0005-0000-0000-00000D1A0000}"/>
    <cellStyle name="Normal 10 29 8 5" xfId="5945" xr:uid="{00000000-0005-0000-0000-00000E1A0000}"/>
    <cellStyle name="Normal 10 29 8 6" xfId="5946" xr:uid="{00000000-0005-0000-0000-00000F1A0000}"/>
    <cellStyle name="Normal 10 29 9" xfId="5947" xr:uid="{00000000-0005-0000-0000-0000101A0000}"/>
    <cellStyle name="Normal 10 3" xfId="5948" xr:uid="{00000000-0005-0000-0000-0000111A0000}"/>
    <cellStyle name="Normal 10 3 10" xfId="5949" xr:uid="{00000000-0005-0000-0000-0000121A0000}"/>
    <cellStyle name="Normal 10 3 10 2" xfId="5950" xr:uid="{00000000-0005-0000-0000-0000131A0000}"/>
    <cellStyle name="Normal 10 3 10 2 2" xfId="5951" xr:uid="{00000000-0005-0000-0000-0000141A0000}"/>
    <cellStyle name="Normal 10 3 10 2 3" xfId="5952" xr:uid="{00000000-0005-0000-0000-0000151A0000}"/>
    <cellStyle name="Normal 10 3 10 2 4" xfId="5953" xr:uid="{00000000-0005-0000-0000-0000161A0000}"/>
    <cellStyle name="Normal 10 3 10 3" xfId="5954" xr:uid="{00000000-0005-0000-0000-0000171A0000}"/>
    <cellStyle name="Normal 10 3 10 3 2" xfId="5955" xr:uid="{00000000-0005-0000-0000-0000181A0000}"/>
    <cellStyle name="Normal 10 3 10 3 3" xfId="5956" xr:uid="{00000000-0005-0000-0000-0000191A0000}"/>
    <cellStyle name="Normal 10 3 10 3 4" xfId="5957" xr:uid="{00000000-0005-0000-0000-00001A1A0000}"/>
    <cellStyle name="Normal 10 3 10 4" xfId="5958" xr:uid="{00000000-0005-0000-0000-00001B1A0000}"/>
    <cellStyle name="Normal 10 3 10 5" xfId="5959" xr:uid="{00000000-0005-0000-0000-00001C1A0000}"/>
    <cellStyle name="Normal 10 3 10 6" xfId="5960" xr:uid="{00000000-0005-0000-0000-00001D1A0000}"/>
    <cellStyle name="Normal 10 3 11" xfId="5961" xr:uid="{00000000-0005-0000-0000-00001E1A0000}"/>
    <cellStyle name="Normal 10 3 11 2" xfId="5962" xr:uid="{00000000-0005-0000-0000-00001F1A0000}"/>
    <cellStyle name="Normal 10 3 11 2 2" xfId="5963" xr:uid="{00000000-0005-0000-0000-0000201A0000}"/>
    <cellStyle name="Normal 10 3 11 2 3" xfId="5964" xr:uid="{00000000-0005-0000-0000-0000211A0000}"/>
    <cellStyle name="Normal 10 3 11 2 4" xfId="5965" xr:uid="{00000000-0005-0000-0000-0000221A0000}"/>
    <cellStyle name="Normal 10 3 11 3" xfId="5966" xr:uid="{00000000-0005-0000-0000-0000231A0000}"/>
    <cellStyle name="Normal 10 3 11 3 2" xfId="5967" xr:uid="{00000000-0005-0000-0000-0000241A0000}"/>
    <cellStyle name="Normal 10 3 11 3 3" xfId="5968" xr:uid="{00000000-0005-0000-0000-0000251A0000}"/>
    <cellStyle name="Normal 10 3 11 3 4" xfId="5969" xr:uid="{00000000-0005-0000-0000-0000261A0000}"/>
    <cellStyle name="Normal 10 3 11 4" xfId="5970" xr:uid="{00000000-0005-0000-0000-0000271A0000}"/>
    <cellStyle name="Normal 10 3 11 5" xfId="5971" xr:uid="{00000000-0005-0000-0000-0000281A0000}"/>
    <cellStyle name="Normal 10 3 11 6" xfId="5972" xr:uid="{00000000-0005-0000-0000-0000291A0000}"/>
    <cellStyle name="Normal 10 3 12" xfId="5973" xr:uid="{00000000-0005-0000-0000-00002A1A0000}"/>
    <cellStyle name="Normal 10 3 12 2" xfId="5974" xr:uid="{00000000-0005-0000-0000-00002B1A0000}"/>
    <cellStyle name="Normal 10 3 12 2 2" xfId="5975" xr:uid="{00000000-0005-0000-0000-00002C1A0000}"/>
    <cellStyle name="Normal 10 3 12 2 3" xfId="5976" xr:uid="{00000000-0005-0000-0000-00002D1A0000}"/>
    <cellStyle name="Normal 10 3 12 2 4" xfId="5977" xr:uid="{00000000-0005-0000-0000-00002E1A0000}"/>
    <cellStyle name="Normal 10 3 12 3" xfId="5978" xr:uid="{00000000-0005-0000-0000-00002F1A0000}"/>
    <cellStyle name="Normal 10 3 12 3 2" xfId="5979" xr:uid="{00000000-0005-0000-0000-0000301A0000}"/>
    <cellStyle name="Normal 10 3 12 3 3" xfId="5980" xr:uid="{00000000-0005-0000-0000-0000311A0000}"/>
    <cellStyle name="Normal 10 3 12 3 4" xfId="5981" xr:uid="{00000000-0005-0000-0000-0000321A0000}"/>
    <cellStyle name="Normal 10 3 12 4" xfId="5982" xr:uid="{00000000-0005-0000-0000-0000331A0000}"/>
    <cellStyle name="Normal 10 3 12 5" xfId="5983" xr:uid="{00000000-0005-0000-0000-0000341A0000}"/>
    <cellStyle name="Normal 10 3 12 6" xfId="5984" xr:uid="{00000000-0005-0000-0000-0000351A0000}"/>
    <cellStyle name="Normal 10 3 13" xfId="5985" xr:uid="{00000000-0005-0000-0000-0000361A0000}"/>
    <cellStyle name="Normal 10 3 13 2" xfId="5986" xr:uid="{00000000-0005-0000-0000-0000371A0000}"/>
    <cellStyle name="Normal 10 3 13 2 2" xfId="5987" xr:uid="{00000000-0005-0000-0000-0000381A0000}"/>
    <cellStyle name="Normal 10 3 13 2 3" xfId="5988" xr:uid="{00000000-0005-0000-0000-0000391A0000}"/>
    <cellStyle name="Normal 10 3 13 2 4" xfId="5989" xr:uid="{00000000-0005-0000-0000-00003A1A0000}"/>
    <cellStyle name="Normal 10 3 13 3" xfId="5990" xr:uid="{00000000-0005-0000-0000-00003B1A0000}"/>
    <cellStyle name="Normal 10 3 13 3 2" xfId="5991" xr:uid="{00000000-0005-0000-0000-00003C1A0000}"/>
    <cellStyle name="Normal 10 3 13 3 3" xfId="5992" xr:uid="{00000000-0005-0000-0000-00003D1A0000}"/>
    <cellStyle name="Normal 10 3 13 3 4" xfId="5993" xr:uid="{00000000-0005-0000-0000-00003E1A0000}"/>
    <cellStyle name="Normal 10 3 13 4" xfId="5994" xr:uid="{00000000-0005-0000-0000-00003F1A0000}"/>
    <cellStyle name="Normal 10 3 13 5" xfId="5995" xr:uid="{00000000-0005-0000-0000-0000401A0000}"/>
    <cellStyle name="Normal 10 3 13 6" xfId="5996" xr:uid="{00000000-0005-0000-0000-0000411A0000}"/>
    <cellStyle name="Normal 10 3 14" xfId="5997" xr:uid="{00000000-0005-0000-0000-0000421A0000}"/>
    <cellStyle name="Normal 10 3 14 2" xfId="5998" xr:uid="{00000000-0005-0000-0000-0000431A0000}"/>
    <cellStyle name="Normal 10 3 14 2 2" xfId="5999" xr:uid="{00000000-0005-0000-0000-0000441A0000}"/>
    <cellStyle name="Normal 10 3 14 2 3" xfId="6000" xr:uid="{00000000-0005-0000-0000-0000451A0000}"/>
    <cellStyle name="Normal 10 3 14 2 4" xfId="6001" xr:uid="{00000000-0005-0000-0000-0000461A0000}"/>
    <cellStyle name="Normal 10 3 14 3" xfId="6002" xr:uid="{00000000-0005-0000-0000-0000471A0000}"/>
    <cellStyle name="Normal 10 3 14 3 2" xfId="6003" xr:uid="{00000000-0005-0000-0000-0000481A0000}"/>
    <cellStyle name="Normal 10 3 14 3 3" xfId="6004" xr:uid="{00000000-0005-0000-0000-0000491A0000}"/>
    <cellStyle name="Normal 10 3 14 3 4" xfId="6005" xr:uid="{00000000-0005-0000-0000-00004A1A0000}"/>
    <cellStyle name="Normal 10 3 14 4" xfId="6006" xr:uid="{00000000-0005-0000-0000-00004B1A0000}"/>
    <cellStyle name="Normal 10 3 14 5" xfId="6007" xr:uid="{00000000-0005-0000-0000-00004C1A0000}"/>
    <cellStyle name="Normal 10 3 14 6" xfId="6008" xr:uid="{00000000-0005-0000-0000-00004D1A0000}"/>
    <cellStyle name="Normal 10 3 15" xfId="6009" xr:uid="{00000000-0005-0000-0000-00004E1A0000}"/>
    <cellStyle name="Normal 10 3 15 2" xfId="6010" xr:uid="{00000000-0005-0000-0000-00004F1A0000}"/>
    <cellStyle name="Normal 10 3 15 2 2" xfId="6011" xr:uid="{00000000-0005-0000-0000-0000501A0000}"/>
    <cellStyle name="Normal 10 3 15 2 3" xfId="6012" xr:uid="{00000000-0005-0000-0000-0000511A0000}"/>
    <cellStyle name="Normal 10 3 15 2 4" xfId="6013" xr:uid="{00000000-0005-0000-0000-0000521A0000}"/>
    <cellStyle name="Normal 10 3 15 3" xfId="6014" xr:uid="{00000000-0005-0000-0000-0000531A0000}"/>
    <cellStyle name="Normal 10 3 15 3 2" xfId="6015" xr:uid="{00000000-0005-0000-0000-0000541A0000}"/>
    <cellStyle name="Normal 10 3 15 3 3" xfId="6016" xr:uid="{00000000-0005-0000-0000-0000551A0000}"/>
    <cellStyle name="Normal 10 3 15 3 4" xfId="6017" xr:uid="{00000000-0005-0000-0000-0000561A0000}"/>
    <cellStyle name="Normal 10 3 15 4" xfId="6018" xr:uid="{00000000-0005-0000-0000-0000571A0000}"/>
    <cellStyle name="Normal 10 3 15 5" xfId="6019" xr:uid="{00000000-0005-0000-0000-0000581A0000}"/>
    <cellStyle name="Normal 10 3 15 6" xfId="6020" xr:uid="{00000000-0005-0000-0000-0000591A0000}"/>
    <cellStyle name="Normal 10 3 16" xfId="6021" xr:uid="{00000000-0005-0000-0000-00005A1A0000}"/>
    <cellStyle name="Normal 10 3 16 2" xfId="6022" xr:uid="{00000000-0005-0000-0000-00005B1A0000}"/>
    <cellStyle name="Normal 10 3 16 2 2" xfId="6023" xr:uid="{00000000-0005-0000-0000-00005C1A0000}"/>
    <cellStyle name="Normal 10 3 16 2 3" xfId="6024" xr:uid="{00000000-0005-0000-0000-00005D1A0000}"/>
    <cellStyle name="Normal 10 3 16 2 4" xfId="6025" xr:uid="{00000000-0005-0000-0000-00005E1A0000}"/>
    <cellStyle name="Normal 10 3 16 3" xfId="6026" xr:uid="{00000000-0005-0000-0000-00005F1A0000}"/>
    <cellStyle name="Normal 10 3 16 3 2" xfId="6027" xr:uid="{00000000-0005-0000-0000-0000601A0000}"/>
    <cellStyle name="Normal 10 3 16 3 3" xfId="6028" xr:uid="{00000000-0005-0000-0000-0000611A0000}"/>
    <cellStyle name="Normal 10 3 16 3 4" xfId="6029" xr:uid="{00000000-0005-0000-0000-0000621A0000}"/>
    <cellStyle name="Normal 10 3 16 4" xfId="6030" xr:uid="{00000000-0005-0000-0000-0000631A0000}"/>
    <cellStyle name="Normal 10 3 16 5" xfId="6031" xr:uid="{00000000-0005-0000-0000-0000641A0000}"/>
    <cellStyle name="Normal 10 3 16 6" xfId="6032" xr:uid="{00000000-0005-0000-0000-0000651A0000}"/>
    <cellStyle name="Normal 10 3 17" xfId="6033" xr:uid="{00000000-0005-0000-0000-0000661A0000}"/>
    <cellStyle name="Normal 10 3 17 2" xfId="6034" xr:uid="{00000000-0005-0000-0000-0000671A0000}"/>
    <cellStyle name="Normal 10 3 17 2 2" xfId="6035" xr:uid="{00000000-0005-0000-0000-0000681A0000}"/>
    <cellStyle name="Normal 10 3 17 2 3" xfId="6036" xr:uid="{00000000-0005-0000-0000-0000691A0000}"/>
    <cellStyle name="Normal 10 3 17 2 4" xfId="6037" xr:uid="{00000000-0005-0000-0000-00006A1A0000}"/>
    <cellStyle name="Normal 10 3 17 3" xfId="6038" xr:uid="{00000000-0005-0000-0000-00006B1A0000}"/>
    <cellStyle name="Normal 10 3 17 3 2" xfId="6039" xr:uid="{00000000-0005-0000-0000-00006C1A0000}"/>
    <cellStyle name="Normal 10 3 17 3 3" xfId="6040" xr:uid="{00000000-0005-0000-0000-00006D1A0000}"/>
    <cellStyle name="Normal 10 3 17 3 4" xfId="6041" xr:uid="{00000000-0005-0000-0000-00006E1A0000}"/>
    <cellStyle name="Normal 10 3 17 4" xfId="6042" xr:uid="{00000000-0005-0000-0000-00006F1A0000}"/>
    <cellStyle name="Normal 10 3 17 5" xfId="6043" xr:uid="{00000000-0005-0000-0000-0000701A0000}"/>
    <cellStyle name="Normal 10 3 17 6" xfId="6044" xr:uid="{00000000-0005-0000-0000-0000711A0000}"/>
    <cellStyle name="Normal 10 3 18" xfId="6045" xr:uid="{00000000-0005-0000-0000-0000721A0000}"/>
    <cellStyle name="Normal 10 3 18 2" xfId="6046" xr:uid="{00000000-0005-0000-0000-0000731A0000}"/>
    <cellStyle name="Normal 10 3 18 3" xfId="6047" xr:uid="{00000000-0005-0000-0000-0000741A0000}"/>
    <cellStyle name="Normal 10 3 18 4" xfId="6048" xr:uid="{00000000-0005-0000-0000-0000751A0000}"/>
    <cellStyle name="Normal 10 3 19" xfId="6049" xr:uid="{00000000-0005-0000-0000-0000761A0000}"/>
    <cellStyle name="Normal 10 3 19 2" xfId="6050" xr:uid="{00000000-0005-0000-0000-0000771A0000}"/>
    <cellStyle name="Normal 10 3 19 3" xfId="6051" xr:uid="{00000000-0005-0000-0000-0000781A0000}"/>
    <cellStyle name="Normal 10 3 19 4" xfId="6052" xr:uid="{00000000-0005-0000-0000-0000791A0000}"/>
    <cellStyle name="Normal 10 3 2" xfId="6053" xr:uid="{00000000-0005-0000-0000-00007A1A0000}"/>
    <cellStyle name="Normal 10 3 2 2" xfId="6054" xr:uid="{00000000-0005-0000-0000-00007B1A0000}"/>
    <cellStyle name="Normal 10 3 2 2 2" xfId="6055" xr:uid="{00000000-0005-0000-0000-00007C1A0000}"/>
    <cellStyle name="Normal 10 3 2 2 3" xfId="6056" xr:uid="{00000000-0005-0000-0000-00007D1A0000}"/>
    <cellStyle name="Normal 10 3 2 2 4" xfId="6057" xr:uid="{00000000-0005-0000-0000-00007E1A0000}"/>
    <cellStyle name="Normal 10 3 2 3" xfId="6058" xr:uid="{00000000-0005-0000-0000-00007F1A0000}"/>
    <cellStyle name="Normal 10 3 2 3 2" xfId="6059" xr:uid="{00000000-0005-0000-0000-0000801A0000}"/>
    <cellStyle name="Normal 10 3 2 3 3" xfId="6060" xr:uid="{00000000-0005-0000-0000-0000811A0000}"/>
    <cellStyle name="Normal 10 3 2 3 4" xfId="6061" xr:uid="{00000000-0005-0000-0000-0000821A0000}"/>
    <cellStyle name="Normal 10 3 2 4" xfId="6062" xr:uid="{00000000-0005-0000-0000-0000831A0000}"/>
    <cellStyle name="Normal 10 3 2 5" xfId="6063" xr:uid="{00000000-0005-0000-0000-0000841A0000}"/>
    <cellStyle name="Normal 10 3 2 6" xfId="6064" xr:uid="{00000000-0005-0000-0000-0000851A0000}"/>
    <cellStyle name="Normal 10 3 20" xfId="6065" xr:uid="{00000000-0005-0000-0000-0000861A0000}"/>
    <cellStyle name="Normal 10 3 20 2" xfId="6066" xr:uid="{00000000-0005-0000-0000-0000871A0000}"/>
    <cellStyle name="Normal 10 3 20 3" xfId="6067" xr:uid="{00000000-0005-0000-0000-0000881A0000}"/>
    <cellStyle name="Normal 10 3 20 4" xfId="6068" xr:uid="{00000000-0005-0000-0000-0000891A0000}"/>
    <cellStyle name="Normal 10 3 21" xfId="6069" xr:uid="{00000000-0005-0000-0000-00008A1A0000}"/>
    <cellStyle name="Normal 10 3 22" xfId="6070" xr:uid="{00000000-0005-0000-0000-00008B1A0000}"/>
    <cellStyle name="Normal 10 3 23" xfId="6071" xr:uid="{00000000-0005-0000-0000-00008C1A0000}"/>
    <cellStyle name="Normal 10 3 3" xfId="6072" xr:uid="{00000000-0005-0000-0000-00008D1A0000}"/>
    <cellStyle name="Normal 10 3 3 2" xfId="6073" xr:uid="{00000000-0005-0000-0000-00008E1A0000}"/>
    <cellStyle name="Normal 10 3 3 2 2" xfId="6074" xr:uid="{00000000-0005-0000-0000-00008F1A0000}"/>
    <cellStyle name="Normal 10 3 3 2 3" xfId="6075" xr:uid="{00000000-0005-0000-0000-0000901A0000}"/>
    <cellStyle name="Normal 10 3 3 2 4" xfId="6076" xr:uid="{00000000-0005-0000-0000-0000911A0000}"/>
    <cellStyle name="Normal 10 3 3 3" xfId="6077" xr:uid="{00000000-0005-0000-0000-0000921A0000}"/>
    <cellStyle name="Normal 10 3 3 3 2" xfId="6078" xr:uid="{00000000-0005-0000-0000-0000931A0000}"/>
    <cellStyle name="Normal 10 3 3 3 3" xfId="6079" xr:uid="{00000000-0005-0000-0000-0000941A0000}"/>
    <cellStyle name="Normal 10 3 3 3 4" xfId="6080" xr:uid="{00000000-0005-0000-0000-0000951A0000}"/>
    <cellStyle name="Normal 10 3 3 4" xfId="6081" xr:uid="{00000000-0005-0000-0000-0000961A0000}"/>
    <cellStyle name="Normal 10 3 3 5" xfId="6082" xr:uid="{00000000-0005-0000-0000-0000971A0000}"/>
    <cellStyle name="Normal 10 3 3 6" xfId="6083" xr:uid="{00000000-0005-0000-0000-0000981A0000}"/>
    <cellStyle name="Normal 10 3 4" xfId="6084" xr:uid="{00000000-0005-0000-0000-0000991A0000}"/>
    <cellStyle name="Normal 10 3 4 2" xfId="6085" xr:uid="{00000000-0005-0000-0000-00009A1A0000}"/>
    <cellStyle name="Normal 10 3 4 2 2" xfId="6086" xr:uid="{00000000-0005-0000-0000-00009B1A0000}"/>
    <cellStyle name="Normal 10 3 4 2 3" xfId="6087" xr:uid="{00000000-0005-0000-0000-00009C1A0000}"/>
    <cellStyle name="Normal 10 3 4 2 4" xfId="6088" xr:uid="{00000000-0005-0000-0000-00009D1A0000}"/>
    <cellStyle name="Normal 10 3 4 3" xfId="6089" xr:uid="{00000000-0005-0000-0000-00009E1A0000}"/>
    <cellStyle name="Normal 10 3 4 3 2" xfId="6090" xr:uid="{00000000-0005-0000-0000-00009F1A0000}"/>
    <cellStyle name="Normal 10 3 4 3 3" xfId="6091" xr:uid="{00000000-0005-0000-0000-0000A01A0000}"/>
    <cellStyle name="Normal 10 3 4 3 4" xfId="6092" xr:uid="{00000000-0005-0000-0000-0000A11A0000}"/>
    <cellStyle name="Normal 10 3 4 4" xfId="6093" xr:uid="{00000000-0005-0000-0000-0000A21A0000}"/>
    <cellStyle name="Normal 10 3 4 5" xfId="6094" xr:uid="{00000000-0005-0000-0000-0000A31A0000}"/>
    <cellStyle name="Normal 10 3 4 6" xfId="6095" xr:uid="{00000000-0005-0000-0000-0000A41A0000}"/>
    <cellStyle name="Normal 10 3 5" xfId="6096" xr:uid="{00000000-0005-0000-0000-0000A51A0000}"/>
    <cellStyle name="Normal 10 3 5 2" xfId="6097" xr:uid="{00000000-0005-0000-0000-0000A61A0000}"/>
    <cellStyle name="Normal 10 3 5 2 2" xfId="6098" xr:uid="{00000000-0005-0000-0000-0000A71A0000}"/>
    <cellStyle name="Normal 10 3 5 2 3" xfId="6099" xr:uid="{00000000-0005-0000-0000-0000A81A0000}"/>
    <cellStyle name="Normal 10 3 5 2 4" xfId="6100" xr:uid="{00000000-0005-0000-0000-0000A91A0000}"/>
    <cellStyle name="Normal 10 3 5 3" xfId="6101" xr:uid="{00000000-0005-0000-0000-0000AA1A0000}"/>
    <cellStyle name="Normal 10 3 5 3 2" xfId="6102" xr:uid="{00000000-0005-0000-0000-0000AB1A0000}"/>
    <cellStyle name="Normal 10 3 5 3 3" xfId="6103" xr:uid="{00000000-0005-0000-0000-0000AC1A0000}"/>
    <cellStyle name="Normal 10 3 5 3 4" xfId="6104" xr:uid="{00000000-0005-0000-0000-0000AD1A0000}"/>
    <cellStyle name="Normal 10 3 5 4" xfId="6105" xr:uid="{00000000-0005-0000-0000-0000AE1A0000}"/>
    <cellStyle name="Normal 10 3 5 5" xfId="6106" xr:uid="{00000000-0005-0000-0000-0000AF1A0000}"/>
    <cellStyle name="Normal 10 3 5 6" xfId="6107" xr:uid="{00000000-0005-0000-0000-0000B01A0000}"/>
    <cellStyle name="Normal 10 3 6" xfId="6108" xr:uid="{00000000-0005-0000-0000-0000B11A0000}"/>
    <cellStyle name="Normal 10 3 6 2" xfId="6109" xr:uid="{00000000-0005-0000-0000-0000B21A0000}"/>
    <cellStyle name="Normal 10 3 6 2 2" xfId="6110" xr:uid="{00000000-0005-0000-0000-0000B31A0000}"/>
    <cellStyle name="Normal 10 3 6 2 3" xfId="6111" xr:uid="{00000000-0005-0000-0000-0000B41A0000}"/>
    <cellStyle name="Normal 10 3 6 2 4" xfId="6112" xr:uid="{00000000-0005-0000-0000-0000B51A0000}"/>
    <cellStyle name="Normal 10 3 6 3" xfId="6113" xr:uid="{00000000-0005-0000-0000-0000B61A0000}"/>
    <cellStyle name="Normal 10 3 6 3 2" xfId="6114" xr:uid="{00000000-0005-0000-0000-0000B71A0000}"/>
    <cellStyle name="Normal 10 3 6 3 3" xfId="6115" xr:uid="{00000000-0005-0000-0000-0000B81A0000}"/>
    <cellStyle name="Normal 10 3 6 3 4" xfId="6116" xr:uid="{00000000-0005-0000-0000-0000B91A0000}"/>
    <cellStyle name="Normal 10 3 6 4" xfId="6117" xr:uid="{00000000-0005-0000-0000-0000BA1A0000}"/>
    <cellStyle name="Normal 10 3 6 5" xfId="6118" xr:uid="{00000000-0005-0000-0000-0000BB1A0000}"/>
    <cellStyle name="Normal 10 3 6 6" xfId="6119" xr:uid="{00000000-0005-0000-0000-0000BC1A0000}"/>
    <cellStyle name="Normal 10 3 7" xfId="6120" xr:uid="{00000000-0005-0000-0000-0000BD1A0000}"/>
    <cellStyle name="Normal 10 3 7 2" xfId="6121" xr:uid="{00000000-0005-0000-0000-0000BE1A0000}"/>
    <cellStyle name="Normal 10 3 7 2 2" xfId="6122" xr:uid="{00000000-0005-0000-0000-0000BF1A0000}"/>
    <cellStyle name="Normal 10 3 7 2 3" xfId="6123" xr:uid="{00000000-0005-0000-0000-0000C01A0000}"/>
    <cellStyle name="Normal 10 3 7 2 4" xfId="6124" xr:uid="{00000000-0005-0000-0000-0000C11A0000}"/>
    <cellStyle name="Normal 10 3 7 3" xfId="6125" xr:uid="{00000000-0005-0000-0000-0000C21A0000}"/>
    <cellStyle name="Normal 10 3 7 3 2" xfId="6126" xr:uid="{00000000-0005-0000-0000-0000C31A0000}"/>
    <cellStyle name="Normal 10 3 7 3 3" xfId="6127" xr:uid="{00000000-0005-0000-0000-0000C41A0000}"/>
    <cellStyle name="Normal 10 3 7 3 4" xfId="6128" xr:uid="{00000000-0005-0000-0000-0000C51A0000}"/>
    <cellStyle name="Normal 10 3 7 4" xfId="6129" xr:uid="{00000000-0005-0000-0000-0000C61A0000}"/>
    <cellStyle name="Normal 10 3 7 5" xfId="6130" xr:uid="{00000000-0005-0000-0000-0000C71A0000}"/>
    <cellStyle name="Normal 10 3 7 6" xfId="6131" xr:uid="{00000000-0005-0000-0000-0000C81A0000}"/>
    <cellStyle name="Normal 10 3 8" xfId="6132" xr:uid="{00000000-0005-0000-0000-0000C91A0000}"/>
    <cellStyle name="Normal 10 3 8 2" xfId="6133" xr:uid="{00000000-0005-0000-0000-0000CA1A0000}"/>
    <cellStyle name="Normal 10 3 8 2 2" xfId="6134" xr:uid="{00000000-0005-0000-0000-0000CB1A0000}"/>
    <cellStyle name="Normal 10 3 8 2 3" xfId="6135" xr:uid="{00000000-0005-0000-0000-0000CC1A0000}"/>
    <cellStyle name="Normal 10 3 8 2 4" xfId="6136" xr:uid="{00000000-0005-0000-0000-0000CD1A0000}"/>
    <cellStyle name="Normal 10 3 8 3" xfId="6137" xr:uid="{00000000-0005-0000-0000-0000CE1A0000}"/>
    <cellStyle name="Normal 10 3 8 3 2" xfId="6138" xr:uid="{00000000-0005-0000-0000-0000CF1A0000}"/>
    <cellStyle name="Normal 10 3 8 3 3" xfId="6139" xr:uid="{00000000-0005-0000-0000-0000D01A0000}"/>
    <cellStyle name="Normal 10 3 8 3 4" xfId="6140" xr:uid="{00000000-0005-0000-0000-0000D11A0000}"/>
    <cellStyle name="Normal 10 3 8 4" xfId="6141" xr:uid="{00000000-0005-0000-0000-0000D21A0000}"/>
    <cellStyle name="Normal 10 3 8 5" xfId="6142" xr:uid="{00000000-0005-0000-0000-0000D31A0000}"/>
    <cellStyle name="Normal 10 3 8 6" xfId="6143" xr:uid="{00000000-0005-0000-0000-0000D41A0000}"/>
    <cellStyle name="Normal 10 3 9" xfId="6144" xr:uid="{00000000-0005-0000-0000-0000D51A0000}"/>
    <cellStyle name="Normal 10 3 9 2" xfId="6145" xr:uid="{00000000-0005-0000-0000-0000D61A0000}"/>
    <cellStyle name="Normal 10 3 9 2 2" xfId="6146" xr:uid="{00000000-0005-0000-0000-0000D71A0000}"/>
    <cellStyle name="Normal 10 3 9 2 3" xfId="6147" xr:uid="{00000000-0005-0000-0000-0000D81A0000}"/>
    <cellStyle name="Normal 10 3 9 2 4" xfId="6148" xr:uid="{00000000-0005-0000-0000-0000D91A0000}"/>
    <cellStyle name="Normal 10 3 9 3" xfId="6149" xr:uid="{00000000-0005-0000-0000-0000DA1A0000}"/>
    <cellStyle name="Normal 10 3 9 3 2" xfId="6150" xr:uid="{00000000-0005-0000-0000-0000DB1A0000}"/>
    <cellStyle name="Normal 10 3 9 3 3" xfId="6151" xr:uid="{00000000-0005-0000-0000-0000DC1A0000}"/>
    <cellStyle name="Normal 10 3 9 3 4" xfId="6152" xr:uid="{00000000-0005-0000-0000-0000DD1A0000}"/>
    <cellStyle name="Normal 10 3 9 4" xfId="6153" xr:uid="{00000000-0005-0000-0000-0000DE1A0000}"/>
    <cellStyle name="Normal 10 3 9 5" xfId="6154" xr:uid="{00000000-0005-0000-0000-0000DF1A0000}"/>
    <cellStyle name="Normal 10 3 9 6" xfId="6155" xr:uid="{00000000-0005-0000-0000-0000E01A0000}"/>
    <cellStyle name="Normal 10 30" xfId="6156" xr:uid="{00000000-0005-0000-0000-0000E11A0000}"/>
    <cellStyle name="Normal 10 30 10" xfId="6157" xr:uid="{00000000-0005-0000-0000-0000E21A0000}"/>
    <cellStyle name="Normal 10 30 11" xfId="6158" xr:uid="{00000000-0005-0000-0000-0000E31A0000}"/>
    <cellStyle name="Normal 10 30 12" xfId="6159" xr:uid="{00000000-0005-0000-0000-0000E41A0000}"/>
    <cellStyle name="Normal 10 30 13" xfId="6160" xr:uid="{00000000-0005-0000-0000-0000E51A0000}"/>
    <cellStyle name="Normal 10 30 2" xfId="6161" xr:uid="{00000000-0005-0000-0000-0000E61A0000}"/>
    <cellStyle name="Normal 10 30 2 2" xfId="6162" xr:uid="{00000000-0005-0000-0000-0000E71A0000}"/>
    <cellStyle name="Normal 10 30 2 3" xfId="6163" xr:uid="{00000000-0005-0000-0000-0000E81A0000}"/>
    <cellStyle name="Normal 10 30 2 4" xfId="6164" xr:uid="{00000000-0005-0000-0000-0000E91A0000}"/>
    <cellStyle name="Normal 10 30 2 5" xfId="6165" xr:uid="{00000000-0005-0000-0000-0000EA1A0000}"/>
    <cellStyle name="Normal 10 30 2 6" xfId="6166" xr:uid="{00000000-0005-0000-0000-0000EB1A0000}"/>
    <cellStyle name="Normal 10 30 3" xfId="6167" xr:uid="{00000000-0005-0000-0000-0000EC1A0000}"/>
    <cellStyle name="Normal 10 30 3 2" xfId="6168" xr:uid="{00000000-0005-0000-0000-0000ED1A0000}"/>
    <cellStyle name="Normal 10 30 3 3" xfId="6169" xr:uid="{00000000-0005-0000-0000-0000EE1A0000}"/>
    <cellStyle name="Normal 10 30 3 4" xfId="6170" xr:uid="{00000000-0005-0000-0000-0000EF1A0000}"/>
    <cellStyle name="Normal 10 30 3 5" xfId="6171" xr:uid="{00000000-0005-0000-0000-0000F01A0000}"/>
    <cellStyle name="Normal 10 30 3 6" xfId="6172" xr:uid="{00000000-0005-0000-0000-0000F11A0000}"/>
    <cellStyle name="Normal 10 30 4" xfId="6173" xr:uid="{00000000-0005-0000-0000-0000F21A0000}"/>
    <cellStyle name="Normal 10 30 4 2" xfId="6174" xr:uid="{00000000-0005-0000-0000-0000F31A0000}"/>
    <cellStyle name="Normal 10 30 4 3" xfId="6175" xr:uid="{00000000-0005-0000-0000-0000F41A0000}"/>
    <cellStyle name="Normal 10 30 4 4" xfId="6176" xr:uid="{00000000-0005-0000-0000-0000F51A0000}"/>
    <cellStyle name="Normal 10 30 4 5" xfId="6177" xr:uid="{00000000-0005-0000-0000-0000F61A0000}"/>
    <cellStyle name="Normal 10 30 4 6" xfId="6178" xr:uid="{00000000-0005-0000-0000-0000F71A0000}"/>
    <cellStyle name="Normal 10 30 5" xfId="6179" xr:uid="{00000000-0005-0000-0000-0000F81A0000}"/>
    <cellStyle name="Normal 10 30 5 2" xfId="6180" xr:uid="{00000000-0005-0000-0000-0000F91A0000}"/>
    <cellStyle name="Normal 10 30 5 3" xfId="6181" xr:uid="{00000000-0005-0000-0000-0000FA1A0000}"/>
    <cellStyle name="Normal 10 30 5 4" xfId="6182" xr:uid="{00000000-0005-0000-0000-0000FB1A0000}"/>
    <cellStyle name="Normal 10 30 5 5" xfId="6183" xr:uid="{00000000-0005-0000-0000-0000FC1A0000}"/>
    <cellStyle name="Normal 10 30 5 6" xfId="6184" xr:uid="{00000000-0005-0000-0000-0000FD1A0000}"/>
    <cellStyle name="Normal 10 30 6" xfId="6185" xr:uid="{00000000-0005-0000-0000-0000FE1A0000}"/>
    <cellStyle name="Normal 10 30 6 2" xfId="6186" xr:uid="{00000000-0005-0000-0000-0000FF1A0000}"/>
    <cellStyle name="Normal 10 30 6 3" xfId="6187" xr:uid="{00000000-0005-0000-0000-0000001B0000}"/>
    <cellStyle name="Normal 10 30 6 4" xfId="6188" xr:uid="{00000000-0005-0000-0000-0000011B0000}"/>
    <cellStyle name="Normal 10 30 6 5" xfId="6189" xr:uid="{00000000-0005-0000-0000-0000021B0000}"/>
    <cellStyle name="Normal 10 30 6 6" xfId="6190" xr:uid="{00000000-0005-0000-0000-0000031B0000}"/>
    <cellStyle name="Normal 10 30 7" xfId="6191" xr:uid="{00000000-0005-0000-0000-0000041B0000}"/>
    <cellStyle name="Normal 10 30 7 2" xfId="6192" xr:uid="{00000000-0005-0000-0000-0000051B0000}"/>
    <cellStyle name="Normal 10 30 7 3" xfId="6193" xr:uid="{00000000-0005-0000-0000-0000061B0000}"/>
    <cellStyle name="Normal 10 30 7 4" xfId="6194" xr:uid="{00000000-0005-0000-0000-0000071B0000}"/>
    <cellStyle name="Normal 10 30 7 5" xfId="6195" xr:uid="{00000000-0005-0000-0000-0000081B0000}"/>
    <cellStyle name="Normal 10 30 7 6" xfId="6196" xr:uid="{00000000-0005-0000-0000-0000091B0000}"/>
    <cellStyle name="Normal 10 30 8" xfId="6197" xr:uid="{00000000-0005-0000-0000-00000A1B0000}"/>
    <cellStyle name="Normal 10 30 8 2" xfId="6198" xr:uid="{00000000-0005-0000-0000-00000B1B0000}"/>
    <cellStyle name="Normal 10 30 8 3" xfId="6199" xr:uid="{00000000-0005-0000-0000-00000C1B0000}"/>
    <cellStyle name="Normal 10 30 8 4" xfId="6200" xr:uid="{00000000-0005-0000-0000-00000D1B0000}"/>
    <cellStyle name="Normal 10 30 8 5" xfId="6201" xr:uid="{00000000-0005-0000-0000-00000E1B0000}"/>
    <cellStyle name="Normal 10 30 8 6" xfId="6202" xr:uid="{00000000-0005-0000-0000-00000F1B0000}"/>
    <cellStyle name="Normal 10 30 9" xfId="6203" xr:uid="{00000000-0005-0000-0000-0000101B0000}"/>
    <cellStyle name="Normal 10 31" xfId="6204" xr:uid="{00000000-0005-0000-0000-0000111B0000}"/>
    <cellStyle name="Normal 10 31 10" xfId="6205" xr:uid="{00000000-0005-0000-0000-0000121B0000}"/>
    <cellStyle name="Normal 10 31 11" xfId="6206" xr:uid="{00000000-0005-0000-0000-0000131B0000}"/>
    <cellStyle name="Normal 10 31 12" xfId="6207" xr:uid="{00000000-0005-0000-0000-0000141B0000}"/>
    <cellStyle name="Normal 10 31 13" xfId="6208" xr:uid="{00000000-0005-0000-0000-0000151B0000}"/>
    <cellStyle name="Normal 10 31 2" xfId="6209" xr:uid="{00000000-0005-0000-0000-0000161B0000}"/>
    <cellStyle name="Normal 10 31 2 2" xfId="6210" xr:uid="{00000000-0005-0000-0000-0000171B0000}"/>
    <cellStyle name="Normal 10 31 2 3" xfId="6211" xr:uid="{00000000-0005-0000-0000-0000181B0000}"/>
    <cellStyle name="Normal 10 31 2 4" xfId="6212" xr:uid="{00000000-0005-0000-0000-0000191B0000}"/>
    <cellStyle name="Normal 10 31 2 5" xfId="6213" xr:uid="{00000000-0005-0000-0000-00001A1B0000}"/>
    <cellStyle name="Normal 10 31 2 6" xfId="6214" xr:uid="{00000000-0005-0000-0000-00001B1B0000}"/>
    <cellStyle name="Normal 10 31 3" xfId="6215" xr:uid="{00000000-0005-0000-0000-00001C1B0000}"/>
    <cellStyle name="Normal 10 31 3 2" xfId="6216" xr:uid="{00000000-0005-0000-0000-00001D1B0000}"/>
    <cellStyle name="Normal 10 31 3 3" xfId="6217" xr:uid="{00000000-0005-0000-0000-00001E1B0000}"/>
    <cellStyle name="Normal 10 31 3 4" xfId="6218" xr:uid="{00000000-0005-0000-0000-00001F1B0000}"/>
    <cellStyle name="Normal 10 31 3 5" xfId="6219" xr:uid="{00000000-0005-0000-0000-0000201B0000}"/>
    <cellStyle name="Normal 10 31 3 6" xfId="6220" xr:uid="{00000000-0005-0000-0000-0000211B0000}"/>
    <cellStyle name="Normal 10 31 4" xfId="6221" xr:uid="{00000000-0005-0000-0000-0000221B0000}"/>
    <cellStyle name="Normal 10 31 4 2" xfId="6222" xr:uid="{00000000-0005-0000-0000-0000231B0000}"/>
    <cellStyle name="Normal 10 31 4 3" xfId="6223" xr:uid="{00000000-0005-0000-0000-0000241B0000}"/>
    <cellStyle name="Normal 10 31 4 4" xfId="6224" xr:uid="{00000000-0005-0000-0000-0000251B0000}"/>
    <cellStyle name="Normal 10 31 4 5" xfId="6225" xr:uid="{00000000-0005-0000-0000-0000261B0000}"/>
    <cellStyle name="Normal 10 31 4 6" xfId="6226" xr:uid="{00000000-0005-0000-0000-0000271B0000}"/>
    <cellStyle name="Normal 10 31 5" xfId="6227" xr:uid="{00000000-0005-0000-0000-0000281B0000}"/>
    <cellStyle name="Normal 10 31 5 2" xfId="6228" xr:uid="{00000000-0005-0000-0000-0000291B0000}"/>
    <cellStyle name="Normal 10 31 5 3" xfId="6229" xr:uid="{00000000-0005-0000-0000-00002A1B0000}"/>
    <cellStyle name="Normal 10 31 5 4" xfId="6230" xr:uid="{00000000-0005-0000-0000-00002B1B0000}"/>
    <cellStyle name="Normal 10 31 5 5" xfId="6231" xr:uid="{00000000-0005-0000-0000-00002C1B0000}"/>
    <cellStyle name="Normal 10 31 5 6" xfId="6232" xr:uid="{00000000-0005-0000-0000-00002D1B0000}"/>
    <cellStyle name="Normal 10 31 6" xfId="6233" xr:uid="{00000000-0005-0000-0000-00002E1B0000}"/>
    <cellStyle name="Normal 10 31 6 2" xfId="6234" xr:uid="{00000000-0005-0000-0000-00002F1B0000}"/>
    <cellStyle name="Normal 10 31 6 3" xfId="6235" xr:uid="{00000000-0005-0000-0000-0000301B0000}"/>
    <cellStyle name="Normal 10 31 6 4" xfId="6236" xr:uid="{00000000-0005-0000-0000-0000311B0000}"/>
    <cellStyle name="Normal 10 31 6 5" xfId="6237" xr:uid="{00000000-0005-0000-0000-0000321B0000}"/>
    <cellStyle name="Normal 10 31 6 6" xfId="6238" xr:uid="{00000000-0005-0000-0000-0000331B0000}"/>
    <cellStyle name="Normal 10 31 7" xfId="6239" xr:uid="{00000000-0005-0000-0000-0000341B0000}"/>
    <cellStyle name="Normal 10 31 7 2" xfId="6240" xr:uid="{00000000-0005-0000-0000-0000351B0000}"/>
    <cellStyle name="Normal 10 31 7 3" xfId="6241" xr:uid="{00000000-0005-0000-0000-0000361B0000}"/>
    <cellStyle name="Normal 10 31 7 4" xfId="6242" xr:uid="{00000000-0005-0000-0000-0000371B0000}"/>
    <cellStyle name="Normal 10 31 7 5" xfId="6243" xr:uid="{00000000-0005-0000-0000-0000381B0000}"/>
    <cellStyle name="Normal 10 31 7 6" xfId="6244" xr:uid="{00000000-0005-0000-0000-0000391B0000}"/>
    <cellStyle name="Normal 10 31 8" xfId="6245" xr:uid="{00000000-0005-0000-0000-00003A1B0000}"/>
    <cellStyle name="Normal 10 31 8 2" xfId="6246" xr:uid="{00000000-0005-0000-0000-00003B1B0000}"/>
    <cellStyle name="Normal 10 31 8 3" xfId="6247" xr:uid="{00000000-0005-0000-0000-00003C1B0000}"/>
    <cellStyle name="Normal 10 31 8 4" xfId="6248" xr:uid="{00000000-0005-0000-0000-00003D1B0000}"/>
    <cellStyle name="Normal 10 31 8 5" xfId="6249" xr:uid="{00000000-0005-0000-0000-00003E1B0000}"/>
    <cellStyle name="Normal 10 31 8 6" xfId="6250" xr:uid="{00000000-0005-0000-0000-00003F1B0000}"/>
    <cellStyle name="Normal 10 31 9" xfId="6251" xr:uid="{00000000-0005-0000-0000-0000401B0000}"/>
    <cellStyle name="Normal 10 32" xfId="6252" xr:uid="{00000000-0005-0000-0000-0000411B0000}"/>
    <cellStyle name="Normal 10 32 10" xfId="6253" xr:uid="{00000000-0005-0000-0000-0000421B0000}"/>
    <cellStyle name="Normal 10 32 11" xfId="6254" xr:uid="{00000000-0005-0000-0000-0000431B0000}"/>
    <cellStyle name="Normal 10 32 12" xfId="6255" xr:uid="{00000000-0005-0000-0000-0000441B0000}"/>
    <cellStyle name="Normal 10 32 13" xfId="6256" xr:uid="{00000000-0005-0000-0000-0000451B0000}"/>
    <cellStyle name="Normal 10 32 2" xfId="6257" xr:uid="{00000000-0005-0000-0000-0000461B0000}"/>
    <cellStyle name="Normal 10 32 2 2" xfId="6258" xr:uid="{00000000-0005-0000-0000-0000471B0000}"/>
    <cellStyle name="Normal 10 32 2 3" xfId="6259" xr:uid="{00000000-0005-0000-0000-0000481B0000}"/>
    <cellStyle name="Normal 10 32 2 4" xfId="6260" xr:uid="{00000000-0005-0000-0000-0000491B0000}"/>
    <cellStyle name="Normal 10 32 2 5" xfId="6261" xr:uid="{00000000-0005-0000-0000-00004A1B0000}"/>
    <cellStyle name="Normal 10 32 2 6" xfId="6262" xr:uid="{00000000-0005-0000-0000-00004B1B0000}"/>
    <cellStyle name="Normal 10 32 3" xfId="6263" xr:uid="{00000000-0005-0000-0000-00004C1B0000}"/>
    <cellStyle name="Normal 10 32 3 2" xfId="6264" xr:uid="{00000000-0005-0000-0000-00004D1B0000}"/>
    <cellStyle name="Normal 10 32 3 3" xfId="6265" xr:uid="{00000000-0005-0000-0000-00004E1B0000}"/>
    <cellStyle name="Normal 10 32 3 4" xfId="6266" xr:uid="{00000000-0005-0000-0000-00004F1B0000}"/>
    <cellStyle name="Normal 10 32 3 5" xfId="6267" xr:uid="{00000000-0005-0000-0000-0000501B0000}"/>
    <cellStyle name="Normal 10 32 3 6" xfId="6268" xr:uid="{00000000-0005-0000-0000-0000511B0000}"/>
    <cellStyle name="Normal 10 32 4" xfId="6269" xr:uid="{00000000-0005-0000-0000-0000521B0000}"/>
    <cellStyle name="Normal 10 32 4 2" xfId="6270" xr:uid="{00000000-0005-0000-0000-0000531B0000}"/>
    <cellStyle name="Normal 10 32 4 3" xfId="6271" xr:uid="{00000000-0005-0000-0000-0000541B0000}"/>
    <cellStyle name="Normal 10 32 4 4" xfId="6272" xr:uid="{00000000-0005-0000-0000-0000551B0000}"/>
    <cellStyle name="Normal 10 32 4 5" xfId="6273" xr:uid="{00000000-0005-0000-0000-0000561B0000}"/>
    <cellStyle name="Normal 10 32 4 6" xfId="6274" xr:uid="{00000000-0005-0000-0000-0000571B0000}"/>
    <cellStyle name="Normal 10 32 5" xfId="6275" xr:uid="{00000000-0005-0000-0000-0000581B0000}"/>
    <cellStyle name="Normal 10 32 5 2" xfId="6276" xr:uid="{00000000-0005-0000-0000-0000591B0000}"/>
    <cellStyle name="Normal 10 32 5 3" xfId="6277" xr:uid="{00000000-0005-0000-0000-00005A1B0000}"/>
    <cellStyle name="Normal 10 32 5 4" xfId="6278" xr:uid="{00000000-0005-0000-0000-00005B1B0000}"/>
    <cellStyle name="Normal 10 32 5 5" xfId="6279" xr:uid="{00000000-0005-0000-0000-00005C1B0000}"/>
    <cellStyle name="Normal 10 32 5 6" xfId="6280" xr:uid="{00000000-0005-0000-0000-00005D1B0000}"/>
    <cellStyle name="Normal 10 32 6" xfId="6281" xr:uid="{00000000-0005-0000-0000-00005E1B0000}"/>
    <cellStyle name="Normal 10 32 6 2" xfId="6282" xr:uid="{00000000-0005-0000-0000-00005F1B0000}"/>
    <cellStyle name="Normal 10 32 6 3" xfId="6283" xr:uid="{00000000-0005-0000-0000-0000601B0000}"/>
    <cellStyle name="Normal 10 32 6 4" xfId="6284" xr:uid="{00000000-0005-0000-0000-0000611B0000}"/>
    <cellStyle name="Normal 10 32 6 5" xfId="6285" xr:uid="{00000000-0005-0000-0000-0000621B0000}"/>
    <cellStyle name="Normal 10 32 6 6" xfId="6286" xr:uid="{00000000-0005-0000-0000-0000631B0000}"/>
    <cellStyle name="Normal 10 32 7" xfId="6287" xr:uid="{00000000-0005-0000-0000-0000641B0000}"/>
    <cellStyle name="Normal 10 32 7 2" xfId="6288" xr:uid="{00000000-0005-0000-0000-0000651B0000}"/>
    <cellStyle name="Normal 10 32 7 3" xfId="6289" xr:uid="{00000000-0005-0000-0000-0000661B0000}"/>
    <cellStyle name="Normal 10 32 7 4" xfId="6290" xr:uid="{00000000-0005-0000-0000-0000671B0000}"/>
    <cellStyle name="Normal 10 32 7 5" xfId="6291" xr:uid="{00000000-0005-0000-0000-0000681B0000}"/>
    <cellStyle name="Normal 10 32 7 6" xfId="6292" xr:uid="{00000000-0005-0000-0000-0000691B0000}"/>
    <cellStyle name="Normal 10 32 8" xfId="6293" xr:uid="{00000000-0005-0000-0000-00006A1B0000}"/>
    <cellStyle name="Normal 10 32 8 2" xfId="6294" xr:uid="{00000000-0005-0000-0000-00006B1B0000}"/>
    <cellStyle name="Normal 10 32 8 3" xfId="6295" xr:uid="{00000000-0005-0000-0000-00006C1B0000}"/>
    <cellStyle name="Normal 10 32 8 4" xfId="6296" xr:uid="{00000000-0005-0000-0000-00006D1B0000}"/>
    <cellStyle name="Normal 10 32 8 5" xfId="6297" xr:uid="{00000000-0005-0000-0000-00006E1B0000}"/>
    <cellStyle name="Normal 10 32 8 6" xfId="6298" xr:uid="{00000000-0005-0000-0000-00006F1B0000}"/>
    <cellStyle name="Normal 10 32 9" xfId="6299" xr:uid="{00000000-0005-0000-0000-0000701B0000}"/>
    <cellStyle name="Normal 10 33" xfId="6300" xr:uid="{00000000-0005-0000-0000-0000711B0000}"/>
    <cellStyle name="Normal 10 33 10" xfId="6301" xr:uid="{00000000-0005-0000-0000-0000721B0000}"/>
    <cellStyle name="Normal 10 33 11" xfId="6302" xr:uid="{00000000-0005-0000-0000-0000731B0000}"/>
    <cellStyle name="Normal 10 33 12" xfId="6303" xr:uid="{00000000-0005-0000-0000-0000741B0000}"/>
    <cellStyle name="Normal 10 33 13" xfId="6304" xr:uid="{00000000-0005-0000-0000-0000751B0000}"/>
    <cellStyle name="Normal 10 33 2" xfId="6305" xr:uid="{00000000-0005-0000-0000-0000761B0000}"/>
    <cellStyle name="Normal 10 33 2 2" xfId="6306" xr:uid="{00000000-0005-0000-0000-0000771B0000}"/>
    <cellStyle name="Normal 10 33 2 3" xfId="6307" xr:uid="{00000000-0005-0000-0000-0000781B0000}"/>
    <cellStyle name="Normal 10 33 2 4" xfId="6308" xr:uid="{00000000-0005-0000-0000-0000791B0000}"/>
    <cellStyle name="Normal 10 33 2 5" xfId="6309" xr:uid="{00000000-0005-0000-0000-00007A1B0000}"/>
    <cellStyle name="Normal 10 33 2 6" xfId="6310" xr:uid="{00000000-0005-0000-0000-00007B1B0000}"/>
    <cellStyle name="Normal 10 33 3" xfId="6311" xr:uid="{00000000-0005-0000-0000-00007C1B0000}"/>
    <cellStyle name="Normal 10 33 3 2" xfId="6312" xr:uid="{00000000-0005-0000-0000-00007D1B0000}"/>
    <cellStyle name="Normal 10 33 3 3" xfId="6313" xr:uid="{00000000-0005-0000-0000-00007E1B0000}"/>
    <cellStyle name="Normal 10 33 3 4" xfId="6314" xr:uid="{00000000-0005-0000-0000-00007F1B0000}"/>
    <cellStyle name="Normal 10 33 3 5" xfId="6315" xr:uid="{00000000-0005-0000-0000-0000801B0000}"/>
    <cellStyle name="Normal 10 33 3 6" xfId="6316" xr:uid="{00000000-0005-0000-0000-0000811B0000}"/>
    <cellStyle name="Normal 10 33 4" xfId="6317" xr:uid="{00000000-0005-0000-0000-0000821B0000}"/>
    <cellStyle name="Normal 10 33 4 2" xfId="6318" xr:uid="{00000000-0005-0000-0000-0000831B0000}"/>
    <cellStyle name="Normal 10 33 4 3" xfId="6319" xr:uid="{00000000-0005-0000-0000-0000841B0000}"/>
    <cellStyle name="Normal 10 33 4 4" xfId="6320" xr:uid="{00000000-0005-0000-0000-0000851B0000}"/>
    <cellStyle name="Normal 10 33 4 5" xfId="6321" xr:uid="{00000000-0005-0000-0000-0000861B0000}"/>
    <cellStyle name="Normal 10 33 4 6" xfId="6322" xr:uid="{00000000-0005-0000-0000-0000871B0000}"/>
    <cellStyle name="Normal 10 33 5" xfId="6323" xr:uid="{00000000-0005-0000-0000-0000881B0000}"/>
    <cellStyle name="Normal 10 33 5 2" xfId="6324" xr:uid="{00000000-0005-0000-0000-0000891B0000}"/>
    <cellStyle name="Normal 10 33 5 3" xfId="6325" xr:uid="{00000000-0005-0000-0000-00008A1B0000}"/>
    <cellStyle name="Normal 10 33 5 4" xfId="6326" xr:uid="{00000000-0005-0000-0000-00008B1B0000}"/>
    <cellStyle name="Normal 10 33 5 5" xfId="6327" xr:uid="{00000000-0005-0000-0000-00008C1B0000}"/>
    <cellStyle name="Normal 10 33 5 6" xfId="6328" xr:uid="{00000000-0005-0000-0000-00008D1B0000}"/>
    <cellStyle name="Normal 10 33 6" xfId="6329" xr:uid="{00000000-0005-0000-0000-00008E1B0000}"/>
    <cellStyle name="Normal 10 33 6 2" xfId="6330" xr:uid="{00000000-0005-0000-0000-00008F1B0000}"/>
    <cellStyle name="Normal 10 33 6 3" xfId="6331" xr:uid="{00000000-0005-0000-0000-0000901B0000}"/>
    <cellStyle name="Normal 10 33 6 4" xfId="6332" xr:uid="{00000000-0005-0000-0000-0000911B0000}"/>
    <cellStyle name="Normal 10 33 6 5" xfId="6333" xr:uid="{00000000-0005-0000-0000-0000921B0000}"/>
    <cellStyle name="Normal 10 33 6 6" xfId="6334" xr:uid="{00000000-0005-0000-0000-0000931B0000}"/>
    <cellStyle name="Normal 10 33 7" xfId="6335" xr:uid="{00000000-0005-0000-0000-0000941B0000}"/>
    <cellStyle name="Normal 10 33 7 2" xfId="6336" xr:uid="{00000000-0005-0000-0000-0000951B0000}"/>
    <cellStyle name="Normal 10 33 7 3" xfId="6337" xr:uid="{00000000-0005-0000-0000-0000961B0000}"/>
    <cellStyle name="Normal 10 33 7 4" xfId="6338" xr:uid="{00000000-0005-0000-0000-0000971B0000}"/>
    <cellStyle name="Normal 10 33 7 5" xfId="6339" xr:uid="{00000000-0005-0000-0000-0000981B0000}"/>
    <cellStyle name="Normal 10 33 7 6" xfId="6340" xr:uid="{00000000-0005-0000-0000-0000991B0000}"/>
    <cellStyle name="Normal 10 33 8" xfId="6341" xr:uid="{00000000-0005-0000-0000-00009A1B0000}"/>
    <cellStyle name="Normal 10 33 8 2" xfId="6342" xr:uid="{00000000-0005-0000-0000-00009B1B0000}"/>
    <cellStyle name="Normal 10 33 8 3" xfId="6343" xr:uid="{00000000-0005-0000-0000-00009C1B0000}"/>
    <cellStyle name="Normal 10 33 8 4" xfId="6344" xr:uid="{00000000-0005-0000-0000-00009D1B0000}"/>
    <cellStyle name="Normal 10 33 8 5" xfId="6345" xr:uid="{00000000-0005-0000-0000-00009E1B0000}"/>
    <cellStyle name="Normal 10 33 8 6" xfId="6346" xr:uid="{00000000-0005-0000-0000-00009F1B0000}"/>
    <cellStyle name="Normal 10 33 9" xfId="6347" xr:uid="{00000000-0005-0000-0000-0000A01B0000}"/>
    <cellStyle name="Normal 10 34" xfId="6348" xr:uid="{00000000-0005-0000-0000-0000A11B0000}"/>
    <cellStyle name="Normal 10 34 2" xfId="6349" xr:uid="{00000000-0005-0000-0000-0000A21B0000}"/>
    <cellStyle name="Normal 10 34 3" xfId="6350" xr:uid="{00000000-0005-0000-0000-0000A31B0000}"/>
    <cellStyle name="Normal 10 34 4" xfId="6351" xr:uid="{00000000-0005-0000-0000-0000A41B0000}"/>
    <cellStyle name="Normal 10 34 5" xfId="6352" xr:uid="{00000000-0005-0000-0000-0000A51B0000}"/>
    <cellStyle name="Normal 10 34 6" xfId="6353" xr:uid="{00000000-0005-0000-0000-0000A61B0000}"/>
    <cellStyle name="Normal 10 35" xfId="6354" xr:uid="{00000000-0005-0000-0000-0000A71B0000}"/>
    <cellStyle name="Normal 10 35 2" xfId="6355" xr:uid="{00000000-0005-0000-0000-0000A81B0000}"/>
    <cellStyle name="Normal 10 35 3" xfId="6356" xr:uid="{00000000-0005-0000-0000-0000A91B0000}"/>
    <cellStyle name="Normal 10 35 4" xfId="6357" xr:uid="{00000000-0005-0000-0000-0000AA1B0000}"/>
    <cellStyle name="Normal 10 35 5" xfId="6358" xr:uid="{00000000-0005-0000-0000-0000AB1B0000}"/>
    <cellStyle name="Normal 10 35 6" xfId="6359" xr:uid="{00000000-0005-0000-0000-0000AC1B0000}"/>
    <cellStyle name="Normal 10 36" xfId="6360" xr:uid="{00000000-0005-0000-0000-0000AD1B0000}"/>
    <cellStyle name="Normal 10 36 2" xfId="6361" xr:uid="{00000000-0005-0000-0000-0000AE1B0000}"/>
    <cellStyle name="Normal 10 36 3" xfId="6362" xr:uid="{00000000-0005-0000-0000-0000AF1B0000}"/>
    <cellStyle name="Normal 10 36 4" xfId="6363" xr:uid="{00000000-0005-0000-0000-0000B01B0000}"/>
    <cellStyle name="Normal 10 36 5" xfId="6364" xr:uid="{00000000-0005-0000-0000-0000B11B0000}"/>
    <cellStyle name="Normal 10 36 6" xfId="6365" xr:uid="{00000000-0005-0000-0000-0000B21B0000}"/>
    <cellStyle name="Normal 10 37" xfId="6366" xr:uid="{00000000-0005-0000-0000-0000B31B0000}"/>
    <cellStyle name="Normal 10 37 2" xfId="6367" xr:uid="{00000000-0005-0000-0000-0000B41B0000}"/>
    <cellStyle name="Normal 10 37 3" xfId="6368" xr:uid="{00000000-0005-0000-0000-0000B51B0000}"/>
    <cellStyle name="Normal 10 37 4" xfId="6369" xr:uid="{00000000-0005-0000-0000-0000B61B0000}"/>
    <cellStyle name="Normal 10 37 5" xfId="6370" xr:uid="{00000000-0005-0000-0000-0000B71B0000}"/>
    <cellStyle name="Normal 10 37 6" xfId="6371" xr:uid="{00000000-0005-0000-0000-0000B81B0000}"/>
    <cellStyle name="Normal 10 38" xfId="6372" xr:uid="{00000000-0005-0000-0000-0000B91B0000}"/>
    <cellStyle name="Normal 10 38 2" xfId="6373" xr:uid="{00000000-0005-0000-0000-0000BA1B0000}"/>
    <cellStyle name="Normal 10 38 3" xfId="6374" xr:uid="{00000000-0005-0000-0000-0000BB1B0000}"/>
    <cellStyle name="Normal 10 38 4" xfId="6375" xr:uid="{00000000-0005-0000-0000-0000BC1B0000}"/>
    <cellStyle name="Normal 10 38 5" xfId="6376" xr:uid="{00000000-0005-0000-0000-0000BD1B0000}"/>
    <cellStyle name="Normal 10 38 6" xfId="6377" xr:uid="{00000000-0005-0000-0000-0000BE1B0000}"/>
    <cellStyle name="Normal 10 39" xfId="6378" xr:uid="{00000000-0005-0000-0000-0000BF1B0000}"/>
    <cellStyle name="Normal 10 39 2" xfId="6379" xr:uid="{00000000-0005-0000-0000-0000C01B0000}"/>
    <cellStyle name="Normal 10 39 3" xfId="6380" xr:uid="{00000000-0005-0000-0000-0000C11B0000}"/>
    <cellStyle name="Normal 10 39 4" xfId="6381" xr:uid="{00000000-0005-0000-0000-0000C21B0000}"/>
    <cellStyle name="Normal 10 39 5" xfId="6382" xr:uid="{00000000-0005-0000-0000-0000C31B0000}"/>
    <cellStyle name="Normal 10 39 6" xfId="6383" xr:uid="{00000000-0005-0000-0000-0000C41B0000}"/>
    <cellStyle name="Normal 10 4" xfId="6384" xr:uid="{00000000-0005-0000-0000-0000C51B0000}"/>
    <cellStyle name="Normal 10 4 10" xfId="6385" xr:uid="{00000000-0005-0000-0000-0000C61B0000}"/>
    <cellStyle name="Normal 10 4 11" xfId="6386" xr:uid="{00000000-0005-0000-0000-0000C71B0000}"/>
    <cellStyle name="Normal 10 4 12" xfId="6387" xr:uid="{00000000-0005-0000-0000-0000C81B0000}"/>
    <cellStyle name="Normal 10 4 13" xfId="6388" xr:uid="{00000000-0005-0000-0000-0000C91B0000}"/>
    <cellStyle name="Normal 10 4 2" xfId="6389" xr:uid="{00000000-0005-0000-0000-0000CA1B0000}"/>
    <cellStyle name="Normal 10 4 2 2" xfId="6390" xr:uid="{00000000-0005-0000-0000-0000CB1B0000}"/>
    <cellStyle name="Normal 10 4 2 3" xfId="6391" xr:uid="{00000000-0005-0000-0000-0000CC1B0000}"/>
    <cellStyle name="Normal 10 4 2 4" xfId="6392" xr:uid="{00000000-0005-0000-0000-0000CD1B0000}"/>
    <cellStyle name="Normal 10 4 2 5" xfId="6393" xr:uid="{00000000-0005-0000-0000-0000CE1B0000}"/>
    <cellStyle name="Normal 10 4 2 6" xfId="6394" xr:uid="{00000000-0005-0000-0000-0000CF1B0000}"/>
    <cellStyle name="Normal 10 4 3" xfId="6395" xr:uid="{00000000-0005-0000-0000-0000D01B0000}"/>
    <cellStyle name="Normal 10 4 3 2" xfId="6396" xr:uid="{00000000-0005-0000-0000-0000D11B0000}"/>
    <cellStyle name="Normal 10 4 3 3" xfId="6397" xr:uid="{00000000-0005-0000-0000-0000D21B0000}"/>
    <cellStyle name="Normal 10 4 3 4" xfId="6398" xr:uid="{00000000-0005-0000-0000-0000D31B0000}"/>
    <cellStyle name="Normal 10 4 3 5" xfId="6399" xr:uid="{00000000-0005-0000-0000-0000D41B0000}"/>
    <cellStyle name="Normal 10 4 3 6" xfId="6400" xr:uid="{00000000-0005-0000-0000-0000D51B0000}"/>
    <cellStyle name="Normal 10 4 4" xfId="6401" xr:uid="{00000000-0005-0000-0000-0000D61B0000}"/>
    <cellStyle name="Normal 10 4 4 2" xfId="6402" xr:uid="{00000000-0005-0000-0000-0000D71B0000}"/>
    <cellStyle name="Normal 10 4 4 3" xfId="6403" xr:uid="{00000000-0005-0000-0000-0000D81B0000}"/>
    <cellStyle name="Normal 10 4 4 4" xfId="6404" xr:uid="{00000000-0005-0000-0000-0000D91B0000}"/>
    <cellStyle name="Normal 10 4 4 5" xfId="6405" xr:uid="{00000000-0005-0000-0000-0000DA1B0000}"/>
    <cellStyle name="Normal 10 4 4 6" xfId="6406" xr:uid="{00000000-0005-0000-0000-0000DB1B0000}"/>
    <cellStyle name="Normal 10 4 5" xfId="6407" xr:uid="{00000000-0005-0000-0000-0000DC1B0000}"/>
    <cellStyle name="Normal 10 4 5 2" xfId="6408" xr:uid="{00000000-0005-0000-0000-0000DD1B0000}"/>
    <cellStyle name="Normal 10 4 5 3" xfId="6409" xr:uid="{00000000-0005-0000-0000-0000DE1B0000}"/>
    <cellStyle name="Normal 10 4 5 4" xfId="6410" xr:uid="{00000000-0005-0000-0000-0000DF1B0000}"/>
    <cellStyle name="Normal 10 4 5 5" xfId="6411" xr:uid="{00000000-0005-0000-0000-0000E01B0000}"/>
    <cellStyle name="Normal 10 4 5 6" xfId="6412" xr:uid="{00000000-0005-0000-0000-0000E11B0000}"/>
    <cellStyle name="Normal 10 4 6" xfId="6413" xr:uid="{00000000-0005-0000-0000-0000E21B0000}"/>
    <cellStyle name="Normal 10 4 6 2" xfId="6414" xr:uid="{00000000-0005-0000-0000-0000E31B0000}"/>
    <cellStyle name="Normal 10 4 6 3" xfId="6415" xr:uid="{00000000-0005-0000-0000-0000E41B0000}"/>
    <cellStyle name="Normal 10 4 6 4" xfId="6416" xr:uid="{00000000-0005-0000-0000-0000E51B0000}"/>
    <cellStyle name="Normal 10 4 6 5" xfId="6417" xr:uid="{00000000-0005-0000-0000-0000E61B0000}"/>
    <cellStyle name="Normal 10 4 6 6" xfId="6418" xr:uid="{00000000-0005-0000-0000-0000E71B0000}"/>
    <cellStyle name="Normal 10 4 7" xfId="6419" xr:uid="{00000000-0005-0000-0000-0000E81B0000}"/>
    <cellStyle name="Normal 10 4 7 2" xfId="6420" xr:uid="{00000000-0005-0000-0000-0000E91B0000}"/>
    <cellStyle name="Normal 10 4 7 3" xfId="6421" xr:uid="{00000000-0005-0000-0000-0000EA1B0000}"/>
    <cellStyle name="Normal 10 4 7 4" xfId="6422" xr:uid="{00000000-0005-0000-0000-0000EB1B0000}"/>
    <cellStyle name="Normal 10 4 7 5" xfId="6423" xr:uid="{00000000-0005-0000-0000-0000EC1B0000}"/>
    <cellStyle name="Normal 10 4 7 6" xfId="6424" xr:uid="{00000000-0005-0000-0000-0000ED1B0000}"/>
    <cellStyle name="Normal 10 4 8" xfId="6425" xr:uid="{00000000-0005-0000-0000-0000EE1B0000}"/>
    <cellStyle name="Normal 10 4 8 2" xfId="6426" xr:uid="{00000000-0005-0000-0000-0000EF1B0000}"/>
    <cellStyle name="Normal 10 4 8 3" xfId="6427" xr:uid="{00000000-0005-0000-0000-0000F01B0000}"/>
    <cellStyle name="Normal 10 4 8 4" xfId="6428" xr:uid="{00000000-0005-0000-0000-0000F11B0000}"/>
    <cellStyle name="Normal 10 4 8 5" xfId="6429" xr:uid="{00000000-0005-0000-0000-0000F21B0000}"/>
    <cellStyle name="Normal 10 4 8 6" xfId="6430" xr:uid="{00000000-0005-0000-0000-0000F31B0000}"/>
    <cellStyle name="Normal 10 4 9" xfId="6431" xr:uid="{00000000-0005-0000-0000-0000F41B0000}"/>
    <cellStyle name="Normal 10 40" xfId="6432" xr:uid="{00000000-0005-0000-0000-0000F51B0000}"/>
    <cellStyle name="Normal 10 40 2" xfId="6433" xr:uid="{00000000-0005-0000-0000-0000F61B0000}"/>
    <cellStyle name="Normal 10 40 3" xfId="6434" xr:uid="{00000000-0005-0000-0000-0000F71B0000}"/>
    <cellStyle name="Normal 10 40 4" xfId="6435" xr:uid="{00000000-0005-0000-0000-0000F81B0000}"/>
    <cellStyle name="Normal 10 40 5" xfId="6436" xr:uid="{00000000-0005-0000-0000-0000F91B0000}"/>
    <cellStyle name="Normal 10 40 6" xfId="6437" xr:uid="{00000000-0005-0000-0000-0000FA1B0000}"/>
    <cellStyle name="Normal 10 41" xfId="6438" xr:uid="{00000000-0005-0000-0000-0000FB1B0000}"/>
    <cellStyle name="Normal 10 42" xfId="6439" xr:uid="{00000000-0005-0000-0000-0000FC1B0000}"/>
    <cellStyle name="Normal 10 43" xfId="6440" xr:uid="{00000000-0005-0000-0000-0000FD1B0000}"/>
    <cellStyle name="Normal 10 44" xfId="6441" xr:uid="{00000000-0005-0000-0000-0000FE1B0000}"/>
    <cellStyle name="Normal 10 45" xfId="6442" xr:uid="{00000000-0005-0000-0000-0000FF1B0000}"/>
    <cellStyle name="Normal 10 46" xfId="6443" xr:uid="{00000000-0005-0000-0000-0000001C0000}"/>
    <cellStyle name="Normal 10 47" xfId="1059" xr:uid="{00000000-0005-0000-0000-0000011C0000}"/>
    <cellStyle name="Normal 10 5" xfId="6444" xr:uid="{00000000-0005-0000-0000-0000021C0000}"/>
    <cellStyle name="Normal 10 5 10" xfId="6445" xr:uid="{00000000-0005-0000-0000-0000031C0000}"/>
    <cellStyle name="Normal 10 5 11" xfId="6446" xr:uid="{00000000-0005-0000-0000-0000041C0000}"/>
    <cellStyle name="Normal 10 5 12" xfId="6447" xr:uid="{00000000-0005-0000-0000-0000051C0000}"/>
    <cellStyle name="Normal 10 5 13" xfId="6448" xr:uid="{00000000-0005-0000-0000-0000061C0000}"/>
    <cellStyle name="Normal 10 5 2" xfId="6449" xr:uid="{00000000-0005-0000-0000-0000071C0000}"/>
    <cellStyle name="Normal 10 5 2 2" xfId="6450" xr:uid="{00000000-0005-0000-0000-0000081C0000}"/>
    <cellStyle name="Normal 10 5 2 3" xfId="6451" xr:uid="{00000000-0005-0000-0000-0000091C0000}"/>
    <cellStyle name="Normal 10 5 2 4" xfId="6452" xr:uid="{00000000-0005-0000-0000-00000A1C0000}"/>
    <cellStyle name="Normal 10 5 2 5" xfId="6453" xr:uid="{00000000-0005-0000-0000-00000B1C0000}"/>
    <cellStyle name="Normal 10 5 2 6" xfId="6454" xr:uid="{00000000-0005-0000-0000-00000C1C0000}"/>
    <cellStyle name="Normal 10 5 3" xfId="6455" xr:uid="{00000000-0005-0000-0000-00000D1C0000}"/>
    <cellStyle name="Normal 10 5 3 2" xfId="6456" xr:uid="{00000000-0005-0000-0000-00000E1C0000}"/>
    <cellStyle name="Normal 10 5 3 3" xfId="6457" xr:uid="{00000000-0005-0000-0000-00000F1C0000}"/>
    <cellStyle name="Normal 10 5 3 4" xfId="6458" xr:uid="{00000000-0005-0000-0000-0000101C0000}"/>
    <cellStyle name="Normal 10 5 3 5" xfId="6459" xr:uid="{00000000-0005-0000-0000-0000111C0000}"/>
    <cellStyle name="Normal 10 5 3 6" xfId="6460" xr:uid="{00000000-0005-0000-0000-0000121C0000}"/>
    <cellStyle name="Normal 10 5 4" xfId="6461" xr:uid="{00000000-0005-0000-0000-0000131C0000}"/>
    <cellStyle name="Normal 10 5 4 2" xfId="6462" xr:uid="{00000000-0005-0000-0000-0000141C0000}"/>
    <cellStyle name="Normal 10 5 4 3" xfId="6463" xr:uid="{00000000-0005-0000-0000-0000151C0000}"/>
    <cellStyle name="Normal 10 5 4 4" xfId="6464" xr:uid="{00000000-0005-0000-0000-0000161C0000}"/>
    <cellStyle name="Normal 10 5 4 5" xfId="6465" xr:uid="{00000000-0005-0000-0000-0000171C0000}"/>
    <cellStyle name="Normal 10 5 4 6" xfId="6466" xr:uid="{00000000-0005-0000-0000-0000181C0000}"/>
    <cellStyle name="Normal 10 5 5" xfId="6467" xr:uid="{00000000-0005-0000-0000-0000191C0000}"/>
    <cellStyle name="Normal 10 5 5 2" xfId="6468" xr:uid="{00000000-0005-0000-0000-00001A1C0000}"/>
    <cellStyle name="Normal 10 5 5 3" xfId="6469" xr:uid="{00000000-0005-0000-0000-00001B1C0000}"/>
    <cellStyle name="Normal 10 5 5 4" xfId="6470" xr:uid="{00000000-0005-0000-0000-00001C1C0000}"/>
    <cellStyle name="Normal 10 5 5 5" xfId="6471" xr:uid="{00000000-0005-0000-0000-00001D1C0000}"/>
    <cellStyle name="Normal 10 5 5 6" xfId="6472" xr:uid="{00000000-0005-0000-0000-00001E1C0000}"/>
    <cellStyle name="Normal 10 5 6" xfId="6473" xr:uid="{00000000-0005-0000-0000-00001F1C0000}"/>
    <cellStyle name="Normal 10 5 6 2" xfId="6474" xr:uid="{00000000-0005-0000-0000-0000201C0000}"/>
    <cellStyle name="Normal 10 5 6 3" xfId="6475" xr:uid="{00000000-0005-0000-0000-0000211C0000}"/>
    <cellStyle name="Normal 10 5 6 4" xfId="6476" xr:uid="{00000000-0005-0000-0000-0000221C0000}"/>
    <cellStyle name="Normal 10 5 6 5" xfId="6477" xr:uid="{00000000-0005-0000-0000-0000231C0000}"/>
    <cellStyle name="Normal 10 5 6 6" xfId="6478" xr:uid="{00000000-0005-0000-0000-0000241C0000}"/>
    <cellStyle name="Normal 10 5 7" xfId="6479" xr:uid="{00000000-0005-0000-0000-0000251C0000}"/>
    <cellStyle name="Normal 10 5 7 2" xfId="6480" xr:uid="{00000000-0005-0000-0000-0000261C0000}"/>
    <cellStyle name="Normal 10 5 7 3" xfId="6481" xr:uid="{00000000-0005-0000-0000-0000271C0000}"/>
    <cellStyle name="Normal 10 5 7 4" xfId="6482" xr:uid="{00000000-0005-0000-0000-0000281C0000}"/>
    <cellStyle name="Normal 10 5 7 5" xfId="6483" xr:uid="{00000000-0005-0000-0000-0000291C0000}"/>
    <cellStyle name="Normal 10 5 7 6" xfId="6484" xr:uid="{00000000-0005-0000-0000-00002A1C0000}"/>
    <cellStyle name="Normal 10 5 8" xfId="6485" xr:uid="{00000000-0005-0000-0000-00002B1C0000}"/>
    <cellStyle name="Normal 10 5 8 2" xfId="6486" xr:uid="{00000000-0005-0000-0000-00002C1C0000}"/>
    <cellStyle name="Normal 10 5 8 3" xfId="6487" xr:uid="{00000000-0005-0000-0000-00002D1C0000}"/>
    <cellStyle name="Normal 10 5 8 4" xfId="6488" xr:uid="{00000000-0005-0000-0000-00002E1C0000}"/>
    <cellStyle name="Normal 10 5 8 5" xfId="6489" xr:uid="{00000000-0005-0000-0000-00002F1C0000}"/>
    <cellStyle name="Normal 10 5 8 6" xfId="6490" xr:uid="{00000000-0005-0000-0000-0000301C0000}"/>
    <cellStyle name="Normal 10 5 9" xfId="6491" xr:uid="{00000000-0005-0000-0000-0000311C0000}"/>
    <cellStyle name="Normal 10 6" xfId="6492" xr:uid="{00000000-0005-0000-0000-0000321C0000}"/>
    <cellStyle name="Normal 10 6 10" xfId="6493" xr:uid="{00000000-0005-0000-0000-0000331C0000}"/>
    <cellStyle name="Normal 10 6 11" xfId="6494" xr:uid="{00000000-0005-0000-0000-0000341C0000}"/>
    <cellStyle name="Normal 10 6 12" xfId="6495" xr:uid="{00000000-0005-0000-0000-0000351C0000}"/>
    <cellStyle name="Normal 10 6 13" xfId="6496" xr:uid="{00000000-0005-0000-0000-0000361C0000}"/>
    <cellStyle name="Normal 10 6 2" xfId="6497" xr:uid="{00000000-0005-0000-0000-0000371C0000}"/>
    <cellStyle name="Normal 10 6 2 2" xfId="6498" xr:uid="{00000000-0005-0000-0000-0000381C0000}"/>
    <cellStyle name="Normal 10 6 2 3" xfId="6499" xr:uid="{00000000-0005-0000-0000-0000391C0000}"/>
    <cellStyle name="Normal 10 6 2 4" xfId="6500" xr:uid="{00000000-0005-0000-0000-00003A1C0000}"/>
    <cellStyle name="Normal 10 6 2 5" xfId="6501" xr:uid="{00000000-0005-0000-0000-00003B1C0000}"/>
    <cellStyle name="Normal 10 6 2 6" xfId="6502" xr:uid="{00000000-0005-0000-0000-00003C1C0000}"/>
    <cellStyle name="Normal 10 6 3" xfId="6503" xr:uid="{00000000-0005-0000-0000-00003D1C0000}"/>
    <cellStyle name="Normal 10 6 3 2" xfId="6504" xr:uid="{00000000-0005-0000-0000-00003E1C0000}"/>
    <cellStyle name="Normal 10 6 3 3" xfId="6505" xr:uid="{00000000-0005-0000-0000-00003F1C0000}"/>
    <cellStyle name="Normal 10 6 3 4" xfId="6506" xr:uid="{00000000-0005-0000-0000-0000401C0000}"/>
    <cellStyle name="Normal 10 6 3 5" xfId="6507" xr:uid="{00000000-0005-0000-0000-0000411C0000}"/>
    <cellStyle name="Normal 10 6 3 6" xfId="6508" xr:uid="{00000000-0005-0000-0000-0000421C0000}"/>
    <cellStyle name="Normal 10 6 4" xfId="6509" xr:uid="{00000000-0005-0000-0000-0000431C0000}"/>
    <cellStyle name="Normal 10 6 4 2" xfId="6510" xr:uid="{00000000-0005-0000-0000-0000441C0000}"/>
    <cellStyle name="Normal 10 6 4 3" xfId="6511" xr:uid="{00000000-0005-0000-0000-0000451C0000}"/>
    <cellStyle name="Normal 10 6 4 4" xfId="6512" xr:uid="{00000000-0005-0000-0000-0000461C0000}"/>
    <cellStyle name="Normal 10 6 4 5" xfId="6513" xr:uid="{00000000-0005-0000-0000-0000471C0000}"/>
    <cellStyle name="Normal 10 6 4 6" xfId="6514" xr:uid="{00000000-0005-0000-0000-0000481C0000}"/>
    <cellStyle name="Normal 10 6 5" xfId="6515" xr:uid="{00000000-0005-0000-0000-0000491C0000}"/>
    <cellStyle name="Normal 10 6 5 2" xfId="6516" xr:uid="{00000000-0005-0000-0000-00004A1C0000}"/>
    <cellStyle name="Normal 10 6 5 3" xfId="6517" xr:uid="{00000000-0005-0000-0000-00004B1C0000}"/>
    <cellStyle name="Normal 10 6 5 4" xfId="6518" xr:uid="{00000000-0005-0000-0000-00004C1C0000}"/>
    <cellStyle name="Normal 10 6 5 5" xfId="6519" xr:uid="{00000000-0005-0000-0000-00004D1C0000}"/>
    <cellStyle name="Normal 10 6 5 6" xfId="6520" xr:uid="{00000000-0005-0000-0000-00004E1C0000}"/>
    <cellStyle name="Normal 10 6 6" xfId="6521" xr:uid="{00000000-0005-0000-0000-00004F1C0000}"/>
    <cellStyle name="Normal 10 6 6 2" xfId="6522" xr:uid="{00000000-0005-0000-0000-0000501C0000}"/>
    <cellStyle name="Normal 10 6 6 3" xfId="6523" xr:uid="{00000000-0005-0000-0000-0000511C0000}"/>
    <cellStyle name="Normal 10 6 6 4" xfId="6524" xr:uid="{00000000-0005-0000-0000-0000521C0000}"/>
    <cellStyle name="Normal 10 6 6 5" xfId="6525" xr:uid="{00000000-0005-0000-0000-0000531C0000}"/>
    <cellStyle name="Normal 10 6 6 6" xfId="6526" xr:uid="{00000000-0005-0000-0000-0000541C0000}"/>
    <cellStyle name="Normal 10 6 7" xfId="6527" xr:uid="{00000000-0005-0000-0000-0000551C0000}"/>
    <cellStyle name="Normal 10 6 7 2" xfId="6528" xr:uid="{00000000-0005-0000-0000-0000561C0000}"/>
    <cellStyle name="Normal 10 6 7 3" xfId="6529" xr:uid="{00000000-0005-0000-0000-0000571C0000}"/>
    <cellStyle name="Normal 10 6 7 4" xfId="6530" xr:uid="{00000000-0005-0000-0000-0000581C0000}"/>
    <cellStyle name="Normal 10 6 7 5" xfId="6531" xr:uid="{00000000-0005-0000-0000-0000591C0000}"/>
    <cellStyle name="Normal 10 6 7 6" xfId="6532" xr:uid="{00000000-0005-0000-0000-00005A1C0000}"/>
    <cellStyle name="Normal 10 6 8" xfId="6533" xr:uid="{00000000-0005-0000-0000-00005B1C0000}"/>
    <cellStyle name="Normal 10 6 8 2" xfId="6534" xr:uid="{00000000-0005-0000-0000-00005C1C0000}"/>
    <cellStyle name="Normal 10 6 8 3" xfId="6535" xr:uid="{00000000-0005-0000-0000-00005D1C0000}"/>
    <cellStyle name="Normal 10 6 8 4" xfId="6536" xr:uid="{00000000-0005-0000-0000-00005E1C0000}"/>
    <cellStyle name="Normal 10 6 8 5" xfId="6537" xr:uid="{00000000-0005-0000-0000-00005F1C0000}"/>
    <cellStyle name="Normal 10 6 8 6" xfId="6538" xr:uid="{00000000-0005-0000-0000-0000601C0000}"/>
    <cellStyle name="Normal 10 6 9" xfId="6539" xr:uid="{00000000-0005-0000-0000-0000611C0000}"/>
    <cellStyle name="Normal 10 7" xfId="6540" xr:uid="{00000000-0005-0000-0000-0000621C0000}"/>
    <cellStyle name="Normal 10 7 10" xfId="6541" xr:uid="{00000000-0005-0000-0000-0000631C0000}"/>
    <cellStyle name="Normal 10 7 11" xfId="6542" xr:uid="{00000000-0005-0000-0000-0000641C0000}"/>
    <cellStyle name="Normal 10 7 12" xfId="6543" xr:uid="{00000000-0005-0000-0000-0000651C0000}"/>
    <cellStyle name="Normal 10 7 13" xfId="6544" xr:uid="{00000000-0005-0000-0000-0000661C0000}"/>
    <cellStyle name="Normal 10 7 2" xfId="6545" xr:uid="{00000000-0005-0000-0000-0000671C0000}"/>
    <cellStyle name="Normal 10 7 2 2" xfId="6546" xr:uid="{00000000-0005-0000-0000-0000681C0000}"/>
    <cellStyle name="Normal 10 7 2 3" xfId="6547" xr:uid="{00000000-0005-0000-0000-0000691C0000}"/>
    <cellStyle name="Normal 10 7 2 4" xfId="6548" xr:uid="{00000000-0005-0000-0000-00006A1C0000}"/>
    <cellStyle name="Normal 10 7 2 5" xfId="6549" xr:uid="{00000000-0005-0000-0000-00006B1C0000}"/>
    <cellStyle name="Normal 10 7 2 6" xfId="6550" xr:uid="{00000000-0005-0000-0000-00006C1C0000}"/>
    <cellStyle name="Normal 10 7 3" xfId="6551" xr:uid="{00000000-0005-0000-0000-00006D1C0000}"/>
    <cellStyle name="Normal 10 7 3 2" xfId="6552" xr:uid="{00000000-0005-0000-0000-00006E1C0000}"/>
    <cellStyle name="Normal 10 7 3 3" xfId="6553" xr:uid="{00000000-0005-0000-0000-00006F1C0000}"/>
    <cellStyle name="Normal 10 7 3 4" xfId="6554" xr:uid="{00000000-0005-0000-0000-0000701C0000}"/>
    <cellStyle name="Normal 10 7 3 5" xfId="6555" xr:uid="{00000000-0005-0000-0000-0000711C0000}"/>
    <cellStyle name="Normal 10 7 3 6" xfId="6556" xr:uid="{00000000-0005-0000-0000-0000721C0000}"/>
    <cellStyle name="Normal 10 7 4" xfId="6557" xr:uid="{00000000-0005-0000-0000-0000731C0000}"/>
    <cellStyle name="Normal 10 7 4 2" xfId="6558" xr:uid="{00000000-0005-0000-0000-0000741C0000}"/>
    <cellStyle name="Normal 10 7 4 3" xfId="6559" xr:uid="{00000000-0005-0000-0000-0000751C0000}"/>
    <cellStyle name="Normal 10 7 4 4" xfId="6560" xr:uid="{00000000-0005-0000-0000-0000761C0000}"/>
    <cellStyle name="Normal 10 7 4 5" xfId="6561" xr:uid="{00000000-0005-0000-0000-0000771C0000}"/>
    <cellStyle name="Normal 10 7 4 6" xfId="6562" xr:uid="{00000000-0005-0000-0000-0000781C0000}"/>
    <cellStyle name="Normal 10 7 5" xfId="6563" xr:uid="{00000000-0005-0000-0000-0000791C0000}"/>
    <cellStyle name="Normal 10 7 5 2" xfId="6564" xr:uid="{00000000-0005-0000-0000-00007A1C0000}"/>
    <cellStyle name="Normal 10 7 5 3" xfId="6565" xr:uid="{00000000-0005-0000-0000-00007B1C0000}"/>
    <cellStyle name="Normal 10 7 5 4" xfId="6566" xr:uid="{00000000-0005-0000-0000-00007C1C0000}"/>
    <cellStyle name="Normal 10 7 5 5" xfId="6567" xr:uid="{00000000-0005-0000-0000-00007D1C0000}"/>
    <cellStyle name="Normal 10 7 5 6" xfId="6568" xr:uid="{00000000-0005-0000-0000-00007E1C0000}"/>
    <cellStyle name="Normal 10 7 6" xfId="6569" xr:uid="{00000000-0005-0000-0000-00007F1C0000}"/>
    <cellStyle name="Normal 10 7 6 2" xfId="6570" xr:uid="{00000000-0005-0000-0000-0000801C0000}"/>
    <cellStyle name="Normal 10 7 6 3" xfId="6571" xr:uid="{00000000-0005-0000-0000-0000811C0000}"/>
    <cellStyle name="Normal 10 7 6 4" xfId="6572" xr:uid="{00000000-0005-0000-0000-0000821C0000}"/>
    <cellStyle name="Normal 10 7 6 5" xfId="6573" xr:uid="{00000000-0005-0000-0000-0000831C0000}"/>
    <cellStyle name="Normal 10 7 6 6" xfId="6574" xr:uid="{00000000-0005-0000-0000-0000841C0000}"/>
    <cellStyle name="Normal 10 7 7" xfId="6575" xr:uid="{00000000-0005-0000-0000-0000851C0000}"/>
    <cellStyle name="Normal 10 7 7 2" xfId="6576" xr:uid="{00000000-0005-0000-0000-0000861C0000}"/>
    <cellStyle name="Normal 10 7 7 3" xfId="6577" xr:uid="{00000000-0005-0000-0000-0000871C0000}"/>
    <cellStyle name="Normal 10 7 7 4" xfId="6578" xr:uid="{00000000-0005-0000-0000-0000881C0000}"/>
    <cellStyle name="Normal 10 7 7 5" xfId="6579" xr:uid="{00000000-0005-0000-0000-0000891C0000}"/>
    <cellStyle name="Normal 10 7 7 6" xfId="6580" xr:uid="{00000000-0005-0000-0000-00008A1C0000}"/>
    <cellStyle name="Normal 10 7 8" xfId="6581" xr:uid="{00000000-0005-0000-0000-00008B1C0000}"/>
    <cellStyle name="Normal 10 7 8 2" xfId="6582" xr:uid="{00000000-0005-0000-0000-00008C1C0000}"/>
    <cellStyle name="Normal 10 7 8 3" xfId="6583" xr:uid="{00000000-0005-0000-0000-00008D1C0000}"/>
    <cellStyle name="Normal 10 7 8 4" xfId="6584" xr:uid="{00000000-0005-0000-0000-00008E1C0000}"/>
    <cellStyle name="Normal 10 7 8 5" xfId="6585" xr:uid="{00000000-0005-0000-0000-00008F1C0000}"/>
    <cellStyle name="Normal 10 7 8 6" xfId="6586" xr:uid="{00000000-0005-0000-0000-0000901C0000}"/>
    <cellStyle name="Normal 10 7 9" xfId="6587" xr:uid="{00000000-0005-0000-0000-0000911C0000}"/>
    <cellStyle name="Normal 10 8" xfId="6588" xr:uid="{00000000-0005-0000-0000-0000921C0000}"/>
    <cellStyle name="Normal 10 8 10" xfId="6589" xr:uid="{00000000-0005-0000-0000-0000931C0000}"/>
    <cellStyle name="Normal 10 8 11" xfId="6590" xr:uid="{00000000-0005-0000-0000-0000941C0000}"/>
    <cellStyle name="Normal 10 8 12" xfId="6591" xr:uid="{00000000-0005-0000-0000-0000951C0000}"/>
    <cellStyle name="Normal 10 8 13" xfId="6592" xr:uid="{00000000-0005-0000-0000-0000961C0000}"/>
    <cellStyle name="Normal 10 8 2" xfId="6593" xr:uid="{00000000-0005-0000-0000-0000971C0000}"/>
    <cellStyle name="Normal 10 8 2 2" xfId="6594" xr:uid="{00000000-0005-0000-0000-0000981C0000}"/>
    <cellStyle name="Normal 10 8 2 3" xfId="6595" xr:uid="{00000000-0005-0000-0000-0000991C0000}"/>
    <cellStyle name="Normal 10 8 2 4" xfId="6596" xr:uid="{00000000-0005-0000-0000-00009A1C0000}"/>
    <cellStyle name="Normal 10 8 2 5" xfId="6597" xr:uid="{00000000-0005-0000-0000-00009B1C0000}"/>
    <cellStyle name="Normal 10 8 2 6" xfId="6598" xr:uid="{00000000-0005-0000-0000-00009C1C0000}"/>
    <cellStyle name="Normal 10 8 3" xfId="6599" xr:uid="{00000000-0005-0000-0000-00009D1C0000}"/>
    <cellStyle name="Normal 10 8 3 2" xfId="6600" xr:uid="{00000000-0005-0000-0000-00009E1C0000}"/>
    <cellStyle name="Normal 10 8 3 3" xfId="6601" xr:uid="{00000000-0005-0000-0000-00009F1C0000}"/>
    <cellStyle name="Normal 10 8 3 4" xfId="6602" xr:uid="{00000000-0005-0000-0000-0000A01C0000}"/>
    <cellStyle name="Normal 10 8 3 5" xfId="6603" xr:uid="{00000000-0005-0000-0000-0000A11C0000}"/>
    <cellStyle name="Normal 10 8 3 6" xfId="6604" xr:uid="{00000000-0005-0000-0000-0000A21C0000}"/>
    <cellStyle name="Normal 10 8 4" xfId="6605" xr:uid="{00000000-0005-0000-0000-0000A31C0000}"/>
    <cellStyle name="Normal 10 8 4 2" xfId="6606" xr:uid="{00000000-0005-0000-0000-0000A41C0000}"/>
    <cellStyle name="Normal 10 8 4 3" xfId="6607" xr:uid="{00000000-0005-0000-0000-0000A51C0000}"/>
    <cellStyle name="Normal 10 8 4 4" xfId="6608" xr:uid="{00000000-0005-0000-0000-0000A61C0000}"/>
    <cellStyle name="Normal 10 8 4 5" xfId="6609" xr:uid="{00000000-0005-0000-0000-0000A71C0000}"/>
    <cellStyle name="Normal 10 8 4 6" xfId="6610" xr:uid="{00000000-0005-0000-0000-0000A81C0000}"/>
    <cellStyle name="Normal 10 8 5" xfId="6611" xr:uid="{00000000-0005-0000-0000-0000A91C0000}"/>
    <cellStyle name="Normal 10 8 5 2" xfId="6612" xr:uid="{00000000-0005-0000-0000-0000AA1C0000}"/>
    <cellStyle name="Normal 10 8 5 3" xfId="6613" xr:uid="{00000000-0005-0000-0000-0000AB1C0000}"/>
    <cellStyle name="Normal 10 8 5 4" xfId="6614" xr:uid="{00000000-0005-0000-0000-0000AC1C0000}"/>
    <cellStyle name="Normal 10 8 5 5" xfId="6615" xr:uid="{00000000-0005-0000-0000-0000AD1C0000}"/>
    <cellStyle name="Normal 10 8 5 6" xfId="6616" xr:uid="{00000000-0005-0000-0000-0000AE1C0000}"/>
    <cellStyle name="Normal 10 8 6" xfId="6617" xr:uid="{00000000-0005-0000-0000-0000AF1C0000}"/>
    <cellStyle name="Normal 10 8 6 2" xfId="6618" xr:uid="{00000000-0005-0000-0000-0000B01C0000}"/>
    <cellStyle name="Normal 10 8 6 3" xfId="6619" xr:uid="{00000000-0005-0000-0000-0000B11C0000}"/>
    <cellStyle name="Normal 10 8 6 4" xfId="6620" xr:uid="{00000000-0005-0000-0000-0000B21C0000}"/>
    <cellStyle name="Normal 10 8 6 5" xfId="6621" xr:uid="{00000000-0005-0000-0000-0000B31C0000}"/>
    <cellStyle name="Normal 10 8 6 6" xfId="6622" xr:uid="{00000000-0005-0000-0000-0000B41C0000}"/>
    <cellStyle name="Normal 10 8 7" xfId="6623" xr:uid="{00000000-0005-0000-0000-0000B51C0000}"/>
    <cellStyle name="Normal 10 8 7 2" xfId="6624" xr:uid="{00000000-0005-0000-0000-0000B61C0000}"/>
    <cellStyle name="Normal 10 8 7 3" xfId="6625" xr:uid="{00000000-0005-0000-0000-0000B71C0000}"/>
    <cellStyle name="Normal 10 8 7 4" xfId="6626" xr:uid="{00000000-0005-0000-0000-0000B81C0000}"/>
    <cellStyle name="Normal 10 8 7 5" xfId="6627" xr:uid="{00000000-0005-0000-0000-0000B91C0000}"/>
    <cellStyle name="Normal 10 8 7 6" xfId="6628" xr:uid="{00000000-0005-0000-0000-0000BA1C0000}"/>
    <cellStyle name="Normal 10 8 8" xfId="6629" xr:uid="{00000000-0005-0000-0000-0000BB1C0000}"/>
    <cellStyle name="Normal 10 8 8 2" xfId="6630" xr:uid="{00000000-0005-0000-0000-0000BC1C0000}"/>
    <cellStyle name="Normal 10 8 8 3" xfId="6631" xr:uid="{00000000-0005-0000-0000-0000BD1C0000}"/>
    <cellStyle name="Normal 10 8 8 4" xfId="6632" xr:uid="{00000000-0005-0000-0000-0000BE1C0000}"/>
    <cellStyle name="Normal 10 8 8 5" xfId="6633" xr:uid="{00000000-0005-0000-0000-0000BF1C0000}"/>
    <cellStyle name="Normal 10 8 8 6" xfId="6634" xr:uid="{00000000-0005-0000-0000-0000C01C0000}"/>
    <cellStyle name="Normal 10 8 9" xfId="6635" xr:uid="{00000000-0005-0000-0000-0000C11C0000}"/>
    <cellStyle name="Normal 10 9" xfId="6636" xr:uid="{00000000-0005-0000-0000-0000C21C0000}"/>
    <cellStyle name="Normal 10 9 10" xfId="6637" xr:uid="{00000000-0005-0000-0000-0000C31C0000}"/>
    <cellStyle name="Normal 10 9 11" xfId="6638" xr:uid="{00000000-0005-0000-0000-0000C41C0000}"/>
    <cellStyle name="Normal 10 9 12" xfId="6639" xr:uid="{00000000-0005-0000-0000-0000C51C0000}"/>
    <cellStyle name="Normal 10 9 13" xfId="6640" xr:uid="{00000000-0005-0000-0000-0000C61C0000}"/>
    <cellStyle name="Normal 10 9 2" xfId="6641" xr:uid="{00000000-0005-0000-0000-0000C71C0000}"/>
    <cellStyle name="Normal 10 9 2 2" xfId="6642" xr:uid="{00000000-0005-0000-0000-0000C81C0000}"/>
    <cellStyle name="Normal 10 9 2 3" xfId="6643" xr:uid="{00000000-0005-0000-0000-0000C91C0000}"/>
    <cellStyle name="Normal 10 9 2 4" xfId="6644" xr:uid="{00000000-0005-0000-0000-0000CA1C0000}"/>
    <cellStyle name="Normal 10 9 2 5" xfId="6645" xr:uid="{00000000-0005-0000-0000-0000CB1C0000}"/>
    <cellStyle name="Normal 10 9 2 6" xfId="6646" xr:uid="{00000000-0005-0000-0000-0000CC1C0000}"/>
    <cellStyle name="Normal 10 9 3" xfId="6647" xr:uid="{00000000-0005-0000-0000-0000CD1C0000}"/>
    <cellStyle name="Normal 10 9 3 2" xfId="6648" xr:uid="{00000000-0005-0000-0000-0000CE1C0000}"/>
    <cellStyle name="Normal 10 9 3 3" xfId="6649" xr:uid="{00000000-0005-0000-0000-0000CF1C0000}"/>
    <cellStyle name="Normal 10 9 3 4" xfId="6650" xr:uid="{00000000-0005-0000-0000-0000D01C0000}"/>
    <cellStyle name="Normal 10 9 3 5" xfId="6651" xr:uid="{00000000-0005-0000-0000-0000D11C0000}"/>
    <cellStyle name="Normal 10 9 3 6" xfId="6652" xr:uid="{00000000-0005-0000-0000-0000D21C0000}"/>
    <cellStyle name="Normal 10 9 4" xfId="6653" xr:uid="{00000000-0005-0000-0000-0000D31C0000}"/>
    <cellStyle name="Normal 10 9 4 2" xfId="6654" xr:uid="{00000000-0005-0000-0000-0000D41C0000}"/>
    <cellStyle name="Normal 10 9 4 3" xfId="6655" xr:uid="{00000000-0005-0000-0000-0000D51C0000}"/>
    <cellStyle name="Normal 10 9 4 4" xfId="6656" xr:uid="{00000000-0005-0000-0000-0000D61C0000}"/>
    <cellStyle name="Normal 10 9 4 5" xfId="6657" xr:uid="{00000000-0005-0000-0000-0000D71C0000}"/>
    <cellStyle name="Normal 10 9 4 6" xfId="6658" xr:uid="{00000000-0005-0000-0000-0000D81C0000}"/>
    <cellStyle name="Normal 10 9 5" xfId="6659" xr:uid="{00000000-0005-0000-0000-0000D91C0000}"/>
    <cellStyle name="Normal 10 9 5 2" xfId="6660" xr:uid="{00000000-0005-0000-0000-0000DA1C0000}"/>
    <cellStyle name="Normal 10 9 5 3" xfId="6661" xr:uid="{00000000-0005-0000-0000-0000DB1C0000}"/>
    <cellStyle name="Normal 10 9 5 4" xfId="6662" xr:uid="{00000000-0005-0000-0000-0000DC1C0000}"/>
    <cellStyle name="Normal 10 9 5 5" xfId="6663" xr:uid="{00000000-0005-0000-0000-0000DD1C0000}"/>
    <cellStyle name="Normal 10 9 5 6" xfId="6664" xr:uid="{00000000-0005-0000-0000-0000DE1C0000}"/>
    <cellStyle name="Normal 10 9 6" xfId="6665" xr:uid="{00000000-0005-0000-0000-0000DF1C0000}"/>
    <cellStyle name="Normal 10 9 6 2" xfId="6666" xr:uid="{00000000-0005-0000-0000-0000E01C0000}"/>
    <cellStyle name="Normal 10 9 6 3" xfId="6667" xr:uid="{00000000-0005-0000-0000-0000E11C0000}"/>
    <cellStyle name="Normal 10 9 6 4" xfId="6668" xr:uid="{00000000-0005-0000-0000-0000E21C0000}"/>
    <cellStyle name="Normal 10 9 6 5" xfId="6669" xr:uid="{00000000-0005-0000-0000-0000E31C0000}"/>
    <cellStyle name="Normal 10 9 6 6" xfId="6670" xr:uid="{00000000-0005-0000-0000-0000E41C0000}"/>
    <cellStyle name="Normal 10 9 7" xfId="6671" xr:uid="{00000000-0005-0000-0000-0000E51C0000}"/>
    <cellStyle name="Normal 10 9 7 2" xfId="6672" xr:uid="{00000000-0005-0000-0000-0000E61C0000}"/>
    <cellStyle name="Normal 10 9 7 3" xfId="6673" xr:uid="{00000000-0005-0000-0000-0000E71C0000}"/>
    <cellStyle name="Normal 10 9 7 4" xfId="6674" xr:uid="{00000000-0005-0000-0000-0000E81C0000}"/>
    <cellStyle name="Normal 10 9 7 5" xfId="6675" xr:uid="{00000000-0005-0000-0000-0000E91C0000}"/>
    <cellStyle name="Normal 10 9 7 6" xfId="6676" xr:uid="{00000000-0005-0000-0000-0000EA1C0000}"/>
    <cellStyle name="Normal 10 9 8" xfId="6677" xr:uid="{00000000-0005-0000-0000-0000EB1C0000}"/>
    <cellStyle name="Normal 10 9 8 2" xfId="6678" xr:uid="{00000000-0005-0000-0000-0000EC1C0000}"/>
    <cellStyle name="Normal 10 9 8 3" xfId="6679" xr:uid="{00000000-0005-0000-0000-0000ED1C0000}"/>
    <cellStyle name="Normal 10 9 8 4" xfId="6680" xr:uid="{00000000-0005-0000-0000-0000EE1C0000}"/>
    <cellStyle name="Normal 10 9 8 5" xfId="6681" xr:uid="{00000000-0005-0000-0000-0000EF1C0000}"/>
    <cellStyle name="Normal 10 9 8 6" xfId="6682" xr:uid="{00000000-0005-0000-0000-0000F01C0000}"/>
    <cellStyle name="Normal 10 9 9" xfId="6683" xr:uid="{00000000-0005-0000-0000-0000F11C0000}"/>
    <cellStyle name="Normal 100" xfId="6684" xr:uid="{00000000-0005-0000-0000-0000F21C0000}"/>
    <cellStyle name="Normal 101" xfId="6685" xr:uid="{00000000-0005-0000-0000-0000F31C0000}"/>
    <cellStyle name="Normal 102" xfId="6686" xr:uid="{00000000-0005-0000-0000-0000F41C0000}"/>
    <cellStyle name="Normal 103" xfId="6687" xr:uid="{00000000-0005-0000-0000-0000F51C0000}"/>
    <cellStyle name="Normal 104" xfId="6688" xr:uid="{00000000-0005-0000-0000-0000F61C0000}"/>
    <cellStyle name="Normal 105" xfId="6689" xr:uid="{00000000-0005-0000-0000-0000F71C0000}"/>
    <cellStyle name="Normal 106" xfId="6690" xr:uid="{00000000-0005-0000-0000-0000F81C0000}"/>
    <cellStyle name="Normal 107" xfId="6691" xr:uid="{00000000-0005-0000-0000-0000F91C0000}"/>
    <cellStyle name="Normal 108" xfId="6692" xr:uid="{00000000-0005-0000-0000-0000FA1C0000}"/>
    <cellStyle name="Normal 109" xfId="6693" xr:uid="{00000000-0005-0000-0000-0000FB1C0000}"/>
    <cellStyle name="Normal 11" xfId="849" xr:uid="{00000000-0005-0000-0000-0000FC1C0000}"/>
    <cellStyle name="Normal 11 10" xfId="6694" xr:uid="{00000000-0005-0000-0000-0000FD1C0000}"/>
    <cellStyle name="Normal 11 10 10" xfId="6695" xr:uid="{00000000-0005-0000-0000-0000FE1C0000}"/>
    <cellStyle name="Normal 11 10 11" xfId="6696" xr:uid="{00000000-0005-0000-0000-0000FF1C0000}"/>
    <cellStyle name="Normal 11 10 12" xfId="6697" xr:uid="{00000000-0005-0000-0000-0000001D0000}"/>
    <cellStyle name="Normal 11 10 13" xfId="6698" xr:uid="{00000000-0005-0000-0000-0000011D0000}"/>
    <cellStyle name="Normal 11 10 14" xfId="6699" xr:uid="{00000000-0005-0000-0000-0000021D0000}"/>
    <cellStyle name="Normal 11 10 15" xfId="6700" xr:uid="{00000000-0005-0000-0000-0000031D0000}"/>
    <cellStyle name="Normal 11 10 16" xfId="6701" xr:uid="{00000000-0005-0000-0000-0000041D0000}"/>
    <cellStyle name="Normal 11 10 17" xfId="6702" xr:uid="{00000000-0005-0000-0000-0000051D0000}"/>
    <cellStyle name="Normal 11 10 18" xfId="6703" xr:uid="{00000000-0005-0000-0000-0000061D0000}"/>
    <cellStyle name="Normal 11 10 19" xfId="6704" xr:uid="{00000000-0005-0000-0000-0000071D0000}"/>
    <cellStyle name="Normal 11 10 2" xfId="6705" xr:uid="{00000000-0005-0000-0000-0000081D0000}"/>
    <cellStyle name="Normal 11 10 2 2" xfId="6706" xr:uid="{00000000-0005-0000-0000-0000091D0000}"/>
    <cellStyle name="Normal 11 10 2 3" xfId="6707" xr:uid="{00000000-0005-0000-0000-00000A1D0000}"/>
    <cellStyle name="Normal 11 10 2 4" xfId="6708" xr:uid="{00000000-0005-0000-0000-00000B1D0000}"/>
    <cellStyle name="Normal 11 10 20" xfId="6709" xr:uid="{00000000-0005-0000-0000-00000C1D0000}"/>
    <cellStyle name="Normal 11 10 21" xfId="6710" xr:uid="{00000000-0005-0000-0000-00000D1D0000}"/>
    <cellStyle name="Normal 11 10 22" xfId="6711" xr:uid="{00000000-0005-0000-0000-00000E1D0000}"/>
    <cellStyle name="Normal 11 10 23" xfId="6712" xr:uid="{00000000-0005-0000-0000-00000F1D0000}"/>
    <cellStyle name="Normal 11 10 24" xfId="6713" xr:uid="{00000000-0005-0000-0000-0000101D0000}"/>
    <cellStyle name="Normal 11 10 25" xfId="6714" xr:uid="{00000000-0005-0000-0000-0000111D0000}"/>
    <cellStyle name="Normal 11 10 26" xfId="6715" xr:uid="{00000000-0005-0000-0000-0000121D0000}"/>
    <cellStyle name="Normal 11 10 27" xfId="6716" xr:uid="{00000000-0005-0000-0000-0000131D0000}"/>
    <cellStyle name="Normal 11 10 28" xfId="6717" xr:uid="{00000000-0005-0000-0000-0000141D0000}"/>
    <cellStyle name="Normal 11 10 29" xfId="6718" xr:uid="{00000000-0005-0000-0000-0000151D0000}"/>
    <cellStyle name="Normal 11 10 3" xfId="6719" xr:uid="{00000000-0005-0000-0000-0000161D0000}"/>
    <cellStyle name="Normal 11 10 3 2" xfId="6720" xr:uid="{00000000-0005-0000-0000-0000171D0000}"/>
    <cellStyle name="Normal 11 10 3 3" xfId="6721" xr:uid="{00000000-0005-0000-0000-0000181D0000}"/>
    <cellStyle name="Normal 11 10 3 4" xfId="6722" xr:uid="{00000000-0005-0000-0000-0000191D0000}"/>
    <cellStyle name="Normal 11 10 30" xfId="6723" xr:uid="{00000000-0005-0000-0000-00001A1D0000}"/>
    <cellStyle name="Normal 11 10 31" xfId="6724" xr:uid="{00000000-0005-0000-0000-00001B1D0000}"/>
    <cellStyle name="Normal 11 10 32" xfId="6725" xr:uid="{00000000-0005-0000-0000-00001C1D0000}"/>
    <cellStyle name="Normal 11 10 33" xfId="6726" xr:uid="{00000000-0005-0000-0000-00001D1D0000}"/>
    <cellStyle name="Normal 11 10 34" xfId="6727" xr:uid="{00000000-0005-0000-0000-00001E1D0000}"/>
    <cellStyle name="Normal 11 10 35" xfId="6728" xr:uid="{00000000-0005-0000-0000-00001F1D0000}"/>
    <cellStyle name="Normal 11 10 36" xfId="6729" xr:uid="{00000000-0005-0000-0000-0000201D0000}"/>
    <cellStyle name="Normal 11 10 37" xfId="6730" xr:uid="{00000000-0005-0000-0000-0000211D0000}"/>
    <cellStyle name="Normal 11 10 38" xfId="6731" xr:uid="{00000000-0005-0000-0000-0000221D0000}"/>
    <cellStyle name="Normal 11 10 39" xfId="6732" xr:uid="{00000000-0005-0000-0000-0000231D0000}"/>
    <cellStyle name="Normal 11 10 4" xfId="6733" xr:uid="{00000000-0005-0000-0000-0000241D0000}"/>
    <cellStyle name="Normal 11 10 40" xfId="6734" xr:uid="{00000000-0005-0000-0000-0000251D0000}"/>
    <cellStyle name="Normal 11 10 41" xfId="6735" xr:uid="{00000000-0005-0000-0000-0000261D0000}"/>
    <cellStyle name="Normal 11 10 42" xfId="6736" xr:uid="{00000000-0005-0000-0000-0000271D0000}"/>
    <cellStyle name="Normal 11 10 43" xfId="6737" xr:uid="{00000000-0005-0000-0000-0000281D0000}"/>
    <cellStyle name="Normal 11 10 44" xfId="6738" xr:uid="{00000000-0005-0000-0000-0000291D0000}"/>
    <cellStyle name="Normal 11 10 45" xfId="6739" xr:uid="{00000000-0005-0000-0000-00002A1D0000}"/>
    <cellStyle name="Normal 11 10 46" xfId="6740" xr:uid="{00000000-0005-0000-0000-00002B1D0000}"/>
    <cellStyle name="Normal 11 10 47" xfId="6741" xr:uid="{00000000-0005-0000-0000-00002C1D0000}"/>
    <cellStyle name="Normal 11 10 48" xfId="6742" xr:uid="{00000000-0005-0000-0000-00002D1D0000}"/>
    <cellStyle name="Normal 11 10 49" xfId="6743" xr:uid="{00000000-0005-0000-0000-00002E1D0000}"/>
    <cellStyle name="Normal 11 10 5" xfId="6744" xr:uid="{00000000-0005-0000-0000-00002F1D0000}"/>
    <cellStyle name="Normal 11 10 50" xfId="6745" xr:uid="{00000000-0005-0000-0000-0000301D0000}"/>
    <cellStyle name="Normal 11 10 51" xfId="6746" xr:uid="{00000000-0005-0000-0000-0000311D0000}"/>
    <cellStyle name="Normal 11 10 52" xfId="6747" xr:uid="{00000000-0005-0000-0000-0000321D0000}"/>
    <cellStyle name="Normal 11 10 6" xfId="6748" xr:uid="{00000000-0005-0000-0000-0000331D0000}"/>
    <cellStyle name="Normal 11 10 7" xfId="6749" xr:uid="{00000000-0005-0000-0000-0000341D0000}"/>
    <cellStyle name="Normal 11 10 8" xfId="6750" xr:uid="{00000000-0005-0000-0000-0000351D0000}"/>
    <cellStyle name="Normal 11 10 9" xfId="6751" xr:uid="{00000000-0005-0000-0000-0000361D0000}"/>
    <cellStyle name="Normal 11 11" xfId="6752" xr:uid="{00000000-0005-0000-0000-0000371D0000}"/>
    <cellStyle name="Normal 11 11 10" xfId="6753" xr:uid="{00000000-0005-0000-0000-0000381D0000}"/>
    <cellStyle name="Normal 11 11 11" xfId="6754" xr:uid="{00000000-0005-0000-0000-0000391D0000}"/>
    <cellStyle name="Normal 11 11 12" xfId="6755" xr:uid="{00000000-0005-0000-0000-00003A1D0000}"/>
    <cellStyle name="Normal 11 11 13" xfId="6756" xr:uid="{00000000-0005-0000-0000-00003B1D0000}"/>
    <cellStyle name="Normal 11 11 14" xfId="6757" xr:uid="{00000000-0005-0000-0000-00003C1D0000}"/>
    <cellStyle name="Normal 11 11 15" xfId="6758" xr:uid="{00000000-0005-0000-0000-00003D1D0000}"/>
    <cellStyle name="Normal 11 11 16" xfId="6759" xr:uid="{00000000-0005-0000-0000-00003E1D0000}"/>
    <cellStyle name="Normal 11 11 17" xfId="6760" xr:uid="{00000000-0005-0000-0000-00003F1D0000}"/>
    <cellStyle name="Normal 11 11 18" xfId="6761" xr:uid="{00000000-0005-0000-0000-0000401D0000}"/>
    <cellStyle name="Normal 11 11 19" xfId="6762" xr:uid="{00000000-0005-0000-0000-0000411D0000}"/>
    <cellStyle name="Normal 11 11 2" xfId="6763" xr:uid="{00000000-0005-0000-0000-0000421D0000}"/>
    <cellStyle name="Normal 11 11 2 2" xfId="6764" xr:uid="{00000000-0005-0000-0000-0000431D0000}"/>
    <cellStyle name="Normal 11 11 2 3" xfId="6765" xr:uid="{00000000-0005-0000-0000-0000441D0000}"/>
    <cellStyle name="Normal 11 11 2 4" xfId="6766" xr:uid="{00000000-0005-0000-0000-0000451D0000}"/>
    <cellStyle name="Normal 11 11 20" xfId="6767" xr:uid="{00000000-0005-0000-0000-0000461D0000}"/>
    <cellStyle name="Normal 11 11 21" xfId="6768" xr:uid="{00000000-0005-0000-0000-0000471D0000}"/>
    <cellStyle name="Normal 11 11 22" xfId="6769" xr:uid="{00000000-0005-0000-0000-0000481D0000}"/>
    <cellStyle name="Normal 11 11 23" xfId="6770" xr:uid="{00000000-0005-0000-0000-0000491D0000}"/>
    <cellStyle name="Normal 11 11 24" xfId="6771" xr:uid="{00000000-0005-0000-0000-00004A1D0000}"/>
    <cellStyle name="Normal 11 11 25" xfId="6772" xr:uid="{00000000-0005-0000-0000-00004B1D0000}"/>
    <cellStyle name="Normal 11 11 26" xfId="6773" xr:uid="{00000000-0005-0000-0000-00004C1D0000}"/>
    <cellStyle name="Normal 11 11 27" xfId="6774" xr:uid="{00000000-0005-0000-0000-00004D1D0000}"/>
    <cellStyle name="Normal 11 11 28" xfId="6775" xr:uid="{00000000-0005-0000-0000-00004E1D0000}"/>
    <cellStyle name="Normal 11 11 29" xfId="6776" xr:uid="{00000000-0005-0000-0000-00004F1D0000}"/>
    <cellStyle name="Normal 11 11 3" xfId="6777" xr:uid="{00000000-0005-0000-0000-0000501D0000}"/>
    <cellStyle name="Normal 11 11 3 2" xfId="6778" xr:uid="{00000000-0005-0000-0000-0000511D0000}"/>
    <cellStyle name="Normal 11 11 3 3" xfId="6779" xr:uid="{00000000-0005-0000-0000-0000521D0000}"/>
    <cellStyle name="Normal 11 11 3 4" xfId="6780" xr:uid="{00000000-0005-0000-0000-0000531D0000}"/>
    <cellStyle name="Normal 11 11 30" xfId="6781" xr:uid="{00000000-0005-0000-0000-0000541D0000}"/>
    <cellStyle name="Normal 11 11 31" xfId="6782" xr:uid="{00000000-0005-0000-0000-0000551D0000}"/>
    <cellStyle name="Normal 11 11 32" xfId="6783" xr:uid="{00000000-0005-0000-0000-0000561D0000}"/>
    <cellStyle name="Normal 11 11 33" xfId="6784" xr:uid="{00000000-0005-0000-0000-0000571D0000}"/>
    <cellStyle name="Normal 11 11 34" xfId="6785" xr:uid="{00000000-0005-0000-0000-0000581D0000}"/>
    <cellStyle name="Normal 11 11 35" xfId="6786" xr:uid="{00000000-0005-0000-0000-0000591D0000}"/>
    <cellStyle name="Normal 11 11 36" xfId="6787" xr:uid="{00000000-0005-0000-0000-00005A1D0000}"/>
    <cellStyle name="Normal 11 11 37" xfId="6788" xr:uid="{00000000-0005-0000-0000-00005B1D0000}"/>
    <cellStyle name="Normal 11 11 38" xfId="6789" xr:uid="{00000000-0005-0000-0000-00005C1D0000}"/>
    <cellStyle name="Normal 11 11 39" xfId="6790" xr:uid="{00000000-0005-0000-0000-00005D1D0000}"/>
    <cellStyle name="Normal 11 11 4" xfId="6791" xr:uid="{00000000-0005-0000-0000-00005E1D0000}"/>
    <cellStyle name="Normal 11 11 40" xfId="6792" xr:uid="{00000000-0005-0000-0000-00005F1D0000}"/>
    <cellStyle name="Normal 11 11 41" xfId="6793" xr:uid="{00000000-0005-0000-0000-0000601D0000}"/>
    <cellStyle name="Normal 11 11 42" xfId="6794" xr:uid="{00000000-0005-0000-0000-0000611D0000}"/>
    <cellStyle name="Normal 11 11 43" xfId="6795" xr:uid="{00000000-0005-0000-0000-0000621D0000}"/>
    <cellStyle name="Normal 11 11 44" xfId="6796" xr:uid="{00000000-0005-0000-0000-0000631D0000}"/>
    <cellStyle name="Normal 11 11 45" xfId="6797" xr:uid="{00000000-0005-0000-0000-0000641D0000}"/>
    <cellStyle name="Normal 11 11 5" xfId="6798" xr:uid="{00000000-0005-0000-0000-0000651D0000}"/>
    <cellStyle name="Normal 11 11 6" xfId="6799" xr:uid="{00000000-0005-0000-0000-0000661D0000}"/>
    <cellStyle name="Normal 11 11 7" xfId="6800" xr:uid="{00000000-0005-0000-0000-0000671D0000}"/>
    <cellStyle name="Normal 11 11 8" xfId="6801" xr:uid="{00000000-0005-0000-0000-0000681D0000}"/>
    <cellStyle name="Normal 11 11 9" xfId="6802" xr:uid="{00000000-0005-0000-0000-0000691D0000}"/>
    <cellStyle name="Normal 11 12" xfId="6803" xr:uid="{00000000-0005-0000-0000-00006A1D0000}"/>
    <cellStyle name="Normal 11 12 10" xfId="6804" xr:uid="{00000000-0005-0000-0000-00006B1D0000}"/>
    <cellStyle name="Normal 11 12 11" xfId="6805" xr:uid="{00000000-0005-0000-0000-00006C1D0000}"/>
    <cellStyle name="Normal 11 12 12" xfId="6806" xr:uid="{00000000-0005-0000-0000-00006D1D0000}"/>
    <cellStyle name="Normal 11 12 13" xfId="6807" xr:uid="{00000000-0005-0000-0000-00006E1D0000}"/>
    <cellStyle name="Normal 11 12 14" xfId="6808" xr:uid="{00000000-0005-0000-0000-00006F1D0000}"/>
    <cellStyle name="Normal 11 12 15" xfId="6809" xr:uid="{00000000-0005-0000-0000-0000701D0000}"/>
    <cellStyle name="Normal 11 12 16" xfId="6810" xr:uid="{00000000-0005-0000-0000-0000711D0000}"/>
    <cellStyle name="Normal 11 12 17" xfId="6811" xr:uid="{00000000-0005-0000-0000-0000721D0000}"/>
    <cellStyle name="Normal 11 12 18" xfId="6812" xr:uid="{00000000-0005-0000-0000-0000731D0000}"/>
    <cellStyle name="Normal 11 12 19" xfId="6813" xr:uid="{00000000-0005-0000-0000-0000741D0000}"/>
    <cellStyle name="Normal 11 12 2" xfId="6814" xr:uid="{00000000-0005-0000-0000-0000751D0000}"/>
    <cellStyle name="Normal 11 12 2 2" xfId="6815" xr:uid="{00000000-0005-0000-0000-0000761D0000}"/>
    <cellStyle name="Normal 11 12 2 3" xfId="6816" xr:uid="{00000000-0005-0000-0000-0000771D0000}"/>
    <cellStyle name="Normal 11 12 2 4" xfId="6817" xr:uid="{00000000-0005-0000-0000-0000781D0000}"/>
    <cellStyle name="Normal 11 12 20" xfId="6818" xr:uid="{00000000-0005-0000-0000-0000791D0000}"/>
    <cellStyle name="Normal 11 12 21" xfId="6819" xr:uid="{00000000-0005-0000-0000-00007A1D0000}"/>
    <cellStyle name="Normal 11 12 22" xfId="6820" xr:uid="{00000000-0005-0000-0000-00007B1D0000}"/>
    <cellStyle name="Normal 11 12 23" xfId="6821" xr:uid="{00000000-0005-0000-0000-00007C1D0000}"/>
    <cellStyle name="Normal 11 12 24" xfId="6822" xr:uid="{00000000-0005-0000-0000-00007D1D0000}"/>
    <cellStyle name="Normal 11 12 25" xfId="6823" xr:uid="{00000000-0005-0000-0000-00007E1D0000}"/>
    <cellStyle name="Normal 11 12 26" xfId="6824" xr:uid="{00000000-0005-0000-0000-00007F1D0000}"/>
    <cellStyle name="Normal 11 12 27" xfId="6825" xr:uid="{00000000-0005-0000-0000-0000801D0000}"/>
    <cellStyle name="Normal 11 12 28" xfId="6826" xr:uid="{00000000-0005-0000-0000-0000811D0000}"/>
    <cellStyle name="Normal 11 12 29" xfId="6827" xr:uid="{00000000-0005-0000-0000-0000821D0000}"/>
    <cellStyle name="Normal 11 12 3" xfId="6828" xr:uid="{00000000-0005-0000-0000-0000831D0000}"/>
    <cellStyle name="Normal 11 12 3 2" xfId="6829" xr:uid="{00000000-0005-0000-0000-0000841D0000}"/>
    <cellStyle name="Normal 11 12 3 3" xfId="6830" xr:uid="{00000000-0005-0000-0000-0000851D0000}"/>
    <cellStyle name="Normal 11 12 3 4" xfId="6831" xr:uid="{00000000-0005-0000-0000-0000861D0000}"/>
    <cellStyle name="Normal 11 12 30" xfId="6832" xr:uid="{00000000-0005-0000-0000-0000871D0000}"/>
    <cellStyle name="Normal 11 12 31" xfId="6833" xr:uid="{00000000-0005-0000-0000-0000881D0000}"/>
    <cellStyle name="Normal 11 12 32" xfId="6834" xr:uid="{00000000-0005-0000-0000-0000891D0000}"/>
    <cellStyle name="Normal 11 12 33" xfId="6835" xr:uid="{00000000-0005-0000-0000-00008A1D0000}"/>
    <cellStyle name="Normal 11 12 34" xfId="6836" xr:uid="{00000000-0005-0000-0000-00008B1D0000}"/>
    <cellStyle name="Normal 11 12 35" xfId="6837" xr:uid="{00000000-0005-0000-0000-00008C1D0000}"/>
    <cellStyle name="Normal 11 12 36" xfId="6838" xr:uid="{00000000-0005-0000-0000-00008D1D0000}"/>
    <cellStyle name="Normal 11 12 37" xfId="6839" xr:uid="{00000000-0005-0000-0000-00008E1D0000}"/>
    <cellStyle name="Normal 11 12 38" xfId="6840" xr:uid="{00000000-0005-0000-0000-00008F1D0000}"/>
    <cellStyle name="Normal 11 12 39" xfId="6841" xr:uid="{00000000-0005-0000-0000-0000901D0000}"/>
    <cellStyle name="Normal 11 12 4" xfId="6842" xr:uid="{00000000-0005-0000-0000-0000911D0000}"/>
    <cellStyle name="Normal 11 12 40" xfId="6843" xr:uid="{00000000-0005-0000-0000-0000921D0000}"/>
    <cellStyle name="Normal 11 12 41" xfId="6844" xr:uid="{00000000-0005-0000-0000-0000931D0000}"/>
    <cellStyle name="Normal 11 12 42" xfId="6845" xr:uid="{00000000-0005-0000-0000-0000941D0000}"/>
    <cellStyle name="Normal 11 12 43" xfId="6846" xr:uid="{00000000-0005-0000-0000-0000951D0000}"/>
    <cellStyle name="Normal 11 12 44" xfId="6847" xr:uid="{00000000-0005-0000-0000-0000961D0000}"/>
    <cellStyle name="Normal 11 12 45" xfId="6848" xr:uid="{00000000-0005-0000-0000-0000971D0000}"/>
    <cellStyle name="Normal 11 12 5" xfId="6849" xr:uid="{00000000-0005-0000-0000-0000981D0000}"/>
    <cellStyle name="Normal 11 12 6" xfId="6850" xr:uid="{00000000-0005-0000-0000-0000991D0000}"/>
    <cellStyle name="Normal 11 12 7" xfId="6851" xr:uid="{00000000-0005-0000-0000-00009A1D0000}"/>
    <cellStyle name="Normal 11 12 8" xfId="6852" xr:uid="{00000000-0005-0000-0000-00009B1D0000}"/>
    <cellStyle name="Normal 11 12 9" xfId="6853" xr:uid="{00000000-0005-0000-0000-00009C1D0000}"/>
    <cellStyle name="Normal 11 13" xfId="6854" xr:uid="{00000000-0005-0000-0000-00009D1D0000}"/>
    <cellStyle name="Normal 11 13 10" xfId="6855" xr:uid="{00000000-0005-0000-0000-00009E1D0000}"/>
    <cellStyle name="Normal 11 13 11" xfId="6856" xr:uid="{00000000-0005-0000-0000-00009F1D0000}"/>
    <cellStyle name="Normal 11 13 12" xfId="6857" xr:uid="{00000000-0005-0000-0000-0000A01D0000}"/>
    <cellStyle name="Normal 11 13 13" xfId="6858" xr:uid="{00000000-0005-0000-0000-0000A11D0000}"/>
    <cellStyle name="Normal 11 13 14" xfId="6859" xr:uid="{00000000-0005-0000-0000-0000A21D0000}"/>
    <cellStyle name="Normal 11 13 15" xfId="6860" xr:uid="{00000000-0005-0000-0000-0000A31D0000}"/>
    <cellStyle name="Normal 11 13 16" xfId="6861" xr:uid="{00000000-0005-0000-0000-0000A41D0000}"/>
    <cellStyle name="Normal 11 13 17" xfId="6862" xr:uid="{00000000-0005-0000-0000-0000A51D0000}"/>
    <cellStyle name="Normal 11 13 18" xfId="6863" xr:uid="{00000000-0005-0000-0000-0000A61D0000}"/>
    <cellStyle name="Normal 11 13 19" xfId="6864" xr:uid="{00000000-0005-0000-0000-0000A71D0000}"/>
    <cellStyle name="Normal 11 13 2" xfId="6865" xr:uid="{00000000-0005-0000-0000-0000A81D0000}"/>
    <cellStyle name="Normal 11 13 2 2" xfId="6866" xr:uid="{00000000-0005-0000-0000-0000A91D0000}"/>
    <cellStyle name="Normal 11 13 2 3" xfId="6867" xr:uid="{00000000-0005-0000-0000-0000AA1D0000}"/>
    <cellStyle name="Normal 11 13 2 4" xfId="6868" xr:uid="{00000000-0005-0000-0000-0000AB1D0000}"/>
    <cellStyle name="Normal 11 13 20" xfId="6869" xr:uid="{00000000-0005-0000-0000-0000AC1D0000}"/>
    <cellStyle name="Normal 11 13 21" xfId="6870" xr:uid="{00000000-0005-0000-0000-0000AD1D0000}"/>
    <cellStyle name="Normal 11 13 22" xfId="6871" xr:uid="{00000000-0005-0000-0000-0000AE1D0000}"/>
    <cellStyle name="Normal 11 13 23" xfId="6872" xr:uid="{00000000-0005-0000-0000-0000AF1D0000}"/>
    <cellStyle name="Normal 11 13 24" xfId="6873" xr:uid="{00000000-0005-0000-0000-0000B01D0000}"/>
    <cellStyle name="Normal 11 13 25" xfId="6874" xr:uid="{00000000-0005-0000-0000-0000B11D0000}"/>
    <cellStyle name="Normal 11 13 26" xfId="6875" xr:uid="{00000000-0005-0000-0000-0000B21D0000}"/>
    <cellStyle name="Normal 11 13 27" xfId="6876" xr:uid="{00000000-0005-0000-0000-0000B31D0000}"/>
    <cellStyle name="Normal 11 13 28" xfId="6877" xr:uid="{00000000-0005-0000-0000-0000B41D0000}"/>
    <cellStyle name="Normal 11 13 29" xfId="6878" xr:uid="{00000000-0005-0000-0000-0000B51D0000}"/>
    <cellStyle name="Normal 11 13 3" xfId="6879" xr:uid="{00000000-0005-0000-0000-0000B61D0000}"/>
    <cellStyle name="Normal 11 13 3 2" xfId="6880" xr:uid="{00000000-0005-0000-0000-0000B71D0000}"/>
    <cellStyle name="Normal 11 13 3 3" xfId="6881" xr:uid="{00000000-0005-0000-0000-0000B81D0000}"/>
    <cellStyle name="Normal 11 13 3 4" xfId="6882" xr:uid="{00000000-0005-0000-0000-0000B91D0000}"/>
    <cellStyle name="Normal 11 13 30" xfId="6883" xr:uid="{00000000-0005-0000-0000-0000BA1D0000}"/>
    <cellStyle name="Normal 11 13 31" xfId="6884" xr:uid="{00000000-0005-0000-0000-0000BB1D0000}"/>
    <cellStyle name="Normal 11 13 32" xfId="6885" xr:uid="{00000000-0005-0000-0000-0000BC1D0000}"/>
    <cellStyle name="Normal 11 13 33" xfId="6886" xr:uid="{00000000-0005-0000-0000-0000BD1D0000}"/>
    <cellStyle name="Normal 11 13 34" xfId="6887" xr:uid="{00000000-0005-0000-0000-0000BE1D0000}"/>
    <cellStyle name="Normal 11 13 35" xfId="6888" xr:uid="{00000000-0005-0000-0000-0000BF1D0000}"/>
    <cellStyle name="Normal 11 13 36" xfId="6889" xr:uid="{00000000-0005-0000-0000-0000C01D0000}"/>
    <cellStyle name="Normal 11 13 37" xfId="6890" xr:uid="{00000000-0005-0000-0000-0000C11D0000}"/>
    <cellStyle name="Normal 11 13 38" xfId="6891" xr:uid="{00000000-0005-0000-0000-0000C21D0000}"/>
    <cellStyle name="Normal 11 13 39" xfId="6892" xr:uid="{00000000-0005-0000-0000-0000C31D0000}"/>
    <cellStyle name="Normal 11 13 4" xfId="6893" xr:uid="{00000000-0005-0000-0000-0000C41D0000}"/>
    <cellStyle name="Normal 11 13 40" xfId="6894" xr:uid="{00000000-0005-0000-0000-0000C51D0000}"/>
    <cellStyle name="Normal 11 13 41" xfId="6895" xr:uid="{00000000-0005-0000-0000-0000C61D0000}"/>
    <cellStyle name="Normal 11 13 42" xfId="6896" xr:uid="{00000000-0005-0000-0000-0000C71D0000}"/>
    <cellStyle name="Normal 11 13 43" xfId="6897" xr:uid="{00000000-0005-0000-0000-0000C81D0000}"/>
    <cellStyle name="Normal 11 13 44" xfId="6898" xr:uid="{00000000-0005-0000-0000-0000C91D0000}"/>
    <cellStyle name="Normal 11 13 45" xfId="6899" xr:uid="{00000000-0005-0000-0000-0000CA1D0000}"/>
    <cellStyle name="Normal 11 13 5" xfId="6900" xr:uid="{00000000-0005-0000-0000-0000CB1D0000}"/>
    <cellStyle name="Normal 11 13 6" xfId="6901" xr:uid="{00000000-0005-0000-0000-0000CC1D0000}"/>
    <cellStyle name="Normal 11 13 7" xfId="6902" xr:uid="{00000000-0005-0000-0000-0000CD1D0000}"/>
    <cellStyle name="Normal 11 13 8" xfId="6903" xr:uid="{00000000-0005-0000-0000-0000CE1D0000}"/>
    <cellStyle name="Normal 11 13 9" xfId="6904" xr:uid="{00000000-0005-0000-0000-0000CF1D0000}"/>
    <cellStyle name="Normal 11 14" xfId="6905" xr:uid="{00000000-0005-0000-0000-0000D01D0000}"/>
    <cellStyle name="Normal 11 14 10" xfId="6906" xr:uid="{00000000-0005-0000-0000-0000D11D0000}"/>
    <cellStyle name="Normal 11 14 11" xfId="6907" xr:uid="{00000000-0005-0000-0000-0000D21D0000}"/>
    <cellStyle name="Normal 11 14 12" xfId="6908" xr:uid="{00000000-0005-0000-0000-0000D31D0000}"/>
    <cellStyle name="Normal 11 14 13" xfId="6909" xr:uid="{00000000-0005-0000-0000-0000D41D0000}"/>
    <cellStyle name="Normal 11 14 14" xfId="6910" xr:uid="{00000000-0005-0000-0000-0000D51D0000}"/>
    <cellStyle name="Normal 11 14 15" xfId="6911" xr:uid="{00000000-0005-0000-0000-0000D61D0000}"/>
    <cellStyle name="Normal 11 14 16" xfId="6912" xr:uid="{00000000-0005-0000-0000-0000D71D0000}"/>
    <cellStyle name="Normal 11 14 17" xfId="6913" xr:uid="{00000000-0005-0000-0000-0000D81D0000}"/>
    <cellStyle name="Normal 11 14 18" xfId="6914" xr:uid="{00000000-0005-0000-0000-0000D91D0000}"/>
    <cellStyle name="Normal 11 14 19" xfId="6915" xr:uid="{00000000-0005-0000-0000-0000DA1D0000}"/>
    <cellStyle name="Normal 11 14 2" xfId="6916" xr:uid="{00000000-0005-0000-0000-0000DB1D0000}"/>
    <cellStyle name="Normal 11 14 2 2" xfId="6917" xr:uid="{00000000-0005-0000-0000-0000DC1D0000}"/>
    <cellStyle name="Normal 11 14 2 3" xfId="6918" xr:uid="{00000000-0005-0000-0000-0000DD1D0000}"/>
    <cellStyle name="Normal 11 14 2 4" xfId="6919" xr:uid="{00000000-0005-0000-0000-0000DE1D0000}"/>
    <cellStyle name="Normal 11 14 20" xfId="6920" xr:uid="{00000000-0005-0000-0000-0000DF1D0000}"/>
    <cellStyle name="Normal 11 14 21" xfId="6921" xr:uid="{00000000-0005-0000-0000-0000E01D0000}"/>
    <cellStyle name="Normal 11 14 22" xfId="6922" xr:uid="{00000000-0005-0000-0000-0000E11D0000}"/>
    <cellStyle name="Normal 11 14 23" xfId="6923" xr:uid="{00000000-0005-0000-0000-0000E21D0000}"/>
    <cellStyle name="Normal 11 14 24" xfId="6924" xr:uid="{00000000-0005-0000-0000-0000E31D0000}"/>
    <cellStyle name="Normal 11 14 25" xfId="6925" xr:uid="{00000000-0005-0000-0000-0000E41D0000}"/>
    <cellStyle name="Normal 11 14 26" xfId="6926" xr:uid="{00000000-0005-0000-0000-0000E51D0000}"/>
    <cellStyle name="Normal 11 14 27" xfId="6927" xr:uid="{00000000-0005-0000-0000-0000E61D0000}"/>
    <cellStyle name="Normal 11 14 28" xfId="6928" xr:uid="{00000000-0005-0000-0000-0000E71D0000}"/>
    <cellStyle name="Normal 11 14 29" xfId="6929" xr:uid="{00000000-0005-0000-0000-0000E81D0000}"/>
    <cellStyle name="Normal 11 14 3" xfId="6930" xr:uid="{00000000-0005-0000-0000-0000E91D0000}"/>
    <cellStyle name="Normal 11 14 3 2" xfId="6931" xr:uid="{00000000-0005-0000-0000-0000EA1D0000}"/>
    <cellStyle name="Normal 11 14 3 3" xfId="6932" xr:uid="{00000000-0005-0000-0000-0000EB1D0000}"/>
    <cellStyle name="Normal 11 14 3 4" xfId="6933" xr:uid="{00000000-0005-0000-0000-0000EC1D0000}"/>
    <cellStyle name="Normal 11 14 30" xfId="6934" xr:uid="{00000000-0005-0000-0000-0000ED1D0000}"/>
    <cellStyle name="Normal 11 14 31" xfId="6935" xr:uid="{00000000-0005-0000-0000-0000EE1D0000}"/>
    <cellStyle name="Normal 11 14 32" xfId="6936" xr:uid="{00000000-0005-0000-0000-0000EF1D0000}"/>
    <cellStyle name="Normal 11 14 33" xfId="6937" xr:uid="{00000000-0005-0000-0000-0000F01D0000}"/>
    <cellStyle name="Normal 11 14 34" xfId="6938" xr:uid="{00000000-0005-0000-0000-0000F11D0000}"/>
    <cellStyle name="Normal 11 14 35" xfId="6939" xr:uid="{00000000-0005-0000-0000-0000F21D0000}"/>
    <cellStyle name="Normal 11 14 36" xfId="6940" xr:uid="{00000000-0005-0000-0000-0000F31D0000}"/>
    <cellStyle name="Normal 11 14 37" xfId="6941" xr:uid="{00000000-0005-0000-0000-0000F41D0000}"/>
    <cellStyle name="Normal 11 14 38" xfId="6942" xr:uid="{00000000-0005-0000-0000-0000F51D0000}"/>
    <cellStyle name="Normal 11 14 39" xfId="6943" xr:uid="{00000000-0005-0000-0000-0000F61D0000}"/>
    <cellStyle name="Normal 11 14 4" xfId="6944" xr:uid="{00000000-0005-0000-0000-0000F71D0000}"/>
    <cellStyle name="Normal 11 14 40" xfId="6945" xr:uid="{00000000-0005-0000-0000-0000F81D0000}"/>
    <cellStyle name="Normal 11 14 41" xfId="6946" xr:uid="{00000000-0005-0000-0000-0000F91D0000}"/>
    <cellStyle name="Normal 11 14 42" xfId="6947" xr:uid="{00000000-0005-0000-0000-0000FA1D0000}"/>
    <cellStyle name="Normal 11 14 43" xfId="6948" xr:uid="{00000000-0005-0000-0000-0000FB1D0000}"/>
    <cellStyle name="Normal 11 14 44" xfId="6949" xr:uid="{00000000-0005-0000-0000-0000FC1D0000}"/>
    <cellStyle name="Normal 11 14 45" xfId="6950" xr:uid="{00000000-0005-0000-0000-0000FD1D0000}"/>
    <cellStyle name="Normal 11 14 5" xfId="6951" xr:uid="{00000000-0005-0000-0000-0000FE1D0000}"/>
    <cellStyle name="Normal 11 14 6" xfId="6952" xr:uid="{00000000-0005-0000-0000-0000FF1D0000}"/>
    <cellStyle name="Normal 11 14 7" xfId="6953" xr:uid="{00000000-0005-0000-0000-0000001E0000}"/>
    <cellStyle name="Normal 11 14 8" xfId="6954" xr:uid="{00000000-0005-0000-0000-0000011E0000}"/>
    <cellStyle name="Normal 11 14 9" xfId="6955" xr:uid="{00000000-0005-0000-0000-0000021E0000}"/>
    <cellStyle name="Normal 11 15" xfId="6956" xr:uid="{00000000-0005-0000-0000-0000031E0000}"/>
    <cellStyle name="Normal 11 15 10" xfId="6957" xr:uid="{00000000-0005-0000-0000-0000041E0000}"/>
    <cellStyle name="Normal 11 15 11" xfId="6958" xr:uid="{00000000-0005-0000-0000-0000051E0000}"/>
    <cellStyle name="Normal 11 15 12" xfId="6959" xr:uid="{00000000-0005-0000-0000-0000061E0000}"/>
    <cellStyle name="Normal 11 15 13" xfId="6960" xr:uid="{00000000-0005-0000-0000-0000071E0000}"/>
    <cellStyle name="Normal 11 15 14" xfId="6961" xr:uid="{00000000-0005-0000-0000-0000081E0000}"/>
    <cellStyle name="Normal 11 15 15" xfId="6962" xr:uid="{00000000-0005-0000-0000-0000091E0000}"/>
    <cellStyle name="Normal 11 15 16" xfId="6963" xr:uid="{00000000-0005-0000-0000-00000A1E0000}"/>
    <cellStyle name="Normal 11 15 17" xfId="6964" xr:uid="{00000000-0005-0000-0000-00000B1E0000}"/>
    <cellStyle name="Normal 11 15 18" xfId="6965" xr:uid="{00000000-0005-0000-0000-00000C1E0000}"/>
    <cellStyle name="Normal 11 15 19" xfId="6966" xr:uid="{00000000-0005-0000-0000-00000D1E0000}"/>
    <cellStyle name="Normal 11 15 2" xfId="6967" xr:uid="{00000000-0005-0000-0000-00000E1E0000}"/>
    <cellStyle name="Normal 11 15 2 2" xfId="6968" xr:uid="{00000000-0005-0000-0000-00000F1E0000}"/>
    <cellStyle name="Normal 11 15 2 3" xfId="6969" xr:uid="{00000000-0005-0000-0000-0000101E0000}"/>
    <cellStyle name="Normal 11 15 2 4" xfId="6970" xr:uid="{00000000-0005-0000-0000-0000111E0000}"/>
    <cellStyle name="Normal 11 15 20" xfId="6971" xr:uid="{00000000-0005-0000-0000-0000121E0000}"/>
    <cellStyle name="Normal 11 15 21" xfId="6972" xr:uid="{00000000-0005-0000-0000-0000131E0000}"/>
    <cellStyle name="Normal 11 15 22" xfId="6973" xr:uid="{00000000-0005-0000-0000-0000141E0000}"/>
    <cellStyle name="Normal 11 15 23" xfId="6974" xr:uid="{00000000-0005-0000-0000-0000151E0000}"/>
    <cellStyle name="Normal 11 15 24" xfId="6975" xr:uid="{00000000-0005-0000-0000-0000161E0000}"/>
    <cellStyle name="Normal 11 15 25" xfId="6976" xr:uid="{00000000-0005-0000-0000-0000171E0000}"/>
    <cellStyle name="Normal 11 15 26" xfId="6977" xr:uid="{00000000-0005-0000-0000-0000181E0000}"/>
    <cellStyle name="Normal 11 15 27" xfId="6978" xr:uid="{00000000-0005-0000-0000-0000191E0000}"/>
    <cellStyle name="Normal 11 15 28" xfId="6979" xr:uid="{00000000-0005-0000-0000-00001A1E0000}"/>
    <cellStyle name="Normal 11 15 29" xfId="6980" xr:uid="{00000000-0005-0000-0000-00001B1E0000}"/>
    <cellStyle name="Normal 11 15 3" xfId="6981" xr:uid="{00000000-0005-0000-0000-00001C1E0000}"/>
    <cellStyle name="Normal 11 15 3 2" xfId="6982" xr:uid="{00000000-0005-0000-0000-00001D1E0000}"/>
    <cellStyle name="Normal 11 15 3 3" xfId="6983" xr:uid="{00000000-0005-0000-0000-00001E1E0000}"/>
    <cellStyle name="Normal 11 15 3 4" xfId="6984" xr:uid="{00000000-0005-0000-0000-00001F1E0000}"/>
    <cellStyle name="Normal 11 15 30" xfId="6985" xr:uid="{00000000-0005-0000-0000-0000201E0000}"/>
    <cellStyle name="Normal 11 15 31" xfId="6986" xr:uid="{00000000-0005-0000-0000-0000211E0000}"/>
    <cellStyle name="Normal 11 15 32" xfId="6987" xr:uid="{00000000-0005-0000-0000-0000221E0000}"/>
    <cellStyle name="Normal 11 15 33" xfId="6988" xr:uid="{00000000-0005-0000-0000-0000231E0000}"/>
    <cellStyle name="Normal 11 15 34" xfId="6989" xr:uid="{00000000-0005-0000-0000-0000241E0000}"/>
    <cellStyle name="Normal 11 15 35" xfId="6990" xr:uid="{00000000-0005-0000-0000-0000251E0000}"/>
    <cellStyle name="Normal 11 15 36" xfId="6991" xr:uid="{00000000-0005-0000-0000-0000261E0000}"/>
    <cellStyle name="Normal 11 15 37" xfId="6992" xr:uid="{00000000-0005-0000-0000-0000271E0000}"/>
    <cellStyle name="Normal 11 15 38" xfId="6993" xr:uid="{00000000-0005-0000-0000-0000281E0000}"/>
    <cellStyle name="Normal 11 15 39" xfId="6994" xr:uid="{00000000-0005-0000-0000-0000291E0000}"/>
    <cellStyle name="Normal 11 15 4" xfId="6995" xr:uid="{00000000-0005-0000-0000-00002A1E0000}"/>
    <cellStyle name="Normal 11 15 40" xfId="6996" xr:uid="{00000000-0005-0000-0000-00002B1E0000}"/>
    <cellStyle name="Normal 11 15 41" xfId="6997" xr:uid="{00000000-0005-0000-0000-00002C1E0000}"/>
    <cellStyle name="Normal 11 15 42" xfId="6998" xr:uid="{00000000-0005-0000-0000-00002D1E0000}"/>
    <cellStyle name="Normal 11 15 43" xfId="6999" xr:uid="{00000000-0005-0000-0000-00002E1E0000}"/>
    <cellStyle name="Normal 11 15 44" xfId="7000" xr:uid="{00000000-0005-0000-0000-00002F1E0000}"/>
    <cellStyle name="Normal 11 15 45" xfId="7001" xr:uid="{00000000-0005-0000-0000-0000301E0000}"/>
    <cellStyle name="Normal 11 15 5" xfId="7002" xr:uid="{00000000-0005-0000-0000-0000311E0000}"/>
    <cellStyle name="Normal 11 15 6" xfId="7003" xr:uid="{00000000-0005-0000-0000-0000321E0000}"/>
    <cellStyle name="Normal 11 15 7" xfId="7004" xr:uid="{00000000-0005-0000-0000-0000331E0000}"/>
    <cellStyle name="Normal 11 15 8" xfId="7005" xr:uid="{00000000-0005-0000-0000-0000341E0000}"/>
    <cellStyle name="Normal 11 15 9" xfId="7006" xr:uid="{00000000-0005-0000-0000-0000351E0000}"/>
    <cellStyle name="Normal 11 16" xfId="7007" xr:uid="{00000000-0005-0000-0000-0000361E0000}"/>
    <cellStyle name="Normal 11 16 10" xfId="7008" xr:uid="{00000000-0005-0000-0000-0000371E0000}"/>
    <cellStyle name="Normal 11 16 11" xfId="7009" xr:uid="{00000000-0005-0000-0000-0000381E0000}"/>
    <cellStyle name="Normal 11 16 12" xfId="7010" xr:uid="{00000000-0005-0000-0000-0000391E0000}"/>
    <cellStyle name="Normal 11 16 13" xfId="7011" xr:uid="{00000000-0005-0000-0000-00003A1E0000}"/>
    <cellStyle name="Normal 11 16 14" xfId="7012" xr:uid="{00000000-0005-0000-0000-00003B1E0000}"/>
    <cellStyle name="Normal 11 16 15" xfId="7013" xr:uid="{00000000-0005-0000-0000-00003C1E0000}"/>
    <cellStyle name="Normal 11 16 16" xfId="7014" xr:uid="{00000000-0005-0000-0000-00003D1E0000}"/>
    <cellStyle name="Normal 11 16 17" xfId="7015" xr:uid="{00000000-0005-0000-0000-00003E1E0000}"/>
    <cellStyle name="Normal 11 16 18" xfId="7016" xr:uid="{00000000-0005-0000-0000-00003F1E0000}"/>
    <cellStyle name="Normal 11 16 19" xfId="7017" xr:uid="{00000000-0005-0000-0000-0000401E0000}"/>
    <cellStyle name="Normal 11 16 2" xfId="7018" xr:uid="{00000000-0005-0000-0000-0000411E0000}"/>
    <cellStyle name="Normal 11 16 2 2" xfId="7019" xr:uid="{00000000-0005-0000-0000-0000421E0000}"/>
    <cellStyle name="Normal 11 16 2 3" xfId="7020" xr:uid="{00000000-0005-0000-0000-0000431E0000}"/>
    <cellStyle name="Normal 11 16 2 4" xfId="7021" xr:uid="{00000000-0005-0000-0000-0000441E0000}"/>
    <cellStyle name="Normal 11 16 20" xfId="7022" xr:uid="{00000000-0005-0000-0000-0000451E0000}"/>
    <cellStyle name="Normal 11 16 21" xfId="7023" xr:uid="{00000000-0005-0000-0000-0000461E0000}"/>
    <cellStyle name="Normal 11 16 22" xfId="7024" xr:uid="{00000000-0005-0000-0000-0000471E0000}"/>
    <cellStyle name="Normal 11 16 23" xfId="7025" xr:uid="{00000000-0005-0000-0000-0000481E0000}"/>
    <cellStyle name="Normal 11 16 24" xfId="7026" xr:uid="{00000000-0005-0000-0000-0000491E0000}"/>
    <cellStyle name="Normal 11 16 25" xfId="7027" xr:uid="{00000000-0005-0000-0000-00004A1E0000}"/>
    <cellStyle name="Normal 11 16 26" xfId="7028" xr:uid="{00000000-0005-0000-0000-00004B1E0000}"/>
    <cellStyle name="Normal 11 16 27" xfId="7029" xr:uid="{00000000-0005-0000-0000-00004C1E0000}"/>
    <cellStyle name="Normal 11 16 28" xfId="7030" xr:uid="{00000000-0005-0000-0000-00004D1E0000}"/>
    <cellStyle name="Normal 11 16 29" xfId="7031" xr:uid="{00000000-0005-0000-0000-00004E1E0000}"/>
    <cellStyle name="Normal 11 16 3" xfId="7032" xr:uid="{00000000-0005-0000-0000-00004F1E0000}"/>
    <cellStyle name="Normal 11 16 3 2" xfId="7033" xr:uid="{00000000-0005-0000-0000-0000501E0000}"/>
    <cellStyle name="Normal 11 16 3 3" xfId="7034" xr:uid="{00000000-0005-0000-0000-0000511E0000}"/>
    <cellStyle name="Normal 11 16 3 4" xfId="7035" xr:uid="{00000000-0005-0000-0000-0000521E0000}"/>
    <cellStyle name="Normal 11 16 30" xfId="7036" xr:uid="{00000000-0005-0000-0000-0000531E0000}"/>
    <cellStyle name="Normal 11 16 31" xfId="7037" xr:uid="{00000000-0005-0000-0000-0000541E0000}"/>
    <cellStyle name="Normal 11 16 32" xfId="7038" xr:uid="{00000000-0005-0000-0000-0000551E0000}"/>
    <cellStyle name="Normal 11 16 33" xfId="7039" xr:uid="{00000000-0005-0000-0000-0000561E0000}"/>
    <cellStyle name="Normal 11 16 34" xfId="7040" xr:uid="{00000000-0005-0000-0000-0000571E0000}"/>
    <cellStyle name="Normal 11 16 35" xfId="7041" xr:uid="{00000000-0005-0000-0000-0000581E0000}"/>
    <cellStyle name="Normal 11 16 36" xfId="7042" xr:uid="{00000000-0005-0000-0000-0000591E0000}"/>
    <cellStyle name="Normal 11 16 37" xfId="7043" xr:uid="{00000000-0005-0000-0000-00005A1E0000}"/>
    <cellStyle name="Normal 11 16 38" xfId="7044" xr:uid="{00000000-0005-0000-0000-00005B1E0000}"/>
    <cellStyle name="Normal 11 16 39" xfId="7045" xr:uid="{00000000-0005-0000-0000-00005C1E0000}"/>
    <cellStyle name="Normal 11 16 4" xfId="7046" xr:uid="{00000000-0005-0000-0000-00005D1E0000}"/>
    <cellStyle name="Normal 11 16 40" xfId="7047" xr:uid="{00000000-0005-0000-0000-00005E1E0000}"/>
    <cellStyle name="Normal 11 16 41" xfId="7048" xr:uid="{00000000-0005-0000-0000-00005F1E0000}"/>
    <cellStyle name="Normal 11 16 42" xfId="7049" xr:uid="{00000000-0005-0000-0000-0000601E0000}"/>
    <cellStyle name="Normal 11 16 43" xfId="7050" xr:uid="{00000000-0005-0000-0000-0000611E0000}"/>
    <cellStyle name="Normal 11 16 44" xfId="7051" xr:uid="{00000000-0005-0000-0000-0000621E0000}"/>
    <cellStyle name="Normal 11 16 45" xfId="7052" xr:uid="{00000000-0005-0000-0000-0000631E0000}"/>
    <cellStyle name="Normal 11 16 5" xfId="7053" xr:uid="{00000000-0005-0000-0000-0000641E0000}"/>
    <cellStyle name="Normal 11 16 6" xfId="7054" xr:uid="{00000000-0005-0000-0000-0000651E0000}"/>
    <cellStyle name="Normal 11 16 7" xfId="7055" xr:uid="{00000000-0005-0000-0000-0000661E0000}"/>
    <cellStyle name="Normal 11 16 8" xfId="7056" xr:uid="{00000000-0005-0000-0000-0000671E0000}"/>
    <cellStyle name="Normal 11 16 9" xfId="7057" xr:uid="{00000000-0005-0000-0000-0000681E0000}"/>
    <cellStyle name="Normal 11 17" xfId="7058" xr:uid="{00000000-0005-0000-0000-0000691E0000}"/>
    <cellStyle name="Normal 11 17 10" xfId="7059" xr:uid="{00000000-0005-0000-0000-00006A1E0000}"/>
    <cellStyle name="Normal 11 17 11" xfId="7060" xr:uid="{00000000-0005-0000-0000-00006B1E0000}"/>
    <cellStyle name="Normal 11 17 12" xfId="7061" xr:uid="{00000000-0005-0000-0000-00006C1E0000}"/>
    <cellStyle name="Normal 11 17 13" xfId="7062" xr:uid="{00000000-0005-0000-0000-00006D1E0000}"/>
    <cellStyle name="Normal 11 17 14" xfId="7063" xr:uid="{00000000-0005-0000-0000-00006E1E0000}"/>
    <cellStyle name="Normal 11 17 15" xfId="7064" xr:uid="{00000000-0005-0000-0000-00006F1E0000}"/>
    <cellStyle name="Normal 11 17 16" xfId="7065" xr:uid="{00000000-0005-0000-0000-0000701E0000}"/>
    <cellStyle name="Normal 11 17 17" xfId="7066" xr:uid="{00000000-0005-0000-0000-0000711E0000}"/>
    <cellStyle name="Normal 11 17 18" xfId="7067" xr:uid="{00000000-0005-0000-0000-0000721E0000}"/>
    <cellStyle name="Normal 11 17 19" xfId="7068" xr:uid="{00000000-0005-0000-0000-0000731E0000}"/>
    <cellStyle name="Normal 11 17 2" xfId="7069" xr:uid="{00000000-0005-0000-0000-0000741E0000}"/>
    <cellStyle name="Normal 11 17 2 2" xfId="7070" xr:uid="{00000000-0005-0000-0000-0000751E0000}"/>
    <cellStyle name="Normal 11 17 2 3" xfId="7071" xr:uid="{00000000-0005-0000-0000-0000761E0000}"/>
    <cellStyle name="Normal 11 17 2 4" xfId="7072" xr:uid="{00000000-0005-0000-0000-0000771E0000}"/>
    <cellStyle name="Normal 11 17 20" xfId="7073" xr:uid="{00000000-0005-0000-0000-0000781E0000}"/>
    <cellStyle name="Normal 11 17 21" xfId="7074" xr:uid="{00000000-0005-0000-0000-0000791E0000}"/>
    <cellStyle name="Normal 11 17 22" xfId="7075" xr:uid="{00000000-0005-0000-0000-00007A1E0000}"/>
    <cellStyle name="Normal 11 17 23" xfId="7076" xr:uid="{00000000-0005-0000-0000-00007B1E0000}"/>
    <cellStyle name="Normal 11 17 24" xfId="7077" xr:uid="{00000000-0005-0000-0000-00007C1E0000}"/>
    <cellStyle name="Normal 11 17 25" xfId="7078" xr:uid="{00000000-0005-0000-0000-00007D1E0000}"/>
    <cellStyle name="Normal 11 17 26" xfId="7079" xr:uid="{00000000-0005-0000-0000-00007E1E0000}"/>
    <cellStyle name="Normal 11 17 27" xfId="7080" xr:uid="{00000000-0005-0000-0000-00007F1E0000}"/>
    <cellStyle name="Normal 11 17 28" xfId="7081" xr:uid="{00000000-0005-0000-0000-0000801E0000}"/>
    <cellStyle name="Normal 11 17 29" xfId="7082" xr:uid="{00000000-0005-0000-0000-0000811E0000}"/>
    <cellStyle name="Normal 11 17 3" xfId="7083" xr:uid="{00000000-0005-0000-0000-0000821E0000}"/>
    <cellStyle name="Normal 11 17 3 2" xfId="7084" xr:uid="{00000000-0005-0000-0000-0000831E0000}"/>
    <cellStyle name="Normal 11 17 3 3" xfId="7085" xr:uid="{00000000-0005-0000-0000-0000841E0000}"/>
    <cellStyle name="Normal 11 17 3 4" xfId="7086" xr:uid="{00000000-0005-0000-0000-0000851E0000}"/>
    <cellStyle name="Normal 11 17 30" xfId="7087" xr:uid="{00000000-0005-0000-0000-0000861E0000}"/>
    <cellStyle name="Normal 11 17 31" xfId="7088" xr:uid="{00000000-0005-0000-0000-0000871E0000}"/>
    <cellStyle name="Normal 11 17 32" xfId="7089" xr:uid="{00000000-0005-0000-0000-0000881E0000}"/>
    <cellStyle name="Normal 11 17 33" xfId="7090" xr:uid="{00000000-0005-0000-0000-0000891E0000}"/>
    <cellStyle name="Normal 11 17 34" xfId="7091" xr:uid="{00000000-0005-0000-0000-00008A1E0000}"/>
    <cellStyle name="Normal 11 17 35" xfId="7092" xr:uid="{00000000-0005-0000-0000-00008B1E0000}"/>
    <cellStyle name="Normal 11 17 36" xfId="7093" xr:uid="{00000000-0005-0000-0000-00008C1E0000}"/>
    <cellStyle name="Normal 11 17 37" xfId="7094" xr:uid="{00000000-0005-0000-0000-00008D1E0000}"/>
    <cellStyle name="Normal 11 17 38" xfId="7095" xr:uid="{00000000-0005-0000-0000-00008E1E0000}"/>
    <cellStyle name="Normal 11 17 39" xfId="7096" xr:uid="{00000000-0005-0000-0000-00008F1E0000}"/>
    <cellStyle name="Normal 11 17 4" xfId="7097" xr:uid="{00000000-0005-0000-0000-0000901E0000}"/>
    <cellStyle name="Normal 11 17 40" xfId="7098" xr:uid="{00000000-0005-0000-0000-0000911E0000}"/>
    <cellStyle name="Normal 11 17 41" xfId="7099" xr:uid="{00000000-0005-0000-0000-0000921E0000}"/>
    <cellStyle name="Normal 11 17 42" xfId="7100" xr:uid="{00000000-0005-0000-0000-0000931E0000}"/>
    <cellStyle name="Normal 11 17 43" xfId="7101" xr:uid="{00000000-0005-0000-0000-0000941E0000}"/>
    <cellStyle name="Normal 11 17 44" xfId="7102" xr:uid="{00000000-0005-0000-0000-0000951E0000}"/>
    <cellStyle name="Normal 11 17 45" xfId="7103" xr:uid="{00000000-0005-0000-0000-0000961E0000}"/>
    <cellStyle name="Normal 11 17 5" xfId="7104" xr:uid="{00000000-0005-0000-0000-0000971E0000}"/>
    <cellStyle name="Normal 11 17 6" xfId="7105" xr:uid="{00000000-0005-0000-0000-0000981E0000}"/>
    <cellStyle name="Normal 11 17 7" xfId="7106" xr:uid="{00000000-0005-0000-0000-0000991E0000}"/>
    <cellStyle name="Normal 11 17 8" xfId="7107" xr:uid="{00000000-0005-0000-0000-00009A1E0000}"/>
    <cellStyle name="Normal 11 17 9" xfId="7108" xr:uid="{00000000-0005-0000-0000-00009B1E0000}"/>
    <cellStyle name="Normal 11 18" xfId="7109" xr:uid="{00000000-0005-0000-0000-00009C1E0000}"/>
    <cellStyle name="Normal 11 18 10" xfId="7110" xr:uid="{00000000-0005-0000-0000-00009D1E0000}"/>
    <cellStyle name="Normal 11 18 11" xfId="7111" xr:uid="{00000000-0005-0000-0000-00009E1E0000}"/>
    <cellStyle name="Normal 11 18 12" xfId="7112" xr:uid="{00000000-0005-0000-0000-00009F1E0000}"/>
    <cellStyle name="Normal 11 18 13" xfId="7113" xr:uid="{00000000-0005-0000-0000-0000A01E0000}"/>
    <cellStyle name="Normal 11 18 14" xfId="7114" xr:uid="{00000000-0005-0000-0000-0000A11E0000}"/>
    <cellStyle name="Normal 11 18 15" xfId="7115" xr:uid="{00000000-0005-0000-0000-0000A21E0000}"/>
    <cellStyle name="Normal 11 18 16" xfId="7116" xr:uid="{00000000-0005-0000-0000-0000A31E0000}"/>
    <cellStyle name="Normal 11 18 17" xfId="7117" xr:uid="{00000000-0005-0000-0000-0000A41E0000}"/>
    <cellStyle name="Normal 11 18 18" xfId="7118" xr:uid="{00000000-0005-0000-0000-0000A51E0000}"/>
    <cellStyle name="Normal 11 18 19" xfId="7119" xr:uid="{00000000-0005-0000-0000-0000A61E0000}"/>
    <cellStyle name="Normal 11 18 2" xfId="7120" xr:uid="{00000000-0005-0000-0000-0000A71E0000}"/>
    <cellStyle name="Normal 11 18 2 2" xfId="7121" xr:uid="{00000000-0005-0000-0000-0000A81E0000}"/>
    <cellStyle name="Normal 11 18 2 3" xfId="7122" xr:uid="{00000000-0005-0000-0000-0000A91E0000}"/>
    <cellStyle name="Normal 11 18 2 4" xfId="7123" xr:uid="{00000000-0005-0000-0000-0000AA1E0000}"/>
    <cellStyle name="Normal 11 18 20" xfId="7124" xr:uid="{00000000-0005-0000-0000-0000AB1E0000}"/>
    <cellStyle name="Normal 11 18 21" xfId="7125" xr:uid="{00000000-0005-0000-0000-0000AC1E0000}"/>
    <cellStyle name="Normal 11 18 22" xfId="7126" xr:uid="{00000000-0005-0000-0000-0000AD1E0000}"/>
    <cellStyle name="Normal 11 18 23" xfId="7127" xr:uid="{00000000-0005-0000-0000-0000AE1E0000}"/>
    <cellStyle name="Normal 11 18 24" xfId="7128" xr:uid="{00000000-0005-0000-0000-0000AF1E0000}"/>
    <cellStyle name="Normal 11 18 25" xfId="7129" xr:uid="{00000000-0005-0000-0000-0000B01E0000}"/>
    <cellStyle name="Normal 11 18 26" xfId="7130" xr:uid="{00000000-0005-0000-0000-0000B11E0000}"/>
    <cellStyle name="Normal 11 18 27" xfId="7131" xr:uid="{00000000-0005-0000-0000-0000B21E0000}"/>
    <cellStyle name="Normal 11 18 28" xfId="7132" xr:uid="{00000000-0005-0000-0000-0000B31E0000}"/>
    <cellStyle name="Normal 11 18 29" xfId="7133" xr:uid="{00000000-0005-0000-0000-0000B41E0000}"/>
    <cellStyle name="Normal 11 18 3" xfId="7134" xr:uid="{00000000-0005-0000-0000-0000B51E0000}"/>
    <cellStyle name="Normal 11 18 3 2" xfId="7135" xr:uid="{00000000-0005-0000-0000-0000B61E0000}"/>
    <cellStyle name="Normal 11 18 3 3" xfId="7136" xr:uid="{00000000-0005-0000-0000-0000B71E0000}"/>
    <cellStyle name="Normal 11 18 3 4" xfId="7137" xr:uid="{00000000-0005-0000-0000-0000B81E0000}"/>
    <cellStyle name="Normal 11 18 30" xfId="7138" xr:uid="{00000000-0005-0000-0000-0000B91E0000}"/>
    <cellStyle name="Normal 11 18 31" xfId="7139" xr:uid="{00000000-0005-0000-0000-0000BA1E0000}"/>
    <cellStyle name="Normal 11 18 32" xfId="7140" xr:uid="{00000000-0005-0000-0000-0000BB1E0000}"/>
    <cellStyle name="Normal 11 18 33" xfId="7141" xr:uid="{00000000-0005-0000-0000-0000BC1E0000}"/>
    <cellStyle name="Normal 11 18 34" xfId="7142" xr:uid="{00000000-0005-0000-0000-0000BD1E0000}"/>
    <cellStyle name="Normal 11 18 35" xfId="7143" xr:uid="{00000000-0005-0000-0000-0000BE1E0000}"/>
    <cellStyle name="Normal 11 18 36" xfId="7144" xr:uid="{00000000-0005-0000-0000-0000BF1E0000}"/>
    <cellStyle name="Normal 11 18 37" xfId="7145" xr:uid="{00000000-0005-0000-0000-0000C01E0000}"/>
    <cellStyle name="Normal 11 18 38" xfId="7146" xr:uid="{00000000-0005-0000-0000-0000C11E0000}"/>
    <cellStyle name="Normal 11 18 39" xfId="7147" xr:uid="{00000000-0005-0000-0000-0000C21E0000}"/>
    <cellStyle name="Normal 11 18 4" xfId="7148" xr:uid="{00000000-0005-0000-0000-0000C31E0000}"/>
    <cellStyle name="Normal 11 18 40" xfId="7149" xr:uid="{00000000-0005-0000-0000-0000C41E0000}"/>
    <cellStyle name="Normal 11 18 41" xfId="7150" xr:uid="{00000000-0005-0000-0000-0000C51E0000}"/>
    <cellStyle name="Normal 11 18 42" xfId="7151" xr:uid="{00000000-0005-0000-0000-0000C61E0000}"/>
    <cellStyle name="Normal 11 18 43" xfId="7152" xr:uid="{00000000-0005-0000-0000-0000C71E0000}"/>
    <cellStyle name="Normal 11 18 44" xfId="7153" xr:uid="{00000000-0005-0000-0000-0000C81E0000}"/>
    <cellStyle name="Normal 11 18 45" xfId="7154" xr:uid="{00000000-0005-0000-0000-0000C91E0000}"/>
    <cellStyle name="Normal 11 18 5" xfId="7155" xr:uid="{00000000-0005-0000-0000-0000CA1E0000}"/>
    <cellStyle name="Normal 11 18 6" xfId="7156" xr:uid="{00000000-0005-0000-0000-0000CB1E0000}"/>
    <cellStyle name="Normal 11 18 7" xfId="7157" xr:uid="{00000000-0005-0000-0000-0000CC1E0000}"/>
    <cellStyle name="Normal 11 18 8" xfId="7158" xr:uid="{00000000-0005-0000-0000-0000CD1E0000}"/>
    <cellStyle name="Normal 11 18 9" xfId="7159" xr:uid="{00000000-0005-0000-0000-0000CE1E0000}"/>
    <cellStyle name="Normal 11 19" xfId="7160" xr:uid="{00000000-0005-0000-0000-0000CF1E0000}"/>
    <cellStyle name="Normal 11 19 10" xfId="7161" xr:uid="{00000000-0005-0000-0000-0000D01E0000}"/>
    <cellStyle name="Normal 11 19 11" xfId="7162" xr:uid="{00000000-0005-0000-0000-0000D11E0000}"/>
    <cellStyle name="Normal 11 19 12" xfId="7163" xr:uid="{00000000-0005-0000-0000-0000D21E0000}"/>
    <cellStyle name="Normal 11 19 13" xfId="7164" xr:uid="{00000000-0005-0000-0000-0000D31E0000}"/>
    <cellStyle name="Normal 11 19 14" xfId="7165" xr:uid="{00000000-0005-0000-0000-0000D41E0000}"/>
    <cellStyle name="Normal 11 19 15" xfId="7166" xr:uid="{00000000-0005-0000-0000-0000D51E0000}"/>
    <cellStyle name="Normal 11 19 16" xfId="7167" xr:uid="{00000000-0005-0000-0000-0000D61E0000}"/>
    <cellStyle name="Normal 11 19 17" xfId="7168" xr:uid="{00000000-0005-0000-0000-0000D71E0000}"/>
    <cellStyle name="Normal 11 19 18" xfId="7169" xr:uid="{00000000-0005-0000-0000-0000D81E0000}"/>
    <cellStyle name="Normal 11 19 19" xfId="7170" xr:uid="{00000000-0005-0000-0000-0000D91E0000}"/>
    <cellStyle name="Normal 11 19 2" xfId="7171" xr:uid="{00000000-0005-0000-0000-0000DA1E0000}"/>
    <cellStyle name="Normal 11 19 2 2" xfId="7172" xr:uid="{00000000-0005-0000-0000-0000DB1E0000}"/>
    <cellStyle name="Normal 11 19 2 3" xfId="7173" xr:uid="{00000000-0005-0000-0000-0000DC1E0000}"/>
    <cellStyle name="Normal 11 19 2 4" xfId="7174" xr:uid="{00000000-0005-0000-0000-0000DD1E0000}"/>
    <cellStyle name="Normal 11 19 20" xfId="7175" xr:uid="{00000000-0005-0000-0000-0000DE1E0000}"/>
    <cellStyle name="Normal 11 19 21" xfId="7176" xr:uid="{00000000-0005-0000-0000-0000DF1E0000}"/>
    <cellStyle name="Normal 11 19 22" xfId="7177" xr:uid="{00000000-0005-0000-0000-0000E01E0000}"/>
    <cellStyle name="Normal 11 19 23" xfId="7178" xr:uid="{00000000-0005-0000-0000-0000E11E0000}"/>
    <cellStyle name="Normal 11 19 24" xfId="7179" xr:uid="{00000000-0005-0000-0000-0000E21E0000}"/>
    <cellStyle name="Normal 11 19 25" xfId="7180" xr:uid="{00000000-0005-0000-0000-0000E31E0000}"/>
    <cellStyle name="Normal 11 19 26" xfId="7181" xr:uid="{00000000-0005-0000-0000-0000E41E0000}"/>
    <cellStyle name="Normal 11 19 27" xfId="7182" xr:uid="{00000000-0005-0000-0000-0000E51E0000}"/>
    <cellStyle name="Normal 11 19 28" xfId="7183" xr:uid="{00000000-0005-0000-0000-0000E61E0000}"/>
    <cellStyle name="Normal 11 19 29" xfId="7184" xr:uid="{00000000-0005-0000-0000-0000E71E0000}"/>
    <cellStyle name="Normal 11 19 3" xfId="7185" xr:uid="{00000000-0005-0000-0000-0000E81E0000}"/>
    <cellStyle name="Normal 11 19 3 2" xfId="7186" xr:uid="{00000000-0005-0000-0000-0000E91E0000}"/>
    <cellStyle name="Normal 11 19 3 3" xfId="7187" xr:uid="{00000000-0005-0000-0000-0000EA1E0000}"/>
    <cellStyle name="Normal 11 19 3 4" xfId="7188" xr:uid="{00000000-0005-0000-0000-0000EB1E0000}"/>
    <cellStyle name="Normal 11 19 30" xfId="7189" xr:uid="{00000000-0005-0000-0000-0000EC1E0000}"/>
    <cellStyle name="Normal 11 19 31" xfId="7190" xr:uid="{00000000-0005-0000-0000-0000ED1E0000}"/>
    <cellStyle name="Normal 11 19 32" xfId="7191" xr:uid="{00000000-0005-0000-0000-0000EE1E0000}"/>
    <cellStyle name="Normal 11 19 33" xfId="7192" xr:uid="{00000000-0005-0000-0000-0000EF1E0000}"/>
    <cellStyle name="Normal 11 19 34" xfId="7193" xr:uid="{00000000-0005-0000-0000-0000F01E0000}"/>
    <cellStyle name="Normal 11 19 35" xfId="7194" xr:uid="{00000000-0005-0000-0000-0000F11E0000}"/>
    <cellStyle name="Normal 11 19 36" xfId="7195" xr:uid="{00000000-0005-0000-0000-0000F21E0000}"/>
    <cellStyle name="Normal 11 19 37" xfId="7196" xr:uid="{00000000-0005-0000-0000-0000F31E0000}"/>
    <cellStyle name="Normal 11 19 38" xfId="7197" xr:uid="{00000000-0005-0000-0000-0000F41E0000}"/>
    <cellStyle name="Normal 11 19 39" xfId="7198" xr:uid="{00000000-0005-0000-0000-0000F51E0000}"/>
    <cellStyle name="Normal 11 19 4" xfId="7199" xr:uid="{00000000-0005-0000-0000-0000F61E0000}"/>
    <cellStyle name="Normal 11 19 40" xfId="7200" xr:uid="{00000000-0005-0000-0000-0000F71E0000}"/>
    <cellStyle name="Normal 11 19 41" xfId="7201" xr:uid="{00000000-0005-0000-0000-0000F81E0000}"/>
    <cellStyle name="Normal 11 19 42" xfId="7202" xr:uid="{00000000-0005-0000-0000-0000F91E0000}"/>
    <cellStyle name="Normal 11 19 43" xfId="7203" xr:uid="{00000000-0005-0000-0000-0000FA1E0000}"/>
    <cellStyle name="Normal 11 19 44" xfId="7204" xr:uid="{00000000-0005-0000-0000-0000FB1E0000}"/>
    <cellStyle name="Normal 11 19 45" xfId="7205" xr:uid="{00000000-0005-0000-0000-0000FC1E0000}"/>
    <cellStyle name="Normal 11 19 5" xfId="7206" xr:uid="{00000000-0005-0000-0000-0000FD1E0000}"/>
    <cellStyle name="Normal 11 19 6" xfId="7207" xr:uid="{00000000-0005-0000-0000-0000FE1E0000}"/>
    <cellStyle name="Normal 11 19 7" xfId="7208" xr:uid="{00000000-0005-0000-0000-0000FF1E0000}"/>
    <cellStyle name="Normal 11 19 8" xfId="7209" xr:uid="{00000000-0005-0000-0000-0000001F0000}"/>
    <cellStyle name="Normal 11 19 9" xfId="7210" xr:uid="{00000000-0005-0000-0000-0000011F0000}"/>
    <cellStyle name="Normal 11 2" xfId="7211" xr:uid="{00000000-0005-0000-0000-0000021F0000}"/>
    <cellStyle name="Normal 11 2 10" xfId="7212" xr:uid="{00000000-0005-0000-0000-0000031F0000}"/>
    <cellStyle name="Normal 11 2 10 2" xfId="7213" xr:uid="{00000000-0005-0000-0000-0000041F0000}"/>
    <cellStyle name="Normal 11 2 10 2 2" xfId="7214" xr:uid="{00000000-0005-0000-0000-0000051F0000}"/>
    <cellStyle name="Normal 11 2 10 2 3" xfId="7215" xr:uid="{00000000-0005-0000-0000-0000061F0000}"/>
    <cellStyle name="Normal 11 2 10 2 4" xfId="7216" xr:uid="{00000000-0005-0000-0000-0000071F0000}"/>
    <cellStyle name="Normal 11 2 10 3" xfId="7217" xr:uid="{00000000-0005-0000-0000-0000081F0000}"/>
    <cellStyle name="Normal 11 2 10 3 2" xfId="7218" xr:uid="{00000000-0005-0000-0000-0000091F0000}"/>
    <cellStyle name="Normal 11 2 10 3 3" xfId="7219" xr:uid="{00000000-0005-0000-0000-00000A1F0000}"/>
    <cellStyle name="Normal 11 2 10 3 4" xfId="7220" xr:uid="{00000000-0005-0000-0000-00000B1F0000}"/>
    <cellStyle name="Normal 11 2 10 4" xfId="7221" xr:uid="{00000000-0005-0000-0000-00000C1F0000}"/>
    <cellStyle name="Normal 11 2 10 5" xfId="7222" xr:uid="{00000000-0005-0000-0000-00000D1F0000}"/>
    <cellStyle name="Normal 11 2 10 6" xfId="7223" xr:uid="{00000000-0005-0000-0000-00000E1F0000}"/>
    <cellStyle name="Normal 11 2 11" xfId="7224" xr:uid="{00000000-0005-0000-0000-00000F1F0000}"/>
    <cellStyle name="Normal 11 2 11 2" xfId="7225" xr:uid="{00000000-0005-0000-0000-0000101F0000}"/>
    <cellStyle name="Normal 11 2 11 2 2" xfId="7226" xr:uid="{00000000-0005-0000-0000-0000111F0000}"/>
    <cellStyle name="Normal 11 2 11 2 3" xfId="7227" xr:uid="{00000000-0005-0000-0000-0000121F0000}"/>
    <cellStyle name="Normal 11 2 11 2 4" xfId="7228" xr:uid="{00000000-0005-0000-0000-0000131F0000}"/>
    <cellStyle name="Normal 11 2 11 3" xfId="7229" xr:uid="{00000000-0005-0000-0000-0000141F0000}"/>
    <cellStyle name="Normal 11 2 11 3 2" xfId="7230" xr:uid="{00000000-0005-0000-0000-0000151F0000}"/>
    <cellStyle name="Normal 11 2 11 3 3" xfId="7231" xr:uid="{00000000-0005-0000-0000-0000161F0000}"/>
    <cellStyle name="Normal 11 2 11 3 4" xfId="7232" xr:uid="{00000000-0005-0000-0000-0000171F0000}"/>
    <cellStyle name="Normal 11 2 11 4" xfId="7233" xr:uid="{00000000-0005-0000-0000-0000181F0000}"/>
    <cellStyle name="Normal 11 2 11 5" xfId="7234" xr:uid="{00000000-0005-0000-0000-0000191F0000}"/>
    <cellStyle name="Normal 11 2 11 6" xfId="7235" xr:uid="{00000000-0005-0000-0000-00001A1F0000}"/>
    <cellStyle name="Normal 11 2 12" xfId="7236" xr:uid="{00000000-0005-0000-0000-00001B1F0000}"/>
    <cellStyle name="Normal 11 2 12 2" xfId="7237" xr:uid="{00000000-0005-0000-0000-00001C1F0000}"/>
    <cellStyle name="Normal 11 2 12 2 2" xfId="7238" xr:uid="{00000000-0005-0000-0000-00001D1F0000}"/>
    <cellStyle name="Normal 11 2 12 2 3" xfId="7239" xr:uid="{00000000-0005-0000-0000-00001E1F0000}"/>
    <cellStyle name="Normal 11 2 12 2 4" xfId="7240" xr:uid="{00000000-0005-0000-0000-00001F1F0000}"/>
    <cellStyle name="Normal 11 2 12 3" xfId="7241" xr:uid="{00000000-0005-0000-0000-0000201F0000}"/>
    <cellStyle name="Normal 11 2 12 3 2" xfId="7242" xr:uid="{00000000-0005-0000-0000-0000211F0000}"/>
    <cellStyle name="Normal 11 2 12 3 3" xfId="7243" xr:uid="{00000000-0005-0000-0000-0000221F0000}"/>
    <cellStyle name="Normal 11 2 12 3 4" xfId="7244" xr:uid="{00000000-0005-0000-0000-0000231F0000}"/>
    <cellStyle name="Normal 11 2 12 4" xfId="7245" xr:uid="{00000000-0005-0000-0000-0000241F0000}"/>
    <cellStyle name="Normal 11 2 12 5" xfId="7246" xr:uid="{00000000-0005-0000-0000-0000251F0000}"/>
    <cellStyle name="Normal 11 2 12 6" xfId="7247" xr:uid="{00000000-0005-0000-0000-0000261F0000}"/>
    <cellStyle name="Normal 11 2 13" xfId="7248" xr:uid="{00000000-0005-0000-0000-0000271F0000}"/>
    <cellStyle name="Normal 11 2 13 2" xfId="7249" xr:uid="{00000000-0005-0000-0000-0000281F0000}"/>
    <cellStyle name="Normal 11 2 13 2 2" xfId="7250" xr:uid="{00000000-0005-0000-0000-0000291F0000}"/>
    <cellStyle name="Normal 11 2 13 2 3" xfId="7251" xr:uid="{00000000-0005-0000-0000-00002A1F0000}"/>
    <cellStyle name="Normal 11 2 13 2 4" xfId="7252" xr:uid="{00000000-0005-0000-0000-00002B1F0000}"/>
    <cellStyle name="Normal 11 2 13 3" xfId="7253" xr:uid="{00000000-0005-0000-0000-00002C1F0000}"/>
    <cellStyle name="Normal 11 2 13 3 2" xfId="7254" xr:uid="{00000000-0005-0000-0000-00002D1F0000}"/>
    <cellStyle name="Normal 11 2 13 3 3" xfId="7255" xr:uid="{00000000-0005-0000-0000-00002E1F0000}"/>
    <cellStyle name="Normal 11 2 13 3 4" xfId="7256" xr:uid="{00000000-0005-0000-0000-00002F1F0000}"/>
    <cellStyle name="Normal 11 2 13 4" xfId="7257" xr:uid="{00000000-0005-0000-0000-0000301F0000}"/>
    <cellStyle name="Normal 11 2 13 5" xfId="7258" xr:uid="{00000000-0005-0000-0000-0000311F0000}"/>
    <cellStyle name="Normal 11 2 13 6" xfId="7259" xr:uid="{00000000-0005-0000-0000-0000321F0000}"/>
    <cellStyle name="Normal 11 2 14" xfId="7260" xr:uid="{00000000-0005-0000-0000-0000331F0000}"/>
    <cellStyle name="Normal 11 2 14 2" xfId="7261" xr:uid="{00000000-0005-0000-0000-0000341F0000}"/>
    <cellStyle name="Normal 11 2 14 2 2" xfId="7262" xr:uid="{00000000-0005-0000-0000-0000351F0000}"/>
    <cellStyle name="Normal 11 2 14 2 3" xfId="7263" xr:uid="{00000000-0005-0000-0000-0000361F0000}"/>
    <cellStyle name="Normal 11 2 14 2 4" xfId="7264" xr:uid="{00000000-0005-0000-0000-0000371F0000}"/>
    <cellStyle name="Normal 11 2 14 3" xfId="7265" xr:uid="{00000000-0005-0000-0000-0000381F0000}"/>
    <cellStyle name="Normal 11 2 14 3 2" xfId="7266" xr:uid="{00000000-0005-0000-0000-0000391F0000}"/>
    <cellStyle name="Normal 11 2 14 3 3" xfId="7267" xr:uid="{00000000-0005-0000-0000-00003A1F0000}"/>
    <cellStyle name="Normal 11 2 14 3 4" xfId="7268" xr:uid="{00000000-0005-0000-0000-00003B1F0000}"/>
    <cellStyle name="Normal 11 2 14 4" xfId="7269" xr:uid="{00000000-0005-0000-0000-00003C1F0000}"/>
    <cellStyle name="Normal 11 2 14 5" xfId="7270" xr:uid="{00000000-0005-0000-0000-00003D1F0000}"/>
    <cellStyle name="Normal 11 2 14 6" xfId="7271" xr:uid="{00000000-0005-0000-0000-00003E1F0000}"/>
    <cellStyle name="Normal 11 2 15" xfId="7272" xr:uid="{00000000-0005-0000-0000-00003F1F0000}"/>
    <cellStyle name="Normal 11 2 15 2" xfId="7273" xr:uid="{00000000-0005-0000-0000-0000401F0000}"/>
    <cellStyle name="Normal 11 2 15 2 2" xfId="7274" xr:uid="{00000000-0005-0000-0000-0000411F0000}"/>
    <cellStyle name="Normal 11 2 15 2 3" xfId="7275" xr:uid="{00000000-0005-0000-0000-0000421F0000}"/>
    <cellStyle name="Normal 11 2 15 2 4" xfId="7276" xr:uid="{00000000-0005-0000-0000-0000431F0000}"/>
    <cellStyle name="Normal 11 2 15 3" xfId="7277" xr:uid="{00000000-0005-0000-0000-0000441F0000}"/>
    <cellStyle name="Normal 11 2 15 3 2" xfId="7278" xr:uid="{00000000-0005-0000-0000-0000451F0000}"/>
    <cellStyle name="Normal 11 2 15 3 3" xfId="7279" xr:uid="{00000000-0005-0000-0000-0000461F0000}"/>
    <cellStyle name="Normal 11 2 15 3 4" xfId="7280" xr:uid="{00000000-0005-0000-0000-0000471F0000}"/>
    <cellStyle name="Normal 11 2 15 4" xfId="7281" xr:uid="{00000000-0005-0000-0000-0000481F0000}"/>
    <cellStyle name="Normal 11 2 15 5" xfId="7282" xr:uid="{00000000-0005-0000-0000-0000491F0000}"/>
    <cellStyle name="Normal 11 2 15 6" xfId="7283" xr:uid="{00000000-0005-0000-0000-00004A1F0000}"/>
    <cellStyle name="Normal 11 2 16" xfId="7284" xr:uid="{00000000-0005-0000-0000-00004B1F0000}"/>
    <cellStyle name="Normal 11 2 16 2" xfId="7285" xr:uid="{00000000-0005-0000-0000-00004C1F0000}"/>
    <cellStyle name="Normal 11 2 16 2 2" xfId="7286" xr:uid="{00000000-0005-0000-0000-00004D1F0000}"/>
    <cellStyle name="Normal 11 2 16 2 3" xfId="7287" xr:uid="{00000000-0005-0000-0000-00004E1F0000}"/>
    <cellStyle name="Normal 11 2 16 2 4" xfId="7288" xr:uid="{00000000-0005-0000-0000-00004F1F0000}"/>
    <cellStyle name="Normal 11 2 16 3" xfId="7289" xr:uid="{00000000-0005-0000-0000-0000501F0000}"/>
    <cellStyle name="Normal 11 2 16 3 2" xfId="7290" xr:uid="{00000000-0005-0000-0000-0000511F0000}"/>
    <cellStyle name="Normal 11 2 16 3 3" xfId="7291" xr:uid="{00000000-0005-0000-0000-0000521F0000}"/>
    <cellStyle name="Normal 11 2 16 3 4" xfId="7292" xr:uid="{00000000-0005-0000-0000-0000531F0000}"/>
    <cellStyle name="Normal 11 2 16 4" xfId="7293" xr:uid="{00000000-0005-0000-0000-0000541F0000}"/>
    <cellStyle name="Normal 11 2 16 5" xfId="7294" xr:uid="{00000000-0005-0000-0000-0000551F0000}"/>
    <cellStyle name="Normal 11 2 16 6" xfId="7295" xr:uid="{00000000-0005-0000-0000-0000561F0000}"/>
    <cellStyle name="Normal 11 2 17" xfId="7296" xr:uid="{00000000-0005-0000-0000-0000571F0000}"/>
    <cellStyle name="Normal 11 2 17 2" xfId="7297" xr:uid="{00000000-0005-0000-0000-0000581F0000}"/>
    <cellStyle name="Normal 11 2 17 2 2" xfId="7298" xr:uid="{00000000-0005-0000-0000-0000591F0000}"/>
    <cellStyle name="Normal 11 2 17 2 3" xfId="7299" xr:uid="{00000000-0005-0000-0000-00005A1F0000}"/>
    <cellStyle name="Normal 11 2 17 2 4" xfId="7300" xr:uid="{00000000-0005-0000-0000-00005B1F0000}"/>
    <cellStyle name="Normal 11 2 17 3" xfId="7301" xr:uid="{00000000-0005-0000-0000-00005C1F0000}"/>
    <cellStyle name="Normal 11 2 17 3 2" xfId="7302" xr:uid="{00000000-0005-0000-0000-00005D1F0000}"/>
    <cellStyle name="Normal 11 2 17 3 3" xfId="7303" xr:uid="{00000000-0005-0000-0000-00005E1F0000}"/>
    <cellStyle name="Normal 11 2 17 3 4" xfId="7304" xr:uid="{00000000-0005-0000-0000-00005F1F0000}"/>
    <cellStyle name="Normal 11 2 17 4" xfId="7305" xr:uid="{00000000-0005-0000-0000-0000601F0000}"/>
    <cellStyle name="Normal 11 2 17 5" xfId="7306" xr:uid="{00000000-0005-0000-0000-0000611F0000}"/>
    <cellStyle name="Normal 11 2 17 6" xfId="7307" xr:uid="{00000000-0005-0000-0000-0000621F0000}"/>
    <cellStyle name="Normal 11 2 18" xfId="7308" xr:uid="{00000000-0005-0000-0000-0000631F0000}"/>
    <cellStyle name="Normal 11 2 18 2" xfId="7309" xr:uid="{00000000-0005-0000-0000-0000641F0000}"/>
    <cellStyle name="Normal 11 2 18 3" xfId="7310" xr:uid="{00000000-0005-0000-0000-0000651F0000}"/>
    <cellStyle name="Normal 11 2 18 4" xfId="7311" xr:uid="{00000000-0005-0000-0000-0000661F0000}"/>
    <cellStyle name="Normal 11 2 19" xfId="7312" xr:uid="{00000000-0005-0000-0000-0000671F0000}"/>
    <cellStyle name="Normal 11 2 19 2" xfId="7313" xr:uid="{00000000-0005-0000-0000-0000681F0000}"/>
    <cellStyle name="Normal 11 2 19 3" xfId="7314" xr:uid="{00000000-0005-0000-0000-0000691F0000}"/>
    <cellStyle name="Normal 11 2 19 4" xfId="7315" xr:uid="{00000000-0005-0000-0000-00006A1F0000}"/>
    <cellStyle name="Normal 11 2 2" xfId="7316" xr:uid="{00000000-0005-0000-0000-00006B1F0000}"/>
    <cellStyle name="Normal 11 2 2 2" xfId="7317" xr:uid="{00000000-0005-0000-0000-00006C1F0000}"/>
    <cellStyle name="Normal 11 2 2 2 2" xfId="7318" xr:uid="{00000000-0005-0000-0000-00006D1F0000}"/>
    <cellStyle name="Normal 11 2 2 2 3" xfId="7319" xr:uid="{00000000-0005-0000-0000-00006E1F0000}"/>
    <cellStyle name="Normal 11 2 2 2 4" xfId="7320" xr:uid="{00000000-0005-0000-0000-00006F1F0000}"/>
    <cellStyle name="Normal 11 2 2 3" xfId="7321" xr:uid="{00000000-0005-0000-0000-0000701F0000}"/>
    <cellStyle name="Normal 11 2 2 3 2" xfId="7322" xr:uid="{00000000-0005-0000-0000-0000711F0000}"/>
    <cellStyle name="Normal 11 2 2 3 3" xfId="7323" xr:uid="{00000000-0005-0000-0000-0000721F0000}"/>
    <cellStyle name="Normal 11 2 2 3 4" xfId="7324" xr:uid="{00000000-0005-0000-0000-0000731F0000}"/>
    <cellStyle name="Normal 11 2 2 4" xfId="7325" xr:uid="{00000000-0005-0000-0000-0000741F0000}"/>
    <cellStyle name="Normal 11 2 2 5" xfId="7326" xr:uid="{00000000-0005-0000-0000-0000751F0000}"/>
    <cellStyle name="Normal 11 2 2 6" xfId="7327" xr:uid="{00000000-0005-0000-0000-0000761F0000}"/>
    <cellStyle name="Normal 11 2 20" xfId="7328" xr:uid="{00000000-0005-0000-0000-0000771F0000}"/>
    <cellStyle name="Normal 11 2 20 2" xfId="7329" xr:uid="{00000000-0005-0000-0000-0000781F0000}"/>
    <cellStyle name="Normal 11 2 20 3" xfId="7330" xr:uid="{00000000-0005-0000-0000-0000791F0000}"/>
    <cellStyle name="Normal 11 2 20 4" xfId="7331" xr:uid="{00000000-0005-0000-0000-00007A1F0000}"/>
    <cellStyle name="Normal 11 2 21" xfId="7332" xr:uid="{00000000-0005-0000-0000-00007B1F0000}"/>
    <cellStyle name="Normal 11 2 22" xfId="7333" xr:uid="{00000000-0005-0000-0000-00007C1F0000}"/>
    <cellStyle name="Normal 11 2 23" xfId="7334" xr:uid="{00000000-0005-0000-0000-00007D1F0000}"/>
    <cellStyle name="Normal 11 2 24" xfId="7335" xr:uid="{00000000-0005-0000-0000-00007E1F0000}"/>
    <cellStyle name="Normal 11 2 25" xfId="7336" xr:uid="{00000000-0005-0000-0000-00007F1F0000}"/>
    <cellStyle name="Normal 11 2 26" xfId="7337" xr:uid="{00000000-0005-0000-0000-0000801F0000}"/>
    <cellStyle name="Normal 11 2 27" xfId="7338" xr:uid="{00000000-0005-0000-0000-0000811F0000}"/>
    <cellStyle name="Normal 11 2 28" xfId="7339" xr:uid="{00000000-0005-0000-0000-0000821F0000}"/>
    <cellStyle name="Normal 11 2 29" xfId="7340" xr:uid="{00000000-0005-0000-0000-0000831F0000}"/>
    <cellStyle name="Normal 11 2 3" xfId="7341" xr:uid="{00000000-0005-0000-0000-0000841F0000}"/>
    <cellStyle name="Normal 11 2 3 2" xfId="7342" xr:uid="{00000000-0005-0000-0000-0000851F0000}"/>
    <cellStyle name="Normal 11 2 3 2 2" xfId="7343" xr:uid="{00000000-0005-0000-0000-0000861F0000}"/>
    <cellStyle name="Normal 11 2 3 2 3" xfId="7344" xr:uid="{00000000-0005-0000-0000-0000871F0000}"/>
    <cellStyle name="Normal 11 2 3 2 4" xfId="7345" xr:uid="{00000000-0005-0000-0000-0000881F0000}"/>
    <cellStyle name="Normal 11 2 3 3" xfId="7346" xr:uid="{00000000-0005-0000-0000-0000891F0000}"/>
    <cellStyle name="Normal 11 2 3 3 2" xfId="7347" xr:uid="{00000000-0005-0000-0000-00008A1F0000}"/>
    <cellStyle name="Normal 11 2 3 3 3" xfId="7348" xr:uid="{00000000-0005-0000-0000-00008B1F0000}"/>
    <cellStyle name="Normal 11 2 3 3 4" xfId="7349" xr:uid="{00000000-0005-0000-0000-00008C1F0000}"/>
    <cellStyle name="Normal 11 2 3 4" xfId="7350" xr:uid="{00000000-0005-0000-0000-00008D1F0000}"/>
    <cellStyle name="Normal 11 2 3 5" xfId="7351" xr:uid="{00000000-0005-0000-0000-00008E1F0000}"/>
    <cellStyle name="Normal 11 2 3 6" xfId="7352" xr:uid="{00000000-0005-0000-0000-00008F1F0000}"/>
    <cellStyle name="Normal 11 2 30" xfId="7353" xr:uid="{00000000-0005-0000-0000-0000901F0000}"/>
    <cellStyle name="Normal 11 2 31" xfId="7354" xr:uid="{00000000-0005-0000-0000-0000911F0000}"/>
    <cellStyle name="Normal 11 2 32" xfId="7355" xr:uid="{00000000-0005-0000-0000-0000921F0000}"/>
    <cellStyle name="Normal 11 2 33" xfId="7356" xr:uid="{00000000-0005-0000-0000-0000931F0000}"/>
    <cellStyle name="Normal 11 2 34" xfId="7357" xr:uid="{00000000-0005-0000-0000-0000941F0000}"/>
    <cellStyle name="Normal 11 2 35" xfId="7358" xr:uid="{00000000-0005-0000-0000-0000951F0000}"/>
    <cellStyle name="Normal 11 2 36" xfId="7359" xr:uid="{00000000-0005-0000-0000-0000961F0000}"/>
    <cellStyle name="Normal 11 2 37" xfId="7360" xr:uid="{00000000-0005-0000-0000-0000971F0000}"/>
    <cellStyle name="Normal 11 2 38" xfId="7361" xr:uid="{00000000-0005-0000-0000-0000981F0000}"/>
    <cellStyle name="Normal 11 2 39" xfId="7362" xr:uid="{00000000-0005-0000-0000-0000991F0000}"/>
    <cellStyle name="Normal 11 2 4" xfId="7363" xr:uid="{00000000-0005-0000-0000-00009A1F0000}"/>
    <cellStyle name="Normal 11 2 4 2" xfId="7364" xr:uid="{00000000-0005-0000-0000-00009B1F0000}"/>
    <cellStyle name="Normal 11 2 4 2 2" xfId="7365" xr:uid="{00000000-0005-0000-0000-00009C1F0000}"/>
    <cellStyle name="Normal 11 2 4 2 3" xfId="7366" xr:uid="{00000000-0005-0000-0000-00009D1F0000}"/>
    <cellStyle name="Normal 11 2 4 2 4" xfId="7367" xr:uid="{00000000-0005-0000-0000-00009E1F0000}"/>
    <cellStyle name="Normal 11 2 4 3" xfId="7368" xr:uid="{00000000-0005-0000-0000-00009F1F0000}"/>
    <cellStyle name="Normal 11 2 4 3 2" xfId="7369" xr:uid="{00000000-0005-0000-0000-0000A01F0000}"/>
    <cellStyle name="Normal 11 2 4 3 3" xfId="7370" xr:uid="{00000000-0005-0000-0000-0000A11F0000}"/>
    <cellStyle name="Normal 11 2 4 3 4" xfId="7371" xr:uid="{00000000-0005-0000-0000-0000A21F0000}"/>
    <cellStyle name="Normal 11 2 4 4" xfId="7372" xr:uid="{00000000-0005-0000-0000-0000A31F0000}"/>
    <cellStyle name="Normal 11 2 4 5" xfId="7373" xr:uid="{00000000-0005-0000-0000-0000A41F0000}"/>
    <cellStyle name="Normal 11 2 4 6" xfId="7374" xr:uid="{00000000-0005-0000-0000-0000A51F0000}"/>
    <cellStyle name="Normal 11 2 40" xfId="7375" xr:uid="{00000000-0005-0000-0000-0000A61F0000}"/>
    <cellStyle name="Normal 11 2 41" xfId="7376" xr:uid="{00000000-0005-0000-0000-0000A71F0000}"/>
    <cellStyle name="Normal 11 2 42" xfId="7377" xr:uid="{00000000-0005-0000-0000-0000A81F0000}"/>
    <cellStyle name="Normal 11 2 43" xfId="7378" xr:uid="{00000000-0005-0000-0000-0000A91F0000}"/>
    <cellStyle name="Normal 11 2 44" xfId="7379" xr:uid="{00000000-0005-0000-0000-0000AA1F0000}"/>
    <cellStyle name="Normal 11 2 45" xfId="7380" xr:uid="{00000000-0005-0000-0000-0000AB1F0000}"/>
    <cellStyle name="Normal 11 2 46" xfId="7381" xr:uid="{00000000-0005-0000-0000-0000AC1F0000}"/>
    <cellStyle name="Normal 11 2 47" xfId="7382" xr:uid="{00000000-0005-0000-0000-0000AD1F0000}"/>
    <cellStyle name="Normal 11 2 48" xfId="7383" xr:uid="{00000000-0005-0000-0000-0000AE1F0000}"/>
    <cellStyle name="Normal 11 2 49" xfId="7384" xr:uid="{00000000-0005-0000-0000-0000AF1F0000}"/>
    <cellStyle name="Normal 11 2 5" xfId="7385" xr:uid="{00000000-0005-0000-0000-0000B01F0000}"/>
    <cellStyle name="Normal 11 2 5 2" xfId="7386" xr:uid="{00000000-0005-0000-0000-0000B11F0000}"/>
    <cellStyle name="Normal 11 2 5 2 2" xfId="7387" xr:uid="{00000000-0005-0000-0000-0000B21F0000}"/>
    <cellStyle name="Normal 11 2 5 2 3" xfId="7388" xr:uid="{00000000-0005-0000-0000-0000B31F0000}"/>
    <cellStyle name="Normal 11 2 5 2 4" xfId="7389" xr:uid="{00000000-0005-0000-0000-0000B41F0000}"/>
    <cellStyle name="Normal 11 2 5 3" xfId="7390" xr:uid="{00000000-0005-0000-0000-0000B51F0000}"/>
    <cellStyle name="Normal 11 2 5 3 2" xfId="7391" xr:uid="{00000000-0005-0000-0000-0000B61F0000}"/>
    <cellStyle name="Normal 11 2 5 3 3" xfId="7392" xr:uid="{00000000-0005-0000-0000-0000B71F0000}"/>
    <cellStyle name="Normal 11 2 5 3 4" xfId="7393" xr:uid="{00000000-0005-0000-0000-0000B81F0000}"/>
    <cellStyle name="Normal 11 2 5 4" xfId="7394" xr:uid="{00000000-0005-0000-0000-0000B91F0000}"/>
    <cellStyle name="Normal 11 2 5 5" xfId="7395" xr:uid="{00000000-0005-0000-0000-0000BA1F0000}"/>
    <cellStyle name="Normal 11 2 5 6" xfId="7396" xr:uid="{00000000-0005-0000-0000-0000BB1F0000}"/>
    <cellStyle name="Normal 11 2 50" xfId="7397" xr:uid="{00000000-0005-0000-0000-0000BC1F0000}"/>
    <cellStyle name="Normal 11 2 51" xfId="7398" xr:uid="{00000000-0005-0000-0000-0000BD1F0000}"/>
    <cellStyle name="Normal 11 2 52" xfId="7399" xr:uid="{00000000-0005-0000-0000-0000BE1F0000}"/>
    <cellStyle name="Normal 11 2 53" xfId="7400" xr:uid="{00000000-0005-0000-0000-0000BF1F0000}"/>
    <cellStyle name="Normal 11 2 6" xfId="7401" xr:uid="{00000000-0005-0000-0000-0000C01F0000}"/>
    <cellStyle name="Normal 11 2 6 2" xfId="7402" xr:uid="{00000000-0005-0000-0000-0000C11F0000}"/>
    <cellStyle name="Normal 11 2 6 2 2" xfId="7403" xr:uid="{00000000-0005-0000-0000-0000C21F0000}"/>
    <cellStyle name="Normal 11 2 6 2 3" xfId="7404" xr:uid="{00000000-0005-0000-0000-0000C31F0000}"/>
    <cellStyle name="Normal 11 2 6 2 4" xfId="7405" xr:uid="{00000000-0005-0000-0000-0000C41F0000}"/>
    <cellStyle name="Normal 11 2 6 3" xfId="7406" xr:uid="{00000000-0005-0000-0000-0000C51F0000}"/>
    <cellStyle name="Normal 11 2 6 3 2" xfId="7407" xr:uid="{00000000-0005-0000-0000-0000C61F0000}"/>
    <cellStyle name="Normal 11 2 6 3 3" xfId="7408" xr:uid="{00000000-0005-0000-0000-0000C71F0000}"/>
    <cellStyle name="Normal 11 2 6 3 4" xfId="7409" xr:uid="{00000000-0005-0000-0000-0000C81F0000}"/>
    <cellStyle name="Normal 11 2 6 4" xfId="7410" xr:uid="{00000000-0005-0000-0000-0000C91F0000}"/>
    <cellStyle name="Normal 11 2 6 5" xfId="7411" xr:uid="{00000000-0005-0000-0000-0000CA1F0000}"/>
    <cellStyle name="Normal 11 2 6 6" xfId="7412" xr:uid="{00000000-0005-0000-0000-0000CB1F0000}"/>
    <cellStyle name="Normal 11 2 7" xfId="7413" xr:uid="{00000000-0005-0000-0000-0000CC1F0000}"/>
    <cellStyle name="Normal 11 2 7 2" xfId="7414" xr:uid="{00000000-0005-0000-0000-0000CD1F0000}"/>
    <cellStyle name="Normal 11 2 7 2 2" xfId="7415" xr:uid="{00000000-0005-0000-0000-0000CE1F0000}"/>
    <cellStyle name="Normal 11 2 7 2 3" xfId="7416" xr:uid="{00000000-0005-0000-0000-0000CF1F0000}"/>
    <cellStyle name="Normal 11 2 7 2 4" xfId="7417" xr:uid="{00000000-0005-0000-0000-0000D01F0000}"/>
    <cellStyle name="Normal 11 2 7 3" xfId="7418" xr:uid="{00000000-0005-0000-0000-0000D11F0000}"/>
    <cellStyle name="Normal 11 2 7 3 2" xfId="7419" xr:uid="{00000000-0005-0000-0000-0000D21F0000}"/>
    <cellStyle name="Normal 11 2 7 3 3" xfId="7420" xr:uid="{00000000-0005-0000-0000-0000D31F0000}"/>
    <cellStyle name="Normal 11 2 7 3 4" xfId="7421" xr:uid="{00000000-0005-0000-0000-0000D41F0000}"/>
    <cellStyle name="Normal 11 2 7 4" xfId="7422" xr:uid="{00000000-0005-0000-0000-0000D51F0000}"/>
    <cellStyle name="Normal 11 2 7 5" xfId="7423" xr:uid="{00000000-0005-0000-0000-0000D61F0000}"/>
    <cellStyle name="Normal 11 2 7 6" xfId="7424" xr:uid="{00000000-0005-0000-0000-0000D71F0000}"/>
    <cellStyle name="Normal 11 2 8" xfId="7425" xr:uid="{00000000-0005-0000-0000-0000D81F0000}"/>
    <cellStyle name="Normal 11 2 8 2" xfId="7426" xr:uid="{00000000-0005-0000-0000-0000D91F0000}"/>
    <cellStyle name="Normal 11 2 8 2 2" xfId="7427" xr:uid="{00000000-0005-0000-0000-0000DA1F0000}"/>
    <cellStyle name="Normal 11 2 8 2 3" xfId="7428" xr:uid="{00000000-0005-0000-0000-0000DB1F0000}"/>
    <cellStyle name="Normal 11 2 8 2 4" xfId="7429" xr:uid="{00000000-0005-0000-0000-0000DC1F0000}"/>
    <cellStyle name="Normal 11 2 8 3" xfId="7430" xr:uid="{00000000-0005-0000-0000-0000DD1F0000}"/>
    <cellStyle name="Normal 11 2 8 3 2" xfId="7431" xr:uid="{00000000-0005-0000-0000-0000DE1F0000}"/>
    <cellStyle name="Normal 11 2 8 3 3" xfId="7432" xr:uid="{00000000-0005-0000-0000-0000DF1F0000}"/>
    <cellStyle name="Normal 11 2 8 3 4" xfId="7433" xr:uid="{00000000-0005-0000-0000-0000E01F0000}"/>
    <cellStyle name="Normal 11 2 8 4" xfId="7434" xr:uid="{00000000-0005-0000-0000-0000E11F0000}"/>
    <cellStyle name="Normal 11 2 8 5" xfId="7435" xr:uid="{00000000-0005-0000-0000-0000E21F0000}"/>
    <cellStyle name="Normal 11 2 8 6" xfId="7436" xr:uid="{00000000-0005-0000-0000-0000E31F0000}"/>
    <cellStyle name="Normal 11 2 9" xfId="7437" xr:uid="{00000000-0005-0000-0000-0000E41F0000}"/>
    <cellStyle name="Normal 11 2 9 2" xfId="7438" xr:uid="{00000000-0005-0000-0000-0000E51F0000}"/>
    <cellStyle name="Normal 11 2 9 2 2" xfId="7439" xr:uid="{00000000-0005-0000-0000-0000E61F0000}"/>
    <cellStyle name="Normal 11 2 9 2 3" xfId="7440" xr:uid="{00000000-0005-0000-0000-0000E71F0000}"/>
    <cellStyle name="Normal 11 2 9 2 4" xfId="7441" xr:uid="{00000000-0005-0000-0000-0000E81F0000}"/>
    <cellStyle name="Normal 11 2 9 3" xfId="7442" xr:uid="{00000000-0005-0000-0000-0000E91F0000}"/>
    <cellStyle name="Normal 11 2 9 3 2" xfId="7443" xr:uid="{00000000-0005-0000-0000-0000EA1F0000}"/>
    <cellStyle name="Normal 11 2 9 3 3" xfId="7444" xr:uid="{00000000-0005-0000-0000-0000EB1F0000}"/>
    <cellStyle name="Normal 11 2 9 3 4" xfId="7445" xr:uid="{00000000-0005-0000-0000-0000EC1F0000}"/>
    <cellStyle name="Normal 11 2 9 4" xfId="7446" xr:uid="{00000000-0005-0000-0000-0000ED1F0000}"/>
    <cellStyle name="Normal 11 2 9 5" xfId="7447" xr:uid="{00000000-0005-0000-0000-0000EE1F0000}"/>
    <cellStyle name="Normal 11 2 9 6" xfId="7448" xr:uid="{00000000-0005-0000-0000-0000EF1F0000}"/>
    <cellStyle name="Normal 11 20" xfId="7449" xr:uid="{00000000-0005-0000-0000-0000F01F0000}"/>
    <cellStyle name="Normal 11 20 10" xfId="7450" xr:uid="{00000000-0005-0000-0000-0000F11F0000}"/>
    <cellStyle name="Normal 11 20 11" xfId="7451" xr:uid="{00000000-0005-0000-0000-0000F21F0000}"/>
    <cellStyle name="Normal 11 20 12" xfId="7452" xr:uid="{00000000-0005-0000-0000-0000F31F0000}"/>
    <cellStyle name="Normal 11 20 13" xfId="7453" xr:uid="{00000000-0005-0000-0000-0000F41F0000}"/>
    <cellStyle name="Normal 11 20 14" xfId="7454" xr:uid="{00000000-0005-0000-0000-0000F51F0000}"/>
    <cellStyle name="Normal 11 20 15" xfId="7455" xr:uid="{00000000-0005-0000-0000-0000F61F0000}"/>
    <cellStyle name="Normal 11 20 16" xfId="7456" xr:uid="{00000000-0005-0000-0000-0000F71F0000}"/>
    <cellStyle name="Normal 11 20 17" xfId="7457" xr:uid="{00000000-0005-0000-0000-0000F81F0000}"/>
    <cellStyle name="Normal 11 20 18" xfId="7458" xr:uid="{00000000-0005-0000-0000-0000F91F0000}"/>
    <cellStyle name="Normal 11 20 19" xfId="7459" xr:uid="{00000000-0005-0000-0000-0000FA1F0000}"/>
    <cellStyle name="Normal 11 20 2" xfId="7460" xr:uid="{00000000-0005-0000-0000-0000FB1F0000}"/>
    <cellStyle name="Normal 11 20 20" xfId="7461" xr:uid="{00000000-0005-0000-0000-0000FC1F0000}"/>
    <cellStyle name="Normal 11 20 21" xfId="7462" xr:uid="{00000000-0005-0000-0000-0000FD1F0000}"/>
    <cellStyle name="Normal 11 20 22" xfId="7463" xr:uid="{00000000-0005-0000-0000-0000FE1F0000}"/>
    <cellStyle name="Normal 11 20 23" xfId="7464" xr:uid="{00000000-0005-0000-0000-0000FF1F0000}"/>
    <cellStyle name="Normal 11 20 24" xfId="7465" xr:uid="{00000000-0005-0000-0000-000000200000}"/>
    <cellStyle name="Normal 11 20 25" xfId="7466" xr:uid="{00000000-0005-0000-0000-000001200000}"/>
    <cellStyle name="Normal 11 20 26" xfId="7467" xr:uid="{00000000-0005-0000-0000-000002200000}"/>
    <cellStyle name="Normal 11 20 27" xfId="7468" xr:uid="{00000000-0005-0000-0000-000003200000}"/>
    <cellStyle name="Normal 11 20 28" xfId="7469" xr:uid="{00000000-0005-0000-0000-000004200000}"/>
    <cellStyle name="Normal 11 20 29" xfId="7470" xr:uid="{00000000-0005-0000-0000-000005200000}"/>
    <cellStyle name="Normal 11 20 3" xfId="7471" xr:uid="{00000000-0005-0000-0000-000006200000}"/>
    <cellStyle name="Normal 11 20 30" xfId="7472" xr:uid="{00000000-0005-0000-0000-000007200000}"/>
    <cellStyle name="Normal 11 20 31" xfId="7473" xr:uid="{00000000-0005-0000-0000-000008200000}"/>
    <cellStyle name="Normal 11 20 32" xfId="7474" xr:uid="{00000000-0005-0000-0000-000009200000}"/>
    <cellStyle name="Normal 11 20 33" xfId="7475" xr:uid="{00000000-0005-0000-0000-00000A200000}"/>
    <cellStyle name="Normal 11 20 34" xfId="7476" xr:uid="{00000000-0005-0000-0000-00000B200000}"/>
    <cellStyle name="Normal 11 20 35" xfId="7477" xr:uid="{00000000-0005-0000-0000-00000C200000}"/>
    <cellStyle name="Normal 11 20 36" xfId="7478" xr:uid="{00000000-0005-0000-0000-00000D200000}"/>
    <cellStyle name="Normal 11 20 37" xfId="7479" xr:uid="{00000000-0005-0000-0000-00000E200000}"/>
    <cellStyle name="Normal 11 20 38" xfId="7480" xr:uid="{00000000-0005-0000-0000-00000F200000}"/>
    <cellStyle name="Normal 11 20 39" xfId="7481" xr:uid="{00000000-0005-0000-0000-000010200000}"/>
    <cellStyle name="Normal 11 20 4" xfId="7482" xr:uid="{00000000-0005-0000-0000-000011200000}"/>
    <cellStyle name="Normal 11 20 40" xfId="7483" xr:uid="{00000000-0005-0000-0000-000012200000}"/>
    <cellStyle name="Normal 11 20 41" xfId="7484" xr:uid="{00000000-0005-0000-0000-000013200000}"/>
    <cellStyle name="Normal 11 20 42" xfId="7485" xr:uid="{00000000-0005-0000-0000-000014200000}"/>
    <cellStyle name="Normal 11 20 43" xfId="7486" xr:uid="{00000000-0005-0000-0000-000015200000}"/>
    <cellStyle name="Normal 11 20 44" xfId="7487" xr:uid="{00000000-0005-0000-0000-000016200000}"/>
    <cellStyle name="Normal 11 20 45" xfId="7488" xr:uid="{00000000-0005-0000-0000-000017200000}"/>
    <cellStyle name="Normal 11 20 5" xfId="7489" xr:uid="{00000000-0005-0000-0000-000018200000}"/>
    <cellStyle name="Normal 11 20 6" xfId="7490" xr:uid="{00000000-0005-0000-0000-000019200000}"/>
    <cellStyle name="Normal 11 20 7" xfId="7491" xr:uid="{00000000-0005-0000-0000-00001A200000}"/>
    <cellStyle name="Normal 11 20 8" xfId="7492" xr:uid="{00000000-0005-0000-0000-00001B200000}"/>
    <cellStyle name="Normal 11 20 9" xfId="7493" xr:uid="{00000000-0005-0000-0000-00001C200000}"/>
    <cellStyle name="Normal 11 21" xfId="7494" xr:uid="{00000000-0005-0000-0000-00001D200000}"/>
    <cellStyle name="Normal 11 21 10" xfId="7495" xr:uid="{00000000-0005-0000-0000-00001E200000}"/>
    <cellStyle name="Normal 11 21 11" xfId="7496" xr:uid="{00000000-0005-0000-0000-00001F200000}"/>
    <cellStyle name="Normal 11 21 12" xfId="7497" xr:uid="{00000000-0005-0000-0000-000020200000}"/>
    <cellStyle name="Normal 11 21 13" xfId="7498" xr:uid="{00000000-0005-0000-0000-000021200000}"/>
    <cellStyle name="Normal 11 21 14" xfId="7499" xr:uid="{00000000-0005-0000-0000-000022200000}"/>
    <cellStyle name="Normal 11 21 15" xfId="7500" xr:uid="{00000000-0005-0000-0000-000023200000}"/>
    <cellStyle name="Normal 11 21 16" xfId="7501" xr:uid="{00000000-0005-0000-0000-000024200000}"/>
    <cellStyle name="Normal 11 21 17" xfId="7502" xr:uid="{00000000-0005-0000-0000-000025200000}"/>
    <cellStyle name="Normal 11 21 18" xfId="7503" xr:uid="{00000000-0005-0000-0000-000026200000}"/>
    <cellStyle name="Normal 11 21 19" xfId="7504" xr:uid="{00000000-0005-0000-0000-000027200000}"/>
    <cellStyle name="Normal 11 21 2" xfId="7505" xr:uid="{00000000-0005-0000-0000-000028200000}"/>
    <cellStyle name="Normal 11 21 20" xfId="7506" xr:uid="{00000000-0005-0000-0000-000029200000}"/>
    <cellStyle name="Normal 11 21 21" xfId="7507" xr:uid="{00000000-0005-0000-0000-00002A200000}"/>
    <cellStyle name="Normal 11 21 22" xfId="7508" xr:uid="{00000000-0005-0000-0000-00002B200000}"/>
    <cellStyle name="Normal 11 21 23" xfId="7509" xr:uid="{00000000-0005-0000-0000-00002C200000}"/>
    <cellStyle name="Normal 11 21 24" xfId="7510" xr:uid="{00000000-0005-0000-0000-00002D200000}"/>
    <cellStyle name="Normal 11 21 25" xfId="7511" xr:uid="{00000000-0005-0000-0000-00002E200000}"/>
    <cellStyle name="Normal 11 21 26" xfId="7512" xr:uid="{00000000-0005-0000-0000-00002F200000}"/>
    <cellStyle name="Normal 11 21 27" xfId="7513" xr:uid="{00000000-0005-0000-0000-000030200000}"/>
    <cellStyle name="Normal 11 21 28" xfId="7514" xr:uid="{00000000-0005-0000-0000-000031200000}"/>
    <cellStyle name="Normal 11 21 29" xfId="7515" xr:uid="{00000000-0005-0000-0000-000032200000}"/>
    <cellStyle name="Normal 11 21 3" xfId="7516" xr:uid="{00000000-0005-0000-0000-000033200000}"/>
    <cellStyle name="Normal 11 21 30" xfId="7517" xr:uid="{00000000-0005-0000-0000-000034200000}"/>
    <cellStyle name="Normal 11 21 31" xfId="7518" xr:uid="{00000000-0005-0000-0000-000035200000}"/>
    <cellStyle name="Normal 11 21 32" xfId="7519" xr:uid="{00000000-0005-0000-0000-000036200000}"/>
    <cellStyle name="Normal 11 21 33" xfId="7520" xr:uid="{00000000-0005-0000-0000-000037200000}"/>
    <cellStyle name="Normal 11 21 34" xfId="7521" xr:uid="{00000000-0005-0000-0000-000038200000}"/>
    <cellStyle name="Normal 11 21 35" xfId="7522" xr:uid="{00000000-0005-0000-0000-000039200000}"/>
    <cellStyle name="Normal 11 21 36" xfId="7523" xr:uid="{00000000-0005-0000-0000-00003A200000}"/>
    <cellStyle name="Normal 11 21 37" xfId="7524" xr:uid="{00000000-0005-0000-0000-00003B200000}"/>
    <cellStyle name="Normal 11 21 38" xfId="7525" xr:uid="{00000000-0005-0000-0000-00003C200000}"/>
    <cellStyle name="Normal 11 21 39" xfId="7526" xr:uid="{00000000-0005-0000-0000-00003D200000}"/>
    <cellStyle name="Normal 11 21 4" xfId="7527" xr:uid="{00000000-0005-0000-0000-00003E200000}"/>
    <cellStyle name="Normal 11 21 40" xfId="7528" xr:uid="{00000000-0005-0000-0000-00003F200000}"/>
    <cellStyle name="Normal 11 21 41" xfId="7529" xr:uid="{00000000-0005-0000-0000-000040200000}"/>
    <cellStyle name="Normal 11 21 42" xfId="7530" xr:uid="{00000000-0005-0000-0000-000041200000}"/>
    <cellStyle name="Normal 11 21 43" xfId="7531" xr:uid="{00000000-0005-0000-0000-000042200000}"/>
    <cellStyle name="Normal 11 21 44" xfId="7532" xr:uid="{00000000-0005-0000-0000-000043200000}"/>
    <cellStyle name="Normal 11 21 45" xfId="7533" xr:uid="{00000000-0005-0000-0000-000044200000}"/>
    <cellStyle name="Normal 11 21 5" xfId="7534" xr:uid="{00000000-0005-0000-0000-000045200000}"/>
    <cellStyle name="Normal 11 21 6" xfId="7535" xr:uid="{00000000-0005-0000-0000-000046200000}"/>
    <cellStyle name="Normal 11 21 7" xfId="7536" xr:uid="{00000000-0005-0000-0000-000047200000}"/>
    <cellStyle name="Normal 11 21 8" xfId="7537" xr:uid="{00000000-0005-0000-0000-000048200000}"/>
    <cellStyle name="Normal 11 21 9" xfId="7538" xr:uid="{00000000-0005-0000-0000-000049200000}"/>
    <cellStyle name="Normal 11 22" xfId="7539" xr:uid="{00000000-0005-0000-0000-00004A200000}"/>
    <cellStyle name="Normal 11 22 10" xfId="7540" xr:uid="{00000000-0005-0000-0000-00004B200000}"/>
    <cellStyle name="Normal 11 22 11" xfId="7541" xr:uid="{00000000-0005-0000-0000-00004C200000}"/>
    <cellStyle name="Normal 11 22 12" xfId="7542" xr:uid="{00000000-0005-0000-0000-00004D200000}"/>
    <cellStyle name="Normal 11 22 13" xfId="7543" xr:uid="{00000000-0005-0000-0000-00004E200000}"/>
    <cellStyle name="Normal 11 22 14" xfId="7544" xr:uid="{00000000-0005-0000-0000-00004F200000}"/>
    <cellStyle name="Normal 11 22 15" xfId="7545" xr:uid="{00000000-0005-0000-0000-000050200000}"/>
    <cellStyle name="Normal 11 22 16" xfId="7546" xr:uid="{00000000-0005-0000-0000-000051200000}"/>
    <cellStyle name="Normal 11 22 17" xfId="7547" xr:uid="{00000000-0005-0000-0000-000052200000}"/>
    <cellStyle name="Normal 11 22 18" xfId="7548" xr:uid="{00000000-0005-0000-0000-000053200000}"/>
    <cellStyle name="Normal 11 22 19" xfId="7549" xr:uid="{00000000-0005-0000-0000-000054200000}"/>
    <cellStyle name="Normal 11 22 2" xfId="7550" xr:uid="{00000000-0005-0000-0000-000055200000}"/>
    <cellStyle name="Normal 11 22 20" xfId="7551" xr:uid="{00000000-0005-0000-0000-000056200000}"/>
    <cellStyle name="Normal 11 22 21" xfId="7552" xr:uid="{00000000-0005-0000-0000-000057200000}"/>
    <cellStyle name="Normal 11 22 22" xfId="7553" xr:uid="{00000000-0005-0000-0000-000058200000}"/>
    <cellStyle name="Normal 11 22 23" xfId="7554" xr:uid="{00000000-0005-0000-0000-000059200000}"/>
    <cellStyle name="Normal 11 22 24" xfId="7555" xr:uid="{00000000-0005-0000-0000-00005A200000}"/>
    <cellStyle name="Normal 11 22 25" xfId="7556" xr:uid="{00000000-0005-0000-0000-00005B200000}"/>
    <cellStyle name="Normal 11 22 26" xfId="7557" xr:uid="{00000000-0005-0000-0000-00005C200000}"/>
    <cellStyle name="Normal 11 22 27" xfId="7558" xr:uid="{00000000-0005-0000-0000-00005D200000}"/>
    <cellStyle name="Normal 11 22 28" xfId="7559" xr:uid="{00000000-0005-0000-0000-00005E200000}"/>
    <cellStyle name="Normal 11 22 29" xfId="7560" xr:uid="{00000000-0005-0000-0000-00005F200000}"/>
    <cellStyle name="Normal 11 22 3" xfId="7561" xr:uid="{00000000-0005-0000-0000-000060200000}"/>
    <cellStyle name="Normal 11 22 30" xfId="7562" xr:uid="{00000000-0005-0000-0000-000061200000}"/>
    <cellStyle name="Normal 11 22 31" xfId="7563" xr:uid="{00000000-0005-0000-0000-000062200000}"/>
    <cellStyle name="Normal 11 22 32" xfId="7564" xr:uid="{00000000-0005-0000-0000-000063200000}"/>
    <cellStyle name="Normal 11 22 33" xfId="7565" xr:uid="{00000000-0005-0000-0000-000064200000}"/>
    <cellStyle name="Normal 11 22 34" xfId="7566" xr:uid="{00000000-0005-0000-0000-000065200000}"/>
    <cellStyle name="Normal 11 22 35" xfId="7567" xr:uid="{00000000-0005-0000-0000-000066200000}"/>
    <cellStyle name="Normal 11 22 36" xfId="7568" xr:uid="{00000000-0005-0000-0000-000067200000}"/>
    <cellStyle name="Normal 11 22 37" xfId="7569" xr:uid="{00000000-0005-0000-0000-000068200000}"/>
    <cellStyle name="Normal 11 22 38" xfId="7570" xr:uid="{00000000-0005-0000-0000-000069200000}"/>
    <cellStyle name="Normal 11 22 39" xfId="7571" xr:uid="{00000000-0005-0000-0000-00006A200000}"/>
    <cellStyle name="Normal 11 22 4" xfId="7572" xr:uid="{00000000-0005-0000-0000-00006B200000}"/>
    <cellStyle name="Normal 11 22 40" xfId="7573" xr:uid="{00000000-0005-0000-0000-00006C200000}"/>
    <cellStyle name="Normal 11 22 41" xfId="7574" xr:uid="{00000000-0005-0000-0000-00006D200000}"/>
    <cellStyle name="Normal 11 22 42" xfId="7575" xr:uid="{00000000-0005-0000-0000-00006E200000}"/>
    <cellStyle name="Normal 11 22 43" xfId="7576" xr:uid="{00000000-0005-0000-0000-00006F200000}"/>
    <cellStyle name="Normal 11 22 44" xfId="7577" xr:uid="{00000000-0005-0000-0000-000070200000}"/>
    <cellStyle name="Normal 11 22 45" xfId="7578" xr:uid="{00000000-0005-0000-0000-000071200000}"/>
    <cellStyle name="Normal 11 22 5" xfId="7579" xr:uid="{00000000-0005-0000-0000-000072200000}"/>
    <cellStyle name="Normal 11 22 6" xfId="7580" xr:uid="{00000000-0005-0000-0000-000073200000}"/>
    <cellStyle name="Normal 11 22 7" xfId="7581" xr:uid="{00000000-0005-0000-0000-000074200000}"/>
    <cellStyle name="Normal 11 22 8" xfId="7582" xr:uid="{00000000-0005-0000-0000-000075200000}"/>
    <cellStyle name="Normal 11 22 9" xfId="7583" xr:uid="{00000000-0005-0000-0000-000076200000}"/>
    <cellStyle name="Normal 11 23" xfId="7584" xr:uid="{00000000-0005-0000-0000-000077200000}"/>
    <cellStyle name="Normal 11 23 10" xfId="7585" xr:uid="{00000000-0005-0000-0000-000078200000}"/>
    <cellStyle name="Normal 11 23 11" xfId="7586" xr:uid="{00000000-0005-0000-0000-000079200000}"/>
    <cellStyle name="Normal 11 23 12" xfId="7587" xr:uid="{00000000-0005-0000-0000-00007A200000}"/>
    <cellStyle name="Normal 11 23 13" xfId="7588" xr:uid="{00000000-0005-0000-0000-00007B200000}"/>
    <cellStyle name="Normal 11 23 14" xfId="7589" xr:uid="{00000000-0005-0000-0000-00007C200000}"/>
    <cellStyle name="Normal 11 23 15" xfId="7590" xr:uid="{00000000-0005-0000-0000-00007D200000}"/>
    <cellStyle name="Normal 11 23 16" xfId="7591" xr:uid="{00000000-0005-0000-0000-00007E200000}"/>
    <cellStyle name="Normal 11 23 17" xfId="7592" xr:uid="{00000000-0005-0000-0000-00007F200000}"/>
    <cellStyle name="Normal 11 23 18" xfId="7593" xr:uid="{00000000-0005-0000-0000-000080200000}"/>
    <cellStyle name="Normal 11 23 19" xfId="7594" xr:uid="{00000000-0005-0000-0000-000081200000}"/>
    <cellStyle name="Normal 11 23 2" xfId="7595" xr:uid="{00000000-0005-0000-0000-000082200000}"/>
    <cellStyle name="Normal 11 23 20" xfId="7596" xr:uid="{00000000-0005-0000-0000-000083200000}"/>
    <cellStyle name="Normal 11 23 21" xfId="7597" xr:uid="{00000000-0005-0000-0000-000084200000}"/>
    <cellStyle name="Normal 11 23 22" xfId="7598" xr:uid="{00000000-0005-0000-0000-000085200000}"/>
    <cellStyle name="Normal 11 23 23" xfId="7599" xr:uid="{00000000-0005-0000-0000-000086200000}"/>
    <cellStyle name="Normal 11 23 24" xfId="7600" xr:uid="{00000000-0005-0000-0000-000087200000}"/>
    <cellStyle name="Normal 11 23 25" xfId="7601" xr:uid="{00000000-0005-0000-0000-000088200000}"/>
    <cellStyle name="Normal 11 23 26" xfId="7602" xr:uid="{00000000-0005-0000-0000-000089200000}"/>
    <cellStyle name="Normal 11 23 27" xfId="7603" xr:uid="{00000000-0005-0000-0000-00008A200000}"/>
    <cellStyle name="Normal 11 23 28" xfId="7604" xr:uid="{00000000-0005-0000-0000-00008B200000}"/>
    <cellStyle name="Normal 11 23 29" xfId="7605" xr:uid="{00000000-0005-0000-0000-00008C200000}"/>
    <cellStyle name="Normal 11 23 3" xfId="7606" xr:uid="{00000000-0005-0000-0000-00008D200000}"/>
    <cellStyle name="Normal 11 23 30" xfId="7607" xr:uid="{00000000-0005-0000-0000-00008E200000}"/>
    <cellStyle name="Normal 11 23 31" xfId="7608" xr:uid="{00000000-0005-0000-0000-00008F200000}"/>
    <cellStyle name="Normal 11 23 32" xfId="7609" xr:uid="{00000000-0005-0000-0000-000090200000}"/>
    <cellStyle name="Normal 11 23 33" xfId="7610" xr:uid="{00000000-0005-0000-0000-000091200000}"/>
    <cellStyle name="Normal 11 23 34" xfId="7611" xr:uid="{00000000-0005-0000-0000-000092200000}"/>
    <cellStyle name="Normal 11 23 35" xfId="7612" xr:uid="{00000000-0005-0000-0000-000093200000}"/>
    <cellStyle name="Normal 11 23 36" xfId="7613" xr:uid="{00000000-0005-0000-0000-000094200000}"/>
    <cellStyle name="Normal 11 23 37" xfId="7614" xr:uid="{00000000-0005-0000-0000-000095200000}"/>
    <cellStyle name="Normal 11 23 38" xfId="7615" xr:uid="{00000000-0005-0000-0000-000096200000}"/>
    <cellStyle name="Normal 11 23 39" xfId="7616" xr:uid="{00000000-0005-0000-0000-000097200000}"/>
    <cellStyle name="Normal 11 23 4" xfId="7617" xr:uid="{00000000-0005-0000-0000-000098200000}"/>
    <cellStyle name="Normal 11 23 40" xfId="7618" xr:uid="{00000000-0005-0000-0000-000099200000}"/>
    <cellStyle name="Normal 11 23 41" xfId="7619" xr:uid="{00000000-0005-0000-0000-00009A200000}"/>
    <cellStyle name="Normal 11 23 42" xfId="7620" xr:uid="{00000000-0005-0000-0000-00009B200000}"/>
    <cellStyle name="Normal 11 23 43" xfId="7621" xr:uid="{00000000-0005-0000-0000-00009C200000}"/>
    <cellStyle name="Normal 11 23 44" xfId="7622" xr:uid="{00000000-0005-0000-0000-00009D200000}"/>
    <cellStyle name="Normal 11 23 45" xfId="7623" xr:uid="{00000000-0005-0000-0000-00009E200000}"/>
    <cellStyle name="Normal 11 23 5" xfId="7624" xr:uid="{00000000-0005-0000-0000-00009F200000}"/>
    <cellStyle name="Normal 11 23 6" xfId="7625" xr:uid="{00000000-0005-0000-0000-0000A0200000}"/>
    <cellStyle name="Normal 11 23 7" xfId="7626" xr:uid="{00000000-0005-0000-0000-0000A1200000}"/>
    <cellStyle name="Normal 11 23 8" xfId="7627" xr:uid="{00000000-0005-0000-0000-0000A2200000}"/>
    <cellStyle name="Normal 11 23 9" xfId="7628" xr:uid="{00000000-0005-0000-0000-0000A3200000}"/>
    <cellStyle name="Normal 11 24" xfId="7629" xr:uid="{00000000-0005-0000-0000-0000A4200000}"/>
    <cellStyle name="Normal 11 24 10" xfId="7630" xr:uid="{00000000-0005-0000-0000-0000A5200000}"/>
    <cellStyle name="Normal 11 24 11" xfId="7631" xr:uid="{00000000-0005-0000-0000-0000A6200000}"/>
    <cellStyle name="Normal 11 24 12" xfId="7632" xr:uid="{00000000-0005-0000-0000-0000A7200000}"/>
    <cellStyle name="Normal 11 24 13" xfId="7633" xr:uid="{00000000-0005-0000-0000-0000A8200000}"/>
    <cellStyle name="Normal 11 24 14" xfId="7634" xr:uid="{00000000-0005-0000-0000-0000A9200000}"/>
    <cellStyle name="Normal 11 24 15" xfId="7635" xr:uid="{00000000-0005-0000-0000-0000AA200000}"/>
    <cellStyle name="Normal 11 24 16" xfId="7636" xr:uid="{00000000-0005-0000-0000-0000AB200000}"/>
    <cellStyle name="Normal 11 24 17" xfId="7637" xr:uid="{00000000-0005-0000-0000-0000AC200000}"/>
    <cellStyle name="Normal 11 24 18" xfId="7638" xr:uid="{00000000-0005-0000-0000-0000AD200000}"/>
    <cellStyle name="Normal 11 24 19" xfId="7639" xr:uid="{00000000-0005-0000-0000-0000AE200000}"/>
    <cellStyle name="Normal 11 24 2" xfId="7640" xr:uid="{00000000-0005-0000-0000-0000AF200000}"/>
    <cellStyle name="Normal 11 24 20" xfId="7641" xr:uid="{00000000-0005-0000-0000-0000B0200000}"/>
    <cellStyle name="Normal 11 24 21" xfId="7642" xr:uid="{00000000-0005-0000-0000-0000B1200000}"/>
    <cellStyle name="Normal 11 24 22" xfId="7643" xr:uid="{00000000-0005-0000-0000-0000B2200000}"/>
    <cellStyle name="Normal 11 24 23" xfId="7644" xr:uid="{00000000-0005-0000-0000-0000B3200000}"/>
    <cellStyle name="Normal 11 24 24" xfId="7645" xr:uid="{00000000-0005-0000-0000-0000B4200000}"/>
    <cellStyle name="Normal 11 24 25" xfId="7646" xr:uid="{00000000-0005-0000-0000-0000B5200000}"/>
    <cellStyle name="Normal 11 24 26" xfId="7647" xr:uid="{00000000-0005-0000-0000-0000B6200000}"/>
    <cellStyle name="Normal 11 24 27" xfId="7648" xr:uid="{00000000-0005-0000-0000-0000B7200000}"/>
    <cellStyle name="Normal 11 24 28" xfId="7649" xr:uid="{00000000-0005-0000-0000-0000B8200000}"/>
    <cellStyle name="Normal 11 24 29" xfId="7650" xr:uid="{00000000-0005-0000-0000-0000B9200000}"/>
    <cellStyle name="Normal 11 24 3" xfId="7651" xr:uid="{00000000-0005-0000-0000-0000BA200000}"/>
    <cellStyle name="Normal 11 24 30" xfId="7652" xr:uid="{00000000-0005-0000-0000-0000BB200000}"/>
    <cellStyle name="Normal 11 24 31" xfId="7653" xr:uid="{00000000-0005-0000-0000-0000BC200000}"/>
    <cellStyle name="Normal 11 24 32" xfId="7654" xr:uid="{00000000-0005-0000-0000-0000BD200000}"/>
    <cellStyle name="Normal 11 24 33" xfId="7655" xr:uid="{00000000-0005-0000-0000-0000BE200000}"/>
    <cellStyle name="Normal 11 24 34" xfId="7656" xr:uid="{00000000-0005-0000-0000-0000BF200000}"/>
    <cellStyle name="Normal 11 24 35" xfId="7657" xr:uid="{00000000-0005-0000-0000-0000C0200000}"/>
    <cellStyle name="Normal 11 24 36" xfId="7658" xr:uid="{00000000-0005-0000-0000-0000C1200000}"/>
    <cellStyle name="Normal 11 24 37" xfId="7659" xr:uid="{00000000-0005-0000-0000-0000C2200000}"/>
    <cellStyle name="Normal 11 24 4" xfId="7660" xr:uid="{00000000-0005-0000-0000-0000C3200000}"/>
    <cellStyle name="Normal 11 24 5" xfId="7661" xr:uid="{00000000-0005-0000-0000-0000C4200000}"/>
    <cellStyle name="Normal 11 24 6" xfId="7662" xr:uid="{00000000-0005-0000-0000-0000C5200000}"/>
    <cellStyle name="Normal 11 24 7" xfId="7663" xr:uid="{00000000-0005-0000-0000-0000C6200000}"/>
    <cellStyle name="Normal 11 24 8" xfId="7664" xr:uid="{00000000-0005-0000-0000-0000C7200000}"/>
    <cellStyle name="Normal 11 24 9" xfId="7665" xr:uid="{00000000-0005-0000-0000-0000C8200000}"/>
    <cellStyle name="Normal 11 25" xfId="7666" xr:uid="{00000000-0005-0000-0000-0000C9200000}"/>
    <cellStyle name="Normal 11 25 10" xfId="7667" xr:uid="{00000000-0005-0000-0000-0000CA200000}"/>
    <cellStyle name="Normal 11 25 11" xfId="7668" xr:uid="{00000000-0005-0000-0000-0000CB200000}"/>
    <cellStyle name="Normal 11 25 12" xfId="7669" xr:uid="{00000000-0005-0000-0000-0000CC200000}"/>
    <cellStyle name="Normal 11 25 13" xfId="7670" xr:uid="{00000000-0005-0000-0000-0000CD200000}"/>
    <cellStyle name="Normal 11 25 14" xfId="7671" xr:uid="{00000000-0005-0000-0000-0000CE200000}"/>
    <cellStyle name="Normal 11 25 15" xfId="7672" xr:uid="{00000000-0005-0000-0000-0000CF200000}"/>
    <cellStyle name="Normal 11 25 16" xfId="7673" xr:uid="{00000000-0005-0000-0000-0000D0200000}"/>
    <cellStyle name="Normal 11 25 17" xfId="7674" xr:uid="{00000000-0005-0000-0000-0000D1200000}"/>
    <cellStyle name="Normal 11 25 18" xfId="7675" xr:uid="{00000000-0005-0000-0000-0000D2200000}"/>
    <cellStyle name="Normal 11 25 19" xfId="7676" xr:uid="{00000000-0005-0000-0000-0000D3200000}"/>
    <cellStyle name="Normal 11 25 2" xfId="7677" xr:uid="{00000000-0005-0000-0000-0000D4200000}"/>
    <cellStyle name="Normal 11 25 20" xfId="7678" xr:uid="{00000000-0005-0000-0000-0000D5200000}"/>
    <cellStyle name="Normal 11 25 21" xfId="7679" xr:uid="{00000000-0005-0000-0000-0000D6200000}"/>
    <cellStyle name="Normal 11 25 22" xfId="7680" xr:uid="{00000000-0005-0000-0000-0000D7200000}"/>
    <cellStyle name="Normal 11 25 23" xfId="7681" xr:uid="{00000000-0005-0000-0000-0000D8200000}"/>
    <cellStyle name="Normal 11 25 24" xfId="7682" xr:uid="{00000000-0005-0000-0000-0000D9200000}"/>
    <cellStyle name="Normal 11 25 25" xfId="7683" xr:uid="{00000000-0005-0000-0000-0000DA200000}"/>
    <cellStyle name="Normal 11 25 26" xfId="7684" xr:uid="{00000000-0005-0000-0000-0000DB200000}"/>
    <cellStyle name="Normal 11 25 27" xfId="7685" xr:uid="{00000000-0005-0000-0000-0000DC200000}"/>
    <cellStyle name="Normal 11 25 28" xfId="7686" xr:uid="{00000000-0005-0000-0000-0000DD200000}"/>
    <cellStyle name="Normal 11 25 29" xfId="7687" xr:uid="{00000000-0005-0000-0000-0000DE200000}"/>
    <cellStyle name="Normal 11 25 3" xfId="7688" xr:uid="{00000000-0005-0000-0000-0000DF200000}"/>
    <cellStyle name="Normal 11 25 30" xfId="7689" xr:uid="{00000000-0005-0000-0000-0000E0200000}"/>
    <cellStyle name="Normal 11 25 31" xfId="7690" xr:uid="{00000000-0005-0000-0000-0000E1200000}"/>
    <cellStyle name="Normal 11 25 32" xfId="7691" xr:uid="{00000000-0005-0000-0000-0000E2200000}"/>
    <cellStyle name="Normal 11 25 33" xfId="7692" xr:uid="{00000000-0005-0000-0000-0000E3200000}"/>
    <cellStyle name="Normal 11 25 34" xfId="7693" xr:uid="{00000000-0005-0000-0000-0000E4200000}"/>
    <cellStyle name="Normal 11 25 35" xfId="7694" xr:uid="{00000000-0005-0000-0000-0000E5200000}"/>
    <cellStyle name="Normal 11 25 36" xfId="7695" xr:uid="{00000000-0005-0000-0000-0000E6200000}"/>
    <cellStyle name="Normal 11 25 37" xfId="7696" xr:uid="{00000000-0005-0000-0000-0000E7200000}"/>
    <cellStyle name="Normal 11 25 4" xfId="7697" xr:uid="{00000000-0005-0000-0000-0000E8200000}"/>
    <cellStyle name="Normal 11 25 5" xfId="7698" xr:uid="{00000000-0005-0000-0000-0000E9200000}"/>
    <cellStyle name="Normal 11 25 6" xfId="7699" xr:uid="{00000000-0005-0000-0000-0000EA200000}"/>
    <cellStyle name="Normal 11 25 7" xfId="7700" xr:uid="{00000000-0005-0000-0000-0000EB200000}"/>
    <cellStyle name="Normal 11 25 8" xfId="7701" xr:uid="{00000000-0005-0000-0000-0000EC200000}"/>
    <cellStyle name="Normal 11 25 9" xfId="7702" xr:uid="{00000000-0005-0000-0000-0000ED200000}"/>
    <cellStyle name="Normal 11 26" xfId="7703" xr:uid="{00000000-0005-0000-0000-0000EE200000}"/>
    <cellStyle name="Normal 11 26 10" xfId="7704" xr:uid="{00000000-0005-0000-0000-0000EF200000}"/>
    <cellStyle name="Normal 11 26 11" xfId="7705" xr:uid="{00000000-0005-0000-0000-0000F0200000}"/>
    <cellStyle name="Normal 11 26 12" xfId="7706" xr:uid="{00000000-0005-0000-0000-0000F1200000}"/>
    <cellStyle name="Normal 11 26 13" xfId="7707" xr:uid="{00000000-0005-0000-0000-0000F2200000}"/>
    <cellStyle name="Normal 11 26 14" xfId="7708" xr:uid="{00000000-0005-0000-0000-0000F3200000}"/>
    <cellStyle name="Normal 11 26 15" xfId="7709" xr:uid="{00000000-0005-0000-0000-0000F4200000}"/>
    <cellStyle name="Normal 11 26 16" xfId="7710" xr:uid="{00000000-0005-0000-0000-0000F5200000}"/>
    <cellStyle name="Normal 11 26 17" xfId="7711" xr:uid="{00000000-0005-0000-0000-0000F6200000}"/>
    <cellStyle name="Normal 11 26 18" xfId="7712" xr:uid="{00000000-0005-0000-0000-0000F7200000}"/>
    <cellStyle name="Normal 11 26 19" xfId="7713" xr:uid="{00000000-0005-0000-0000-0000F8200000}"/>
    <cellStyle name="Normal 11 26 2" xfId="7714" xr:uid="{00000000-0005-0000-0000-0000F9200000}"/>
    <cellStyle name="Normal 11 26 20" xfId="7715" xr:uid="{00000000-0005-0000-0000-0000FA200000}"/>
    <cellStyle name="Normal 11 26 21" xfId="7716" xr:uid="{00000000-0005-0000-0000-0000FB200000}"/>
    <cellStyle name="Normal 11 26 22" xfId="7717" xr:uid="{00000000-0005-0000-0000-0000FC200000}"/>
    <cellStyle name="Normal 11 26 23" xfId="7718" xr:uid="{00000000-0005-0000-0000-0000FD200000}"/>
    <cellStyle name="Normal 11 26 24" xfId="7719" xr:uid="{00000000-0005-0000-0000-0000FE200000}"/>
    <cellStyle name="Normal 11 26 25" xfId="7720" xr:uid="{00000000-0005-0000-0000-0000FF200000}"/>
    <cellStyle name="Normal 11 26 26" xfId="7721" xr:uid="{00000000-0005-0000-0000-000000210000}"/>
    <cellStyle name="Normal 11 26 27" xfId="7722" xr:uid="{00000000-0005-0000-0000-000001210000}"/>
    <cellStyle name="Normal 11 26 28" xfId="7723" xr:uid="{00000000-0005-0000-0000-000002210000}"/>
    <cellStyle name="Normal 11 26 29" xfId="7724" xr:uid="{00000000-0005-0000-0000-000003210000}"/>
    <cellStyle name="Normal 11 26 3" xfId="7725" xr:uid="{00000000-0005-0000-0000-000004210000}"/>
    <cellStyle name="Normal 11 26 30" xfId="7726" xr:uid="{00000000-0005-0000-0000-000005210000}"/>
    <cellStyle name="Normal 11 26 31" xfId="7727" xr:uid="{00000000-0005-0000-0000-000006210000}"/>
    <cellStyle name="Normal 11 26 32" xfId="7728" xr:uid="{00000000-0005-0000-0000-000007210000}"/>
    <cellStyle name="Normal 11 26 33" xfId="7729" xr:uid="{00000000-0005-0000-0000-000008210000}"/>
    <cellStyle name="Normal 11 26 34" xfId="7730" xr:uid="{00000000-0005-0000-0000-000009210000}"/>
    <cellStyle name="Normal 11 26 35" xfId="7731" xr:uid="{00000000-0005-0000-0000-00000A210000}"/>
    <cellStyle name="Normal 11 26 36" xfId="7732" xr:uid="{00000000-0005-0000-0000-00000B210000}"/>
    <cellStyle name="Normal 11 26 37" xfId="7733" xr:uid="{00000000-0005-0000-0000-00000C210000}"/>
    <cellStyle name="Normal 11 26 4" xfId="7734" xr:uid="{00000000-0005-0000-0000-00000D210000}"/>
    <cellStyle name="Normal 11 26 5" xfId="7735" xr:uid="{00000000-0005-0000-0000-00000E210000}"/>
    <cellStyle name="Normal 11 26 6" xfId="7736" xr:uid="{00000000-0005-0000-0000-00000F210000}"/>
    <cellStyle name="Normal 11 26 7" xfId="7737" xr:uid="{00000000-0005-0000-0000-000010210000}"/>
    <cellStyle name="Normal 11 26 8" xfId="7738" xr:uid="{00000000-0005-0000-0000-000011210000}"/>
    <cellStyle name="Normal 11 26 9" xfId="7739" xr:uid="{00000000-0005-0000-0000-000012210000}"/>
    <cellStyle name="Normal 11 27" xfId="7740" xr:uid="{00000000-0005-0000-0000-000013210000}"/>
    <cellStyle name="Normal 11 27 10" xfId="7741" xr:uid="{00000000-0005-0000-0000-000014210000}"/>
    <cellStyle name="Normal 11 27 11" xfId="7742" xr:uid="{00000000-0005-0000-0000-000015210000}"/>
    <cellStyle name="Normal 11 27 12" xfId="7743" xr:uid="{00000000-0005-0000-0000-000016210000}"/>
    <cellStyle name="Normal 11 27 13" xfId="7744" xr:uid="{00000000-0005-0000-0000-000017210000}"/>
    <cellStyle name="Normal 11 27 14" xfId="7745" xr:uid="{00000000-0005-0000-0000-000018210000}"/>
    <cellStyle name="Normal 11 27 15" xfId="7746" xr:uid="{00000000-0005-0000-0000-000019210000}"/>
    <cellStyle name="Normal 11 27 16" xfId="7747" xr:uid="{00000000-0005-0000-0000-00001A210000}"/>
    <cellStyle name="Normal 11 27 17" xfId="7748" xr:uid="{00000000-0005-0000-0000-00001B210000}"/>
    <cellStyle name="Normal 11 27 18" xfId="7749" xr:uid="{00000000-0005-0000-0000-00001C210000}"/>
    <cellStyle name="Normal 11 27 19" xfId="7750" xr:uid="{00000000-0005-0000-0000-00001D210000}"/>
    <cellStyle name="Normal 11 27 2" xfId="7751" xr:uid="{00000000-0005-0000-0000-00001E210000}"/>
    <cellStyle name="Normal 11 27 20" xfId="7752" xr:uid="{00000000-0005-0000-0000-00001F210000}"/>
    <cellStyle name="Normal 11 27 21" xfId="7753" xr:uid="{00000000-0005-0000-0000-000020210000}"/>
    <cellStyle name="Normal 11 27 22" xfId="7754" xr:uid="{00000000-0005-0000-0000-000021210000}"/>
    <cellStyle name="Normal 11 27 23" xfId="7755" xr:uid="{00000000-0005-0000-0000-000022210000}"/>
    <cellStyle name="Normal 11 27 24" xfId="7756" xr:uid="{00000000-0005-0000-0000-000023210000}"/>
    <cellStyle name="Normal 11 27 25" xfId="7757" xr:uid="{00000000-0005-0000-0000-000024210000}"/>
    <cellStyle name="Normal 11 27 26" xfId="7758" xr:uid="{00000000-0005-0000-0000-000025210000}"/>
    <cellStyle name="Normal 11 27 27" xfId="7759" xr:uid="{00000000-0005-0000-0000-000026210000}"/>
    <cellStyle name="Normal 11 27 28" xfId="7760" xr:uid="{00000000-0005-0000-0000-000027210000}"/>
    <cellStyle name="Normal 11 27 29" xfId="7761" xr:uid="{00000000-0005-0000-0000-000028210000}"/>
    <cellStyle name="Normal 11 27 3" xfId="7762" xr:uid="{00000000-0005-0000-0000-000029210000}"/>
    <cellStyle name="Normal 11 27 30" xfId="7763" xr:uid="{00000000-0005-0000-0000-00002A210000}"/>
    <cellStyle name="Normal 11 27 31" xfId="7764" xr:uid="{00000000-0005-0000-0000-00002B210000}"/>
    <cellStyle name="Normal 11 27 32" xfId="7765" xr:uid="{00000000-0005-0000-0000-00002C210000}"/>
    <cellStyle name="Normal 11 27 33" xfId="7766" xr:uid="{00000000-0005-0000-0000-00002D210000}"/>
    <cellStyle name="Normal 11 27 34" xfId="7767" xr:uid="{00000000-0005-0000-0000-00002E210000}"/>
    <cellStyle name="Normal 11 27 35" xfId="7768" xr:uid="{00000000-0005-0000-0000-00002F210000}"/>
    <cellStyle name="Normal 11 27 36" xfId="7769" xr:uid="{00000000-0005-0000-0000-000030210000}"/>
    <cellStyle name="Normal 11 27 37" xfId="7770" xr:uid="{00000000-0005-0000-0000-000031210000}"/>
    <cellStyle name="Normal 11 27 4" xfId="7771" xr:uid="{00000000-0005-0000-0000-000032210000}"/>
    <cellStyle name="Normal 11 27 5" xfId="7772" xr:uid="{00000000-0005-0000-0000-000033210000}"/>
    <cellStyle name="Normal 11 27 6" xfId="7773" xr:uid="{00000000-0005-0000-0000-000034210000}"/>
    <cellStyle name="Normal 11 27 7" xfId="7774" xr:uid="{00000000-0005-0000-0000-000035210000}"/>
    <cellStyle name="Normal 11 27 8" xfId="7775" xr:uid="{00000000-0005-0000-0000-000036210000}"/>
    <cellStyle name="Normal 11 27 9" xfId="7776" xr:uid="{00000000-0005-0000-0000-000037210000}"/>
    <cellStyle name="Normal 11 28" xfId="7777" xr:uid="{00000000-0005-0000-0000-000038210000}"/>
    <cellStyle name="Normal 11 28 10" xfId="7778" xr:uid="{00000000-0005-0000-0000-000039210000}"/>
    <cellStyle name="Normal 11 28 11" xfId="7779" xr:uid="{00000000-0005-0000-0000-00003A210000}"/>
    <cellStyle name="Normal 11 28 12" xfId="7780" xr:uid="{00000000-0005-0000-0000-00003B210000}"/>
    <cellStyle name="Normal 11 28 13" xfId="7781" xr:uid="{00000000-0005-0000-0000-00003C210000}"/>
    <cellStyle name="Normal 11 28 14" xfId="7782" xr:uid="{00000000-0005-0000-0000-00003D210000}"/>
    <cellStyle name="Normal 11 28 15" xfId="7783" xr:uid="{00000000-0005-0000-0000-00003E210000}"/>
    <cellStyle name="Normal 11 28 16" xfId="7784" xr:uid="{00000000-0005-0000-0000-00003F210000}"/>
    <cellStyle name="Normal 11 28 17" xfId="7785" xr:uid="{00000000-0005-0000-0000-000040210000}"/>
    <cellStyle name="Normal 11 28 18" xfId="7786" xr:uid="{00000000-0005-0000-0000-000041210000}"/>
    <cellStyle name="Normal 11 28 19" xfId="7787" xr:uid="{00000000-0005-0000-0000-000042210000}"/>
    <cellStyle name="Normal 11 28 2" xfId="7788" xr:uid="{00000000-0005-0000-0000-000043210000}"/>
    <cellStyle name="Normal 11 28 20" xfId="7789" xr:uid="{00000000-0005-0000-0000-000044210000}"/>
    <cellStyle name="Normal 11 28 21" xfId="7790" xr:uid="{00000000-0005-0000-0000-000045210000}"/>
    <cellStyle name="Normal 11 28 22" xfId="7791" xr:uid="{00000000-0005-0000-0000-000046210000}"/>
    <cellStyle name="Normal 11 28 23" xfId="7792" xr:uid="{00000000-0005-0000-0000-000047210000}"/>
    <cellStyle name="Normal 11 28 24" xfId="7793" xr:uid="{00000000-0005-0000-0000-000048210000}"/>
    <cellStyle name="Normal 11 28 25" xfId="7794" xr:uid="{00000000-0005-0000-0000-000049210000}"/>
    <cellStyle name="Normal 11 28 26" xfId="7795" xr:uid="{00000000-0005-0000-0000-00004A210000}"/>
    <cellStyle name="Normal 11 28 27" xfId="7796" xr:uid="{00000000-0005-0000-0000-00004B210000}"/>
    <cellStyle name="Normal 11 28 28" xfId="7797" xr:uid="{00000000-0005-0000-0000-00004C210000}"/>
    <cellStyle name="Normal 11 28 29" xfId="7798" xr:uid="{00000000-0005-0000-0000-00004D210000}"/>
    <cellStyle name="Normal 11 28 3" xfId="7799" xr:uid="{00000000-0005-0000-0000-00004E210000}"/>
    <cellStyle name="Normal 11 28 30" xfId="7800" xr:uid="{00000000-0005-0000-0000-00004F210000}"/>
    <cellStyle name="Normal 11 28 31" xfId="7801" xr:uid="{00000000-0005-0000-0000-000050210000}"/>
    <cellStyle name="Normal 11 28 32" xfId="7802" xr:uid="{00000000-0005-0000-0000-000051210000}"/>
    <cellStyle name="Normal 11 28 33" xfId="7803" xr:uid="{00000000-0005-0000-0000-000052210000}"/>
    <cellStyle name="Normal 11 28 34" xfId="7804" xr:uid="{00000000-0005-0000-0000-000053210000}"/>
    <cellStyle name="Normal 11 28 35" xfId="7805" xr:uid="{00000000-0005-0000-0000-000054210000}"/>
    <cellStyle name="Normal 11 28 36" xfId="7806" xr:uid="{00000000-0005-0000-0000-000055210000}"/>
    <cellStyle name="Normal 11 28 37" xfId="7807" xr:uid="{00000000-0005-0000-0000-000056210000}"/>
    <cellStyle name="Normal 11 28 4" xfId="7808" xr:uid="{00000000-0005-0000-0000-000057210000}"/>
    <cellStyle name="Normal 11 28 5" xfId="7809" xr:uid="{00000000-0005-0000-0000-000058210000}"/>
    <cellStyle name="Normal 11 28 6" xfId="7810" xr:uid="{00000000-0005-0000-0000-000059210000}"/>
    <cellStyle name="Normal 11 28 7" xfId="7811" xr:uid="{00000000-0005-0000-0000-00005A210000}"/>
    <cellStyle name="Normal 11 28 8" xfId="7812" xr:uid="{00000000-0005-0000-0000-00005B210000}"/>
    <cellStyle name="Normal 11 28 9" xfId="7813" xr:uid="{00000000-0005-0000-0000-00005C210000}"/>
    <cellStyle name="Normal 11 29" xfId="7814" xr:uid="{00000000-0005-0000-0000-00005D210000}"/>
    <cellStyle name="Normal 11 29 10" xfId="7815" xr:uid="{00000000-0005-0000-0000-00005E210000}"/>
    <cellStyle name="Normal 11 29 11" xfId="7816" xr:uid="{00000000-0005-0000-0000-00005F210000}"/>
    <cellStyle name="Normal 11 29 12" xfId="7817" xr:uid="{00000000-0005-0000-0000-000060210000}"/>
    <cellStyle name="Normal 11 29 13" xfId="7818" xr:uid="{00000000-0005-0000-0000-000061210000}"/>
    <cellStyle name="Normal 11 29 14" xfId="7819" xr:uid="{00000000-0005-0000-0000-000062210000}"/>
    <cellStyle name="Normal 11 29 15" xfId="7820" xr:uid="{00000000-0005-0000-0000-000063210000}"/>
    <cellStyle name="Normal 11 29 16" xfId="7821" xr:uid="{00000000-0005-0000-0000-000064210000}"/>
    <cellStyle name="Normal 11 29 17" xfId="7822" xr:uid="{00000000-0005-0000-0000-000065210000}"/>
    <cellStyle name="Normal 11 29 18" xfId="7823" xr:uid="{00000000-0005-0000-0000-000066210000}"/>
    <cellStyle name="Normal 11 29 19" xfId="7824" xr:uid="{00000000-0005-0000-0000-000067210000}"/>
    <cellStyle name="Normal 11 29 2" xfId="7825" xr:uid="{00000000-0005-0000-0000-000068210000}"/>
    <cellStyle name="Normal 11 29 20" xfId="7826" xr:uid="{00000000-0005-0000-0000-000069210000}"/>
    <cellStyle name="Normal 11 29 21" xfId="7827" xr:uid="{00000000-0005-0000-0000-00006A210000}"/>
    <cellStyle name="Normal 11 29 22" xfId="7828" xr:uid="{00000000-0005-0000-0000-00006B210000}"/>
    <cellStyle name="Normal 11 29 23" xfId="7829" xr:uid="{00000000-0005-0000-0000-00006C210000}"/>
    <cellStyle name="Normal 11 29 24" xfId="7830" xr:uid="{00000000-0005-0000-0000-00006D210000}"/>
    <cellStyle name="Normal 11 29 25" xfId="7831" xr:uid="{00000000-0005-0000-0000-00006E210000}"/>
    <cellStyle name="Normal 11 29 26" xfId="7832" xr:uid="{00000000-0005-0000-0000-00006F210000}"/>
    <cellStyle name="Normal 11 29 27" xfId="7833" xr:uid="{00000000-0005-0000-0000-000070210000}"/>
    <cellStyle name="Normal 11 29 28" xfId="7834" xr:uid="{00000000-0005-0000-0000-000071210000}"/>
    <cellStyle name="Normal 11 29 29" xfId="7835" xr:uid="{00000000-0005-0000-0000-000072210000}"/>
    <cellStyle name="Normal 11 29 3" xfId="7836" xr:uid="{00000000-0005-0000-0000-000073210000}"/>
    <cellStyle name="Normal 11 29 30" xfId="7837" xr:uid="{00000000-0005-0000-0000-000074210000}"/>
    <cellStyle name="Normal 11 29 31" xfId="7838" xr:uid="{00000000-0005-0000-0000-000075210000}"/>
    <cellStyle name="Normal 11 29 32" xfId="7839" xr:uid="{00000000-0005-0000-0000-000076210000}"/>
    <cellStyle name="Normal 11 29 33" xfId="7840" xr:uid="{00000000-0005-0000-0000-000077210000}"/>
    <cellStyle name="Normal 11 29 34" xfId="7841" xr:uid="{00000000-0005-0000-0000-000078210000}"/>
    <cellStyle name="Normal 11 29 35" xfId="7842" xr:uid="{00000000-0005-0000-0000-000079210000}"/>
    <cellStyle name="Normal 11 29 36" xfId="7843" xr:uid="{00000000-0005-0000-0000-00007A210000}"/>
    <cellStyle name="Normal 11 29 37" xfId="7844" xr:uid="{00000000-0005-0000-0000-00007B210000}"/>
    <cellStyle name="Normal 11 29 4" xfId="7845" xr:uid="{00000000-0005-0000-0000-00007C210000}"/>
    <cellStyle name="Normal 11 29 5" xfId="7846" xr:uid="{00000000-0005-0000-0000-00007D210000}"/>
    <cellStyle name="Normal 11 29 6" xfId="7847" xr:uid="{00000000-0005-0000-0000-00007E210000}"/>
    <cellStyle name="Normal 11 29 7" xfId="7848" xr:uid="{00000000-0005-0000-0000-00007F210000}"/>
    <cellStyle name="Normal 11 29 8" xfId="7849" xr:uid="{00000000-0005-0000-0000-000080210000}"/>
    <cellStyle name="Normal 11 29 9" xfId="7850" xr:uid="{00000000-0005-0000-0000-000081210000}"/>
    <cellStyle name="Normal 11 3" xfId="4" xr:uid="{00000000-0005-0000-0000-000082210000}"/>
    <cellStyle name="Normal 11 3 10" xfId="7852" xr:uid="{00000000-0005-0000-0000-000083210000}"/>
    <cellStyle name="Normal 11 3 10 2" xfId="7853" xr:uid="{00000000-0005-0000-0000-000084210000}"/>
    <cellStyle name="Normal 11 3 10 2 2" xfId="7854" xr:uid="{00000000-0005-0000-0000-000085210000}"/>
    <cellStyle name="Normal 11 3 10 2 3" xfId="7855" xr:uid="{00000000-0005-0000-0000-000086210000}"/>
    <cellStyle name="Normal 11 3 10 2 4" xfId="7856" xr:uid="{00000000-0005-0000-0000-000087210000}"/>
    <cellStyle name="Normal 11 3 10 3" xfId="7857" xr:uid="{00000000-0005-0000-0000-000088210000}"/>
    <cellStyle name="Normal 11 3 10 3 2" xfId="7858" xr:uid="{00000000-0005-0000-0000-000089210000}"/>
    <cellStyle name="Normal 11 3 10 3 3" xfId="7859" xr:uid="{00000000-0005-0000-0000-00008A210000}"/>
    <cellStyle name="Normal 11 3 10 3 4" xfId="7860" xr:uid="{00000000-0005-0000-0000-00008B210000}"/>
    <cellStyle name="Normal 11 3 10 4" xfId="7861" xr:uid="{00000000-0005-0000-0000-00008C210000}"/>
    <cellStyle name="Normal 11 3 10 5" xfId="7862" xr:uid="{00000000-0005-0000-0000-00008D210000}"/>
    <cellStyle name="Normal 11 3 10 6" xfId="7863" xr:uid="{00000000-0005-0000-0000-00008E210000}"/>
    <cellStyle name="Normal 11 3 11" xfId="7864" xr:uid="{00000000-0005-0000-0000-00008F210000}"/>
    <cellStyle name="Normal 11 3 11 2" xfId="7865" xr:uid="{00000000-0005-0000-0000-000090210000}"/>
    <cellStyle name="Normal 11 3 11 2 2" xfId="7866" xr:uid="{00000000-0005-0000-0000-000091210000}"/>
    <cellStyle name="Normal 11 3 11 2 3" xfId="7867" xr:uid="{00000000-0005-0000-0000-000092210000}"/>
    <cellStyle name="Normal 11 3 11 2 4" xfId="7868" xr:uid="{00000000-0005-0000-0000-000093210000}"/>
    <cellStyle name="Normal 11 3 11 3" xfId="7869" xr:uid="{00000000-0005-0000-0000-000094210000}"/>
    <cellStyle name="Normal 11 3 11 3 2" xfId="7870" xr:uid="{00000000-0005-0000-0000-000095210000}"/>
    <cellStyle name="Normal 11 3 11 3 3" xfId="7871" xr:uid="{00000000-0005-0000-0000-000096210000}"/>
    <cellStyle name="Normal 11 3 11 3 4" xfId="7872" xr:uid="{00000000-0005-0000-0000-000097210000}"/>
    <cellStyle name="Normal 11 3 11 4" xfId="7873" xr:uid="{00000000-0005-0000-0000-000098210000}"/>
    <cellStyle name="Normal 11 3 11 5" xfId="7874" xr:uid="{00000000-0005-0000-0000-000099210000}"/>
    <cellStyle name="Normal 11 3 11 6" xfId="7875" xr:uid="{00000000-0005-0000-0000-00009A210000}"/>
    <cellStyle name="Normal 11 3 12" xfId="7876" xr:uid="{00000000-0005-0000-0000-00009B210000}"/>
    <cellStyle name="Normal 11 3 12 2" xfId="7877" xr:uid="{00000000-0005-0000-0000-00009C210000}"/>
    <cellStyle name="Normal 11 3 12 2 2" xfId="7878" xr:uid="{00000000-0005-0000-0000-00009D210000}"/>
    <cellStyle name="Normal 11 3 12 2 3" xfId="7879" xr:uid="{00000000-0005-0000-0000-00009E210000}"/>
    <cellStyle name="Normal 11 3 12 2 4" xfId="7880" xr:uid="{00000000-0005-0000-0000-00009F210000}"/>
    <cellStyle name="Normal 11 3 12 3" xfId="7881" xr:uid="{00000000-0005-0000-0000-0000A0210000}"/>
    <cellStyle name="Normal 11 3 12 3 2" xfId="7882" xr:uid="{00000000-0005-0000-0000-0000A1210000}"/>
    <cellStyle name="Normal 11 3 12 3 3" xfId="7883" xr:uid="{00000000-0005-0000-0000-0000A2210000}"/>
    <cellStyle name="Normal 11 3 12 3 4" xfId="7884" xr:uid="{00000000-0005-0000-0000-0000A3210000}"/>
    <cellStyle name="Normal 11 3 12 4" xfId="7885" xr:uid="{00000000-0005-0000-0000-0000A4210000}"/>
    <cellStyle name="Normal 11 3 12 5" xfId="7886" xr:uid="{00000000-0005-0000-0000-0000A5210000}"/>
    <cellStyle name="Normal 11 3 12 6" xfId="7887" xr:uid="{00000000-0005-0000-0000-0000A6210000}"/>
    <cellStyle name="Normal 11 3 13" xfId="7888" xr:uid="{00000000-0005-0000-0000-0000A7210000}"/>
    <cellStyle name="Normal 11 3 13 2" xfId="7889" xr:uid="{00000000-0005-0000-0000-0000A8210000}"/>
    <cellStyle name="Normal 11 3 13 2 2" xfId="7890" xr:uid="{00000000-0005-0000-0000-0000A9210000}"/>
    <cellStyle name="Normal 11 3 13 2 3" xfId="7891" xr:uid="{00000000-0005-0000-0000-0000AA210000}"/>
    <cellStyle name="Normal 11 3 13 2 4" xfId="7892" xr:uid="{00000000-0005-0000-0000-0000AB210000}"/>
    <cellStyle name="Normal 11 3 13 3" xfId="7893" xr:uid="{00000000-0005-0000-0000-0000AC210000}"/>
    <cellStyle name="Normal 11 3 13 3 2" xfId="7894" xr:uid="{00000000-0005-0000-0000-0000AD210000}"/>
    <cellStyle name="Normal 11 3 13 3 3" xfId="7895" xr:uid="{00000000-0005-0000-0000-0000AE210000}"/>
    <cellStyle name="Normal 11 3 13 3 4" xfId="7896" xr:uid="{00000000-0005-0000-0000-0000AF210000}"/>
    <cellStyle name="Normal 11 3 13 4" xfId="7897" xr:uid="{00000000-0005-0000-0000-0000B0210000}"/>
    <cellStyle name="Normal 11 3 13 5" xfId="7898" xr:uid="{00000000-0005-0000-0000-0000B1210000}"/>
    <cellStyle name="Normal 11 3 13 6" xfId="7899" xr:uid="{00000000-0005-0000-0000-0000B2210000}"/>
    <cellStyle name="Normal 11 3 14" xfId="7900" xr:uid="{00000000-0005-0000-0000-0000B3210000}"/>
    <cellStyle name="Normal 11 3 14 2" xfId="7901" xr:uid="{00000000-0005-0000-0000-0000B4210000}"/>
    <cellStyle name="Normal 11 3 14 2 2" xfId="7902" xr:uid="{00000000-0005-0000-0000-0000B5210000}"/>
    <cellStyle name="Normal 11 3 14 2 3" xfId="7903" xr:uid="{00000000-0005-0000-0000-0000B6210000}"/>
    <cellStyle name="Normal 11 3 14 2 4" xfId="7904" xr:uid="{00000000-0005-0000-0000-0000B7210000}"/>
    <cellStyle name="Normal 11 3 14 3" xfId="7905" xr:uid="{00000000-0005-0000-0000-0000B8210000}"/>
    <cellStyle name="Normal 11 3 14 3 2" xfId="7906" xr:uid="{00000000-0005-0000-0000-0000B9210000}"/>
    <cellStyle name="Normal 11 3 14 3 3" xfId="7907" xr:uid="{00000000-0005-0000-0000-0000BA210000}"/>
    <cellStyle name="Normal 11 3 14 3 4" xfId="7908" xr:uid="{00000000-0005-0000-0000-0000BB210000}"/>
    <cellStyle name="Normal 11 3 14 4" xfId="7909" xr:uid="{00000000-0005-0000-0000-0000BC210000}"/>
    <cellStyle name="Normal 11 3 14 5" xfId="7910" xr:uid="{00000000-0005-0000-0000-0000BD210000}"/>
    <cellStyle name="Normal 11 3 14 6" xfId="7911" xr:uid="{00000000-0005-0000-0000-0000BE210000}"/>
    <cellStyle name="Normal 11 3 15" xfId="7912" xr:uid="{00000000-0005-0000-0000-0000BF210000}"/>
    <cellStyle name="Normal 11 3 15 2" xfId="7913" xr:uid="{00000000-0005-0000-0000-0000C0210000}"/>
    <cellStyle name="Normal 11 3 15 2 2" xfId="7914" xr:uid="{00000000-0005-0000-0000-0000C1210000}"/>
    <cellStyle name="Normal 11 3 15 2 3" xfId="7915" xr:uid="{00000000-0005-0000-0000-0000C2210000}"/>
    <cellStyle name="Normal 11 3 15 2 4" xfId="7916" xr:uid="{00000000-0005-0000-0000-0000C3210000}"/>
    <cellStyle name="Normal 11 3 15 3" xfId="7917" xr:uid="{00000000-0005-0000-0000-0000C4210000}"/>
    <cellStyle name="Normal 11 3 15 3 2" xfId="7918" xr:uid="{00000000-0005-0000-0000-0000C5210000}"/>
    <cellStyle name="Normal 11 3 15 3 3" xfId="7919" xr:uid="{00000000-0005-0000-0000-0000C6210000}"/>
    <cellStyle name="Normal 11 3 15 3 4" xfId="7920" xr:uid="{00000000-0005-0000-0000-0000C7210000}"/>
    <cellStyle name="Normal 11 3 15 4" xfId="7921" xr:uid="{00000000-0005-0000-0000-0000C8210000}"/>
    <cellStyle name="Normal 11 3 15 5" xfId="7922" xr:uid="{00000000-0005-0000-0000-0000C9210000}"/>
    <cellStyle name="Normal 11 3 15 6" xfId="7923" xr:uid="{00000000-0005-0000-0000-0000CA210000}"/>
    <cellStyle name="Normal 11 3 16" xfId="7924" xr:uid="{00000000-0005-0000-0000-0000CB210000}"/>
    <cellStyle name="Normal 11 3 16 2" xfId="7925" xr:uid="{00000000-0005-0000-0000-0000CC210000}"/>
    <cellStyle name="Normal 11 3 16 2 2" xfId="7926" xr:uid="{00000000-0005-0000-0000-0000CD210000}"/>
    <cellStyle name="Normal 11 3 16 2 3" xfId="7927" xr:uid="{00000000-0005-0000-0000-0000CE210000}"/>
    <cellStyle name="Normal 11 3 16 2 4" xfId="7928" xr:uid="{00000000-0005-0000-0000-0000CF210000}"/>
    <cellStyle name="Normal 11 3 16 3" xfId="7929" xr:uid="{00000000-0005-0000-0000-0000D0210000}"/>
    <cellStyle name="Normal 11 3 16 3 2" xfId="7930" xr:uid="{00000000-0005-0000-0000-0000D1210000}"/>
    <cellStyle name="Normal 11 3 16 3 3" xfId="7931" xr:uid="{00000000-0005-0000-0000-0000D2210000}"/>
    <cellStyle name="Normal 11 3 16 3 4" xfId="7932" xr:uid="{00000000-0005-0000-0000-0000D3210000}"/>
    <cellStyle name="Normal 11 3 16 4" xfId="7933" xr:uid="{00000000-0005-0000-0000-0000D4210000}"/>
    <cellStyle name="Normal 11 3 16 5" xfId="7934" xr:uid="{00000000-0005-0000-0000-0000D5210000}"/>
    <cellStyle name="Normal 11 3 16 6" xfId="7935" xr:uid="{00000000-0005-0000-0000-0000D6210000}"/>
    <cellStyle name="Normal 11 3 17" xfId="7936" xr:uid="{00000000-0005-0000-0000-0000D7210000}"/>
    <cellStyle name="Normal 11 3 17 2" xfId="7937" xr:uid="{00000000-0005-0000-0000-0000D8210000}"/>
    <cellStyle name="Normal 11 3 17 2 2" xfId="7938" xr:uid="{00000000-0005-0000-0000-0000D9210000}"/>
    <cellStyle name="Normal 11 3 17 2 3" xfId="7939" xr:uid="{00000000-0005-0000-0000-0000DA210000}"/>
    <cellStyle name="Normal 11 3 17 2 4" xfId="7940" xr:uid="{00000000-0005-0000-0000-0000DB210000}"/>
    <cellStyle name="Normal 11 3 17 3" xfId="7941" xr:uid="{00000000-0005-0000-0000-0000DC210000}"/>
    <cellStyle name="Normal 11 3 17 3 2" xfId="7942" xr:uid="{00000000-0005-0000-0000-0000DD210000}"/>
    <cellStyle name="Normal 11 3 17 3 3" xfId="7943" xr:uid="{00000000-0005-0000-0000-0000DE210000}"/>
    <cellStyle name="Normal 11 3 17 3 4" xfId="7944" xr:uid="{00000000-0005-0000-0000-0000DF210000}"/>
    <cellStyle name="Normal 11 3 17 4" xfId="7945" xr:uid="{00000000-0005-0000-0000-0000E0210000}"/>
    <cellStyle name="Normal 11 3 17 5" xfId="7946" xr:uid="{00000000-0005-0000-0000-0000E1210000}"/>
    <cellStyle name="Normal 11 3 17 6" xfId="7947" xr:uid="{00000000-0005-0000-0000-0000E2210000}"/>
    <cellStyle name="Normal 11 3 18" xfId="7948" xr:uid="{00000000-0005-0000-0000-0000E3210000}"/>
    <cellStyle name="Normal 11 3 18 2" xfId="7949" xr:uid="{00000000-0005-0000-0000-0000E4210000}"/>
    <cellStyle name="Normal 11 3 18 3" xfId="7950" xr:uid="{00000000-0005-0000-0000-0000E5210000}"/>
    <cellStyle name="Normal 11 3 18 4" xfId="7951" xr:uid="{00000000-0005-0000-0000-0000E6210000}"/>
    <cellStyle name="Normal 11 3 19" xfId="7952" xr:uid="{00000000-0005-0000-0000-0000E7210000}"/>
    <cellStyle name="Normal 11 3 19 2" xfId="7953" xr:uid="{00000000-0005-0000-0000-0000E8210000}"/>
    <cellStyle name="Normal 11 3 19 3" xfId="7954" xr:uid="{00000000-0005-0000-0000-0000E9210000}"/>
    <cellStyle name="Normal 11 3 19 4" xfId="7955" xr:uid="{00000000-0005-0000-0000-0000EA210000}"/>
    <cellStyle name="Normal 11 3 2" xfId="7956" xr:uid="{00000000-0005-0000-0000-0000EB210000}"/>
    <cellStyle name="Normal 11 3 2 2" xfId="7957" xr:uid="{00000000-0005-0000-0000-0000EC210000}"/>
    <cellStyle name="Normal 11 3 2 2 2" xfId="7958" xr:uid="{00000000-0005-0000-0000-0000ED210000}"/>
    <cellStyle name="Normal 11 3 2 2 3" xfId="7959" xr:uid="{00000000-0005-0000-0000-0000EE210000}"/>
    <cellStyle name="Normal 11 3 2 2 4" xfId="7960" xr:uid="{00000000-0005-0000-0000-0000EF210000}"/>
    <cellStyle name="Normal 11 3 2 3" xfId="7961" xr:uid="{00000000-0005-0000-0000-0000F0210000}"/>
    <cellStyle name="Normal 11 3 2 3 2" xfId="7962" xr:uid="{00000000-0005-0000-0000-0000F1210000}"/>
    <cellStyle name="Normal 11 3 2 3 3" xfId="7963" xr:uid="{00000000-0005-0000-0000-0000F2210000}"/>
    <cellStyle name="Normal 11 3 2 3 4" xfId="7964" xr:uid="{00000000-0005-0000-0000-0000F3210000}"/>
    <cellStyle name="Normal 11 3 2 4" xfId="7965" xr:uid="{00000000-0005-0000-0000-0000F4210000}"/>
    <cellStyle name="Normal 11 3 2 5" xfId="7966" xr:uid="{00000000-0005-0000-0000-0000F5210000}"/>
    <cellStyle name="Normal 11 3 2 6" xfId="7967" xr:uid="{00000000-0005-0000-0000-0000F6210000}"/>
    <cellStyle name="Normal 11 3 20" xfId="7968" xr:uid="{00000000-0005-0000-0000-0000F7210000}"/>
    <cellStyle name="Normal 11 3 20 2" xfId="7969" xr:uid="{00000000-0005-0000-0000-0000F8210000}"/>
    <cellStyle name="Normal 11 3 20 3" xfId="7970" xr:uid="{00000000-0005-0000-0000-0000F9210000}"/>
    <cellStyle name="Normal 11 3 20 4" xfId="7971" xr:uid="{00000000-0005-0000-0000-0000FA210000}"/>
    <cellStyle name="Normal 11 3 21" xfId="7972" xr:uid="{00000000-0005-0000-0000-0000FB210000}"/>
    <cellStyle name="Normal 11 3 22" xfId="7973" xr:uid="{00000000-0005-0000-0000-0000FC210000}"/>
    <cellStyle name="Normal 11 3 23" xfId="7974" xr:uid="{00000000-0005-0000-0000-0000FD210000}"/>
    <cellStyle name="Normal 11 3 24" xfId="7975" xr:uid="{00000000-0005-0000-0000-0000FE210000}"/>
    <cellStyle name="Normal 11 3 25" xfId="7976" xr:uid="{00000000-0005-0000-0000-0000FF210000}"/>
    <cellStyle name="Normal 11 3 26" xfId="7977" xr:uid="{00000000-0005-0000-0000-000000220000}"/>
    <cellStyle name="Normal 11 3 27" xfId="7978" xr:uid="{00000000-0005-0000-0000-000001220000}"/>
    <cellStyle name="Normal 11 3 28" xfId="7979" xr:uid="{00000000-0005-0000-0000-000002220000}"/>
    <cellStyle name="Normal 11 3 29" xfId="7980" xr:uid="{00000000-0005-0000-0000-000003220000}"/>
    <cellStyle name="Normal 11 3 3" xfId="7981" xr:uid="{00000000-0005-0000-0000-000004220000}"/>
    <cellStyle name="Normal 11 3 3 2" xfId="7982" xr:uid="{00000000-0005-0000-0000-000005220000}"/>
    <cellStyle name="Normal 11 3 3 2 2" xfId="7983" xr:uid="{00000000-0005-0000-0000-000006220000}"/>
    <cellStyle name="Normal 11 3 3 2 3" xfId="7984" xr:uid="{00000000-0005-0000-0000-000007220000}"/>
    <cellStyle name="Normal 11 3 3 2 4" xfId="7985" xr:uid="{00000000-0005-0000-0000-000008220000}"/>
    <cellStyle name="Normal 11 3 3 3" xfId="7986" xr:uid="{00000000-0005-0000-0000-000009220000}"/>
    <cellStyle name="Normal 11 3 3 3 2" xfId="7987" xr:uid="{00000000-0005-0000-0000-00000A220000}"/>
    <cellStyle name="Normal 11 3 3 3 3" xfId="7988" xr:uid="{00000000-0005-0000-0000-00000B220000}"/>
    <cellStyle name="Normal 11 3 3 3 4" xfId="7989" xr:uid="{00000000-0005-0000-0000-00000C220000}"/>
    <cellStyle name="Normal 11 3 3 4" xfId="7990" xr:uid="{00000000-0005-0000-0000-00000D220000}"/>
    <cellStyle name="Normal 11 3 3 5" xfId="7991" xr:uid="{00000000-0005-0000-0000-00000E220000}"/>
    <cellStyle name="Normal 11 3 3 6" xfId="7992" xr:uid="{00000000-0005-0000-0000-00000F220000}"/>
    <cellStyle name="Normal 11 3 30" xfId="7993" xr:uid="{00000000-0005-0000-0000-000010220000}"/>
    <cellStyle name="Normal 11 3 31" xfId="7994" xr:uid="{00000000-0005-0000-0000-000011220000}"/>
    <cellStyle name="Normal 11 3 32" xfId="7995" xr:uid="{00000000-0005-0000-0000-000012220000}"/>
    <cellStyle name="Normal 11 3 33" xfId="7996" xr:uid="{00000000-0005-0000-0000-000013220000}"/>
    <cellStyle name="Normal 11 3 34" xfId="7997" xr:uid="{00000000-0005-0000-0000-000014220000}"/>
    <cellStyle name="Normal 11 3 35" xfId="7998" xr:uid="{00000000-0005-0000-0000-000015220000}"/>
    <cellStyle name="Normal 11 3 36" xfId="7999" xr:uid="{00000000-0005-0000-0000-000016220000}"/>
    <cellStyle name="Normal 11 3 37" xfId="8000" xr:uid="{00000000-0005-0000-0000-000017220000}"/>
    <cellStyle name="Normal 11 3 38" xfId="8001" xr:uid="{00000000-0005-0000-0000-000018220000}"/>
    <cellStyle name="Normal 11 3 39" xfId="8002" xr:uid="{00000000-0005-0000-0000-000019220000}"/>
    <cellStyle name="Normal 11 3 4" xfId="8003" xr:uid="{00000000-0005-0000-0000-00001A220000}"/>
    <cellStyle name="Normal 11 3 4 2" xfId="8004" xr:uid="{00000000-0005-0000-0000-00001B220000}"/>
    <cellStyle name="Normal 11 3 4 2 2" xfId="8005" xr:uid="{00000000-0005-0000-0000-00001C220000}"/>
    <cellStyle name="Normal 11 3 4 2 3" xfId="8006" xr:uid="{00000000-0005-0000-0000-00001D220000}"/>
    <cellStyle name="Normal 11 3 4 2 4" xfId="8007" xr:uid="{00000000-0005-0000-0000-00001E220000}"/>
    <cellStyle name="Normal 11 3 4 3" xfId="8008" xr:uid="{00000000-0005-0000-0000-00001F220000}"/>
    <cellStyle name="Normal 11 3 4 3 2" xfId="8009" xr:uid="{00000000-0005-0000-0000-000020220000}"/>
    <cellStyle name="Normal 11 3 4 3 3" xfId="8010" xr:uid="{00000000-0005-0000-0000-000021220000}"/>
    <cellStyle name="Normal 11 3 4 3 4" xfId="8011" xr:uid="{00000000-0005-0000-0000-000022220000}"/>
    <cellStyle name="Normal 11 3 4 4" xfId="8012" xr:uid="{00000000-0005-0000-0000-000023220000}"/>
    <cellStyle name="Normal 11 3 4 5" xfId="8013" xr:uid="{00000000-0005-0000-0000-000024220000}"/>
    <cellStyle name="Normal 11 3 4 6" xfId="8014" xr:uid="{00000000-0005-0000-0000-000025220000}"/>
    <cellStyle name="Normal 11 3 40" xfId="8015" xr:uid="{00000000-0005-0000-0000-000026220000}"/>
    <cellStyle name="Normal 11 3 41" xfId="8016" xr:uid="{00000000-0005-0000-0000-000027220000}"/>
    <cellStyle name="Normal 11 3 42" xfId="8017" xr:uid="{00000000-0005-0000-0000-000028220000}"/>
    <cellStyle name="Normal 11 3 43" xfId="8018" xr:uid="{00000000-0005-0000-0000-000029220000}"/>
    <cellStyle name="Normal 11 3 44" xfId="8019" xr:uid="{00000000-0005-0000-0000-00002A220000}"/>
    <cellStyle name="Normal 11 3 45" xfId="8020" xr:uid="{00000000-0005-0000-0000-00002B220000}"/>
    <cellStyle name="Normal 11 3 46" xfId="8021" xr:uid="{00000000-0005-0000-0000-00002C220000}"/>
    <cellStyle name="Normal 11 3 47" xfId="8022" xr:uid="{00000000-0005-0000-0000-00002D220000}"/>
    <cellStyle name="Normal 11 3 48" xfId="8023" xr:uid="{00000000-0005-0000-0000-00002E220000}"/>
    <cellStyle name="Normal 11 3 49" xfId="8024" xr:uid="{00000000-0005-0000-0000-00002F220000}"/>
    <cellStyle name="Normal 11 3 5" xfId="8025" xr:uid="{00000000-0005-0000-0000-000030220000}"/>
    <cellStyle name="Normal 11 3 5 2" xfId="8026" xr:uid="{00000000-0005-0000-0000-000031220000}"/>
    <cellStyle name="Normal 11 3 5 2 2" xfId="8027" xr:uid="{00000000-0005-0000-0000-000032220000}"/>
    <cellStyle name="Normal 11 3 5 2 3" xfId="8028" xr:uid="{00000000-0005-0000-0000-000033220000}"/>
    <cellStyle name="Normal 11 3 5 2 4" xfId="8029" xr:uid="{00000000-0005-0000-0000-000034220000}"/>
    <cellStyle name="Normal 11 3 5 3" xfId="8030" xr:uid="{00000000-0005-0000-0000-000035220000}"/>
    <cellStyle name="Normal 11 3 5 3 2" xfId="8031" xr:uid="{00000000-0005-0000-0000-000036220000}"/>
    <cellStyle name="Normal 11 3 5 3 3" xfId="8032" xr:uid="{00000000-0005-0000-0000-000037220000}"/>
    <cellStyle name="Normal 11 3 5 3 4" xfId="8033" xr:uid="{00000000-0005-0000-0000-000038220000}"/>
    <cellStyle name="Normal 11 3 5 4" xfId="8034" xr:uid="{00000000-0005-0000-0000-000039220000}"/>
    <cellStyle name="Normal 11 3 5 5" xfId="8035" xr:uid="{00000000-0005-0000-0000-00003A220000}"/>
    <cellStyle name="Normal 11 3 5 6" xfId="8036" xr:uid="{00000000-0005-0000-0000-00003B220000}"/>
    <cellStyle name="Normal 11 3 50" xfId="8037" xr:uid="{00000000-0005-0000-0000-00003C220000}"/>
    <cellStyle name="Normal 11 3 51" xfId="8038" xr:uid="{00000000-0005-0000-0000-00003D220000}"/>
    <cellStyle name="Normal 11 3 52" xfId="8039" xr:uid="{00000000-0005-0000-0000-00003E220000}"/>
    <cellStyle name="Normal 11 3 53" xfId="7851" xr:uid="{00000000-0005-0000-0000-00003F220000}"/>
    <cellStyle name="Normal 11 3 6" xfId="8040" xr:uid="{00000000-0005-0000-0000-000040220000}"/>
    <cellStyle name="Normal 11 3 6 2" xfId="8041" xr:uid="{00000000-0005-0000-0000-000041220000}"/>
    <cellStyle name="Normal 11 3 6 2 2" xfId="8042" xr:uid="{00000000-0005-0000-0000-000042220000}"/>
    <cellStyle name="Normal 11 3 6 2 3" xfId="8043" xr:uid="{00000000-0005-0000-0000-000043220000}"/>
    <cellStyle name="Normal 11 3 6 2 4" xfId="8044" xr:uid="{00000000-0005-0000-0000-000044220000}"/>
    <cellStyle name="Normal 11 3 6 3" xfId="8045" xr:uid="{00000000-0005-0000-0000-000045220000}"/>
    <cellStyle name="Normal 11 3 6 3 2" xfId="8046" xr:uid="{00000000-0005-0000-0000-000046220000}"/>
    <cellStyle name="Normal 11 3 6 3 3" xfId="8047" xr:uid="{00000000-0005-0000-0000-000047220000}"/>
    <cellStyle name="Normal 11 3 6 3 4" xfId="8048" xr:uid="{00000000-0005-0000-0000-000048220000}"/>
    <cellStyle name="Normal 11 3 6 4" xfId="8049" xr:uid="{00000000-0005-0000-0000-000049220000}"/>
    <cellStyle name="Normal 11 3 6 5" xfId="8050" xr:uid="{00000000-0005-0000-0000-00004A220000}"/>
    <cellStyle name="Normal 11 3 6 6" xfId="8051" xr:uid="{00000000-0005-0000-0000-00004B220000}"/>
    <cellStyle name="Normal 11 3 7" xfId="8052" xr:uid="{00000000-0005-0000-0000-00004C220000}"/>
    <cellStyle name="Normal 11 3 7 2" xfId="8053" xr:uid="{00000000-0005-0000-0000-00004D220000}"/>
    <cellStyle name="Normal 11 3 7 2 2" xfId="8054" xr:uid="{00000000-0005-0000-0000-00004E220000}"/>
    <cellStyle name="Normal 11 3 7 2 3" xfId="8055" xr:uid="{00000000-0005-0000-0000-00004F220000}"/>
    <cellStyle name="Normal 11 3 7 2 4" xfId="8056" xr:uid="{00000000-0005-0000-0000-000050220000}"/>
    <cellStyle name="Normal 11 3 7 3" xfId="8057" xr:uid="{00000000-0005-0000-0000-000051220000}"/>
    <cellStyle name="Normal 11 3 7 3 2" xfId="8058" xr:uid="{00000000-0005-0000-0000-000052220000}"/>
    <cellStyle name="Normal 11 3 7 3 3" xfId="8059" xr:uid="{00000000-0005-0000-0000-000053220000}"/>
    <cellStyle name="Normal 11 3 7 3 4" xfId="8060" xr:uid="{00000000-0005-0000-0000-000054220000}"/>
    <cellStyle name="Normal 11 3 7 4" xfId="8061" xr:uid="{00000000-0005-0000-0000-000055220000}"/>
    <cellStyle name="Normal 11 3 7 5" xfId="8062" xr:uid="{00000000-0005-0000-0000-000056220000}"/>
    <cellStyle name="Normal 11 3 7 6" xfId="8063" xr:uid="{00000000-0005-0000-0000-000057220000}"/>
    <cellStyle name="Normal 11 3 8" xfId="8064" xr:uid="{00000000-0005-0000-0000-000058220000}"/>
    <cellStyle name="Normal 11 3 8 2" xfId="8065" xr:uid="{00000000-0005-0000-0000-000059220000}"/>
    <cellStyle name="Normal 11 3 8 2 2" xfId="8066" xr:uid="{00000000-0005-0000-0000-00005A220000}"/>
    <cellStyle name="Normal 11 3 8 2 3" xfId="8067" xr:uid="{00000000-0005-0000-0000-00005B220000}"/>
    <cellStyle name="Normal 11 3 8 2 4" xfId="8068" xr:uid="{00000000-0005-0000-0000-00005C220000}"/>
    <cellStyle name="Normal 11 3 8 3" xfId="8069" xr:uid="{00000000-0005-0000-0000-00005D220000}"/>
    <cellStyle name="Normal 11 3 8 3 2" xfId="8070" xr:uid="{00000000-0005-0000-0000-00005E220000}"/>
    <cellStyle name="Normal 11 3 8 3 3" xfId="8071" xr:uid="{00000000-0005-0000-0000-00005F220000}"/>
    <cellStyle name="Normal 11 3 8 3 4" xfId="8072" xr:uid="{00000000-0005-0000-0000-000060220000}"/>
    <cellStyle name="Normal 11 3 8 4" xfId="8073" xr:uid="{00000000-0005-0000-0000-000061220000}"/>
    <cellStyle name="Normal 11 3 8 5" xfId="8074" xr:uid="{00000000-0005-0000-0000-000062220000}"/>
    <cellStyle name="Normal 11 3 8 6" xfId="8075" xr:uid="{00000000-0005-0000-0000-000063220000}"/>
    <cellStyle name="Normal 11 3 9" xfId="8076" xr:uid="{00000000-0005-0000-0000-000064220000}"/>
    <cellStyle name="Normal 11 3 9 2" xfId="8077" xr:uid="{00000000-0005-0000-0000-000065220000}"/>
    <cellStyle name="Normal 11 3 9 2 2" xfId="8078" xr:uid="{00000000-0005-0000-0000-000066220000}"/>
    <cellStyle name="Normal 11 3 9 2 3" xfId="8079" xr:uid="{00000000-0005-0000-0000-000067220000}"/>
    <cellStyle name="Normal 11 3 9 2 4" xfId="8080" xr:uid="{00000000-0005-0000-0000-000068220000}"/>
    <cellStyle name="Normal 11 3 9 3" xfId="8081" xr:uid="{00000000-0005-0000-0000-000069220000}"/>
    <cellStyle name="Normal 11 3 9 3 2" xfId="8082" xr:uid="{00000000-0005-0000-0000-00006A220000}"/>
    <cellStyle name="Normal 11 3 9 3 3" xfId="8083" xr:uid="{00000000-0005-0000-0000-00006B220000}"/>
    <cellStyle name="Normal 11 3 9 3 4" xfId="8084" xr:uid="{00000000-0005-0000-0000-00006C220000}"/>
    <cellStyle name="Normal 11 3 9 4" xfId="8085" xr:uid="{00000000-0005-0000-0000-00006D220000}"/>
    <cellStyle name="Normal 11 3 9 5" xfId="8086" xr:uid="{00000000-0005-0000-0000-00006E220000}"/>
    <cellStyle name="Normal 11 3 9 6" xfId="8087" xr:uid="{00000000-0005-0000-0000-00006F220000}"/>
    <cellStyle name="Normal 11 30" xfId="8088" xr:uid="{00000000-0005-0000-0000-000070220000}"/>
    <cellStyle name="Normal 11 30 10" xfId="8089" xr:uid="{00000000-0005-0000-0000-000071220000}"/>
    <cellStyle name="Normal 11 30 11" xfId="8090" xr:uid="{00000000-0005-0000-0000-000072220000}"/>
    <cellStyle name="Normal 11 30 12" xfId="8091" xr:uid="{00000000-0005-0000-0000-000073220000}"/>
    <cellStyle name="Normal 11 30 13" xfId="8092" xr:uid="{00000000-0005-0000-0000-000074220000}"/>
    <cellStyle name="Normal 11 30 14" xfId="8093" xr:uid="{00000000-0005-0000-0000-000075220000}"/>
    <cellStyle name="Normal 11 30 15" xfId="8094" xr:uid="{00000000-0005-0000-0000-000076220000}"/>
    <cellStyle name="Normal 11 30 16" xfId="8095" xr:uid="{00000000-0005-0000-0000-000077220000}"/>
    <cellStyle name="Normal 11 30 17" xfId="8096" xr:uid="{00000000-0005-0000-0000-000078220000}"/>
    <cellStyle name="Normal 11 30 18" xfId="8097" xr:uid="{00000000-0005-0000-0000-000079220000}"/>
    <cellStyle name="Normal 11 30 19" xfId="8098" xr:uid="{00000000-0005-0000-0000-00007A220000}"/>
    <cellStyle name="Normal 11 30 2" xfId="8099" xr:uid="{00000000-0005-0000-0000-00007B220000}"/>
    <cellStyle name="Normal 11 30 20" xfId="8100" xr:uid="{00000000-0005-0000-0000-00007C220000}"/>
    <cellStyle name="Normal 11 30 21" xfId="8101" xr:uid="{00000000-0005-0000-0000-00007D220000}"/>
    <cellStyle name="Normal 11 30 22" xfId="8102" xr:uid="{00000000-0005-0000-0000-00007E220000}"/>
    <cellStyle name="Normal 11 30 23" xfId="8103" xr:uid="{00000000-0005-0000-0000-00007F220000}"/>
    <cellStyle name="Normal 11 30 24" xfId="8104" xr:uid="{00000000-0005-0000-0000-000080220000}"/>
    <cellStyle name="Normal 11 30 25" xfId="8105" xr:uid="{00000000-0005-0000-0000-000081220000}"/>
    <cellStyle name="Normal 11 30 26" xfId="8106" xr:uid="{00000000-0005-0000-0000-000082220000}"/>
    <cellStyle name="Normal 11 30 27" xfId="8107" xr:uid="{00000000-0005-0000-0000-000083220000}"/>
    <cellStyle name="Normal 11 30 28" xfId="8108" xr:uid="{00000000-0005-0000-0000-000084220000}"/>
    <cellStyle name="Normal 11 30 29" xfId="8109" xr:uid="{00000000-0005-0000-0000-000085220000}"/>
    <cellStyle name="Normal 11 30 3" xfId="8110" xr:uid="{00000000-0005-0000-0000-000086220000}"/>
    <cellStyle name="Normal 11 30 30" xfId="8111" xr:uid="{00000000-0005-0000-0000-000087220000}"/>
    <cellStyle name="Normal 11 30 31" xfId="8112" xr:uid="{00000000-0005-0000-0000-000088220000}"/>
    <cellStyle name="Normal 11 30 32" xfId="8113" xr:uid="{00000000-0005-0000-0000-000089220000}"/>
    <cellStyle name="Normal 11 30 33" xfId="8114" xr:uid="{00000000-0005-0000-0000-00008A220000}"/>
    <cellStyle name="Normal 11 30 34" xfId="8115" xr:uid="{00000000-0005-0000-0000-00008B220000}"/>
    <cellStyle name="Normal 11 30 35" xfId="8116" xr:uid="{00000000-0005-0000-0000-00008C220000}"/>
    <cellStyle name="Normal 11 30 36" xfId="8117" xr:uid="{00000000-0005-0000-0000-00008D220000}"/>
    <cellStyle name="Normal 11 30 37" xfId="8118" xr:uid="{00000000-0005-0000-0000-00008E220000}"/>
    <cellStyle name="Normal 11 30 4" xfId="8119" xr:uid="{00000000-0005-0000-0000-00008F220000}"/>
    <cellStyle name="Normal 11 30 5" xfId="8120" xr:uid="{00000000-0005-0000-0000-000090220000}"/>
    <cellStyle name="Normal 11 30 6" xfId="8121" xr:uid="{00000000-0005-0000-0000-000091220000}"/>
    <cellStyle name="Normal 11 30 7" xfId="8122" xr:uid="{00000000-0005-0000-0000-000092220000}"/>
    <cellStyle name="Normal 11 30 8" xfId="8123" xr:uid="{00000000-0005-0000-0000-000093220000}"/>
    <cellStyle name="Normal 11 30 9" xfId="8124" xr:uid="{00000000-0005-0000-0000-000094220000}"/>
    <cellStyle name="Normal 11 31" xfId="8125" xr:uid="{00000000-0005-0000-0000-000095220000}"/>
    <cellStyle name="Normal 11 31 10" xfId="8126" xr:uid="{00000000-0005-0000-0000-000096220000}"/>
    <cellStyle name="Normal 11 31 11" xfId="8127" xr:uid="{00000000-0005-0000-0000-000097220000}"/>
    <cellStyle name="Normal 11 31 12" xfId="8128" xr:uid="{00000000-0005-0000-0000-000098220000}"/>
    <cellStyle name="Normal 11 31 13" xfId="8129" xr:uid="{00000000-0005-0000-0000-000099220000}"/>
    <cellStyle name="Normal 11 31 14" xfId="8130" xr:uid="{00000000-0005-0000-0000-00009A220000}"/>
    <cellStyle name="Normal 11 31 15" xfId="8131" xr:uid="{00000000-0005-0000-0000-00009B220000}"/>
    <cellStyle name="Normal 11 31 16" xfId="8132" xr:uid="{00000000-0005-0000-0000-00009C220000}"/>
    <cellStyle name="Normal 11 31 17" xfId="8133" xr:uid="{00000000-0005-0000-0000-00009D220000}"/>
    <cellStyle name="Normal 11 31 18" xfId="8134" xr:uid="{00000000-0005-0000-0000-00009E220000}"/>
    <cellStyle name="Normal 11 31 19" xfId="8135" xr:uid="{00000000-0005-0000-0000-00009F220000}"/>
    <cellStyle name="Normal 11 31 2" xfId="8136" xr:uid="{00000000-0005-0000-0000-0000A0220000}"/>
    <cellStyle name="Normal 11 31 20" xfId="8137" xr:uid="{00000000-0005-0000-0000-0000A1220000}"/>
    <cellStyle name="Normal 11 31 21" xfId="8138" xr:uid="{00000000-0005-0000-0000-0000A2220000}"/>
    <cellStyle name="Normal 11 31 22" xfId="8139" xr:uid="{00000000-0005-0000-0000-0000A3220000}"/>
    <cellStyle name="Normal 11 31 23" xfId="8140" xr:uid="{00000000-0005-0000-0000-0000A4220000}"/>
    <cellStyle name="Normal 11 31 24" xfId="8141" xr:uid="{00000000-0005-0000-0000-0000A5220000}"/>
    <cellStyle name="Normal 11 31 25" xfId="8142" xr:uid="{00000000-0005-0000-0000-0000A6220000}"/>
    <cellStyle name="Normal 11 31 26" xfId="8143" xr:uid="{00000000-0005-0000-0000-0000A7220000}"/>
    <cellStyle name="Normal 11 31 27" xfId="8144" xr:uid="{00000000-0005-0000-0000-0000A8220000}"/>
    <cellStyle name="Normal 11 31 28" xfId="8145" xr:uid="{00000000-0005-0000-0000-0000A9220000}"/>
    <cellStyle name="Normal 11 31 29" xfId="8146" xr:uid="{00000000-0005-0000-0000-0000AA220000}"/>
    <cellStyle name="Normal 11 31 3" xfId="8147" xr:uid="{00000000-0005-0000-0000-0000AB220000}"/>
    <cellStyle name="Normal 11 31 30" xfId="8148" xr:uid="{00000000-0005-0000-0000-0000AC220000}"/>
    <cellStyle name="Normal 11 31 31" xfId="8149" xr:uid="{00000000-0005-0000-0000-0000AD220000}"/>
    <cellStyle name="Normal 11 31 32" xfId="8150" xr:uid="{00000000-0005-0000-0000-0000AE220000}"/>
    <cellStyle name="Normal 11 31 33" xfId="8151" xr:uid="{00000000-0005-0000-0000-0000AF220000}"/>
    <cellStyle name="Normal 11 31 34" xfId="8152" xr:uid="{00000000-0005-0000-0000-0000B0220000}"/>
    <cellStyle name="Normal 11 31 35" xfId="8153" xr:uid="{00000000-0005-0000-0000-0000B1220000}"/>
    <cellStyle name="Normal 11 31 36" xfId="8154" xr:uid="{00000000-0005-0000-0000-0000B2220000}"/>
    <cellStyle name="Normal 11 31 37" xfId="8155" xr:uid="{00000000-0005-0000-0000-0000B3220000}"/>
    <cellStyle name="Normal 11 31 4" xfId="8156" xr:uid="{00000000-0005-0000-0000-0000B4220000}"/>
    <cellStyle name="Normal 11 31 5" xfId="8157" xr:uid="{00000000-0005-0000-0000-0000B5220000}"/>
    <cellStyle name="Normal 11 31 6" xfId="8158" xr:uid="{00000000-0005-0000-0000-0000B6220000}"/>
    <cellStyle name="Normal 11 31 7" xfId="8159" xr:uid="{00000000-0005-0000-0000-0000B7220000}"/>
    <cellStyle name="Normal 11 31 8" xfId="8160" xr:uid="{00000000-0005-0000-0000-0000B8220000}"/>
    <cellStyle name="Normal 11 31 9" xfId="8161" xr:uid="{00000000-0005-0000-0000-0000B9220000}"/>
    <cellStyle name="Normal 11 32" xfId="8162" xr:uid="{00000000-0005-0000-0000-0000BA220000}"/>
    <cellStyle name="Normal 11 32 10" xfId="8163" xr:uid="{00000000-0005-0000-0000-0000BB220000}"/>
    <cellStyle name="Normal 11 32 11" xfId="8164" xr:uid="{00000000-0005-0000-0000-0000BC220000}"/>
    <cellStyle name="Normal 11 32 12" xfId="8165" xr:uid="{00000000-0005-0000-0000-0000BD220000}"/>
    <cellStyle name="Normal 11 32 13" xfId="8166" xr:uid="{00000000-0005-0000-0000-0000BE220000}"/>
    <cellStyle name="Normal 11 32 14" xfId="8167" xr:uid="{00000000-0005-0000-0000-0000BF220000}"/>
    <cellStyle name="Normal 11 32 15" xfId="8168" xr:uid="{00000000-0005-0000-0000-0000C0220000}"/>
    <cellStyle name="Normal 11 32 16" xfId="8169" xr:uid="{00000000-0005-0000-0000-0000C1220000}"/>
    <cellStyle name="Normal 11 32 17" xfId="8170" xr:uid="{00000000-0005-0000-0000-0000C2220000}"/>
    <cellStyle name="Normal 11 32 18" xfId="8171" xr:uid="{00000000-0005-0000-0000-0000C3220000}"/>
    <cellStyle name="Normal 11 32 19" xfId="8172" xr:uid="{00000000-0005-0000-0000-0000C4220000}"/>
    <cellStyle name="Normal 11 32 2" xfId="8173" xr:uid="{00000000-0005-0000-0000-0000C5220000}"/>
    <cellStyle name="Normal 11 32 20" xfId="8174" xr:uid="{00000000-0005-0000-0000-0000C6220000}"/>
    <cellStyle name="Normal 11 32 21" xfId="8175" xr:uid="{00000000-0005-0000-0000-0000C7220000}"/>
    <cellStyle name="Normal 11 32 22" xfId="8176" xr:uid="{00000000-0005-0000-0000-0000C8220000}"/>
    <cellStyle name="Normal 11 32 23" xfId="8177" xr:uid="{00000000-0005-0000-0000-0000C9220000}"/>
    <cellStyle name="Normal 11 32 24" xfId="8178" xr:uid="{00000000-0005-0000-0000-0000CA220000}"/>
    <cellStyle name="Normal 11 32 25" xfId="8179" xr:uid="{00000000-0005-0000-0000-0000CB220000}"/>
    <cellStyle name="Normal 11 32 26" xfId="8180" xr:uid="{00000000-0005-0000-0000-0000CC220000}"/>
    <cellStyle name="Normal 11 32 27" xfId="8181" xr:uid="{00000000-0005-0000-0000-0000CD220000}"/>
    <cellStyle name="Normal 11 32 28" xfId="8182" xr:uid="{00000000-0005-0000-0000-0000CE220000}"/>
    <cellStyle name="Normal 11 32 29" xfId="8183" xr:uid="{00000000-0005-0000-0000-0000CF220000}"/>
    <cellStyle name="Normal 11 32 3" xfId="8184" xr:uid="{00000000-0005-0000-0000-0000D0220000}"/>
    <cellStyle name="Normal 11 32 30" xfId="8185" xr:uid="{00000000-0005-0000-0000-0000D1220000}"/>
    <cellStyle name="Normal 11 32 31" xfId="8186" xr:uid="{00000000-0005-0000-0000-0000D2220000}"/>
    <cellStyle name="Normal 11 32 32" xfId="8187" xr:uid="{00000000-0005-0000-0000-0000D3220000}"/>
    <cellStyle name="Normal 11 32 33" xfId="8188" xr:uid="{00000000-0005-0000-0000-0000D4220000}"/>
    <cellStyle name="Normal 11 32 34" xfId="8189" xr:uid="{00000000-0005-0000-0000-0000D5220000}"/>
    <cellStyle name="Normal 11 32 35" xfId="8190" xr:uid="{00000000-0005-0000-0000-0000D6220000}"/>
    <cellStyle name="Normal 11 32 36" xfId="8191" xr:uid="{00000000-0005-0000-0000-0000D7220000}"/>
    <cellStyle name="Normal 11 32 37" xfId="8192" xr:uid="{00000000-0005-0000-0000-0000D8220000}"/>
    <cellStyle name="Normal 11 32 4" xfId="8193" xr:uid="{00000000-0005-0000-0000-0000D9220000}"/>
    <cellStyle name="Normal 11 32 5" xfId="8194" xr:uid="{00000000-0005-0000-0000-0000DA220000}"/>
    <cellStyle name="Normal 11 32 6" xfId="8195" xr:uid="{00000000-0005-0000-0000-0000DB220000}"/>
    <cellStyle name="Normal 11 32 7" xfId="8196" xr:uid="{00000000-0005-0000-0000-0000DC220000}"/>
    <cellStyle name="Normal 11 32 8" xfId="8197" xr:uid="{00000000-0005-0000-0000-0000DD220000}"/>
    <cellStyle name="Normal 11 32 9" xfId="8198" xr:uid="{00000000-0005-0000-0000-0000DE220000}"/>
    <cellStyle name="Normal 11 33" xfId="8199" xr:uid="{00000000-0005-0000-0000-0000DF220000}"/>
    <cellStyle name="Normal 11 33 10" xfId="8200" xr:uid="{00000000-0005-0000-0000-0000E0220000}"/>
    <cellStyle name="Normal 11 33 11" xfId="8201" xr:uid="{00000000-0005-0000-0000-0000E1220000}"/>
    <cellStyle name="Normal 11 33 12" xfId="8202" xr:uid="{00000000-0005-0000-0000-0000E2220000}"/>
    <cellStyle name="Normal 11 33 13" xfId="8203" xr:uid="{00000000-0005-0000-0000-0000E3220000}"/>
    <cellStyle name="Normal 11 33 14" xfId="8204" xr:uid="{00000000-0005-0000-0000-0000E4220000}"/>
    <cellStyle name="Normal 11 33 15" xfId="8205" xr:uid="{00000000-0005-0000-0000-0000E5220000}"/>
    <cellStyle name="Normal 11 33 16" xfId="8206" xr:uid="{00000000-0005-0000-0000-0000E6220000}"/>
    <cellStyle name="Normal 11 33 17" xfId="8207" xr:uid="{00000000-0005-0000-0000-0000E7220000}"/>
    <cellStyle name="Normal 11 33 18" xfId="8208" xr:uid="{00000000-0005-0000-0000-0000E8220000}"/>
    <cellStyle name="Normal 11 33 19" xfId="8209" xr:uid="{00000000-0005-0000-0000-0000E9220000}"/>
    <cellStyle name="Normal 11 33 2" xfId="8210" xr:uid="{00000000-0005-0000-0000-0000EA220000}"/>
    <cellStyle name="Normal 11 33 20" xfId="8211" xr:uid="{00000000-0005-0000-0000-0000EB220000}"/>
    <cellStyle name="Normal 11 33 21" xfId="8212" xr:uid="{00000000-0005-0000-0000-0000EC220000}"/>
    <cellStyle name="Normal 11 33 22" xfId="8213" xr:uid="{00000000-0005-0000-0000-0000ED220000}"/>
    <cellStyle name="Normal 11 33 23" xfId="8214" xr:uid="{00000000-0005-0000-0000-0000EE220000}"/>
    <cellStyle name="Normal 11 33 24" xfId="8215" xr:uid="{00000000-0005-0000-0000-0000EF220000}"/>
    <cellStyle name="Normal 11 33 25" xfId="8216" xr:uid="{00000000-0005-0000-0000-0000F0220000}"/>
    <cellStyle name="Normal 11 33 26" xfId="8217" xr:uid="{00000000-0005-0000-0000-0000F1220000}"/>
    <cellStyle name="Normal 11 33 27" xfId="8218" xr:uid="{00000000-0005-0000-0000-0000F2220000}"/>
    <cellStyle name="Normal 11 33 28" xfId="8219" xr:uid="{00000000-0005-0000-0000-0000F3220000}"/>
    <cellStyle name="Normal 11 33 29" xfId="8220" xr:uid="{00000000-0005-0000-0000-0000F4220000}"/>
    <cellStyle name="Normal 11 33 3" xfId="8221" xr:uid="{00000000-0005-0000-0000-0000F5220000}"/>
    <cellStyle name="Normal 11 33 30" xfId="8222" xr:uid="{00000000-0005-0000-0000-0000F6220000}"/>
    <cellStyle name="Normal 11 33 31" xfId="8223" xr:uid="{00000000-0005-0000-0000-0000F7220000}"/>
    <cellStyle name="Normal 11 33 32" xfId="8224" xr:uid="{00000000-0005-0000-0000-0000F8220000}"/>
    <cellStyle name="Normal 11 33 33" xfId="8225" xr:uid="{00000000-0005-0000-0000-0000F9220000}"/>
    <cellStyle name="Normal 11 33 34" xfId="8226" xr:uid="{00000000-0005-0000-0000-0000FA220000}"/>
    <cellStyle name="Normal 11 33 35" xfId="8227" xr:uid="{00000000-0005-0000-0000-0000FB220000}"/>
    <cellStyle name="Normal 11 33 36" xfId="8228" xr:uid="{00000000-0005-0000-0000-0000FC220000}"/>
    <cellStyle name="Normal 11 33 37" xfId="8229" xr:uid="{00000000-0005-0000-0000-0000FD220000}"/>
    <cellStyle name="Normal 11 33 4" xfId="8230" xr:uid="{00000000-0005-0000-0000-0000FE220000}"/>
    <cellStyle name="Normal 11 33 5" xfId="8231" xr:uid="{00000000-0005-0000-0000-0000FF220000}"/>
    <cellStyle name="Normal 11 33 6" xfId="8232" xr:uid="{00000000-0005-0000-0000-000000230000}"/>
    <cellStyle name="Normal 11 33 7" xfId="8233" xr:uid="{00000000-0005-0000-0000-000001230000}"/>
    <cellStyle name="Normal 11 33 8" xfId="8234" xr:uid="{00000000-0005-0000-0000-000002230000}"/>
    <cellStyle name="Normal 11 33 9" xfId="8235" xr:uid="{00000000-0005-0000-0000-000003230000}"/>
    <cellStyle name="Normal 11 34" xfId="8236" xr:uid="{00000000-0005-0000-0000-000004230000}"/>
    <cellStyle name="Normal 11 34 10" xfId="8237" xr:uid="{00000000-0005-0000-0000-000005230000}"/>
    <cellStyle name="Normal 11 34 11" xfId="8238" xr:uid="{00000000-0005-0000-0000-000006230000}"/>
    <cellStyle name="Normal 11 34 12" xfId="8239" xr:uid="{00000000-0005-0000-0000-000007230000}"/>
    <cellStyle name="Normal 11 34 13" xfId="8240" xr:uid="{00000000-0005-0000-0000-000008230000}"/>
    <cellStyle name="Normal 11 34 14" xfId="8241" xr:uid="{00000000-0005-0000-0000-000009230000}"/>
    <cellStyle name="Normal 11 34 15" xfId="8242" xr:uid="{00000000-0005-0000-0000-00000A230000}"/>
    <cellStyle name="Normal 11 34 16" xfId="8243" xr:uid="{00000000-0005-0000-0000-00000B230000}"/>
    <cellStyle name="Normal 11 34 17" xfId="8244" xr:uid="{00000000-0005-0000-0000-00000C230000}"/>
    <cellStyle name="Normal 11 34 18" xfId="8245" xr:uid="{00000000-0005-0000-0000-00000D230000}"/>
    <cellStyle name="Normal 11 34 19" xfId="8246" xr:uid="{00000000-0005-0000-0000-00000E230000}"/>
    <cellStyle name="Normal 11 34 2" xfId="8247" xr:uid="{00000000-0005-0000-0000-00000F230000}"/>
    <cellStyle name="Normal 11 34 20" xfId="8248" xr:uid="{00000000-0005-0000-0000-000010230000}"/>
    <cellStyle name="Normal 11 34 21" xfId="8249" xr:uid="{00000000-0005-0000-0000-000011230000}"/>
    <cellStyle name="Normal 11 34 22" xfId="8250" xr:uid="{00000000-0005-0000-0000-000012230000}"/>
    <cellStyle name="Normal 11 34 23" xfId="8251" xr:uid="{00000000-0005-0000-0000-000013230000}"/>
    <cellStyle name="Normal 11 34 24" xfId="8252" xr:uid="{00000000-0005-0000-0000-000014230000}"/>
    <cellStyle name="Normal 11 34 25" xfId="8253" xr:uid="{00000000-0005-0000-0000-000015230000}"/>
    <cellStyle name="Normal 11 34 26" xfId="8254" xr:uid="{00000000-0005-0000-0000-000016230000}"/>
    <cellStyle name="Normal 11 34 27" xfId="8255" xr:uid="{00000000-0005-0000-0000-000017230000}"/>
    <cellStyle name="Normal 11 34 28" xfId="8256" xr:uid="{00000000-0005-0000-0000-000018230000}"/>
    <cellStyle name="Normal 11 34 29" xfId="8257" xr:uid="{00000000-0005-0000-0000-000019230000}"/>
    <cellStyle name="Normal 11 34 3" xfId="8258" xr:uid="{00000000-0005-0000-0000-00001A230000}"/>
    <cellStyle name="Normal 11 34 4" xfId="8259" xr:uid="{00000000-0005-0000-0000-00001B230000}"/>
    <cellStyle name="Normal 11 34 5" xfId="8260" xr:uid="{00000000-0005-0000-0000-00001C230000}"/>
    <cellStyle name="Normal 11 34 6" xfId="8261" xr:uid="{00000000-0005-0000-0000-00001D230000}"/>
    <cellStyle name="Normal 11 34 7" xfId="8262" xr:uid="{00000000-0005-0000-0000-00001E230000}"/>
    <cellStyle name="Normal 11 34 8" xfId="8263" xr:uid="{00000000-0005-0000-0000-00001F230000}"/>
    <cellStyle name="Normal 11 34 9" xfId="8264" xr:uid="{00000000-0005-0000-0000-000020230000}"/>
    <cellStyle name="Normal 11 35" xfId="8265" xr:uid="{00000000-0005-0000-0000-000021230000}"/>
    <cellStyle name="Normal 11 36" xfId="8266" xr:uid="{00000000-0005-0000-0000-000022230000}"/>
    <cellStyle name="Normal 11 37" xfId="8267" xr:uid="{00000000-0005-0000-0000-000023230000}"/>
    <cellStyle name="Normal 11 38" xfId="8268" xr:uid="{00000000-0005-0000-0000-000024230000}"/>
    <cellStyle name="Normal 11 39" xfId="8269" xr:uid="{00000000-0005-0000-0000-000025230000}"/>
    <cellStyle name="Normal 11 4" xfId="8270" xr:uid="{00000000-0005-0000-0000-000026230000}"/>
    <cellStyle name="Normal 11 4 10" xfId="8271" xr:uid="{00000000-0005-0000-0000-000027230000}"/>
    <cellStyle name="Normal 11 4 11" xfId="8272" xr:uid="{00000000-0005-0000-0000-000028230000}"/>
    <cellStyle name="Normal 11 4 12" xfId="8273" xr:uid="{00000000-0005-0000-0000-000029230000}"/>
    <cellStyle name="Normal 11 4 13" xfId="8274" xr:uid="{00000000-0005-0000-0000-00002A230000}"/>
    <cellStyle name="Normal 11 4 14" xfId="8275" xr:uid="{00000000-0005-0000-0000-00002B230000}"/>
    <cellStyle name="Normal 11 4 15" xfId="8276" xr:uid="{00000000-0005-0000-0000-00002C230000}"/>
    <cellStyle name="Normal 11 4 16" xfId="8277" xr:uid="{00000000-0005-0000-0000-00002D230000}"/>
    <cellStyle name="Normal 11 4 17" xfId="8278" xr:uid="{00000000-0005-0000-0000-00002E230000}"/>
    <cellStyle name="Normal 11 4 18" xfId="8279" xr:uid="{00000000-0005-0000-0000-00002F230000}"/>
    <cellStyle name="Normal 11 4 19" xfId="8280" xr:uid="{00000000-0005-0000-0000-000030230000}"/>
    <cellStyle name="Normal 11 4 2" xfId="8281" xr:uid="{00000000-0005-0000-0000-000031230000}"/>
    <cellStyle name="Normal 11 4 2 2" xfId="8282" xr:uid="{00000000-0005-0000-0000-000032230000}"/>
    <cellStyle name="Normal 11 4 2 3" xfId="8283" xr:uid="{00000000-0005-0000-0000-000033230000}"/>
    <cellStyle name="Normal 11 4 2 4" xfId="8284" xr:uid="{00000000-0005-0000-0000-000034230000}"/>
    <cellStyle name="Normal 11 4 20" xfId="8285" xr:uid="{00000000-0005-0000-0000-000035230000}"/>
    <cellStyle name="Normal 11 4 21" xfId="8286" xr:uid="{00000000-0005-0000-0000-000036230000}"/>
    <cellStyle name="Normal 11 4 22" xfId="8287" xr:uid="{00000000-0005-0000-0000-000037230000}"/>
    <cellStyle name="Normal 11 4 23" xfId="8288" xr:uid="{00000000-0005-0000-0000-000038230000}"/>
    <cellStyle name="Normal 11 4 24" xfId="8289" xr:uid="{00000000-0005-0000-0000-000039230000}"/>
    <cellStyle name="Normal 11 4 25" xfId="8290" xr:uid="{00000000-0005-0000-0000-00003A230000}"/>
    <cellStyle name="Normal 11 4 26" xfId="8291" xr:uid="{00000000-0005-0000-0000-00003B230000}"/>
    <cellStyle name="Normal 11 4 27" xfId="8292" xr:uid="{00000000-0005-0000-0000-00003C230000}"/>
    <cellStyle name="Normal 11 4 28" xfId="8293" xr:uid="{00000000-0005-0000-0000-00003D230000}"/>
    <cellStyle name="Normal 11 4 29" xfId="8294" xr:uid="{00000000-0005-0000-0000-00003E230000}"/>
    <cellStyle name="Normal 11 4 3" xfId="8295" xr:uid="{00000000-0005-0000-0000-00003F230000}"/>
    <cellStyle name="Normal 11 4 3 2" xfId="8296" xr:uid="{00000000-0005-0000-0000-000040230000}"/>
    <cellStyle name="Normal 11 4 3 3" xfId="8297" xr:uid="{00000000-0005-0000-0000-000041230000}"/>
    <cellStyle name="Normal 11 4 3 4" xfId="8298" xr:uid="{00000000-0005-0000-0000-000042230000}"/>
    <cellStyle name="Normal 11 4 30" xfId="8299" xr:uid="{00000000-0005-0000-0000-000043230000}"/>
    <cellStyle name="Normal 11 4 31" xfId="8300" xr:uid="{00000000-0005-0000-0000-000044230000}"/>
    <cellStyle name="Normal 11 4 32" xfId="8301" xr:uid="{00000000-0005-0000-0000-000045230000}"/>
    <cellStyle name="Normal 11 4 33" xfId="8302" xr:uid="{00000000-0005-0000-0000-000046230000}"/>
    <cellStyle name="Normal 11 4 34" xfId="8303" xr:uid="{00000000-0005-0000-0000-000047230000}"/>
    <cellStyle name="Normal 11 4 35" xfId="8304" xr:uid="{00000000-0005-0000-0000-000048230000}"/>
    <cellStyle name="Normal 11 4 36" xfId="8305" xr:uid="{00000000-0005-0000-0000-000049230000}"/>
    <cellStyle name="Normal 11 4 37" xfId="8306" xr:uid="{00000000-0005-0000-0000-00004A230000}"/>
    <cellStyle name="Normal 11 4 38" xfId="8307" xr:uid="{00000000-0005-0000-0000-00004B230000}"/>
    <cellStyle name="Normal 11 4 39" xfId="8308" xr:uid="{00000000-0005-0000-0000-00004C230000}"/>
    <cellStyle name="Normal 11 4 4" xfId="8309" xr:uid="{00000000-0005-0000-0000-00004D230000}"/>
    <cellStyle name="Normal 11 4 40" xfId="8310" xr:uid="{00000000-0005-0000-0000-00004E230000}"/>
    <cellStyle name="Normal 11 4 41" xfId="8311" xr:uid="{00000000-0005-0000-0000-00004F230000}"/>
    <cellStyle name="Normal 11 4 42" xfId="8312" xr:uid="{00000000-0005-0000-0000-000050230000}"/>
    <cellStyle name="Normal 11 4 43" xfId="8313" xr:uid="{00000000-0005-0000-0000-000051230000}"/>
    <cellStyle name="Normal 11 4 44" xfId="8314" xr:uid="{00000000-0005-0000-0000-000052230000}"/>
    <cellStyle name="Normal 11 4 45" xfId="8315" xr:uid="{00000000-0005-0000-0000-000053230000}"/>
    <cellStyle name="Normal 11 4 46" xfId="8316" xr:uid="{00000000-0005-0000-0000-000054230000}"/>
    <cellStyle name="Normal 11 4 47" xfId="8317" xr:uid="{00000000-0005-0000-0000-000055230000}"/>
    <cellStyle name="Normal 11 4 48" xfId="8318" xr:uid="{00000000-0005-0000-0000-000056230000}"/>
    <cellStyle name="Normal 11 4 49" xfId="8319" xr:uid="{00000000-0005-0000-0000-000057230000}"/>
    <cellStyle name="Normal 11 4 5" xfId="8320" xr:uid="{00000000-0005-0000-0000-000058230000}"/>
    <cellStyle name="Normal 11 4 50" xfId="8321" xr:uid="{00000000-0005-0000-0000-000059230000}"/>
    <cellStyle name="Normal 11 4 51" xfId="8322" xr:uid="{00000000-0005-0000-0000-00005A230000}"/>
    <cellStyle name="Normal 11 4 52" xfId="8323" xr:uid="{00000000-0005-0000-0000-00005B230000}"/>
    <cellStyle name="Normal 11 4 6" xfId="8324" xr:uid="{00000000-0005-0000-0000-00005C230000}"/>
    <cellStyle name="Normal 11 4 7" xfId="8325" xr:uid="{00000000-0005-0000-0000-00005D230000}"/>
    <cellStyle name="Normal 11 4 8" xfId="8326" xr:uid="{00000000-0005-0000-0000-00005E230000}"/>
    <cellStyle name="Normal 11 4 9" xfId="8327" xr:uid="{00000000-0005-0000-0000-00005F230000}"/>
    <cellStyle name="Normal 11 40" xfId="8328" xr:uid="{00000000-0005-0000-0000-000060230000}"/>
    <cellStyle name="Normal 11 41" xfId="8329" xr:uid="{00000000-0005-0000-0000-000061230000}"/>
    <cellStyle name="Normal 11 5" xfId="8330" xr:uid="{00000000-0005-0000-0000-000062230000}"/>
    <cellStyle name="Normal 11 5 10" xfId="8331" xr:uid="{00000000-0005-0000-0000-000063230000}"/>
    <cellStyle name="Normal 11 5 11" xfId="8332" xr:uid="{00000000-0005-0000-0000-000064230000}"/>
    <cellStyle name="Normal 11 5 12" xfId="8333" xr:uid="{00000000-0005-0000-0000-000065230000}"/>
    <cellStyle name="Normal 11 5 13" xfId="8334" xr:uid="{00000000-0005-0000-0000-000066230000}"/>
    <cellStyle name="Normal 11 5 14" xfId="8335" xr:uid="{00000000-0005-0000-0000-000067230000}"/>
    <cellStyle name="Normal 11 5 15" xfId="8336" xr:uid="{00000000-0005-0000-0000-000068230000}"/>
    <cellStyle name="Normal 11 5 16" xfId="8337" xr:uid="{00000000-0005-0000-0000-000069230000}"/>
    <cellStyle name="Normal 11 5 17" xfId="8338" xr:uid="{00000000-0005-0000-0000-00006A230000}"/>
    <cellStyle name="Normal 11 5 18" xfId="8339" xr:uid="{00000000-0005-0000-0000-00006B230000}"/>
    <cellStyle name="Normal 11 5 19" xfId="8340" xr:uid="{00000000-0005-0000-0000-00006C230000}"/>
    <cellStyle name="Normal 11 5 2" xfId="8341" xr:uid="{00000000-0005-0000-0000-00006D230000}"/>
    <cellStyle name="Normal 11 5 2 2" xfId="8342" xr:uid="{00000000-0005-0000-0000-00006E230000}"/>
    <cellStyle name="Normal 11 5 2 3" xfId="8343" xr:uid="{00000000-0005-0000-0000-00006F230000}"/>
    <cellStyle name="Normal 11 5 2 4" xfId="8344" xr:uid="{00000000-0005-0000-0000-000070230000}"/>
    <cellStyle name="Normal 11 5 20" xfId="8345" xr:uid="{00000000-0005-0000-0000-000071230000}"/>
    <cellStyle name="Normal 11 5 21" xfId="8346" xr:uid="{00000000-0005-0000-0000-000072230000}"/>
    <cellStyle name="Normal 11 5 22" xfId="8347" xr:uid="{00000000-0005-0000-0000-000073230000}"/>
    <cellStyle name="Normal 11 5 23" xfId="8348" xr:uid="{00000000-0005-0000-0000-000074230000}"/>
    <cellStyle name="Normal 11 5 24" xfId="8349" xr:uid="{00000000-0005-0000-0000-000075230000}"/>
    <cellStyle name="Normal 11 5 25" xfId="8350" xr:uid="{00000000-0005-0000-0000-000076230000}"/>
    <cellStyle name="Normal 11 5 26" xfId="8351" xr:uid="{00000000-0005-0000-0000-000077230000}"/>
    <cellStyle name="Normal 11 5 27" xfId="8352" xr:uid="{00000000-0005-0000-0000-000078230000}"/>
    <cellStyle name="Normal 11 5 28" xfId="8353" xr:uid="{00000000-0005-0000-0000-000079230000}"/>
    <cellStyle name="Normal 11 5 29" xfId="8354" xr:uid="{00000000-0005-0000-0000-00007A230000}"/>
    <cellStyle name="Normal 11 5 3" xfId="8355" xr:uid="{00000000-0005-0000-0000-00007B230000}"/>
    <cellStyle name="Normal 11 5 3 2" xfId="8356" xr:uid="{00000000-0005-0000-0000-00007C230000}"/>
    <cellStyle name="Normal 11 5 3 3" xfId="8357" xr:uid="{00000000-0005-0000-0000-00007D230000}"/>
    <cellStyle name="Normal 11 5 3 4" xfId="8358" xr:uid="{00000000-0005-0000-0000-00007E230000}"/>
    <cellStyle name="Normal 11 5 30" xfId="8359" xr:uid="{00000000-0005-0000-0000-00007F230000}"/>
    <cellStyle name="Normal 11 5 31" xfId="8360" xr:uid="{00000000-0005-0000-0000-000080230000}"/>
    <cellStyle name="Normal 11 5 32" xfId="8361" xr:uid="{00000000-0005-0000-0000-000081230000}"/>
    <cellStyle name="Normal 11 5 33" xfId="8362" xr:uid="{00000000-0005-0000-0000-000082230000}"/>
    <cellStyle name="Normal 11 5 34" xfId="8363" xr:uid="{00000000-0005-0000-0000-000083230000}"/>
    <cellStyle name="Normal 11 5 35" xfId="8364" xr:uid="{00000000-0005-0000-0000-000084230000}"/>
    <cellStyle name="Normal 11 5 36" xfId="8365" xr:uid="{00000000-0005-0000-0000-000085230000}"/>
    <cellStyle name="Normal 11 5 37" xfId="8366" xr:uid="{00000000-0005-0000-0000-000086230000}"/>
    <cellStyle name="Normal 11 5 38" xfId="8367" xr:uid="{00000000-0005-0000-0000-000087230000}"/>
    <cellStyle name="Normal 11 5 39" xfId="8368" xr:uid="{00000000-0005-0000-0000-000088230000}"/>
    <cellStyle name="Normal 11 5 4" xfId="8369" xr:uid="{00000000-0005-0000-0000-000089230000}"/>
    <cellStyle name="Normal 11 5 40" xfId="8370" xr:uid="{00000000-0005-0000-0000-00008A230000}"/>
    <cellStyle name="Normal 11 5 41" xfId="8371" xr:uid="{00000000-0005-0000-0000-00008B230000}"/>
    <cellStyle name="Normal 11 5 42" xfId="8372" xr:uid="{00000000-0005-0000-0000-00008C230000}"/>
    <cellStyle name="Normal 11 5 43" xfId="8373" xr:uid="{00000000-0005-0000-0000-00008D230000}"/>
    <cellStyle name="Normal 11 5 44" xfId="8374" xr:uid="{00000000-0005-0000-0000-00008E230000}"/>
    <cellStyle name="Normal 11 5 45" xfId="8375" xr:uid="{00000000-0005-0000-0000-00008F230000}"/>
    <cellStyle name="Normal 11 5 46" xfId="8376" xr:uid="{00000000-0005-0000-0000-000090230000}"/>
    <cellStyle name="Normal 11 5 47" xfId="8377" xr:uid="{00000000-0005-0000-0000-000091230000}"/>
    <cellStyle name="Normal 11 5 48" xfId="8378" xr:uid="{00000000-0005-0000-0000-000092230000}"/>
    <cellStyle name="Normal 11 5 49" xfId="8379" xr:uid="{00000000-0005-0000-0000-000093230000}"/>
    <cellStyle name="Normal 11 5 5" xfId="8380" xr:uid="{00000000-0005-0000-0000-000094230000}"/>
    <cellStyle name="Normal 11 5 50" xfId="8381" xr:uid="{00000000-0005-0000-0000-000095230000}"/>
    <cellStyle name="Normal 11 5 51" xfId="8382" xr:uid="{00000000-0005-0000-0000-000096230000}"/>
    <cellStyle name="Normal 11 5 52" xfId="8383" xr:uid="{00000000-0005-0000-0000-000097230000}"/>
    <cellStyle name="Normal 11 5 6" xfId="8384" xr:uid="{00000000-0005-0000-0000-000098230000}"/>
    <cellStyle name="Normal 11 5 7" xfId="8385" xr:uid="{00000000-0005-0000-0000-000099230000}"/>
    <cellStyle name="Normal 11 5 8" xfId="8386" xr:uid="{00000000-0005-0000-0000-00009A230000}"/>
    <cellStyle name="Normal 11 5 9" xfId="8387" xr:uid="{00000000-0005-0000-0000-00009B230000}"/>
    <cellStyle name="Normal 11 6" xfId="8388" xr:uid="{00000000-0005-0000-0000-00009C230000}"/>
    <cellStyle name="Normal 11 6 10" xfId="8389" xr:uid="{00000000-0005-0000-0000-00009D230000}"/>
    <cellStyle name="Normal 11 6 11" xfId="8390" xr:uid="{00000000-0005-0000-0000-00009E230000}"/>
    <cellStyle name="Normal 11 6 12" xfId="8391" xr:uid="{00000000-0005-0000-0000-00009F230000}"/>
    <cellStyle name="Normal 11 6 13" xfId="8392" xr:uid="{00000000-0005-0000-0000-0000A0230000}"/>
    <cellStyle name="Normal 11 6 14" xfId="8393" xr:uid="{00000000-0005-0000-0000-0000A1230000}"/>
    <cellStyle name="Normal 11 6 15" xfId="8394" xr:uid="{00000000-0005-0000-0000-0000A2230000}"/>
    <cellStyle name="Normal 11 6 16" xfId="8395" xr:uid="{00000000-0005-0000-0000-0000A3230000}"/>
    <cellStyle name="Normal 11 6 17" xfId="8396" xr:uid="{00000000-0005-0000-0000-0000A4230000}"/>
    <cellStyle name="Normal 11 6 18" xfId="8397" xr:uid="{00000000-0005-0000-0000-0000A5230000}"/>
    <cellStyle name="Normal 11 6 19" xfId="8398" xr:uid="{00000000-0005-0000-0000-0000A6230000}"/>
    <cellStyle name="Normal 11 6 2" xfId="8399" xr:uid="{00000000-0005-0000-0000-0000A7230000}"/>
    <cellStyle name="Normal 11 6 2 2" xfId="8400" xr:uid="{00000000-0005-0000-0000-0000A8230000}"/>
    <cellStyle name="Normal 11 6 2 3" xfId="8401" xr:uid="{00000000-0005-0000-0000-0000A9230000}"/>
    <cellStyle name="Normal 11 6 2 4" xfId="8402" xr:uid="{00000000-0005-0000-0000-0000AA230000}"/>
    <cellStyle name="Normal 11 6 20" xfId="8403" xr:uid="{00000000-0005-0000-0000-0000AB230000}"/>
    <cellStyle name="Normal 11 6 21" xfId="8404" xr:uid="{00000000-0005-0000-0000-0000AC230000}"/>
    <cellStyle name="Normal 11 6 22" xfId="8405" xr:uid="{00000000-0005-0000-0000-0000AD230000}"/>
    <cellStyle name="Normal 11 6 23" xfId="8406" xr:uid="{00000000-0005-0000-0000-0000AE230000}"/>
    <cellStyle name="Normal 11 6 24" xfId="8407" xr:uid="{00000000-0005-0000-0000-0000AF230000}"/>
    <cellStyle name="Normal 11 6 25" xfId="8408" xr:uid="{00000000-0005-0000-0000-0000B0230000}"/>
    <cellStyle name="Normal 11 6 26" xfId="8409" xr:uid="{00000000-0005-0000-0000-0000B1230000}"/>
    <cellStyle name="Normal 11 6 27" xfId="8410" xr:uid="{00000000-0005-0000-0000-0000B2230000}"/>
    <cellStyle name="Normal 11 6 28" xfId="8411" xr:uid="{00000000-0005-0000-0000-0000B3230000}"/>
    <cellStyle name="Normal 11 6 29" xfId="8412" xr:uid="{00000000-0005-0000-0000-0000B4230000}"/>
    <cellStyle name="Normal 11 6 3" xfId="8413" xr:uid="{00000000-0005-0000-0000-0000B5230000}"/>
    <cellStyle name="Normal 11 6 3 2" xfId="8414" xr:uid="{00000000-0005-0000-0000-0000B6230000}"/>
    <cellStyle name="Normal 11 6 3 3" xfId="8415" xr:uid="{00000000-0005-0000-0000-0000B7230000}"/>
    <cellStyle name="Normal 11 6 3 4" xfId="8416" xr:uid="{00000000-0005-0000-0000-0000B8230000}"/>
    <cellStyle name="Normal 11 6 30" xfId="8417" xr:uid="{00000000-0005-0000-0000-0000B9230000}"/>
    <cellStyle name="Normal 11 6 31" xfId="8418" xr:uid="{00000000-0005-0000-0000-0000BA230000}"/>
    <cellStyle name="Normal 11 6 32" xfId="8419" xr:uid="{00000000-0005-0000-0000-0000BB230000}"/>
    <cellStyle name="Normal 11 6 33" xfId="8420" xr:uid="{00000000-0005-0000-0000-0000BC230000}"/>
    <cellStyle name="Normal 11 6 34" xfId="8421" xr:uid="{00000000-0005-0000-0000-0000BD230000}"/>
    <cellStyle name="Normal 11 6 35" xfId="8422" xr:uid="{00000000-0005-0000-0000-0000BE230000}"/>
    <cellStyle name="Normal 11 6 36" xfId="8423" xr:uid="{00000000-0005-0000-0000-0000BF230000}"/>
    <cellStyle name="Normal 11 6 37" xfId="8424" xr:uid="{00000000-0005-0000-0000-0000C0230000}"/>
    <cellStyle name="Normal 11 6 38" xfId="8425" xr:uid="{00000000-0005-0000-0000-0000C1230000}"/>
    <cellStyle name="Normal 11 6 39" xfId="8426" xr:uid="{00000000-0005-0000-0000-0000C2230000}"/>
    <cellStyle name="Normal 11 6 4" xfId="8427" xr:uid="{00000000-0005-0000-0000-0000C3230000}"/>
    <cellStyle name="Normal 11 6 40" xfId="8428" xr:uid="{00000000-0005-0000-0000-0000C4230000}"/>
    <cellStyle name="Normal 11 6 41" xfId="8429" xr:uid="{00000000-0005-0000-0000-0000C5230000}"/>
    <cellStyle name="Normal 11 6 42" xfId="8430" xr:uid="{00000000-0005-0000-0000-0000C6230000}"/>
    <cellStyle name="Normal 11 6 43" xfId="8431" xr:uid="{00000000-0005-0000-0000-0000C7230000}"/>
    <cellStyle name="Normal 11 6 44" xfId="8432" xr:uid="{00000000-0005-0000-0000-0000C8230000}"/>
    <cellStyle name="Normal 11 6 45" xfId="8433" xr:uid="{00000000-0005-0000-0000-0000C9230000}"/>
    <cellStyle name="Normal 11 6 46" xfId="8434" xr:uid="{00000000-0005-0000-0000-0000CA230000}"/>
    <cellStyle name="Normal 11 6 47" xfId="8435" xr:uid="{00000000-0005-0000-0000-0000CB230000}"/>
    <cellStyle name="Normal 11 6 48" xfId="8436" xr:uid="{00000000-0005-0000-0000-0000CC230000}"/>
    <cellStyle name="Normal 11 6 49" xfId="8437" xr:uid="{00000000-0005-0000-0000-0000CD230000}"/>
    <cellStyle name="Normal 11 6 5" xfId="8438" xr:uid="{00000000-0005-0000-0000-0000CE230000}"/>
    <cellStyle name="Normal 11 6 50" xfId="8439" xr:uid="{00000000-0005-0000-0000-0000CF230000}"/>
    <cellStyle name="Normal 11 6 51" xfId="8440" xr:uid="{00000000-0005-0000-0000-0000D0230000}"/>
    <cellStyle name="Normal 11 6 52" xfId="8441" xr:uid="{00000000-0005-0000-0000-0000D1230000}"/>
    <cellStyle name="Normal 11 6 6" xfId="8442" xr:uid="{00000000-0005-0000-0000-0000D2230000}"/>
    <cellStyle name="Normal 11 6 7" xfId="8443" xr:uid="{00000000-0005-0000-0000-0000D3230000}"/>
    <cellStyle name="Normal 11 6 8" xfId="8444" xr:uid="{00000000-0005-0000-0000-0000D4230000}"/>
    <cellStyle name="Normal 11 6 9" xfId="8445" xr:uid="{00000000-0005-0000-0000-0000D5230000}"/>
    <cellStyle name="Normal 11 7" xfId="8446" xr:uid="{00000000-0005-0000-0000-0000D6230000}"/>
    <cellStyle name="Normal 11 7 10" xfId="8447" xr:uid="{00000000-0005-0000-0000-0000D7230000}"/>
    <cellStyle name="Normal 11 7 11" xfId="8448" xr:uid="{00000000-0005-0000-0000-0000D8230000}"/>
    <cellStyle name="Normal 11 7 12" xfId="8449" xr:uid="{00000000-0005-0000-0000-0000D9230000}"/>
    <cellStyle name="Normal 11 7 13" xfId="8450" xr:uid="{00000000-0005-0000-0000-0000DA230000}"/>
    <cellStyle name="Normal 11 7 14" xfId="8451" xr:uid="{00000000-0005-0000-0000-0000DB230000}"/>
    <cellStyle name="Normal 11 7 15" xfId="8452" xr:uid="{00000000-0005-0000-0000-0000DC230000}"/>
    <cellStyle name="Normal 11 7 16" xfId="8453" xr:uid="{00000000-0005-0000-0000-0000DD230000}"/>
    <cellStyle name="Normal 11 7 17" xfId="8454" xr:uid="{00000000-0005-0000-0000-0000DE230000}"/>
    <cellStyle name="Normal 11 7 18" xfId="8455" xr:uid="{00000000-0005-0000-0000-0000DF230000}"/>
    <cellStyle name="Normal 11 7 19" xfId="8456" xr:uid="{00000000-0005-0000-0000-0000E0230000}"/>
    <cellStyle name="Normal 11 7 2" xfId="8457" xr:uid="{00000000-0005-0000-0000-0000E1230000}"/>
    <cellStyle name="Normal 11 7 2 2" xfId="8458" xr:uid="{00000000-0005-0000-0000-0000E2230000}"/>
    <cellStyle name="Normal 11 7 2 3" xfId="8459" xr:uid="{00000000-0005-0000-0000-0000E3230000}"/>
    <cellStyle name="Normal 11 7 2 4" xfId="8460" xr:uid="{00000000-0005-0000-0000-0000E4230000}"/>
    <cellStyle name="Normal 11 7 20" xfId="8461" xr:uid="{00000000-0005-0000-0000-0000E5230000}"/>
    <cellStyle name="Normal 11 7 21" xfId="8462" xr:uid="{00000000-0005-0000-0000-0000E6230000}"/>
    <cellStyle name="Normal 11 7 22" xfId="8463" xr:uid="{00000000-0005-0000-0000-0000E7230000}"/>
    <cellStyle name="Normal 11 7 23" xfId="8464" xr:uid="{00000000-0005-0000-0000-0000E8230000}"/>
    <cellStyle name="Normal 11 7 24" xfId="8465" xr:uid="{00000000-0005-0000-0000-0000E9230000}"/>
    <cellStyle name="Normal 11 7 25" xfId="8466" xr:uid="{00000000-0005-0000-0000-0000EA230000}"/>
    <cellStyle name="Normal 11 7 26" xfId="8467" xr:uid="{00000000-0005-0000-0000-0000EB230000}"/>
    <cellStyle name="Normal 11 7 27" xfId="8468" xr:uid="{00000000-0005-0000-0000-0000EC230000}"/>
    <cellStyle name="Normal 11 7 28" xfId="8469" xr:uid="{00000000-0005-0000-0000-0000ED230000}"/>
    <cellStyle name="Normal 11 7 29" xfId="8470" xr:uid="{00000000-0005-0000-0000-0000EE230000}"/>
    <cellStyle name="Normal 11 7 3" xfId="8471" xr:uid="{00000000-0005-0000-0000-0000EF230000}"/>
    <cellStyle name="Normal 11 7 3 2" xfId="8472" xr:uid="{00000000-0005-0000-0000-0000F0230000}"/>
    <cellStyle name="Normal 11 7 3 3" xfId="8473" xr:uid="{00000000-0005-0000-0000-0000F1230000}"/>
    <cellStyle name="Normal 11 7 3 4" xfId="8474" xr:uid="{00000000-0005-0000-0000-0000F2230000}"/>
    <cellStyle name="Normal 11 7 30" xfId="8475" xr:uid="{00000000-0005-0000-0000-0000F3230000}"/>
    <cellStyle name="Normal 11 7 31" xfId="8476" xr:uid="{00000000-0005-0000-0000-0000F4230000}"/>
    <cellStyle name="Normal 11 7 32" xfId="8477" xr:uid="{00000000-0005-0000-0000-0000F5230000}"/>
    <cellStyle name="Normal 11 7 33" xfId="8478" xr:uid="{00000000-0005-0000-0000-0000F6230000}"/>
    <cellStyle name="Normal 11 7 34" xfId="8479" xr:uid="{00000000-0005-0000-0000-0000F7230000}"/>
    <cellStyle name="Normal 11 7 35" xfId="8480" xr:uid="{00000000-0005-0000-0000-0000F8230000}"/>
    <cellStyle name="Normal 11 7 36" xfId="8481" xr:uid="{00000000-0005-0000-0000-0000F9230000}"/>
    <cellStyle name="Normal 11 7 37" xfId="8482" xr:uid="{00000000-0005-0000-0000-0000FA230000}"/>
    <cellStyle name="Normal 11 7 38" xfId="8483" xr:uid="{00000000-0005-0000-0000-0000FB230000}"/>
    <cellStyle name="Normal 11 7 39" xfId="8484" xr:uid="{00000000-0005-0000-0000-0000FC230000}"/>
    <cellStyle name="Normal 11 7 4" xfId="8485" xr:uid="{00000000-0005-0000-0000-0000FD230000}"/>
    <cellStyle name="Normal 11 7 40" xfId="8486" xr:uid="{00000000-0005-0000-0000-0000FE230000}"/>
    <cellStyle name="Normal 11 7 41" xfId="8487" xr:uid="{00000000-0005-0000-0000-0000FF230000}"/>
    <cellStyle name="Normal 11 7 42" xfId="8488" xr:uid="{00000000-0005-0000-0000-000000240000}"/>
    <cellStyle name="Normal 11 7 43" xfId="8489" xr:uid="{00000000-0005-0000-0000-000001240000}"/>
    <cellStyle name="Normal 11 7 44" xfId="8490" xr:uid="{00000000-0005-0000-0000-000002240000}"/>
    <cellStyle name="Normal 11 7 45" xfId="8491" xr:uid="{00000000-0005-0000-0000-000003240000}"/>
    <cellStyle name="Normal 11 7 46" xfId="8492" xr:uid="{00000000-0005-0000-0000-000004240000}"/>
    <cellStyle name="Normal 11 7 47" xfId="8493" xr:uid="{00000000-0005-0000-0000-000005240000}"/>
    <cellStyle name="Normal 11 7 48" xfId="8494" xr:uid="{00000000-0005-0000-0000-000006240000}"/>
    <cellStyle name="Normal 11 7 49" xfId="8495" xr:uid="{00000000-0005-0000-0000-000007240000}"/>
    <cellStyle name="Normal 11 7 5" xfId="8496" xr:uid="{00000000-0005-0000-0000-000008240000}"/>
    <cellStyle name="Normal 11 7 50" xfId="8497" xr:uid="{00000000-0005-0000-0000-000009240000}"/>
    <cellStyle name="Normal 11 7 51" xfId="8498" xr:uid="{00000000-0005-0000-0000-00000A240000}"/>
    <cellStyle name="Normal 11 7 52" xfId="8499" xr:uid="{00000000-0005-0000-0000-00000B240000}"/>
    <cellStyle name="Normal 11 7 6" xfId="8500" xr:uid="{00000000-0005-0000-0000-00000C240000}"/>
    <cellStyle name="Normal 11 7 7" xfId="8501" xr:uid="{00000000-0005-0000-0000-00000D240000}"/>
    <cellStyle name="Normal 11 7 8" xfId="8502" xr:uid="{00000000-0005-0000-0000-00000E240000}"/>
    <cellStyle name="Normal 11 7 9" xfId="8503" xr:uid="{00000000-0005-0000-0000-00000F240000}"/>
    <cellStyle name="Normal 11 8" xfId="8504" xr:uid="{00000000-0005-0000-0000-000010240000}"/>
    <cellStyle name="Normal 11 8 10" xfId="8505" xr:uid="{00000000-0005-0000-0000-000011240000}"/>
    <cellStyle name="Normal 11 8 11" xfId="8506" xr:uid="{00000000-0005-0000-0000-000012240000}"/>
    <cellStyle name="Normal 11 8 12" xfId="8507" xr:uid="{00000000-0005-0000-0000-000013240000}"/>
    <cellStyle name="Normal 11 8 13" xfId="8508" xr:uid="{00000000-0005-0000-0000-000014240000}"/>
    <cellStyle name="Normal 11 8 14" xfId="8509" xr:uid="{00000000-0005-0000-0000-000015240000}"/>
    <cellStyle name="Normal 11 8 15" xfId="8510" xr:uid="{00000000-0005-0000-0000-000016240000}"/>
    <cellStyle name="Normal 11 8 16" xfId="8511" xr:uid="{00000000-0005-0000-0000-000017240000}"/>
    <cellStyle name="Normal 11 8 17" xfId="8512" xr:uid="{00000000-0005-0000-0000-000018240000}"/>
    <cellStyle name="Normal 11 8 18" xfId="8513" xr:uid="{00000000-0005-0000-0000-000019240000}"/>
    <cellStyle name="Normal 11 8 19" xfId="8514" xr:uid="{00000000-0005-0000-0000-00001A240000}"/>
    <cellStyle name="Normal 11 8 2" xfId="8515" xr:uid="{00000000-0005-0000-0000-00001B240000}"/>
    <cellStyle name="Normal 11 8 2 2" xfId="8516" xr:uid="{00000000-0005-0000-0000-00001C240000}"/>
    <cellStyle name="Normal 11 8 2 3" xfId="8517" xr:uid="{00000000-0005-0000-0000-00001D240000}"/>
    <cellStyle name="Normal 11 8 2 4" xfId="8518" xr:uid="{00000000-0005-0000-0000-00001E240000}"/>
    <cellStyle name="Normal 11 8 20" xfId="8519" xr:uid="{00000000-0005-0000-0000-00001F240000}"/>
    <cellStyle name="Normal 11 8 21" xfId="8520" xr:uid="{00000000-0005-0000-0000-000020240000}"/>
    <cellStyle name="Normal 11 8 22" xfId="8521" xr:uid="{00000000-0005-0000-0000-000021240000}"/>
    <cellStyle name="Normal 11 8 23" xfId="8522" xr:uid="{00000000-0005-0000-0000-000022240000}"/>
    <cellStyle name="Normal 11 8 24" xfId="8523" xr:uid="{00000000-0005-0000-0000-000023240000}"/>
    <cellStyle name="Normal 11 8 25" xfId="8524" xr:uid="{00000000-0005-0000-0000-000024240000}"/>
    <cellStyle name="Normal 11 8 26" xfId="8525" xr:uid="{00000000-0005-0000-0000-000025240000}"/>
    <cellStyle name="Normal 11 8 27" xfId="8526" xr:uid="{00000000-0005-0000-0000-000026240000}"/>
    <cellStyle name="Normal 11 8 28" xfId="8527" xr:uid="{00000000-0005-0000-0000-000027240000}"/>
    <cellStyle name="Normal 11 8 29" xfId="8528" xr:uid="{00000000-0005-0000-0000-000028240000}"/>
    <cellStyle name="Normal 11 8 3" xfId="8529" xr:uid="{00000000-0005-0000-0000-000029240000}"/>
    <cellStyle name="Normal 11 8 3 2" xfId="8530" xr:uid="{00000000-0005-0000-0000-00002A240000}"/>
    <cellStyle name="Normal 11 8 3 3" xfId="8531" xr:uid="{00000000-0005-0000-0000-00002B240000}"/>
    <cellStyle name="Normal 11 8 3 4" xfId="8532" xr:uid="{00000000-0005-0000-0000-00002C240000}"/>
    <cellStyle name="Normal 11 8 30" xfId="8533" xr:uid="{00000000-0005-0000-0000-00002D240000}"/>
    <cellStyle name="Normal 11 8 31" xfId="8534" xr:uid="{00000000-0005-0000-0000-00002E240000}"/>
    <cellStyle name="Normal 11 8 32" xfId="8535" xr:uid="{00000000-0005-0000-0000-00002F240000}"/>
    <cellStyle name="Normal 11 8 33" xfId="8536" xr:uid="{00000000-0005-0000-0000-000030240000}"/>
    <cellStyle name="Normal 11 8 34" xfId="8537" xr:uid="{00000000-0005-0000-0000-000031240000}"/>
    <cellStyle name="Normal 11 8 35" xfId="8538" xr:uid="{00000000-0005-0000-0000-000032240000}"/>
    <cellStyle name="Normal 11 8 36" xfId="8539" xr:uid="{00000000-0005-0000-0000-000033240000}"/>
    <cellStyle name="Normal 11 8 37" xfId="8540" xr:uid="{00000000-0005-0000-0000-000034240000}"/>
    <cellStyle name="Normal 11 8 38" xfId="8541" xr:uid="{00000000-0005-0000-0000-000035240000}"/>
    <cellStyle name="Normal 11 8 39" xfId="8542" xr:uid="{00000000-0005-0000-0000-000036240000}"/>
    <cellStyle name="Normal 11 8 4" xfId="8543" xr:uid="{00000000-0005-0000-0000-000037240000}"/>
    <cellStyle name="Normal 11 8 40" xfId="8544" xr:uid="{00000000-0005-0000-0000-000038240000}"/>
    <cellStyle name="Normal 11 8 41" xfId="8545" xr:uid="{00000000-0005-0000-0000-000039240000}"/>
    <cellStyle name="Normal 11 8 42" xfId="8546" xr:uid="{00000000-0005-0000-0000-00003A240000}"/>
    <cellStyle name="Normal 11 8 43" xfId="8547" xr:uid="{00000000-0005-0000-0000-00003B240000}"/>
    <cellStyle name="Normal 11 8 44" xfId="8548" xr:uid="{00000000-0005-0000-0000-00003C240000}"/>
    <cellStyle name="Normal 11 8 45" xfId="8549" xr:uid="{00000000-0005-0000-0000-00003D240000}"/>
    <cellStyle name="Normal 11 8 46" xfId="8550" xr:uid="{00000000-0005-0000-0000-00003E240000}"/>
    <cellStyle name="Normal 11 8 47" xfId="8551" xr:uid="{00000000-0005-0000-0000-00003F240000}"/>
    <cellStyle name="Normal 11 8 48" xfId="8552" xr:uid="{00000000-0005-0000-0000-000040240000}"/>
    <cellStyle name="Normal 11 8 49" xfId="8553" xr:uid="{00000000-0005-0000-0000-000041240000}"/>
    <cellStyle name="Normal 11 8 5" xfId="8554" xr:uid="{00000000-0005-0000-0000-000042240000}"/>
    <cellStyle name="Normal 11 8 50" xfId="8555" xr:uid="{00000000-0005-0000-0000-000043240000}"/>
    <cellStyle name="Normal 11 8 51" xfId="8556" xr:uid="{00000000-0005-0000-0000-000044240000}"/>
    <cellStyle name="Normal 11 8 52" xfId="8557" xr:uid="{00000000-0005-0000-0000-000045240000}"/>
    <cellStyle name="Normal 11 8 6" xfId="8558" xr:uid="{00000000-0005-0000-0000-000046240000}"/>
    <cellStyle name="Normal 11 8 7" xfId="8559" xr:uid="{00000000-0005-0000-0000-000047240000}"/>
    <cellStyle name="Normal 11 8 8" xfId="8560" xr:uid="{00000000-0005-0000-0000-000048240000}"/>
    <cellStyle name="Normal 11 8 9" xfId="8561" xr:uid="{00000000-0005-0000-0000-000049240000}"/>
    <cellStyle name="Normal 11 9" xfId="8562" xr:uid="{00000000-0005-0000-0000-00004A240000}"/>
    <cellStyle name="Normal 11 9 10" xfId="8563" xr:uid="{00000000-0005-0000-0000-00004B240000}"/>
    <cellStyle name="Normal 11 9 11" xfId="8564" xr:uid="{00000000-0005-0000-0000-00004C240000}"/>
    <cellStyle name="Normal 11 9 12" xfId="8565" xr:uid="{00000000-0005-0000-0000-00004D240000}"/>
    <cellStyle name="Normal 11 9 13" xfId="8566" xr:uid="{00000000-0005-0000-0000-00004E240000}"/>
    <cellStyle name="Normal 11 9 14" xfId="8567" xr:uid="{00000000-0005-0000-0000-00004F240000}"/>
    <cellStyle name="Normal 11 9 15" xfId="8568" xr:uid="{00000000-0005-0000-0000-000050240000}"/>
    <cellStyle name="Normal 11 9 16" xfId="8569" xr:uid="{00000000-0005-0000-0000-000051240000}"/>
    <cellStyle name="Normal 11 9 17" xfId="8570" xr:uid="{00000000-0005-0000-0000-000052240000}"/>
    <cellStyle name="Normal 11 9 18" xfId="8571" xr:uid="{00000000-0005-0000-0000-000053240000}"/>
    <cellStyle name="Normal 11 9 19" xfId="8572" xr:uid="{00000000-0005-0000-0000-000054240000}"/>
    <cellStyle name="Normal 11 9 2" xfId="8573" xr:uid="{00000000-0005-0000-0000-000055240000}"/>
    <cellStyle name="Normal 11 9 2 2" xfId="8574" xr:uid="{00000000-0005-0000-0000-000056240000}"/>
    <cellStyle name="Normal 11 9 2 3" xfId="8575" xr:uid="{00000000-0005-0000-0000-000057240000}"/>
    <cellStyle name="Normal 11 9 2 4" xfId="8576" xr:uid="{00000000-0005-0000-0000-000058240000}"/>
    <cellStyle name="Normal 11 9 20" xfId="8577" xr:uid="{00000000-0005-0000-0000-000059240000}"/>
    <cellStyle name="Normal 11 9 21" xfId="8578" xr:uid="{00000000-0005-0000-0000-00005A240000}"/>
    <cellStyle name="Normal 11 9 22" xfId="8579" xr:uid="{00000000-0005-0000-0000-00005B240000}"/>
    <cellStyle name="Normal 11 9 23" xfId="8580" xr:uid="{00000000-0005-0000-0000-00005C240000}"/>
    <cellStyle name="Normal 11 9 24" xfId="8581" xr:uid="{00000000-0005-0000-0000-00005D240000}"/>
    <cellStyle name="Normal 11 9 25" xfId="8582" xr:uid="{00000000-0005-0000-0000-00005E240000}"/>
    <cellStyle name="Normal 11 9 26" xfId="8583" xr:uid="{00000000-0005-0000-0000-00005F240000}"/>
    <cellStyle name="Normal 11 9 27" xfId="8584" xr:uid="{00000000-0005-0000-0000-000060240000}"/>
    <cellStyle name="Normal 11 9 28" xfId="8585" xr:uid="{00000000-0005-0000-0000-000061240000}"/>
    <cellStyle name="Normal 11 9 29" xfId="8586" xr:uid="{00000000-0005-0000-0000-000062240000}"/>
    <cellStyle name="Normal 11 9 3" xfId="8587" xr:uid="{00000000-0005-0000-0000-000063240000}"/>
    <cellStyle name="Normal 11 9 3 2" xfId="8588" xr:uid="{00000000-0005-0000-0000-000064240000}"/>
    <cellStyle name="Normal 11 9 3 3" xfId="8589" xr:uid="{00000000-0005-0000-0000-000065240000}"/>
    <cellStyle name="Normal 11 9 3 4" xfId="8590" xr:uid="{00000000-0005-0000-0000-000066240000}"/>
    <cellStyle name="Normal 11 9 30" xfId="8591" xr:uid="{00000000-0005-0000-0000-000067240000}"/>
    <cellStyle name="Normal 11 9 31" xfId="8592" xr:uid="{00000000-0005-0000-0000-000068240000}"/>
    <cellStyle name="Normal 11 9 32" xfId="8593" xr:uid="{00000000-0005-0000-0000-000069240000}"/>
    <cellStyle name="Normal 11 9 33" xfId="8594" xr:uid="{00000000-0005-0000-0000-00006A240000}"/>
    <cellStyle name="Normal 11 9 34" xfId="8595" xr:uid="{00000000-0005-0000-0000-00006B240000}"/>
    <cellStyle name="Normal 11 9 35" xfId="8596" xr:uid="{00000000-0005-0000-0000-00006C240000}"/>
    <cellStyle name="Normal 11 9 36" xfId="8597" xr:uid="{00000000-0005-0000-0000-00006D240000}"/>
    <cellStyle name="Normal 11 9 37" xfId="8598" xr:uid="{00000000-0005-0000-0000-00006E240000}"/>
    <cellStyle name="Normal 11 9 38" xfId="8599" xr:uid="{00000000-0005-0000-0000-00006F240000}"/>
    <cellStyle name="Normal 11 9 39" xfId="8600" xr:uid="{00000000-0005-0000-0000-000070240000}"/>
    <cellStyle name="Normal 11 9 4" xfId="8601" xr:uid="{00000000-0005-0000-0000-000071240000}"/>
    <cellStyle name="Normal 11 9 40" xfId="8602" xr:uid="{00000000-0005-0000-0000-000072240000}"/>
    <cellStyle name="Normal 11 9 41" xfId="8603" xr:uid="{00000000-0005-0000-0000-000073240000}"/>
    <cellStyle name="Normal 11 9 42" xfId="8604" xr:uid="{00000000-0005-0000-0000-000074240000}"/>
    <cellStyle name="Normal 11 9 43" xfId="8605" xr:uid="{00000000-0005-0000-0000-000075240000}"/>
    <cellStyle name="Normal 11 9 44" xfId="8606" xr:uid="{00000000-0005-0000-0000-000076240000}"/>
    <cellStyle name="Normal 11 9 45" xfId="8607" xr:uid="{00000000-0005-0000-0000-000077240000}"/>
    <cellStyle name="Normal 11 9 46" xfId="8608" xr:uid="{00000000-0005-0000-0000-000078240000}"/>
    <cellStyle name="Normal 11 9 47" xfId="8609" xr:uid="{00000000-0005-0000-0000-000079240000}"/>
    <cellStyle name="Normal 11 9 48" xfId="8610" xr:uid="{00000000-0005-0000-0000-00007A240000}"/>
    <cellStyle name="Normal 11 9 49" xfId="8611" xr:uid="{00000000-0005-0000-0000-00007B240000}"/>
    <cellStyle name="Normal 11 9 5" xfId="8612" xr:uid="{00000000-0005-0000-0000-00007C240000}"/>
    <cellStyle name="Normal 11 9 50" xfId="8613" xr:uid="{00000000-0005-0000-0000-00007D240000}"/>
    <cellStyle name="Normal 11 9 51" xfId="8614" xr:uid="{00000000-0005-0000-0000-00007E240000}"/>
    <cellStyle name="Normal 11 9 52" xfId="8615" xr:uid="{00000000-0005-0000-0000-00007F240000}"/>
    <cellStyle name="Normal 11 9 6" xfId="8616" xr:uid="{00000000-0005-0000-0000-000080240000}"/>
    <cellStyle name="Normal 11 9 7" xfId="8617" xr:uid="{00000000-0005-0000-0000-000081240000}"/>
    <cellStyle name="Normal 11 9 8" xfId="8618" xr:uid="{00000000-0005-0000-0000-000082240000}"/>
    <cellStyle name="Normal 11 9 9" xfId="8619" xr:uid="{00000000-0005-0000-0000-000083240000}"/>
    <cellStyle name="Normal 11_IF - Autoprodutores 2" xfId="8620" xr:uid="{00000000-0005-0000-0000-000084240000}"/>
    <cellStyle name="Normal 110" xfId="8621" xr:uid="{00000000-0005-0000-0000-000085240000}"/>
    <cellStyle name="Normal 111" xfId="8622" xr:uid="{00000000-0005-0000-0000-000086240000}"/>
    <cellStyle name="Normal 112" xfId="8623" xr:uid="{00000000-0005-0000-0000-000087240000}"/>
    <cellStyle name="Normal 113" xfId="8624" xr:uid="{00000000-0005-0000-0000-000088240000}"/>
    <cellStyle name="Normal 114" xfId="8625" xr:uid="{00000000-0005-0000-0000-000089240000}"/>
    <cellStyle name="Normal 115" xfId="8626" xr:uid="{00000000-0005-0000-0000-00008A240000}"/>
    <cellStyle name="Normal 116" xfId="8627" xr:uid="{00000000-0005-0000-0000-00008B240000}"/>
    <cellStyle name="Normal 117" xfId="8628" xr:uid="{00000000-0005-0000-0000-00008C240000}"/>
    <cellStyle name="Normal 118" xfId="8629" xr:uid="{00000000-0005-0000-0000-00008D240000}"/>
    <cellStyle name="Normal 119" xfId="8630" xr:uid="{00000000-0005-0000-0000-00008E240000}"/>
    <cellStyle name="Normal 12" xfId="1060" xr:uid="{00000000-0005-0000-0000-00008F240000}"/>
    <cellStyle name="Normal 12 10 2" xfId="8631" xr:uid="{00000000-0005-0000-0000-000091240000}"/>
    <cellStyle name="Normal 12 10 2 2" xfId="8632" xr:uid="{00000000-0005-0000-0000-000092240000}"/>
    <cellStyle name="Normal 12 10 2 3" xfId="8633" xr:uid="{00000000-0005-0000-0000-000093240000}"/>
    <cellStyle name="Normal 12 10 2 4" xfId="8634" xr:uid="{00000000-0005-0000-0000-000094240000}"/>
    <cellStyle name="Normal 12 10 3" xfId="8635" xr:uid="{00000000-0005-0000-0000-000095240000}"/>
    <cellStyle name="Normal 12 10 3 2" xfId="8636" xr:uid="{00000000-0005-0000-0000-000096240000}"/>
    <cellStyle name="Normal 12 10 3 3" xfId="8637" xr:uid="{00000000-0005-0000-0000-000097240000}"/>
    <cellStyle name="Normal 12 10 3 4" xfId="8638" xr:uid="{00000000-0005-0000-0000-000098240000}"/>
    <cellStyle name="Normal 12 10 4" xfId="8639" xr:uid="{00000000-0005-0000-0000-000099240000}"/>
    <cellStyle name="Normal 12 10 5" xfId="8640" xr:uid="{00000000-0005-0000-0000-00009A240000}"/>
    <cellStyle name="Normal 12 10 6" xfId="8641" xr:uid="{00000000-0005-0000-0000-00009B240000}"/>
    <cellStyle name="Normal 12 11" xfId="8642" xr:uid="{00000000-0005-0000-0000-00009C240000}"/>
    <cellStyle name="Normal 12 11 2" xfId="8643" xr:uid="{00000000-0005-0000-0000-00009D240000}"/>
    <cellStyle name="Normal 12 11 2 2" xfId="8644" xr:uid="{00000000-0005-0000-0000-00009E240000}"/>
    <cellStyle name="Normal 12 11 2 3" xfId="8645" xr:uid="{00000000-0005-0000-0000-00009F240000}"/>
    <cellStyle name="Normal 12 11 2 4" xfId="8646" xr:uid="{00000000-0005-0000-0000-0000A0240000}"/>
    <cellStyle name="Normal 12 11 3" xfId="8647" xr:uid="{00000000-0005-0000-0000-0000A1240000}"/>
    <cellStyle name="Normal 12 11 3 2" xfId="8648" xr:uid="{00000000-0005-0000-0000-0000A2240000}"/>
    <cellStyle name="Normal 12 11 3 3" xfId="8649" xr:uid="{00000000-0005-0000-0000-0000A3240000}"/>
    <cellStyle name="Normal 12 11 3 4" xfId="8650" xr:uid="{00000000-0005-0000-0000-0000A4240000}"/>
    <cellStyle name="Normal 12 11 4" xfId="8651" xr:uid="{00000000-0005-0000-0000-0000A5240000}"/>
    <cellStyle name="Normal 12 11 5" xfId="8652" xr:uid="{00000000-0005-0000-0000-0000A6240000}"/>
    <cellStyle name="Normal 12 11 6" xfId="8653" xr:uid="{00000000-0005-0000-0000-0000A7240000}"/>
    <cellStyle name="Normal 12 12" xfId="8654" xr:uid="{00000000-0005-0000-0000-0000A8240000}"/>
    <cellStyle name="Normal 12 12 2" xfId="8655" xr:uid="{00000000-0005-0000-0000-0000A9240000}"/>
    <cellStyle name="Normal 12 12 2 2" xfId="8656" xr:uid="{00000000-0005-0000-0000-0000AA240000}"/>
    <cellStyle name="Normal 12 12 2 3" xfId="8657" xr:uid="{00000000-0005-0000-0000-0000AB240000}"/>
    <cellStyle name="Normal 12 12 2 4" xfId="8658" xr:uid="{00000000-0005-0000-0000-0000AC240000}"/>
    <cellStyle name="Normal 12 12 3" xfId="8659" xr:uid="{00000000-0005-0000-0000-0000AD240000}"/>
    <cellStyle name="Normal 12 12 3 2" xfId="8660" xr:uid="{00000000-0005-0000-0000-0000AE240000}"/>
    <cellStyle name="Normal 12 12 3 3" xfId="8661" xr:uid="{00000000-0005-0000-0000-0000AF240000}"/>
    <cellStyle name="Normal 12 12 3 4" xfId="8662" xr:uid="{00000000-0005-0000-0000-0000B0240000}"/>
    <cellStyle name="Normal 12 12 4" xfId="8663" xr:uid="{00000000-0005-0000-0000-0000B1240000}"/>
    <cellStyle name="Normal 12 12 5" xfId="8664" xr:uid="{00000000-0005-0000-0000-0000B2240000}"/>
    <cellStyle name="Normal 12 12 6" xfId="8665" xr:uid="{00000000-0005-0000-0000-0000B3240000}"/>
    <cellStyle name="Normal 12 13" xfId="8666" xr:uid="{00000000-0005-0000-0000-0000B4240000}"/>
    <cellStyle name="Normal 12 13 2" xfId="8667" xr:uid="{00000000-0005-0000-0000-0000B5240000}"/>
    <cellStyle name="Normal 12 13 2 2" xfId="8668" xr:uid="{00000000-0005-0000-0000-0000B6240000}"/>
    <cellStyle name="Normal 12 13 2 3" xfId="8669" xr:uid="{00000000-0005-0000-0000-0000B7240000}"/>
    <cellStyle name="Normal 12 13 2 4" xfId="8670" xr:uid="{00000000-0005-0000-0000-0000B8240000}"/>
    <cellStyle name="Normal 12 13 3" xfId="8671" xr:uid="{00000000-0005-0000-0000-0000B9240000}"/>
    <cellStyle name="Normal 12 13 3 2" xfId="8672" xr:uid="{00000000-0005-0000-0000-0000BA240000}"/>
    <cellStyle name="Normal 12 13 3 3" xfId="8673" xr:uid="{00000000-0005-0000-0000-0000BB240000}"/>
    <cellStyle name="Normal 12 13 3 4" xfId="8674" xr:uid="{00000000-0005-0000-0000-0000BC240000}"/>
    <cellStyle name="Normal 12 13 4" xfId="8675" xr:uid="{00000000-0005-0000-0000-0000BD240000}"/>
    <cellStyle name="Normal 12 13 5" xfId="8676" xr:uid="{00000000-0005-0000-0000-0000BE240000}"/>
    <cellStyle name="Normal 12 13 6" xfId="8677" xr:uid="{00000000-0005-0000-0000-0000BF240000}"/>
    <cellStyle name="Normal 12 14" xfId="8678" xr:uid="{00000000-0005-0000-0000-0000C0240000}"/>
    <cellStyle name="Normal 12 14 2" xfId="8679" xr:uid="{00000000-0005-0000-0000-0000C1240000}"/>
    <cellStyle name="Normal 12 14 2 2" xfId="8680" xr:uid="{00000000-0005-0000-0000-0000C2240000}"/>
    <cellStyle name="Normal 12 14 2 3" xfId="8681" xr:uid="{00000000-0005-0000-0000-0000C3240000}"/>
    <cellStyle name="Normal 12 14 2 4" xfId="8682" xr:uid="{00000000-0005-0000-0000-0000C4240000}"/>
    <cellStyle name="Normal 12 14 3" xfId="8683" xr:uid="{00000000-0005-0000-0000-0000C5240000}"/>
    <cellStyle name="Normal 12 14 3 2" xfId="8684" xr:uid="{00000000-0005-0000-0000-0000C6240000}"/>
    <cellStyle name="Normal 12 14 3 3" xfId="8685" xr:uid="{00000000-0005-0000-0000-0000C7240000}"/>
    <cellStyle name="Normal 12 14 3 4" xfId="8686" xr:uid="{00000000-0005-0000-0000-0000C8240000}"/>
    <cellStyle name="Normal 12 14 4" xfId="8687" xr:uid="{00000000-0005-0000-0000-0000C9240000}"/>
    <cellStyle name="Normal 12 14 5" xfId="8688" xr:uid="{00000000-0005-0000-0000-0000CA240000}"/>
    <cellStyle name="Normal 12 14 6" xfId="8689" xr:uid="{00000000-0005-0000-0000-0000CB240000}"/>
    <cellStyle name="Normal 12 15" xfId="8690" xr:uid="{00000000-0005-0000-0000-0000CC240000}"/>
    <cellStyle name="Normal 12 15 2" xfId="8691" xr:uid="{00000000-0005-0000-0000-0000CD240000}"/>
    <cellStyle name="Normal 12 15 2 2" xfId="8692" xr:uid="{00000000-0005-0000-0000-0000CE240000}"/>
    <cellStyle name="Normal 12 15 2 3" xfId="8693" xr:uid="{00000000-0005-0000-0000-0000CF240000}"/>
    <cellStyle name="Normal 12 15 2 4" xfId="8694" xr:uid="{00000000-0005-0000-0000-0000D0240000}"/>
    <cellStyle name="Normal 12 15 3" xfId="8695" xr:uid="{00000000-0005-0000-0000-0000D1240000}"/>
    <cellStyle name="Normal 12 15 3 2" xfId="8696" xr:uid="{00000000-0005-0000-0000-0000D2240000}"/>
    <cellStyle name="Normal 12 15 3 3" xfId="8697" xr:uid="{00000000-0005-0000-0000-0000D3240000}"/>
    <cellStyle name="Normal 12 15 3 4" xfId="8698" xr:uid="{00000000-0005-0000-0000-0000D4240000}"/>
    <cellStyle name="Normal 12 15 4" xfId="8699" xr:uid="{00000000-0005-0000-0000-0000D5240000}"/>
    <cellStyle name="Normal 12 15 5" xfId="8700" xr:uid="{00000000-0005-0000-0000-0000D6240000}"/>
    <cellStyle name="Normal 12 15 6" xfId="8701" xr:uid="{00000000-0005-0000-0000-0000D7240000}"/>
    <cellStyle name="Normal 12 16" xfId="8702" xr:uid="{00000000-0005-0000-0000-0000D8240000}"/>
    <cellStyle name="Normal 12 16 2" xfId="8703" xr:uid="{00000000-0005-0000-0000-0000D9240000}"/>
    <cellStyle name="Normal 12 16 2 2" xfId="8704" xr:uid="{00000000-0005-0000-0000-0000DA240000}"/>
    <cellStyle name="Normal 12 16 2 3" xfId="8705" xr:uid="{00000000-0005-0000-0000-0000DB240000}"/>
    <cellStyle name="Normal 12 16 2 4" xfId="8706" xr:uid="{00000000-0005-0000-0000-0000DC240000}"/>
    <cellStyle name="Normal 12 16 3" xfId="8707" xr:uid="{00000000-0005-0000-0000-0000DD240000}"/>
    <cellStyle name="Normal 12 16 3 2" xfId="8708" xr:uid="{00000000-0005-0000-0000-0000DE240000}"/>
    <cellStyle name="Normal 12 16 3 3" xfId="8709" xr:uid="{00000000-0005-0000-0000-0000DF240000}"/>
    <cellStyle name="Normal 12 16 3 4" xfId="8710" xr:uid="{00000000-0005-0000-0000-0000E0240000}"/>
    <cellStyle name="Normal 12 16 4" xfId="8711" xr:uid="{00000000-0005-0000-0000-0000E1240000}"/>
    <cellStyle name="Normal 12 16 5" xfId="8712" xr:uid="{00000000-0005-0000-0000-0000E2240000}"/>
    <cellStyle name="Normal 12 16 6" xfId="8713" xr:uid="{00000000-0005-0000-0000-0000E3240000}"/>
    <cellStyle name="Normal 12 17" xfId="8714" xr:uid="{00000000-0005-0000-0000-0000E4240000}"/>
    <cellStyle name="Normal 12 17 2" xfId="8715" xr:uid="{00000000-0005-0000-0000-0000E5240000}"/>
    <cellStyle name="Normal 12 17 2 2" xfId="8716" xr:uid="{00000000-0005-0000-0000-0000E6240000}"/>
    <cellStyle name="Normal 12 17 2 3" xfId="8717" xr:uid="{00000000-0005-0000-0000-0000E7240000}"/>
    <cellStyle name="Normal 12 17 2 4" xfId="8718" xr:uid="{00000000-0005-0000-0000-0000E8240000}"/>
    <cellStyle name="Normal 12 17 3" xfId="8719" xr:uid="{00000000-0005-0000-0000-0000E9240000}"/>
    <cellStyle name="Normal 12 17 3 2" xfId="8720" xr:uid="{00000000-0005-0000-0000-0000EA240000}"/>
    <cellStyle name="Normal 12 17 3 3" xfId="8721" xr:uid="{00000000-0005-0000-0000-0000EB240000}"/>
    <cellStyle name="Normal 12 17 3 4" xfId="8722" xr:uid="{00000000-0005-0000-0000-0000EC240000}"/>
    <cellStyle name="Normal 12 17 4" xfId="8723" xr:uid="{00000000-0005-0000-0000-0000ED240000}"/>
    <cellStyle name="Normal 12 17 5" xfId="8724" xr:uid="{00000000-0005-0000-0000-0000EE240000}"/>
    <cellStyle name="Normal 12 17 6" xfId="8725" xr:uid="{00000000-0005-0000-0000-0000EF240000}"/>
    <cellStyle name="Normal 12 18" xfId="8726" xr:uid="{00000000-0005-0000-0000-0000F0240000}"/>
    <cellStyle name="Normal 12 18 2" xfId="8727" xr:uid="{00000000-0005-0000-0000-0000F1240000}"/>
    <cellStyle name="Normal 12 18 2 2" xfId="8728" xr:uid="{00000000-0005-0000-0000-0000F2240000}"/>
    <cellStyle name="Normal 12 18 2 3" xfId="8729" xr:uid="{00000000-0005-0000-0000-0000F3240000}"/>
    <cellStyle name="Normal 12 18 2 4" xfId="8730" xr:uid="{00000000-0005-0000-0000-0000F4240000}"/>
    <cellStyle name="Normal 12 18 3" xfId="8731" xr:uid="{00000000-0005-0000-0000-0000F5240000}"/>
    <cellStyle name="Normal 12 18 3 2" xfId="8732" xr:uid="{00000000-0005-0000-0000-0000F6240000}"/>
    <cellStyle name="Normal 12 18 3 3" xfId="8733" xr:uid="{00000000-0005-0000-0000-0000F7240000}"/>
    <cellStyle name="Normal 12 18 3 4" xfId="8734" xr:uid="{00000000-0005-0000-0000-0000F8240000}"/>
    <cellStyle name="Normal 12 18 4" xfId="8735" xr:uid="{00000000-0005-0000-0000-0000F9240000}"/>
    <cellStyle name="Normal 12 18 5" xfId="8736" xr:uid="{00000000-0005-0000-0000-0000FA240000}"/>
    <cellStyle name="Normal 12 18 6" xfId="8737" xr:uid="{00000000-0005-0000-0000-0000FB240000}"/>
    <cellStyle name="Normal 12 19" xfId="8738" xr:uid="{00000000-0005-0000-0000-0000FC240000}"/>
    <cellStyle name="Normal 12 19 2" xfId="8739" xr:uid="{00000000-0005-0000-0000-0000FD240000}"/>
    <cellStyle name="Normal 12 19 2 2" xfId="8740" xr:uid="{00000000-0005-0000-0000-0000FE240000}"/>
    <cellStyle name="Normal 12 19 2 3" xfId="8741" xr:uid="{00000000-0005-0000-0000-0000FF240000}"/>
    <cellStyle name="Normal 12 19 2 4" xfId="8742" xr:uid="{00000000-0005-0000-0000-000000250000}"/>
    <cellStyle name="Normal 12 19 3" xfId="8743" xr:uid="{00000000-0005-0000-0000-000001250000}"/>
    <cellStyle name="Normal 12 19 3 2" xfId="8744" xr:uid="{00000000-0005-0000-0000-000002250000}"/>
    <cellStyle name="Normal 12 19 3 3" xfId="8745" xr:uid="{00000000-0005-0000-0000-000003250000}"/>
    <cellStyle name="Normal 12 19 3 4" xfId="8746" xr:uid="{00000000-0005-0000-0000-000004250000}"/>
    <cellStyle name="Normal 12 19 4" xfId="8747" xr:uid="{00000000-0005-0000-0000-000005250000}"/>
    <cellStyle name="Normal 12 19 5" xfId="8748" xr:uid="{00000000-0005-0000-0000-000006250000}"/>
    <cellStyle name="Normal 12 19 6" xfId="8749" xr:uid="{00000000-0005-0000-0000-000007250000}"/>
    <cellStyle name="Normal 12 2" xfId="1676" xr:uid="{00000000-0005-0000-0000-000008250000}"/>
    <cellStyle name="Normal 12 2 10" xfId="8750" xr:uid="{00000000-0005-0000-0000-000009250000}"/>
    <cellStyle name="Normal 12 2 10 2" xfId="8751" xr:uid="{00000000-0005-0000-0000-00000A250000}"/>
    <cellStyle name="Normal 12 2 10 2 2" xfId="8752" xr:uid="{00000000-0005-0000-0000-00000B250000}"/>
    <cellStyle name="Normal 12 2 10 2 3" xfId="8753" xr:uid="{00000000-0005-0000-0000-00000C250000}"/>
    <cellStyle name="Normal 12 2 10 2 4" xfId="8754" xr:uid="{00000000-0005-0000-0000-00000D250000}"/>
    <cellStyle name="Normal 12 2 10 3" xfId="8755" xr:uid="{00000000-0005-0000-0000-00000E250000}"/>
    <cellStyle name="Normal 12 2 10 3 2" xfId="8756" xr:uid="{00000000-0005-0000-0000-00000F250000}"/>
    <cellStyle name="Normal 12 2 10 3 3" xfId="8757" xr:uid="{00000000-0005-0000-0000-000010250000}"/>
    <cellStyle name="Normal 12 2 10 3 4" xfId="8758" xr:uid="{00000000-0005-0000-0000-000011250000}"/>
    <cellStyle name="Normal 12 2 10 4" xfId="8759" xr:uid="{00000000-0005-0000-0000-000012250000}"/>
    <cellStyle name="Normal 12 2 10 5" xfId="8760" xr:uid="{00000000-0005-0000-0000-000013250000}"/>
    <cellStyle name="Normal 12 2 10 6" xfId="8761" xr:uid="{00000000-0005-0000-0000-000014250000}"/>
    <cellStyle name="Normal 12 2 11" xfId="8762" xr:uid="{00000000-0005-0000-0000-000015250000}"/>
    <cellStyle name="Normal 12 2 11 2" xfId="8763" xr:uid="{00000000-0005-0000-0000-000016250000}"/>
    <cellStyle name="Normal 12 2 11 2 2" xfId="8764" xr:uid="{00000000-0005-0000-0000-000017250000}"/>
    <cellStyle name="Normal 12 2 11 2 3" xfId="8765" xr:uid="{00000000-0005-0000-0000-000018250000}"/>
    <cellStyle name="Normal 12 2 11 2 4" xfId="8766" xr:uid="{00000000-0005-0000-0000-000019250000}"/>
    <cellStyle name="Normal 12 2 11 3" xfId="8767" xr:uid="{00000000-0005-0000-0000-00001A250000}"/>
    <cellStyle name="Normal 12 2 11 3 2" xfId="8768" xr:uid="{00000000-0005-0000-0000-00001B250000}"/>
    <cellStyle name="Normal 12 2 11 3 3" xfId="8769" xr:uid="{00000000-0005-0000-0000-00001C250000}"/>
    <cellStyle name="Normal 12 2 11 3 4" xfId="8770" xr:uid="{00000000-0005-0000-0000-00001D250000}"/>
    <cellStyle name="Normal 12 2 11 4" xfId="8771" xr:uid="{00000000-0005-0000-0000-00001E250000}"/>
    <cellStyle name="Normal 12 2 11 5" xfId="8772" xr:uid="{00000000-0005-0000-0000-00001F250000}"/>
    <cellStyle name="Normal 12 2 11 6" xfId="8773" xr:uid="{00000000-0005-0000-0000-000020250000}"/>
    <cellStyle name="Normal 12 2 12" xfId="8774" xr:uid="{00000000-0005-0000-0000-000021250000}"/>
    <cellStyle name="Normal 12 2 12 2" xfId="8775" xr:uid="{00000000-0005-0000-0000-000022250000}"/>
    <cellStyle name="Normal 12 2 12 2 2" xfId="8776" xr:uid="{00000000-0005-0000-0000-000023250000}"/>
    <cellStyle name="Normal 12 2 12 2 3" xfId="8777" xr:uid="{00000000-0005-0000-0000-000024250000}"/>
    <cellStyle name="Normal 12 2 12 2 4" xfId="8778" xr:uid="{00000000-0005-0000-0000-000025250000}"/>
    <cellStyle name="Normal 12 2 12 3" xfId="8779" xr:uid="{00000000-0005-0000-0000-000026250000}"/>
    <cellStyle name="Normal 12 2 12 3 2" xfId="8780" xr:uid="{00000000-0005-0000-0000-000027250000}"/>
    <cellStyle name="Normal 12 2 12 3 3" xfId="8781" xr:uid="{00000000-0005-0000-0000-000028250000}"/>
    <cellStyle name="Normal 12 2 12 3 4" xfId="8782" xr:uid="{00000000-0005-0000-0000-000029250000}"/>
    <cellStyle name="Normal 12 2 12 4" xfId="8783" xr:uid="{00000000-0005-0000-0000-00002A250000}"/>
    <cellStyle name="Normal 12 2 12 5" xfId="8784" xr:uid="{00000000-0005-0000-0000-00002B250000}"/>
    <cellStyle name="Normal 12 2 12 6" xfId="8785" xr:uid="{00000000-0005-0000-0000-00002C250000}"/>
    <cellStyle name="Normal 12 2 13" xfId="8786" xr:uid="{00000000-0005-0000-0000-00002D250000}"/>
    <cellStyle name="Normal 12 2 13 2" xfId="8787" xr:uid="{00000000-0005-0000-0000-00002E250000}"/>
    <cellStyle name="Normal 12 2 13 2 2" xfId="8788" xr:uid="{00000000-0005-0000-0000-00002F250000}"/>
    <cellStyle name="Normal 12 2 13 2 3" xfId="8789" xr:uid="{00000000-0005-0000-0000-000030250000}"/>
    <cellStyle name="Normal 12 2 13 2 4" xfId="8790" xr:uid="{00000000-0005-0000-0000-000031250000}"/>
    <cellStyle name="Normal 12 2 13 3" xfId="8791" xr:uid="{00000000-0005-0000-0000-000032250000}"/>
    <cellStyle name="Normal 12 2 13 3 2" xfId="8792" xr:uid="{00000000-0005-0000-0000-000033250000}"/>
    <cellStyle name="Normal 12 2 13 3 3" xfId="8793" xr:uid="{00000000-0005-0000-0000-000034250000}"/>
    <cellStyle name="Normal 12 2 13 3 4" xfId="8794" xr:uid="{00000000-0005-0000-0000-000035250000}"/>
    <cellStyle name="Normal 12 2 13 4" xfId="8795" xr:uid="{00000000-0005-0000-0000-000036250000}"/>
    <cellStyle name="Normal 12 2 13 5" xfId="8796" xr:uid="{00000000-0005-0000-0000-000037250000}"/>
    <cellStyle name="Normal 12 2 13 6" xfId="8797" xr:uid="{00000000-0005-0000-0000-000038250000}"/>
    <cellStyle name="Normal 12 2 14" xfId="8798" xr:uid="{00000000-0005-0000-0000-000039250000}"/>
    <cellStyle name="Normal 12 2 14 2" xfId="8799" xr:uid="{00000000-0005-0000-0000-00003A250000}"/>
    <cellStyle name="Normal 12 2 14 2 2" xfId="8800" xr:uid="{00000000-0005-0000-0000-00003B250000}"/>
    <cellStyle name="Normal 12 2 14 2 3" xfId="8801" xr:uid="{00000000-0005-0000-0000-00003C250000}"/>
    <cellStyle name="Normal 12 2 14 2 4" xfId="8802" xr:uid="{00000000-0005-0000-0000-00003D250000}"/>
    <cellStyle name="Normal 12 2 14 3" xfId="8803" xr:uid="{00000000-0005-0000-0000-00003E250000}"/>
    <cellStyle name="Normal 12 2 14 3 2" xfId="8804" xr:uid="{00000000-0005-0000-0000-00003F250000}"/>
    <cellStyle name="Normal 12 2 14 3 3" xfId="8805" xr:uid="{00000000-0005-0000-0000-000040250000}"/>
    <cellStyle name="Normal 12 2 14 3 4" xfId="8806" xr:uid="{00000000-0005-0000-0000-000041250000}"/>
    <cellStyle name="Normal 12 2 14 4" xfId="8807" xr:uid="{00000000-0005-0000-0000-000042250000}"/>
    <cellStyle name="Normal 12 2 14 5" xfId="8808" xr:uid="{00000000-0005-0000-0000-000043250000}"/>
    <cellStyle name="Normal 12 2 14 6" xfId="8809" xr:uid="{00000000-0005-0000-0000-000044250000}"/>
    <cellStyle name="Normal 12 2 15" xfId="8810" xr:uid="{00000000-0005-0000-0000-000045250000}"/>
    <cellStyle name="Normal 12 2 15 2" xfId="8811" xr:uid="{00000000-0005-0000-0000-000046250000}"/>
    <cellStyle name="Normal 12 2 15 2 2" xfId="8812" xr:uid="{00000000-0005-0000-0000-000047250000}"/>
    <cellStyle name="Normal 12 2 15 2 3" xfId="8813" xr:uid="{00000000-0005-0000-0000-000048250000}"/>
    <cellStyle name="Normal 12 2 15 2 4" xfId="8814" xr:uid="{00000000-0005-0000-0000-000049250000}"/>
    <cellStyle name="Normal 12 2 15 3" xfId="8815" xr:uid="{00000000-0005-0000-0000-00004A250000}"/>
    <cellStyle name="Normal 12 2 15 3 2" xfId="8816" xr:uid="{00000000-0005-0000-0000-00004B250000}"/>
    <cellStyle name="Normal 12 2 15 3 3" xfId="8817" xr:uid="{00000000-0005-0000-0000-00004C250000}"/>
    <cellStyle name="Normal 12 2 15 3 4" xfId="8818" xr:uid="{00000000-0005-0000-0000-00004D250000}"/>
    <cellStyle name="Normal 12 2 15 4" xfId="8819" xr:uid="{00000000-0005-0000-0000-00004E250000}"/>
    <cellStyle name="Normal 12 2 15 5" xfId="8820" xr:uid="{00000000-0005-0000-0000-00004F250000}"/>
    <cellStyle name="Normal 12 2 15 6" xfId="8821" xr:uid="{00000000-0005-0000-0000-000050250000}"/>
    <cellStyle name="Normal 12 2 16" xfId="8822" xr:uid="{00000000-0005-0000-0000-000051250000}"/>
    <cellStyle name="Normal 12 2 16 2" xfId="8823" xr:uid="{00000000-0005-0000-0000-000052250000}"/>
    <cellStyle name="Normal 12 2 16 2 2" xfId="8824" xr:uid="{00000000-0005-0000-0000-000053250000}"/>
    <cellStyle name="Normal 12 2 16 2 3" xfId="8825" xr:uid="{00000000-0005-0000-0000-000054250000}"/>
    <cellStyle name="Normal 12 2 16 2 4" xfId="8826" xr:uid="{00000000-0005-0000-0000-000055250000}"/>
    <cellStyle name="Normal 12 2 16 3" xfId="8827" xr:uid="{00000000-0005-0000-0000-000056250000}"/>
    <cellStyle name="Normal 12 2 16 3 2" xfId="8828" xr:uid="{00000000-0005-0000-0000-000057250000}"/>
    <cellStyle name="Normal 12 2 16 3 3" xfId="8829" xr:uid="{00000000-0005-0000-0000-000058250000}"/>
    <cellStyle name="Normal 12 2 16 3 4" xfId="8830" xr:uid="{00000000-0005-0000-0000-000059250000}"/>
    <cellStyle name="Normal 12 2 16 4" xfId="8831" xr:uid="{00000000-0005-0000-0000-00005A250000}"/>
    <cellStyle name="Normal 12 2 16 5" xfId="8832" xr:uid="{00000000-0005-0000-0000-00005B250000}"/>
    <cellStyle name="Normal 12 2 16 6" xfId="8833" xr:uid="{00000000-0005-0000-0000-00005C250000}"/>
    <cellStyle name="Normal 12 2 17" xfId="8834" xr:uid="{00000000-0005-0000-0000-00005D250000}"/>
    <cellStyle name="Normal 12 2 17 2" xfId="8835" xr:uid="{00000000-0005-0000-0000-00005E250000}"/>
    <cellStyle name="Normal 12 2 17 2 2" xfId="8836" xr:uid="{00000000-0005-0000-0000-00005F250000}"/>
    <cellStyle name="Normal 12 2 17 2 3" xfId="8837" xr:uid="{00000000-0005-0000-0000-000060250000}"/>
    <cellStyle name="Normal 12 2 17 2 4" xfId="8838" xr:uid="{00000000-0005-0000-0000-000061250000}"/>
    <cellStyle name="Normal 12 2 17 3" xfId="8839" xr:uid="{00000000-0005-0000-0000-000062250000}"/>
    <cellStyle name="Normal 12 2 17 3 2" xfId="8840" xr:uid="{00000000-0005-0000-0000-000063250000}"/>
    <cellStyle name="Normal 12 2 17 3 3" xfId="8841" xr:uid="{00000000-0005-0000-0000-000064250000}"/>
    <cellStyle name="Normal 12 2 17 3 4" xfId="8842" xr:uid="{00000000-0005-0000-0000-000065250000}"/>
    <cellStyle name="Normal 12 2 17 4" xfId="8843" xr:uid="{00000000-0005-0000-0000-000066250000}"/>
    <cellStyle name="Normal 12 2 17 5" xfId="8844" xr:uid="{00000000-0005-0000-0000-000067250000}"/>
    <cellStyle name="Normal 12 2 17 6" xfId="8845" xr:uid="{00000000-0005-0000-0000-000068250000}"/>
    <cellStyle name="Normal 12 2 18" xfId="8846" xr:uid="{00000000-0005-0000-0000-000069250000}"/>
    <cellStyle name="Normal 12 2 18 2" xfId="8847" xr:uid="{00000000-0005-0000-0000-00006A250000}"/>
    <cellStyle name="Normal 12 2 18 3" xfId="8848" xr:uid="{00000000-0005-0000-0000-00006B250000}"/>
    <cellStyle name="Normal 12 2 18 4" xfId="8849" xr:uid="{00000000-0005-0000-0000-00006C250000}"/>
    <cellStyle name="Normal 12 2 19" xfId="8850" xr:uid="{00000000-0005-0000-0000-00006D250000}"/>
    <cellStyle name="Normal 12 2 19 2" xfId="8851" xr:uid="{00000000-0005-0000-0000-00006E250000}"/>
    <cellStyle name="Normal 12 2 19 3" xfId="8852" xr:uid="{00000000-0005-0000-0000-00006F250000}"/>
    <cellStyle name="Normal 12 2 19 4" xfId="8853" xr:uid="{00000000-0005-0000-0000-000070250000}"/>
    <cellStyle name="Normal 12 2 2" xfId="8854" xr:uid="{00000000-0005-0000-0000-000071250000}"/>
    <cellStyle name="Normal 12 2 2 2" xfId="8855" xr:uid="{00000000-0005-0000-0000-000072250000}"/>
    <cellStyle name="Normal 12 2 2 2 2" xfId="8856" xr:uid="{00000000-0005-0000-0000-000073250000}"/>
    <cellStyle name="Normal 12 2 2 2 3" xfId="8857" xr:uid="{00000000-0005-0000-0000-000074250000}"/>
    <cellStyle name="Normal 12 2 2 2 4" xfId="8858" xr:uid="{00000000-0005-0000-0000-000075250000}"/>
    <cellStyle name="Normal 12 2 2 3" xfId="8859" xr:uid="{00000000-0005-0000-0000-000076250000}"/>
    <cellStyle name="Normal 12 2 2 3 2" xfId="8860" xr:uid="{00000000-0005-0000-0000-000077250000}"/>
    <cellStyle name="Normal 12 2 2 3 3" xfId="8861" xr:uid="{00000000-0005-0000-0000-000078250000}"/>
    <cellStyle name="Normal 12 2 2 3 4" xfId="8862" xr:uid="{00000000-0005-0000-0000-000079250000}"/>
    <cellStyle name="Normal 12 2 2 4" xfId="8863" xr:uid="{00000000-0005-0000-0000-00007A250000}"/>
    <cellStyle name="Normal 12 2 2 5" xfId="8864" xr:uid="{00000000-0005-0000-0000-00007B250000}"/>
    <cellStyle name="Normal 12 2 2 6" xfId="8865" xr:uid="{00000000-0005-0000-0000-00007C250000}"/>
    <cellStyle name="Normal 12 2 20" xfId="8866" xr:uid="{00000000-0005-0000-0000-00007D250000}"/>
    <cellStyle name="Normal 12 2 20 2" xfId="8867" xr:uid="{00000000-0005-0000-0000-00007E250000}"/>
    <cellStyle name="Normal 12 2 20 3" xfId="8868" xr:uid="{00000000-0005-0000-0000-00007F250000}"/>
    <cellStyle name="Normal 12 2 20 4" xfId="8869" xr:uid="{00000000-0005-0000-0000-000080250000}"/>
    <cellStyle name="Normal 12 2 21" xfId="8870" xr:uid="{00000000-0005-0000-0000-000081250000}"/>
    <cellStyle name="Normal 12 2 22" xfId="8871" xr:uid="{00000000-0005-0000-0000-000082250000}"/>
    <cellStyle name="Normal 12 2 23" xfId="8872" xr:uid="{00000000-0005-0000-0000-000083250000}"/>
    <cellStyle name="Normal 12 2 24" xfId="43562" xr:uid="{00000000-0005-0000-0000-000084250000}"/>
    <cellStyle name="Normal 12 2 3" xfId="8873" xr:uid="{00000000-0005-0000-0000-000085250000}"/>
    <cellStyle name="Normal 12 2 3 2" xfId="8874" xr:uid="{00000000-0005-0000-0000-000086250000}"/>
    <cellStyle name="Normal 12 2 3 2 2" xfId="8875" xr:uid="{00000000-0005-0000-0000-000087250000}"/>
    <cellStyle name="Normal 12 2 3 2 3" xfId="8876" xr:uid="{00000000-0005-0000-0000-000088250000}"/>
    <cellStyle name="Normal 12 2 3 2 4" xfId="8877" xr:uid="{00000000-0005-0000-0000-000089250000}"/>
    <cellStyle name="Normal 12 2 3 3" xfId="8878" xr:uid="{00000000-0005-0000-0000-00008A250000}"/>
    <cellStyle name="Normal 12 2 3 3 2" xfId="8879" xr:uid="{00000000-0005-0000-0000-00008B250000}"/>
    <cellStyle name="Normal 12 2 3 3 3" xfId="8880" xr:uid="{00000000-0005-0000-0000-00008C250000}"/>
    <cellStyle name="Normal 12 2 3 3 4" xfId="8881" xr:uid="{00000000-0005-0000-0000-00008D250000}"/>
    <cellStyle name="Normal 12 2 3 4" xfId="8882" xr:uid="{00000000-0005-0000-0000-00008E250000}"/>
    <cellStyle name="Normal 12 2 3 5" xfId="8883" xr:uid="{00000000-0005-0000-0000-00008F250000}"/>
    <cellStyle name="Normal 12 2 3 6" xfId="8884" xr:uid="{00000000-0005-0000-0000-000090250000}"/>
    <cellStyle name="Normal 12 2 4" xfId="8885" xr:uid="{00000000-0005-0000-0000-000091250000}"/>
    <cellStyle name="Normal 12 2 4 2" xfId="8886" xr:uid="{00000000-0005-0000-0000-000092250000}"/>
    <cellStyle name="Normal 12 2 4 2 2" xfId="8887" xr:uid="{00000000-0005-0000-0000-000093250000}"/>
    <cellStyle name="Normal 12 2 4 2 3" xfId="8888" xr:uid="{00000000-0005-0000-0000-000094250000}"/>
    <cellStyle name="Normal 12 2 4 2 4" xfId="8889" xr:uid="{00000000-0005-0000-0000-000095250000}"/>
    <cellStyle name="Normal 12 2 4 3" xfId="8890" xr:uid="{00000000-0005-0000-0000-000096250000}"/>
    <cellStyle name="Normal 12 2 4 3 2" xfId="8891" xr:uid="{00000000-0005-0000-0000-000097250000}"/>
    <cellStyle name="Normal 12 2 4 3 3" xfId="8892" xr:uid="{00000000-0005-0000-0000-000098250000}"/>
    <cellStyle name="Normal 12 2 4 3 4" xfId="8893" xr:uid="{00000000-0005-0000-0000-000099250000}"/>
    <cellStyle name="Normal 12 2 4 4" xfId="8894" xr:uid="{00000000-0005-0000-0000-00009A250000}"/>
    <cellStyle name="Normal 12 2 4 5" xfId="8895" xr:uid="{00000000-0005-0000-0000-00009B250000}"/>
    <cellStyle name="Normal 12 2 4 6" xfId="8896" xr:uid="{00000000-0005-0000-0000-00009C250000}"/>
    <cellStyle name="Normal 12 2 5" xfId="8897" xr:uid="{00000000-0005-0000-0000-00009D250000}"/>
    <cellStyle name="Normal 12 2 5 2" xfId="8898" xr:uid="{00000000-0005-0000-0000-00009E250000}"/>
    <cellStyle name="Normal 12 2 5 2 2" xfId="8899" xr:uid="{00000000-0005-0000-0000-00009F250000}"/>
    <cellStyle name="Normal 12 2 5 2 3" xfId="8900" xr:uid="{00000000-0005-0000-0000-0000A0250000}"/>
    <cellStyle name="Normal 12 2 5 2 4" xfId="8901" xr:uid="{00000000-0005-0000-0000-0000A1250000}"/>
    <cellStyle name="Normal 12 2 5 3" xfId="8902" xr:uid="{00000000-0005-0000-0000-0000A2250000}"/>
    <cellStyle name="Normal 12 2 5 3 2" xfId="8903" xr:uid="{00000000-0005-0000-0000-0000A3250000}"/>
    <cellStyle name="Normal 12 2 5 3 3" xfId="8904" xr:uid="{00000000-0005-0000-0000-0000A4250000}"/>
    <cellStyle name="Normal 12 2 5 3 4" xfId="8905" xr:uid="{00000000-0005-0000-0000-0000A5250000}"/>
    <cellStyle name="Normal 12 2 5 4" xfId="8906" xr:uid="{00000000-0005-0000-0000-0000A6250000}"/>
    <cellStyle name="Normal 12 2 5 5" xfId="8907" xr:uid="{00000000-0005-0000-0000-0000A7250000}"/>
    <cellStyle name="Normal 12 2 5 6" xfId="8908" xr:uid="{00000000-0005-0000-0000-0000A8250000}"/>
    <cellStyle name="Normal 12 2 6" xfId="8909" xr:uid="{00000000-0005-0000-0000-0000A9250000}"/>
    <cellStyle name="Normal 12 2 6 2" xfId="8910" xr:uid="{00000000-0005-0000-0000-0000AA250000}"/>
    <cellStyle name="Normal 12 2 6 2 2" xfId="8911" xr:uid="{00000000-0005-0000-0000-0000AB250000}"/>
    <cellStyle name="Normal 12 2 6 2 3" xfId="8912" xr:uid="{00000000-0005-0000-0000-0000AC250000}"/>
    <cellStyle name="Normal 12 2 6 2 4" xfId="8913" xr:uid="{00000000-0005-0000-0000-0000AD250000}"/>
    <cellStyle name="Normal 12 2 6 3" xfId="8914" xr:uid="{00000000-0005-0000-0000-0000AE250000}"/>
    <cellStyle name="Normal 12 2 6 3 2" xfId="8915" xr:uid="{00000000-0005-0000-0000-0000AF250000}"/>
    <cellStyle name="Normal 12 2 6 3 3" xfId="8916" xr:uid="{00000000-0005-0000-0000-0000B0250000}"/>
    <cellStyle name="Normal 12 2 6 3 4" xfId="8917" xr:uid="{00000000-0005-0000-0000-0000B1250000}"/>
    <cellStyle name="Normal 12 2 6 4" xfId="8918" xr:uid="{00000000-0005-0000-0000-0000B2250000}"/>
    <cellStyle name="Normal 12 2 6 5" xfId="8919" xr:uid="{00000000-0005-0000-0000-0000B3250000}"/>
    <cellStyle name="Normal 12 2 6 6" xfId="8920" xr:uid="{00000000-0005-0000-0000-0000B4250000}"/>
    <cellStyle name="Normal 12 2 7" xfId="8921" xr:uid="{00000000-0005-0000-0000-0000B5250000}"/>
    <cellStyle name="Normal 12 2 7 2" xfId="8922" xr:uid="{00000000-0005-0000-0000-0000B6250000}"/>
    <cellStyle name="Normal 12 2 7 2 2" xfId="8923" xr:uid="{00000000-0005-0000-0000-0000B7250000}"/>
    <cellStyle name="Normal 12 2 7 2 3" xfId="8924" xr:uid="{00000000-0005-0000-0000-0000B8250000}"/>
    <cellStyle name="Normal 12 2 7 2 4" xfId="8925" xr:uid="{00000000-0005-0000-0000-0000B9250000}"/>
    <cellStyle name="Normal 12 2 7 3" xfId="8926" xr:uid="{00000000-0005-0000-0000-0000BA250000}"/>
    <cellStyle name="Normal 12 2 7 3 2" xfId="8927" xr:uid="{00000000-0005-0000-0000-0000BB250000}"/>
    <cellStyle name="Normal 12 2 7 3 3" xfId="8928" xr:uid="{00000000-0005-0000-0000-0000BC250000}"/>
    <cellStyle name="Normal 12 2 7 3 4" xfId="8929" xr:uid="{00000000-0005-0000-0000-0000BD250000}"/>
    <cellStyle name="Normal 12 2 7 4" xfId="8930" xr:uid="{00000000-0005-0000-0000-0000BE250000}"/>
    <cellStyle name="Normal 12 2 7 5" xfId="8931" xr:uid="{00000000-0005-0000-0000-0000BF250000}"/>
    <cellStyle name="Normal 12 2 7 6" xfId="8932" xr:uid="{00000000-0005-0000-0000-0000C0250000}"/>
    <cellStyle name="Normal 12 2 8" xfId="8933" xr:uid="{00000000-0005-0000-0000-0000C1250000}"/>
    <cellStyle name="Normal 12 2 8 2" xfId="8934" xr:uid="{00000000-0005-0000-0000-0000C2250000}"/>
    <cellStyle name="Normal 12 2 8 2 2" xfId="8935" xr:uid="{00000000-0005-0000-0000-0000C3250000}"/>
    <cellStyle name="Normal 12 2 8 2 3" xfId="8936" xr:uid="{00000000-0005-0000-0000-0000C4250000}"/>
    <cellStyle name="Normal 12 2 8 2 4" xfId="8937" xr:uid="{00000000-0005-0000-0000-0000C5250000}"/>
    <cellStyle name="Normal 12 2 8 3" xfId="8938" xr:uid="{00000000-0005-0000-0000-0000C6250000}"/>
    <cellStyle name="Normal 12 2 8 3 2" xfId="8939" xr:uid="{00000000-0005-0000-0000-0000C7250000}"/>
    <cellStyle name="Normal 12 2 8 3 3" xfId="8940" xr:uid="{00000000-0005-0000-0000-0000C8250000}"/>
    <cellStyle name="Normal 12 2 8 3 4" xfId="8941" xr:uid="{00000000-0005-0000-0000-0000C9250000}"/>
    <cellStyle name="Normal 12 2 8 4" xfId="8942" xr:uid="{00000000-0005-0000-0000-0000CA250000}"/>
    <cellStyle name="Normal 12 2 8 5" xfId="8943" xr:uid="{00000000-0005-0000-0000-0000CB250000}"/>
    <cellStyle name="Normal 12 2 8 6" xfId="8944" xr:uid="{00000000-0005-0000-0000-0000CC250000}"/>
    <cellStyle name="Normal 12 2 9" xfId="8945" xr:uid="{00000000-0005-0000-0000-0000CD250000}"/>
    <cellStyle name="Normal 12 2 9 2" xfId="8946" xr:uid="{00000000-0005-0000-0000-0000CE250000}"/>
    <cellStyle name="Normal 12 2 9 2 2" xfId="8947" xr:uid="{00000000-0005-0000-0000-0000CF250000}"/>
    <cellStyle name="Normal 12 2 9 2 3" xfId="8948" xr:uid="{00000000-0005-0000-0000-0000D0250000}"/>
    <cellStyle name="Normal 12 2 9 2 4" xfId="8949" xr:uid="{00000000-0005-0000-0000-0000D1250000}"/>
    <cellStyle name="Normal 12 2 9 3" xfId="8950" xr:uid="{00000000-0005-0000-0000-0000D2250000}"/>
    <cellStyle name="Normal 12 2 9 3 2" xfId="8951" xr:uid="{00000000-0005-0000-0000-0000D3250000}"/>
    <cellStyle name="Normal 12 2 9 3 3" xfId="8952" xr:uid="{00000000-0005-0000-0000-0000D4250000}"/>
    <cellStyle name="Normal 12 2 9 3 4" xfId="8953" xr:uid="{00000000-0005-0000-0000-0000D5250000}"/>
    <cellStyle name="Normal 12 2 9 4" xfId="8954" xr:uid="{00000000-0005-0000-0000-0000D6250000}"/>
    <cellStyle name="Normal 12 2 9 5" xfId="8955" xr:uid="{00000000-0005-0000-0000-0000D7250000}"/>
    <cellStyle name="Normal 12 2 9 6" xfId="8956" xr:uid="{00000000-0005-0000-0000-0000D8250000}"/>
    <cellStyle name="Normal 12 20" xfId="8957" xr:uid="{00000000-0005-0000-0000-0000D9250000}"/>
    <cellStyle name="Normal 12 20 2" xfId="8958" xr:uid="{00000000-0005-0000-0000-0000DA250000}"/>
    <cellStyle name="Normal 12 20 3" xfId="8959" xr:uid="{00000000-0005-0000-0000-0000DB250000}"/>
    <cellStyle name="Normal 12 20 4" xfId="8960" xr:uid="{00000000-0005-0000-0000-0000DC250000}"/>
    <cellStyle name="Normal 12 21" xfId="8961" xr:uid="{00000000-0005-0000-0000-0000DD250000}"/>
    <cellStyle name="Normal 12 21 2" xfId="8962" xr:uid="{00000000-0005-0000-0000-0000DE250000}"/>
    <cellStyle name="Normal 12 21 3" xfId="8963" xr:uid="{00000000-0005-0000-0000-0000DF250000}"/>
    <cellStyle name="Normal 12 21 4" xfId="8964" xr:uid="{00000000-0005-0000-0000-0000E0250000}"/>
    <cellStyle name="Normal 12 22" xfId="8965" xr:uid="{00000000-0005-0000-0000-0000E1250000}"/>
    <cellStyle name="Normal 12 22 2" xfId="8966" xr:uid="{00000000-0005-0000-0000-0000E2250000}"/>
    <cellStyle name="Normal 12 22 3" xfId="8967" xr:uid="{00000000-0005-0000-0000-0000E3250000}"/>
    <cellStyle name="Normal 12 22 4" xfId="8968" xr:uid="{00000000-0005-0000-0000-0000E4250000}"/>
    <cellStyle name="Normal 12 23" xfId="8969" xr:uid="{00000000-0005-0000-0000-0000E5250000}"/>
    <cellStyle name="Normal 12 24" xfId="8970" xr:uid="{00000000-0005-0000-0000-0000E6250000}"/>
    <cellStyle name="Normal 12 25" xfId="8971" xr:uid="{00000000-0005-0000-0000-0000E7250000}"/>
    <cellStyle name="Normal 12 26" xfId="8972" xr:uid="{00000000-0005-0000-0000-0000E8250000}"/>
    <cellStyle name="Normal 12 27" xfId="8973" xr:uid="{00000000-0005-0000-0000-0000E9250000}"/>
    <cellStyle name="Normal 12 28" xfId="8974" xr:uid="{00000000-0005-0000-0000-0000EA250000}"/>
    <cellStyle name="Normal 12 29" xfId="8975" xr:uid="{00000000-0005-0000-0000-0000EB250000}"/>
    <cellStyle name="Normal 12 3" xfId="8976" xr:uid="{00000000-0005-0000-0000-0000EC250000}"/>
    <cellStyle name="Normal 12 3 10" xfId="8977" xr:uid="{00000000-0005-0000-0000-0000ED250000}"/>
    <cellStyle name="Normal 12 3 10 2" xfId="8978" xr:uid="{00000000-0005-0000-0000-0000EE250000}"/>
    <cellStyle name="Normal 12 3 10 2 2" xfId="8979" xr:uid="{00000000-0005-0000-0000-0000EF250000}"/>
    <cellStyle name="Normal 12 3 10 2 3" xfId="8980" xr:uid="{00000000-0005-0000-0000-0000F0250000}"/>
    <cellStyle name="Normal 12 3 10 2 4" xfId="8981" xr:uid="{00000000-0005-0000-0000-0000F1250000}"/>
    <cellStyle name="Normal 12 3 10 3" xfId="8982" xr:uid="{00000000-0005-0000-0000-0000F2250000}"/>
    <cellStyle name="Normal 12 3 10 3 2" xfId="8983" xr:uid="{00000000-0005-0000-0000-0000F3250000}"/>
    <cellStyle name="Normal 12 3 10 3 3" xfId="8984" xr:uid="{00000000-0005-0000-0000-0000F4250000}"/>
    <cellStyle name="Normal 12 3 10 3 4" xfId="8985" xr:uid="{00000000-0005-0000-0000-0000F5250000}"/>
    <cellStyle name="Normal 12 3 10 4" xfId="8986" xr:uid="{00000000-0005-0000-0000-0000F6250000}"/>
    <cellStyle name="Normal 12 3 10 5" xfId="8987" xr:uid="{00000000-0005-0000-0000-0000F7250000}"/>
    <cellStyle name="Normal 12 3 10 6" xfId="8988" xr:uid="{00000000-0005-0000-0000-0000F8250000}"/>
    <cellStyle name="Normal 12 3 11" xfId="8989" xr:uid="{00000000-0005-0000-0000-0000F9250000}"/>
    <cellStyle name="Normal 12 3 11 2" xfId="8990" xr:uid="{00000000-0005-0000-0000-0000FA250000}"/>
    <cellStyle name="Normal 12 3 11 2 2" xfId="8991" xr:uid="{00000000-0005-0000-0000-0000FB250000}"/>
    <cellStyle name="Normal 12 3 11 2 3" xfId="8992" xr:uid="{00000000-0005-0000-0000-0000FC250000}"/>
    <cellStyle name="Normal 12 3 11 2 4" xfId="8993" xr:uid="{00000000-0005-0000-0000-0000FD250000}"/>
    <cellStyle name="Normal 12 3 11 3" xfId="8994" xr:uid="{00000000-0005-0000-0000-0000FE250000}"/>
    <cellStyle name="Normal 12 3 11 3 2" xfId="8995" xr:uid="{00000000-0005-0000-0000-0000FF250000}"/>
    <cellStyle name="Normal 12 3 11 3 3" xfId="8996" xr:uid="{00000000-0005-0000-0000-000000260000}"/>
    <cellStyle name="Normal 12 3 11 3 4" xfId="8997" xr:uid="{00000000-0005-0000-0000-000001260000}"/>
    <cellStyle name="Normal 12 3 11 4" xfId="8998" xr:uid="{00000000-0005-0000-0000-000002260000}"/>
    <cellStyle name="Normal 12 3 11 5" xfId="8999" xr:uid="{00000000-0005-0000-0000-000003260000}"/>
    <cellStyle name="Normal 12 3 11 6" xfId="9000" xr:uid="{00000000-0005-0000-0000-000004260000}"/>
    <cellStyle name="Normal 12 3 12" xfId="9001" xr:uid="{00000000-0005-0000-0000-000005260000}"/>
    <cellStyle name="Normal 12 3 12 2" xfId="9002" xr:uid="{00000000-0005-0000-0000-000006260000}"/>
    <cellStyle name="Normal 12 3 12 2 2" xfId="9003" xr:uid="{00000000-0005-0000-0000-000007260000}"/>
    <cellStyle name="Normal 12 3 12 2 3" xfId="9004" xr:uid="{00000000-0005-0000-0000-000008260000}"/>
    <cellStyle name="Normal 12 3 12 2 4" xfId="9005" xr:uid="{00000000-0005-0000-0000-000009260000}"/>
    <cellStyle name="Normal 12 3 12 3" xfId="9006" xr:uid="{00000000-0005-0000-0000-00000A260000}"/>
    <cellStyle name="Normal 12 3 12 3 2" xfId="9007" xr:uid="{00000000-0005-0000-0000-00000B260000}"/>
    <cellStyle name="Normal 12 3 12 3 3" xfId="9008" xr:uid="{00000000-0005-0000-0000-00000C260000}"/>
    <cellStyle name="Normal 12 3 12 3 4" xfId="9009" xr:uid="{00000000-0005-0000-0000-00000D260000}"/>
    <cellStyle name="Normal 12 3 12 4" xfId="9010" xr:uid="{00000000-0005-0000-0000-00000E260000}"/>
    <cellStyle name="Normal 12 3 12 5" xfId="9011" xr:uid="{00000000-0005-0000-0000-00000F260000}"/>
    <cellStyle name="Normal 12 3 12 6" xfId="9012" xr:uid="{00000000-0005-0000-0000-000010260000}"/>
    <cellStyle name="Normal 12 3 13" xfId="9013" xr:uid="{00000000-0005-0000-0000-000011260000}"/>
    <cellStyle name="Normal 12 3 13 2" xfId="9014" xr:uid="{00000000-0005-0000-0000-000012260000}"/>
    <cellStyle name="Normal 12 3 13 2 2" xfId="9015" xr:uid="{00000000-0005-0000-0000-000013260000}"/>
    <cellStyle name="Normal 12 3 13 2 3" xfId="9016" xr:uid="{00000000-0005-0000-0000-000014260000}"/>
    <cellStyle name="Normal 12 3 13 2 4" xfId="9017" xr:uid="{00000000-0005-0000-0000-000015260000}"/>
    <cellStyle name="Normal 12 3 13 3" xfId="9018" xr:uid="{00000000-0005-0000-0000-000016260000}"/>
    <cellStyle name="Normal 12 3 13 3 2" xfId="9019" xr:uid="{00000000-0005-0000-0000-000017260000}"/>
    <cellStyle name="Normal 12 3 13 3 3" xfId="9020" xr:uid="{00000000-0005-0000-0000-000018260000}"/>
    <cellStyle name="Normal 12 3 13 3 4" xfId="9021" xr:uid="{00000000-0005-0000-0000-000019260000}"/>
    <cellStyle name="Normal 12 3 13 4" xfId="9022" xr:uid="{00000000-0005-0000-0000-00001A260000}"/>
    <cellStyle name="Normal 12 3 13 5" xfId="9023" xr:uid="{00000000-0005-0000-0000-00001B260000}"/>
    <cellStyle name="Normal 12 3 13 6" xfId="9024" xr:uid="{00000000-0005-0000-0000-00001C260000}"/>
    <cellStyle name="Normal 12 3 14" xfId="9025" xr:uid="{00000000-0005-0000-0000-00001D260000}"/>
    <cellStyle name="Normal 12 3 14 2" xfId="9026" xr:uid="{00000000-0005-0000-0000-00001E260000}"/>
    <cellStyle name="Normal 12 3 14 2 2" xfId="9027" xr:uid="{00000000-0005-0000-0000-00001F260000}"/>
    <cellStyle name="Normal 12 3 14 2 3" xfId="9028" xr:uid="{00000000-0005-0000-0000-000020260000}"/>
    <cellStyle name="Normal 12 3 14 2 4" xfId="9029" xr:uid="{00000000-0005-0000-0000-000021260000}"/>
    <cellStyle name="Normal 12 3 14 3" xfId="9030" xr:uid="{00000000-0005-0000-0000-000022260000}"/>
    <cellStyle name="Normal 12 3 14 3 2" xfId="9031" xr:uid="{00000000-0005-0000-0000-000023260000}"/>
    <cellStyle name="Normal 12 3 14 3 3" xfId="9032" xr:uid="{00000000-0005-0000-0000-000024260000}"/>
    <cellStyle name="Normal 12 3 14 3 4" xfId="9033" xr:uid="{00000000-0005-0000-0000-000025260000}"/>
    <cellStyle name="Normal 12 3 14 4" xfId="9034" xr:uid="{00000000-0005-0000-0000-000026260000}"/>
    <cellStyle name="Normal 12 3 14 5" xfId="9035" xr:uid="{00000000-0005-0000-0000-000027260000}"/>
    <cellStyle name="Normal 12 3 14 6" xfId="9036" xr:uid="{00000000-0005-0000-0000-000028260000}"/>
    <cellStyle name="Normal 12 3 15" xfId="9037" xr:uid="{00000000-0005-0000-0000-000029260000}"/>
    <cellStyle name="Normal 12 3 15 2" xfId="9038" xr:uid="{00000000-0005-0000-0000-00002A260000}"/>
    <cellStyle name="Normal 12 3 15 2 2" xfId="9039" xr:uid="{00000000-0005-0000-0000-00002B260000}"/>
    <cellStyle name="Normal 12 3 15 2 3" xfId="9040" xr:uid="{00000000-0005-0000-0000-00002C260000}"/>
    <cellStyle name="Normal 12 3 15 2 4" xfId="9041" xr:uid="{00000000-0005-0000-0000-00002D260000}"/>
    <cellStyle name="Normal 12 3 15 3" xfId="9042" xr:uid="{00000000-0005-0000-0000-00002E260000}"/>
    <cellStyle name="Normal 12 3 15 3 2" xfId="9043" xr:uid="{00000000-0005-0000-0000-00002F260000}"/>
    <cellStyle name="Normal 12 3 15 3 3" xfId="9044" xr:uid="{00000000-0005-0000-0000-000030260000}"/>
    <cellStyle name="Normal 12 3 15 3 4" xfId="9045" xr:uid="{00000000-0005-0000-0000-000031260000}"/>
    <cellStyle name="Normal 12 3 15 4" xfId="9046" xr:uid="{00000000-0005-0000-0000-000032260000}"/>
    <cellStyle name="Normal 12 3 15 5" xfId="9047" xr:uid="{00000000-0005-0000-0000-000033260000}"/>
    <cellStyle name="Normal 12 3 15 6" xfId="9048" xr:uid="{00000000-0005-0000-0000-000034260000}"/>
    <cellStyle name="Normal 12 3 16" xfId="9049" xr:uid="{00000000-0005-0000-0000-000035260000}"/>
    <cellStyle name="Normal 12 3 16 2" xfId="9050" xr:uid="{00000000-0005-0000-0000-000036260000}"/>
    <cellStyle name="Normal 12 3 16 2 2" xfId="9051" xr:uid="{00000000-0005-0000-0000-000037260000}"/>
    <cellStyle name="Normal 12 3 16 2 3" xfId="9052" xr:uid="{00000000-0005-0000-0000-000038260000}"/>
    <cellStyle name="Normal 12 3 16 2 4" xfId="9053" xr:uid="{00000000-0005-0000-0000-000039260000}"/>
    <cellStyle name="Normal 12 3 16 3" xfId="9054" xr:uid="{00000000-0005-0000-0000-00003A260000}"/>
    <cellStyle name="Normal 12 3 16 3 2" xfId="9055" xr:uid="{00000000-0005-0000-0000-00003B260000}"/>
    <cellStyle name="Normal 12 3 16 3 3" xfId="9056" xr:uid="{00000000-0005-0000-0000-00003C260000}"/>
    <cellStyle name="Normal 12 3 16 3 4" xfId="9057" xr:uid="{00000000-0005-0000-0000-00003D260000}"/>
    <cellStyle name="Normal 12 3 16 4" xfId="9058" xr:uid="{00000000-0005-0000-0000-00003E260000}"/>
    <cellStyle name="Normal 12 3 16 5" xfId="9059" xr:uid="{00000000-0005-0000-0000-00003F260000}"/>
    <cellStyle name="Normal 12 3 16 6" xfId="9060" xr:uid="{00000000-0005-0000-0000-000040260000}"/>
    <cellStyle name="Normal 12 3 17" xfId="9061" xr:uid="{00000000-0005-0000-0000-000041260000}"/>
    <cellStyle name="Normal 12 3 17 2" xfId="9062" xr:uid="{00000000-0005-0000-0000-000042260000}"/>
    <cellStyle name="Normal 12 3 17 2 2" xfId="9063" xr:uid="{00000000-0005-0000-0000-000043260000}"/>
    <cellStyle name="Normal 12 3 17 2 3" xfId="9064" xr:uid="{00000000-0005-0000-0000-000044260000}"/>
    <cellStyle name="Normal 12 3 17 2 4" xfId="9065" xr:uid="{00000000-0005-0000-0000-000045260000}"/>
    <cellStyle name="Normal 12 3 17 3" xfId="9066" xr:uid="{00000000-0005-0000-0000-000046260000}"/>
    <cellStyle name="Normal 12 3 17 3 2" xfId="9067" xr:uid="{00000000-0005-0000-0000-000047260000}"/>
    <cellStyle name="Normal 12 3 17 3 3" xfId="9068" xr:uid="{00000000-0005-0000-0000-000048260000}"/>
    <cellStyle name="Normal 12 3 17 3 4" xfId="9069" xr:uid="{00000000-0005-0000-0000-000049260000}"/>
    <cellStyle name="Normal 12 3 17 4" xfId="9070" xr:uid="{00000000-0005-0000-0000-00004A260000}"/>
    <cellStyle name="Normal 12 3 17 5" xfId="9071" xr:uid="{00000000-0005-0000-0000-00004B260000}"/>
    <cellStyle name="Normal 12 3 17 6" xfId="9072" xr:uid="{00000000-0005-0000-0000-00004C260000}"/>
    <cellStyle name="Normal 12 3 18" xfId="9073" xr:uid="{00000000-0005-0000-0000-00004D260000}"/>
    <cellStyle name="Normal 12 3 18 2" xfId="9074" xr:uid="{00000000-0005-0000-0000-00004E260000}"/>
    <cellStyle name="Normal 12 3 18 3" xfId="9075" xr:uid="{00000000-0005-0000-0000-00004F260000}"/>
    <cellStyle name="Normal 12 3 18 4" xfId="9076" xr:uid="{00000000-0005-0000-0000-000050260000}"/>
    <cellStyle name="Normal 12 3 19" xfId="9077" xr:uid="{00000000-0005-0000-0000-000051260000}"/>
    <cellStyle name="Normal 12 3 19 2" xfId="9078" xr:uid="{00000000-0005-0000-0000-000052260000}"/>
    <cellStyle name="Normal 12 3 19 3" xfId="9079" xr:uid="{00000000-0005-0000-0000-000053260000}"/>
    <cellStyle name="Normal 12 3 19 4" xfId="9080" xr:uid="{00000000-0005-0000-0000-000054260000}"/>
    <cellStyle name="Normal 12 3 2" xfId="9081" xr:uid="{00000000-0005-0000-0000-000055260000}"/>
    <cellStyle name="Normal 12 3 2 2" xfId="9082" xr:uid="{00000000-0005-0000-0000-000056260000}"/>
    <cellStyle name="Normal 12 3 2 2 2" xfId="9083" xr:uid="{00000000-0005-0000-0000-000057260000}"/>
    <cellStyle name="Normal 12 3 2 2 3" xfId="9084" xr:uid="{00000000-0005-0000-0000-000058260000}"/>
    <cellStyle name="Normal 12 3 2 2 4" xfId="9085" xr:uid="{00000000-0005-0000-0000-000059260000}"/>
    <cellStyle name="Normal 12 3 2 3" xfId="9086" xr:uid="{00000000-0005-0000-0000-00005A260000}"/>
    <cellStyle name="Normal 12 3 2 3 2" xfId="9087" xr:uid="{00000000-0005-0000-0000-00005B260000}"/>
    <cellStyle name="Normal 12 3 2 3 3" xfId="9088" xr:uid="{00000000-0005-0000-0000-00005C260000}"/>
    <cellStyle name="Normal 12 3 2 3 4" xfId="9089" xr:uid="{00000000-0005-0000-0000-00005D260000}"/>
    <cellStyle name="Normal 12 3 2 4" xfId="9090" xr:uid="{00000000-0005-0000-0000-00005E260000}"/>
    <cellStyle name="Normal 12 3 2 5" xfId="9091" xr:uid="{00000000-0005-0000-0000-00005F260000}"/>
    <cellStyle name="Normal 12 3 2 6" xfId="9092" xr:uid="{00000000-0005-0000-0000-000060260000}"/>
    <cellStyle name="Normal 12 3 20" xfId="9093" xr:uid="{00000000-0005-0000-0000-000061260000}"/>
    <cellStyle name="Normal 12 3 20 2" xfId="9094" xr:uid="{00000000-0005-0000-0000-000062260000}"/>
    <cellStyle name="Normal 12 3 20 3" xfId="9095" xr:uid="{00000000-0005-0000-0000-000063260000}"/>
    <cellStyle name="Normal 12 3 20 4" xfId="9096" xr:uid="{00000000-0005-0000-0000-000064260000}"/>
    <cellStyle name="Normal 12 3 21" xfId="9097" xr:uid="{00000000-0005-0000-0000-000065260000}"/>
    <cellStyle name="Normal 12 3 22" xfId="9098" xr:uid="{00000000-0005-0000-0000-000066260000}"/>
    <cellStyle name="Normal 12 3 23" xfId="9099" xr:uid="{00000000-0005-0000-0000-000067260000}"/>
    <cellStyle name="Normal 12 3 3" xfId="9100" xr:uid="{00000000-0005-0000-0000-000068260000}"/>
    <cellStyle name="Normal 12 3 3 2" xfId="9101" xr:uid="{00000000-0005-0000-0000-000069260000}"/>
    <cellStyle name="Normal 12 3 3 2 2" xfId="9102" xr:uid="{00000000-0005-0000-0000-00006A260000}"/>
    <cellStyle name="Normal 12 3 3 2 3" xfId="9103" xr:uid="{00000000-0005-0000-0000-00006B260000}"/>
    <cellStyle name="Normal 12 3 3 2 4" xfId="9104" xr:uid="{00000000-0005-0000-0000-00006C260000}"/>
    <cellStyle name="Normal 12 3 3 3" xfId="9105" xr:uid="{00000000-0005-0000-0000-00006D260000}"/>
    <cellStyle name="Normal 12 3 3 3 2" xfId="9106" xr:uid="{00000000-0005-0000-0000-00006E260000}"/>
    <cellStyle name="Normal 12 3 3 3 3" xfId="9107" xr:uid="{00000000-0005-0000-0000-00006F260000}"/>
    <cellStyle name="Normal 12 3 3 3 4" xfId="9108" xr:uid="{00000000-0005-0000-0000-000070260000}"/>
    <cellStyle name="Normal 12 3 3 4" xfId="9109" xr:uid="{00000000-0005-0000-0000-000071260000}"/>
    <cellStyle name="Normal 12 3 3 5" xfId="9110" xr:uid="{00000000-0005-0000-0000-000072260000}"/>
    <cellStyle name="Normal 12 3 3 6" xfId="9111" xr:uid="{00000000-0005-0000-0000-000073260000}"/>
    <cellStyle name="Normal 12 3 4" xfId="9112" xr:uid="{00000000-0005-0000-0000-000074260000}"/>
    <cellStyle name="Normal 12 3 4 2" xfId="9113" xr:uid="{00000000-0005-0000-0000-000075260000}"/>
    <cellStyle name="Normal 12 3 4 2 2" xfId="9114" xr:uid="{00000000-0005-0000-0000-000076260000}"/>
    <cellStyle name="Normal 12 3 4 2 3" xfId="9115" xr:uid="{00000000-0005-0000-0000-000077260000}"/>
    <cellStyle name="Normal 12 3 4 2 4" xfId="9116" xr:uid="{00000000-0005-0000-0000-000078260000}"/>
    <cellStyle name="Normal 12 3 4 3" xfId="9117" xr:uid="{00000000-0005-0000-0000-000079260000}"/>
    <cellStyle name="Normal 12 3 4 3 2" xfId="9118" xr:uid="{00000000-0005-0000-0000-00007A260000}"/>
    <cellStyle name="Normal 12 3 4 3 3" xfId="9119" xr:uid="{00000000-0005-0000-0000-00007B260000}"/>
    <cellStyle name="Normal 12 3 4 3 4" xfId="9120" xr:uid="{00000000-0005-0000-0000-00007C260000}"/>
    <cellStyle name="Normal 12 3 4 4" xfId="9121" xr:uid="{00000000-0005-0000-0000-00007D260000}"/>
    <cellStyle name="Normal 12 3 4 5" xfId="9122" xr:uid="{00000000-0005-0000-0000-00007E260000}"/>
    <cellStyle name="Normal 12 3 4 6" xfId="9123" xr:uid="{00000000-0005-0000-0000-00007F260000}"/>
    <cellStyle name="Normal 12 3 5" xfId="9124" xr:uid="{00000000-0005-0000-0000-000080260000}"/>
    <cellStyle name="Normal 12 3 5 2" xfId="9125" xr:uid="{00000000-0005-0000-0000-000081260000}"/>
    <cellStyle name="Normal 12 3 5 2 2" xfId="9126" xr:uid="{00000000-0005-0000-0000-000082260000}"/>
    <cellStyle name="Normal 12 3 5 2 3" xfId="9127" xr:uid="{00000000-0005-0000-0000-000083260000}"/>
    <cellStyle name="Normal 12 3 5 2 4" xfId="9128" xr:uid="{00000000-0005-0000-0000-000084260000}"/>
    <cellStyle name="Normal 12 3 5 3" xfId="9129" xr:uid="{00000000-0005-0000-0000-000085260000}"/>
    <cellStyle name="Normal 12 3 5 3 2" xfId="9130" xr:uid="{00000000-0005-0000-0000-000086260000}"/>
    <cellStyle name="Normal 12 3 5 3 3" xfId="9131" xr:uid="{00000000-0005-0000-0000-000087260000}"/>
    <cellStyle name="Normal 12 3 5 3 4" xfId="9132" xr:uid="{00000000-0005-0000-0000-000088260000}"/>
    <cellStyle name="Normal 12 3 5 4" xfId="9133" xr:uid="{00000000-0005-0000-0000-000089260000}"/>
    <cellStyle name="Normal 12 3 5 5" xfId="9134" xr:uid="{00000000-0005-0000-0000-00008A260000}"/>
    <cellStyle name="Normal 12 3 5 6" xfId="9135" xr:uid="{00000000-0005-0000-0000-00008B260000}"/>
    <cellStyle name="Normal 12 3 6" xfId="9136" xr:uid="{00000000-0005-0000-0000-00008C260000}"/>
    <cellStyle name="Normal 12 3 6 2" xfId="9137" xr:uid="{00000000-0005-0000-0000-00008D260000}"/>
    <cellStyle name="Normal 12 3 6 2 2" xfId="9138" xr:uid="{00000000-0005-0000-0000-00008E260000}"/>
    <cellStyle name="Normal 12 3 6 2 3" xfId="9139" xr:uid="{00000000-0005-0000-0000-00008F260000}"/>
    <cellStyle name="Normal 12 3 6 2 4" xfId="9140" xr:uid="{00000000-0005-0000-0000-000090260000}"/>
    <cellStyle name="Normal 12 3 6 3" xfId="9141" xr:uid="{00000000-0005-0000-0000-000091260000}"/>
    <cellStyle name="Normal 12 3 6 3 2" xfId="9142" xr:uid="{00000000-0005-0000-0000-000092260000}"/>
    <cellStyle name="Normal 12 3 6 3 3" xfId="9143" xr:uid="{00000000-0005-0000-0000-000093260000}"/>
    <cellStyle name="Normal 12 3 6 3 4" xfId="9144" xr:uid="{00000000-0005-0000-0000-000094260000}"/>
    <cellStyle name="Normal 12 3 6 4" xfId="9145" xr:uid="{00000000-0005-0000-0000-000095260000}"/>
    <cellStyle name="Normal 12 3 6 5" xfId="9146" xr:uid="{00000000-0005-0000-0000-000096260000}"/>
    <cellStyle name="Normal 12 3 6 6" xfId="9147" xr:uid="{00000000-0005-0000-0000-000097260000}"/>
    <cellStyle name="Normal 12 3 7" xfId="9148" xr:uid="{00000000-0005-0000-0000-000098260000}"/>
    <cellStyle name="Normal 12 3 7 2" xfId="9149" xr:uid="{00000000-0005-0000-0000-000099260000}"/>
    <cellStyle name="Normal 12 3 7 2 2" xfId="9150" xr:uid="{00000000-0005-0000-0000-00009A260000}"/>
    <cellStyle name="Normal 12 3 7 2 3" xfId="9151" xr:uid="{00000000-0005-0000-0000-00009B260000}"/>
    <cellStyle name="Normal 12 3 7 2 4" xfId="9152" xr:uid="{00000000-0005-0000-0000-00009C260000}"/>
    <cellStyle name="Normal 12 3 7 3" xfId="9153" xr:uid="{00000000-0005-0000-0000-00009D260000}"/>
    <cellStyle name="Normal 12 3 7 3 2" xfId="9154" xr:uid="{00000000-0005-0000-0000-00009E260000}"/>
    <cellStyle name="Normal 12 3 7 3 3" xfId="9155" xr:uid="{00000000-0005-0000-0000-00009F260000}"/>
    <cellStyle name="Normal 12 3 7 3 4" xfId="9156" xr:uid="{00000000-0005-0000-0000-0000A0260000}"/>
    <cellStyle name="Normal 12 3 7 4" xfId="9157" xr:uid="{00000000-0005-0000-0000-0000A1260000}"/>
    <cellStyle name="Normal 12 3 7 5" xfId="9158" xr:uid="{00000000-0005-0000-0000-0000A2260000}"/>
    <cellStyle name="Normal 12 3 7 6" xfId="9159" xr:uid="{00000000-0005-0000-0000-0000A3260000}"/>
    <cellStyle name="Normal 12 3 8" xfId="9160" xr:uid="{00000000-0005-0000-0000-0000A4260000}"/>
    <cellStyle name="Normal 12 3 8 2" xfId="9161" xr:uid="{00000000-0005-0000-0000-0000A5260000}"/>
    <cellStyle name="Normal 12 3 8 2 2" xfId="9162" xr:uid="{00000000-0005-0000-0000-0000A6260000}"/>
    <cellStyle name="Normal 12 3 8 2 3" xfId="9163" xr:uid="{00000000-0005-0000-0000-0000A7260000}"/>
    <cellStyle name="Normal 12 3 8 2 4" xfId="9164" xr:uid="{00000000-0005-0000-0000-0000A8260000}"/>
    <cellStyle name="Normal 12 3 8 3" xfId="9165" xr:uid="{00000000-0005-0000-0000-0000A9260000}"/>
    <cellStyle name="Normal 12 3 8 3 2" xfId="9166" xr:uid="{00000000-0005-0000-0000-0000AA260000}"/>
    <cellStyle name="Normal 12 3 8 3 3" xfId="9167" xr:uid="{00000000-0005-0000-0000-0000AB260000}"/>
    <cellStyle name="Normal 12 3 8 3 4" xfId="9168" xr:uid="{00000000-0005-0000-0000-0000AC260000}"/>
    <cellStyle name="Normal 12 3 8 4" xfId="9169" xr:uid="{00000000-0005-0000-0000-0000AD260000}"/>
    <cellStyle name="Normal 12 3 8 5" xfId="9170" xr:uid="{00000000-0005-0000-0000-0000AE260000}"/>
    <cellStyle name="Normal 12 3 8 6" xfId="9171" xr:uid="{00000000-0005-0000-0000-0000AF260000}"/>
    <cellStyle name="Normal 12 3 9" xfId="9172" xr:uid="{00000000-0005-0000-0000-0000B0260000}"/>
    <cellStyle name="Normal 12 3 9 2" xfId="9173" xr:uid="{00000000-0005-0000-0000-0000B1260000}"/>
    <cellStyle name="Normal 12 3 9 2 2" xfId="9174" xr:uid="{00000000-0005-0000-0000-0000B2260000}"/>
    <cellStyle name="Normal 12 3 9 2 3" xfId="9175" xr:uid="{00000000-0005-0000-0000-0000B3260000}"/>
    <cellStyle name="Normal 12 3 9 2 4" xfId="9176" xr:uid="{00000000-0005-0000-0000-0000B4260000}"/>
    <cellStyle name="Normal 12 3 9 3" xfId="9177" xr:uid="{00000000-0005-0000-0000-0000B5260000}"/>
    <cellStyle name="Normal 12 3 9 3 2" xfId="9178" xr:uid="{00000000-0005-0000-0000-0000B6260000}"/>
    <cellStyle name="Normal 12 3 9 3 3" xfId="9179" xr:uid="{00000000-0005-0000-0000-0000B7260000}"/>
    <cellStyle name="Normal 12 3 9 3 4" xfId="9180" xr:uid="{00000000-0005-0000-0000-0000B8260000}"/>
    <cellStyle name="Normal 12 3 9 4" xfId="9181" xr:uid="{00000000-0005-0000-0000-0000B9260000}"/>
    <cellStyle name="Normal 12 3 9 5" xfId="9182" xr:uid="{00000000-0005-0000-0000-0000BA260000}"/>
    <cellStyle name="Normal 12 3 9 6" xfId="9183" xr:uid="{00000000-0005-0000-0000-0000BB260000}"/>
    <cellStyle name="Normal 12 30" xfId="9184" xr:uid="{00000000-0005-0000-0000-0000BC260000}"/>
    <cellStyle name="Normal 12 31" xfId="9185" xr:uid="{00000000-0005-0000-0000-0000BD260000}"/>
    <cellStyle name="Normal 12 32" xfId="9186" xr:uid="{00000000-0005-0000-0000-0000BE260000}"/>
    <cellStyle name="Normal 12 33" xfId="9187" xr:uid="{00000000-0005-0000-0000-0000BF260000}"/>
    <cellStyle name="Normal 12 34" xfId="9188" xr:uid="{00000000-0005-0000-0000-0000C0260000}"/>
    <cellStyle name="Normal 12 35" xfId="9189" xr:uid="{00000000-0005-0000-0000-0000C1260000}"/>
    <cellStyle name="Normal 12 36" xfId="9190" xr:uid="{00000000-0005-0000-0000-0000C2260000}"/>
    <cellStyle name="Normal 12 37" xfId="9191" xr:uid="{00000000-0005-0000-0000-0000C3260000}"/>
    <cellStyle name="Normal 12 38" xfId="9192" xr:uid="{00000000-0005-0000-0000-0000C4260000}"/>
    <cellStyle name="Normal 12 39" xfId="9193" xr:uid="{00000000-0005-0000-0000-0000C5260000}"/>
    <cellStyle name="Normal 12 4" xfId="9194" xr:uid="{00000000-0005-0000-0000-0000C6260000}"/>
    <cellStyle name="Normal 12 4 2" xfId="9195" xr:uid="{00000000-0005-0000-0000-0000C7260000}"/>
    <cellStyle name="Normal 12 4 2 2" xfId="9196" xr:uid="{00000000-0005-0000-0000-0000C8260000}"/>
    <cellStyle name="Normal 12 4 2 3" xfId="9197" xr:uid="{00000000-0005-0000-0000-0000C9260000}"/>
    <cellStyle name="Normal 12 4 2 4" xfId="9198" xr:uid="{00000000-0005-0000-0000-0000CA260000}"/>
    <cellStyle name="Normal 12 4 3" xfId="9199" xr:uid="{00000000-0005-0000-0000-0000CB260000}"/>
    <cellStyle name="Normal 12 4 3 2" xfId="9200" xr:uid="{00000000-0005-0000-0000-0000CC260000}"/>
    <cellStyle name="Normal 12 4 3 3" xfId="9201" xr:uid="{00000000-0005-0000-0000-0000CD260000}"/>
    <cellStyle name="Normal 12 4 3 4" xfId="9202" xr:uid="{00000000-0005-0000-0000-0000CE260000}"/>
    <cellStyle name="Normal 12 4 4" xfId="9203" xr:uid="{00000000-0005-0000-0000-0000CF260000}"/>
    <cellStyle name="Normal 12 4 5" xfId="9204" xr:uid="{00000000-0005-0000-0000-0000D0260000}"/>
    <cellStyle name="Normal 12 4 6" xfId="9205" xr:uid="{00000000-0005-0000-0000-0000D1260000}"/>
    <cellStyle name="Normal 12 40" xfId="9206" xr:uid="{00000000-0005-0000-0000-0000D2260000}"/>
    <cellStyle name="Normal 12 41" xfId="9207" xr:uid="{00000000-0005-0000-0000-0000D3260000}"/>
    <cellStyle name="Normal 12 42" xfId="9208" xr:uid="{00000000-0005-0000-0000-0000D4260000}"/>
    <cellStyle name="Normal 12 43" xfId="9209" xr:uid="{00000000-0005-0000-0000-0000D5260000}"/>
    <cellStyle name="Normal 12 44" xfId="9210" xr:uid="{00000000-0005-0000-0000-0000D6260000}"/>
    <cellStyle name="Normal 12 45" xfId="9211" xr:uid="{00000000-0005-0000-0000-0000D7260000}"/>
    <cellStyle name="Normal 12 46" xfId="9212" xr:uid="{00000000-0005-0000-0000-0000D8260000}"/>
    <cellStyle name="Normal 12 47" xfId="9213" xr:uid="{00000000-0005-0000-0000-0000D9260000}"/>
    <cellStyle name="Normal 12 48" xfId="43563" xr:uid="{00000000-0005-0000-0000-0000DA260000}"/>
    <cellStyle name="Normal 12 5" xfId="9214" xr:uid="{00000000-0005-0000-0000-0000DB260000}"/>
    <cellStyle name="Normal 12 5 2" xfId="9215" xr:uid="{00000000-0005-0000-0000-0000DC260000}"/>
    <cellStyle name="Normal 12 5 2 2" xfId="9216" xr:uid="{00000000-0005-0000-0000-0000DD260000}"/>
    <cellStyle name="Normal 12 5 2 3" xfId="9217" xr:uid="{00000000-0005-0000-0000-0000DE260000}"/>
    <cellStyle name="Normal 12 5 2 4" xfId="9218" xr:uid="{00000000-0005-0000-0000-0000DF260000}"/>
    <cellStyle name="Normal 12 5 3" xfId="9219" xr:uid="{00000000-0005-0000-0000-0000E0260000}"/>
    <cellStyle name="Normal 12 5 3 2" xfId="9220" xr:uid="{00000000-0005-0000-0000-0000E1260000}"/>
    <cellStyle name="Normal 12 5 3 3" xfId="9221" xr:uid="{00000000-0005-0000-0000-0000E2260000}"/>
    <cellStyle name="Normal 12 5 3 4" xfId="9222" xr:uid="{00000000-0005-0000-0000-0000E3260000}"/>
    <cellStyle name="Normal 12 5 4" xfId="9223" xr:uid="{00000000-0005-0000-0000-0000E4260000}"/>
    <cellStyle name="Normal 12 5 5" xfId="9224" xr:uid="{00000000-0005-0000-0000-0000E5260000}"/>
    <cellStyle name="Normal 12 5 6" xfId="9225" xr:uid="{00000000-0005-0000-0000-0000E6260000}"/>
    <cellStyle name="Normal 12 6" xfId="9226" xr:uid="{00000000-0005-0000-0000-0000E7260000}"/>
    <cellStyle name="Normal 12 6 2" xfId="9227" xr:uid="{00000000-0005-0000-0000-0000E8260000}"/>
    <cellStyle name="Normal 12 6 2 2" xfId="9228" xr:uid="{00000000-0005-0000-0000-0000E9260000}"/>
    <cellStyle name="Normal 12 6 2 3" xfId="9229" xr:uid="{00000000-0005-0000-0000-0000EA260000}"/>
    <cellStyle name="Normal 12 6 2 4" xfId="9230" xr:uid="{00000000-0005-0000-0000-0000EB260000}"/>
    <cellStyle name="Normal 12 6 3" xfId="9231" xr:uid="{00000000-0005-0000-0000-0000EC260000}"/>
    <cellStyle name="Normal 12 6 3 2" xfId="9232" xr:uid="{00000000-0005-0000-0000-0000ED260000}"/>
    <cellStyle name="Normal 12 6 3 3" xfId="9233" xr:uid="{00000000-0005-0000-0000-0000EE260000}"/>
    <cellStyle name="Normal 12 6 3 4" xfId="9234" xr:uid="{00000000-0005-0000-0000-0000EF260000}"/>
    <cellStyle name="Normal 12 6 4" xfId="9235" xr:uid="{00000000-0005-0000-0000-0000F0260000}"/>
    <cellStyle name="Normal 12 6 5" xfId="9236" xr:uid="{00000000-0005-0000-0000-0000F1260000}"/>
    <cellStyle name="Normal 12 6 6" xfId="9237" xr:uid="{00000000-0005-0000-0000-0000F2260000}"/>
    <cellStyle name="Normal 12 7" xfId="9238" xr:uid="{00000000-0005-0000-0000-0000F3260000}"/>
    <cellStyle name="Normal 12 7 2" xfId="9239" xr:uid="{00000000-0005-0000-0000-0000F4260000}"/>
    <cellStyle name="Normal 12 7 2 2" xfId="9240" xr:uid="{00000000-0005-0000-0000-0000F5260000}"/>
    <cellStyle name="Normal 12 7 2 3" xfId="9241" xr:uid="{00000000-0005-0000-0000-0000F6260000}"/>
    <cellStyle name="Normal 12 7 2 4" xfId="9242" xr:uid="{00000000-0005-0000-0000-0000F7260000}"/>
    <cellStyle name="Normal 12 7 3" xfId="9243" xr:uid="{00000000-0005-0000-0000-0000F8260000}"/>
    <cellStyle name="Normal 12 7 3 2" xfId="9244" xr:uid="{00000000-0005-0000-0000-0000F9260000}"/>
    <cellStyle name="Normal 12 7 3 3" xfId="9245" xr:uid="{00000000-0005-0000-0000-0000FA260000}"/>
    <cellStyle name="Normal 12 7 3 4" xfId="9246" xr:uid="{00000000-0005-0000-0000-0000FB260000}"/>
    <cellStyle name="Normal 12 7 4" xfId="9247" xr:uid="{00000000-0005-0000-0000-0000FC260000}"/>
    <cellStyle name="Normal 12 7 5" xfId="9248" xr:uid="{00000000-0005-0000-0000-0000FD260000}"/>
    <cellStyle name="Normal 12 7 6" xfId="9249" xr:uid="{00000000-0005-0000-0000-0000FE260000}"/>
    <cellStyle name="Normal 12 8" xfId="9250" xr:uid="{00000000-0005-0000-0000-0000FF260000}"/>
    <cellStyle name="Normal 12 8 2" xfId="9251" xr:uid="{00000000-0005-0000-0000-000000270000}"/>
    <cellStyle name="Normal 12 8 2 2" xfId="9252" xr:uid="{00000000-0005-0000-0000-000001270000}"/>
    <cellStyle name="Normal 12 8 2 3" xfId="9253" xr:uid="{00000000-0005-0000-0000-000002270000}"/>
    <cellStyle name="Normal 12 8 2 4" xfId="9254" xr:uid="{00000000-0005-0000-0000-000003270000}"/>
    <cellStyle name="Normal 12 8 3" xfId="9255" xr:uid="{00000000-0005-0000-0000-000004270000}"/>
    <cellStyle name="Normal 12 8 3 2" xfId="9256" xr:uid="{00000000-0005-0000-0000-000005270000}"/>
    <cellStyle name="Normal 12 8 3 3" xfId="9257" xr:uid="{00000000-0005-0000-0000-000006270000}"/>
    <cellStyle name="Normal 12 8 3 4" xfId="9258" xr:uid="{00000000-0005-0000-0000-000007270000}"/>
    <cellStyle name="Normal 12 8 4" xfId="9259" xr:uid="{00000000-0005-0000-0000-000008270000}"/>
    <cellStyle name="Normal 12 8 5" xfId="9260" xr:uid="{00000000-0005-0000-0000-000009270000}"/>
    <cellStyle name="Normal 12 8 6" xfId="9261" xr:uid="{00000000-0005-0000-0000-00000A270000}"/>
    <cellStyle name="Normal 12 9" xfId="9262" xr:uid="{00000000-0005-0000-0000-00000B270000}"/>
    <cellStyle name="Normal 12 9 2" xfId="9263" xr:uid="{00000000-0005-0000-0000-00000C270000}"/>
    <cellStyle name="Normal 12 9 2 2" xfId="9264" xr:uid="{00000000-0005-0000-0000-00000D270000}"/>
    <cellStyle name="Normal 12 9 2 3" xfId="9265" xr:uid="{00000000-0005-0000-0000-00000E270000}"/>
    <cellStyle name="Normal 12 9 2 4" xfId="9266" xr:uid="{00000000-0005-0000-0000-00000F270000}"/>
    <cellStyle name="Normal 12 9 3" xfId="9267" xr:uid="{00000000-0005-0000-0000-000010270000}"/>
    <cellStyle name="Normal 12 9 3 2" xfId="9268" xr:uid="{00000000-0005-0000-0000-000011270000}"/>
    <cellStyle name="Normal 12 9 3 3" xfId="9269" xr:uid="{00000000-0005-0000-0000-000012270000}"/>
    <cellStyle name="Normal 12 9 3 4" xfId="9270" xr:uid="{00000000-0005-0000-0000-000013270000}"/>
    <cellStyle name="Normal 12 9 4" xfId="9271" xr:uid="{00000000-0005-0000-0000-000014270000}"/>
    <cellStyle name="Normal 12 9 5" xfId="9272" xr:uid="{00000000-0005-0000-0000-000015270000}"/>
    <cellStyle name="Normal 12 9 6" xfId="9273" xr:uid="{00000000-0005-0000-0000-000016270000}"/>
    <cellStyle name="Normal 120" xfId="9274" xr:uid="{00000000-0005-0000-0000-000017270000}"/>
    <cellStyle name="Normal 121" xfId="9275" xr:uid="{00000000-0005-0000-0000-000018270000}"/>
    <cellStyle name="Normal 122" xfId="9276" xr:uid="{00000000-0005-0000-0000-000019270000}"/>
    <cellStyle name="Normal 123" xfId="9277" xr:uid="{00000000-0005-0000-0000-00001A270000}"/>
    <cellStyle name="Normal 124" xfId="9278" xr:uid="{00000000-0005-0000-0000-00001B270000}"/>
    <cellStyle name="Normal 125" xfId="9279" xr:uid="{00000000-0005-0000-0000-00001C270000}"/>
    <cellStyle name="Normal 126" xfId="9280" xr:uid="{00000000-0005-0000-0000-00001D270000}"/>
    <cellStyle name="Normal 127" xfId="9281" xr:uid="{00000000-0005-0000-0000-00001E270000}"/>
    <cellStyle name="Normal 128" xfId="9282" xr:uid="{00000000-0005-0000-0000-00001F270000}"/>
    <cellStyle name="Normal 129" xfId="9283" xr:uid="{00000000-0005-0000-0000-000020270000}"/>
    <cellStyle name="Normal 13" xfId="1061" xr:uid="{00000000-0005-0000-0000-000021270000}"/>
    <cellStyle name="Normal 13 10" xfId="9284" xr:uid="{00000000-0005-0000-0000-000022270000}"/>
    <cellStyle name="Normal 13 11" xfId="9285" xr:uid="{00000000-0005-0000-0000-000023270000}"/>
    <cellStyle name="Normal 13 12" xfId="9286" xr:uid="{00000000-0005-0000-0000-000024270000}"/>
    <cellStyle name="Normal 13 13" xfId="9287" xr:uid="{00000000-0005-0000-0000-000025270000}"/>
    <cellStyle name="Normal 13 14" xfId="9288" xr:uid="{00000000-0005-0000-0000-000026270000}"/>
    <cellStyle name="Normal 13 15" xfId="9289" xr:uid="{00000000-0005-0000-0000-000027270000}"/>
    <cellStyle name="Normal 13 16" xfId="9290" xr:uid="{00000000-0005-0000-0000-000028270000}"/>
    <cellStyle name="Normal 13 17" xfId="9291" xr:uid="{00000000-0005-0000-0000-000029270000}"/>
    <cellStyle name="Normal 13 18" xfId="9292" xr:uid="{00000000-0005-0000-0000-00002A270000}"/>
    <cellStyle name="Normal 13 19" xfId="9293" xr:uid="{00000000-0005-0000-0000-00002B270000}"/>
    <cellStyle name="Normal 13 2" xfId="9294" xr:uid="{00000000-0005-0000-0000-00002C270000}"/>
    <cellStyle name="Normal 13 2 2" xfId="9295" xr:uid="{00000000-0005-0000-0000-00002D270000}"/>
    <cellStyle name="Normal 13 20" xfId="9296" xr:uid="{00000000-0005-0000-0000-00002E270000}"/>
    <cellStyle name="Normal 13 21" xfId="9297" xr:uid="{00000000-0005-0000-0000-00002F270000}"/>
    <cellStyle name="Normal 13 22" xfId="9298" xr:uid="{00000000-0005-0000-0000-000030270000}"/>
    <cellStyle name="Normal 13 23" xfId="9299" xr:uid="{00000000-0005-0000-0000-000031270000}"/>
    <cellStyle name="Normal 13 24" xfId="9300" xr:uid="{00000000-0005-0000-0000-000032270000}"/>
    <cellStyle name="Normal 13 25" xfId="9301" xr:uid="{00000000-0005-0000-0000-000033270000}"/>
    <cellStyle name="Normal 13 26" xfId="9302" xr:uid="{00000000-0005-0000-0000-000034270000}"/>
    <cellStyle name="Normal 13 27" xfId="9303" xr:uid="{00000000-0005-0000-0000-000035270000}"/>
    <cellStyle name="Normal 13 28" xfId="9304" xr:uid="{00000000-0005-0000-0000-000036270000}"/>
    <cellStyle name="Normal 13 29" xfId="9305" xr:uid="{00000000-0005-0000-0000-000037270000}"/>
    <cellStyle name="Normal 13 3" xfId="9306" xr:uid="{00000000-0005-0000-0000-000038270000}"/>
    <cellStyle name="Normal 13 3 2" xfId="9307" xr:uid="{00000000-0005-0000-0000-000039270000}"/>
    <cellStyle name="Normal 13 30" xfId="9308" xr:uid="{00000000-0005-0000-0000-00003A270000}"/>
    <cellStyle name="Normal 13 31" xfId="9309" xr:uid="{00000000-0005-0000-0000-00003B270000}"/>
    <cellStyle name="Normal 13 32" xfId="9310" xr:uid="{00000000-0005-0000-0000-00003C270000}"/>
    <cellStyle name="Normal 13 33" xfId="9311" xr:uid="{00000000-0005-0000-0000-00003D270000}"/>
    <cellStyle name="Normal 13 34" xfId="9312" xr:uid="{00000000-0005-0000-0000-00003E270000}"/>
    <cellStyle name="Normal 13 35" xfId="9313" xr:uid="{00000000-0005-0000-0000-00003F270000}"/>
    <cellStyle name="Normal 13 36" xfId="9314" xr:uid="{00000000-0005-0000-0000-000040270000}"/>
    <cellStyle name="Normal 13 37" xfId="9315" xr:uid="{00000000-0005-0000-0000-000041270000}"/>
    <cellStyle name="Normal 13 38" xfId="9316" xr:uid="{00000000-0005-0000-0000-000042270000}"/>
    <cellStyle name="Normal 13 39" xfId="9317" xr:uid="{00000000-0005-0000-0000-000043270000}"/>
    <cellStyle name="Normal 13 4" xfId="9318" xr:uid="{00000000-0005-0000-0000-000044270000}"/>
    <cellStyle name="Normal 13 4 2" xfId="9319" xr:uid="{00000000-0005-0000-0000-000045270000}"/>
    <cellStyle name="Normal 13 4 2 2" xfId="9320" xr:uid="{00000000-0005-0000-0000-000046270000}"/>
    <cellStyle name="Normal 13 4 2 2 2" xfId="9321" xr:uid="{00000000-0005-0000-0000-000047270000}"/>
    <cellStyle name="Normal 13 4 2 2 3" xfId="9322" xr:uid="{00000000-0005-0000-0000-000048270000}"/>
    <cellStyle name="Normal 13 4 2 2 4" xfId="9323" xr:uid="{00000000-0005-0000-0000-000049270000}"/>
    <cellStyle name="Normal 13 4 2 2 5" xfId="9324" xr:uid="{00000000-0005-0000-0000-00004A270000}"/>
    <cellStyle name="Normal 13 4 2 3" xfId="9325" xr:uid="{00000000-0005-0000-0000-00004B270000}"/>
    <cellStyle name="Normal 13 4 3" xfId="9326" xr:uid="{00000000-0005-0000-0000-00004C270000}"/>
    <cellStyle name="Normal 13 4 3 2" xfId="9327" xr:uid="{00000000-0005-0000-0000-00004D270000}"/>
    <cellStyle name="Normal 13 4 3 2 2" xfId="9328" xr:uid="{00000000-0005-0000-0000-00004E270000}"/>
    <cellStyle name="Normal 13 4 3 2 3" xfId="9329" xr:uid="{00000000-0005-0000-0000-00004F270000}"/>
    <cellStyle name="Normal 13 4 3 2 4" xfId="9330" xr:uid="{00000000-0005-0000-0000-000050270000}"/>
    <cellStyle name="Normal 13 4 4" xfId="9331" xr:uid="{00000000-0005-0000-0000-000051270000}"/>
    <cellStyle name="Normal 13 4 5" xfId="9332" xr:uid="{00000000-0005-0000-0000-000052270000}"/>
    <cellStyle name="Normal 13 4 6" xfId="9333" xr:uid="{00000000-0005-0000-0000-000053270000}"/>
    <cellStyle name="Normal 13 40" xfId="9334" xr:uid="{00000000-0005-0000-0000-000054270000}"/>
    <cellStyle name="Normal 13 41" xfId="9335" xr:uid="{00000000-0005-0000-0000-000055270000}"/>
    <cellStyle name="Normal 13 42" xfId="9336" xr:uid="{00000000-0005-0000-0000-000056270000}"/>
    <cellStyle name="Normal 13 43" xfId="9337" xr:uid="{00000000-0005-0000-0000-000057270000}"/>
    <cellStyle name="Normal 13 44" xfId="9338" xr:uid="{00000000-0005-0000-0000-000058270000}"/>
    <cellStyle name="Normal 13 45" xfId="9339" xr:uid="{00000000-0005-0000-0000-000059270000}"/>
    <cellStyle name="Normal 13 46" xfId="9340" xr:uid="{00000000-0005-0000-0000-00005A270000}"/>
    <cellStyle name="Normal 13 47" xfId="9341" xr:uid="{00000000-0005-0000-0000-00005B270000}"/>
    <cellStyle name="Normal 13 48" xfId="43564" xr:uid="{00000000-0005-0000-0000-00005C270000}"/>
    <cellStyle name="Normal 13 5" xfId="9342" xr:uid="{00000000-0005-0000-0000-00005D270000}"/>
    <cellStyle name="Normal 13 6" xfId="9343" xr:uid="{00000000-0005-0000-0000-00005E270000}"/>
    <cellStyle name="Normal 13 6 2" xfId="9344" xr:uid="{00000000-0005-0000-0000-00005F270000}"/>
    <cellStyle name="Normal 13 6 3" xfId="9345" xr:uid="{00000000-0005-0000-0000-000060270000}"/>
    <cellStyle name="Normal 13 6 4" xfId="9346" xr:uid="{00000000-0005-0000-0000-000061270000}"/>
    <cellStyle name="Normal 13 6 5" xfId="9347" xr:uid="{00000000-0005-0000-0000-000062270000}"/>
    <cellStyle name="Normal 13 7" xfId="9348" xr:uid="{00000000-0005-0000-0000-000063270000}"/>
    <cellStyle name="Normal 13 8" xfId="9349" xr:uid="{00000000-0005-0000-0000-000064270000}"/>
    <cellStyle name="Normal 13 8 2" xfId="9350" xr:uid="{00000000-0005-0000-0000-000065270000}"/>
    <cellStyle name="Normal 13 8 3" xfId="9351" xr:uid="{00000000-0005-0000-0000-000066270000}"/>
    <cellStyle name="Normal 13 8 4" xfId="9352" xr:uid="{00000000-0005-0000-0000-000067270000}"/>
    <cellStyle name="Normal 13 9" xfId="9353" xr:uid="{00000000-0005-0000-0000-000068270000}"/>
    <cellStyle name="Normal 130" xfId="9354" xr:uid="{00000000-0005-0000-0000-000069270000}"/>
    <cellStyle name="Normal 131" xfId="9355" xr:uid="{00000000-0005-0000-0000-00006A270000}"/>
    <cellStyle name="Normal 132" xfId="9356" xr:uid="{00000000-0005-0000-0000-00006B270000}"/>
    <cellStyle name="Normal 133" xfId="9357" xr:uid="{00000000-0005-0000-0000-00006C270000}"/>
    <cellStyle name="Normal 134" xfId="9358" xr:uid="{00000000-0005-0000-0000-00006D270000}"/>
    <cellStyle name="Normal 135" xfId="9359" xr:uid="{00000000-0005-0000-0000-00006E270000}"/>
    <cellStyle name="Normal 136" xfId="9360" xr:uid="{00000000-0005-0000-0000-00006F270000}"/>
    <cellStyle name="Normal 137" xfId="42498" xr:uid="{00000000-0005-0000-0000-000070270000}"/>
    <cellStyle name="Normal 137 2" xfId="43565" xr:uid="{00000000-0005-0000-0000-000071270000}"/>
    <cellStyle name="Normal 138" xfId="42499" xr:uid="{00000000-0005-0000-0000-000072270000}"/>
    <cellStyle name="Normal 139" xfId="42500" xr:uid="{00000000-0005-0000-0000-000073270000}"/>
    <cellStyle name="Normal 14" xfId="1062" xr:uid="{00000000-0005-0000-0000-000074270000}"/>
    <cellStyle name="Normal 14 10" xfId="9361" xr:uid="{00000000-0005-0000-0000-000075270000}"/>
    <cellStyle name="Normal 14 10 10" xfId="9362" xr:uid="{00000000-0005-0000-0000-000076270000}"/>
    <cellStyle name="Normal 14 10 11" xfId="9363" xr:uid="{00000000-0005-0000-0000-000077270000}"/>
    <cellStyle name="Normal 14 10 12" xfId="9364" xr:uid="{00000000-0005-0000-0000-000078270000}"/>
    <cellStyle name="Normal 14 10 13" xfId="9365" xr:uid="{00000000-0005-0000-0000-000079270000}"/>
    <cellStyle name="Normal 14 10 14" xfId="9366" xr:uid="{00000000-0005-0000-0000-00007A270000}"/>
    <cellStyle name="Normal 14 10 15" xfId="9367" xr:uid="{00000000-0005-0000-0000-00007B270000}"/>
    <cellStyle name="Normal 14 10 16" xfId="9368" xr:uid="{00000000-0005-0000-0000-00007C270000}"/>
    <cellStyle name="Normal 14 10 17" xfId="9369" xr:uid="{00000000-0005-0000-0000-00007D270000}"/>
    <cellStyle name="Normal 14 10 18" xfId="9370" xr:uid="{00000000-0005-0000-0000-00007E270000}"/>
    <cellStyle name="Normal 14 10 19" xfId="9371" xr:uid="{00000000-0005-0000-0000-00007F270000}"/>
    <cellStyle name="Normal 14 10 2" xfId="9372" xr:uid="{00000000-0005-0000-0000-000080270000}"/>
    <cellStyle name="Normal 14 10 20" xfId="9373" xr:uid="{00000000-0005-0000-0000-000081270000}"/>
    <cellStyle name="Normal 14 10 21" xfId="9374" xr:uid="{00000000-0005-0000-0000-000082270000}"/>
    <cellStyle name="Normal 14 10 22" xfId="9375" xr:uid="{00000000-0005-0000-0000-000083270000}"/>
    <cellStyle name="Normal 14 10 23" xfId="9376" xr:uid="{00000000-0005-0000-0000-000084270000}"/>
    <cellStyle name="Normal 14 10 24" xfId="9377" xr:uid="{00000000-0005-0000-0000-000085270000}"/>
    <cellStyle name="Normal 14 10 25" xfId="9378" xr:uid="{00000000-0005-0000-0000-000086270000}"/>
    <cellStyle name="Normal 14 10 26" xfId="9379" xr:uid="{00000000-0005-0000-0000-000087270000}"/>
    <cellStyle name="Normal 14 10 27" xfId="9380" xr:uid="{00000000-0005-0000-0000-000088270000}"/>
    <cellStyle name="Normal 14 10 28" xfId="9381" xr:uid="{00000000-0005-0000-0000-000089270000}"/>
    <cellStyle name="Normal 14 10 29" xfId="9382" xr:uid="{00000000-0005-0000-0000-00008A270000}"/>
    <cellStyle name="Normal 14 10 3" xfId="9383" xr:uid="{00000000-0005-0000-0000-00008B270000}"/>
    <cellStyle name="Normal 14 10 30" xfId="9384" xr:uid="{00000000-0005-0000-0000-00008C270000}"/>
    <cellStyle name="Normal 14 10 31" xfId="9385" xr:uid="{00000000-0005-0000-0000-00008D270000}"/>
    <cellStyle name="Normal 14 10 32" xfId="9386" xr:uid="{00000000-0005-0000-0000-00008E270000}"/>
    <cellStyle name="Normal 14 10 33" xfId="9387" xr:uid="{00000000-0005-0000-0000-00008F270000}"/>
    <cellStyle name="Normal 14 10 34" xfId="9388" xr:uid="{00000000-0005-0000-0000-000090270000}"/>
    <cellStyle name="Normal 14 10 35" xfId="9389" xr:uid="{00000000-0005-0000-0000-000091270000}"/>
    <cellStyle name="Normal 14 10 36" xfId="9390" xr:uid="{00000000-0005-0000-0000-000092270000}"/>
    <cellStyle name="Normal 14 10 37" xfId="9391" xr:uid="{00000000-0005-0000-0000-000093270000}"/>
    <cellStyle name="Normal 14 10 38" xfId="9392" xr:uid="{00000000-0005-0000-0000-000094270000}"/>
    <cellStyle name="Normal 14 10 39" xfId="9393" xr:uid="{00000000-0005-0000-0000-000095270000}"/>
    <cellStyle name="Normal 14 10 4" xfId="9394" xr:uid="{00000000-0005-0000-0000-000096270000}"/>
    <cellStyle name="Normal 14 10 40" xfId="9395" xr:uid="{00000000-0005-0000-0000-000097270000}"/>
    <cellStyle name="Normal 14 10 41" xfId="9396" xr:uid="{00000000-0005-0000-0000-000098270000}"/>
    <cellStyle name="Normal 14 10 42" xfId="9397" xr:uid="{00000000-0005-0000-0000-000099270000}"/>
    <cellStyle name="Normal 14 10 43" xfId="9398" xr:uid="{00000000-0005-0000-0000-00009A270000}"/>
    <cellStyle name="Normal 14 10 44" xfId="9399" xr:uid="{00000000-0005-0000-0000-00009B270000}"/>
    <cellStyle name="Normal 14 10 45" xfId="9400" xr:uid="{00000000-0005-0000-0000-00009C270000}"/>
    <cellStyle name="Normal 14 10 5" xfId="9401" xr:uid="{00000000-0005-0000-0000-00009D270000}"/>
    <cellStyle name="Normal 14 10 6" xfId="9402" xr:uid="{00000000-0005-0000-0000-00009E270000}"/>
    <cellStyle name="Normal 14 10 7" xfId="9403" xr:uid="{00000000-0005-0000-0000-00009F270000}"/>
    <cellStyle name="Normal 14 10 8" xfId="9404" xr:uid="{00000000-0005-0000-0000-0000A0270000}"/>
    <cellStyle name="Normal 14 10 9" xfId="9405" xr:uid="{00000000-0005-0000-0000-0000A1270000}"/>
    <cellStyle name="Normal 14 11" xfId="9406" xr:uid="{00000000-0005-0000-0000-0000A2270000}"/>
    <cellStyle name="Normal 14 11 10" xfId="9407" xr:uid="{00000000-0005-0000-0000-0000A3270000}"/>
    <cellStyle name="Normal 14 11 11" xfId="9408" xr:uid="{00000000-0005-0000-0000-0000A4270000}"/>
    <cellStyle name="Normal 14 11 12" xfId="9409" xr:uid="{00000000-0005-0000-0000-0000A5270000}"/>
    <cellStyle name="Normal 14 11 13" xfId="9410" xr:uid="{00000000-0005-0000-0000-0000A6270000}"/>
    <cellStyle name="Normal 14 11 14" xfId="9411" xr:uid="{00000000-0005-0000-0000-0000A7270000}"/>
    <cellStyle name="Normal 14 11 15" xfId="9412" xr:uid="{00000000-0005-0000-0000-0000A8270000}"/>
    <cellStyle name="Normal 14 11 16" xfId="9413" xr:uid="{00000000-0005-0000-0000-0000A9270000}"/>
    <cellStyle name="Normal 14 11 17" xfId="9414" xr:uid="{00000000-0005-0000-0000-0000AA270000}"/>
    <cellStyle name="Normal 14 11 18" xfId="9415" xr:uid="{00000000-0005-0000-0000-0000AB270000}"/>
    <cellStyle name="Normal 14 11 19" xfId="9416" xr:uid="{00000000-0005-0000-0000-0000AC270000}"/>
    <cellStyle name="Normal 14 11 2" xfId="9417" xr:uid="{00000000-0005-0000-0000-0000AD270000}"/>
    <cellStyle name="Normal 14 11 20" xfId="9418" xr:uid="{00000000-0005-0000-0000-0000AE270000}"/>
    <cellStyle name="Normal 14 11 21" xfId="9419" xr:uid="{00000000-0005-0000-0000-0000AF270000}"/>
    <cellStyle name="Normal 14 11 22" xfId="9420" xr:uid="{00000000-0005-0000-0000-0000B0270000}"/>
    <cellStyle name="Normal 14 11 23" xfId="9421" xr:uid="{00000000-0005-0000-0000-0000B1270000}"/>
    <cellStyle name="Normal 14 11 24" xfId="9422" xr:uid="{00000000-0005-0000-0000-0000B2270000}"/>
    <cellStyle name="Normal 14 11 25" xfId="9423" xr:uid="{00000000-0005-0000-0000-0000B3270000}"/>
    <cellStyle name="Normal 14 11 26" xfId="9424" xr:uid="{00000000-0005-0000-0000-0000B4270000}"/>
    <cellStyle name="Normal 14 11 27" xfId="9425" xr:uid="{00000000-0005-0000-0000-0000B5270000}"/>
    <cellStyle name="Normal 14 11 28" xfId="9426" xr:uid="{00000000-0005-0000-0000-0000B6270000}"/>
    <cellStyle name="Normal 14 11 29" xfId="9427" xr:uid="{00000000-0005-0000-0000-0000B7270000}"/>
    <cellStyle name="Normal 14 11 3" xfId="9428" xr:uid="{00000000-0005-0000-0000-0000B8270000}"/>
    <cellStyle name="Normal 14 11 30" xfId="9429" xr:uid="{00000000-0005-0000-0000-0000B9270000}"/>
    <cellStyle name="Normal 14 11 31" xfId="9430" xr:uid="{00000000-0005-0000-0000-0000BA270000}"/>
    <cellStyle name="Normal 14 11 32" xfId="9431" xr:uid="{00000000-0005-0000-0000-0000BB270000}"/>
    <cellStyle name="Normal 14 11 33" xfId="9432" xr:uid="{00000000-0005-0000-0000-0000BC270000}"/>
    <cellStyle name="Normal 14 11 34" xfId="9433" xr:uid="{00000000-0005-0000-0000-0000BD270000}"/>
    <cellStyle name="Normal 14 11 35" xfId="9434" xr:uid="{00000000-0005-0000-0000-0000BE270000}"/>
    <cellStyle name="Normal 14 11 36" xfId="9435" xr:uid="{00000000-0005-0000-0000-0000BF270000}"/>
    <cellStyle name="Normal 14 11 37" xfId="9436" xr:uid="{00000000-0005-0000-0000-0000C0270000}"/>
    <cellStyle name="Normal 14 11 38" xfId="9437" xr:uid="{00000000-0005-0000-0000-0000C1270000}"/>
    <cellStyle name="Normal 14 11 39" xfId="9438" xr:uid="{00000000-0005-0000-0000-0000C2270000}"/>
    <cellStyle name="Normal 14 11 4" xfId="9439" xr:uid="{00000000-0005-0000-0000-0000C3270000}"/>
    <cellStyle name="Normal 14 11 40" xfId="9440" xr:uid="{00000000-0005-0000-0000-0000C4270000}"/>
    <cellStyle name="Normal 14 11 41" xfId="9441" xr:uid="{00000000-0005-0000-0000-0000C5270000}"/>
    <cellStyle name="Normal 14 11 42" xfId="9442" xr:uid="{00000000-0005-0000-0000-0000C6270000}"/>
    <cellStyle name="Normal 14 11 43" xfId="9443" xr:uid="{00000000-0005-0000-0000-0000C7270000}"/>
    <cellStyle name="Normal 14 11 44" xfId="9444" xr:uid="{00000000-0005-0000-0000-0000C8270000}"/>
    <cellStyle name="Normal 14 11 45" xfId="9445" xr:uid="{00000000-0005-0000-0000-0000C9270000}"/>
    <cellStyle name="Normal 14 11 5" xfId="9446" xr:uid="{00000000-0005-0000-0000-0000CA270000}"/>
    <cellStyle name="Normal 14 11 6" xfId="9447" xr:uid="{00000000-0005-0000-0000-0000CB270000}"/>
    <cellStyle name="Normal 14 11 7" xfId="9448" xr:uid="{00000000-0005-0000-0000-0000CC270000}"/>
    <cellStyle name="Normal 14 11 8" xfId="9449" xr:uid="{00000000-0005-0000-0000-0000CD270000}"/>
    <cellStyle name="Normal 14 11 9" xfId="9450" xr:uid="{00000000-0005-0000-0000-0000CE270000}"/>
    <cellStyle name="Normal 14 12" xfId="9451" xr:uid="{00000000-0005-0000-0000-0000CF270000}"/>
    <cellStyle name="Normal 14 12 10" xfId="9452" xr:uid="{00000000-0005-0000-0000-0000D0270000}"/>
    <cellStyle name="Normal 14 12 11" xfId="9453" xr:uid="{00000000-0005-0000-0000-0000D1270000}"/>
    <cellStyle name="Normal 14 12 12" xfId="9454" xr:uid="{00000000-0005-0000-0000-0000D2270000}"/>
    <cellStyle name="Normal 14 12 13" xfId="9455" xr:uid="{00000000-0005-0000-0000-0000D3270000}"/>
    <cellStyle name="Normal 14 12 14" xfId="9456" xr:uid="{00000000-0005-0000-0000-0000D4270000}"/>
    <cellStyle name="Normal 14 12 15" xfId="9457" xr:uid="{00000000-0005-0000-0000-0000D5270000}"/>
    <cellStyle name="Normal 14 12 16" xfId="9458" xr:uid="{00000000-0005-0000-0000-0000D6270000}"/>
    <cellStyle name="Normal 14 12 17" xfId="9459" xr:uid="{00000000-0005-0000-0000-0000D7270000}"/>
    <cellStyle name="Normal 14 12 18" xfId="9460" xr:uid="{00000000-0005-0000-0000-0000D8270000}"/>
    <cellStyle name="Normal 14 12 19" xfId="9461" xr:uid="{00000000-0005-0000-0000-0000D9270000}"/>
    <cellStyle name="Normal 14 12 2" xfId="9462" xr:uid="{00000000-0005-0000-0000-0000DA270000}"/>
    <cellStyle name="Normal 14 12 20" xfId="9463" xr:uid="{00000000-0005-0000-0000-0000DB270000}"/>
    <cellStyle name="Normal 14 12 21" xfId="9464" xr:uid="{00000000-0005-0000-0000-0000DC270000}"/>
    <cellStyle name="Normal 14 12 22" xfId="9465" xr:uid="{00000000-0005-0000-0000-0000DD270000}"/>
    <cellStyle name="Normal 14 12 23" xfId="9466" xr:uid="{00000000-0005-0000-0000-0000DE270000}"/>
    <cellStyle name="Normal 14 12 24" xfId="9467" xr:uid="{00000000-0005-0000-0000-0000DF270000}"/>
    <cellStyle name="Normal 14 12 25" xfId="9468" xr:uid="{00000000-0005-0000-0000-0000E0270000}"/>
    <cellStyle name="Normal 14 12 26" xfId="9469" xr:uid="{00000000-0005-0000-0000-0000E1270000}"/>
    <cellStyle name="Normal 14 12 27" xfId="9470" xr:uid="{00000000-0005-0000-0000-0000E2270000}"/>
    <cellStyle name="Normal 14 12 28" xfId="9471" xr:uid="{00000000-0005-0000-0000-0000E3270000}"/>
    <cellStyle name="Normal 14 12 29" xfId="9472" xr:uid="{00000000-0005-0000-0000-0000E4270000}"/>
    <cellStyle name="Normal 14 12 3" xfId="9473" xr:uid="{00000000-0005-0000-0000-0000E5270000}"/>
    <cellStyle name="Normal 14 12 30" xfId="9474" xr:uid="{00000000-0005-0000-0000-0000E6270000}"/>
    <cellStyle name="Normal 14 12 31" xfId="9475" xr:uid="{00000000-0005-0000-0000-0000E7270000}"/>
    <cellStyle name="Normal 14 12 32" xfId="9476" xr:uid="{00000000-0005-0000-0000-0000E8270000}"/>
    <cellStyle name="Normal 14 12 33" xfId="9477" xr:uid="{00000000-0005-0000-0000-0000E9270000}"/>
    <cellStyle name="Normal 14 12 34" xfId="9478" xr:uid="{00000000-0005-0000-0000-0000EA270000}"/>
    <cellStyle name="Normal 14 12 35" xfId="9479" xr:uid="{00000000-0005-0000-0000-0000EB270000}"/>
    <cellStyle name="Normal 14 12 36" xfId="9480" xr:uid="{00000000-0005-0000-0000-0000EC270000}"/>
    <cellStyle name="Normal 14 12 37" xfId="9481" xr:uid="{00000000-0005-0000-0000-0000ED270000}"/>
    <cellStyle name="Normal 14 12 38" xfId="9482" xr:uid="{00000000-0005-0000-0000-0000EE270000}"/>
    <cellStyle name="Normal 14 12 39" xfId="9483" xr:uid="{00000000-0005-0000-0000-0000EF270000}"/>
    <cellStyle name="Normal 14 12 4" xfId="9484" xr:uid="{00000000-0005-0000-0000-0000F0270000}"/>
    <cellStyle name="Normal 14 12 40" xfId="9485" xr:uid="{00000000-0005-0000-0000-0000F1270000}"/>
    <cellStyle name="Normal 14 12 41" xfId="9486" xr:uid="{00000000-0005-0000-0000-0000F2270000}"/>
    <cellStyle name="Normal 14 12 42" xfId="9487" xr:uid="{00000000-0005-0000-0000-0000F3270000}"/>
    <cellStyle name="Normal 14 12 43" xfId="9488" xr:uid="{00000000-0005-0000-0000-0000F4270000}"/>
    <cellStyle name="Normal 14 12 44" xfId="9489" xr:uid="{00000000-0005-0000-0000-0000F5270000}"/>
    <cellStyle name="Normal 14 12 45" xfId="9490" xr:uid="{00000000-0005-0000-0000-0000F6270000}"/>
    <cellStyle name="Normal 14 12 5" xfId="9491" xr:uid="{00000000-0005-0000-0000-0000F7270000}"/>
    <cellStyle name="Normal 14 12 6" xfId="9492" xr:uid="{00000000-0005-0000-0000-0000F8270000}"/>
    <cellStyle name="Normal 14 12 7" xfId="9493" xr:uid="{00000000-0005-0000-0000-0000F9270000}"/>
    <cellStyle name="Normal 14 12 8" xfId="9494" xr:uid="{00000000-0005-0000-0000-0000FA270000}"/>
    <cellStyle name="Normal 14 12 9" xfId="9495" xr:uid="{00000000-0005-0000-0000-0000FB270000}"/>
    <cellStyle name="Normal 14 13" xfId="9496" xr:uid="{00000000-0005-0000-0000-0000FC270000}"/>
    <cellStyle name="Normal 14 13 10" xfId="9497" xr:uid="{00000000-0005-0000-0000-0000FD270000}"/>
    <cellStyle name="Normal 14 13 11" xfId="9498" xr:uid="{00000000-0005-0000-0000-0000FE270000}"/>
    <cellStyle name="Normal 14 13 12" xfId="9499" xr:uid="{00000000-0005-0000-0000-0000FF270000}"/>
    <cellStyle name="Normal 14 13 13" xfId="9500" xr:uid="{00000000-0005-0000-0000-000000280000}"/>
    <cellStyle name="Normal 14 13 14" xfId="9501" xr:uid="{00000000-0005-0000-0000-000001280000}"/>
    <cellStyle name="Normal 14 13 15" xfId="9502" xr:uid="{00000000-0005-0000-0000-000002280000}"/>
    <cellStyle name="Normal 14 13 16" xfId="9503" xr:uid="{00000000-0005-0000-0000-000003280000}"/>
    <cellStyle name="Normal 14 13 17" xfId="9504" xr:uid="{00000000-0005-0000-0000-000004280000}"/>
    <cellStyle name="Normal 14 13 18" xfId="9505" xr:uid="{00000000-0005-0000-0000-000005280000}"/>
    <cellStyle name="Normal 14 13 19" xfId="9506" xr:uid="{00000000-0005-0000-0000-000006280000}"/>
    <cellStyle name="Normal 14 13 2" xfId="9507" xr:uid="{00000000-0005-0000-0000-000007280000}"/>
    <cellStyle name="Normal 14 13 20" xfId="9508" xr:uid="{00000000-0005-0000-0000-000008280000}"/>
    <cellStyle name="Normal 14 13 21" xfId="9509" xr:uid="{00000000-0005-0000-0000-000009280000}"/>
    <cellStyle name="Normal 14 13 22" xfId="9510" xr:uid="{00000000-0005-0000-0000-00000A280000}"/>
    <cellStyle name="Normal 14 13 23" xfId="9511" xr:uid="{00000000-0005-0000-0000-00000B280000}"/>
    <cellStyle name="Normal 14 13 24" xfId="9512" xr:uid="{00000000-0005-0000-0000-00000C280000}"/>
    <cellStyle name="Normal 14 13 25" xfId="9513" xr:uid="{00000000-0005-0000-0000-00000D280000}"/>
    <cellStyle name="Normal 14 13 26" xfId="9514" xr:uid="{00000000-0005-0000-0000-00000E280000}"/>
    <cellStyle name="Normal 14 13 27" xfId="9515" xr:uid="{00000000-0005-0000-0000-00000F280000}"/>
    <cellStyle name="Normal 14 13 28" xfId="9516" xr:uid="{00000000-0005-0000-0000-000010280000}"/>
    <cellStyle name="Normal 14 13 29" xfId="9517" xr:uid="{00000000-0005-0000-0000-000011280000}"/>
    <cellStyle name="Normal 14 13 3" xfId="9518" xr:uid="{00000000-0005-0000-0000-000012280000}"/>
    <cellStyle name="Normal 14 13 30" xfId="9519" xr:uid="{00000000-0005-0000-0000-000013280000}"/>
    <cellStyle name="Normal 14 13 31" xfId="9520" xr:uid="{00000000-0005-0000-0000-000014280000}"/>
    <cellStyle name="Normal 14 13 32" xfId="9521" xr:uid="{00000000-0005-0000-0000-000015280000}"/>
    <cellStyle name="Normal 14 13 33" xfId="9522" xr:uid="{00000000-0005-0000-0000-000016280000}"/>
    <cellStyle name="Normal 14 13 34" xfId="9523" xr:uid="{00000000-0005-0000-0000-000017280000}"/>
    <cellStyle name="Normal 14 13 35" xfId="9524" xr:uid="{00000000-0005-0000-0000-000018280000}"/>
    <cellStyle name="Normal 14 13 36" xfId="9525" xr:uid="{00000000-0005-0000-0000-000019280000}"/>
    <cellStyle name="Normal 14 13 37" xfId="9526" xr:uid="{00000000-0005-0000-0000-00001A280000}"/>
    <cellStyle name="Normal 14 13 38" xfId="9527" xr:uid="{00000000-0005-0000-0000-00001B280000}"/>
    <cellStyle name="Normal 14 13 39" xfId="9528" xr:uid="{00000000-0005-0000-0000-00001C280000}"/>
    <cellStyle name="Normal 14 13 4" xfId="9529" xr:uid="{00000000-0005-0000-0000-00001D280000}"/>
    <cellStyle name="Normal 14 13 40" xfId="9530" xr:uid="{00000000-0005-0000-0000-00001E280000}"/>
    <cellStyle name="Normal 14 13 41" xfId="9531" xr:uid="{00000000-0005-0000-0000-00001F280000}"/>
    <cellStyle name="Normal 14 13 42" xfId="9532" xr:uid="{00000000-0005-0000-0000-000020280000}"/>
    <cellStyle name="Normal 14 13 43" xfId="9533" xr:uid="{00000000-0005-0000-0000-000021280000}"/>
    <cellStyle name="Normal 14 13 44" xfId="9534" xr:uid="{00000000-0005-0000-0000-000022280000}"/>
    <cellStyle name="Normal 14 13 45" xfId="9535" xr:uid="{00000000-0005-0000-0000-000023280000}"/>
    <cellStyle name="Normal 14 13 5" xfId="9536" xr:uid="{00000000-0005-0000-0000-000024280000}"/>
    <cellStyle name="Normal 14 13 6" xfId="9537" xr:uid="{00000000-0005-0000-0000-000025280000}"/>
    <cellStyle name="Normal 14 13 7" xfId="9538" xr:uid="{00000000-0005-0000-0000-000026280000}"/>
    <cellStyle name="Normal 14 13 8" xfId="9539" xr:uid="{00000000-0005-0000-0000-000027280000}"/>
    <cellStyle name="Normal 14 13 9" xfId="9540" xr:uid="{00000000-0005-0000-0000-000028280000}"/>
    <cellStyle name="Normal 14 14" xfId="9541" xr:uid="{00000000-0005-0000-0000-000029280000}"/>
    <cellStyle name="Normal 14 14 10" xfId="9542" xr:uid="{00000000-0005-0000-0000-00002A280000}"/>
    <cellStyle name="Normal 14 14 11" xfId="9543" xr:uid="{00000000-0005-0000-0000-00002B280000}"/>
    <cellStyle name="Normal 14 14 12" xfId="9544" xr:uid="{00000000-0005-0000-0000-00002C280000}"/>
    <cellStyle name="Normal 14 14 13" xfId="9545" xr:uid="{00000000-0005-0000-0000-00002D280000}"/>
    <cellStyle name="Normal 14 14 14" xfId="9546" xr:uid="{00000000-0005-0000-0000-00002E280000}"/>
    <cellStyle name="Normal 14 14 15" xfId="9547" xr:uid="{00000000-0005-0000-0000-00002F280000}"/>
    <cellStyle name="Normal 14 14 16" xfId="9548" xr:uid="{00000000-0005-0000-0000-000030280000}"/>
    <cellStyle name="Normal 14 14 17" xfId="9549" xr:uid="{00000000-0005-0000-0000-000031280000}"/>
    <cellStyle name="Normal 14 14 18" xfId="9550" xr:uid="{00000000-0005-0000-0000-000032280000}"/>
    <cellStyle name="Normal 14 14 19" xfId="9551" xr:uid="{00000000-0005-0000-0000-000033280000}"/>
    <cellStyle name="Normal 14 14 2" xfId="9552" xr:uid="{00000000-0005-0000-0000-000034280000}"/>
    <cellStyle name="Normal 14 14 20" xfId="9553" xr:uid="{00000000-0005-0000-0000-000035280000}"/>
    <cellStyle name="Normal 14 14 21" xfId="9554" xr:uid="{00000000-0005-0000-0000-000036280000}"/>
    <cellStyle name="Normal 14 14 22" xfId="9555" xr:uid="{00000000-0005-0000-0000-000037280000}"/>
    <cellStyle name="Normal 14 14 23" xfId="9556" xr:uid="{00000000-0005-0000-0000-000038280000}"/>
    <cellStyle name="Normal 14 14 24" xfId="9557" xr:uid="{00000000-0005-0000-0000-000039280000}"/>
    <cellStyle name="Normal 14 14 25" xfId="9558" xr:uid="{00000000-0005-0000-0000-00003A280000}"/>
    <cellStyle name="Normal 14 14 26" xfId="9559" xr:uid="{00000000-0005-0000-0000-00003B280000}"/>
    <cellStyle name="Normal 14 14 27" xfId="9560" xr:uid="{00000000-0005-0000-0000-00003C280000}"/>
    <cellStyle name="Normal 14 14 28" xfId="9561" xr:uid="{00000000-0005-0000-0000-00003D280000}"/>
    <cellStyle name="Normal 14 14 29" xfId="9562" xr:uid="{00000000-0005-0000-0000-00003E280000}"/>
    <cellStyle name="Normal 14 14 3" xfId="9563" xr:uid="{00000000-0005-0000-0000-00003F280000}"/>
    <cellStyle name="Normal 14 14 30" xfId="9564" xr:uid="{00000000-0005-0000-0000-000040280000}"/>
    <cellStyle name="Normal 14 14 31" xfId="9565" xr:uid="{00000000-0005-0000-0000-000041280000}"/>
    <cellStyle name="Normal 14 14 32" xfId="9566" xr:uid="{00000000-0005-0000-0000-000042280000}"/>
    <cellStyle name="Normal 14 14 33" xfId="9567" xr:uid="{00000000-0005-0000-0000-000043280000}"/>
    <cellStyle name="Normal 14 14 34" xfId="9568" xr:uid="{00000000-0005-0000-0000-000044280000}"/>
    <cellStyle name="Normal 14 14 35" xfId="9569" xr:uid="{00000000-0005-0000-0000-000045280000}"/>
    <cellStyle name="Normal 14 14 36" xfId="9570" xr:uid="{00000000-0005-0000-0000-000046280000}"/>
    <cellStyle name="Normal 14 14 37" xfId="9571" xr:uid="{00000000-0005-0000-0000-000047280000}"/>
    <cellStyle name="Normal 14 14 38" xfId="9572" xr:uid="{00000000-0005-0000-0000-000048280000}"/>
    <cellStyle name="Normal 14 14 39" xfId="9573" xr:uid="{00000000-0005-0000-0000-000049280000}"/>
    <cellStyle name="Normal 14 14 4" xfId="9574" xr:uid="{00000000-0005-0000-0000-00004A280000}"/>
    <cellStyle name="Normal 14 14 40" xfId="9575" xr:uid="{00000000-0005-0000-0000-00004B280000}"/>
    <cellStyle name="Normal 14 14 41" xfId="9576" xr:uid="{00000000-0005-0000-0000-00004C280000}"/>
    <cellStyle name="Normal 14 14 42" xfId="9577" xr:uid="{00000000-0005-0000-0000-00004D280000}"/>
    <cellStyle name="Normal 14 14 43" xfId="9578" xr:uid="{00000000-0005-0000-0000-00004E280000}"/>
    <cellStyle name="Normal 14 14 44" xfId="9579" xr:uid="{00000000-0005-0000-0000-00004F280000}"/>
    <cellStyle name="Normal 14 14 45" xfId="9580" xr:uid="{00000000-0005-0000-0000-000050280000}"/>
    <cellStyle name="Normal 14 14 5" xfId="9581" xr:uid="{00000000-0005-0000-0000-000051280000}"/>
    <cellStyle name="Normal 14 14 6" xfId="9582" xr:uid="{00000000-0005-0000-0000-000052280000}"/>
    <cellStyle name="Normal 14 14 7" xfId="9583" xr:uid="{00000000-0005-0000-0000-000053280000}"/>
    <cellStyle name="Normal 14 14 8" xfId="9584" xr:uid="{00000000-0005-0000-0000-000054280000}"/>
    <cellStyle name="Normal 14 14 9" xfId="9585" xr:uid="{00000000-0005-0000-0000-000055280000}"/>
    <cellStyle name="Normal 14 15" xfId="9586" xr:uid="{00000000-0005-0000-0000-000056280000}"/>
    <cellStyle name="Normal 14 15 10" xfId="9587" xr:uid="{00000000-0005-0000-0000-000057280000}"/>
    <cellStyle name="Normal 14 15 11" xfId="9588" xr:uid="{00000000-0005-0000-0000-000058280000}"/>
    <cellStyle name="Normal 14 15 12" xfId="9589" xr:uid="{00000000-0005-0000-0000-000059280000}"/>
    <cellStyle name="Normal 14 15 13" xfId="9590" xr:uid="{00000000-0005-0000-0000-00005A280000}"/>
    <cellStyle name="Normal 14 15 14" xfId="9591" xr:uid="{00000000-0005-0000-0000-00005B280000}"/>
    <cellStyle name="Normal 14 15 15" xfId="9592" xr:uid="{00000000-0005-0000-0000-00005C280000}"/>
    <cellStyle name="Normal 14 15 16" xfId="9593" xr:uid="{00000000-0005-0000-0000-00005D280000}"/>
    <cellStyle name="Normal 14 15 17" xfId="9594" xr:uid="{00000000-0005-0000-0000-00005E280000}"/>
    <cellStyle name="Normal 14 15 18" xfId="9595" xr:uid="{00000000-0005-0000-0000-00005F280000}"/>
    <cellStyle name="Normal 14 15 19" xfId="9596" xr:uid="{00000000-0005-0000-0000-000060280000}"/>
    <cellStyle name="Normal 14 15 2" xfId="9597" xr:uid="{00000000-0005-0000-0000-000061280000}"/>
    <cellStyle name="Normal 14 15 20" xfId="9598" xr:uid="{00000000-0005-0000-0000-000062280000}"/>
    <cellStyle name="Normal 14 15 21" xfId="9599" xr:uid="{00000000-0005-0000-0000-000063280000}"/>
    <cellStyle name="Normal 14 15 22" xfId="9600" xr:uid="{00000000-0005-0000-0000-000064280000}"/>
    <cellStyle name="Normal 14 15 23" xfId="9601" xr:uid="{00000000-0005-0000-0000-000065280000}"/>
    <cellStyle name="Normal 14 15 24" xfId="9602" xr:uid="{00000000-0005-0000-0000-000066280000}"/>
    <cellStyle name="Normal 14 15 25" xfId="9603" xr:uid="{00000000-0005-0000-0000-000067280000}"/>
    <cellStyle name="Normal 14 15 26" xfId="9604" xr:uid="{00000000-0005-0000-0000-000068280000}"/>
    <cellStyle name="Normal 14 15 27" xfId="9605" xr:uid="{00000000-0005-0000-0000-000069280000}"/>
    <cellStyle name="Normal 14 15 28" xfId="9606" xr:uid="{00000000-0005-0000-0000-00006A280000}"/>
    <cellStyle name="Normal 14 15 29" xfId="9607" xr:uid="{00000000-0005-0000-0000-00006B280000}"/>
    <cellStyle name="Normal 14 15 3" xfId="9608" xr:uid="{00000000-0005-0000-0000-00006C280000}"/>
    <cellStyle name="Normal 14 15 30" xfId="9609" xr:uid="{00000000-0005-0000-0000-00006D280000}"/>
    <cellStyle name="Normal 14 15 31" xfId="9610" xr:uid="{00000000-0005-0000-0000-00006E280000}"/>
    <cellStyle name="Normal 14 15 32" xfId="9611" xr:uid="{00000000-0005-0000-0000-00006F280000}"/>
    <cellStyle name="Normal 14 15 33" xfId="9612" xr:uid="{00000000-0005-0000-0000-000070280000}"/>
    <cellStyle name="Normal 14 15 34" xfId="9613" xr:uid="{00000000-0005-0000-0000-000071280000}"/>
    <cellStyle name="Normal 14 15 35" xfId="9614" xr:uid="{00000000-0005-0000-0000-000072280000}"/>
    <cellStyle name="Normal 14 15 36" xfId="9615" xr:uid="{00000000-0005-0000-0000-000073280000}"/>
    <cellStyle name="Normal 14 15 37" xfId="9616" xr:uid="{00000000-0005-0000-0000-000074280000}"/>
    <cellStyle name="Normal 14 15 4" xfId="9617" xr:uid="{00000000-0005-0000-0000-000075280000}"/>
    <cellStyle name="Normal 14 15 5" xfId="9618" xr:uid="{00000000-0005-0000-0000-000076280000}"/>
    <cellStyle name="Normal 14 15 6" xfId="9619" xr:uid="{00000000-0005-0000-0000-000077280000}"/>
    <cellStyle name="Normal 14 15 7" xfId="9620" xr:uid="{00000000-0005-0000-0000-000078280000}"/>
    <cellStyle name="Normal 14 15 8" xfId="9621" xr:uid="{00000000-0005-0000-0000-000079280000}"/>
    <cellStyle name="Normal 14 15 9" xfId="9622" xr:uid="{00000000-0005-0000-0000-00007A280000}"/>
    <cellStyle name="Normal 14 16" xfId="9623" xr:uid="{00000000-0005-0000-0000-00007B280000}"/>
    <cellStyle name="Normal 14 16 10" xfId="9624" xr:uid="{00000000-0005-0000-0000-00007C280000}"/>
    <cellStyle name="Normal 14 16 11" xfId="9625" xr:uid="{00000000-0005-0000-0000-00007D280000}"/>
    <cellStyle name="Normal 14 16 12" xfId="9626" xr:uid="{00000000-0005-0000-0000-00007E280000}"/>
    <cellStyle name="Normal 14 16 13" xfId="9627" xr:uid="{00000000-0005-0000-0000-00007F280000}"/>
    <cellStyle name="Normal 14 16 14" xfId="9628" xr:uid="{00000000-0005-0000-0000-000080280000}"/>
    <cellStyle name="Normal 14 16 15" xfId="9629" xr:uid="{00000000-0005-0000-0000-000081280000}"/>
    <cellStyle name="Normal 14 16 16" xfId="9630" xr:uid="{00000000-0005-0000-0000-000082280000}"/>
    <cellStyle name="Normal 14 16 17" xfId="9631" xr:uid="{00000000-0005-0000-0000-000083280000}"/>
    <cellStyle name="Normal 14 16 18" xfId="9632" xr:uid="{00000000-0005-0000-0000-000084280000}"/>
    <cellStyle name="Normal 14 16 19" xfId="9633" xr:uid="{00000000-0005-0000-0000-000085280000}"/>
    <cellStyle name="Normal 14 16 2" xfId="9634" xr:uid="{00000000-0005-0000-0000-000086280000}"/>
    <cellStyle name="Normal 14 16 20" xfId="9635" xr:uid="{00000000-0005-0000-0000-000087280000}"/>
    <cellStyle name="Normal 14 16 21" xfId="9636" xr:uid="{00000000-0005-0000-0000-000088280000}"/>
    <cellStyle name="Normal 14 16 22" xfId="9637" xr:uid="{00000000-0005-0000-0000-000089280000}"/>
    <cellStyle name="Normal 14 16 23" xfId="9638" xr:uid="{00000000-0005-0000-0000-00008A280000}"/>
    <cellStyle name="Normal 14 16 24" xfId="9639" xr:uid="{00000000-0005-0000-0000-00008B280000}"/>
    <cellStyle name="Normal 14 16 25" xfId="9640" xr:uid="{00000000-0005-0000-0000-00008C280000}"/>
    <cellStyle name="Normal 14 16 26" xfId="9641" xr:uid="{00000000-0005-0000-0000-00008D280000}"/>
    <cellStyle name="Normal 14 16 27" xfId="9642" xr:uid="{00000000-0005-0000-0000-00008E280000}"/>
    <cellStyle name="Normal 14 16 28" xfId="9643" xr:uid="{00000000-0005-0000-0000-00008F280000}"/>
    <cellStyle name="Normal 14 16 29" xfId="9644" xr:uid="{00000000-0005-0000-0000-000090280000}"/>
    <cellStyle name="Normal 14 16 3" xfId="9645" xr:uid="{00000000-0005-0000-0000-000091280000}"/>
    <cellStyle name="Normal 14 16 30" xfId="9646" xr:uid="{00000000-0005-0000-0000-000092280000}"/>
    <cellStyle name="Normal 14 16 31" xfId="9647" xr:uid="{00000000-0005-0000-0000-000093280000}"/>
    <cellStyle name="Normal 14 16 32" xfId="9648" xr:uid="{00000000-0005-0000-0000-000094280000}"/>
    <cellStyle name="Normal 14 16 33" xfId="9649" xr:uid="{00000000-0005-0000-0000-000095280000}"/>
    <cellStyle name="Normal 14 16 34" xfId="9650" xr:uid="{00000000-0005-0000-0000-000096280000}"/>
    <cellStyle name="Normal 14 16 35" xfId="9651" xr:uid="{00000000-0005-0000-0000-000097280000}"/>
    <cellStyle name="Normal 14 16 36" xfId="9652" xr:uid="{00000000-0005-0000-0000-000098280000}"/>
    <cellStyle name="Normal 14 16 37" xfId="9653" xr:uid="{00000000-0005-0000-0000-000099280000}"/>
    <cellStyle name="Normal 14 16 4" xfId="9654" xr:uid="{00000000-0005-0000-0000-00009A280000}"/>
    <cellStyle name="Normal 14 16 5" xfId="9655" xr:uid="{00000000-0005-0000-0000-00009B280000}"/>
    <cellStyle name="Normal 14 16 6" xfId="9656" xr:uid="{00000000-0005-0000-0000-00009C280000}"/>
    <cellStyle name="Normal 14 16 7" xfId="9657" xr:uid="{00000000-0005-0000-0000-00009D280000}"/>
    <cellStyle name="Normal 14 16 8" xfId="9658" xr:uid="{00000000-0005-0000-0000-00009E280000}"/>
    <cellStyle name="Normal 14 16 9" xfId="9659" xr:uid="{00000000-0005-0000-0000-00009F280000}"/>
    <cellStyle name="Normal 14 17" xfId="9660" xr:uid="{00000000-0005-0000-0000-0000A0280000}"/>
    <cellStyle name="Normal 14 17 10" xfId="9661" xr:uid="{00000000-0005-0000-0000-0000A1280000}"/>
    <cellStyle name="Normal 14 17 11" xfId="9662" xr:uid="{00000000-0005-0000-0000-0000A2280000}"/>
    <cellStyle name="Normal 14 17 12" xfId="9663" xr:uid="{00000000-0005-0000-0000-0000A3280000}"/>
    <cellStyle name="Normal 14 17 13" xfId="9664" xr:uid="{00000000-0005-0000-0000-0000A4280000}"/>
    <cellStyle name="Normal 14 17 14" xfId="9665" xr:uid="{00000000-0005-0000-0000-0000A5280000}"/>
    <cellStyle name="Normal 14 17 15" xfId="9666" xr:uid="{00000000-0005-0000-0000-0000A6280000}"/>
    <cellStyle name="Normal 14 17 16" xfId="9667" xr:uid="{00000000-0005-0000-0000-0000A7280000}"/>
    <cellStyle name="Normal 14 17 17" xfId="9668" xr:uid="{00000000-0005-0000-0000-0000A8280000}"/>
    <cellStyle name="Normal 14 17 18" xfId="9669" xr:uid="{00000000-0005-0000-0000-0000A9280000}"/>
    <cellStyle name="Normal 14 17 19" xfId="9670" xr:uid="{00000000-0005-0000-0000-0000AA280000}"/>
    <cellStyle name="Normal 14 17 2" xfId="9671" xr:uid="{00000000-0005-0000-0000-0000AB280000}"/>
    <cellStyle name="Normal 14 17 20" xfId="9672" xr:uid="{00000000-0005-0000-0000-0000AC280000}"/>
    <cellStyle name="Normal 14 17 21" xfId="9673" xr:uid="{00000000-0005-0000-0000-0000AD280000}"/>
    <cellStyle name="Normal 14 17 22" xfId="9674" xr:uid="{00000000-0005-0000-0000-0000AE280000}"/>
    <cellStyle name="Normal 14 17 23" xfId="9675" xr:uid="{00000000-0005-0000-0000-0000AF280000}"/>
    <cellStyle name="Normal 14 17 24" xfId="9676" xr:uid="{00000000-0005-0000-0000-0000B0280000}"/>
    <cellStyle name="Normal 14 17 25" xfId="9677" xr:uid="{00000000-0005-0000-0000-0000B1280000}"/>
    <cellStyle name="Normal 14 17 26" xfId="9678" xr:uid="{00000000-0005-0000-0000-0000B2280000}"/>
    <cellStyle name="Normal 14 17 27" xfId="9679" xr:uid="{00000000-0005-0000-0000-0000B3280000}"/>
    <cellStyle name="Normal 14 17 28" xfId="9680" xr:uid="{00000000-0005-0000-0000-0000B4280000}"/>
    <cellStyle name="Normal 14 17 29" xfId="9681" xr:uid="{00000000-0005-0000-0000-0000B5280000}"/>
    <cellStyle name="Normal 14 17 3" xfId="9682" xr:uid="{00000000-0005-0000-0000-0000B6280000}"/>
    <cellStyle name="Normal 14 17 30" xfId="9683" xr:uid="{00000000-0005-0000-0000-0000B7280000}"/>
    <cellStyle name="Normal 14 17 31" xfId="9684" xr:uid="{00000000-0005-0000-0000-0000B8280000}"/>
    <cellStyle name="Normal 14 17 32" xfId="9685" xr:uid="{00000000-0005-0000-0000-0000B9280000}"/>
    <cellStyle name="Normal 14 17 33" xfId="9686" xr:uid="{00000000-0005-0000-0000-0000BA280000}"/>
    <cellStyle name="Normal 14 17 34" xfId="9687" xr:uid="{00000000-0005-0000-0000-0000BB280000}"/>
    <cellStyle name="Normal 14 17 35" xfId="9688" xr:uid="{00000000-0005-0000-0000-0000BC280000}"/>
    <cellStyle name="Normal 14 17 36" xfId="9689" xr:uid="{00000000-0005-0000-0000-0000BD280000}"/>
    <cellStyle name="Normal 14 17 37" xfId="9690" xr:uid="{00000000-0005-0000-0000-0000BE280000}"/>
    <cellStyle name="Normal 14 17 4" xfId="9691" xr:uid="{00000000-0005-0000-0000-0000BF280000}"/>
    <cellStyle name="Normal 14 17 5" xfId="9692" xr:uid="{00000000-0005-0000-0000-0000C0280000}"/>
    <cellStyle name="Normal 14 17 6" xfId="9693" xr:uid="{00000000-0005-0000-0000-0000C1280000}"/>
    <cellStyle name="Normal 14 17 7" xfId="9694" xr:uid="{00000000-0005-0000-0000-0000C2280000}"/>
    <cellStyle name="Normal 14 17 8" xfId="9695" xr:uid="{00000000-0005-0000-0000-0000C3280000}"/>
    <cellStyle name="Normal 14 17 9" xfId="9696" xr:uid="{00000000-0005-0000-0000-0000C4280000}"/>
    <cellStyle name="Normal 14 18" xfId="9697" xr:uid="{00000000-0005-0000-0000-0000C5280000}"/>
    <cellStyle name="Normal 14 18 10" xfId="9698" xr:uid="{00000000-0005-0000-0000-0000C6280000}"/>
    <cellStyle name="Normal 14 18 11" xfId="9699" xr:uid="{00000000-0005-0000-0000-0000C7280000}"/>
    <cellStyle name="Normal 14 18 12" xfId="9700" xr:uid="{00000000-0005-0000-0000-0000C8280000}"/>
    <cellStyle name="Normal 14 18 13" xfId="9701" xr:uid="{00000000-0005-0000-0000-0000C9280000}"/>
    <cellStyle name="Normal 14 18 14" xfId="9702" xr:uid="{00000000-0005-0000-0000-0000CA280000}"/>
    <cellStyle name="Normal 14 18 15" xfId="9703" xr:uid="{00000000-0005-0000-0000-0000CB280000}"/>
    <cellStyle name="Normal 14 18 16" xfId="9704" xr:uid="{00000000-0005-0000-0000-0000CC280000}"/>
    <cellStyle name="Normal 14 18 17" xfId="9705" xr:uid="{00000000-0005-0000-0000-0000CD280000}"/>
    <cellStyle name="Normal 14 18 18" xfId="9706" xr:uid="{00000000-0005-0000-0000-0000CE280000}"/>
    <cellStyle name="Normal 14 18 19" xfId="9707" xr:uid="{00000000-0005-0000-0000-0000CF280000}"/>
    <cellStyle name="Normal 14 18 2" xfId="9708" xr:uid="{00000000-0005-0000-0000-0000D0280000}"/>
    <cellStyle name="Normal 14 18 20" xfId="9709" xr:uid="{00000000-0005-0000-0000-0000D1280000}"/>
    <cellStyle name="Normal 14 18 21" xfId="9710" xr:uid="{00000000-0005-0000-0000-0000D2280000}"/>
    <cellStyle name="Normal 14 18 22" xfId="9711" xr:uid="{00000000-0005-0000-0000-0000D3280000}"/>
    <cellStyle name="Normal 14 18 23" xfId="9712" xr:uid="{00000000-0005-0000-0000-0000D4280000}"/>
    <cellStyle name="Normal 14 18 24" xfId="9713" xr:uid="{00000000-0005-0000-0000-0000D5280000}"/>
    <cellStyle name="Normal 14 18 25" xfId="9714" xr:uid="{00000000-0005-0000-0000-0000D6280000}"/>
    <cellStyle name="Normal 14 18 26" xfId="9715" xr:uid="{00000000-0005-0000-0000-0000D7280000}"/>
    <cellStyle name="Normal 14 18 27" xfId="9716" xr:uid="{00000000-0005-0000-0000-0000D8280000}"/>
    <cellStyle name="Normal 14 18 28" xfId="9717" xr:uid="{00000000-0005-0000-0000-0000D9280000}"/>
    <cellStyle name="Normal 14 18 29" xfId="9718" xr:uid="{00000000-0005-0000-0000-0000DA280000}"/>
    <cellStyle name="Normal 14 18 3" xfId="9719" xr:uid="{00000000-0005-0000-0000-0000DB280000}"/>
    <cellStyle name="Normal 14 18 30" xfId="9720" xr:uid="{00000000-0005-0000-0000-0000DC280000}"/>
    <cellStyle name="Normal 14 18 31" xfId="9721" xr:uid="{00000000-0005-0000-0000-0000DD280000}"/>
    <cellStyle name="Normal 14 18 32" xfId="9722" xr:uid="{00000000-0005-0000-0000-0000DE280000}"/>
    <cellStyle name="Normal 14 18 33" xfId="9723" xr:uid="{00000000-0005-0000-0000-0000DF280000}"/>
    <cellStyle name="Normal 14 18 34" xfId="9724" xr:uid="{00000000-0005-0000-0000-0000E0280000}"/>
    <cellStyle name="Normal 14 18 35" xfId="9725" xr:uid="{00000000-0005-0000-0000-0000E1280000}"/>
    <cellStyle name="Normal 14 18 36" xfId="9726" xr:uid="{00000000-0005-0000-0000-0000E2280000}"/>
    <cellStyle name="Normal 14 18 37" xfId="9727" xr:uid="{00000000-0005-0000-0000-0000E3280000}"/>
    <cellStyle name="Normal 14 18 4" xfId="9728" xr:uid="{00000000-0005-0000-0000-0000E4280000}"/>
    <cellStyle name="Normal 14 18 5" xfId="9729" xr:uid="{00000000-0005-0000-0000-0000E5280000}"/>
    <cellStyle name="Normal 14 18 6" xfId="9730" xr:uid="{00000000-0005-0000-0000-0000E6280000}"/>
    <cellStyle name="Normal 14 18 7" xfId="9731" xr:uid="{00000000-0005-0000-0000-0000E7280000}"/>
    <cellStyle name="Normal 14 18 8" xfId="9732" xr:uid="{00000000-0005-0000-0000-0000E8280000}"/>
    <cellStyle name="Normal 14 18 9" xfId="9733" xr:uid="{00000000-0005-0000-0000-0000E9280000}"/>
    <cellStyle name="Normal 14 19" xfId="9734" xr:uid="{00000000-0005-0000-0000-0000EA280000}"/>
    <cellStyle name="Normal 14 19 10" xfId="9735" xr:uid="{00000000-0005-0000-0000-0000EB280000}"/>
    <cellStyle name="Normal 14 19 11" xfId="9736" xr:uid="{00000000-0005-0000-0000-0000EC280000}"/>
    <cellStyle name="Normal 14 19 12" xfId="9737" xr:uid="{00000000-0005-0000-0000-0000ED280000}"/>
    <cellStyle name="Normal 14 19 13" xfId="9738" xr:uid="{00000000-0005-0000-0000-0000EE280000}"/>
    <cellStyle name="Normal 14 19 14" xfId="9739" xr:uid="{00000000-0005-0000-0000-0000EF280000}"/>
    <cellStyle name="Normal 14 19 15" xfId="9740" xr:uid="{00000000-0005-0000-0000-0000F0280000}"/>
    <cellStyle name="Normal 14 19 16" xfId="9741" xr:uid="{00000000-0005-0000-0000-0000F1280000}"/>
    <cellStyle name="Normal 14 19 17" xfId="9742" xr:uid="{00000000-0005-0000-0000-0000F2280000}"/>
    <cellStyle name="Normal 14 19 18" xfId="9743" xr:uid="{00000000-0005-0000-0000-0000F3280000}"/>
    <cellStyle name="Normal 14 19 19" xfId="9744" xr:uid="{00000000-0005-0000-0000-0000F4280000}"/>
    <cellStyle name="Normal 14 19 2" xfId="9745" xr:uid="{00000000-0005-0000-0000-0000F5280000}"/>
    <cellStyle name="Normal 14 19 20" xfId="9746" xr:uid="{00000000-0005-0000-0000-0000F6280000}"/>
    <cellStyle name="Normal 14 19 21" xfId="9747" xr:uid="{00000000-0005-0000-0000-0000F7280000}"/>
    <cellStyle name="Normal 14 19 22" xfId="9748" xr:uid="{00000000-0005-0000-0000-0000F8280000}"/>
    <cellStyle name="Normal 14 19 23" xfId="9749" xr:uid="{00000000-0005-0000-0000-0000F9280000}"/>
    <cellStyle name="Normal 14 19 24" xfId="9750" xr:uid="{00000000-0005-0000-0000-0000FA280000}"/>
    <cellStyle name="Normal 14 19 25" xfId="9751" xr:uid="{00000000-0005-0000-0000-0000FB280000}"/>
    <cellStyle name="Normal 14 19 26" xfId="9752" xr:uid="{00000000-0005-0000-0000-0000FC280000}"/>
    <cellStyle name="Normal 14 19 27" xfId="9753" xr:uid="{00000000-0005-0000-0000-0000FD280000}"/>
    <cellStyle name="Normal 14 19 28" xfId="9754" xr:uid="{00000000-0005-0000-0000-0000FE280000}"/>
    <cellStyle name="Normal 14 19 29" xfId="9755" xr:uid="{00000000-0005-0000-0000-0000FF280000}"/>
    <cellStyle name="Normal 14 19 3" xfId="9756" xr:uid="{00000000-0005-0000-0000-000000290000}"/>
    <cellStyle name="Normal 14 19 30" xfId="9757" xr:uid="{00000000-0005-0000-0000-000001290000}"/>
    <cellStyle name="Normal 14 19 31" xfId="9758" xr:uid="{00000000-0005-0000-0000-000002290000}"/>
    <cellStyle name="Normal 14 19 32" xfId="9759" xr:uid="{00000000-0005-0000-0000-000003290000}"/>
    <cellStyle name="Normal 14 19 33" xfId="9760" xr:uid="{00000000-0005-0000-0000-000004290000}"/>
    <cellStyle name="Normal 14 19 34" xfId="9761" xr:uid="{00000000-0005-0000-0000-000005290000}"/>
    <cellStyle name="Normal 14 19 35" xfId="9762" xr:uid="{00000000-0005-0000-0000-000006290000}"/>
    <cellStyle name="Normal 14 19 36" xfId="9763" xr:uid="{00000000-0005-0000-0000-000007290000}"/>
    <cellStyle name="Normal 14 19 37" xfId="9764" xr:uid="{00000000-0005-0000-0000-000008290000}"/>
    <cellStyle name="Normal 14 19 4" xfId="9765" xr:uid="{00000000-0005-0000-0000-000009290000}"/>
    <cellStyle name="Normal 14 19 5" xfId="9766" xr:uid="{00000000-0005-0000-0000-00000A290000}"/>
    <cellStyle name="Normal 14 19 6" xfId="9767" xr:uid="{00000000-0005-0000-0000-00000B290000}"/>
    <cellStyle name="Normal 14 19 7" xfId="9768" xr:uid="{00000000-0005-0000-0000-00000C290000}"/>
    <cellStyle name="Normal 14 19 8" xfId="9769" xr:uid="{00000000-0005-0000-0000-00000D290000}"/>
    <cellStyle name="Normal 14 19 9" xfId="9770" xr:uid="{00000000-0005-0000-0000-00000E290000}"/>
    <cellStyle name="Normal 14 2" xfId="9771" xr:uid="{00000000-0005-0000-0000-00000F290000}"/>
    <cellStyle name="Normal 14 2 2" xfId="9772" xr:uid="{00000000-0005-0000-0000-000010290000}"/>
    <cellStyle name="Normal 14 20" xfId="9773" xr:uid="{00000000-0005-0000-0000-000011290000}"/>
    <cellStyle name="Normal 14 20 10" xfId="9774" xr:uid="{00000000-0005-0000-0000-000012290000}"/>
    <cellStyle name="Normal 14 20 11" xfId="9775" xr:uid="{00000000-0005-0000-0000-000013290000}"/>
    <cellStyle name="Normal 14 20 12" xfId="9776" xr:uid="{00000000-0005-0000-0000-000014290000}"/>
    <cellStyle name="Normal 14 20 13" xfId="9777" xr:uid="{00000000-0005-0000-0000-000015290000}"/>
    <cellStyle name="Normal 14 20 14" xfId="9778" xr:uid="{00000000-0005-0000-0000-000016290000}"/>
    <cellStyle name="Normal 14 20 15" xfId="9779" xr:uid="{00000000-0005-0000-0000-000017290000}"/>
    <cellStyle name="Normal 14 20 16" xfId="9780" xr:uid="{00000000-0005-0000-0000-000018290000}"/>
    <cellStyle name="Normal 14 20 17" xfId="9781" xr:uid="{00000000-0005-0000-0000-000019290000}"/>
    <cellStyle name="Normal 14 20 18" xfId="9782" xr:uid="{00000000-0005-0000-0000-00001A290000}"/>
    <cellStyle name="Normal 14 20 19" xfId="9783" xr:uid="{00000000-0005-0000-0000-00001B290000}"/>
    <cellStyle name="Normal 14 20 2" xfId="9784" xr:uid="{00000000-0005-0000-0000-00001C290000}"/>
    <cellStyle name="Normal 14 20 20" xfId="9785" xr:uid="{00000000-0005-0000-0000-00001D290000}"/>
    <cellStyle name="Normal 14 20 21" xfId="9786" xr:uid="{00000000-0005-0000-0000-00001E290000}"/>
    <cellStyle name="Normal 14 20 22" xfId="9787" xr:uid="{00000000-0005-0000-0000-00001F290000}"/>
    <cellStyle name="Normal 14 20 23" xfId="9788" xr:uid="{00000000-0005-0000-0000-000020290000}"/>
    <cellStyle name="Normal 14 20 24" xfId="9789" xr:uid="{00000000-0005-0000-0000-000021290000}"/>
    <cellStyle name="Normal 14 20 25" xfId="9790" xr:uid="{00000000-0005-0000-0000-000022290000}"/>
    <cellStyle name="Normal 14 20 26" xfId="9791" xr:uid="{00000000-0005-0000-0000-000023290000}"/>
    <cellStyle name="Normal 14 20 27" xfId="9792" xr:uid="{00000000-0005-0000-0000-000024290000}"/>
    <cellStyle name="Normal 14 20 28" xfId="9793" xr:uid="{00000000-0005-0000-0000-000025290000}"/>
    <cellStyle name="Normal 14 20 29" xfId="9794" xr:uid="{00000000-0005-0000-0000-000026290000}"/>
    <cellStyle name="Normal 14 20 3" xfId="9795" xr:uid="{00000000-0005-0000-0000-000027290000}"/>
    <cellStyle name="Normal 14 20 30" xfId="9796" xr:uid="{00000000-0005-0000-0000-000028290000}"/>
    <cellStyle name="Normal 14 20 31" xfId="9797" xr:uid="{00000000-0005-0000-0000-000029290000}"/>
    <cellStyle name="Normal 14 20 32" xfId="9798" xr:uid="{00000000-0005-0000-0000-00002A290000}"/>
    <cellStyle name="Normal 14 20 33" xfId="9799" xr:uid="{00000000-0005-0000-0000-00002B290000}"/>
    <cellStyle name="Normal 14 20 34" xfId="9800" xr:uid="{00000000-0005-0000-0000-00002C290000}"/>
    <cellStyle name="Normal 14 20 35" xfId="9801" xr:uid="{00000000-0005-0000-0000-00002D290000}"/>
    <cellStyle name="Normal 14 20 36" xfId="9802" xr:uid="{00000000-0005-0000-0000-00002E290000}"/>
    <cellStyle name="Normal 14 20 37" xfId="9803" xr:uid="{00000000-0005-0000-0000-00002F290000}"/>
    <cellStyle name="Normal 14 20 4" xfId="9804" xr:uid="{00000000-0005-0000-0000-000030290000}"/>
    <cellStyle name="Normal 14 20 5" xfId="9805" xr:uid="{00000000-0005-0000-0000-000031290000}"/>
    <cellStyle name="Normal 14 20 6" xfId="9806" xr:uid="{00000000-0005-0000-0000-000032290000}"/>
    <cellStyle name="Normal 14 20 7" xfId="9807" xr:uid="{00000000-0005-0000-0000-000033290000}"/>
    <cellStyle name="Normal 14 20 8" xfId="9808" xr:uid="{00000000-0005-0000-0000-000034290000}"/>
    <cellStyle name="Normal 14 20 9" xfId="9809" xr:uid="{00000000-0005-0000-0000-000035290000}"/>
    <cellStyle name="Normal 14 21" xfId="9810" xr:uid="{00000000-0005-0000-0000-000036290000}"/>
    <cellStyle name="Normal 14 21 10" xfId="9811" xr:uid="{00000000-0005-0000-0000-000037290000}"/>
    <cellStyle name="Normal 14 21 11" xfId="9812" xr:uid="{00000000-0005-0000-0000-000038290000}"/>
    <cellStyle name="Normal 14 21 12" xfId="9813" xr:uid="{00000000-0005-0000-0000-000039290000}"/>
    <cellStyle name="Normal 14 21 13" xfId="9814" xr:uid="{00000000-0005-0000-0000-00003A290000}"/>
    <cellStyle name="Normal 14 21 14" xfId="9815" xr:uid="{00000000-0005-0000-0000-00003B290000}"/>
    <cellStyle name="Normal 14 21 15" xfId="9816" xr:uid="{00000000-0005-0000-0000-00003C290000}"/>
    <cellStyle name="Normal 14 21 16" xfId="9817" xr:uid="{00000000-0005-0000-0000-00003D290000}"/>
    <cellStyle name="Normal 14 21 17" xfId="9818" xr:uid="{00000000-0005-0000-0000-00003E290000}"/>
    <cellStyle name="Normal 14 21 18" xfId="9819" xr:uid="{00000000-0005-0000-0000-00003F290000}"/>
    <cellStyle name="Normal 14 21 19" xfId="9820" xr:uid="{00000000-0005-0000-0000-000040290000}"/>
    <cellStyle name="Normal 14 21 2" xfId="9821" xr:uid="{00000000-0005-0000-0000-000041290000}"/>
    <cellStyle name="Normal 14 21 20" xfId="9822" xr:uid="{00000000-0005-0000-0000-000042290000}"/>
    <cellStyle name="Normal 14 21 21" xfId="9823" xr:uid="{00000000-0005-0000-0000-000043290000}"/>
    <cellStyle name="Normal 14 21 22" xfId="9824" xr:uid="{00000000-0005-0000-0000-000044290000}"/>
    <cellStyle name="Normal 14 21 23" xfId="9825" xr:uid="{00000000-0005-0000-0000-000045290000}"/>
    <cellStyle name="Normal 14 21 24" xfId="9826" xr:uid="{00000000-0005-0000-0000-000046290000}"/>
    <cellStyle name="Normal 14 21 25" xfId="9827" xr:uid="{00000000-0005-0000-0000-000047290000}"/>
    <cellStyle name="Normal 14 21 26" xfId="9828" xr:uid="{00000000-0005-0000-0000-000048290000}"/>
    <cellStyle name="Normal 14 21 27" xfId="9829" xr:uid="{00000000-0005-0000-0000-000049290000}"/>
    <cellStyle name="Normal 14 21 28" xfId="9830" xr:uid="{00000000-0005-0000-0000-00004A290000}"/>
    <cellStyle name="Normal 14 21 29" xfId="9831" xr:uid="{00000000-0005-0000-0000-00004B290000}"/>
    <cellStyle name="Normal 14 21 3" xfId="9832" xr:uid="{00000000-0005-0000-0000-00004C290000}"/>
    <cellStyle name="Normal 14 21 30" xfId="9833" xr:uid="{00000000-0005-0000-0000-00004D290000}"/>
    <cellStyle name="Normal 14 21 31" xfId="9834" xr:uid="{00000000-0005-0000-0000-00004E290000}"/>
    <cellStyle name="Normal 14 21 32" xfId="9835" xr:uid="{00000000-0005-0000-0000-00004F290000}"/>
    <cellStyle name="Normal 14 21 33" xfId="9836" xr:uid="{00000000-0005-0000-0000-000050290000}"/>
    <cellStyle name="Normal 14 21 34" xfId="9837" xr:uid="{00000000-0005-0000-0000-000051290000}"/>
    <cellStyle name="Normal 14 21 35" xfId="9838" xr:uid="{00000000-0005-0000-0000-000052290000}"/>
    <cellStyle name="Normal 14 21 36" xfId="9839" xr:uid="{00000000-0005-0000-0000-000053290000}"/>
    <cellStyle name="Normal 14 21 37" xfId="9840" xr:uid="{00000000-0005-0000-0000-000054290000}"/>
    <cellStyle name="Normal 14 21 4" xfId="9841" xr:uid="{00000000-0005-0000-0000-000055290000}"/>
    <cellStyle name="Normal 14 21 5" xfId="9842" xr:uid="{00000000-0005-0000-0000-000056290000}"/>
    <cellStyle name="Normal 14 21 6" xfId="9843" xr:uid="{00000000-0005-0000-0000-000057290000}"/>
    <cellStyle name="Normal 14 21 7" xfId="9844" xr:uid="{00000000-0005-0000-0000-000058290000}"/>
    <cellStyle name="Normal 14 21 8" xfId="9845" xr:uid="{00000000-0005-0000-0000-000059290000}"/>
    <cellStyle name="Normal 14 21 9" xfId="9846" xr:uid="{00000000-0005-0000-0000-00005A290000}"/>
    <cellStyle name="Normal 14 22" xfId="9847" xr:uid="{00000000-0005-0000-0000-00005B290000}"/>
    <cellStyle name="Normal 14 22 10" xfId="9848" xr:uid="{00000000-0005-0000-0000-00005C290000}"/>
    <cellStyle name="Normal 14 22 11" xfId="9849" xr:uid="{00000000-0005-0000-0000-00005D290000}"/>
    <cellStyle name="Normal 14 22 12" xfId="9850" xr:uid="{00000000-0005-0000-0000-00005E290000}"/>
    <cellStyle name="Normal 14 22 13" xfId="9851" xr:uid="{00000000-0005-0000-0000-00005F290000}"/>
    <cellStyle name="Normal 14 22 14" xfId="9852" xr:uid="{00000000-0005-0000-0000-000060290000}"/>
    <cellStyle name="Normal 14 22 15" xfId="9853" xr:uid="{00000000-0005-0000-0000-000061290000}"/>
    <cellStyle name="Normal 14 22 16" xfId="9854" xr:uid="{00000000-0005-0000-0000-000062290000}"/>
    <cellStyle name="Normal 14 22 17" xfId="9855" xr:uid="{00000000-0005-0000-0000-000063290000}"/>
    <cellStyle name="Normal 14 22 18" xfId="9856" xr:uid="{00000000-0005-0000-0000-000064290000}"/>
    <cellStyle name="Normal 14 22 19" xfId="9857" xr:uid="{00000000-0005-0000-0000-000065290000}"/>
    <cellStyle name="Normal 14 22 2" xfId="9858" xr:uid="{00000000-0005-0000-0000-000066290000}"/>
    <cellStyle name="Normal 14 22 20" xfId="9859" xr:uid="{00000000-0005-0000-0000-000067290000}"/>
    <cellStyle name="Normal 14 22 21" xfId="9860" xr:uid="{00000000-0005-0000-0000-000068290000}"/>
    <cellStyle name="Normal 14 22 22" xfId="9861" xr:uid="{00000000-0005-0000-0000-000069290000}"/>
    <cellStyle name="Normal 14 22 23" xfId="9862" xr:uid="{00000000-0005-0000-0000-00006A290000}"/>
    <cellStyle name="Normal 14 22 24" xfId="9863" xr:uid="{00000000-0005-0000-0000-00006B290000}"/>
    <cellStyle name="Normal 14 22 25" xfId="9864" xr:uid="{00000000-0005-0000-0000-00006C290000}"/>
    <cellStyle name="Normal 14 22 26" xfId="9865" xr:uid="{00000000-0005-0000-0000-00006D290000}"/>
    <cellStyle name="Normal 14 22 27" xfId="9866" xr:uid="{00000000-0005-0000-0000-00006E290000}"/>
    <cellStyle name="Normal 14 22 28" xfId="9867" xr:uid="{00000000-0005-0000-0000-00006F290000}"/>
    <cellStyle name="Normal 14 22 29" xfId="9868" xr:uid="{00000000-0005-0000-0000-000070290000}"/>
    <cellStyle name="Normal 14 22 3" xfId="9869" xr:uid="{00000000-0005-0000-0000-000071290000}"/>
    <cellStyle name="Normal 14 22 30" xfId="9870" xr:uid="{00000000-0005-0000-0000-000072290000}"/>
    <cellStyle name="Normal 14 22 31" xfId="9871" xr:uid="{00000000-0005-0000-0000-000073290000}"/>
    <cellStyle name="Normal 14 22 32" xfId="9872" xr:uid="{00000000-0005-0000-0000-000074290000}"/>
    <cellStyle name="Normal 14 22 33" xfId="9873" xr:uid="{00000000-0005-0000-0000-000075290000}"/>
    <cellStyle name="Normal 14 22 34" xfId="9874" xr:uid="{00000000-0005-0000-0000-000076290000}"/>
    <cellStyle name="Normal 14 22 35" xfId="9875" xr:uid="{00000000-0005-0000-0000-000077290000}"/>
    <cellStyle name="Normal 14 22 36" xfId="9876" xr:uid="{00000000-0005-0000-0000-000078290000}"/>
    <cellStyle name="Normal 14 22 37" xfId="9877" xr:uid="{00000000-0005-0000-0000-000079290000}"/>
    <cellStyle name="Normal 14 22 4" xfId="9878" xr:uid="{00000000-0005-0000-0000-00007A290000}"/>
    <cellStyle name="Normal 14 22 5" xfId="9879" xr:uid="{00000000-0005-0000-0000-00007B290000}"/>
    <cellStyle name="Normal 14 22 6" xfId="9880" xr:uid="{00000000-0005-0000-0000-00007C290000}"/>
    <cellStyle name="Normal 14 22 7" xfId="9881" xr:uid="{00000000-0005-0000-0000-00007D290000}"/>
    <cellStyle name="Normal 14 22 8" xfId="9882" xr:uid="{00000000-0005-0000-0000-00007E290000}"/>
    <cellStyle name="Normal 14 22 9" xfId="9883" xr:uid="{00000000-0005-0000-0000-00007F290000}"/>
    <cellStyle name="Normal 14 23" xfId="9884" xr:uid="{00000000-0005-0000-0000-000080290000}"/>
    <cellStyle name="Normal 14 23 10" xfId="9885" xr:uid="{00000000-0005-0000-0000-000081290000}"/>
    <cellStyle name="Normal 14 23 11" xfId="9886" xr:uid="{00000000-0005-0000-0000-000082290000}"/>
    <cellStyle name="Normal 14 23 12" xfId="9887" xr:uid="{00000000-0005-0000-0000-000083290000}"/>
    <cellStyle name="Normal 14 23 13" xfId="9888" xr:uid="{00000000-0005-0000-0000-000084290000}"/>
    <cellStyle name="Normal 14 23 14" xfId="9889" xr:uid="{00000000-0005-0000-0000-000085290000}"/>
    <cellStyle name="Normal 14 23 15" xfId="9890" xr:uid="{00000000-0005-0000-0000-000086290000}"/>
    <cellStyle name="Normal 14 23 16" xfId="9891" xr:uid="{00000000-0005-0000-0000-000087290000}"/>
    <cellStyle name="Normal 14 23 17" xfId="9892" xr:uid="{00000000-0005-0000-0000-000088290000}"/>
    <cellStyle name="Normal 14 23 18" xfId="9893" xr:uid="{00000000-0005-0000-0000-000089290000}"/>
    <cellStyle name="Normal 14 23 19" xfId="9894" xr:uid="{00000000-0005-0000-0000-00008A290000}"/>
    <cellStyle name="Normal 14 23 2" xfId="9895" xr:uid="{00000000-0005-0000-0000-00008B290000}"/>
    <cellStyle name="Normal 14 23 20" xfId="9896" xr:uid="{00000000-0005-0000-0000-00008C290000}"/>
    <cellStyle name="Normal 14 23 21" xfId="9897" xr:uid="{00000000-0005-0000-0000-00008D290000}"/>
    <cellStyle name="Normal 14 23 22" xfId="9898" xr:uid="{00000000-0005-0000-0000-00008E290000}"/>
    <cellStyle name="Normal 14 23 23" xfId="9899" xr:uid="{00000000-0005-0000-0000-00008F290000}"/>
    <cellStyle name="Normal 14 23 24" xfId="9900" xr:uid="{00000000-0005-0000-0000-000090290000}"/>
    <cellStyle name="Normal 14 23 25" xfId="9901" xr:uid="{00000000-0005-0000-0000-000091290000}"/>
    <cellStyle name="Normal 14 23 26" xfId="9902" xr:uid="{00000000-0005-0000-0000-000092290000}"/>
    <cellStyle name="Normal 14 23 27" xfId="9903" xr:uid="{00000000-0005-0000-0000-000093290000}"/>
    <cellStyle name="Normal 14 23 28" xfId="9904" xr:uid="{00000000-0005-0000-0000-000094290000}"/>
    <cellStyle name="Normal 14 23 29" xfId="9905" xr:uid="{00000000-0005-0000-0000-000095290000}"/>
    <cellStyle name="Normal 14 23 3" xfId="9906" xr:uid="{00000000-0005-0000-0000-000096290000}"/>
    <cellStyle name="Normal 14 23 30" xfId="9907" xr:uid="{00000000-0005-0000-0000-000097290000}"/>
    <cellStyle name="Normal 14 23 31" xfId="9908" xr:uid="{00000000-0005-0000-0000-000098290000}"/>
    <cellStyle name="Normal 14 23 32" xfId="9909" xr:uid="{00000000-0005-0000-0000-000099290000}"/>
    <cellStyle name="Normal 14 23 33" xfId="9910" xr:uid="{00000000-0005-0000-0000-00009A290000}"/>
    <cellStyle name="Normal 14 23 34" xfId="9911" xr:uid="{00000000-0005-0000-0000-00009B290000}"/>
    <cellStyle name="Normal 14 23 35" xfId="9912" xr:uid="{00000000-0005-0000-0000-00009C290000}"/>
    <cellStyle name="Normal 14 23 36" xfId="9913" xr:uid="{00000000-0005-0000-0000-00009D290000}"/>
    <cellStyle name="Normal 14 23 37" xfId="9914" xr:uid="{00000000-0005-0000-0000-00009E290000}"/>
    <cellStyle name="Normal 14 23 4" xfId="9915" xr:uid="{00000000-0005-0000-0000-00009F290000}"/>
    <cellStyle name="Normal 14 23 5" xfId="9916" xr:uid="{00000000-0005-0000-0000-0000A0290000}"/>
    <cellStyle name="Normal 14 23 6" xfId="9917" xr:uid="{00000000-0005-0000-0000-0000A1290000}"/>
    <cellStyle name="Normal 14 23 7" xfId="9918" xr:uid="{00000000-0005-0000-0000-0000A2290000}"/>
    <cellStyle name="Normal 14 23 8" xfId="9919" xr:uid="{00000000-0005-0000-0000-0000A3290000}"/>
    <cellStyle name="Normal 14 23 9" xfId="9920" xr:uid="{00000000-0005-0000-0000-0000A4290000}"/>
    <cellStyle name="Normal 14 24" xfId="9921" xr:uid="{00000000-0005-0000-0000-0000A5290000}"/>
    <cellStyle name="Normal 14 24 10" xfId="9922" xr:uid="{00000000-0005-0000-0000-0000A6290000}"/>
    <cellStyle name="Normal 14 24 11" xfId="9923" xr:uid="{00000000-0005-0000-0000-0000A7290000}"/>
    <cellStyle name="Normal 14 24 12" xfId="9924" xr:uid="{00000000-0005-0000-0000-0000A8290000}"/>
    <cellStyle name="Normal 14 24 13" xfId="9925" xr:uid="{00000000-0005-0000-0000-0000A9290000}"/>
    <cellStyle name="Normal 14 24 14" xfId="9926" xr:uid="{00000000-0005-0000-0000-0000AA290000}"/>
    <cellStyle name="Normal 14 24 15" xfId="9927" xr:uid="{00000000-0005-0000-0000-0000AB290000}"/>
    <cellStyle name="Normal 14 24 16" xfId="9928" xr:uid="{00000000-0005-0000-0000-0000AC290000}"/>
    <cellStyle name="Normal 14 24 17" xfId="9929" xr:uid="{00000000-0005-0000-0000-0000AD290000}"/>
    <cellStyle name="Normal 14 24 18" xfId="9930" xr:uid="{00000000-0005-0000-0000-0000AE290000}"/>
    <cellStyle name="Normal 14 24 19" xfId="9931" xr:uid="{00000000-0005-0000-0000-0000AF290000}"/>
    <cellStyle name="Normal 14 24 2" xfId="9932" xr:uid="{00000000-0005-0000-0000-0000B0290000}"/>
    <cellStyle name="Normal 14 24 20" xfId="9933" xr:uid="{00000000-0005-0000-0000-0000B1290000}"/>
    <cellStyle name="Normal 14 24 21" xfId="9934" xr:uid="{00000000-0005-0000-0000-0000B2290000}"/>
    <cellStyle name="Normal 14 24 22" xfId="9935" xr:uid="{00000000-0005-0000-0000-0000B3290000}"/>
    <cellStyle name="Normal 14 24 23" xfId="9936" xr:uid="{00000000-0005-0000-0000-0000B4290000}"/>
    <cellStyle name="Normal 14 24 24" xfId="9937" xr:uid="{00000000-0005-0000-0000-0000B5290000}"/>
    <cellStyle name="Normal 14 24 25" xfId="9938" xr:uid="{00000000-0005-0000-0000-0000B6290000}"/>
    <cellStyle name="Normal 14 24 26" xfId="9939" xr:uid="{00000000-0005-0000-0000-0000B7290000}"/>
    <cellStyle name="Normal 14 24 27" xfId="9940" xr:uid="{00000000-0005-0000-0000-0000B8290000}"/>
    <cellStyle name="Normal 14 24 28" xfId="9941" xr:uid="{00000000-0005-0000-0000-0000B9290000}"/>
    <cellStyle name="Normal 14 24 29" xfId="9942" xr:uid="{00000000-0005-0000-0000-0000BA290000}"/>
    <cellStyle name="Normal 14 24 3" xfId="9943" xr:uid="{00000000-0005-0000-0000-0000BB290000}"/>
    <cellStyle name="Normal 14 24 30" xfId="9944" xr:uid="{00000000-0005-0000-0000-0000BC290000}"/>
    <cellStyle name="Normal 14 24 31" xfId="9945" xr:uid="{00000000-0005-0000-0000-0000BD290000}"/>
    <cellStyle name="Normal 14 24 32" xfId="9946" xr:uid="{00000000-0005-0000-0000-0000BE290000}"/>
    <cellStyle name="Normal 14 24 33" xfId="9947" xr:uid="{00000000-0005-0000-0000-0000BF290000}"/>
    <cellStyle name="Normal 14 24 34" xfId="9948" xr:uid="{00000000-0005-0000-0000-0000C0290000}"/>
    <cellStyle name="Normal 14 24 35" xfId="9949" xr:uid="{00000000-0005-0000-0000-0000C1290000}"/>
    <cellStyle name="Normal 14 24 36" xfId="9950" xr:uid="{00000000-0005-0000-0000-0000C2290000}"/>
    <cellStyle name="Normal 14 24 37" xfId="9951" xr:uid="{00000000-0005-0000-0000-0000C3290000}"/>
    <cellStyle name="Normal 14 24 4" xfId="9952" xr:uid="{00000000-0005-0000-0000-0000C4290000}"/>
    <cellStyle name="Normal 14 24 5" xfId="9953" xr:uid="{00000000-0005-0000-0000-0000C5290000}"/>
    <cellStyle name="Normal 14 24 6" xfId="9954" xr:uid="{00000000-0005-0000-0000-0000C6290000}"/>
    <cellStyle name="Normal 14 24 7" xfId="9955" xr:uid="{00000000-0005-0000-0000-0000C7290000}"/>
    <cellStyle name="Normal 14 24 8" xfId="9956" xr:uid="{00000000-0005-0000-0000-0000C8290000}"/>
    <cellStyle name="Normal 14 24 9" xfId="9957" xr:uid="{00000000-0005-0000-0000-0000C9290000}"/>
    <cellStyle name="Normal 14 25" xfId="9958" xr:uid="{00000000-0005-0000-0000-0000CA290000}"/>
    <cellStyle name="Normal 14 26" xfId="9959" xr:uid="{00000000-0005-0000-0000-0000CB290000}"/>
    <cellStyle name="Normal 14 27" xfId="9960" xr:uid="{00000000-0005-0000-0000-0000CC290000}"/>
    <cellStyle name="Normal 14 28" xfId="9961" xr:uid="{00000000-0005-0000-0000-0000CD290000}"/>
    <cellStyle name="Normal 14 29" xfId="9962" xr:uid="{00000000-0005-0000-0000-0000CE290000}"/>
    <cellStyle name="Normal 14 3" xfId="9963" xr:uid="{00000000-0005-0000-0000-0000CF290000}"/>
    <cellStyle name="Normal 14 3 2" xfId="43566" xr:uid="{00000000-0005-0000-0000-0000D0290000}"/>
    <cellStyle name="Normal 14 30" xfId="9964" xr:uid="{00000000-0005-0000-0000-0000D1290000}"/>
    <cellStyle name="Normal 14 31" xfId="9965" xr:uid="{00000000-0005-0000-0000-0000D2290000}"/>
    <cellStyle name="Normal 14 32" xfId="9966" xr:uid="{00000000-0005-0000-0000-0000D3290000}"/>
    <cellStyle name="Normal 14 33" xfId="9967" xr:uid="{00000000-0005-0000-0000-0000D4290000}"/>
    <cellStyle name="Normal 14 34" xfId="9968" xr:uid="{00000000-0005-0000-0000-0000D5290000}"/>
    <cellStyle name="Normal 14 35" xfId="9969" xr:uid="{00000000-0005-0000-0000-0000D6290000}"/>
    <cellStyle name="Normal 14 36" xfId="9970" xr:uid="{00000000-0005-0000-0000-0000D7290000}"/>
    <cellStyle name="Normal 14 37" xfId="9971" xr:uid="{00000000-0005-0000-0000-0000D8290000}"/>
    <cellStyle name="Normal 14 38" xfId="9972" xr:uid="{00000000-0005-0000-0000-0000D9290000}"/>
    <cellStyle name="Normal 14 39" xfId="9973" xr:uid="{00000000-0005-0000-0000-0000DA290000}"/>
    <cellStyle name="Normal 14 4" xfId="9974" xr:uid="{00000000-0005-0000-0000-0000DB290000}"/>
    <cellStyle name="Normal 14 40" xfId="9975" xr:uid="{00000000-0005-0000-0000-0000DC290000}"/>
    <cellStyle name="Normal 14 41" xfId="9976" xr:uid="{00000000-0005-0000-0000-0000DD290000}"/>
    <cellStyle name="Normal 14 42" xfId="9977" xr:uid="{00000000-0005-0000-0000-0000DE290000}"/>
    <cellStyle name="Normal 14 43" xfId="9978" xr:uid="{00000000-0005-0000-0000-0000DF290000}"/>
    <cellStyle name="Normal 14 44" xfId="9979" xr:uid="{00000000-0005-0000-0000-0000E0290000}"/>
    <cellStyle name="Normal 14 45" xfId="9980" xr:uid="{00000000-0005-0000-0000-0000E1290000}"/>
    <cellStyle name="Normal 14 46" xfId="9981" xr:uid="{00000000-0005-0000-0000-0000E2290000}"/>
    <cellStyle name="Normal 14 47" xfId="9982" xr:uid="{00000000-0005-0000-0000-0000E3290000}"/>
    <cellStyle name="Normal 14 48" xfId="9983" xr:uid="{00000000-0005-0000-0000-0000E4290000}"/>
    <cellStyle name="Normal 14 49" xfId="9984" xr:uid="{00000000-0005-0000-0000-0000E5290000}"/>
    <cellStyle name="Normal 14 5" xfId="9985" xr:uid="{00000000-0005-0000-0000-0000E6290000}"/>
    <cellStyle name="Normal 14 50" xfId="9986" xr:uid="{00000000-0005-0000-0000-0000E7290000}"/>
    <cellStyle name="Normal 14 51" xfId="9987" xr:uid="{00000000-0005-0000-0000-0000E8290000}"/>
    <cellStyle name="Normal 14 52" xfId="9988" xr:uid="{00000000-0005-0000-0000-0000E9290000}"/>
    <cellStyle name="Normal 14 53" xfId="9989" xr:uid="{00000000-0005-0000-0000-0000EA290000}"/>
    <cellStyle name="Normal 14 54" xfId="9990" xr:uid="{00000000-0005-0000-0000-0000EB290000}"/>
    <cellStyle name="Normal 14 55" xfId="9991" xr:uid="{00000000-0005-0000-0000-0000EC290000}"/>
    <cellStyle name="Normal 14 56" xfId="9992" xr:uid="{00000000-0005-0000-0000-0000ED290000}"/>
    <cellStyle name="Normal 14 57" xfId="9993" xr:uid="{00000000-0005-0000-0000-0000EE290000}"/>
    <cellStyle name="Normal 14 6" xfId="9994" xr:uid="{00000000-0005-0000-0000-0000EF290000}"/>
    <cellStyle name="Normal 14 7" xfId="9995" xr:uid="{00000000-0005-0000-0000-0000F0290000}"/>
    <cellStyle name="Normal 14 8" xfId="9996" xr:uid="{00000000-0005-0000-0000-0000F1290000}"/>
    <cellStyle name="Normal 14 9" xfId="9997" xr:uid="{00000000-0005-0000-0000-0000F2290000}"/>
    <cellStyle name="Normal 14 9 10" xfId="9998" xr:uid="{00000000-0005-0000-0000-0000F3290000}"/>
    <cellStyle name="Normal 14 9 11" xfId="9999" xr:uid="{00000000-0005-0000-0000-0000F4290000}"/>
    <cellStyle name="Normal 14 9 12" xfId="10000" xr:uid="{00000000-0005-0000-0000-0000F5290000}"/>
    <cellStyle name="Normal 14 9 13" xfId="10001" xr:uid="{00000000-0005-0000-0000-0000F6290000}"/>
    <cellStyle name="Normal 14 9 14" xfId="10002" xr:uid="{00000000-0005-0000-0000-0000F7290000}"/>
    <cellStyle name="Normal 14 9 15" xfId="10003" xr:uid="{00000000-0005-0000-0000-0000F8290000}"/>
    <cellStyle name="Normal 14 9 16" xfId="10004" xr:uid="{00000000-0005-0000-0000-0000F9290000}"/>
    <cellStyle name="Normal 14 9 17" xfId="10005" xr:uid="{00000000-0005-0000-0000-0000FA290000}"/>
    <cellStyle name="Normal 14 9 18" xfId="10006" xr:uid="{00000000-0005-0000-0000-0000FB290000}"/>
    <cellStyle name="Normal 14 9 19" xfId="10007" xr:uid="{00000000-0005-0000-0000-0000FC290000}"/>
    <cellStyle name="Normal 14 9 2" xfId="10008" xr:uid="{00000000-0005-0000-0000-0000FD290000}"/>
    <cellStyle name="Normal 14 9 20" xfId="10009" xr:uid="{00000000-0005-0000-0000-0000FE290000}"/>
    <cellStyle name="Normal 14 9 21" xfId="10010" xr:uid="{00000000-0005-0000-0000-0000FF290000}"/>
    <cellStyle name="Normal 14 9 22" xfId="10011" xr:uid="{00000000-0005-0000-0000-0000002A0000}"/>
    <cellStyle name="Normal 14 9 23" xfId="10012" xr:uid="{00000000-0005-0000-0000-0000012A0000}"/>
    <cellStyle name="Normal 14 9 24" xfId="10013" xr:uid="{00000000-0005-0000-0000-0000022A0000}"/>
    <cellStyle name="Normal 14 9 25" xfId="10014" xr:uid="{00000000-0005-0000-0000-0000032A0000}"/>
    <cellStyle name="Normal 14 9 26" xfId="10015" xr:uid="{00000000-0005-0000-0000-0000042A0000}"/>
    <cellStyle name="Normal 14 9 27" xfId="10016" xr:uid="{00000000-0005-0000-0000-0000052A0000}"/>
    <cellStyle name="Normal 14 9 28" xfId="10017" xr:uid="{00000000-0005-0000-0000-0000062A0000}"/>
    <cellStyle name="Normal 14 9 29" xfId="10018" xr:uid="{00000000-0005-0000-0000-0000072A0000}"/>
    <cellStyle name="Normal 14 9 3" xfId="10019" xr:uid="{00000000-0005-0000-0000-0000082A0000}"/>
    <cellStyle name="Normal 14 9 30" xfId="10020" xr:uid="{00000000-0005-0000-0000-0000092A0000}"/>
    <cellStyle name="Normal 14 9 31" xfId="10021" xr:uid="{00000000-0005-0000-0000-00000A2A0000}"/>
    <cellStyle name="Normal 14 9 32" xfId="10022" xr:uid="{00000000-0005-0000-0000-00000B2A0000}"/>
    <cellStyle name="Normal 14 9 33" xfId="10023" xr:uid="{00000000-0005-0000-0000-00000C2A0000}"/>
    <cellStyle name="Normal 14 9 34" xfId="10024" xr:uid="{00000000-0005-0000-0000-00000D2A0000}"/>
    <cellStyle name="Normal 14 9 35" xfId="10025" xr:uid="{00000000-0005-0000-0000-00000E2A0000}"/>
    <cellStyle name="Normal 14 9 36" xfId="10026" xr:uid="{00000000-0005-0000-0000-00000F2A0000}"/>
    <cellStyle name="Normal 14 9 37" xfId="10027" xr:uid="{00000000-0005-0000-0000-0000102A0000}"/>
    <cellStyle name="Normal 14 9 38" xfId="10028" xr:uid="{00000000-0005-0000-0000-0000112A0000}"/>
    <cellStyle name="Normal 14 9 39" xfId="10029" xr:uid="{00000000-0005-0000-0000-0000122A0000}"/>
    <cellStyle name="Normal 14 9 4" xfId="10030" xr:uid="{00000000-0005-0000-0000-0000132A0000}"/>
    <cellStyle name="Normal 14 9 40" xfId="10031" xr:uid="{00000000-0005-0000-0000-0000142A0000}"/>
    <cellStyle name="Normal 14 9 41" xfId="10032" xr:uid="{00000000-0005-0000-0000-0000152A0000}"/>
    <cellStyle name="Normal 14 9 42" xfId="10033" xr:uid="{00000000-0005-0000-0000-0000162A0000}"/>
    <cellStyle name="Normal 14 9 43" xfId="10034" xr:uid="{00000000-0005-0000-0000-0000172A0000}"/>
    <cellStyle name="Normal 14 9 44" xfId="10035" xr:uid="{00000000-0005-0000-0000-0000182A0000}"/>
    <cellStyle name="Normal 14 9 45" xfId="10036" xr:uid="{00000000-0005-0000-0000-0000192A0000}"/>
    <cellStyle name="Normal 14 9 5" xfId="10037" xr:uid="{00000000-0005-0000-0000-00001A2A0000}"/>
    <cellStyle name="Normal 14 9 6" xfId="10038" xr:uid="{00000000-0005-0000-0000-00001B2A0000}"/>
    <cellStyle name="Normal 14 9 7" xfId="10039" xr:uid="{00000000-0005-0000-0000-00001C2A0000}"/>
    <cellStyle name="Normal 14 9 8" xfId="10040" xr:uid="{00000000-0005-0000-0000-00001D2A0000}"/>
    <cellStyle name="Normal 14 9 9" xfId="10041" xr:uid="{00000000-0005-0000-0000-00001E2A0000}"/>
    <cellStyle name="Normal 140" xfId="42501" xr:uid="{00000000-0005-0000-0000-00001F2A0000}"/>
    <cellStyle name="Normal 141" xfId="42502" xr:uid="{00000000-0005-0000-0000-0000202A0000}"/>
    <cellStyle name="Normal 142" xfId="42503" xr:uid="{00000000-0005-0000-0000-0000212A0000}"/>
    <cellStyle name="Normal 143" xfId="42504" xr:uid="{00000000-0005-0000-0000-0000222A0000}"/>
    <cellStyle name="Normal 144" xfId="42505" xr:uid="{00000000-0005-0000-0000-0000232A0000}"/>
    <cellStyle name="Normal 145" xfId="42506" xr:uid="{00000000-0005-0000-0000-0000242A0000}"/>
    <cellStyle name="Normal 146" xfId="42507" xr:uid="{00000000-0005-0000-0000-0000252A0000}"/>
    <cellStyle name="Normal 147" xfId="1677" xr:uid="{00000000-0005-0000-0000-0000262A0000}"/>
    <cellStyle name="Normal 148" xfId="42508" xr:uid="{00000000-0005-0000-0000-0000272A0000}"/>
    <cellStyle name="Normal 149" xfId="42509" xr:uid="{00000000-0005-0000-0000-0000282A0000}"/>
    <cellStyle name="Normal 15" xfId="1063" xr:uid="{00000000-0005-0000-0000-0000292A0000}"/>
    <cellStyle name="Normal 15 10" xfId="10042" xr:uid="{00000000-0005-0000-0000-00002A2A0000}"/>
    <cellStyle name="Normal 15 10 10" xfId="10043" xr:uid="{00000000-0005-0000-0000-00002B2A0000}"/>
    <cellStyle name="Normal 15 10 11" xfId="10044" xr:uid="{00000000-0005-0000-0000-00002C2A0000}"/>
    <cellStyle name="Normal 15 10 12" xfId="10045" xr:uid="{00000000-0005-0000-0000-00002D2A0000}"/>
    <cellStyle name="Normal 15 10 13" xfId="10046" xr:uid="{00000000-0005-0000-0000-00002E2A0000}"/>
    <cellStyle name="Normal 15 10 14" xfId="10047" xr:uid="{00000000-0005-0000-0000-00002F2A0000}"/>
    <cellStyle name="Normal 15 10 15" xfId="10048" xr:uid="{00000000-0005-0000-0000-0000302A0000}"/>
    <cellStyle name="Normal 15 10 16" xfId="10049" xr:uid="{00000000-0005-0000-0000-0000312A0000}"/>
    <cellStyle name="Normal 15 10 17" xfId="10050" xr:uid="{00000000-0005-0000-0000-0000322A0000}"/>
    <cellStyle name="Normal 15 10 18" xfId="10051" xr:uid="{00000000-0005-0000-0000-0000332A0000}"/>
    <cellStyle name="Normal 15 10 19" xfId="10052" xr:uid="{00000000-0005-0000-0000-0000342A0000}"/>
    <cellStyle name="Normal 15 10 2" xfId="10053" xr:uid="{00000000-0005-0000-0000-0000352A0000}"/>
    <cellStyle name="Normal 15 10 20" xfId="10054" xr:uid="{00000000-0005-0000-0000-0000362A0000}"/>
    <cellStyle name="Normal 15 10 21" xfId="10055" xr:uid="{00000000-0005-0000-0000-0000372A0000}"/>
    <cellStyle name="Normal 15 10 22" xfId="10056" xr:uid="{00000000-0005-0000-0000-0000382A0000}"/>
    <cellStyle name="Normal 15 10 23" xfId="10057" xr:uid="{00000000-0005-0000-0000-0000392A0000}"/>
    <cellStyle name="Normal 15 10 24" xfId="10058" xr:uid="{00000000-0005-0000-0000-00003A2A0000}"/>
    <cellStyle name="Normal 15 10 25" xfId="10059" xr:uid="{00000000-0005-0000-0000-00003B2A0000}"/>
    <cellStyle name="Normal 15 10 26" xfId="10060" xr:uid="{00000000-0005-0000-0000-00003C2A0000}"/>
    <cellStyle name="Normal 15 10 27" xfId="10061" xr:uid="{00000000-0005-0000-0000-00003D2A0000}"/>
    <cellStyle name="Normal 15 10 28" xfId="10062" xr:uid="{00000000-0005-0000-0000-00003E2A0000}"/>
    <cellStyle name="Normal 15 10 29" xfId="10063" xr:uid="{00000000-0005-0000-0000-00003F2A0000}"/>
    <cellStyle name="Normal 15 10 3" xfId="10064" xr:uid="{00000000-0005-0000-0000-0000402A0000}"/>
    <cellStyle name="Normal 15 10 30" xfId="10065" xr:uid="{00000000-0005-0000-0000-0000412A0000}"/>
    <cellStyle name="Normal 15 10 31" xfId="10066" xr:uid="{00000000-0005-0000-0000-0000422A0000}"/>
    <cellStyle name="Normal 15 10 32" xfId="10067" xr:uid="{00000000-0005-0000-0000-0000432A0000}"/>
    <cellStyle name="Normal 15 10 33" xfId="10068" xr:uid="{00000000-0005-0000-0000-0000442A0000}"/>
    <cellStyle name="Normal 15 10 34" xfId="10069" xr:uid="{00000000-0005-0000-0000-0000452A0000}"/>
    <cellStyle name="Normal 15 10 35" xfId="10070" xr:uid="{00000000-0005-0000-0000-0000462A0000}"/>
    <cellStyle name="Normal 15 10 36" xfId="10071" xr:uid="{00000000-0005-0000-0000-0000472A0000}"/>
    <cellStyle name="Normal 15 10 37" xfId="10072" xr:uid="{00000000-0005-0000-0000-0000482A0000}"/>
    <cellStyle name="Normal 15 10 4" xfId="10073" xr:uid="{00000000-0005-0000-0000-0000492A0000}"/>
    <cellStyle name="Normal 15 10 5" xfId="10074" xr:uid="{00000000-0005-0000-0000-00004A2A0000}"/>
    <cellStyle name="Normal 15 10 6" xfId="10075" xr:uid="{00000000-0005-0000-0000-00004B2A0000}"/>
    <cellStyle name="Normal 15 10 7" xfId="10076" xr:uid="{00000000-0005-0000-0000-00004C2A0000}"/>
    <cellStyle name="Normal 15 10 8" xfId="10077" xr:uid="{00000000-0005-0000-0000-00004D2A0000}"/>
    <cellStyle name="Normal 15 10 9" xfId="10078" xr:uid="{00000000-0005-0000-0000-00004E2A0000}"/>
    <cellStyle name="Normal 15 11" xfId="10079" xr:uid="{00000000-0005-0000-0000-00004F2A0000}"/>
    <cellStyle name="Normal 15 11 10" xfId="10080" xr:uid="{00000000-0005-0000-0000-0000502A0000}"/>
    <cellStyle name="Normal 15 11 11" xfId="10081" xr:uid="{00000000-0005-0000-0000-0000512A0000}"/>
    <cellStyle name="Normal 15 11 12" xfId="10082" xr:uid="{00000000-0005-0000-0000-0000522A0000}"/>
    <cellStyle name="Normal 15 11 13" xfId="10083" xr:uid="{00000000-0005-0000-0000-0000532A0000}"/>
    <cellStyle name="Normal 15 11 14" xfId="10084" xr:uid="{00000000-0005-0000-0000-0000542A0000}"/>
    <cellStyle name="Normal 15 11 15" xfId="10085" xr:uid="{00000000-0005-0000-0000-0000552A0000}"/>
    <cellStyle name="Normal 15 11 16" xfId="10086" xr:uid="{00000000-0005-0000-0000-0000562A0000}"/>
    <cellStyle name="Normal 15 11 17" xfId="10087" xr:uid="{00000000-0005-0000-0000-0000572A0000}"/>
    <cellStyle name="Normal 15 11 18" xfId="10088" xr:uid="{00000000-0005-0000-0000-0000582A0000}"/>
    <cellStyle name="Normal 15 11 19" xfId="10089" xr:uid="{00000000-0005-0000-0000-0000592A0000}"/>
    <cellStyle name="Normal 15 11 2" xfId="10090" xr:uid="{00000000-0005-0000-0000-00005A2A0000}"/>
    <cellStyle name="Normal 15 11 20" xfId="10091" xr:uid="{00000000-0005-0000-0000-00005B2A0000}"/>
    <cellStyle name="Normal 15 11 21" xfId="10092" xr:uid="{00000000-0005-0000-0000-00005C2A0000}"/>
    <cellStyle name="Normal 15 11 22" xfId="10093" xr:uid="{00000000-0005-0000-0000-00005D2A0000}"/>
    <cellStyle name="Normal 15 11 23" xfId="10094" xr:uid="{00000000-0005-0000-0000-00005E2A0000}"/>
    <cellStyle name="Normal 15 11 24" xfId="10095" xr:uid="{00000000-0005-0000-0000-00005F2A0000}"/>
    <cellStyle name="Normal 15 11 25" xfId="10096" xr:uid="{00000000-0005-0000-0000-0000602A0000}"/>
    <cellStyle name="Normal 15 11 26" xfId="10097" xr:uid="{00000000-0005-0000-0000-0000612A0000}"/>
    <cellStyle name="Normal 15 11 27" xfId="10098" xr:uid="{00000000-0005-0000-0000-0000622A0000}"/>
    <cellStyle name="Normal 15 11 28" xfId="10099" xr:uid="{00000000-0005-0000-0000-0000632A0000}"/>
    <cellStyle name="Normal 15 11 29" xfId="10100" xr:uid="{00000000-0005-0000-0000-0000642A0000}"/>
    <cellStyle name="Normal 15 11 3" xfId="10101" xr:uid="{00000000-0005-0000-0000-0000652A0000}"/>
    <cellStyle name="Normal 15 11 30" xfId="10102" xr:uid="{00000000-0005-0000-0000-0000662A0000}"/>
    <cellStyle name="Normal 15 11 31" xfId="10103" xr:uid="{00000000-0005-0000-0000-0000672A0000}"/>
    <cellStyle name="Normal 15 11 32" xfId="10104" xr:uid="{00000000-0005-0000-0000-0000682A0000}"/>
    <cellStyle name="Normal 15 11 33" xfId="10105" xr:uid="{00000000-0005-0000-0000-0000692A0000}"/>
    <cellStyle name="Normal 15 11 34" xfId="10106" xr:uid="{00000000-0005-0000-0000-00006A2A0000}"/>
    <cellStyle name="Normal 15 11 35" xfId="10107" xr:uid="{00000000-0005-0000-0000-00006B2A0000}"/>
    <cellStyle name="Normal 15 11 36" xfId="10108" xr:uid="{00000000-0005-0000-0000-00006C2A0000}"/>
    <cellStyle name="Normal 15 11 37" xfId="10109" xr:uid="{00000000-0005-0000-0000-00006D2A0000}"/>
    <cellStyle name="Normal 15 11 4" xfId="10110" xr:uid="{00000000-0005-0000-0000-00006E2A0000}"/>
    <cellStyle name="Normal 15 11 5" xfId="10111" xr:uid="{00000000-0005-0000-0000-00006F2A0000}"/>
    <cellStyle name="Normal 15 11 6" xfId="10112" xr:uid="{00000000-0005-0000-0000-0000702A0000}"/>
    <cellStyle name="Normal 15 11 7" xfId="10113" xr:uid="{00000000-0005-0000-0000-0000712A0000}"/>
    <cellStyle name="Normal 15 11 8" xfId="10114" xr:uid="{00000000-0005-0000-0000-0000722A0000}"/>
    <cellStyle name="Normal 15 11 9" xfId="10115" xr:uid="{00000000-0005-0000-0000-0000732A0000}"/>
    <cellStyle name="Normal 15 12" xfId="10116" xr:uid="{00000000-0005-0000-0000-0000742A0000}"/>
    <cellStyle name="Normal 15 12 10" xfId="10117" xr:uid="{00000000-0005-0000-0000-0000752A0000}"/>
    <cellStyle name="Normal 15 12 11" xfId="10118" xr:uid="{00000000-0005-0000-0000-0000762A0000}"/>
    <cellStyle name="Normal 15 12 12" xfId="10119" xr:uid="{00000000-0005-0000-0000-0000772A0000}"/>
    <cellStyle name="Normal 15 12 13" xfId="10120" xr:uid="{00000000-0005-0000-0000-0000782A0000}"/>
    <cellStyle name="Normal 15 12 14" xfId="10121" xr:uid="{00000000-0005-0000-0000-0000792A0000}"/>
    <cellStyle name="Normal 15 12 15" xfId="10122" xr:uid="{00000000-0005-0000-0000-00007A2A0000}"/>
    <cellStyle name="Normal 15 12 16" xfId="10123" xr:uid="{00000000-0005-0000-0000-00007B2A0000}"/>
    <cellStyle name="Normal 15 12 17" xfId="10124" xr:uid="{00000000-0005-0000-0000-00007C2A0000}"/>
    <cellStyle name="Normal 15 12 18" xfId="10125" xr:uid="{00000000-0005-0000-0000-00007D2A0000}"/>
    <cellStyle name="Normal 15 12 19" xfId="10126" xr:uid="{00000000-0005-0000-0000-00007E2A0000}"/>
    <cellStyle name="Normal 15 12 2" xfId="10127" xr:uid="{00000000-0005-0000-0000-00007F2A0000}"/>
    <cellStyle name="Normal 15 12 20" xfId="10128" xr:uid="{00000000-0005-0000-0000-0000802A0000}"/>
    <cellStyle name="Normal 15 12 21" xfId="10129" xr:uid="{00000000-0005-0000-0000-0000812A0000}"/>
    <cellStyle name="Normal 15 12 22" xfId="10130" xr:uid="{00000000-0005-0000-0000-0000822A0000}"/>
    <cellStyle name="Normal 15 12 23" xfId="10131" xr:uid="{00000000-0005-0000-0000-0000832A0000}"/>
    <cellStyle name="Normal 15 12 24" xfId="10132" xr:uid="{00000000-0005-0000-0000-0000842A0000}"/>
    <cellStyle name="Normal 15 12 25" xfId="10133" xr:uid="{00000000-0005-0000-0000-0000852A0000}"/>
    <cellStyle name="Normal 15 12 26" xfId="10134" xr:uid="{00000000-0005-0000-0000-0000862A0000}"/>
    <cellStyle name="Normal 15 12 27" xfId="10135" xr:uid="{00000000-0005-0000-0000-0000872A0000}"/>
    <cellStyle name="Normal 15 12 28" xfId="10136" xr:uid="{00000000-0005-0000-0000-0000882A0000}"/>
    <cellStyle name="Normal 15 12 29" xfId="10137" xr:uid="{00000000-0005-0000-0000-0000892A0000}"/>
    <cellStyle name="Normal 15 12 3" xfId="10138" xr:uid="{00000000-0005-0000-0000-00008A2A0000}"/>
    <cellStyle name="Normal 15 12 30" xfId="10139" xr:uid="{00000000-0005-0000-0000-00008B2A0000}"/>
    <cellStyle name="Normal 15 12 31" xfId="10140" xr:uid="{00000000-0005-0000-0000-00008C2A0000}"/>
    <cellStyle name="Normal 15 12 32" xfId="10141" xr:uid="{00000000-0005-0000-0000-00008D2A0000}"/>
    <cellStyle name="Normal 15 12 33" xfId="10142" xr:uid="{00000000-0005-0000-0000-00008E2A0000}"/>
    <cellStyle name="Normal 15 12 34" xfId="10143" xr:uid="{00000000-0005-0000-0000-00008F2A0000}"/>
    <cellStyle name="Normal 15 12 35" xfId="10144" xr:uid="{00000000-0005-0000-0000-0000902A0000}"/>
    <cellStyle name="Normal 15 12 36" xfId="10145" xr:uid="{00000000-0005-0000-0000-0000912A0000}"/>
    <cellStyle name="Normal 15 12 37" xfId="10146" xr:uid="{00000000-0005-0000-0000-0000922A0000}"/>
    <cellStyle name="Normal 15 12 4" xfId="10147" xr:uid="{00000000-0005-0000-0000-0000932A0000}"/>
    <cellStyle name="Normal 15 12 5" xfId="10148" xr:uid="{00000000-0005-0000-0000-0000942A0000}"/>
    <cellStyle name="Normal 15 12 6" xfId="10149" xr:uid="{00000000-0005-0000-0000-0000952A0000}"/>
    <cellStyle name="Normal 15 12 7" xfId="10150" xr:uid="{00000000-0005-0000-0000-0000962A0000}"/>
    <cellStyle name="Normal 15 12 8" xfId="10151" xr:uid="{00000000-0005-0000-0000-0000972A0000}"/>
    <cellStyle name="Normal 15 12 9" xfId="10152" xr:uid="{00000000-0005-0000-0000-0000982A0000}"/>
    <cellStyle name="Normal 15 13" xfId="10153" xr:uid="{00000000-0005-0000-0000-0000992A0000}"/>
    <cellStyle name="Normal 15 13 10" xfId="10154" xr:uid="{00000000-0005-0000-0000-00009A2A0000}"/>
    <cellStyle name="Normal 15 13 11" xfId="10155" xr:uid="{00000000-0005-0000-0000-00009B2A0000}"/>
    <cellStyle name="Normal 15 13 12" xfId="10156" xr:uid="{00000000-0005-0000-0000-00009C2A0000}"/>
    <cellStyle name="Normal 15 13 13" xfId="10157" xr:uid="{00000000-0005-0000-0000-00009D2A0000}"/>
    <cellStyle name="Normal 15 13 14" xfId="10158" xr:uid="{00000000-0005-0000-0000-00009E2A0000}"/>
    <cellStyle name="Normal 15 13 15" xfId="10159" xr:uid="{00000000-0005-0000-0000-00009F2A0000}"/>
    <cellStyle name="Normal 15 13 16" xfId="10160" xr:uid="{00000000-0005-0000-0000-0000A02A0000}"/>
    <cellStyle name="Normal 15 13 17" xfId="10161" xr:uid="{00000000-0005-0000-0000-0000A12A0000}"/>
    <cellStyle name="Normal 15 13 18" xfId="10162" xr:uid="{00000000-0005-0000-0000-0000A22A0000}"/>
    <cellStyle name="Normal 15 13 19" xfId="10163" xr:uid="{00000000-0005-0000-0000-0000A32A0000}"/>
    <cellStyle name="Normal 15 13 2" xfId="10164" xr:uid="{00000000-0005-0000-0000-0000A42A0000}"/>
    <cellStyle name="Normal 15 13 20" xfId="10165" xr:uid="{00000000-0005-0000-0000-0000A52A0000}"/>
    <cellStyle name="Normal 15 13 21" xfId="10166" xr:uid="{00000000-0005-0000-0000-0000A62A0000}"/>
    <cellStyle name="Normal 15 13 22" xfId="10167" xr:uid="{00000000-0005-0000-0000-0000A72A0000}"/>
    <cellStyle name="Normal 15 13 23" xfId="10168" xr:uid="{00000000-0005-0000-0000-0000A82A0000}"/>
    <cellStyle name="Normal 15 13 24" xfId="10169" xr:uid="{00000000-0005-0000-0000-0000A92A0000}"/>
    <cellStyle name="Normal 15 13 25" xfId="10170" xr:uid="{00000000-0005-0000-0000-0000AA2A0000}"/>
    <cellStyle name="Normal 15 13 26" xfId="10171" xr:uid="{00000000-0005-0000-0000-0000AB2A0000}"/>
    <cellStyle name="Normal 15 13 27" xfId="10172" xr:uid="{00000000-0005-0000-0000-0000AC2A0000}"/>
    <cellStyle name="Normal 15 13 28" xfId="10173" xr:uid="{00000000-0005-0000-0000-0000AD2A0000}"/>
    <cellStyle name="Normal 15 13 29" xfId="10174" xr:uid="{00000000-0005-0000-0000-0000AE2A0000}"/>
    <cellStyle name="Normal 15 13 3" xfId="10175" xr:uid="{00000000-0005-0000-0000-0000AF2A0000}"/>
    <cellStyle name="Normal 15 13 30" xfId="10176" xr:uid="{00000000-0005-0000-0000-0000B02A0000}"/>
    <cellStyle name="Normal 15 13 31" xfId="10177" xr:uid="{00000000-0005-0000-0000-0000B12A0000}"/>
    <cellStyle name="Normal 15 13 32" xfId="10178" xr:uid="{00000000-0005-0000-0000-0000B22A0000}"/>
    <cellStyle name="Normal 15 13 33" xfId="10179" xr:uid="{00000000-0005-0000-0000-0000B32A0000}"/>
    <cellStyle name="Normal 15 13 34" xfId="10180" xr:uid="{00000000-0005-0000-0000-0000B42A0000}"/>
    <cellStyle name="Normal 15 13 35" xfId="10181" xr:uid="{00000000-0005-0000-0000-0000B52A0000}"/>
    <cellStyle name="Normal 15 13 36" xfId="10182" xr:uid="{00000000-0005-0000-0000-0000B62A0000}"/>
    <cellStyle name="Normal 15 13 37" xfId="10183" xr:uid="{00000000-0005-0000-0000-0000B72A0000}"/>
    <cellStyle name="Normal 15 13 4" xfId="10184" xr:uid="{00000000-0005-0000-0000-0000B82A0000}"/>
    <cellStyle name="Normal 15 13 5" xfId="10185" xr:uid="{00000000-0005-0000-0000-0000B92A0000}"/>
    <cellStyle name="Normal 15 13 6" xfId="10186" xr:uid="{00000000-0005-0000-0000-0000BA2A0000}"/>
    <cellStyle name="Normal 15 13 7" xfId="10187" xr:uid="{00000000-0005-0000-0000-0000BB2A0000}"/>
    <cellStyle name="Normal 15 13 8" xfId="10188" xr:uid="{00000000-0005-0000-0000-0000BC2A0000}"/>
    <cellStyle name="Normal 15 13 9" xfId="10189" xr:uid="{00000000-0005-0000-0000-0000BD2A0000}"/>
    <cellStyle name="Normal 15 14" xfId="10190" xr:uid="{00000000-0005-0000-0000-0000BE2A0000}"/>
    <cellStyle name="Normal 15 14 10" xfId="10191" xr:uid="{00000000-0005-0000-0000-0000BF2A0000}"/>
    <cellStyle name="Normal 15 14 11" xfId="10192" xr:uid="{00000000-0005-0000-0000-0000C02A0000}"/>
    <cellStyle name="Normal 15 14 12" xfId="10193" xr:uid="{00000000-0005-0000-0000-0000C12A0000}"/>
    <cellStyle name="Normal 15 14 13" xfId="10194" xr:uid="{00000000-0005-0000-0000-0000C22A0000}"/>
    <cellStyle name="Normal 15 14 14" xfId="10195" xr:uid="{00000000-0005-0000-0000-0000C32A0000}"/>
    <cellStyle name="Normal 15 14 15" xfId="10196" xr:uid="{00000000-0005-0000-0000-0000C42A0000}"/>
    <cellStyle name="Normal 15 14 16" xfId="10197" xr:uid="{00000000-0005-0000-0000-0000C52A0000}"/>
    <cellStyle name="Normal 15 14 17" xfId="10198" xr:uid="{00000000-0005-0000-0000-0000C62A0000}"/>
    <cellStyle name="Normal 15 14 18" xfId="10199" xr:uid="{00000000-0005-0000-0000-0000C72A0000}"/>
    <cellStyle name="Normal 15 14 19" xfId="10200" xr:uid="{00000000-0005-0000-0000-0000C82A0000}"/>
    <cellStyle name="Normal 15 14 2" xfId="10201" xr:uid="{00000000-0005-0000-0000-0000C92A0000}"/>
    <cellStyle name="Normal 15 14 20" xfId="10202" xr:uid="{00000000-0005-0000-0000-0000CA2A0000}"/>
    <cellStyle name="Normal 15 14 21" xfId="10203" xr:uid="{00000000-0005-0000-0000-0000CB2A0000}"/>
    <cellStyle name="Normal 15 14 22" xfId="10204" xr:uid="{00000000-0005-0000-0000-0000CC2A0000}"/>
    <cellStyle name="Normal 15 14 23" xfId="10205" xr:uid="{00000000-0005-0000-0000-0000CD2A0000}"/>
    <cellStyle name="Normal 15 14 24" xfId="10206" xr:uid="{00000000-0005-0000-0000-0000CE2A0000}"/>
    <cellStyle name="Normal 15 14 25" xfId="10207" xr:uid="{00000000-0005-0000-0000-0000CF2A0000}"/>
    <cellStyle name="Normal 15 14 26" xfId="10208" xr:uid="{00000000-0005-0000-0000-0000D02A0000}"/>
    <cellStyle name="Normal 15 14 27" xfId="10209" xr:uid="{00000000-0005-0000-0000-0000D12A0000}"/>
    <cellStyle name="Normal 15 14 28" xfId="10210" xr:uid="{00000000-0005-0000-0000-0000D22A0000}"/>
    <cellStyle name="Normal 15 14 29" xfId="10211" xr:uid="{00000000-0005-0000-0000-0000D32A0000}"/>
    <cellStyle name="Normal 15 14 3" xfId="10212" xr:uid="{00000000-0005-0000-0000-0000D42A0000}"/>
    <cellStyle name="Normal 15 14 30" xfId="10213" xr:uid="{00000000-0005-0000-0000-0000D52A0000}"/>
    <cellStyle name="Normal 15 14 31" xfId="10214" xr:uid="{00000000-0005-0000-0000-0000D62A0000}"/>
    <cellStyle name="Normal 15 14 32" xfId="10215" xr:uid="{00000000-0005-0000-0000-0000D72A0000}"/>
    <cellStyle name="Normal 15 14 33" xfId="10216" xr:uid="{00000000-0005-0000-0000-0000D82A0000}"/>
    <cellStyle name="Normal 15 14 34" xfId="10217" xr:uid="{00000000-0005-0000-0000-0000D92A0000}"/>
    <cellStyle name="Normal 15 14 35" xfId="10218" xr:uid="{00000000-0005-0000-0000-0000DA2A0000}"/>
    <cellStyle name="Normal 15 14 36" xfId="10219" xr:uid="{00000000-0005-0000-0000-0000DB2A0000}"/>
    <cellStyle name="Normal 15 14 37" xfId="10220" xr:uid="{00000000-0005-0000-0000-0000DC2A0000}"/>
    <cellStyle name="Normal 15 14 4" xfId="10221" xr:uid="{00000000-0005-0000-0000-0000DD2A0000}"/>
    <cellStyle name="Normal 15 14 5" xfId="10222" xr:uid="{00000000-0005-0000-0000-0000DE2A0000}"/>
    <cellStyle name="Normal 15 14 6" xfId="10223" xr:uid="{00000000-0005-0000-0000-0000DF2A0000}"/>
    <cellStyle name="Normal 15 14 7" xfId="10224" xr:uid="{00000000-0005-0000-0000-0000E02A0000}"/>
    <cellStyle name="Normal 15 14 8" xfId="10225" xr:uid="{00000000-0005-0000-0000-0000E12A0000}"/>
    <cellStyle name="Normal 15 14 9" xfId="10226" xr:uid="{00000000-0005-0000-0000-0000E22A0000}"/>
    <cellStyle name="Normal 15 15" xfId="10227" xr:uid="{00000000-0005-0000-0000-0000E32A0000}"/>
    <cellStyle name="Normal 15 15 10" xfId="10228" xr:uid="{00000000-0005-0000-0000-0000E42A0000}"/>
    <cellStyle name="Normal 15 15 11" xfId="10229" xr:uid="{00000000-0005-0000-0000-0000E52A0000}"/>
    <cellStyle name="Normal 15 15 12" xfId="10230" xr:uid="{00000000-0005-0000-0000-0000E62A0000}"/>
    <cellStyle name="Normal 15 15 13" xfId="10231" xr:uid="{00000000-0005-0000-0000-0000E72A0000}"/>
    <cellStyle name="Normal 15 15 14" xfId="10232" xr:uid="{00000000-0005-0000-0000-0000E82A0000}"/>
    <cellStyle name="Normal 15 15 15" xfId="10233" xr:uid="{00000000-0005-0000-0000-0000E92A0000}"/>
    <cellStyle name="Normal 15 15 16" xfId="10234" xr:uid="{00000000-0005-0000-0000-0000EA2A0000}"/>
    <cellStyle name="Normal 15 15 17" xfId="10235" xr:uid="{00000000-0005-0000-0000-0000EB2A0000}"/>
    <cellStyle name="Normal 15 15 18" xfId="10236" xr:uid="{00000000-0005-0000-0000-0000EC2A0000}"/>
    <cellStyle name="Normal 15 15 19" xfId="10237" xr:uid="{00000000-0005-0000-0000-0000ED2A0000}"/>
    <cellStyle name="Normal 15 15 2" xfId="10238" xr:uid="{00000000-0005-0000-0000-0000EE2A0000}"/>
    <cellStyle name="Normal 15 15 20" xfId="10239" xr:uid="{00000000-0005-0000-0000-0000EF2A0000}"/>
    <cellStyle name="Normal 15 15 21" xfId="10240" xr:uid="{00000000-0005-0000-0000-0000F02A0000}"/>
    <cellStyle name="Normal 15 15 22" xfId="10241" xr:uid="{00000000-0005-0000-0000-0000F12A0000}"/>
    <cellStyle name="Normal 15 15 23" xfId="10242" xr:uid="{00000000-0005-0000-0000-0000F22A0000}"/>
    <cellStyle name="Normal 15 15 24" xfId="10243" xr:uid="{00000000-0005-0000-0000-0000F32A0000}"/>
    <cellStyle name="Normal 15 15 25" xfId="10244" xr:uid="{00000000-0005-0000-0000-0000F42A0000}"/>
    <cellStyle name="Normal 15 15 26" xfId="10245" xr:uid="{00000000-0005-0000-0000-0000F52A0000}"/>
    <cellStyle name="Normal 15 15 27" xfId="10246" xr:uid="{00000000-0005-0000-0000-0000F62A0000}"/>
    <cellStyle name="Normal 15 15 28" xfId="10247" xr:uid="{00000000-0005-0000-0000-0000F72A0000}"/>
    <cellStyle name="Normal 15 15 29" xfId="10248" xr:uid="{00000000-0005-0000-0000-0000F82A0000}"/>
    <cellStyle name="Normal 15 15 3" xfId="10249" xr:uid="{00000000-0005-0000-0000-0000F92A0000}"/>
    <cellStyle name="Normal 15 15 30" xfId="10250" xr:uid="{00000000-0005-0000-0000-0000FA2A0000}"/>
    <cellStyle name="Normal 15 15 31" xfId="10251" xr:uid="{00000000-0005-0000-0000-0000FB2A0000}"/>
    <cellStyle name="Normal 15 15 32" xfId="10252" xr:uid="{00000000-0005-0000-0000-0000FC2A0000}"/>
    <cellStyle name="Normal 15 15 33" xfId="10253" xr:uid="{00000000-0005-0000-0000-0000FD2A0000}"/>
    <cellStyle name="Normal 15 15 34" xfId="10254" xr:uid="{00000000-0005-0000-0000-0000FE2A0000}"/>
    <cellStyle name="Normal 15 15 35" xfId="10255" xr:uid="{00000000-0005-0000-0000-0000FF2A0000}"/>
    <cellStyle name="Normal 15 15 36" xfId="10256" xr:uid="{00000000-0005-0000-0000-0000002B0000}"/>
    <cellStyle name="Normal 15 15 37" xfId="10257" xr:uid="{00000000-0005-0000-0000-0000012B0000}"/>
    <cellStyle name="Normal 15 15 4" xfId="10258" xr:uid="{00000000-0005-0000-0000-0000022B0000}"/>
    <cellStyle name="Normal 15 15 5" xfId="10259" xr:uid="{00000000-0005-0000-0000-0000032B0000}"/>
    <cellStyle name="Normal 15 15 6" xfId="10260" xr:uid="{00000000-0005-0000-0000-0000042B0000}"/>
    <cellStyle name="Normal 15 15 7" xfId="10261" xr:uid="{00000000-0005-0000-0000-0000052B0000}"/>
    <cellStyle name="Normal 15 15 8" xfId="10262" xr:uid="{00000000-0005-0000-0000-0000062B0000}"/>
    <cellStyle name="Normal 15 15 9" xfId="10263" xr:uid="{00000000-0005-0000-0000-0000072B0000}"/>
    <cellStyle name="Normal 15 16" xfId="10264" xr:uid="{00000000-0005-0000-0000-0000082B0000}"/>
    <cellStyle name="Normal 15 16 10" xfId="10265" xr:uid="{00000000-0005-0000-0000-0000092B0000}"/>
    <cellStyle name="Normal 15 16 11" xfId="10266" xr:uid="{00000000-0005-0000-0000-00000A2B0000}"/>
    <cellStyle name="Normal 15 16 12" xfId="10267" xr:uid="{00000000-0005-0000-0000-00000B2B0000}"/>
    <cellStyle name="Normal 15 16 13" xfId="10268" xr:uid="{00000000-0005-0000-0000-00000C2B0000}"/>
    <cellStyle name="Normal 15 16 14" xfId="10269" xr:uid="{00000000-0005-0000-0000-00000D2B0000}"/>
    <cellStyle name="Normal 15 16 15" xfId="10270" xr:uid="{00000000-0005-0000-0000-00000E2B0000}"/>
    <cellStyle name="Normal 15 16 16" xfId="10271" xr:uid="{00000000-0005-0000-0000-00000F2B0000}"/>
    <cellStyle name="Normal 15 16 17" xfId="10272" xr:uid="{00000000-0005-0000-0000-0000102B0000}"/>
    <cellStyle name="Normal 15 16 18" xfId="10273" xr:uid="{00000000-0005-0000-0000-0000112B0000}"/>
    <cellStyle name="Normal 15 16 19" xfId="10274" xr:uid="{00000000-0005-0000-0000-0000122B0000}"/>
    <cellStyle name="Normal 15 16 2" xfId="10275" xr:uid="{00000000-0005-0000-0000-0000132B0000}"/>
    <cellStyle name="Normal 15 16 20" xfId="10276" xr:uid="{00000000-0005-0000-0000-0000142B0000}"/>
    <cellStyle name="Normal 15 16 21" xfId="10277" xr:uid="{00000000-0005-0000-0000-0000152B0000}"/>
    <cellStyle name="Normal 15 16 22" xfId="10278" xr:uid="{00000000-0005-0000-0000-0000162B0000}"/>
    <cellStyle name="Normal 15 16 23" xfId="10279" xr:uid="{00000000-0005-0000-0000-0000172B0000}"/>
    <cellStyle name="Normal 15 16 24" xfId="10280" xr:uid="{00000000-0005-0000-0000-0000182B0000}"/>
    <cellStyle name="Normal 15 16 25" xfId="10281" xr:uid="{00000000-0005-0000-0000-0000192B0000}"/>
    <cellStyle name="Normal 15 16 26" xfId="10282" xr:uid="{00000000-0005-0000-0000-00001A2B0000}"/>
    <cellStyle name="Normal 15 16 27" xfId="10283" xr:uid="{00000000-0005-0000-0000-00001B2B0000}"/>
    <cellStyle name="Normal 15 16 28" xfId="10284" xr:uid="{00000000-0005-0000-0000-00001C2B0000}"/>
    <cellStyle name="Normal 15 16 29" xfId="10285" xr:uid="{00000000-0005-0000-0000-00001D2B0000}"/>
    <cellStyle name="Normal 15 16 3" xfId="10286" xr:uid="{00000000-0005-0000-0000-00001E2B0000}"/>
    <cellStyle name="Normal 15 16 30" xfId="10287" xr:uid="{00000000-0005-0000-0000-00001F2B0000}"/>
    <cellStyle name="Normal 15 16 31" xfId="10288" xr:uid="{00000000-0005-0000-0000-0000202B0000}"/>
    <cellStyle name="Normal 15 16 32" xfId="10289" xr:uid="{00000000-0005-0000-0000-0000212B0000}"/>
    <cellStyle name="Normal 15 16 33" xfId="10290" xr:uid="{00000000-0005-0000-0000-0000222B0000}"/>
    <cellStyle name="Normal 15 16 34" xfId="10291" xr:uid="{00000000-0005-0000-0000-0000232B0000}"/>
    <cellStyle name="Normal 15 16 35" xfId="10292" xr:uid="{00000000-0005-0000-0000-0000242B0000}"/>
    <cellStyle name="Normal 15 16 36" xfId="10293" xr:uid="{00000000-0005-0000-0000-0000252B0000}"/>
    <cellStyle name="Normal 15 16 37" xfId="10294" xr:uid="{00000000-0005-0000-0000-0000262B0000}"/>
    <cellStyle name="Normal 15 16 4" xfId="10295" xr:uid="{00000000-0005-0000-0000-0000272B0000}"/>
    <cellStyle name="Normal 15 16 5" xfId="10296" xr:uid="{00000000-0005-0000-0000-0000282B0000}"/>
    <cellStyle name="Normal 15 16 6" xfId="10297" xr:uid="{00000000-0005-0000-0000-0000292B0000}"/>
    <cellStyle name="Normal 15 16 7" xfId="10298" xr:uid="{00000000-0005-0000-0000-00002A2B0000}"/>
    <cellStyle name="Normal 15 16 8" xfId="10299" xr:uid="{00000000-0005-0000-0000-00002B2B0000}"/>
    <cellStyle name="Normal 15 16 9" xfId="10300" xr:uid="{00000000-0005-0000-0000-00002C2B0000}"/>
    <cellStyle name="Normal 15 17" xfId="10301" xr:uid="{00000000-0005-0000-0000-00002D2B0000}"/>
    <cellStyle name="Normal 15 17 10" xfId="10302" xr:uid="{00000000-0005-0000-0000-00002E2B0000}"/>
    <cellStyle name="Normal 15 17 11" xfId="10303" xr:uid="{00000000-0005-0000-0000-00002F2B0000}"/>
    <cellStyle name="Normal 15 17 12" xfId="10304" xr:uid="{00000000-0005-0000-0000-0000302B0000}"/>
    <cellStyle name="Normal 15 17 13" xfId="10305" xr:uid="{00000000-0005-0000-0000-0000312B0000}"/>
    <cellStyle name="Normal 15 17 14" xfId="10306" xr:uid="{00000000-0005-0000-0000-0000322B0000}"/>
    <cellStyle name="Normal 15 17 15" xfId="10307" xr:uid="{00000000-0005-0000-0000-0000332B0000}"/>
    <cellStyle name="Normal 15 17 16" xfId="10308" xr:uid="{00000000-0005-0000-0000-0000342B0000}"/>
    <cellStyle name="Normal 15 17 17" xfId="10309" xr:uid="{00000000-0005-0000-0000-0000352B0000}"/>
    <cellStyle name="Normal 15 17 18" xfId="10310" xr:uid="{00000000-0005-0000-0000-0000362B0000}"/>
    <cellStyle name="Normal 15 17 19" xfId="10311" xr:uid="{00000000-0005-0000-0000-0000372B0000}"/>
    <cellStyle name="Normal 15 17 2" xfId="10312" xr:uid="{00000000-0005-0000-0000-0000382B0000}"/>
    <cellStyle name="Normal 15 17 20" xfId="10313" xr:uid="{00000000-0005-0000-0000-0000392B0000}"/>
    <cellStyle name="Normal 15 17 21" xfId="10314" xr:uid="{00000000-0005-0000-0000-00003A2B0000}"/>
    <cellStyle name="Normal 15 17 22" xfId="10315" xr:uid="{00000000-0005-0000-0000-00003B2B0000}"/>
    <cellStyle name="Normal 15 17 23" xfId="10316" xr:uid="{00000000-0005-0000-0000-00003C2B0000}"/>
    <cellStyle name="Normal 15 17 24" xfId="10317" xr:uid="{00000000-0005-0000-0000-00003D2B0000}"/>
    <cellStyle name="Normal 15 17 25" xfId="10318" xr:uid="{00000000-0005-0000-0000-00003E2B0000}"/>
    <cellStyle name="Normal 15 17 26" xfId="10319" xr:uid="{00000000-0005-0000-0000-00003F2B0000}"/>
    <cellStyle name="Normal 15 17 27" xfId="10320" xr:uid="{00000000-0005-0000-0000-0000402B0000}"/>
    <cellStyle name="Normal 15 17 28" xfId="10321" xr:uid="{00000000-0005-0000-0000-0000412B0000}"/>
    <cellStyle name="Normal 15 17 29" xfId="10322" xr:uid="{00000000-0005-0000-0000-0000422B0000}"/>
    <cellStyle name="Normal 15 17 3" xfId="10323" xr:uid="{00000000-0005-0000-0000-0000432B0000}"/>
    <cellStyle name="Normal 15 17 30" xfId="10324" xr:uid="{00000000-0005-0000-0000-0000442B0000}"/>
    <cellStyle name="Normal 15 17 31" xfId="10325" xr:uid="{00000000-0005-0000-0000-0000452B0000}"/>
    <cellStyle name="Normal 15 17 32" xfId="10326" xr:uid="{00000000-0005-0000-0000-0000462B0000}"/>
    <cellStyle name="Normal 15 17 33" xfId="10327" xr:uid="{00000000-0005-0000-0000-0000472B0000}"/>
    <cellStyle name="Normal 15 17 34" xfId="10328" xr:uid="{00000000-0005-0000-0000-0000482B0000}"/>
    <cellStyle name="Normal 15 17 35" xfId="10329" xr:uid="{00000000-0005-0000-0000-0000492B0000}"/>
    <cellStyle name="Normal 15 17 36" xfId="10330" xr:uid="{00000000-0005-0000-0000-00004A2B0000}"/>
    <cellStyle name="Normal 15 17 37" xfId="10331" xr:uid="{00000000-0005-0000-0000-00004B2B0000}"/>
    <cellStyle name="Normal 15 17 4" xfId="10332" xr:uid="{00000000-0005-0000-0000-00004C2B0000}"/>
    <cellStyle name="Normal 15 17 5" xfId="10333" xr:uid="{00000000-0005-0000-0000-00004D2B0000}"/>
    <cellStyle name="Normal 15 17 6" xfId="10334" xr:uid="{00000000-0005-0000-0000-00004E2B0000}"/>
    <cellStyle name="Normal 15 17 7" xfId="10335" xr:uid="{00000000-0005-0000-0000-00004F2B0000}"/>
    <cellStyle name="Normal 15 17 8" xfId="10336" xr:uid="{00000000-0005-0000-0000-0000502B0000}"/>
    <cellStyle name="Normal 15 17 9" xfId="10337" xr:uid="{00000000-0005-0000-0000-0000512B0000}"/>
    <cellStyle name="Normal 15 18" xfId="10338" xr:uid="{00000000-0005-0000-0000-0000522B0000}"/>
    <cellStyle name="Normal 15 19" xfId="10339" xr:uid="{00000000-0005-0000-0000-0000532B0000}"/>
    <cellStyle name="Normal 15 2" xfId="10340" xr:uid="{00000000-0005-0000-0000-0000542B0000}"/>
    <cellStyle name="Normal 15 2 10" xfId="10341" xr:uid="{00000000-0005-0000-0000-0000552B0000}"/>
    <cellStyle name="Normal 15 2 11" xfId="10342" xr:uid="{00000000-0005-0000-0000-0000562B0000}"/>
    <cellStyle name="Normal 15 2 12" xfId="10343" xr:uid="{00000000-0005-0000-0000-0000572B0000}"/>
    <cellStyle name="Normal 15 2 13" xfId="10344" xr:uid="{00000000-0005-0000-0000-0000582B0000}"/>
    <cellStyle name="Normal 15 2 14" xfId="10345" xr:uid="{00000000-0005-0000-0000-0000592B0000}"/>
    <cellStyle name="Normal 15 2 15" xfId="10346" xr:uid="{00000000-0005-0000-0000-00005A2B0000}"/>
    <cellStyle name="Normal 15 2 16" xfId="10347" xr:uid="{00000000-0005-0000-0000-00005B2B0000}"/>
    <cellStyle name="Normal 15 2 17" xfId="10348" xr:uid="{00000000-0005-0000-0000-00005C2B0000}"/>
    <cellStyle name="Normal 15 2 18" xfId="10349" xr:uid="{00000000-0005-0000-0000-00005D2B0000}"/>
    <cellStyle name="Normal 15 2 19" xfId="10350" xr:uid="{00000000-0005-0000-0000-00005E2B0000}"/>
    <cellStyle name="Normal 15 2 2" xfId="10351" xr:uid="{00000000-0005-0000-0000-00005F2B0000}"/>
    <cellStyle name="Normal 15 2 20" xfId="10352" xr:uid="{00000000-0005-0000-0000-0000602B0000}"/>
    <cellStyle name="Normal 15 2 21" xfId="10353" xr:uid="{00000000-0005-0000-0000-0000612B0000}"/>
    <cellStyle name="Normal 15 2 22" xfId="10354" xr:uid="{00000000-0005-0000-0000-0000622B0000}"/>
    <cellStyle name="Normal 15 2 23" xfId="10355" xr:uid="{00000000-0005-0000-0000-0000632B0000}"/>
    <cellStyle name="Normal 15 2 24" xfId="10356" xr:uid="{00000000-0005-0000-0000-0000642B0000}"/>
    <cellStyle name="Normal 15 2 25" xfId="10357" xr:uid="{00000000-0005-0000-0000-0000652B0000}"/>
    <cellStyle name="Normal 15 2 26" xfId="10358" xr:uid="{00000000-0005-0000-0000-0000662B0000}"/>
    <cellStyle name="Normal 15 2 27" xfId="10359" xr:uid="{00000000-0005-0000-0000-0000672B0000}"/>
    <cellStyle name="Normal 15 2 28" xfId="10360" xr:uid="{00000000-0005-0000-0000-0000682B0000}"/>
    <cellStyle name="Normal 15 2 29" xfId="10361" xr:uid="{00000000-0005-0000-0000-0000692B0000}"/>
    <cellStyle name="Normal 15 2 3" xfId="10362" xr:uid="{00000000-0005-0000-0000-00006A2B0000}"/>
    <cellStyle name="Normal 15 2 30" xfId="10363" xr:uid="{00000000-0005-0000-0000-00006B2B0000}"/>
    <cellStyle name="Normal 15 2 31" xfId="10364" xr:uid="{00000000-0005-0000-0000-00006C2B0000}"/>
    <cellStyle name="Normal 15 2 32" xfId="10365" xr:uid="{00000000-0005-0000-0000-00006D2B0000}"/>
    <cellStyle name="Normal 15 2 33" xfId="10366" xr:uid="{00000000-0005-0000-0000-00006E2B0000}"/>
    <cellStyle name="Normal 15 2 34" xfId="10367" xr:uid="{00000000-0005-0000-0000-00006F2B0000}"/>
    <cellStyle name="Normal 15 2 35" xfId="10368" xr:uid="{00000000-0005-0000-0000-0000702B0000}"/>
    <cellStyle name="Normal 15 2 36" xfId="10369" xr:uid="{00000000-0005-0000-0000-0000712B0000}"/>
    <cellStyle name="Normal 15 2 37" xfId="10370" xr:uid="{00000000-0005-0000-0000-0000722B0000}"/>
    <cellStyle name="Normal 15 2 38" xfId="10371" xr:uid="{00000000-0005-0000-0000-0000732B0000}"/>
    <cellStyle name="Normal 15 2 39" xfId="10372" xr:uid="{00000000-0005-0000-0000-0000742B0000}"/>
    <cellStyle name="Normal 15 2 4" xfId="10373" xr:uid="{00000000-0005-0000-0000-0000752B0000}"/>
    <cellStyle name="Normal 15 2 40" xfId="10374" xr:uid="{00000000-0005-0000-0000-0000762B0000}"/>
    <cellStyle name="Normal 15 2 41" xfId="10375" xr:uid="{00000000-0005-0000-0000-0000772B0000}"/>
    <cellStyle name="Normal 15 2 42" xfId="10376" xr:uid="{00000000-0005-0000-0000-0000782B0000}"/>
    <cellStyle name="Normal 15 2 43" xfId="10377" xr:uid="{00000000-0005-0000-0000-0000792B0000}"/>
    <cellStyle name="Normal 15 2 44" xfId="10378" xr:uid="{00000000-0005-0000-0000-00007A2B0000}"/>
    <cellStyle name="Normal 15 2 45" xfId="10379" xr:uid="{00000000-0005-0000-0000-00007B2B0000}"/>
    <cellStyle name="Normal 15 2 5" xfId="10380" xr:uid="{00000000-0005-0000-0000-00007C2B0000}"/>
    <cellStyle name="Normal 15 2 6" xfId="10381" xr:uid="{00000000-0005-0000-0000-00007D2B0000}"/>
    <cellStyle name="Normal 15 2 7" xfId="10382" xr:uid="{00000000-0005-0000-0000-00007E2B0000}"/>
    <cellStyle name="Normal 15 2 8" xfId="10383" xr:uid="{00000000-0005-0000-0000-00007F2B0000}"/>
    <cellStyle name="Normal 15 2 9" xfId="10384" xr:uid="{00000000-0005-0000-0000-0000802B0000}"/>
    <cellStyle name="Normal 15 20" xfId="10385" xr:uid="{00000000-0005-0000-0000-0000812B0000}"/>
    <cellStyle name="Normal 15 21" xfId="10386" xr:uid="{00000000-0005-0000-0000-0000822B0000}"/>
    <cellStyle name="Normal 15 22" xfId="10387" xr:uid="{00000000-0005-0000-0000-0000832B0000}"/>
    <cellStyle name="Normal 15 23" xfId="10388" xr:uid="{00000000-0005-0000-0000-0000842B0000}"/>
    <cellStyle name="Normal 15 24" xfId="10389" xr:uid="{00000000-0005-0000-0000-0000852B0000}"/>
    <cellStyle name="Normal 15 25" xfId="10390" xr:uid="{00000000-0005-0000-0000-0000862B0000}"/>
    <cellStyle name="Normal 15 26" xfId="10391" xr:uid="{00000000-0005-0000-0000-0000872B0000}"/>
    <cellStyle name="Normal 15 27" xfId="10392" xr:uid="{00000000-0005-0000-0000-0000882B0000}"/>
    <cellStyle name="Normal 15 28" xfId="10393" xr:uid="{00000000-0005-0000-0000-0000892B0000}"/>
    <cellStyle name="Normal 15 29" xfId="10394" xr:uid="{00000000-0005-0000-0000-00008A2B0000}"/>
    <cellStyle name="Normal 15 3" xfId="10395" xr:uid="{00000000-0005-0000-0000-00008B2B0000}"/>
    <cellStyle name="Normal 15 3 10" xfId="10396" xr:uid="{00000000-0005-0000-0000-00008C2B0000}"/>
    <cellStyle name="Normal 15 3 11" xfId="10397" xr:uid="{00000000-0005-0000-0000-00008D2B0000}"/>
    <cellStyle name="Normal 15 3 12" xfId="10398" xr:uid="{00000000-0005-0000-0000-00008E2B0000}"/>
    <cellStyle name="Normal 15 3 13" xfId="10399" xr:uid="{00000000-0005-0000-0000-00008F2B0000}"/>
    <cellStyle name="Normal 15 3 14" xfId="10400" xr:uid="{00000000-0005-0000-0000-0000902B0000}"/>
    <cellStyle name="Normal 15 3 15" xfId="10401" xr:uid="{00000000-0005-0000-0000-0000912B0000}"/>
    <cellStyle name="Normal 15 3 16" xfId="10402" xr:uid="{00000000-0005-0000-0000-0000922B0000}"/>
    <cellStyle name="Normal 15 3 17" xfId="10403" xr:uid="{00000000-0005-0000-0000-0000932B0000}"/>
    <cellStyle name="Normal 15 3 18" xfId="10404" xr:uid="{00000000-0005-0000-0000-0000942B0000}"/>
    <cellStyle name="Normal 15 3 19" xfId="10405" xr:uid="{00000000-0005-0000-0000-0000952B0000}"/>
    <cellStyle name="Normal 15 3 2" xfId="10406" xr:uid="{00000000-0005-0000-0000-0000962B0000}"/>
    <cellStyle name="Normal 15 3 20" xfId="10407" xr:uid="{00000000-0005-0000-0000-0000972B0000}"/>
    <cellStyle name="Normal 15 3 21" xfId="10408" xr:uid="{00000000-0005-0000-0000-0000982B0000}"/>
    <cellStyle name="Normal 15 3 22" xfId="10409" xr:uid="{00000000-0005-0000-0000-0000992B0000}"/>
    <cellStyle name="Normal 15 3 23" xfId="10410" xr:uid="{00000000-0005-0000-0000-00009A2B0000}"/>
    <cellStyle name="Normal 15 3 24" xfId="10411" xr:uid="{00000000-0005-0000-0000-00009B2B0000}"/>
    <cellStyle name="Normal 15 3 25" xfId="10412" xr:uid="{00000000-0005-0000-0000-00009C2B0000}"/>
    <cellStyle name="Normal 15 3 26" xfId="10413" xr:uid="{00000000-0005-0000-0000-00009D2B0000}"/>
    <cellStyle name="Normal 15 3 27" xfId="10414" xr:uid="{00000000-0005-0000-0000-00009E2B0000}"/>
    <cellStyle name="Normal 15 3 28" xfId="10415" xr:uid="{00000000-0005-0000-0000-00009F2B0000}"/>
    <cellStyle name="Normal 15 3 29" xfId="10416" xr:uid="{00000000-0005-0000-0000-0000A02B0000}"/>
    <cellStyle name="Normal 15 3 3" xfId="10417" xr:uid="{00000000-0005-0000-0000-0000A12B0000}"/>
    <cellStyle name="Normal 15 3 30" xfId="10418" xr:uid="{00000000-0005-0000-0000-0000A22B0000}"/>
    <cellStyle name="Normal 15 3 31" xfId="10419" xr:uid="{00000000-0005-0000-0000-0000A32B0000}"/>
    <cellStyle name="Normal 15 3 32" xfId="10420" xr:uid="{00000000-0005-0000-0000-0000A42B0000}"/>
    <cellStyle name="Normal 15 3 33" xfId="10421" xr:uid="{00000000-0005-0000-0000-0000A52B0000}"/>
    <cellStyle name="Normal 15 3 34" xfId="10422" xr:uid="{00000000-0005-0000-0000-0000A62B0000}"/>
    <cellStyle name="Normal 15 3 35" xfId="10423" xr:uid="{00000000-0005-0000-0000-0000A72B0000}"/>
    <cellStyle name="Normal 15 3 36" xfId="10424" xr:uid="{00000000-0005-0000-0000-0000A82B0000}"/>
    <cellStyle name="Normal 15 3 37" xfId="10425" xr:uid="{00000000-0005-0000-0000-0000A92B0000}"/>
    <cellStyle name="Normal 15 3 38" xfId="10426" xr:uid="{00000000-0005-0000-0000-0000AA2B0000}"/>
    <cellStyle name="Normal 15 3 39" xfId="10427" xr:uid="{00000000-0005-0000-0000-0000AB2B0000}"/>
    <cellStyle name="Normal 15 3 4" xfId="10428" xr:uid="{00000000-0005-0000-0000-0000AC2B0000}"/>
    <cellStyle name="Normal 15 3 40" xfId="10429" xr:uid="{00000000-0005-0000-0000-0000AD2B0000}"/>
    <cellStyle name="Normal 15 3 41" xfId="10430" xr:uid="{00000000-0005-0000-0000-0000AE2B0000}"/>
    <cellStyle name="Normal 15 3 42" xfId="10431" xr:uid="{00000000-0005-0000-0000-0000AF2B0000}"/>
    <cellStyle name="Normal 15 3 43" xfId="10432" xr:uid="{00000000-0005-0000-0000-0000B02B0000}"/>
    <cellStyle name="Normal 15 3 44" xfId="10433" xr:uid="{00000000-0005-0000-0000-0000B12B0000}"/>
    <cellStyle name="Normal 15 3 45" xfId="10434" xr:uid="{00000000-0005-0000-0000-0000B22B0000}"/>
    <cellStyle name="Normal 15 3 5" xfId="10435" xr:uid="{00000000-0005-0000-0000-0000B32B0000}"/>
    <cellStyle name="Normal 15 3 6" xfId="10436" xr:uid="{00000000-0005-0000-0000-0000B42B0000}"/>
    <cellStyle name="Normal 15 3 7" xfId="10437" xr:uid="{00000000-0005-0000-0000-0000B52B0000}"/>
    <cellStyle name="Normal 15 3 8" xfId="10438" xr:uid="{00000000-0005-0000-0000-0000B62B0000}"/>
    <cellStyle name="Normal 15 3 9" xfId="10439" xr:uid="{00000000-0005-0000-0000-0000B72B0000}"/>
    <cellStyle name="Normal 15 30" xfId="10440" xr:uid="{00000000-0005-0000-0000-0000B82B0000}"/>
    <cellStyle name="Normal 15 31" xfId="10441" xr:uid="{00000000-0005-0000-0000-0000B92B0000}"/>
    <cellStyle name="Normal 15 32" xfId="10442" xr:uid="{00000000-0005-0000-0000-0000BA2B0000}"/>
    <cellStyle name="Normal 15 33" xfId="10443" xr:uid="{00000000-0005-0000-0000-0000BB2B0000}"/>
    <cellStyle name="Normal 15 34" xfId="10444" xr:uid="{00000000-0005-0000-0000-0000BC2B0000}"/>
    <cellStyle name="Normal 15 35" xfId="10445" xr:uid="{00000000-0005-0000-0000-0000BD2B0000}"/>
    <cellStyle name="Normal 15 36" xfId="10446" xr:uid="{00000000-0005-0000-0000-0000BE2B0000}"/>
    <cellStyle name="Normal 15 37" xfId="10447" xr:uid="{00000000-0005-0000-0000-0000BF2B0000}"/>
    <cellStyle name="Normal 15 38" xfId="10448" xr:uid="{00000000-0005-0000-0000-0000C02B0000}"/>
    <cellStyle name="Normal 15 39" xfId="10449" xr:uid="{00000000-0005-0000-0000-0000C12B0000}"/>
    <cellStyle name="Normal 15 4" xfId="10450" xr:uid="{00000000-0005-0000-0000-0000C22B0000}"/>
    <cellStyle name="Normal 15 4 10" xfId="10451" xr:uid="{00000000-0005-0000-0000-0000C32B0000}"/>
    <cellStyle name="Normal 15 4 11" xfId="10452" xr:uid="{00000000-0005-0000-0000-0000C42B0000}"/>
    <cellStyle name="Normal 15 4 12" xfId="10453" xr:uid="{00000000-0005-0000-0000-0000C52B0000}"/>
    <cellStyle name="Normal 15 4 13" xfId="10454" xr:uid="{00000000-0005-0000-0000-0000C62B0000}"/>
    <cellStyle name="Normal 15 4 14" xfId="10455" xr:uid="{00000000-0005-0000-0000-0000C72B0000}"/>
    <cellStyle name="Normal 15 4 15" xfId="10456" xr:uid="{00000000-0005-0000-0000-0000C82B0000}"/>
    <cellStyle name="Normal 15 4 16" xfId="10457" xr:uid="{00000000-0005-0000-0000-0000C92B0000}"/>
    <cellStyle name="Normal 15 4 17" xfId="10458" xr:uid="{00000000-0005-0000-0000-0000CA2B0000}"/>
    <cellStyle name="Normal 15 4 18" xfId="10459" xr:uid="{00000000-0005-0000-0000-0000CB2B0000}"/>
    <cellStyle name="Normal 15 4 19" xfId="10460" xr:uid="{00000000-0005-0000-0000-0000CC2B0000}"/>
    <cellStyle name="Normal 15 4 2" xfId="10461" xr:uid="{00000000-0005-0000-0000-0000CD2B0000}"/>
    <cellStyle name="Normal 15 4 20" xfId="10462" xr:uid="{00000000-0005-0000-0000-0000CE2B0000}"/>
    <cellStyle name="Normal 15 4 21" xfId="10463" xr:uid="{00000000-0005-0000-0000-0000CF2B0000}"/>
    <cellStyle name="Normal 15 4 22" xfId="10464" xr:uid="{00000000-0005-0000-0000-0000D02B0000}"/>
    <cellStyle name="Normal 15 4 23" xfId="10465" xr:uid="{00000000-0005-0000-0000-0000D12B0000}"/>
    <cellStyle name="Normal 15 4 24" xfId="10466" xr:uid="{00000000-0005-0000-0000-0000D22B0000}"/>
    <cellStyle name="Normal 15 4 25" xfId="10467" xr:uid="{00000000-0005-0000-0000-0000D32B0000}"/>
    <cellStyle name="Normal 15 4 26" xfId="10468" xr:uid="{00000000-0005-0000-0000-0000D42B0000}"/>
    <cellStyle name="Normal 15 4 27" xfId="10469" xr:uid="{00000000-0005-0000-0000-0000D52B0000}"/>
    <cellStyle name="Normal 15 4 28" xfId="10470" xr:uid="{00000000-0005-0000-0000-0000D62B0000}"/>
    <cellStyle name="Normal 15 4 29" xfId="10471" xr:uid="{00000000-0005-0000-0000-0000D72B0000}"/>
    <cellStyle name="Normal 15 4 3" xfId="10472" xr:uid="{00000000-0005-0000-0000-0000D82B0000}"/>
    <cellStyle name="Normal 15 4 30" xfId="10473" xr:uid="{00000000-0005-0000-0000-0000D92B0000}"/>
    <cellStyle name="Normal 15 4 31" xfId="10474" xr:uid="{00000000-0005-0000-0000-0000DA2B0000}"/>
    <cellStyle name="Normal 15 4 32" xfId="10475" xr:uid="{00000000-0005-0000-0000-0000DB2B0000}"/>
    <cellStyle name="Normal 15 4 33" xfId="10476" xr:uid="{00000000-0005-0000-0000-0000DC2B0000}"/>
    <cellStyle name="Normal 15 4 34" xfId="10477" xr:uid="{00000000-0005-0000-0000-0000DD2B0000}"/>
    <cellStyle name="Normal 15 4 35" xfId="10478" xr:uid="{00000000-0005-0000-0000-0000DE2B0000}"/>
    <cellStyle name="Normal 15 4 36" xfId="10479" xr:uid="{00000000-0005-0000-0000-0000DF2B0000}"/>
    <cellStyle name="Normal 15 4 37" xfId="10480" xr:uid="{00000000-0005-0000-0000-0000E02B0000}"/>
    <cellStyle name="Normal 15 4 38" xfId="10481" xr:uid="{00000000-0005-0000-0000-0000E12B0000}"/>
    <cellStyle name="Normal 15 4 39" xfId="10482" xr:uid="{00000000-0005-0000-0000-0000E22B0000}"/>
    <cellStyle name="Normal 15 4 4" xfId="10483" xr:uid="{00000000-0005-0000-0000-0000E32B0000}"/>
    <cellStyle name="Normal 15 4 40" xfId="10484" xr:uid="{00000000-0005-0000-0000-0000E42B0000}"/>
    <cellStyle name="Normal 15 4 41" xfId="10485" xr:uid="{00000000-0005-0000-0000-0000E52B0000}"/>
    <cellStyle name="Normal 15 4 42" xfId="10486" xr:uid="{00000000-0005-0000-0000-0000E62B0000}"/>
    <cellStyle name="Normal 15 4 43" xfId="10487" xr:uid="{00000000-0005-0000-0000-0000E72B0000}"/>
    <cellStyle name="Normal 15 4 44" xfId="10488" xr:uid="{00000000-0005-0000-0000-0000E82B0000}"/>
    <cellStyle name="Normal 15 4 45" xfId="10489" xr:uid="{00000000-0005-0000-0000-0000E92B0000}"/>
    <cellStyle name="Normal 15 4 5" xfId="10490" xr:uid="{00000000-0005-0000-0000-0000EA2B0000}"/>
    <cellStyle name="Normal 15 4 6" xfId="10491" xr:uid="{00000000-0005-0000-0000-0000EB2B0000}"/>
    <cellStyle name="Normal 15 4 7" xfId="10492" xr:uid="{00000000-0005-0000-0000-0000EC2B0000}"/>
    <cellStyle name="Normal 15 4 8" xfId="10493" xr:uid="{00000000-0005-0000-0000-0000ED2B0000}"/>
    <cellStyle name="Normal 15 4 9" xfId="10494" xr:uid="{00000000-0005-0000-0000-0000EE2B0000}"/>
    <cellStyle name="Normal 15 40" xfId="10495" xr:uid="{00000000-0005-0000-0000-0000EF2B0000}"/>
    <cellStyle name="Normal 15 41" xfId="10496" xr:uid="{00000000-0005-0000-0000-0000F02B0000}"/>
    <cellStyle name="Normal 15 42" xfId="10497" xr:uid="{00000000-0005-0000-0000-0000F12B0000}"/>
    <cellStyle name="Normal 15 43" xfId="10498" xr:uid="{00000000-0005-0000-0000-0000F22B0000}"/>
    <cellStyle name="Normal 15 44" xfId="10499" xr:uid="{00000000-0005-0000-0000-0000F32B0000}"/>
    <cellStyle name="Normal 15 45" xfId="10500" xr:uid="{00000000-0005-0000-0000-0000F42B0000}"/>
    <cellStyle name="Normal 15 46" xfId="10501" xr:uid="{00000000-0005-0000-0000-0000F52B0000}"/>
    <cellStyle name="Normal 15 47" xfId="10502" xr:uid="{00000000-0005-0000-0000-0000F62B0000}"/>
    <cellStyle name="Normal 15 48" xfId="10503" xr:uid="{00000000-0005-0000-0000-0000F72B0000}"/>
    <cellStyle name="Normal 15 49" xfId="10504" xr:uid="{00000000-0005-0000-0000-0000F82B0000}"/>
    <cellStyle name="Normal 15 5" xfId="10505" xr:uid="{00000000-0005-0000-0000-0000F92B0000}"/>
    <cellStyle name="Normal 15 5 10" xfId="10506" xr:uid="{00000000-0005-0000-0000-0000FA2B0000}"/>
    <cellStyle name="Normal 15 5 11" xfId="10507" xr:uid="{00000000-0005-0000-0000-0000FB2B0000}"/>
    <cellStyle name="Normal 15 5 12" xfId="10508" xr:uid="{00000000-0005-0000-0000-0000FC2B0000}"/>
    <cellStyle name="Normal 15 5 13" xfId="10509" xr:uid="{00000000-0005-0000-0000-0000FD2B0000}"/>
    <cellStyle name="Normal 15 5 14" xfId="10510" xr:uid="{00000000-0005-0000-0000-0000FE2B0000}"/>
    <cellStyle name="Normal 15 5 15" xfId="10511" xr:uid="{00000000-0005-0000-0000-0000FF2B0000}"/>
    <cellStyle name="Normal 15 5 16" xfId="10512" xr:uid="{00000000-0005-0000-0000-0000002C0000}"/>
    <cellStyle name="Normal 15 5 17" xfId="10513" xr:uid="{00000000-0005-0000-0000-0000012C0000}"/>
    <cellStyle name="Normal 15 5 18" xfId="10514" xr:uid="{00000000-0005-0000-0000-0000022C0000}"/>
    <cellStyle name="Normal 15 5 19" xfId="10515" xr:uid="{00000000-0005-0000-0000-0000032C0000}"/>
    <cellStyle name="Normal 15 5 2" xfId="10516" xr:uid="{00000000-0005-0000-0000-0000042C0000}"/>
    <cellStyle name="Normal 15 5 20" xfId="10517" xr:uid="{00000000-0005-0000-0000-0000052C0000}"/>
    <cellStyle name="Normal 15 5 21" xfId="10518" xr:uid="{00000000-0005-0000-0000-0000062C0000}"/>
    <cellStyle name="Normal 15 5 22" xfId="10519" xr:uid="{00000000-0005-0000-0000-0000072C0000}"/>
    <cellStyle name="Normal 15 5 23" xfId="10520" xr:uid="{00000000-0005-0000-0000-0000082C0000}"/>
    <cellStyle name="Normal 15 5 24" xfId="10521" xr:uid="{00000000-0005-0000-0000-0000092C0000}"/>
    <cellStyle name="Normal 15 5 25" xfId="10522" xr:uid="{00000000-0005-0000-0000-00000A2C0000}"/>
    <cellStyle name="Normal 15 5 26" xfId="10523" xr:uid="{00000000-0005-0000-0000-00000B2C0000}"/>
    <cellStyle name="Normal 15 5 27" xfId="10524" xr:uid="{00000000-0005-0000-0000-00000C2C0000}"/>
    <cellStyle name="Normal 15 5 28" xfId="10525" xr:uid="{00000000-0005-0000-0000-00000D2C0000}"/>
    <cellStyle name="Normal 15 5 29" xfId="10526" xr:uid="{00000000-0005-0000-0000-00000E2C0000}"/>
    <cellStyle name="Normal 15 5 3" xfId="10527" xr:uid="{00000000-0005-0000-0000-00000F2C0000}"/>
    <cellStyle name="Normal 15 5 30" xfId="10528" xr:uid="{00000000-0005-0000-0000-0000102C0000}"/>
    <cellStyle name="Normal 15 5 31" xfId="10529" xr:uid="{00000000-0005-0000-0000-0000112C0000}"/>
    <cellStyle name="Normal 15 5 32" xfId="10530" xr:uid="{00000000-0005-0000-0000-0000122C0000}"/>
    <cellStyle name="Normal 15 5 33" xfId="10531" xr:uid="{00000000-0005-0000-0000-0000132C0000}"/>
    <cellStyle name="Normal 15 5 34" xfId="10532" xr:uid="{00000000-0005-0000-0000-0000142C0000}"/>
    <cellStyle name="Normal 15 5 35" xfId="10533" xr:uid="{00000000-0005-0000-0000-0000152C0000}"/>
    <cellStyle name="Normal 15 5 36" xfId="10534" xr:uid="{00000000-0005-0000-0000-0000162C0000}"/>
    <cellStyle name="Normal 15 5 37" xfId="10535" xr:uid="{00000000-0005-0000-0000-0000172C0000}"/>
    <cellStyle name="Normal 15 5 38" xfId="10536" xr:uid="{00000000-0005-0000-0000-0000182C0000}"/>
    <cellStyle name="Normal 15 5 39" xfId="10537" xr:uid="{00000000-0005-0000-0000-0000192C0000}"/>
    <cellStyle name="Normal 15 5 4" xfId="10538" xr:uid="{00000000-0005-0000-0000-00001A2C0000}"/>
    <cellStyle name="Normal 15 5 40" xfId="10539" xr:uid="{00000000-0005-0000-0000-00001B2C0000}"/>
    <cellStyle name="Normal 15 5 41" xfId="10540" xr:uid="{00000000-0005-0000-0000-00001C2C0000}"/>
    <cellStyle name="Normal 15 5 42" xfId="10541" xr:uid="{00000000-0005-0000-0000-00001D2C0000}"/>
    <cellStyle name="Normal 15 5 43" xfId="10542" xr:uid="{00000000-0005-0000-0000-00001E2C0000}"/>
    <cellStyle name="Normal 15 5 44" xfId="10543" xr:uid="{00000000-0005-0000-0000-00001F2C0000}"/>
    <cellStyle name="Normal 15 5 45" xfId="10544" xr:uid="{00000000-0005-0000-0000-0000202C0000}"/>
    <cellStyle name="Normal 15 5 5" xfId="10545" xr:uid="{00000000-0005-0000-0000-0000212C0000}"/>
    <cellStyle name="Normal 15 5 6" xfId="10546" xr:uid="{00000000-0005-0000-0000-0000222C0000}"/>
    <cellStyle name="Normal 15 5 7" xfId="10547" xr:uid="{00000000-0005-0000-0000-0000232C0000}"/>
    <cellStyle name="Normal 15 5 8" xfId="10548" xr:uid="{00000000-0005-0000-0000-0000242C0000}"/>
    <cellStyle name="Normal 15 5 9" xfId="10549" xr:uid="{00000000-0005-0000-0000-0000252C0000}"/>
    <cellStyle name="Normal 15 50" xfId="10550" xr:uid="{00000000-0005-0000-0000-0000262C0000}"/>
    <cellStyle name="Normal 15 51" xfId="10551" xr:uid="{00000000-0005-0000-0000-0000272C0000}"/>
    <cellStyle name="Normal 15 6" xfId="10552" xr:uid="{00000000-0005-0000-0000-0000282C0000}"/>
    <cellStyle name="Normal 15 6 10" xfId="10553" xr:uid="{00000000-0005-0000-0000-0000292C0000}"/>
    <cellStyle name="Normal 15 6 11" xfId="10554" xr:uid="{00000000-0005-0000-0000-00002A2C0000}"/>
    <cellStyle name="Normal 15 6 12" xfId="10555" xr:uid="{00000000-0005-0000-0000-00002B2C0000}"/>
    <cellStyle name="Normal 15 6 13" xfId="10556" xr:uid="{00000000-0005-0000-0000-00002C2C0000}"/>
    <cellStyle name="Normal 15 6 14" xfId="10557" xr:uid="{00000000-0005-0000-0000-00002D2C0000}"/>
    <cellStyle name="Normal 15 6 15" xfId="10558" xr:uid="{00000000-0005-0000-0000-00002E2C0000}"/>
    <cellStyle name="Normal 15 6 16" xfId="10559" xr:uid="{00000000-0005-0000-0000-00002F2C0000}"/>
    <cellStyle name="Normal 15 6 17" xfId="10560" xr:uid="{00000000-0005-0000-0000-0000302C0000}"/>
    <cellStyle name="Normal 15 6 18" xfId="10561" xr:uid="{00000000-0005-0000-0000-0000312C0000}"/>
    <cellStyle name="Normal 15 6 19" xfId="10562" xr:uid="{00000000-0005-0000-0000-0000322C0000}"/>
    <cellStyle name="Normal 15 6 2" xfId="10563" xr:uid="{00000000-0005-0000-0000-0000332C0000}"/>
    <cellStyle name="Normal 15 6 20" xfId="10564" xr:uid="{00000000-0005-0000-0000-0000342C0000}"/>
    <cellStyle name="Normal 15 6 21" xfId="10565" xr:uid="{00000000-0005-0000-0000-0000352C0000}"/>
    <cellStyle name="Normal 15 6 22" xfId="10566" xr:uid="{00000000-0005-0000-0000-0000362C0000}"/>
    <cellStyle name="Normal 15 6 23" xfId="10567" xr:uid="{00000000-0005-0000-0000-0000372C0000}"/>
    <cellStyle name="Normal 15 6 24" xfId="10568" xr:uid="{00000000-0005-0000-0000-0000382C0000}"/>
    <cellStyle name="Normal 15 6 25" xfId="10569" xr:uid="{00000000-0005-0000-0000-0000392C0000}"/>
    <cellStyle name="Normal 15 6 26" xfId="10570" xr:uid="{00000000-0005-0000-0000-00003A2C0000}"/>
    <cellStyle name="Normal 15 6 27" xfId="10571" xr:uid="{00000000-0005-0000-0000-00003B2C0000}"/>
    <cellStyle name="Normal 15 6 28" xfId="10572" xr:uid="{00000000-0005-0000-0000-00003C2C0000}"/>
    <cellStyle name="Normal 15 6 29" xfId="10573" xr:uid="{00000000-0005-0000-0000-00003D2C0000}"/>
    <cellStyle name="Normal 15 6 3" xfId="10574" xr:uid="{00000000-0005-0000-0000-00003E2C0000}"/>
    <cellStyle name="Normal 15 6 30" xfId="10575" xr:uid="{00000000-0005-0000-0000-00003F2C0000}"/>
    <cellStyle name="Normal 15 6 31" xfId="10576" xr:uid="{00000000-0005-0000-0000-0000402C0000}"/>
    <cellStyle name="Normal 15 6 32" xfId="10577" xr:uid="{00000000-0005-0000-0000-0000412C0000}"/>
    <cellStyle name="Normal 15 6 33" xfId="10578" xr:uid="{00000000-0005-0000-0000-0000422C0000}"/>
    <cellStyle name="Normal 15 6 34" xfId="10579" xr:uid="{00000000-0005-0000-0000-0000432C0000}"/>
    <cellStyle name="Normal 15 6 35" xfId="10580" xr:uid="{00000000-0005-0000-0000-0000442C0000}"/>
    <cellStyle name="Normal 15 6 36" xfId="10581" xr:uid="{00000000-0005-0000-0000-0000452C0000}"/>
    <cellStyle name="Normal 15 6 37" xfId="10582" xr:uid="{00000000-0005-0000-0000-0000462C0000}"/>
    <cellStyle name="Normal 15 6 38" xfId="10583" xr:uid="{00000000-0005-0000-0000-0000472C0000}"/>
    <cellStyle name="Normal 15 6 39" xfId="10584" xr:uid="{00000000-0005-0000-0000-0000482C0000}"/>
    <cellStyle name="Normal 15 6 4" xfId="10585" xr:uid="{00000000-0005-0000-0000-0000492C0000}"/>
    <cellStyle name="Normal 15 6 40" xfId="10586" xr:uid="{00000000-0005-0000-0000-00004A2C0000}"/>
    <cellStyle name="Normal 15 6 41" xfId="10587" xr:uid="{00000000-0005-0000-0000-00004B2C0000}"/>
    <cellStyle name="Normal 15 6 42" xfId="10588" xr:uid="{00000000-0005-0000-0000-00004C2C0000}"/>
    <cellStyle name="Normal 15 6 43" xfId="10589" xr:uid="{00000000-0005-0000-0000-00004D2C0000}"/>
    <cellStyle name="Normal 15 6 44" xfId="10590" xr:uid="{00000000-0005-0000-0000-00004E2C0000}"/>
    <cellStyle name="Normal 15 6 45" xfId="10591" xr:uid="{00000000-0005-0000-0000-00004F2C0000}"/>
    <cellStyle name="Normal 15 6 5" xfId="10592" xr:uid="{00000000-0005-0000-0000-0000502C0000}"/>
    <cellStyle name="Normal 15 6 6" xfId="10593" xr:uid="{00000000-0005-0000-0000-0000512C0000}"/>
    <cellStyle name="Normal 15 6 7" xfId="10594" xr:uid="{00000000-0005-0000-0000-0000522C0000}"/>
    <cellStyle name="Normal 15 6 8" xfId="10595" xr:uid="{00000000-0005-0000-0000-0000532C0000}"/>
    <cellStyle name="Normal 15 6 9" xfId="10596" xr:uid="{00000000-0005-0000-0000-0000542C0000}"/>
    <cellStyle name="Normal 15 7" xfId="10597" xr:uid="{00000000-0005-0000-0000-0000552C0000}"/>
    <cellStyle name="Normal 15 7 10" xfId="10598" xr:uid="{00000000-0005-0000-0000-0000562C0000}"/>
    <cellStyle name="Normal 15 7 11" xfId="10599" xr:uid="{00000000-0005-0000-0000-0000572C0000}"/>
    <cellStyle name="Normal 15 7 12" xfId="10600" xr:uid="{00000000-0005-0000-0000-0000582C0000}"/>
    <cellStyle name="Normal 15 7 13" xfId="10601" xr:uid="{00000000-0005-0000-0000-0000592C0000}"/>
    <cellStyle name="Normal 15 7 14" xfId="10602" xr:uid="{00000000-0005-0000-0000-00005A2C0000}"/>
    <cellStyle name="Normal 15 7 15" xfId="10603" xr:uid="{00000000-0005-0000-0000-00005B2C0000}"/>
    <cellStyle name="Normal 15 7 16" xfId="10604" xr:uid="{00000000-0005-0000-0000-00005C2C0000}"/>
    <cellStyle name="Normal 15 7 17" xfId="10605" xr:uid="{00000000-0005-0000-0000-00005D2C0000}"/>
    <cellStyle name="Normal 15 7 18" xfId="10606" xr:uid="{00000000-0005-0000-0000-00005E2C0000}"/>
    <cellStyle name="Normal 15 7 19" xfId="10607" xr:uid="{00000000-0005-0000-0000-00005F2C0000}"/>
    <cellStyle name="Normal 15 7 2" xfId="10608" xr:uid="{00000000-0005-0000-0000-0000602C0000}"/>
    <cellStyle name="Normal 15 7 20" xfId="10609" xr:uid="{00000000-0005-0000-0000-0000612C0000}"/>
    <cellStyle name="Normal 15 7 21" xfId="10610" xr:uid="{00000000-0005-0000-0000-0000622C0000}"/>
    <cellStyle name="Normal 15 7 22" xfId="10611" xr:uid="{00000000-0005-0000-0000-0000632C0000}"/>
    <cellStyle name="Normal 15 7 23" xfId="10612" xr:uid="{00000000-0005-0000-0000-0000642C0000}"/>
    <cellStyle name="Normal 15 7 24" xfId="10613" xr:uid="{00000000-0005-0000-0000-0000652C0000}"/>
    <cellStyle name="Normal 15 7 25" xfId="10614" xr:uid="{00000000-0005-0000-0000-0000662C0000}"/>
    <cellStyle name="Normal 15 7 26" xfId="10615" xr:uid="{00000000-0005-0000-0000-0000672C0000}"/>
    <cellStyle name="Normal 15 7 27" xfId="10616" xr:uid="{00000000-0005-0000-0000-0000682C0000}"/>
    <cellStyle name="Normal 15 7 28" xfId="10617" xr:uid="{00000000-0005-0000-0000-0000692C0000}"/>
    <cellStyle name="Normal 15 7 29" xfId="10618" xr:uid="{00000000-0005-0000-0000-00006A2C0000}"/>
    <cellStyle name="Normal 15 7 3" xfId="10619" xr:uid="{00000000-0005-0000-0000-00006B2C0000}"/>
    <cellStyle name="Normal 15 7 30" xfId="10620" xr:uid="{00000000-0005-0000-0000-00006C2C0000}"/>
    <cellStyle name="Normal 15 7 31" xfId="10621" xr:uid="{00000000-0005-0000-0000-00006D2C0000}"/>
    <cellStyle name="Normal 15 7 32" xfId="10622" xr:uid="{00000000-0005-0000-0000-00006E2C0000}"/>
    <cellStyle name="Normal 15 7 33" xfId="10623" xr:uid="{00000000-0005-0000-0000-00006F2C0000}"/>
    <cellStyle name="Normal 15 7 34" xfId="10624" xr:uid="{00000000-0005-0000-0000-0000702C0000}"/>
    <cellStyle name="Normal 15 7 35" xfId="10625" xr:uid="{00000000-0005-0000-0000-0000712C0000}"/>
    <cellStyle name="Normal 15 7 36" xfId="10626" xr:uid="{00000000-0005-0000-0000-0000722C0000}"/>
    <cellStyle name="Normal 15 7 37" xfId="10627" xr:uid="{00000000-0005-0000-0000-0000732C0000}"/>
    <cellStyle name="Normal 15 7 38" xfId="10628" xr:uid="{00000000-0005-0000-0000-0000742C0000}"/>
    <cellStyle name="Normal 15 7 39" xfId="10629" xr:uid="{00000000-0005-0000-0000-0000752C0000}"/>
    <cellStyle name="Normal 15 7 4" xfId="10630" xr:uid="{00000000-0005-0000-0000-0000762C0000}"/>
    <cellStyle name="Normal 15 7 40" xfId="10631" xr:uid="{00000000-0005-0000-0000-0000772C0000}"/>
    <cellStyle name="Normal 15 7 41" xfId="10632" xr:uid="{00000000-0005-0000-0000-0000782C0000}"/>
    <cellStyle name="Normal 15 7 42" xfId="10633" xr:uid="{00000000-0005-0000-0000-0000792C0000}"/>
    <cellStyle name="Normal 15 7 43" xfId="10634" xr:uid="{00000000-0005-0000-0000-00007A2C0000}"/>
    <cellStyle name="Normal 15 7 44" xfId="10635" xr:uid="{00000000-0005-0000-0000-00007B2C0000}"/>
    <cellStyle name="Normal 15 7 45" xfId="10636" xr:uid="{00000000-0005-0000-0000-00007C2C0000}"/>
    <cellStyle name="Normal 15 7 5" xfId="10637" xr:uid="{00000000-0005-0000-0000-00007D2C0000}"/>
    <cellStyle name="Normal 15 7 6" xfId="10638" xr:uid="{00000000-0005-0000-0000-00007E2C0000}"/>
    <cellStyle name="Normal 15 7 7" xfId="10639" xr:uid="{00000000-0005-0000-0000-00007F2C0000}"/>
    <cellStyle name="Normal 15 7 8" xfId="10640" xr:uid="{00000000-0005-0000-0000-0000802C0000}"/>
    <cellStyle name="Normal 15 7 9" xfId="10641" xr:uid="{00000000-0005-0000-0000-0000812C0000}"/>
    <cellStyle name="Normal 15 8" xfId="10642" xr:uid="{00000000-0005-0000-0000-0000822C0000}"/>
    <cellStyle name="Normal 15 8 10" xfId="10643" xr:uid="{00000000-0005-0000-0000-0000832C0000}"/>
    <cellStyle name="Normal 15 8 11" xfId="10644" xr:uid="{00000000-0005-0000-0000-0000842C0000}"/>
    <cellStyle name="Normal 15 8 12" xfId="10645" xr:uid="{00000000-0005-0000-0000-0000852C0000}"/>
    <cellStyle name="Normal 15 8 13" xfId="10646" xr:uid="{00000000-0005-0000-0000-0000862C0000}"/>
    <cellStyle name="Normal 15 8 14" xfId="10647" xr:uid="{00000000-0005-0000-0000-0000872C0000}"/>
    <cellStyle name="Normal 15 8 15" xfId="10648" xr:uid="{00000000-0005-0000-0000-0000882C0000}"/>
    <cellStyle name="Normal 15 8 16" xfId="10649" xr:uid="{00000000-0005-0000-0000-0000892C0000}"/>
    <cellStyle name="Normal 15 8 17" xfId="10650" xr:uid="{00000000-0005-0000-0000-00008A2C0000}"/>
    <cellStyle name="Normal 15 8 18" xfId="10651" xr:uid="{00000000-0005-0000-0000-00008B2C0000}"/>
    <cellStyle name="Normal 15 8 19" xfId="10652" xr:uid="{00000000-0005-0000-0000-00008C2C0000}"/>
    <cellStyle name="Normal 15 8 2" xfId="10653" xr:uid="{00000000-0005-0000-0000-00008D2C0000}"/>
    <cellStyle name="Normal 15 8 20" xfId="10654" xr:uid="{00000000-0005-0000-0000-00008E2C0000}"/>
    <cellStyle name="Normal 15 8 21" xfId="10655" xr:uid="{00000000-0005-0000-0000-00008F2C0000}"/>
    <cellStyle name="Normal 15 8 22" xfId="10656" xr:uid="{00000000-0005-0000-0000-0000902C0000}"/>
    <cellStyle name="Normal 15 8 23" xfId="10657" xr:uid="{00000000-0005-0000-0000-0000912C0000}"/>
    <cellStyle name="Normal 15 8 24" xfId="10658" xr:uid="{00000000-0005-0000-0000-0000922C0000}"/>
    <cellStyle name="Normal 15 8 25" xfId="10659" xr:uid="{00000000-0005-0000-0000-0000932C0000}"/>
    <cellStyle name="Normal 15 8 26" xfId="10660" xr:uid="{00000000-0005-0000-0000-0000942C0000}"/>
    <cellStyle name="Normal 15 8 27" xfId="10661" xr:uid="{00000000-0005-0000-0000-0000952C0000}"/>
    <cellStyle name="Normal 15 8 28" xfId="10662" xr:uid="{00000000-0005-0000-0000-0000962C0000}"/>
    <cellStyle name="Normal 15 8 29" xfId="10663" xr:uid="{00000000-0005-0000-0000-0000972C0000}"/>
    <cellStyle name="Normal 15 8 3" xfId="10664" xr:uid="{00000000-0005-0000-0000-0000982C0000}"/>
    <cellStyle name="Normal 15 8 30" xfId="10665" xr:uid="{00000000-0005-0000-0000-0000992C0000}"/>
    <cellStyle name="Normal 15 8 31" xfId="10666" xr:uid="{00000000-0005-0000-0000-00009A2C0000}"/>
    <cellStyle name="Normal 15 8 32" xfId="10667" xr:uid="{00000000-0005-0000-0000-00009B2C0000}"/>
    <cellStyle name="Normal 15 8 33" xfId="10668" xr:uid="{00000000-0005-0000-0000-00009C2C0000}"/>
    <cellStyle name="Normal 15 8 34" xfId="10669" xr:uid="{00000000-0005-0000-0000-00009D2C0000}"/>
    <cellStyle name="Normal 15 8 35" xfId="10670" xr:uid="{00000000-0005-0000-0000-00009E2C0000}"/>
    <cellStyle name="Normal 15 8 36" xfId="10671" xr:uid="{00000000-0005-0000-0000-00009F2C0000}"/>
    <cellStyle name="Normal 15 8 37" xfId="10672" xr:uid="{00000000-0005-0000-0000-0000A02C0000}"/>
    <cellStyle name="Normal 15 8 4" xfId="10673" xr:uid="{00000000-0005-0000-0000-0000A12C0000}"/>
    <cellStyle name="Normal 15 8 5" xfId="10674" xr:uid="{00000000-0005-0000-0000-0000A22C0000}"/>
    <cellStyle name="Normal 15 8 6" xfId="10675" xr:uid="{00000000-0005-0000-0000-0000A32C0000}"/>
    <cellStyle name="Normal 15 8 7" xfId="10676" xr:uid="{00000000-0005-0000-0000-0000A42C0000}"/>
    <cellStyle name="Normal 15 8 8" xfId="10677" xr:uid="{00000000-0005-0000-0000-0000A52C0000}"/>
    <cellStyle name="Normal 15 8 9" xfId="10678" xr:uid="{00000000-0005-0000-0000-0000A62C0000}"/>
    <cellStyle name="Normal 15 9" xfId="10679" xr:uid="{00000000-0005-0000-0000-0000A72C0000}"/>
    <cellStyle name="Normal 15 9 10" xfId="10680" xr:uid="{00000000-0005-0000-0000-0000A82C0000}"/>
    <cellStyle name="Normal 15 9 11" xfId="10681" xr:uid="{00000000-0005-0000-0000-0000A92C0000}"/>
    <cellStyle name="Normal 15 9 12" xfId="10682" xr:uid="{00000000-0005-0000-0000-0000AA2C0000}"/>
    <cellStyle name="Normal 15 9 13" xfId="10683" xr:uid="{00000000-0005-0000-0000-0000AB2C0000}"/>
    <cellStyle name="Normal 15 9 14" xfId="10684" xr:uid="{00000000-0005-0000-0000-0000AC2C0000}"/>
    <cellStyle name="Normal 15 9 15" xfId="10685" xr:uid="{00000000-0005-0000-0000-0000AD2C0000}"/>
    <cellStyle name="Normal 15 9 16" xfId="10686" xr:uid="{00000000-0005-0000-0000-0000AE2C0000}"/>
    <cellStyle name="Normal 15 9 17" xfId="10687" xr:uid="{00000000-0005-0000-0000-0000AF2C0000}"/>
    <cellStyle name="Normal 15 9 18" xfId="10688" xr:uid="{00000000-0005-0000-0000-0000B02C0000}"/>
    <cellStyle name="Normal 15 9 19" xfId="10689" xr:uid="{00000000-0005-0000-0000-0000B12C0000}"/>
    <cellStyle name="Normal 15 9 2" xfId="10690" xr:uid="{00000000-0005-0000-0000-0000B22C0000}"/>
    <cellStyle name="Normal 15 9 20" xfId="10691" xr:uid="{00000000-0005-0000-0000-0000B32C0000}"/>
    <cellStyle name="Normal 15 9 21" xfId="10692" xr:uid="{00000000-0005-0000-0000-0000B42C0000}"/>
    <cellStyle name="Normal 15 9 22" xfId="10693" xr:uid="{00000000-0005-0000-0000-0000B52C0000}"/>
    <cellStyle name="Normal 15 9 23" xfId="10694" xr:uid="{00000000-0005-0000-0000-0000B62C0000}"/>
    <cellStyle name="Normal 15 9 24" xfId="10695" xr:uid="{00000000-0005-0000-0000-0000B72C0000}"/>
    <cellStyle name="Normal 15 9 25" xfId="10696" xr:uid="{00000000-0005-0000-0000-0000B82C0000}"/>
    <cellStyle name="Normal 15 9 26" xfId="10697" xr:uid="{00000000-0005-0000-0000-0000B92C0000}"/>
    <cellStyle name="Normal 15 9 27" xfId="10698" xr:uid="{00000000-0005-0000-0000-0000BA2C0000}"/>
    <cellStyle name="Normal 15 9 28" xfId="10699" xr:uid="{00000000-0005-0000-0000-0000BB2C0000}"/>
    <cellStyle name="Normal 15 9 29" xfId="10700" xr:uid="{00000000-0005-0000-0000-0000BC2C0000}"/>
    <cellStyle name="Normal 15 9 3" xfId="10701" xr:uid="{00000000-0005-0000-0000-0000BD2C0000}"/>
    <cellStyle name="Normal 15 9 30" xfId="10702" xr:uid="{00000000-0005-0000-0000-0000BE2C0000}"/>
    <cellStyle name="Normal 15 9 31" xfId="10703" xr:uid="{00000000-0005-0000-0000-0000BF2C0000}"/>
    <cellStyle name="Normal 15 9 32" xfId="10704" xr:uid="{00000000-0005-0000-0000-0000C02C0000}"/>
    <cellStyle name="Normal 15 9 33" xfId="10705" xr:uid="{00000000-0005-0000-0000-0000C12C0000}"/>
    <cellStyle name="Normal 15 9 34" xfId="10706" xr:uid="{00000000-0005-0000-0000-0000C22C0000}"/>
    <cellStyle name="Normal 15 9 35" xfId="10707" xr:uid="{00000000-0005-0000-0000-0000C32C0000}"/>
    <cellStyle name="Normal 15 9 36" xfId="10708" xr:uid="{00000000-0005-0000-0000-0000C42C0000}"/>
    <cellStyle name="Normal 15 9 37" xfId="10709" xr:uid="{00000000-0005-0000-0000-0000C52C0000}"/>
    <cellStyle name="Normal 15 9 4" xfId="10710" xr:uid="{00000000-0005-0000-0000-0000C62C0000}"/>
    <cellStyle name="Normal 15 9 5" xfId="10711" xr:uid="{00000000-0005-0000-0000-0000C72C0000}"/>
    <cellStyle name="Normal 15 9 6" xfId="10712" xr:uid="{00000000-0005-0000-0000-0000C82C0000}"/>
    <cellStyle name="Normal 15 9 7" xfId="10713" xr:uid="{00000000-0005-0000-0000-0000C92C0000}"/>
    <cellStyle name="Normal 15 9 8" xfId="10714" xr:uid="{00000000-0005-0000-0000-0000CA2C0000}"/>
    <cellStyle name="Normal 15 9 9" xfId="10715" xr:uid="{00000000-0005-0000-0000-0000CB2C0000}"/>
    <cellStyle name="Normal 150" xfId="42510" xr:uid="{00000000-0005-0000-0000-0000CC2C0000}"/>
    <cellStyle name="Normal 151" xfId="42511" xr:uid="{00000000-0005-0000-0000-0000CD2C0000}"/>
    <cellStyle name="Normal 152" xfId="42512" xr:uid="{00000000-0005-0000-0000-0000CE2C0000}"/>
    <cellStyle name="Normal 153" xfId="42513" xr:uid="{00000000-0005-0000-0000-0000CF2C0000}"/>
    <cellStyle name="Normal 154" xfId="42514" xr:uid="{00000000-0005-0000-0000-0000D02C0000}"/>
    <cellStyle name="Normal 155" xfId="42515" xr:uid="{00000000-0005-0000-0000-0000D12C0000}"/>
    <cellStyle name="Normal 156" xfId="42516" xr:uid="{00000000-0005-0000-0000-0000D22C0000}"/>
    <cellStyle name="Normal 157" xfId="42517" xr:uid="{00000000-0005-0000-0000-0000D32C0000}"/>
    <cellStyle name="Normal 158" xfId="42518" xr:uid="{00000000-0005-0000-0000-0000D42C0000}"/>
    <cellStyle name="Normal 159" xfId="42519" xr:uid="{00000000-0005-0000-0000-0000D52C0000}"/>
    <cellStyle name="Normal 16" xfId="1064" xr:uid="{00000000-0005-0000-0000-0000D62C0000}"/>
    <cellStyle name="Normal 16 10" xfId="10716" xr:uid="{00000000-0005-0000-0000-0000D72C0000}"/>
    <cellStyle name="Normal 16 11" xfId="10717" xr:uid="{00000000-0005-0000-0000-0000D82C0000}"/>
    <cellStyle name="Normal 16 12" xfId="10718" xr:uid="{00000000-0005-0000-0000-0000D92C0000}"/>
    <cellStyle name="Normal 16 13" xfId="10719" xr:uid="{00000000-0005-0000-0000-0000DA2C0000}"/>
    <cellStyle name="Normal 16 14" xfId="10720" xr:uid="{00000000-0005-0000-0000-0000DB2C0000}"/>
    <cellStyle name="Normal 16 15" xfId="10721" xr:uid="{00000000-0005-0000-0000-0000DC2C0000}"/>
    <cellStyle name="Normal 16 16" xfId="10722" xr:uid="{00000000-0005-0000-0000-0000DD2C0000}"/>
    <cellStyle name="Normal 16 17" xfId="10723" xr:uid="{00000000-0005-0000-0000-0000DE2C0000}"/>
    <cellStyle name="Normal 16 18" xfId="10724" xr:uid="{00000000-0005-0000-0000-0000DF2C0000}"/>
    <cellStyle name="Normal 16 19" xfId="10725" xr:uid="{00000000-0005-0000-0000-0000E02C0000}"/>
    <cellStyle name="Normal 16 2" xfId="1488" xr:uid="{00000000-0005-0000-0000-0000E12C0000}"/>
    <cellStyle name="Normal 16 2 2" xfId="10726" xr:uid="{00000000-0005-0000-0000-0000E22C0000}"/>
    <cellStyle name="Normal 16 2 2 2" xfId="10727" xr:uid="{00000000-0005-0000-0000-0000E32C0000}"/>
    <cellStyle name="Normal 16 2 2 3" xfId="10728" xr:uid="{00000000-0005-0000-0000-0000E42C0000}"/>
    <cellStyle name="Normal 16 2 3" xfId="10729" xr:uid="{00000000-0005-0000-0000-0000E52C0000}"/>
    <cellStyle name="Normal 16 2 4" xfId="10730" xr:uid="{00000000-0005-0000-0000-0000E62C0000}"/>
    <cellStyle name="Normal 16 20" xfId="10731" xr:uid="{00000000-0005-0000-0000-0000E72C0000}"/>
    <cellStyle name="Normal 16 21" xfId="10732" xr:uid="{00000000-0005-0000-0000-0000E82C0000}"/>
    <cellStyle name="Normal 16 22" xfId="10733" xr:uid="{00000000-0005-0000-0000-0000E92C0000}"/>
    <cellStyle name="Normal 16 23" xfId="10734" xr:uid="{00000000-0005-0000-0000-0000EA2C0000}"/>
    <cellStyle name="Normal 16 24" xfId="10735" xr:uid="{00000000-0005-0000-0000-0000EB2C0000}"/>
    <cellStyle name="Normal 16 25" xfId="10736" xr:uid="{00000000-0005-0000-0000-0000EC2C0000}"/>
    <cellStyle name="Normal 16 26" xfId="10737" xr:uid="{00000000-0005-0000-0000-0000ED2C0000}"/>
    <cellStyle name="Normal 16 27" xfId="10738" xr:uid="{00000000-0005-0000-0000-0000EE2C0000}"/>
    <cellStyle name="Normal 16 28" xfId="10739" xr:uid="{00000000-0005-0000-0000-0000EF2C0000}"/>
    <cellStyle name="Normal 16 29" xfId="10740" xr:uid="{00000000-0005-0000-0000-0000F02C0000}"/>
    <cellStyle name="Normal 16 3" xfId="10741" xr:uid="{00000000-0005-0000-0000-0000F12C0000}"/>
    <cellStyle name="Normal 16 3 2" xfId="10742" xr:uid="{00000000-0005-0000-0000-0000F22C0000}"/>
    <cellStyle name="Normal 16 30" xfId="10743" xr:uid="{00000000-0005-0000-0000-0000F32C0000}"/>
    <cellStyle name="Normal 16 31" xfId="10744" xr:uid="{00000000-0005-0000-0000-0000F42C0000}"/>
    <cellStyle name="Normal 16 32" xfId="10745" xr:uid="{00000000-0005-0000-0000-0000F52C0000}"/>
    <cellStyle name="Normal 16 33" xfId="10746" xr:uid="{00000000-0005-0000-0000-0000F62C0000}"/>
    <cellStyle name="Normal 16 34" xfId="10747" xr:uid="{00000000-0005-0000-0000-0000F72C0000}"/>
    <cellStyle name="Normal 16 35" xfId="10748" xr:uid="{00000000-0005-0000-0000-0000F82C0000}"/>
    <cellStyle name="Normal 16 36" xfId="10749" xr:uid="{00000000-0005-0000-0000-0000F92C0000}"/>
    <cellStyle name="Normal 16 37" xfId="10750" xr:uid="{00000000-0005-0000-0000-0000FA2C0000}"/>
    <cellStyle name="Normal 16 38" xfId="10751" xr:uid="{00000000-0005-0000-0000-0000FB2C0000}"/>
    <cellStyle name="Normal 16 39" xfId="10752" xr:uid="{00000000-0005-0000-0000-0000FC2C0000}"/>
    <cellStyle name="Normal 16 4" xfId="10753" xr:uid="{00000000-0005-0000-0000-0000FD2C0000}"/>
    <cellStyle name="Normal 16 40" xfId="10754" xr:uid="{00000000-0005-0000-0000-0000FE2C0000}"/>
    <cellStyle name="Normal 16 41" xfId="10755" xr:uid="{00000000-0005-0000-0000-0000FF2C0000}"/>
    <cellStyle name="Normal 16 42" xfId="10756" xr:uid="{00000000-0005-0000-0000-0000002D0000}"/>
    <cellStyle name="Normal 16 43" xfId="10757" xr:uid="{00000000-0005-0000-0000-0000012D0000}"/>
    <cellStyle name="Normal 16 44" xfId="10758" xr:uid="{00000000-0005-0000-0000-0000022D0000}"/>
    <cellStyle name="Normal 16 45" xfId="10759" xr:uid="{00000000-0005-0000-0000-0000032D0000}"/>
    <cellStyle name="Normal 16 5" xfId="10760" xr:uid="{00000000-0005-0000-0000-0000042D0000}"/>
    <cellStyle name="Normal 16 6" xfId="10761" xr:uid="{00000000-0005-0000-0000-0000052D0000}"/>
    <cellStyle name="Normal 16 7" xfId="10762" xr:uid="{00000000-0005-0000-0000-0000062D0000}"/>
    <cellStyle name="Normal 16 8" xfId="10763" xr:uid="{00000000-0005-0000-0000-0000072D0000}"/>
    <cellStyle name="Normal 16 9" xfId="10764" xr:uid="{00000000-0005-0000-0000-0000082D0000}"/>
    <cellStyle name="Normal 160" xfId="42520" xr:uid="{00000000-0005-0000-0000-0000092D0000}"/>
    <cellStyle name="Normal 161" xfId="42521" xr:uid="{00000000-0005-0000-0000-00000A2D0000}"/>
    <cellStyle name="Normal 162" xfId="42522" xr:uid="{00000000-0005-0000-0000-00000B2D0000}"/>
    <cellStyle name="Normal 163" xfId="42523" xr:uid="{00000000-0005-0000-0000-00000C2D0000}"/>
    <cellStyle name="Normal 164" xfId="42524" xr:uid="{00000000-0005-0000-0000-00000D2D0000}"/>
    <cellStyle name="Normal 165" xfId="42525" xr:uid="{00000000-0005-0000-0000-00000E2D0000}"/>
    <cellStyle name="Normal 166" xfId="42551" xr:uid="{00000000-0005-0000-0000-00000F2D0000}"/>
    <cellStyle name="Normal 166 2" xfId="42554" xr:uid="{00000000-0005-0000-0000-0000102D0000}"/>
    <cellStyle name="Normal 166 2 2" xfId="43957" xr:uid="{00000000-0005-0000-0000-0000112D0000}"/>
    <cellStyle name="Normal 167" xfId="43567" xr:uid="{00000000-0005-0000-0000-0000122D0000}"/>
    <cellStyle name="Normal 168" xfId="43568" xr:uid="{00000000-0005-0000-0000-0000132D0000}"/>
    <cellStyle name="Normal 169" xfId="43569" xr:uid="{00000000-0005-0000-0000-0000142D0000}"/>
    <cellStyle name="Normal 17" xfId="1065" xr:uid="{00000000-0005-0000-0000-0000152D0000}"/>
    <cellStyle name="Normal 17 10" xfId="10765" xr:uid="{00000000-0005-0000-0000-0000162D0000}"/>
    <cellStyle name="Normal 17 11" xfId="10766" xr:uid="{00000000-0005-0000-0000-0000172D0000}"/>
    <cellStyle name="Normal 17 12" xfId="10767" xr:uid="{00000000-0005-0000-0000-0000182D0000}"/>
    <cellStyle name="Normal 17 13" xfId="10768" xr:uid="{00000000-0005-0000-0000-0000192D0000}"/>
    <cellStyle name="Normal 17 14" xfId="10769" xr:uid="{00000000-0005-0000-0000-00001A2D0000}"/>
    <cellStyle name="Normal 17 15" xfId="10770" xr:uid="{00000000-0005-0000-0000-00001B2D0000}"/>
    <cellStyle name="Normal 17 16" xfId="10771" xr:uid="{00000000-0005-0000-0000-00001C2D0000}"/>
    <cellStyle name="Normal 17 17" xfId="10772" xr:uid="{00000000-0005-0000-0000-00001D2D0000}"/>
    <cellStyle name="Normal 17 18" xfId="10773" xr:uid="{00000000-0005-0000-0000-00001E2D0000}"/>
    <cellStyle name="Normal 17 19" xfId="10774" xr:uid="{00000000-0005-0000-0000-00001F2D0000}"/>
    <cellStyle name="Normal 17 2" xfId="1678" xr:uid="{00000000-0005-0000-0000-0000202D0000}"/>
    <cellStyle name="Normal 17 20" xfId="10775" xr:uid="{00000000-0005-0000-0000-0000212D0000}"/>
    <cellStyle name="Normal 17 21" xfId="10776" xr:uid="{00000000-0005-0000-0000-0000222D0000}"/>
    <cellStyle name="Normal 17 22" xfId="10777" xr:uid="{00000000-0005-0000-0000-0000232D0000}"/>
    <cellStyle name="Normal 17 23" xfId="10778" xr:uid="{00000000-0005-0000-0000-0000242D0000}"/>
    <cellStyle name="Normal 17 24" xfId="10779" xr:uid="{00000000-0005-0000-0000-0000252D0000}"/>
    <cellStyle name="Normal 17 25" xfId="10780" xr:uid="{00000000-0005-0000-0000-0000262D0000}"/>
    <cellStyle name="Normal 17 26" xfId="10781" xr:uid="{00000000-0005-0000-0000-0000272D0000}"/>
    <cellStyle name="Normal 17 27" xfId="10782" xr:uid="{00000000-0005-0000-0000-0000282D0000}"/>
    <cellStyle name="Normal 17 28" xfId="10783" xr:uid="{00000000-0005-0000-0000-0000292D0000}"/>
    <cellStyle name="Normal 17 29" xfId="10784" xr:uid="{00000000-0005-0000-0000-00002A2D0000}"/>
    <cellStyle name="Normal 17 3" xfId="10785" xr:uid="{00000000-0005-0000-0000-00002B2D0000}"/>
    <cellStyle name="Normal 17 30" xfId="10786" xr:uid="{00000000-0005-0000-0000-00002C2D0000}"/>
    <cellStyle name="Normal 17 31" xfId="10787" xr:uid="{00000000-0005-0000-0000-00002D2D0000}"/>
    <cellStyle name="Normal 17 32" xfId="10788" xr:uid="{00000000-0005-0000-0000-00002E2D0000}"/>
    <cellStyle name="Normal 17 33" xfId="10789" xr:uid="{00000000-0005-0000-0000-00002F2D0000}"/>
    <cellStyle name="Normal 17 34" xfId="10790" xr:uid="{00000000-0005-0000-0000-0000302D0000}"/>
    <cellStyle name="Normal 17 35" xfId="10791" xr:uid="{00000000-0005-0000-0000-0000312D0000}"/>
    <cellStyle name="Normal 17 36" xfId="10792" xr:uid="{00000000-0005-0000-0000-0000322D0000}"/>
    <cellStyle name="Normal 17 37" xfId="10793" xr:uid="{00000000-0005-0000-0000-0000332D0000}"/>
    <cellStyle name="Normal 17 38" xfId="10794" xr:uid="{00000000-0005-0000-0000-0000342D0000}"/>
    <cellStyle name="Normal 17 39" xfId="10795" xr:uid="{00000000-0005-0000-0000-0000352D0000}"/>
    <cellStyle name="Normal 17 4" xfId="10796" xr:uid="{00000000-0005-0000-0000-0000362D0000}"/>
    <cellStyle name="Normal 17 40" xfId="10797" xr:uid="{00000000-0005-0000-0000-0000372D0000}"/>
    <cellStyle name="Normal 17 41" xfId="10798" xr:uid="{00000000-0005-0000-0000-0000382D0000}"/>
    <cellStyle name="Normal 17 42" xfId="10799" xr:uid="{00000000-0005-0000-0000-0000392D0000}"/>
    <cellStyle name="Normal 17 43" xfId="10800" xr:uid="{00000000-0005-0000-0000-00003A2D0000}"/>
    <cellStyle name="Normal 17 44" xfId="10801" xr:uid="{00000000-0005-0000-0000-00003B2D0000}"/>
    <cellStyle name="Normal 17 5" xfId="10802" xr:uid="{00000000-0005-0000-0000-00003C2D0000}"/>
    <cellStyle name="Normal 17 6" xfId="10803" xr:uid="{00000000-0005-0000-0000-00003D2D0000}"/>
    <cellStyle name="Normal 17 7" xfId="10804" xr:uid="{00000000-0005-0000-0000-00003E2D0000}"/>
    <cellStyle name="Normal 17 8" xfId="10805" xr:uid="{00000000-0005-0000-0000-00003F2D0000}"/>
    <cellStyle name="Normal 17 9" xfId="10806" xr:uid="{00000000-0005-0000-0000-0000402D0000}"/>
    <cellStyle name="Normal 170" xfId="43570" xr:uid="{00000000-0005-0000-0000-0000412D0000}"/>
    <cellStyle name="Normal 171" xfId="43571" xr:uid="{00000000-0005-0000-0000-0000422D0000}"/>
    <cellStyle name="Normal 171 2" xfId="43572" xr:uid="{00000000-0005-0000-0000-0000432D0000}"/>
    <cellStyle name="Normal 172" xfId="43573" xr:uid="{00000000-0005-0000-0000-0000442D0000}"/>
    <cellStyle name="Normal 173" xfId="42561" xr:uid="{00000000-0005-0000-0000-0000452D0000}"/>
    <cellStyle name="Normal 174" xfId="43946" xr:uid="{00000000-0005-0000-0000-0000462D0000}"/>
    <cellStyle name="Normal 174 2" xfId="43958" xr:uid="{00000000-0005-0000-0000-0000472D0000}"/>
    <cellStyle name="Normal 175" xfId="43955" xr:uid="{00000000-0005-0000-0000-0000482D0000}"/>
    <cellStyle name="Normal 175 2" xfId="43972" xr:uid="{00000000-0005-0000-0000-0000492D0000}"/>
    <cellStyle name="Normal 176" xfId="43956" xr:uid="{00000000-0005-0000-0000-00004A2D0000}"/>
    <cellStyle name="Normal 176 2" xfId="43954" xr:uid="{00000000-0005-0000-0000-00004B2D0000}"/>
    <cellStyle name="Normal 177" xfId="24" xr:uid="{00000000-0005-0000-0000-00004C2D0000}"/>
    <cellStyle name="Normal 177 2" xfId="43966" xr:uid="{00000000-0005-0000-0000-00004D2D0000}"/>
    <cellStyle name="Normal 178" xfId="43977" xr:uid="{00000000-0005-0000-0000-00004E2D0000}"/>
    <cellStyle name="Normal 18" xfId="1066" xr:uid="{00000000-0005-0000-0000-00004F2D0000}"/>
    <cellStyle name="Normal 18 10" xfId="10807" xr:uid="{00000000-0005-0000-0000-0000502D0000}"/>
    <cellStyle name="Normal 18 10 10" xfId="10808" xr:uid="{00000000-0005-0000-0000-0000512D0000}"/>
    <cellStyle name="Normal 18 10 11" xfId="10809" xr:uid="{00000000-0005-0000-0000-0000522D0000}"/>
    <cellStyle name="Normal 18 10 12" xfId="10810" xr:uid="{00000000-0005-0000-0000-0000532D0000}"/>
    <cellStyle name="Normal 18 10 13" xfId="10811" xr:uid="{00000000-0005-0000-0000-0000542D0000}"/>
    <cellStyle name="Normal 18 10 2" xfId="10812" xr:uid="{00000000-0005-0000-0000-0000552D0000}"/>
    <cellStyle name="Normal 18 10 2 2" xfId="10813" xr:uid="{00000000-0005-0000-0000-0000562D0000}"/>
    <cellStyle name="Normal 18 10 2 3" xfId="10814" xr:uid="{00000000-0005-0000-0000-0000572D0000}"/>
    <cellStyle name="Normal 18 10 2 4" xfId="10815" xr:uid="{00000000-0005-0000-0000-0000582D0000}"/>
    <cellStyle name="Normal 18 10 2 5" xfId="10816" xr:uid="{00000000-0005-0000-0000-0000592D0000}"/>
    <cellStyle name="Normal 18 10 2 6" xfId="10817" xr:uid="{00000000-0005-0000-0000-00005A2D0000}"/>
    <cellStyle name="Normal 18 10 3" xfId="10818" xr:uid="{00000000-0005-0000-0000-00005B2D0000}"/>
    <cellStyle name="Normal 18 10 3 2" xfId="10819" xr:uid="{00000000-0005-0000-0000-00005C2D0000}"/>
    <cellStyle name="Normal 18 10 3 3" xfId="10820" xr:uid="{00000000-0005-0000-0000-00005D2D0000}"/>
    <cellStyle name="Normal 18 10 3 4" xfId="10821" xr:uid="{00000000-0005-0000-0000-00005E2D0000}"/>
    <cellStyle name="Normal 18 10 3 5" xfId="10822" xr:uid="{00000000-0005-0000-0000-00005F2D0000}"/>
    <cellStyle name="Normal 18 10 3 6" xfId="10823" xr:uid="{00000000-0005-0000-0000-0000602D0000}"/>
    <cellStyle name="Normal 18 10 4" xfId="10824" xr:uid="{00000000-0005-0000-0000-0000612D0000}"/>
    <cellStyle name="Normal 18 10 4 2" xfId="10825" xr:uid="{00000000-0005-0000-0000-0000622D0000}"/>
    <cellStyle name="Normal 18 10 4 3" xfId="10826" xr:uid="{00000000-0005-0000-0000-0000632D0000}"/>
    <cellStyle name="Normal 18 10 4 4" xfId="10827" xr:uid="{00000000-0005-0000-0000-0000642D0000}"/>
    <cellStyle name="Normal 18 10 4 5" xfId="10828" xr:uid="{00000000-0005-0000-0000-0000652D0000}"/>
    <cellStyle name="Normal 18 10 4 6" xfId="10829" xr:uid="{00000000-0005-0000-0000-0000662D0000}"/>
    <cellStyle name="Normal 18 10 5" xfId="10830" xr:uid="{00000000-0005-0000-0000-0000672D0000}"/>
    <cellStyle name="Normal 18 10 5 2" xfId="10831" xr:uid="{00000000-0005-0000-0000-0000682D0000}"/>
    <cellStyle name="Normal 18 10 5 3" xfId="10832" xr:uid="{00000000-0005-0000-0000-0000692D0000}"/>
    <cellStyle name="Normal 18 10 5 4" xfId="10833" xr:uid="{00000000-0005-0000-0000-00006A2D0000}"/>
    <cellStyle name="Normal 18 10 5 5" xfId="10834" xr:uid="{00000000-0005-0000-0000-00006B2D0000}"/>
    <cellStyle name="Normal 18 10 5 6" xfId="10835" xr:uid="{00000000-0005-0000-0000-00006C2D0000}"/>
    <cellStyle name="Normal 18 10 6" xfId="10836" xr:uid="{00000000-0005-0000-0000-00006D2D0000}"/>
    <cellStyle name="Normal 18 10 6 2" xfId="10837" xr:uid="{00000000-0005-0000-0000-00006E2D0000}"/>
    <cellStyle name="Normal 18 10 6 3" xfId="10838" xr:uid="{00000000-0005-0000-0000-00006F2D0000}"/>
    <cellStyle name="Normal 18 10 6 4" xfId="10839" xr:uid="{00000000-0005-0000-0000-0000702D0000}"/>
    <cellStyle name="Normal 18 10 6 5" xfId="10840" xr:uid="{00000000-0005-0000-0000-0000712D0000}"/>
    <cellStyle name="Normal 18 10 6 6" xfId="10841" xr:uid="{00000000-0005-0000-0000-0000722D0000}"/>
    <cellStyle name="Normal 18 10 7" xfId="10842" xr:uid="{00000000-0005-0000-0000-0000732D0000}"/>
    <cellStyle name="Normal 18 10 7 2" xfId="10843" xr:uid="{00000000-0005-0000-0000-0000742D0000}"/>
    <cellStyle name="Normal 18 10 7 3" xfId="10844" xr:uid="{00000000-0005-0000-0000-0000752D0000}"/>
    <cellStyle name="Normal 18 10 7 4" xfId="10845" xr:uid="{00000000-0005-0000-0000-0000762D0000}"/>
    <cellStyle name="Normal 18 10 7 5" xfId="10846" xr:uid="{00000000-0005-0000-0000-0000772D0000}"/>
    <cellStyle name="Normal 18 10 7 6" xfId="10847" xr:uid="{00000000-0005-0000-0000-0000782D0000}"/>
    <cellStyle name="Normal 18 10 8" xfId="10848" xr:uid="{00000000-0005-0000-0000-0000792D0000}"/>
    <cellStyle name="Normal 18 10 8 2" xfId="10849" xr:uid="{00000000-0005-0000-0000-00007A2D0000}"/>
    <cellStyle name="Normal 18 10 8 3" xfId="10850" xr:uid="{00000000-0005-0000-0000-00007B2D0000}"/>
    <cellStyle name="Normal 18 10 8 4" xfId="10851" xr:uid="{00000000-0005-0000-0000-00007C2D0000}"/>
    <cellStyle name="Normal 18 10 8 5" xfId="10852" xr:uid="{00000000-0005-0000-0000-00007D2D0000}"/>
    <cellStyle name="Normal 18 10 8 6" xfId="10853" xr:uid="{00000000-0005-0000-0000-00007E2D0000}"/>
    <cellStyle name="Normal 18 10 9" xfId="10854" xr:uid="{00000000-0005-0000-0000-00007F2D0000}"/>
    <cellStyle name="Normal 18 11" xfId="10855" xr:uid="{00000000-0005-0000-0000-0000802D0000}"/>
    <cellStyle name="Normal 18 11 10" xfId="10856" xr:uid="{00000000-0005-0000-0000-0000812D0000}"/>
    <cellStyle name="Normal 18 11 11" xfId="10857" xr:uid="{00000000-0005-0000-0000-0000822D0000}"/>
    <cellStyle name="Normal 18 11 12" xfId="10858" xr:uid="{00000000-0005-0000-0000-0000832D0000}"/>
    <cellStyle name="Normal 18 11 13" xfId="10859" xr:uid="{00000000-0005-0000-0000-0000842D0000}"/>
    <cellStyle name="Normal 18 11 2" xfId="10860" xr:uid="{00000000-0005-0000-0000-0000852D0000}"/>
    <cellStyle name="Normal 18 11 2 2" xfId="10861" xr:uid="{00000000-0005-0000-0000-0000862D0000}"/>
    <cellStyle name="Normal 18 11 2 3" xfId="10862" xr:uid="{00000000-0005-0000-0000-0000872D0000}"/>
    <cellStyle name="Normal 18 11 2 4" xfId="10863" xr:uid="{00000000-0005-0000-0000-0000882D0000}"/>
    <cellStyle name="Normal 18 11 2 5" xfId="10864" xr:uid="{00000000-0005-0000-0000-0000892D0000}"/>
    <cellStyle name="Normal 18 11 2 6" xfId="10865" xr:uid="{00000000-0005-0000-0000-00008A2D0000}"/>
    <cellStyle name="Normal 18 11 3" xfId="10866" xr:uid="{00000000-0005-0000-0000-00008B2D0000}"/>
    <cellStyle name="Normal 18 11 3 2" xfId="10867" xr:uid="{00000000-0005-0000-0000-00008C2D0000}"/>
    <cellStyle name="Normal 18 11 3 3" xfId="10868" xr:uid="{00000000-0005-0000-0000-00008D2D0000}"/>
    <cellStyle name="Normal 18 11 3 4" xfId="10869" xr:uid="{00000000-0005-0000-0000-00008E2D0000}"/>
    <cellStyle name="Normal 18 11 3 5" xfId="10870" xr:uid="{00000000-0005-0000-0000-00008F2D0000}"/>
    <cellStyle name="Normal 18 11 3 6" xfId="10871" xr:uid="{00000000-0005-0000-0000-0000902D0000}"/>
    <cellStyle name="Normal 18 11 4" xfId="10872" xr:uid="{00000000-0005-0000-0000-0000912D0000}"/>
    <cellStyle name="Normal 18 11 4 2" xfId="10873" xr:uid="{00000000-0005-0000-0000-0000922D0000}"/>
    <cellStyle name="Normal 18 11 4 3" xfId="10874" xr:uid="{00000000-0005-0000-0000-0000932D0000}"/>
    <cellStyle name="Normal 18 11 4 4" xfId="10875" xr:uid="{00000000-0005-0000-0000-0000942D0000}"/>
    <cellStyle name="Normal 18 11 4 5" xfId="10876" xr:uid="{00000000-0005-0000-0000-0000952D0000}"/>
    <cellStyle name="Normal 18 11 4 6" xfId="10877" xr:uid="{00000000-0005-0000-0000-0000962D0000}"/>
    <cellStyle name="Normal 18 11 5" xfId="10878" xr:uid="{00000000-0005-0000-0000-0000972D0000}"/>
    <cellStyle name="Normal 18 11 5 2" xfId="10879" xr:uid="{00000000-0005-0000-0000-0000982D0000}"/>
    <cellStyle name="Normal 18 11 5 3" xfId="10880" xr:uid="{00000000-0005-0000-0000-0000992D0000}"/>
    <cellStyle name="Normal 18 11 5 4" xfId="10881" xr:uid="{00000000-0005-0000-0000-00009A2D0000}"/>
    <cellStyle name="Normal 18 11 5 5" xfId="10882" xr:uid="{00000000-0005-0000-0000-00009B2D0000}"/>
    <cellStyle name="Normal 18 11 5 6" xfId="10883" xr:uid="{00000000-0005-0000-0000-00009C2D0000}"/>
    <cellStyle name="Normal 18 11 6" xfId="10884" xr:uid="{00000000-0005-0000-0000-00009D2D0000}"/>
    <cellStyle name="Normal 18 11 6 2" xfId="10885" xr:uid="{00000000-0005-0000-0000-00009E2D0000}"/>
    <cellStyle name="Normal 18 11 6 3" xfId="10886" xr:uid="{00000000-0005-0000-0000-00009F2D0000}"/>
    <cellStyle name="Normal 18 11 6 4" xfId="10887" xr:uid="{00000000-0005-0000-0000-0000A02D0000}"/>
    <cellStyle name="Normal 18 11 6 5" xfId="10888" xr:uid="{00000000-0005-0000-0000-0000A12D0000}"/>
    <cellStyle name="Normal 18 11 6 6" xfId="10889" xr:uid="{00000000-0005-0000-0000-0000A22D0000}"/>
    <cellStyle name="Normal 18 11 7" xfId="10890" xr:uid="{00000000-0005-0000-0000-0000A32D0000}"/>
    <cellStyle name="Normal 18 11 7 2" xfId="10891" xr:uid="{00000000-0005-0000-0000-0000A42D0000}"/>
    <cellStyle name="Normal 18 11 7 3" xfId="10892" xr:uid="{00000000-0005-0000-0000-0000A52D0000}"/>
    <cellStyle name="Normal 18 11 7 4" xfId="10893" xr:uid="{00000000-0005-0000-0000-0000A62D0000}"/>
    <cellStyle name="Normal 18 11 7 5" xfId="10894" xr:uid="{00000000-0005-0000-0000-0000A72D0000}"/>
    <cellStyle name="Normal 18 11 7 6" xfId="10895" xr:uid="{00000000-0005-0000-0000-0000A82D0000}"/>
    <cellStyle name="Normal 18 11 8" xfId="10896" xr:uid="{00000000-0005-0000-0000-0000A92D0000}"/>
    <cellStyle name="Normal 18 11 8 2" xfId="10897" xr:uid="{00000000-0005-0000-0000-0000AA2D0000}"/>
    <cellStyle name="Normal 18 11 8 3" xfId="10898" xr:uid="{00000000-0005-0000-0000-0000AB2D0000}"/>
    <cellStyle name="Normal 18 11 8 4" xfId="10899" xr:uid="{00000000-0005-0000-0000-0000AC2D0000}"/>
    <cellStyle name="Normal 18 11 8 5" xfId="10900" xr:uid="{00000000-0005-0000-0000-0000AD2D0000}"/>
    <cellStyle name="Normal 18 11 8 6" xfId="10901" xr:uid="{00000000-0005-0000-0000-0000AE2D0000}"/>
    <cellStyle name="Normal 18 11 9" xfId="10902" xr:uid="{00000000-0005-0000-0000-0000AF2D0000}"/>
    <cellStyle name="Normal 18 12" xfId="10903" xr:uid="{00000000-0005-0000-0000-0000B02D0000}"/>
    <cellStyle name="Normal 18 12 10" xfId="10904" xr:uid="{00000000-0005-0000-0000-0000B12D0000}"/>
    <cellStyle name="Normal 18 12 11" xfId="10905" xr:uid="{00000000-0005-0000-0000-0000B22D0000}"/>
    <cellStyle name="Normal 18 12 12" xfId="10906" xr:uid="{00000000-0005-0000-0000-0000B32D0000}"/>
    <cellStyle name="Normal 18 12 13" xfId="10907" xr:uid="{00000000-0005-0000-0000-0000B42D0000}"/>
    <cellStyle name="Normal 18 12 2" xfId="10908" xr:uid="{00000000-0005-0000-0000-0000B52D0000}"/>
    <cellStyle name="Normal 18 12 2 2" xfId="10909" xr:uid="{00000000-0005-0000-0000-0000B62D0000}"/>
    <cellStyle name="Normal 18 12 2 3" xfId="10910" xr:uid="{00000000-0005-0000-0000-0000B72D0000}"/>
    <cellStyle name="Normal 18 12 2 4" xfId="10911" xr:uid="{00000000-0005-0000-0000-0000B82D0000}"/>
    <cellStyle name="Normal 18 12 2 5" xfId="10912" xr:uid="{00000000-0005-0000-0000-0000B92D0000}"/>
    <cellStyle name="Normal 18 12 2 6" xfId="10913" xr:uid="{00000000-0005-0000-0000-0000BA2D0000}"/>
    <cellStyle name="Normal 18 12 3" xfId="10914" xr:uid="{00000000-0005-0000-0000-0000BB2D0000}"/>
    <cellStyle name="Normal 18 12 3 2" xfId="10915" xr:uid="{00000000-0005-0000-0000-0000BC2D0000}"/>
    <cellStyle name="Normal 18 12 3 3" xfId="10916" xr:uid="{00000000-0005-0000-0000-0000BD2D0000}"/>
    <cellStyle name="Normal 18 12 3 4" xfId="10917" xr:uid="{00000000-0005-0000-0000-0000BE2D0000}"/>
    <cellStyle name="Normal 18 12 3 5" xfId="10918" xr:uid="{00000000-0005-0000-0000-0000BF2D0000}"/>
    <cellStyle name="Normal 18 12 3 6" xfId="10919" xr:uid="{00000000-0005-0000-0000-0000C02D0000}"/>
    <cellStyle name="Normal 18 12 4" xfId="10920" xr:uid="{00000000-0005-0000-0000-0000C12D0000}"/>
    <cellStyle name="Normal 18 12 4 2" xfId="10921" xr:uid="{00000000-0005-0000-0000-0000C22D0000}"/>
    <cellStyle name="Normal 18 12 4 3" xfId="10922" xr:uid="{00000000-0005-0000-0000-0000C32D0000}"/>
    <cellStyle name="Normal 18 12 4 4" xfId="10923" xr:uid="{00000000-0005-0000-0000-0000C42D0000}"/>
    <cellStyle name="Normal 18 12 4 5" xfId="10924" xr:uid="{00000000-0005-0000-0000-0000C52D0000}"/>
    <cellStyle name="Normal 18 12 4 6" xfId="10925" xr:uid="{00000000-0005-0000-0000-0000C62D0000}"/>
    <cellStyle name="Normal 18 12 5" xfId="10926" xr:uid="{00000000-0005-0000-0000-0000C72D0000}"/>
    <cellStyle name="Normal 18 12 5 2" xfId="10927" xr:uid="{00000000-0005-0000-0000-0000C82D0000}"/>
    <cellStyle name="Normal 18 12 5 3" xfId="10928" xr:uid="{00000000-0005-0000-0000-0000C92D0000}"/>
    <cellStyle name="Normal 18 12 5 4" xfId="10929" xr:uid="{00000000-0005-0000-0000-0000CA2D0000}"/>
    <cellStyle name="Normal 18 12 5 5" xfId="10930" xr:uid="{00000000-0005-0000-0000-0000CB2D0000}"/>
    <cellStyle name="Normal 18 12 5 6" xfId="10931" xr:uid="{00000000-0005-0000-0000-0000CC2D0000}"/>
    <cellStyle name="Normal 18 12 6" xfId="10932" xr:uid="{00000000-0005-0000-0000-0000CD2D0000}"/>
    <cellStyle name="Normal 18 12 6 2" xfId="10933" xr:uid="{00000000-0005-0000-0000-0000CE2D0000}"/>
    <cellStyle name="Normal 18 12 6 3" xfId="10934" xr:uid="{00000000-0005-0000-0000-0000CF2D0000}"/>
    <cellStyle name="Normal 18 12 6 4" xfId="10935" xr:uid="{00000000-0005-0000-0000-0000D02D0000}"/>
    <cellStyle name="Normal 18 12 6 5" xfId="10936" xr:uid="{00000000-0005-0000-0000-0000D12D0000}"/>
    <cellStyle name="Normal 18 12 6 6" xfId="10937" xr:uid="{00000000-0005-0000-0000-0000D22D0000}"/>
    <cellStyle name="Normal 18 12 7" xfId="10938" xr:uid="{00000000-0005-0000-0000-0000D32D0000}"/>
    <cellStyle name="Normal 18 12 7 2" xfId="10939" xr:uid="{00000000-0005-0000-0000-0000D42D0000}"/>
    <cellStyle name="Normal 18 12 7 3" xfId="10940" xr:uid="{00000000-0005-0000-0000-0000D52D0000}"/>
    <cellStyle name="Normal 18 12 7 4" xfId="10941" xr:uid="{00000000-0005-0000-0000-0000D62D0000}"/>
    <cellStyle name="Normal 18 12 7 5" xfId="10942" xr:uid="{00000000-0005-0000-0000-0000D72D0000}"/>
    <cellStyle name="Normal 18 12 7 6" xfId="10943" xr:uid="{00000000-0005-0000-0000-0000D82D0000}"/>
    <cellStyle name="Normal 18 12 8" xfId="10944" xr:uid="{00000000-0005-0000-0000-0000D92D0000}"/>
    <cellStyle name="Normal 18 12 8 2" xfId="10945" xr:uid="{00000000-0005-0000-0000-0000DA2D0000}"/>
    <cellStyle name="Normal 18 12 8 3" xfId="10946" xr:uid="{00000000-0005-0000-0000-0000DB2D0000}"/>
    <cellStyle name="Normal 18 12 8 4" xfId="10947" xr:uid="{00000000-0005-0000-0000-0000DC2D0000}"/>
    <cellStyle name="Normal 18 12 8 5" xfId="10948" xr:uid="{00000000-0005-0000-0000-0000DD2D0000}"/>
    <cellStyle name="Normal 18 12 8 6" xfId="10949" xr:uid="{00000000-0005-0000-0000-0000DE2D0000}"/>
    <cellStyle name="Normal 18 12 9" xfId="10950" xr:uid="{00000000-0005-0000-0000-0000DF2D0000}"/>
    <cellStyle name="Normal 18 13" xfId="10951" xr:uid="{00000000-0005-0000-0000-0000E02D0000}"/>
    <cellStyle name="Normal 18 13 10" xfId="10952" xr:uid="{00000000-0005-0000-0000-0000E12D0000}"/>
    <cellStyle name="Normal 18 13 11" xfId="10953" xr:uid="{00000000-0005-0000-0000-0000E22D0000}"/>
    <cellStyle name="Normal 18 13 12" xfId="10954" xr:uid="{00000000-0005-0000-0000-0000E32D0000}"/>
    <cellStyle name="Normal 18 13 13" xfId="10955" xr:uid="{00000000-0005-0000-0000-0000E42D0000}"/>
    <cellStyle name="Normal 18 13 2" xfId="10956" xr:uid="{00000000-0005-0000-0000-0000E52D0000}"/>
    <cellStyle name="Normal 18 13 2 2" xfId="10957" xr:uid="{00000000-0005-0000-0000-0000E62D0000}"/>
    <cellStyle name="Normal 18 13 2 3" xfId="10958" xr:uid="{00000000-0005-0000-0000-0000E72D0000}"/>
    <cellStyle name="Normal 18 13 2 4" xfId="10959" xr:uid="{00000000-0005-0000-0000-0000E82D0000}"/>
    <cellStyle name="Normal 18 13 2 5" xfId="10960" xr:uid="{00000000-0005-0000-0000-0000E92D0000}"/>
    <cellStyle name="Normal 18 13 2 6" xfId="10961" xr:uid="{00000000-0005-0000-0000-0000EA2D0000}"/>
    <cellStyle name="Normal 18 13 3" xfId="10962" xr:uid="{00000000-0005-0000-0000-0000EB2D0000}"/>
    <cellStyle name="Normal 18 13 3 2" xfId="10963" xr:uid="{00000000-0005-0000-0000-0000EC2D0000}"/>
    <cellStyle name="Normal 18 13 3 3" xfId="10964" xr:uid="{00000000-0005-0000-0000-0000ED2D0000}"/>
    <cellStyle name="Normal 18 13 3 4" xfId="10965" xr:uid="{00000000-0005-0000-0000-0000EE2D0000}"/>
    <cellStyle name="Normal 18 13 3 5" xfId="10966" xr:uid="{00000000-0005-0000-0000-0000EF2D0000}"/>
    <cellStyle name="Normal 18 13 3 6" xfId="10967" xr:uid="{00000000-0005-0000-0000-0000F02D0000}"/>
    <cellStyle name="Normal 18 13 4" xfId="10968" xr:uid="{00000000-0005-0000-0000-0000F12D0000}"/>
    <cellStyle name="Normal 18 13 4 2" xfId="10969" xr:uid="{00000000-0005-0000-0000-0000F22D0000}"/>
    <cellStyle name="Normal 18 13 4 3" xfId="10970" xr:uid="{00000000-0005-0000-0000-0000F32D0000}"/>
    <cellStyle name="Normal 18 13 4 4" xfId="10971" xr:uid="{00000000-0005-0000-0000-0000F42D0000}"/>
    <cellStyle name="Normal 18 13 4 5" xfId="10972" xr:uid="{00000000-0005-0000-0000-0000F52D0000}"/>
    <cellStyle name="Normal 18 13 4 6" xfId="10973" xr:uid="{00000000-0005-0000-0000-0000F62D0000}"/>
    <cellStyle name="Normal 18 13 5" xfId="10974" xr:uid="{00000000-0005-0000-0000-0000F72D0000}"/>
    <cellStyle name="Normal 18 13 5 2" xfId="10975" xr:uid="{00000000-0005-0000-0000-0000F82D0000}"/>
    <cellStyle name="Normal 18 13 5 3" xfId="10976" xr:uid="{00000000-0005-0000-0000-0000F92D0000}"/>
    <cellStyle name="Normal 18 13 5 4" xfId="10977" xr:uid="{00000000-0005-0000-0000-0000FA2D0000}"/>
    <cellStyle name="Normal 18 13 5 5" xfId="10978" xr:uid="{00000000-0005-0000-0000-0000FB2D0000}"/>
    <cellStyle name="Normal 18 13 5 6" xfId="10979" xr:uid="{00000000-0005-0000-0000-0000FC2D0000}"/>
    <cellStyle name="Normal 18 13 6" xfId="10980" xr:uid="{00000000-0005-0000-0000-0000FD2D0000}"/>
    <cellStyle name="Normal 18 13 6 2" xfId="10981" xr:uid="{00000000-0005-0000-0000-0000FE2D0000}"/>
    <cellStyle name="Normal 18 13 6 3" xfId="10982" xr:uid="{00000000-0005-0000-0000-0000FF2D0000}"/>
    <cellStyle name="Normal 18 13 6 4" xfId="10983" xr:uid="{00000000-0005-0000-0000-0000002E0000}"/>
    <cellStyle name="Normal 18 13 6 5" xfId="10984" xr:uid="{00000000-0005-0000-0000-0000012E0000}"/>
    <cellStyle name="Normal 18 13 6 6" xfId="10985" xr:uid="{00000000-0005-0000-0000-0000022E0000}"/>
    <cellStyle name="Normal 18 13 7" xfId="10986" xr:uid="{00000000-0005-0000-0000-0000032E0000}"/>
    <cellStyle name="Normal 18 13 7 2" xfId="10987" xr:uid="{00000000-0005-0000-0000-0000042E0000}"/>
    <cellStyle name="Normal 18 13 7 3" xfId="10988" xr:uid="{00000000-0005-0000-0000-0000052E0000}"/>
    <cellStyle name="Normal 18 13 7 4" xfId="10989" xr:uid="{00000000-0005-0000-0000-0000062E0000}"/>
    <cellStyle name="Normal 18 13 7 5" xfId="10990" xr:uid="{00000000-0005-0000-0000-0000072E0000}"/>
    <cellStyle name="Normal 18 13 7 6" xfId="10991" xr:uid="{00000000-0005-0000-0000-0000082E0000}"/>
    <cellStyle name="Normal 18 13 8" xfId="10992" xr:uid="{00000000-0005-0000-0000-0000092E0000}"/>
    <cellStyle name="Normal 18 13 8 2" xfId="10993" xr:uid="{00000000-0005-0000-0000-00000A2E0000}"/>
    <cellStyle name="Normal 18 13 8 3" xfId="10994" xr:uid="{00000000-0005-0000-0000-00000B2E0000}"/>
    <cellStyle name="Normal 18 13 8 4" xfId="10995" xr:uid="{00000000-0005-0000-0000-00000C2E0000}"/>
    <cellStyle name="Normal 18 13 8 5" xfId="10996" xr:uid="{00000000-0005-0000-0000-00000D2E0000}"/>
    <cellStyle name="Normal 18 13 8 6" xfId="10997" xr:uid="{00000000-0005-0000-0000-00000E2E0000}"/>
    <cellStyle name="Normal 18 13 9" xfId="10998" xr:uid="{00000000-0005-0000-0000-00000F2E0000}"/>
    <cellStyle name="Normal 18 14" xfId="10999" xr:uid="{00000000-0005-0000-0000-0000102E0000}"/>
    <cellStyle name="Normal 18 14 10" xfId="11000" xr:uid="{00000000-0005-0000-0000-0000112E0000}"/>
    <cellStyle name="Normal 18 14 11" xfId="11001" xr:uid="{00000000-0005-0000-0000-0000122E0000}"/>
    <cellStyle name="Normal 18 14 12" xfId="11002" xr:uid="{00000000-0005-0000-0000-0000132E0000}"/>
    <cellStyle name="Normal 18 14 13" xfId="11003" xr:uid="{00000000-0005-0000-0000-0000142E0000}"/>
    <cellStyle name="Normal 18 14 2" xfId="11004" xr:uid="{00000000-0005-0000-0000-0000152E0000}"/>
    <cellStyle name="Normal 18 14 2 2" xfId="11005" xr:uid="{00000000-0005-0000-0000-0000162E0000}"/>
    <cellStyle name="Normal 18 14 2 3" xfId="11006" xr:uid="{00000000-0005-0000-0000-0000172E0000}"/>
    <cellStyle name="Normal 18 14 2 4" xfId="11007" xr:uid="{00000000-0005-0000-0000-0000182E0000}"/>
    <cellStyle name="Normal 18 14 2 5" xfId="11008" xr:uid="{00000000-0005-0000-0000-0000192E0000}"/>
    <cellStyle name="Normal 18 14 2 6" xfId="11009" xr:uid="{00000000-0005-0000-0000-00001A2E0000}"/>
    <cellStyle name="Normal 18 14 3" xfId="11010" xr:uid="{00000000-0005-0000-0000-00001B2E0000}"/>
    <cellStyle name="Normal 18 14 3 2" xfId="11011" xr:uid="{00000000-0005-0000-0000-00001C2E0000}"/>
    <cellStyle name="Normal 18 14 3 3" xfId="11012" xr:uid="{00000000-0005-0000-0000-00001D2E0000}"/>
    <cellStyle name="Normal 18 14 3 4" xfId="11013" xr:uid="{00000000-0005-0000-0000-00001E2E0000}"/>
    <cellStyle name="Normal 18 14 3 5" xfId="11014" xr:uid="{00000000-0005-0000-0000-00001F2E0000}"/>
    <cellStyle name="Normal 18 14 3 6" xfId="11015" xr:uid="{00000000-0005-0000-0000-0000202E0000}"/>
    <cellStyle name="Normal 18 14 4" xfId="11016" xr:uid="{00000000-0005-0000-0000-0000212E0000}"/>
    <cellStyle name="Normal 18 14 4 2" xfId="11017" xr:uid="{00000000-0005-0000-0000-0000222E0000}"/>
    <cellStyle name="Normal 18 14 4 3" xfId="11018" xr:uid="{00000000-0005-0000-0000-0000232E0000}"/>
    <cellStyle name="Normal 18 14 4 4" xfId="11019" xr:uid="{00000000-0005-0000-0000-0000242E0000}"/>
    <cellStyle name="Normal 18 14 4 5" xfId="11020" xr:uid="{00000000-0005-0000-0000-0000252E0000}"/>
    <cellStyle name="Normal 18 14 4 6" xfId="11021" xr:uid="{00000000-0005-0000-0000-0000262E0000}"/>
    <cellStyle name="Normal 18 14 5" xfId="11022" xr:uid="{00000000-0005-0000-0000-0000272E0000}"/>
    <cellStyle name="Normal 18 14 5 2" xfId="11023" xr:uid="{00000000-0005-0000-0000-0000282E0000}"/>
    <cellStyle name="Normal 18 14 5 3" xfId="11024" xr:uid="{00000000-0005-0000-0000-0000292E0000}"/>
    <cellStyle name="Normal 18 14 5 4" xfId="11025" xr:uid="{00000000-0005-0000-0000-00002A2E0000}"/>
    <cellStyle name="Normal 18 14 5 5" xfId="11026" xr:uid="{00000000-0005-0000-0000-00002B2E0000}"/>
    <cellStyle name="Normal 18 14 5 6" xfId="11027" xr:uid="{00000000-0005-0000-0000-00002C2E0000}"/>
    <cellStyle name="Normal 18 14 6" xfId="11028" xr:uid="{00000000-0005-0000-0000-00002D2E0000}"/>
    <cellStyle name="Normal 18 14 6 2" xfId="11029" xr:uid="{00000000-0005-0000-0000-00002E2E0000}"/>
    <cellStyle name="Normal 18 14 6 3" xfId="11030" xr:uid="{00000000-0005-0000-0000-00002F2E0000}"/>
    <cellStyle name="Normal 18 14 6 4" xfId="11031" xr:uid="{00000000-0005-0000-0000-0000302E0000}"/>
    <cellStyle name="Normal 18 14 6 5" xfId="11032" xr:uid="{00000000-0005-0000-0000-0000312E0000}"/>
    <cellStyle name="Normal 18 14 6 6" xfId="11033" xr:uid="{00000000-0005-0000-0000-0000322E0000}"/>
    <cellStyle name="Normal 18 14 7" xfId="11034" xr:uid="{00000000-0005-0000-0000-0000332E0000}"/>
    <cellStyle name="Normal 18 14 7 2" xfId="11035" xr:uid="{00000000-0005-0000-0000-0000342E0000}"/>
    <cellStyle name="Normal 18 14 7 3" xfId="11036" xr:uid="{00000000-0005-0000-0000-0000352E0000}"/>
    <cellStyle name="Normal 18 14 7 4" xfId="11037" xr:uid="{00000000-0005-0000-0000-0000362E0000}"/>
    <cellStyle name="Normal 18 14 7 5" xfId="11038" xr:uid="{00000000-0005-0000-0000-0000372E0000}"/>
    <cellStyle name="Normal 18 14 7 6" xfId="11039" xr:uid="{00000000-0005-0000-0000-0000382E0000}"/>
    <cellStyle name="Normal 18 14 8" xfId="11040" xr:uid="{00000000-0005-0000-0000-0000392E0000}"/>
    <cellStyle name="Normal 18 14 8 2" xfId="11041" xr:uid="{00000000-0005-0000-0000-00003A2E0000}"/>
    <cellStyle name="Normal 18 14 8 3" xfId="11042" xr:uid="{00000000-0005-0000-0000-00003B2E0000}"/>
    <cellStyle name="Normal 18 14 8 4" xfId="11043" xr:uid="{00000000-0005-0000-0000-00003C2E0000}"/>
    <cellStyle name="Normal 18 14 8 5" xfId="11044" xr:uid="{00000000-0005-0000-0000-00003D2E0000}"/>
    <cellStyle name="Normal 18 14 8 6" xfId="11045" xr:uid="{00000000-0005-0000-0000-00003E2E0000}"/>
    <cellStyle name="Normal 18 14 9" xfId="11046" xr:uid="{00000000-0005-0000-0000-00003F2E0000}"/>
    <cellStyle name="Normal 18 15" xfId="11047" xr:uid="{00000000-0005-0000-0000-0000402E0000}"/>
    <cellStyle name="Normal 18 15 10" xfId="11048" xr:uid="{00000000-0005-0000-0000-0000412E0000}"/>
    <cellStyle name="Normal 18 15 11" xfId="11049" xr:uid="{00000000-0005-0000-0000-0000422E0000}"/>
    <cellStyle name="Normal 18 15 12" xfId="11050" xr:uid="{00000000-0005-0000-0000-0000432E0000}"/>
    <cellStyle name="Normal 18 15 13" xfId="11051" xr:uid="{00000000-0005-0000-0000-0000442E0000}"/>
    <cellStyle name="Normal 18 15 2" xfId="11052" xr:uid="{00000000-0005-0000-0000-0000452E0000}"/>
    <cellStyle name="Normal 18 15 2 2" xfId="11053" xr:uid="{00000000-0005-0000-0000-0000462E0000}"/>
    <cellStyle name="Normal 18 15 2 3" xfId="11054" xr:uid="{00000000-0005-0000-0000-0000472E0000}"/>
    <cellStyle name="Normal 18 15 2 4" xfId="11055" xr:uid="{00000000-0005-0000-0000-0000482E0000}"/>
    <cellStyle name="Normal 18 15 2 5" xfId="11056" xr:uid="{00000000-0005-0000-0000-0000492E0000}"/>
    <cellStyle name="Normal 18 15 2 6" xfId="11057" xr:uid="{00000000-0005-0000-0000-00004A2E0000}"/>
    <cellStyle name="Normal 18 15 3" xfId="11058" xr:uid="{00000000-0005-0000-0000-00004B2E0000}"/>
    <cellStyle name="Normal 18 15 3 2" xfId="11059" xr:uid="{00000000-0005-0000-0000-00004C2E0000}"/>
    <cellStyle name="Normal 18 15 3 3" xfId="11060" xr:uid="{00000000-0005-0000-0000-00004D2E0000}"/>
    <cellStyle name="Normal 18 15 3 4" xfId="11061" xr:uid="{00000000-0005-0000-0000-00004E2E0000}"/>
    <cellStyle name="Normal 18 15 3 5" xfId="11062" xr:uid="{00000000-0005-0000-0000-00004F2E0000}"/>
    <cellStyle name="Normal 18 15 3 6" xfId="11063" xr:uid="{00000000-0005-0000-0000-0000502E0000}"/>
    <cellStyle name="Normal 18 15 4" xfId="11064" xr:uid="{00000000-0005-0000-0000-0000512E0000}"/>
    <cellStyle name="Normal 18 15 4 2" xfId="11065" xr:uid="{00000000-0005-0000-0000-0000522E0000}"/>
    <cellStyle name="Normal 18 15 4 3" xfId="11066" xr:uid="{00000000-0005-0000-0000-0000532E0000}"/>
    <cellStyle name="Normal 18 15 4 4" xfId="11067" xr:uid="{00000000-0005-0000-0000-0000542E0000}"/>
    <cellStyle name="Normal 18 15 4 5" xfId="11068" xr:uid="{00000000-0005-0000-0000-0000552E0000}"/>
    <cellStyle name="Normal 18 15 4 6" xfId="11069" xr:uid="{00000000-0005-0000-0000-0000562E0000}"/>
    <cellStyle name="Normal 18 15 5" xfId="11070" xr:uid="{00000000-0005-0000-0000-0000572E0000}"/>
    <cellStyle name="Normal 18 15 5 2" xfId="11071" xr:uid="{00000000-0005-0000-0000-0000582E0000}"/>
    <cellStyle name="Normal 18 15 5 3" xfId="11072" xr:uid="{00000000-0005-0000-0000-0000592E0000}"/>
    <cellStyle name="Normal 18 15 5 4" xfId="11073" xr:uid="{00000000-0005-0000-0000-00005A2E0000}"/>
    <cellStyle name="Normal 18 15 5 5" xfId="11074" xr:uid="{00000000-0005-0000-0000-00005B2E0000}"/>
    <cellStyle name="Normal 18 15 5 6" xfId="11075" xr:uid="{00000000-0005-0000-0000-00005C2E0000}"/>
    <cellStyle name="Normal 18 15 6" xfId="11076" xr:uid="{00000000-0005-0000-0000-00005D2E0000}"/>
    <cellStyle name="Normal 18 15 6 2" xfId="11077" xr:uid="{00000000-0005-0000-0000-00005E2E0000}"/>
    <cellStyle name="Normal 18 15 6 3" xfId="11078" xr:uid="{00000000-0005-0000-0000-00005F2E0000}"/>
    <cellStyle name="Normal 18 15 6 4" xfId="11079" xr:uid="{00000000-0005-0000-0000-0000602E0000}"/>
    <cellStyle name="Normal 18 15 6 5" xfId="11080" xr:uid="{00000000-0005-0000-0000-0000612E0000}"/>
    <cellStyle name="Normal 18 15 6 6" xfId="11081" xr:uid="{00000000-0005-0000-0000-0000622E0000}"/>
    <cellStyle name="Normal 18 15 7" xfId="11082" xr:uid="{00000000-0005-0000-0000-0000632E0000}"/>
    <cellStyle name="Normal 18 15 7 2" xfId="11083" xr:uid="{00000000-0005-0000-0000-0000642E0000}"/>
    <cellStyle name="Normal 18 15 7 3" xfId="11084" xr:uid="{00000000-0005-0000-0000-0000652E0000}"/>
    <cellStyle name="Normal 18 15 7 4" xfId="11085" xr:uid="{00000000-0005-0000-0000-0000662E0000}"/>
    <cellStyle name="Normal 18 15 7 5" xfId="11086" xr:uid="{00000000-0005-0000-0000-0000672E0000}"/>
    <cellStyle name="Normal 18 15 7 6" xfId="11087" xr:uid="{00000000-0005-0000-0000-0000682E0000}"/>
    <cellStyle name="Normal 18 15 8" xfId="11088" xr:uid="{00000000-0005-0000-0000-0000692E0000}"/>
    <cellStyle name="Normal 18 15 8 2" xfId="11089" xr:uid="{00000000-0005-0000-0000-00006A2E0000}"/>
    <cellStyle name="Normal 18 15 8 3" xfId="11090" xr:uid="{00000000-0005-0000-0000-00006B2E0000}"/>
    <cellStyle name="Normal 18 15 8 4" xfId="11091" xr:uid="{00000000-0005-0000-0000-00006C2E0000}"/>
    <cellStyle name="Normal 18 15 8 5" xfId="11092" xr:uid="{00000000-0005-0000-0000-00006D2E0000}"/>
    <cellStyle name="Normal 18 15 8 6" xfId="11093" xr:uid="{00000000-0005-0000-0000-00006E2E0000}"/>
    <cellStyle name="Normal 18 15 9" xfId="11094" xr:uid="{00000000-0005-0000-0000-00006F2E0000}"/>
    <cellStyle name="Normal 18 16" xfId="11095" xr:uid="{00000000-0005-0000-0000-0000702E0000}"/>
    <cellStyle name="Normal 18 16 10" xfId="11096" xr:uid="{00000000-0005-0000-0000-0000712E0000}"/>
    <cellStyle name="Normal 18 16 11" xfId="11097" xr:uid="{00000000-0005-0000-0000-0000722E0000}"/>
    <cellStyle name="Normal 18 16 12" xfId="11098" xr:uid="{00000000-0005-0000-0000-0000732E0000}"/>
    <cellStyle name="Normal 18 16 13" xfId="11099" xr:uid="{00000000-0005-0000-0000-0000742E0000}"/>
    <cellStyle name="Normal 18 16 2" xfId="11100" xr:uid="{00000000-0005-0000-0000-0000752E0000}"/>
    <cellStyle name="Normal 18 16 2 2" xfId="11101" xr:uid="{00000000-0005-0000-0000-0000762E0000}"/>
    <cellStyle name="Normal 18 16 2 3" xfId="11102" xr:uid="{00000000-0005-0000-0000-0000772E0000}"/>
    <cellStyle name="Normal 18 16 2 4" xfId="11103" xr:uid="{00000000-0005-0000-0000-0000782E0000}"/>
    <cellStyle name="Normal 18 16 2 5" xfId="11104" xr:uid="{00000000-0005-0000-0000-0000792E0000}"/>
    <cellStyle name="Normal 18 16 2 6" xfId="11105" xr:uid="{00000000-0005-0000-0000-00007A2E0000}"/>
    <cellStyle name="Normal 18 16 3" xfId="11106" xr:uid="{00000000-0005-0000-0000-00007B2E0000}"/>
    <cellStyle name="Normal 18 16 3 2" xfId="11107" xr:uid="{00000000-0005-0000-0000-00007C2E0000}"/>
    <cellStyle name="Normal 18 16 3 3" xfId="11108" xr:uid="{00000000-0005-0000-0000-00007D2E0000}"/>
    <cellStyle name="Normal 18 16 3 4" xfId="11109" xr:uid="{00000000-0005-0000-0000-00007E2E0000}"/>
    <cellStyle name="Normal 18 16 3 5" xfId="11110" xr:uid="{00000000-0005-0000-0000-00007F2E0000}"/>
    <cellStyle name="Normal 18 16 3 6" xfId="11111" xr:uid="{00000000-0005-0000-0000-0000802E0000}"/>
    <cellStyle name="Normal 18 16 4" xfId="11112" xr:uid="{00000000-0005-0000-0000-0000812E0000}"/>
    <cellStyle name="Normal 18 16 4 2" xfId="11113" xr:uid="{00000000-0005-0000-0000-0000822E0000}"/>
    <cellStyle name="Normal 18 16 4 3" xfId="11114" xr:uid="{00000000-0005-0000-0000-0000832E0000}"/>
    <cellStyle name="Normal 18 16 4 4" xfId="11115" xr:uid="{00000000-0005-0000-0000-0000842E0000}"/>
    <cellStyle name="Normal 18 16 4 5" xfId="11116" xr:uid="{00000000-0005-0000-0000-0000852E0000}"/>
    <cellStyle name="Normal 18 16 4 6" xfId="11117" xr:uid="{00000000-0005-0000-0000-0000862E0000}"/>
    <cellStyle name="Normal 18 16 5" xfId="11118" xr:uid="{00000000-0005-0000-0000-0000872E0000}"/>
    <cellStyle name="Normal 18 16 5 2" xfId="11119" xr:uid="{00000000-0005-0000-0000-0000882E0000}"/>
    <cellStyle name="Normal 18 16 5 3" xfId="11120" xr:uid="{00000000-0005-0000-0000-0000892E0000}"/>
    <cellStyle name="Normal 18 16 5 4" xfId="11121" xr:uid="{00000000-0005-0000-0000-00008A2E0000}"/>
    <cellStyle name="Normal 18 16 5 5" xfId="11122" xr:uid="{00000000-0005-0000-0000-00008B2E0000}"/>
    <cellStyle name="Normal 18 16 5 6" xfId="11123" xr:uid="{00000000-0005-0000-0000-00008C2E0000}"/>
    <cellStyle name="Normal 18 16 6" xfId="11124" xr:uid="{00000000-0005-0000-0000-00008D2E0000}"/>
    <cellStyle name="Normal 18 16 6 2" xfId="11125" xr:uid="{00000000-0005-0000-0000-00008E2E0000}"/>
    <cellStyle name="Normal 18 16 6 3" xfId="11126" xr:uid="{00000000-0005-0000-0000-00008F2E0000}"/>
    <cellStyle name="Normal 18 16 6 4" xfId="11127" xr:uid="{00000000-0005-0000-0000-0000902E0000}"/>
    <cellStyle name="Normal 18 16 6 5" xfId="11128" xr:uid="{00000000-0005-0000-0000-0000912E0000}"/>
    <cellStyle name="Normal 18 16 6 6" xfId="11129" xr:uid="{00000000-0005-0000-0000-0000922E0000}"/>
    <cellStyle name="Normal 18 16 7" xfId="11130" xr:uid="{00000000-0005-0000-0000-0000932E0000}"/>
    <cellStyle name="Normal 18 16 7 2" xfId="11131" xr:uid="{00000000-0005-0000-0000-0000942E0000}"/>
    <cellStyle name="Normal 18 16 7 3" xfId="11132" xr:uid="{00000000-0005-0000-0000-0000952E0000}"/>
    <cellStyle name="Normal 18 16 7 4" xfId="11133" xr:uid="{00000000-0005-0000-0000-0000962E0000}"/>
    <cellStyle name="Normal 18 16 7 5" xfId="11134" xr:uid="{00000000-0005-0000-0000-0000972E0000}"/>
    <cellStyle name="Normal 18 16 7 6" xfId="11135" xr:uid="{00000000-0005-0000-0000-0000982E0000}"/>
    <cellStyle name="Normal 18 16 8" xfId="11136" xr:uid="{00000000-0005-0000-0000-0000992E0000}"/>
    <cellStyle name="Normal 18 16 8 2" xfId="11137" xr:uid="{00000000-0005-0000-0000-00009A2E0000}"/>
    <cellStyle name="Normal 18 16 8 3" xfId="11138" xr:uid="{00000000-0005-0000-0000-00009B2E0000}"/>
    <cellStyle name="Normal 18 16 8 4" xfId="11139" xr:uid="{00000000-0005-0000-0000-00009C2E0000}"/>
    <cellStyle name="Normal 18 16 8 5" xfId="11140" xr:uid="{00000000-0005-0000-0000-00009D2E0000}"/>
    <cellStyle name="Normal 18 16 8 6" xfId="11141" xr:uid="{00000000-0005-0000-0000-00009E2E0000}"/>
    <cellStyle name="Normal 18 16 9" xfId="11142" xr:uid="{00000000-0005-0000-0000-00009F2E0000}"/>
    <cellStyle name="Normal 18 17" xfId="11143" xr:uid="{00000000-0005-0000-0000-0000A02E0000}"/>
    <cellStyle name="Normal 18 17 10" xfId="11144" xr:uid="{00000000-0005-0000-0000-0000A12E0000}"/>
    <cellStyle name="Normal 18 17 11" xfId="11145" xr:uid="{00000000-0005-0000-0000-0000A22E0000}"/>
    <cellStyle name="Normal 18 17 12" xfId="11146" xr:uid="{00000000-0005-0000-0000-0000A32E0000}"/>
    <cellStyle name="Normal 18 17 13" xfId="11147" xr:uid="{00000000-0005-0000-0000-0000A42E0000}"/>
    <cellStyle name="Normal 18 17 2" xfId="11148" xr:uid="{00000000-0005-0000-0000-0000A52E0000}"/>
    <cellStyle name="Normal 18 17 2 2" xfId="11149" xr:uid="{00000000-0005-0000-0000-0000A62E0000}"/>
    <cellStyle name="Normal 18 17 2 3" xfId="11150" xr:uid="{00000000-0005-0000-0000-0000A72E0000}"/>
    <cellStyle name="Normal 18 17 2 4" xfId="11151" xr:uid="{00000000-0005-0000-0000-0000A82E0000}"/>
    <cellStyle name="Normal 18 17 2 5" xfId="11152" xr:uid="{00000000-0005-0000-0000-0000A92E0000}"/>
    <cellStyle name="Normal 18 17 2 6" xfId="11153" xr:uid="{00000000-0005-0000-0000-0000AA2E0000}"/>
    <cellStyle name="Normal 18 17 3" xfId="11154" xr:uid="{00000000-0005-0000-0000-0000AB2E0000}"/>
    <cellStyle name="Normal 18 17 3 2" xfId="11155" xr:uid="{00000000-0005-0000-0000-0000AC2E0000}"/>
    <cellStyle name="Normal 18 17 3 3" xfId="11156" xr:uid="{00000000-0005-0000-0000-0000AD2E0000}"/>
    <cellStyle name="Normal 18 17 3 4" xfId="11157" xr:uid="{00000000-0005-0000-0000-0000AE2E0000}"/>
    <cellStyle name="Normal 18 17 3 5" xfId="11158" xr:uid="{00000000-0005-0000-0000-0000AF2E0000}"/>
    <cellStyle name="Normal 18 17 3 6" xfId="11159" xr:uid="{00000000-0005-0000-0000-0000B02E0000}"/>
    <cellStyle name="Normal 18 17 4" xfId="11160" xr:uid="{00000000-0005-0000-0000-0000B12E0000}"/>
    <cellStyle name="Normal 18 17 4 2" xfId="11161" xr:uid="{00000000-0005-0000-0000-0000B22E0000}"/>
    <cellStyle name="Normal 18 17 4 3" xfId="11162" xr:uid="{00000000-0005-0000-0000-0000B32E0000}"/>
    <cellStyle name="Normal 18 17 4 4" xfId="11163" xr:uid="{00000000-0005-0000-0000-0000B42E0000}"/>
    <cellStyle name="Normal 18 17 4 5" xfId="11164" xr:uid="{00000000-0005-0000-0000-0000B52E0000}"/>
    <cellStyle name="Normal 18 17 4 6" xfId="11165" xr:uid="{00000000-0005-0000-0000-0000B62E0000}"/>
    <cellStyle name="Normal 18 17 5" xfId="11166" xr:uid="{00000000-0005-0000-0000-0000B72E0000}"/>
    <cellStyle name="Normal 18 17 5 2" xfId="11167" xr:uid="{00000000-0005-0000-0000-0000B82E0000}"/>
    <cellStyle name="Normal 18 17 5 3" xfId="11168" xr:uid="{00000000-0005-0000-0000-0000B92E0000}"/>
    <cellStyle name="Normal 18 17 5 4" xfId="11169" xr:uid="{00000000-0005-0000-0000-0000BA2E0000}"/>
    <cellStyle name="Normal 18 17 5 5" xfId="11170" xr:uid="{00000000-0005-0000-0000-0000BB2E0000}"/>
    <cellStyle name="Normal 18 17 5 6" xfId="11171" xr:uid="{00000000-0005-0000-0000-0000BC2E0000}"/>
    <cellStyle name="Normal 18 17 6" xfId="11172" xr:uid="{00000000-0005-0000-0000-0000BD2E0000}"/>
    <cellStyle name="Normal 18 17 6 2" xfId="11173" xr:uid="{00000000-0005-0000-0000-0000BE2E0000}"/>
    <cellStyle name="Normal 18 17 6 3" xfId="11174" xr:uid="{00000000-0005-0000-0000-0000BF2E0000}"/>
    <cellStyle name="Normal 18 17 6 4" xfId="11175" xr:uid="{00000000-0005-0000-0000-0000C02E0000}"/>
    <cellStyle name="Normal 18 17 6 5" xfId="11176" xr:uid="{00000000-0005-0000-0000-0000C12E0000}"/>
    <cellStyle name="Normal 18 17 6 6" xfId="11177" xr:uid="{00000000-0005-0000-0000-0000C22E0000}"/>
    <cellStyle name="Normal 18 17 7" xfId="11178" xr:uid="{00000000-0005-0000-0000-0000C32E0000}"/>
    <cellStyle name="Normal 18 17 7 2" xfId="11179" xr:uid="{00000000-0005-0000-0000-0000C42E0000}"/>
    <cellStyle name="Normal 18 17 7 3" xfId="11180" xr:uid="{00000000-0005-0000-0000-0000C52E0000}"/>
    <cellStyle name="Normal 18 17 7 4" xfId="11181" xr:uid="{00000000-0005-0000-0000-0000C62E0000}"/>
    <cellStyle name="Normal 18 17 7 5" xfId="11182" xr:uid="{00000000-0005-0000-0000-0000C72E0000}"/>
    <cellStyle name="Normal 18 17 7 6" xfId="11183" xr:uid="{00000000-0005-0000-0000-0000C82E0000}"/>
    <cellStyle name="Normal 18 17 8" xfId="11184" xr:uid="{00000000-0005-0000-0000-0000C92E0000}"/>
    <cellStyle name="Normal 18 17 8 2" xfId="11185" xr:uid="{00000000-0005-0000-0000-0000CA2E0000}"/>
    <cellStyle name="Normal 18 17 8 3" xfId="11186" xr:uid="{00000000-0005-0000-0000-0000CB2E0000}"/>
    <cellStyle name="Normal 18 17 8 4" xfId="11187" xr:uid="{00000000-0005-0000-0000-0000CC2E0000}"/>
    <cellStyle name="Normal 18 17 8 5" xfId="11188" xr:uid="{00000000-0005-0000-0000-0000CD2E0000}"/>
    <cellStyle name="Normal 18 17 8 6" xfId="11189" xr:uid="{00000000-0005-0000-0000-0000CE2E0000}"/>
    <cellStyle name="Normal 18 17 9" xfId="11190" xr:uid="{00000000-0005-0000-0000-0000CF2E0000}"/>
    <cellStyle name="Normal 18 18" xfId="11191" xr:uid="{00000000-0005-0000-0000-0000D02E0000}"/>
    <cellStyle name="Normal 18 18 10" xfId="11192" xr:uid="{00000000-0005-0000-0000-0000D12E0000}"/>
    <cellStyle name="Normal 18 18 11" xfId="11193" xr:uid="{00000000-0005-0000-0000-0000D22E0000}"/>
    <cellStyle name="Normal 18 18 12" xfId="11194" xr:uid="{00000000-0005-0000-0000-0000D32E0000}"/>
    <cellStyle name="Normal 18 18 13" xfId="11195" xr:uid="{00000000-0005-0000-0000-0000D42E0000}"/>
    <cellStyle name="Normal 18 18 2" xfId="11196" xr:uid="{00000000-0005-0000-0000-0000D52E0000}"/>
    <cellStyle name="Normal 18 18 2 2" xfId="11197" xr:uid="{00000000-0005-0000-0000-0000D62E0000}"/>
    <cellStyle name="Normal 18 18 2 3" xfId="11198" xr:uid="{00000000-0005-0000-0000-0000D72E0000}"/>
    <cellStyle name="Normal 18 18 2 4" xfId="11199" xr:uid="{00000000-0005-0000-0000-0000D82E0000}"/>
    <cellStyle name="Normal 18 18 2 5" xfId="11200" xr:uid="{00000000-0005-0000-0000-0000D92E0000}"/>
    <cellStyle name="Normal 18 18 2 6" xfId="11201" xr:uid="{00000000-0005-0000-0000-0000DA2E0000}"/>
    <cellStyle name="Normal 18 18 3" xfId="11202" xr:uid="{00000000-0005-0000-0000-0000DB2E0000}"/>
    <cellStyle name="Normal 18 18 3 2" xfId="11203" xr:uid="{00000000-0005-0000-0000-0000DC2E0000}"/>
    <cellStyle name="Normal 18 18 3 3" xfId="11204" xr:uid="{00000000-0005-0000-0000-0000DD2E0000}"/>
    <cellStyle name="Normal 18 18 3 4" xfId="11205" xr:uid="{00000000-0005-0000-0000-0000DE2E0000}"/>
    <cellStyle name="Normal 18 18 3 5" xfId="11206" xr:uid="{00000000-0005-0000-0000-0000DF2E0000}"/>
    <cellStyle name="Normal 18 18 3 6" xfId="11207" xr:uid="{00000000-0005-0000-0000-0000E02E0000}"/>
    <cellStyle name="Normal 18 18 4" xfId="11208" xr:uid="{00000000-0005-0000-0000-0000E12E0000}"/>
    <cellStyle name="Normal 18 18 4 2" xfId="11209" xr:uid="{00000000-0005-0000-0000-0000E22E0000}"/>
    <cellStyle name="Normal 18 18 4 3" xfId="11210" xr:uid="{00000000-0005-0000-0000-0000E32E0000}"/>
    <cellStyle name="Normal 18 18 4 4" xfId="11211" xr:uid="{00000000-0005-0000-0000-0000E42E0000}"/>
    <cellStyle name="Normal 18 18 4 5" xfId="11212" xr:uid="{00000000-0005-0000-0000-0000E52E0000}"/>
    <cellStyle name="Normal 18 18 4 6" xfId="11213" xr:uid="{00000000-0005-0000-0000-0000E62E0000}"/>
    <cellStyle name="Normal 18 18 5" xfId="11214" xr:uid="{00000000-0005-0000-0000-0000E72E0000}"/>
    <cellStyle name="Normal 18 18 5 2" xfId="11215" xr:uid="{00000000-0005-0000-0000-0000E82E0000}"/>
    <cellStyle name="Normal 18 18 5 3" xfId="11216" xr:uid="{00000000-0005-0000-0000-0000E92E0000}"/>
    <cellStyle name="Normal 18 18 5 4" xfId="11217" xr:uid="{00000000-0005-0000-0000-0000EA2E0000}"/>
    <cellStyle name="Normal 18 18 5 5" xfId="11218" xr:uid="{00000000-0005-0000-0000-0000EB2E0000}"/>
    <cellStyle name="Normal 18 18 5 6" xfId="11219" xr:uid="{00000000-0005-0000-0000-0000EC2E0000}"/>
    <cellStyle name="Normal 18 18 6" xfId="11220" xr:uid="{00000000-0005-0000-0000-0000ED2E0000}"/>
    <cellStyle name="Normal 18 18 6 2" xfId="11221" xr:uid="{00000000-0005-0000-0000-0000EE2E0000}"/>
    <cellStyle name="Normal 18 18 6 3" xfId="11222" xr:uid="{00000000-0005-0000-0000-0000EF2E0000}"/>
    <cellStyle name="Normal 18 18 6 4" xfId="11223" xr:uid="{00000000-0005-0000-0000-0000F02E0000}"/>
    <cellStyle name="Normal 18 18 6 5" xfId="11224" xr:uid="{00000000-0005-0000-0000-0000F12E0000}"/>
    <cellStyle name="Normal 18 18 6 6" xfId="11225" xr:uid="{00000000-0005-0000-0000-0000F22E0000}"/>
    <cellStyle name="Normal 18 18 7" xfId="11226" xr:uid="{00000000-0005-0000-0000-0000F32E0000}"/>
    <cellStyle name="Normal 18 18 7 2" xfId="11227" xr:uid="{00000000-0005-0000-0000-0000F42E0000}"/>
    <cellStyle name="Normal 18 18 7 3" xfId="11228" xr:uid="{00000000-0005-0000-0000-0000F52E0000}"/>
    <cellStyle name="Normal 18 18 7 4" xfId="11229" xr:uid="{00000000-0005-0000-0000-0000F62E0000}"/>
    <cellStyle name="Normal 18 18 7 5" xfId="11230" xr:uid="{00000000-0005-0000-0000-0000F72E0000}"/>
    <cellStyle name="Normal 18 18 7 6" xfId="11231" xr:uid="{00000000-0005-0000-0000-0000F82E0000}"/>
    <cellStyle name="Normal 18 18 8" xfId="11232" xr:uid="{00000000-0005-0000-0000-0000F92E0000}"/>
    <cellStyle name="Normal 18 18 8 2" xfId="11233" xr:uid="{00000000-0005-0000-0000-0000FA2E0000}"/>
    <cellStyle name="Normal 18 18 8 3" xfId="11234" xr:uid="{00000000-0005-0000-0000-0000FB2E0000}"/>
    <cellStyle name="Normal 18 18 8 4" xfId="11235" xr:uid="{00000000-0005-0000-0000-0000FC2E0000}"/>
    <cellStyle name="Normal 18 18 8 5" xfId="11236" xr:uid="{00000000-0005-0000-0000-0000FD2E0000}"/>
    <cellStyle name="Normal 18 18 8 6" xfId="11237" xr:uid="{00000000-0005-0000-0000-0000FE2E0000}"/>
    <cellStyle name="Normal 18 18 9" xfId="11238" xr:uid="{00000000-0005-0000-0000-0000FF2E0000}"/>
    <cellStyle name="Normal 18 19" xfId="11239" xr:uid="{00000000-0005-0000-0000-0000002F0000}"/>
    <cellStyle name="Normal 18 19 10" xfId="11240" xr:uid="{00000000-0005-0000-0000-0000012F0000}"/>
    <cellStyle name="Normal 18 19 11" xfId="11241" xr:uid="{00000000-0005-0000-0000-0000022F0000}"/>
    <cellStyle name="Normal 18 19 12" xfId="11242" xr:uid="{00000000-0005-0000-0000-0000032F0000}"/>
    <cellStyle name="Normal 18 19 13" xfId="11243" xr:uid="{00000000-0005-0000-0000-0000042F0000}"/>
    <cellStyle name="Normal 18 19 2" xfId="11244" xr:uid="{00000000-0005-0000-0000-0000052F0000}"/>
    <cellStyle name="Normal 18 19 2 2" xfId="11245" xr:uid="{00000000-0005-0000-0000-0000062F0000}"/>
    <cellStyle name="Normal 18 19 2 3" xfId="11246" xr:uid="{00000000-0005-0000-0000-0000072F0000}"/>
    <cellStyle name="Normal 18 19 2 4" xfId="11247" xr:uid="{00000000-0005-0000-0000-0000082F0000}"/>
    <cellStyle name="Normal 18 19 2 5" xfId="11248" xr:uid="{00000000-0005-0000-0000-0000092F0000}"/>
    <cellStyle name="Normal 18 19 2 6" xfId="11249" xr:uid="{00000000-0005-0000-0000-00000A2F0000}"/>
    <cellStyle name="Normal 18 19 3" xfId="11250" xr:uid="{00000000-0005-0000-0000-00000B2F0000}"/>
    <cellStyle name="Normal 18 19 3 2" xfId="11251" xr:uid="{00000000-0005-0000-0000-00000C2F0000}"/>
    <cellStyle name="Normal 18 19 3 3" xfId="11252" xr:uid="{00000000-0005-0000-0000-00000D2F0000}"/>
    <cellStyle name="Normal 18 19 3 4" xfId="11253" xr:uid="{00000000-0005-0000-0000-00000E2F0000}"/>
    <cellStyle name="Normal 18 19 3 5" xfId="11254" xr:uid="{00000000-0005-0000-0000-00000F2F0000}"/>
    <cellStyle name="Normal 18 19 3 6" xfId="11255" xr:uid="{00000000-0005-0000-0000-0000102F0000}"/>
    <cellStyle name="Normal 18 19 4" xfId="11256" xr:uid="{00000000-0005-0000-0000-0000112F0000}"/>
    <cellStyle name="Normal 18 19 4 2" xfId="11257" xr:uid="{00000000-0005-0000-0000-0000122F0000}"/>
    <cellStyle name="Normal 18 19 4 3" xfId="11258" xr:uid="{00000000-0005-0000-0000-0000132F0000}"/>
    <cellStyle name="Normal 18 19 4 4" xfId="11259" xr:uid="{00000000-0005-0000-0000-0000142F0000}"/>
    <cellStyle name="Normal 18 19 4 5" xfId="11260" xr:uid="{00000000-0005-0000-0000-0000152F0000}"/>
    <cellStyle name="Normal 18 19 4 6" xfId="11261" xr:uid="{00000000-0005-0000-0000-0000162F0000}"/>
    <cellStyle name="Normal 18 19 5" xfId="11262" xr:uid="{00000000-0005-0000-0000-0000172F0000}"/>
    <cellStyle name="Normal 18 19 5 2" xfId="11263" xr:uid="{00000000-0005-0000-0000-0000182F0000}"/>
    <cellStyle name="Normal 18 19 5 3" xfId="11264" xr:uid="{00000000-0005-0000-0000-0000192F0000}"/>
    <cellStyle name="Normal 18 19 5 4" xfId="11265" xr:uid="{00000000-0005-0000-0000-00001A2F0000}"/>
    <cellStyle name="Normal 18 19 5 5" xfId="11266" xr:uid="{00000000-0005-0000-0000-00001B2F0000}"/>
    <cellStyle name="Normal 18 19 5 6" xfId="11267" xr:uid="{00000000-0005-0000-0000-00001C2F0000}"/>
    <cellStyle name="Normal 18 19 6" xfId="11268" xr:uid="{00000000-0005-0000-0000-00001D2F0000}"/>
    <cellStyle name="Normal 18 19 6 2" xfId="11269" xr:uid="{00000000-0005-0000-0000-00001E2F0000}"/>
    <cellStyle name="Normal 18 19 6 3" xfId="11270" xr:uid="{00000000-0005-0000-0000-00001F2F0000}"/>
    <cellStyle name="Normal 18 19 6 4" xfId="11271" xr:uid="{00000000-0005-0000-0000-0000202F0000}"/>
    <cellStyle name="Normal 18 19 6 5" xfId="11272" xr:uid="{00000000-0005-0000-0000-0000212F0000}"/>
    <cellStyle name="Normal 18 19 6 6" xfId="11273" xr:uid="{00000000-0005-0000-0000-0000222F0000}"/>
    <cellStyle name="Normal 18 19 7" xfId="11274" xr:uid="{00000000-0005-0000-0000-0000232F0000}"/>
    <cellStyle name="Normal 18 19 7 2" xfId="11275" xr:uid="{00000000-0005-0000-0000-0000242F0000}"/>
    <cellStyle name="Normal 18 19 7 3" xfId="11276" xr:uid="{00000000-0005-0000-0000-0000252F0000}"/>
    <cellStyle name="Normal 18 19 7 4" xfId="11277" xr:uid="{00000000-0005-0000-0000-0000262F0000}"/>
    <cellStyle name="Normal 18 19 7 5" xfId="11278" xr:uid="{00000000-0005-0000-0000-0000272F0000}"/>
    <cellStyle name="Normal 18 19 7 6" xfId="11279" xr:uid="{00000000-0005-0000-0000-0000282F0000}"/>
    <cellStyle name="Normal 18 19 8" xfId="11280" xr:uid="{00000000-0005-0000-0000-0000292F0000}"/>
    <cellStyle name="Normal 18 19 8 2" xfId="11281" xr:uid="{00000000-0005-0000-0000-00002A2F0000}"/>
    <cellStyle name="Normal 18 19 8 3" xfId="11282" xr:uid="{00000000-0005-0000-0000-00002B2F0000}"/>
    <cellStyle name="Normal 18 19 8 4" xfId="11283" xr:uid="{00000000-0005-0000-0000-00002C2F0000}"/>
    <cellStyle name="Normal 18 19 8 5" xfId="11284" xr:uid="{00000000-0005-0000-0000-00002D2F0000}"/>
    <cellStyle name="Normal 18 19 8 6" xfId="11285" xr:uid="{00000000-0005-0000-0000-00002E2F0000}"/>
    <cellStyle name="Normal 18 19 9" xfId="11286" xr:uid="{00000000-0005-0000-0000-00002F2F0000}"/>
    <cellStyle name="Normal 18 2" xfId="1679" xr:uid="{00000000-0005-0000-0000-0000302F0000}"/>
    <cellStyle name="Normal 18 2 10" xfId="11287" xr:uid="{00000000-0005-0000-0000-0000312F0000}"/>
    <cellStyle name="Normal 18 2 11" xfId="11288" xr:uid="{00000000-0005-0000-0000-0000322F0000}"/>
    <cellStyle name="Normal 18 2 12" xfId="11289" xr:uid="{00000000-0005-0000-0000-0000332F0000}"/>
    <cellStyle name="Normal 18 2 13" xfId="11290" xr:uid="{00000000-0005-0000-0000-0000342F0000}"/>
    <cellStyle name="Normal 18 2 2" xfId="11291" xr:uid="{00000000-0005-0000-0000-0000352F0000}"/>
    <cellStyle name="Normal 18 2 2 2" xfId="11292" xr:uid="{00000000-0005-0000-0000-0000362F0000}"/>
    <cellStyle name="Normal 18 2 2 3" xfId="11293" xr:uid="{00000000-0005-0000-0000-0000372F0000}"/>
    <cellStyle name="Normal 18 2 2 4" xfId="11294" xr:uid="{00000000-0005-0000-0000-0000382F0000}"/>
    <cellStyle name="Normal 18 2 2 5" xfId="11295" xr:uid="{00000000-0005-0000-0000-0000392F0000}"/>
    <cellStyle name="Normal 18 2 2 6" xfId="11296" xr:uid="{00000000-0005-0000-0000-00003A2F0000}"/>
    <cellStyle name="Normal 18 2 3" xfId="11297" xr:uid="{00000000-0005-0000-0000-00003B2F0000}"/>
    <cellStyle name="Normal 18 2 3 2" xfId="11298" xr:uid="{00000000-0005-0000-0000-00003C2F0000}"/>
    <cellStyle name="Normal 18 2 3 3" xfId="11299" xr:uid="{00000000-0005-0000-0000-00003D2F0000}"/>
    <cellStyle name="Normal 18 2 3 4" xfId="11300" xr:uid="{00000000-0005-0000-0000-00003E2F0000}"/>
    <cellStyle name="Normal 18 2 3 5" xfId="11301" xr:uid="{00000000-0005-0000-0000-00003F2F0000}"/>
    <cellStyle name="Normal 18 2 3 6" xfId="11302" xr:uid="{00000000-0005-0000-0000-0000402F0000}"/>
    <cellStyle name="Normal 18 2 4" xfId="11303" xr:uid="{00000000-0005-0000-0000-0000412F0000}"/>
    <cellStyle name="Normal 18 2 4 2" xfId="11304" xr:uid="{00000000-0005-0000-0000-0000422F0000}"/>
    <cellStyle name="Normal 18 2 4 3" xfId="11305" xr:uid="{00000000-0005-0000-0000-0000432F0000}"/>
    <cellStyle name="Normal 18 2 4 4" xfId="11306" xr:uid="{00000000-0005-0000-0000-0000442F0000}"/>
    <cellStyle name="Normal 18 2 4 5" xfId="11307" xr:uid="{00000000-0005-0000-0000-0000452F0000}"/>
    <cellStyle name="Normal 18 2 4 6" xfId="11308" xr:uid="{00000000-0005-0000-0000-0000462F0000}"/>
    <cellStyle name="Normal 18 2 5" xfId="11309" xr:uid="{00000000-0005-0000-0000-0000472F0000}"/>
    <cellStyle name="Normal 18 2 5 2" xfId="11310" xr:uid="{00000000-0005-0000-0000-0000482F0000}"/>
    <cellStyle name="Normal 18 2 5 3" xfId="11311" xr:uid="{00000000-0005-0000-0000-0000492F0000}"/>
    <cellStyle name="Normal 18 2 5 4" xfId="11312" xr:uid="{00000000-0005-0000-0000-00004A2F0000}"/>
    <cellStyle name="Normal 18 2 5 5" xfId="11313" xr:uid="{00000000-0005-0000-0000-00004B2F0000}"/>
    <cellStyle name="Normal 18 2 5 6" xfId="11314" xr:uid="{00000000-0005-0000-0000-00004C2F0000}"/>
    <cellStyle name="Normal 18 2 6" xfId="11315" xr:uid="{00000000-0005-0000-0000-00004D2F0000}"/>
    <cellStyle name="Normal 18 2 6 2" xfId="11316" xr:uid="{00000000-0005-0000-0000-00004E2F0000}"/>
    <cellStyle name="Normal 18 2 6 3" xfId="11317" xr:uid="{00000000-0005-0000-0000-00004F2F0000}"/>
    <cellStyle name="Normal 18 2 6 4" xfId="11318" xr:uid="{00000000-0005-0000-0000-0000502F0000}"/>
    <cellStyle name="Normal 18 2 6 5" xfId="11319" xr:uid="{00000000-0005-0000-0000-0000512F0000}"/>
    <cellStyle name="Normal 18 2 6 6" xfId="11320" xr:uid="{00000000-0005-0000-0000-0000522F0000}"/>
    <cellStyle name="Normal 18 2 7" xfId="11321" xr:uid="{00000000-0005-0000-0000-0000532F0000}"/>
    <cellStyle name="Normal 18 2 7 2" xfId="11322" xr:uid="{00000000-0005-0000-0000-0000542F0000}"/>
    <cellStyle name="Normal 18 2 7 3" xfId="11323" xr:uid="{00000000-0005-0000-0000-0000552F0000}"/>
    <cellStyle name="Normal 18 2 7 4" xfId="11324" xr:uid="{00000000-0005-0000-0000-0000562F0000}"/>
    <cellStyle name="Normal 18 2 7 5" xfId="11325" xr:uid="{00000000-0005-0000-0000-0000572F0000}"/>
    <cellStyle name="Normal 18 2 7 6" xfId="11326" xr:uid="{00000000-0005-0000-0000-0000582F0000}"/>
    <cellStyle name="Normal 18 2 8" xfId="11327" xr:uid="{00000000-0005-0000-0000-0000592F0000}"/>
    <cellStyle name="Normal 18 2 8 2" xfId="11328" xr:uid="{00000000-0005-0000-0000-00005A2F0000}"/>
    <cellStyle name="Normal 18 2 8 3" xfId="11329" xr:uid="{00000000-0005-0000-0000-00005B2F0000}"/>
    <cellStyle name="Normal 18 2 8 4" xfId="11330" xr:uid="{00000000-0005-0000-0000-00005C2F0000}"/>
    <cellStyle name="Normal 18 2 8 5" xfId="11331" xr:uid="{00000000-0005-0000-0000-00005D2F0000}"/>
    <cellStyle name="Normal 18 2 8 6" xfId="11332" xr:uid="{00000000-0005-0000-0000-00005E2F0000}"/>
    <cellStyle name="Normal 18 2 9" xfId="11333" xr:uid="{00000000-0005-0000-0000-00005F2F0000}"/>
    <cellStyle name="Normal 18 20" xfId="11334" xr:uid="{00000000-0005-0000-0000-0000602F0000}"/>
    <cellStyle name="Normal 18 20 10" xfId="11335" xr:uid="{00000000-0005-0000-0000-0000612F0000}"/>
    <cellStyle name="Normal 18 20 11" xfId="11336" xr:uid="{00000000-0005-0000-0000-0000622F0000}"/>
    <cellStyle name="Normal 18 20 12" xfId="11337" xr:uid="{00000000-0005-0000-0000-0000632F0000}"/>
    <cellStyle name="Normal 18 20 13" xfId="11338" xr:uid="{00000000-0005-0000-0000-0000642F0000}"/>
    <cellStyle name="Normal 18 20 2" xfId="11339" xr:uid="{00000000-0005-0000-0000-0000652F0000}"/>
    <cellStyle name="Normal 18 20 2 2" xfId="11340" xr:uid="{00000000-0005-0000-0000-0000662F0000}"/>
    <cellStyle name="Normal 18 20 2 3" xfId="11341" xr:uid="{00000000-0005-0000-0000-0000672F0000}"/>
    <cellStyle name="Normal 18 20 2 4" xfId="11342" xr:uid="{00000000-0005-0000-0000-0000682F0000}"/>
    <cellStyle name="Normal 18 20 2 5" xfId="11343" xr:uid="{00000000-0005-0000-0000-0000692F0000}"/>
    <cellStyle name="Normal 18 20 2 6" xfId="11344" xr:uid="{00000000-0005-0000-0000-00006A2F0000}"/>
    <cellStyle name="Normal 18 20 3" xfId="11345" xr:uid="{00000000-0005-0000-0000-00006B2F0000}"/>
    <cellStyle name="Normal 18 20 3 2" xfId="11346" xr:uid="{00000000-0005-0000-0000-00006C2F0000}"/>
    <cellStyle name="Normal 18 20 3 3" xfId="11347" xr:uid="{00000000-0005-0000-0000-00006D2F0000}"/>
    <cellStyle name="Normal 18 20 3 4" xfId="11348" xr:uid="{00000000-0005-0000-0000-00006E2F0000}"/>
    <cellStyle name="Normal 18 20 3 5" xfId="11349" xr:uid="{00000000-0005-0000-0000-00006F2F0000}"/>
    <cellStyle name="Normal 18 20 3 6" xfId="11350" xr:uid="{00000000-0005-0000-0000-0000702F0000}"/>
    <cellStyle name="Normal 18 20 4" xfId="11351" xr:uid="{00000000-0005-0000-0000-0000712F0000}"/>
    <cellStyle name="Normal 18 20 4 2" xfId="11352" xr:uid="{00000000-0005-0000-0000-0000722F0000}"/>
    <cellStyle name="Normal 18 20 4 3" xfId="11353" xr:uid="{00000000-0005-0000-0000-0000732F0000}"/>
    <cellStyle name="Normal 18 20 4 4" xfId="11354" xr:uid="{00000000-0005-0000-0000-0000742F0000}"/>
    <cellStyle name="Normal 18 20 4 5" xfId="11355" xr:uid="{00000000-0005-0000-0000-0000752F0000}"/>
    <cellStyle name="Normal 18 20 4 6" xfId="11356" xr:uid="{00000000-0005-0000-0000-0000762F0000}"/>
    <cellStyle name="Normal 18 20 5" xfId="11357" xr:uid="{00000000-0005-0000-0000-0000772F0000}"/>
    <cellStyle name="Normal 18 20 5 2" xfId="11358" xr:uid="{00000000-0005-0000-0000-0000782F0000}"/>
    <cellStyle name="Normal 18 20 5 3" xfId="11359" xr:uid="{00000000-0005-0000-0000-0000792F0000}"/>
    <cellStyle name="Normal 18 20 5 4" xfId="11360" xr:uid="{00000000-0005-0000-0000-00007A2F0000}"/>
    <cellStyle name="Normal 18 20 5 5" xfId="11361" xr:uid="{00000000-0005-0000-0000-00007B2F0000}"/>
    <cellStyle name="Normal 18 20 5 6" xfId="11362" xr:uid="{00000000-0005-0000-0000-00007C2F0000}"/>
    <cellStyle name="Normal 18 20 6" xfId="11363" xr:uid="{00000000-0005-0000-0000-00007D2F0000}"/>
    <cellStyle name="Normal 18 20 6 2" xfId="11364" xr:uid="{00000000-0005-0000-0000-00007E2F0000}"/>
    <cellStyle name="Normal 18 20 6 3" xfId="11365" xr:uid="{00000000-0005-0000-0000-00007F2F0000}"/>
    <cellStyle name="Normal 18 20 6 4" xfId="11366" xr:uid="{00000000-0005-0000-0000-0000802F0000}"/>
    <cellStyle name="Normal 18 20 6 5" xfId="11367" xr:uid="{00000000-0005-0000-0000-0000812F0000}"/>
    <cellStyle name="Normal 18 20 6 6" xfId="11368" xr:uid="{00000000-0005-0000-0000-0000822F0000}"/>
    <cellStyle name="Normal 18 20 7" xfId="11369" xr:uid="{00000000-0005-0000-0000-0000832F0000}"/>
    <cellStyle name="Normal 18 20 7 2" xfId="11370" xr:uid="{00000000-0005-0000-0000-0000842F0000}"/>
    <cellStyle name="Normal 18 20 7 3" xfId="11371" xr:uid="{00000000-0005-0000-0000-0000852F0000}"/>
    <cellStyle name="Normal 18 20 7 4" xfId="11372" xr:uid="{00000000-0005-0000-0000-0000862F0000}"/>
    <cellStyle name="Normal 18 20 7 5" xfId="11373" xr:uid="{00000000-0005-0000-0000-0000872F0000}"/>
    <cellStyle name="Normal 18 20 7 6" xfId="11374" xr:uid="{00000000-0005-0000-0000-0000882F0000}"/>
    <cellStyle name="Normal 18 20 8" xfId="11375" xr:uid="{00000000-0005-0000-0000-0000892F0000}"/>
    <cellStyle name="Normal 18 20 8 2" xfId="11376" xr:uid="{00000000-0005-0000-0000-00008A2F0000}"/>
    <cellStyle name="Normal 18 20 8 3" xfId="11377" xr:uid="{00000000-0005-0000-0000-00008B2F0000}"/>
    <cellStyle name="Normal 18 20 8 4" xfId="11378" xr:uid="{00000000-0005-0000-0000-00008C2F0000}"/>
    <cellStyle name="Normal 18 20 8 5" xfId="11379" xr:uid="{00000000-0005-0000-0000-00008D2F0000}"/>
    <cellStyle name="Normal 18 20 8 6" xfId="11380" xr:uid="{00000000-0005-0000-0000-00008E2F0000}"/>
    <cellStyle name="Normal 18 20 9" xfId="11381" xr:uid="{00000000-0005-0000-0000-00008F2F0000}"/>
    <cellStyle name="Normal 18 21" xfId="11382" xr:uid="{00000000-0005-0000-0000-0000902F0000}"/>
    <cellStyle name="Normal 18 21 10" xfId="11383" xr:uid="{00000000-0005-0000-0000-0000912F0000}"/>
    <cellStyle name="Normal 18 21 11" xfId="11384" xr:uid="{00000000-0005-0000-0000-0000922F0000}"/>
    <cellStyle name="Normal 18 21 12" xfId="11385" xr:uid="{00000000-0005-0000-0000-0000932F0000}"/>
    <cellStyle name="Normal 18 21 13" xfId="11386" xr:uid="{00000000-0005-0000-0000-0000942F0000}"/>
    <cellStyle name="Normal 18 21 2" xfId="11387" xr:uid="{00000000-0005-0000-0000-0000952F0000}"/>
    <cellStyle name="Normal 18 21 2 2" xfId="11388" xr:uid="{00000000-0005-0000-0000-0000962F0000}"/>
    <cellStyle name="Normal 18 21 2 3" xfId="11389" xr:uid="{00000000-0005-0000-0000-0000972F0000}"/>
    <cellStyle name="Normal 18 21 2 4" xfId="11390" xr:uid="{00000000-0005-0000-0000-0000982F0000}"/>
    <cellStyle name="Normal 18 21 2 5" xfId="11391" xr:uid="{00000000-0005-0000-0000-0000992F0000}"/>
    <cellStyle name="Normal 18 21 2 6" xfId="11392" xr:uid="{00000000-0005-0000-0000-00009A2F0000}"/>
    <cellStyle name="Normal 18 21 3" xfId="11393" xr:uid="{00000000-0005-0000-0000-00009B2F0000}"/>
    <cellStyle name="Normal 18 21 3 2" xfId="11394" xr:uid="{00000000-0005-0000-0000-00009C2F0000}"/>
    <cellStyle name="Normal 18 21 3 3" xfId="11395" xr:uid="{00000000-0005-0000-0000-00009D2F0000}"/>
    <cellStyle name="Normal 18 21 3 4" xfId="11396" xr:uid="{00000000-0005-0000-0000-00009E2F0000}"/>
    <cellStyle name="Normal 18 21 3 5" xfId="11397" xr:uid="{00000000-0005-0000-0000-00009F2F0000}"/>
    <cellStyle name="Normal 18 21 3 6" xfId="11398" xr:uid="{00000000-0005-0000-0000-0000A02F0000}"/>
    <cellStyle name="Normal 18 21 4" xfId="11399" xr:uid="{00000000-0005-0000-0000-0000A12F0000}"/>
    <cellStyle name="Normal 18 21 4 2" xfId="11400" xr:uid="{00000000-0005-0000-0000-0000A22F0000}"/>
    <cellStyle name="Normal 18 21 4 3" xfId="11401" xr:uid="{00000000-0005-0000-0000-0000A32F0000}"/>
    <cellStyle name="Normal 18 21 4 4" xfId="11402" xr:uid="{00000000-0005-0000-0000-0000A42F0000}"/>
    <cellStyle name="Normal 18 21 4 5" xfId="11403" xr:uid="{00000000-0005-0000-0000-0000A52F0000}"/>
    <cellStyle name="Normal 18 21 4 6" xfId="11404" xr:uid="{00000000-0005-0000-0000-0000A62F0000}"/>
    <cellStyle name="Normal 18 21 5" xfId="11405" xr:uid="{00000000-0005-0000-0000-0000A72F0000}"/>
    <cellStyle name="Normal 18 21 5 2" xfId="11406" xr:uid="{00000000-0005-0000-0000-0000A82F0000}"/>
    <cellStyle name="Normal 18 21 5 3" xfId="11407" xr:uid="{00000000-0005-0000-0000-0000A92F0000}"/>
    <cellStyle name="Normal 18 21 5 4" xfId="11408" xr:uid="{00000000-0005-0000-0000-0000AA2F0000}"/>
    <cellStyle name="Normal 18 21 5 5" xfId="11409" xr:uid="{00000000-0005-0000-0000-0000AB2F0000}"/>
    <cellStyle name="Normal 18 21 5 6" xfId="11410" xr:uid="{00000000-0005-0000-0000-0000AC2F0000}"/>
    <cellStyle name="Normal 18 21 6" xfId="11411" xr:uid="{00000000-0005-0000-0000-0000AD2F0000}"/>
    <cellStyle name="Normal 18 21 6 2" xfId="11412" xr:uid="{00000000-0005-0000-0000-0000AE2F0000}"/>
    <cellStyle name="Normal 18 21 6 3" xfId="11413" xr:uid="{00000000-0005-0000-0000-0000AF2F0000}"/>
    <cellStyle name="Normal 18 21 6 4" xfId="11414" xr:uid="{00000000-0005-0000-0000-0000B02F0000}"/>
    <cellStyle name="Normal 18 21 6 5" xfId="11415" xr:uid="{00000000-0005-0000-0000-0000B12F0000}"/>
    <cellStyle name="Normal 18 21 6 6" xfId="11416" xr:uid="{00000000-0005-0000-0000-0000B22F0000}"/>
    <cellStyle name="Normal 18 21 7" xfId="11417" xr:uid="{00000000-0005-0000-0000-0000B32F0000}"/>
    <cellStyle name="Normal 18 21 7 2" xfId="11418" xr:uid="{00000000-0005-0000-0000-0000B42F0000}"/>
    <cellStyle name="Normal 18 21 7 3" xfId="11419" xr:uid="{00000000-0005-0000-0000-0000B52F0000}"/>
    <cellStyle name="Normal 18 21 7 4" xfId="11420" xr:uid="{00000000-0005-0000-0000-0000B62F0000}"/>
    <cellStyle name="Normal 18 21 7 5" xfId="11421" xr:uid="{00000000-0005-0000-0000-0000B72F0000}"/>
    <cellStyle name="Normal 18 21 7 6" xfId="11422" xr:uid="{00000000-0005-0000-0000-0000B82F0000}"/>
    <cellStyle name="Normal 18 21 8" xfId="11423" xr:uid="{00000000-0005-0000-0000-0000B92F0000}"/>
    <cellStyle name="Normal 18 21 8 2" xfId="11424" xr:uid="{00000000-0005-0000-0000-0000BA2F0000}"/>
    <cellStyle name="Normal 18 21 8 3" xfId="11425" xr:uid="{00000000-0005-0000-0000-0000BB2F0000}"/>
    <cellStyle name="Normal 18 21 8 4" xfId="11426" xr:uid="{00000000-0005-0000-0000-0000BC2F0000}"/>
    <cellStyle name="Normal 18 21 8 5" xfId="11427" xr:uid="{00000000-0005-0000-0000-0000BD2F0000}"/>
    <cellStyle name="Normal 18 21 8 6" xfId="11428" xr:uid="{00000000-0005-0000-0000-0000BE2F0000}"/>
    <cellStyle name="Normal 18 21 9" xfId="11429" xr:uid="{00000000-0005-0000-0000-0000BF2F0000}"/>
    <cellStyle name="Normal 18 22" xfId="11430" xr:uid="{00000000-0005-0000-0000-0000C02F0000}"/>
    <cellStyle name="Normal 18 22 10" xfId="11431" xr:uid="{00000000-0005-0000-0000-0000C12F0000}"/>
    <cellStyle name="Normal 18 22 11" xfId="11432" xr:uid="{00000000-0005-0000-0000-0000C22F0000}"/>
    <cellStyle name="Normal 18 22 12" xfId="11433" xr:uid="{00000000-0005-0000-0000-0000C32F0000}"/>
    <cellStyle name="Normal 18 22 13" xfId="11434" xr:uid="{00000000-0005-0000-0000-0000C42F0000}"/>
    <cellStyle name="Normal 18 22 2" xfId="11435" xr:uid="{00000000-0005-0000-0000-0000C52F0000}"/>
    <cellStyle name="Normal 18 22 2 2" xfId="11436" xr:uid="{00000000-0005-0000-0000-0000C62F0000}"/>
    <cellStyle name="Normal 18 22 2 3" xfId="11437" xr:uid="{00000000-0005-0000-0000-0000C72F0000}"/>
    <cellStyle name="Normal 18 22 2 4" xfId="11438" xr:uid="{00000000-0005-0000-0000-0000C82F0000}"/>
    <cellStyle name="Normal 18 22 2 5" xfId="11439" xr:uid="{00000000-0005-0000-0000-0000C92F0000}"/>
    <cellStyle name="Normal 18 22 2 6" xfId="11440" xr:uid="{00000000-0005-0000-0000-0000CA2F0000}"/>
    <cellStyle name="Normal 18 22 3" xfId="11441" xr:uid="{00000000-0005-0000-0000-0000CB2F0000}"/>
    <cellStyle name="Normal 18 22 3 2" xfId="11442" xr:uid="{00000000-0005-0000-0000-0000CC2F0000}"/>
    <cellStyle name="Normal 18 22 3 3" xfId="11443" xr:uid="{00000000-0005-0000-0000-0000CD2F0000}"/>
    <cellStyle name="Normal 18 22 3 4" xfId="11444" xr:uid="{00000000-0005-0000-0000-0000CE2F0000}"/>
    <cellStyle name="Normal 18 22 3 5" xfId="11445" xr:uid="{00000000-0005-0000-0000-0000CF2F0000}"/>
    <cellStyle name="Normal 18 22 3 6" xfId="11446" xr:uid="{00000000-0005-0000-0000-0000D02F0000}"/>
    <cellStyle name="Normal 18 22 4" xfId="11447" xr:uid="{00000000-0005-0000-0000-0000D12F0000}"/>
    <cellStyle name="Normal 18 22 4 2" xfId="11448" xr:uid="{00000000-0005-0000-0000-0000D22F0000}"/>
    <cellStyle name="Normal 18 22 4 3" xfId="11449" xr:uid="{00000000-0005-0000-0000-0000D32F0000}"/>
    <cellStyle name="Normal 18 22 4 4" xfId="11450" xr:uid="{00000000-0005-0000-0000-0000D42F0000}"/>
    <cellStyle name="Normal 18 22 4 5" xfId="11451" xr:uid="{00000000-0005-0000-0000-0000D52F0000}"/>
    <cellStyle name="Normal 18 22 4 6" xfId="11452" xr:uid="{00000000-0005-0000-0000-0000D62F0000}"/>
    <cellStyle name="Normal 18 22 5" xfId="11453" xr:uid="{00000000-0005-0000-0000-0000D72F0000}"/>
    <cellStyle name="Normal 18 22 5 2" xfId="11454" xr:uid="{00000000-0005-0000-0000-0000D82F0000}"/>
    <cellStyle name="Normal 18 22 5 3" xfId="11455" xr:uid="{00000000-0005-0000-0000-0000D92F0000}"/>
    <cellStyle name="Normal 18 22 5 4" xfId="11456" xr:uid="{00000000-0005-0000-0000-0000DA2F0000}"/>
    <cellStyle name="Normal 18 22 5 5" xfId="11457" xr:uid="{00000000-0005-0000-0000-0000DB2F0000}"/>
    <cellStyle name="Normal 18 22 5 6" xfId="11458" xr:uid="{00000000-0005-0000-0000-0000DC2F0000}"/>
    <cellStyle name="Normal 18 22 6" xfId="11459" xr:uid="{00000000-0005-0000-0000-0000DD2F0000}"/>
    <cellStyle name="Normal 18 22 6 2" xfId="11460" xr:uid="{00000000-0005-0000-0000-0000DE2F0000}"/>
    <cellStyle name="Normal 18 22 6 3" xfId="11461" xr:uid="{00000000-0005-0000-0000-0000DF2F0000}"/>
    <cellStyle name="Normal 18 22 6 4" xfId="11462" xr:uid="{00000000-0005-0000-0000-0000E02F0000}"/>
    <cellStyle name="Normal 18 22 6 5" xfId="11463" xr:uid="{00000000-0005-0000-0000-0000E12F0000}"/>
    <cellStyle name="Normal 18 22 6 6" xfId="11464" xr:uid="{00000000-0005-0000-0000-0000E22F0000}"/>
    <cellStyle name="Normal 18 22 7" xfId="11465" xr:uid="{00000000-0005-0000-0000-0000E32F0000}"/>
    <cellStyle name="Normal 18 22 7 2" xfId="11466" xr:uid="{00000000-0005-0000-0000-0000E42F0000}"/>
    <cellStyle name="Normal 18 22 7 3" xfId="11467" xr:uid="{00000000-0005-0000-0000-0000E52F0000}"/>
    <cellStyle name="Normal 18 22 7 4" xfId="11468" xr:uid="{00000000-0005-0000-0000-0000E62F0000}"/>
    <cellStyle name="Normal 18 22 7 5" xfId="11469" xr:uid="{00000000-0005-0000-0000-0000E72F0000}"/>
    <cellStyle name="Normal 18 22 7 6" xfId="11470" xr:uid="{00000000-0005-0000-0000-0000E82F0000}"/>
    <cellStyle name="Normal 18 22 8" xfId="11471" xr:uid="{00000000-0005-0000-0000-0000E92F0000}"/>
    <cellStyle name="Normal 18 22 8 2" xfId="11472" xr:uid="{00000000-0005-0000-0000-0000EA2F0000}"/>
    <cellStyle name="Normal 18 22 8 3" xfId="11473" xr:uid="{00000000-0005-0000-0000-0000EB2F0000}"/>
    <cellStyle name="Normal 18 22 8 4" xfId="11474" xr:uid="{00000000-0005-0000-0000-0000EC2F0000}"/>
    <cellStyle name="Normal 18 22 8 5" xfId="11475" xr:uid="{00000000-0005-0000-0000-0000ED2F0000}"/>
    <cellStyle name="Normal 18 22 8 6" xfId="11476" xr:uid="{00000000-0005-0000-0000-0000EE2F0000}"/>
    <cellStyle name="Normal 18 22 9" xfId="11477" xr:uid="{00000000-0005-0000-0000-0000EF2F0000}"/>
    <cellStyle name="Normal 18 23" xfId="11478" xr:uid="{00000000-0005-0000-0000-0000F02F0000}"/>
    <cellStyle name="Normal 18 23 10" xfId="11479" xr:uid="{00000000-0005-0000-0000-0000F12F0000}"/>
    <cellStyle name="Normal 18 23 11" xfId="11480" xr:uid="{00000000-0005-0000-0000-0000F22F0000}"/>
    <cellStyle name="Normal 18 23 12" xfId="11481" xr:uid="{00000000-0005-0000-0000-0000F32F0000}"/>
    <cellStyle name="Normal 18 23 13" xfId="11482" xr:uid="{00000000-0005-0000-0000-0000F42F0000}"/>
    <cellStyle name="Normal 18 23 2" xfId="11483" xr:uid="{00000000-0005-0000-0000-0000F52F0000}"/>
    <cellStyle name="Normal 18 23 2 2" xfId="11484" xr:uid="{00000000-0005-0000-0000-0000F62F0000}"/>
    <cellStyle name="Normal 18 23 2 3" xfId="11485" xr:uid="{00000000-0005-0000-0000-0000F72F0000}"/>
    <cellStyle name="Normal 18 23 2 4" xfId="11486" xr:uid="{00000000-0005-0000-0000-0000F82F0000}"/>
    <cellStyle name="Normal 18 23 2 5" xfId="11487" xr:uid="{00000000-0005-0000-0000-0000F92F0000}"/>
    <cellStyle name="Normal 18 23 2 6" xfId="11488" xr:uid="{00000000-0005-0000-0000-0000FA2F0000}"/>
    <cellStyle name="Normal 18 23 3" xfId="11489" xr:uid="{00000000-0005-0000-0000-0000FB2F0000}"/>
    <cellStyle name="Normal 18 23 3 2" xfId="11490" xr:uid="{00000000-0005-0000-0000-0000FC2F0000}"/>
    <cellStyle name="Normal 18 23 3 3" xfId="11491" xr:uid="{00000000-0005-0000-0000-0000FD2F0000}"/>
    <cellStyle name="Normal 18 23 3 4" xfId="11492" xr:uid="{00000000-0005-0000-0000-0000FE2F0000}"/>
    <cellStyle name="Normal 18 23 3 5" xfId="11493" xr:uid="{00000000-0005-0000-0000-0000FF2F0000}"/>
    <cellStyle name="Normal 18 23 3 6" xfId="11494" xr:uid="{00000000-0005-0000-0000-000000300000}"/>
    <cellStyle name="Normal 18 23 4" xfId="11495" xr:uid="{00000000-0005-0000-0000-000001300000}"/>
    <cellStyle name="Normal 18 23 4 2" xfId="11496" xr:uid="{00000000-0005-0000-0000-000002300000}"/>
    <cellStyle name="Normal 18 23 4 3" xfId="11497" xr:uid="{00000000-0005-0000-0000-000003300000}"/>
    <cellStyle name="Normal 18 23 4 4" xfId="11498" xr:uid="{00000000-0005-0000-0000-000004300000}"/>
    <cellStyle name="Normal 18 23 4 5" xfId="11499" xr:uid="{00000000-0005-0000-0000-000005300000}"/>
    <cellStyle name="Normal 18 23 4 6" xfId="11500" xr:uid="{00000000-0005-0000-0000-000006300000}"/>
    <cellStyle name="Normal 18 23 5" xfId="11501" xr:uid="{00000000-0005-0000-0000-000007300000}"/>
    <cellStyle name="Normal 18 23 5 2" xfId="11502" xr:uid="{00000000-0005-0000-0000-000008300000}"/>
    <cellStyle name="Normal 18 23 5 3" xfId="11503" xr:uid="{00000000-0005-0000-0000-000009300000}"/>
    <cellStyle name="Normal 18 23 5 4" xfId="11504" xr:uid="{00000000-0005-0000-0000-00000A300000}"/>
    <cellStyle name="Normal 18 23 5 5" xfId="11505" xr:uid="{00000000-0005-0000-0000-00000B300000}"/>
    <cellStyle name="Normal 18 23 5 6" xfId="11506" xr:uid="{00000000-0005-0000-0000-00000C300000}"/>
    <cellStyle name="Normal 18 23 6" xfId="11507" xr:uid="{00000000-0005-0000-0000-00000D300000}"/>
    <cellStyle name="Normal 18 23 6 2" xfId="11508" xr:uid="{00000000-0005-0000-0000-00000E300000}"/>
    <cellStyle name="Normal 18 23 6 3" xfId="11509" xr:uid="{00000000-0005-0000-0000-00000F300000}"/>
    <cellStyle name="Normal 18 23 6 4" xfId="11510" xr:uid="{00000000-0005-0000-0000-000010300000}"/>
    <cellStyle name="Normal 18 23 6 5" xfId="11511" xr:uid="{00000000-0005-0000-0000-000011300000}"/>
    <cellStyle name="Normal 18 23 6 6" xfId="11512" xr:uid="{00000000-0005-0000-0000-000012300000}"/>
    <cellStyle name="Normal 18 23 7" xfId="11513" xr:uid="{00000000-0005-0000-0000-000013300000}"/>
    <cellStyle name="Normal 18 23 7 2" xfId="11514" xr:uid="{00000000-0005-0000-0000-000014300000}"/>
    <cellStyle name="Normal 18 23 7 3" xfId="11515" xr:uid="{00000000-0005-0000-0000-000015300000}"/>
    <cellStyle name="Normal 18 23 7 4" xfId="11516" xr:uid="{00000000-0005-0000-0000-000016300000}"/>
    <cellStyle name="Normal 18 23 7 5" xfId="11517" xr:uid="{00000000-0005-0000-0000-000017300000}"/>
    <cellStyle name="Normal 18 23 7 6" xfId="11518" xr:uid="{00000000-0005-0000-0000-000018300000}"/>
    <cellStyle name="Normal 18 23 8" xfId="11519" xr:uid="{00000000-0005-0000-0000-000019300000}"/>
    <cellStyle name="Normal 18 23 8 2" xfId="11520" xr:uid="{00000000-0005-0000-0000-00001A300000}"/>
    <cellStyle name="Normal 18 23 8 3" xfId="11521" xr:uid="{00000000-0005-0000-0000-00001B300000}"/>
    <cellStyle name="Normal 18 23 8 4" xfId="11522" xr:uid="{00000000-0005-0000-0000-00001C300000}"/>
    <cellStyle name="Normal 18 23 8 5" xfId="11523" xr:uid="{00000000-0005-0000-0000-00001D300000}"/>
    <cellStyle name="Normal 18 23 8 6" xfId="11524" xr:uid="{00000000-0005-0000-0000-00001E300000}"/>
    <cellStyle name="Normal 18 23 9" xfId="11525" xr:uid="{00000000-0005-0000-0000-00001F300000}"/>
    <cellStyle name="Normal 18 24" xfId="11526" xr:uid="{00000000-0005-0000-0000-000020300000}"/>
    <cellStyle name="Normal 18 24 10" xfId="11527" xr:uid="{00000000-0005-0000-0000-000021300000}"/>
    <cellStyle name="Normal 18 24 11" xfId="11528" xr:uid="{00000000-0005-0000-0000-000022300000}"/>
    <cellStyle name="Normal 18 24 12" xfId="11529" xr:uid="{00000000-0005-0000-0000-000023300000}"/>
    <cellStyle name="Normal 18 24 13" xfId="11530" xr:uid="{00000000-0005-0000-0000-000024300000}"/>
    <cellStyle name="Normal 18 24 2" xfId="11531" xr:uid="{00000000-0005-0000-0000-000025300000}"/>
    <cellStyle name="Normal 18 24 2 2" xfId="11532" xr:uid="{00000000-0005-0000-0000-000026300000}"/>
    <cellStyle name="Normal 18 24 2 3" xfId="11533" xr:uid="{00000000-0005-0000-0000-000027300000}"/>
    <cellStyle name="Normal 18 24 2 4" xfId="11534" xr:uid="{00000000-0005-0000-0000-000028300000}"/>
    <cellStyle name="Normal 18 24 2 5" xfId="11535" xr:uid="{00000000-0005-0000-0000-000029300000}"/>
    <cellStyle name="Normal 18 24 2 6" xfId="11536" xr:uid="{00000000-0005-0000-0000-00002A300000}"/>
    <cellStyle name="Normal 18 24 3" xfId="11537" xr:uid="{00000000-0005-0000-0000-00002B300000}"/>
    <cellStyle name="Normal 18 24 3 2" xfId="11538" xr:uid="{00000000-0005-0000-0000-00002C300000}"/>
    <cellStyle name="Normal 18 24 3 3" xfId="11539" xr:uid="{00000000-0005-0000-0000-00002D300000}"/>
    <cellStyle name="Normal 18 24 3 4" xfId="11540" xr:uid="{00000000-0005-0000-0000-00002E300000}"/>
    <cellStyle name="Normal 18 24 3 5" xfId="11541" xr:uid="{00000000-0005-0000-0000-00002F300000}"/>
    <cellStyle name="Normal 18 24 3 6" xfId="11542" xr:uid="{00000000-0005-0000-0000-000030300000}"/>
    <cellStyle name="Normal 18 24 4" xfId="11543" xr:uid="{00000000-0005-0000-0000-000031300000}"/>
    <cellStyle name="Normal 18 24 4 2" xfId="11544" xr:uid="{00000000-0005-0000-0000-000032300000}"/>
    <cellStyle name="Normal 18 24 4 3" xfId="11545" xr:uid="{00000000-0005-0000-0000-000033300000}"/>
    <cellStyle name="Normal 18 24 4 4" xfId="11546" xr:uid="{00000000-0005-0000-0000-000034300000}"/>
    <cellStyle name="Normal 18 24 4 5" xfId="11547" xr:uid="{00000000-0005-0000-0000-000035300000}"/>
    <cellStyle name="Normal 18 24 4 6" xfId="11548" xr:uid="{00000000-0005-0000-0000-000036300000}"/>
    <cellStyle name="Normal 18 24 5" xfId="11549" xr:uid="{00000000-0005-0000-0000-000037300000}"/>
    <cellStyle name="Normal 18 24 5 2" xfId="11550" xr:uid="{00000000-0005-0000-0000-000038300000}"/>
    <cellStyle name="Normal 18 24 5 3" xfId="11551" xr:uid="{00000000-0005-0000-0000-000039300000}"/>
    <cellStyle name="Normal 18 24 5 4" xfId="11552" xr:uid="{00000000-0005-0000-0000-00003A300000}"/>
    <cellStyle name="Normal 18 24 5 5" xfId="11553" xr:uid="{00000000-0005-0000-0000-00003B300000}"/>
    <cellStyle name="Normal 18 24 5 6" xfId="11554" xr:uid="{00000000-0005-0000-0000-00003C300000}"/>
    <cellStyle name="Normal 18 24 6" xfId="11555" xr:uid="{00000000-0005-0000-0000-00003D300000}"/>
    <cellStyle name="Normal 18 24 6 2" xfId="11556" xr:uid="{00000000-0005-0000-0000-00003E300000}"/>
    <cellStyle name="Normal 18 24 6 3" xfId="11557" xr:uid="{00000000-0005-0000-0000-00003F300000}"/>
    <cellStyle name="Normal 18 24 6 4" xfId="11558" xr:uid="{00000000-0005-0000-0000-000040300000}"/>
    <cellStyle name="Normal 18 24 6 5" xfId="11559" xr:uid="{00000000-0005-0000-0000-000041300000}"/>
    <cellStyle name="Normal 18 24 6 6" xfId="11560" xr:uid="{00000000-0005-0000-0000-000042300000}"/>
    <cellStyle name="Normal 18 24 7" xfId="11561" xr:uid="{00000000-0005-0000-0000-000043300000}"/>
    <cellStyle name="Normal 18 24 7 2" xfId="11562" xr:uid="{00000000-0005-0000-0000-000044300000}"/>
    <cellStyle name="Normal 18 24 7 3" xfId="11563" xr:uid="{00000000-0005-0000-0000-000045300000}"/>
    <cellStyle name="Normal 18 24 7 4" xfId="11564" xr:uid="{00000000-0005-0000-0000-000046300000}"/>
    <cellStyle name="Normal 18 24 7 5" xfId="11565" xr:uid="{00000000-0005-0000-0000-000047300000}"/>
    <cellStyle name="Normal 18 24 7 6" xfId="11566" xr:uid="{00000000-0005-0000-0000-000048300000}"/>
    <cellStyle name="Normal 18 24 8" xfId="11567" xr:uid="{00000000-0005-0000-0000-000049300000}"/>
    <cellStyle name="Normal 18 24 8 2" xfId="11568" xr:uid="{00000000-0005-0000-0000-00004A300000}"/>
    <cellStyle name="Normal 18 24 8 3" xfId="11569" xr:uid="{00000000-0005-0000-0000-00004B300000}"/>
    <cellStyle name="Normal 18 24 8 4" xfId="11570" xr:uid="{00000000-0005-0000-0000-00004C300000}"/>
    <cellStyle name="Normal 18 24 8 5" xfId="11571" xr:uid="{00000000-0005-0000-0000-00004D300000}"/>
    <cellStyle name="Normal 18 24 8 6" xfId="11572" xr:uid="{00000000-0005-0000-0000-00004E300000}"/>
    <cellStyle name="Normal 18 24 9" xfId="11573" xr:uid="{00000000-0005-0000-0000-00004F300000}"/>
    <cellStyle name="Normal 18 25" xfId="11574" xr:uid="{00000000-0005-0000-0000-000050300000}"/>
    <cellStyle name="Normal 18 25 2" xfId="11575" xr:uid="{00000000-0005-0000-0000-000051300000}"/>
    <cellStyle name="Normal 18 25 3" xfId="11576" xr:uid="{00000000-0005-0000-0000-000052300000}"/>
    <cellStyle name="Normal 18 25 4" xfId="11577" xr:uid="{00000000-0005-0000-0000-000053300000}"/>
    <cellStyle name="Normal 18 25 5" xfId="11578" xr:uid="{00000000-0005-0000-0000-000054300000}"/>
    <cellStyle name="Normal 18 25 6" xfId="11579" xr:uid="{00000000-0005-0000-0000-000055300000}"/>
    <cellStyle name="Normal 18 26" xfId="11580" xr:uid="{00000000-0005-0000-0000-000056300000}"/>
    <cellStyle name="Normal 18 26 2" xfId="11581" xr:uid="{00000000-0005-0000-0000-000057300000}"/>
    <cellStyle name="Normal 18 26 3" xfId="11582" xr:uid="{00000000-0005-0000-0000-000058300000}"/>
    <cellStyle name="Normal 18 26 4" xfId="11583" xr:uid="{00000000-0005-0000-0000-000059300000}"/>
    <cellStyle name="Normal 18 26 5" xfId="11584" xr:uid="{00000000-0005-0000-0000-00005A300000}"/>
    <cellStyle name="Normal 18 26 6" xfId="11585" xr:uid="{00000000-0005-0000-0000-00005B300000}"/>
    <cellStyle name="Normal 18 27" xfId="11586" xr:uid="{00000000-0005-0000-0000-00005C300000}"/>
    <cellStyle name="Normal 18 27 2" xfId="11587" xr:uid="{00000000-0005-0000-0000-00005D300000}"/>
    <cellStyle name="Normal 18 27 3" xfId="11588" xr:uid="{00000000-0005-0000-0000-00005E300000}"/>
    <cellStyle name="Normal 18 27 4" xfId="11589" xr:uid="{00000000-0005-0000-0000-00005F300000}"/>
    <cellStyle name="Normal 18 27 5" xfId="11590" xr:uid="{00000000-0005-0000-0000-000060300000}"/>
    <cellStyle name="Normal 18 27 6" xfId="11591" xr:uid="{00000000-0005-0000-0000-000061300000}"/>
    <cellStyle name="Normal 18 28" xfId="11592" xr:uid="{00000000-0005-0000-0000-000062300000}"/>
    <cellStyle name="Normal 18 28 2" xfId="11593" xr:uid="{00000000-0005-0000-0000-000063300000}"/>
    <cellStyle name="Normal 18 28 3" xfId="11594" xr:uid="{00000000-0005-0000-0000-000064300000}"/>
    <cellStyle name="Normal 18 28 4" xfId="11595" xr:uid="{00000000-0005-0000-0000-000065300000}"/>
    <cellStyle name="Normal 18 28 5" xfId="11596" xr:uid="{00000000-0005-0000-0000-000066300000}"/>
    <cellStyle name="Normal 18 28 6" xfId="11597" xr:uid="{00000000-0005-0000-0000-000067300000}"/>
    <cellStyle name="Normal 18 29" xfId="11598" xr:uid="{00000000-0005-0000-0000-000068300000}"/>
    <cellStyle name="Normal 18 29 2" xfId="11599" xr:uid="{00000000-0005-0000-0000-000069300000}"/>
    <cellStyle name="Normal 18 29 3" xfId="11600" xr:uid="{00000000-0005-0000-0000-00006A300000}"/>
    <cellStyle name="Normal 18 29 4" xfId="11601" xr:uid="{00000000-0005-0000-0000-00006B300000}"/>
    <cellStyle name="Normal 18 29 5" xfId="11602" xr:uid="{00000000-0005-0000-0000-00006C300000}"/>
    <cellStyle name="Normal 18 29 6" xfId="11603" xr:uid="{00000000-0005-0000-0000-00006D300000}"/>
    <cellStyle name="Normal 18 3" xfId="11604" xr:uid="{00000000-0005-0000-0000-00006E300000}"/>
    <cellStyle name="Normal 18 3 10" xfId="11605" xr:uid="{00000000-0005-0000-0000-00006F300000}"/>
    <cellStyle name="Normal 18 3 11" xfId="11606" xr:uid="{00000000-0005-0000-0000-000070300000}"/>
    <cellStyle name="Normal 18 3 12" xfId="11607" xr:uid="{00000000-0005-0000-0000-000071300000}"/>
    <cellStyle name="Normal 18 3 13" xfId="11608" xr:uid="{00000000-0005-0000-0000-000072300000}"/>
    <cellStyle name="Normal 18 3 2" xfId="11609" xr:uid="{00000000-0005-0000-0000-000073300000}"/>
    <cellStyle name="Normal 18 3 2 2" xfId="11610" xr:uid="{00000000-0005-0000-0000-000074300000}"/>
    <cellStyle name="Normal 18 3 2 3" xfId="11611" xr:uid="{00000000-0005-0000-0000-000075300000}"/>
    <cellStyle name="Normal 18 3 2 4" xfId="11612" xr:uid="{00000000-0005-0000-0000-000076300000}"/>
    <cellStyle name="Normal 18 3 2 5" xfId="11613" xr:uid="{00000000-0005-0000-0000-000077300000}"/>
    <cellStyle name="Normal 18 3 2 6" xfId="11614" xr:uid="{00000000-0005-0000-0000-000078300000}"/>
    <cellStyle name="Normal 18 3 3" xfId="11615" xr:uid="{00000000-0005-0000-0000-000079300000}"/>
    <cellStyle name="Normal 18 3 3 2" xfId="11616" xr:uid="{00000000-0005-0000-0000-00007A300000}"/>
    <cellStyle name="Normal 18 3 3 3" xfId="11617" xr:uid="{00000000-0005-0000-0000-00007B300000}"/>
    <cellStyle name="Normal 18 3 3 4" xfId="11618" xr:uid="{00000000-0005-0000-0000-00007C300000}"/>
    <cellStyle name="Normal 18 3 3 5" xfId="11619" xr:uid="{00000000-0005-0000-0000-00007D300000}"/>
    <cellStyle name="Normal 18 3 3 6" xfId="11620" xr:uid="{00000000-0005-0000-0000-00007E300000}"/>
    <cellStyle name="Normal 18 3 4" xfId="11621" xr:uid="{00000000-0005-0000-0000-00007F300000}"/>
    <cellStyle name="Normal 18 3 4 2" xfId="11622" xr:uid="{00000000-0005-0000-0000-000080300000}"/>
    <cellStyle name="Normal 18 3 4 3" xfId="11623" xr:uid="{00000000-0005-0000-0000-000081300000}"/>
    <cellStyle name="Normal 18 3 4 4" xfId="11624" xr:uid="{00000000-0005-0000-0000-000082300000}"/>
    <cellStyle name="Normal 18 3 4 5" xfId="11625" xr:uid="{00000000-0005-0000-0000-000083300000}"/>
    <cellStyle name="Normal 18 3 4 6" xfId="11626" xr:uid="{00000000-0005-0000-0000-000084300000}"/>
    <cellStyle name="Normal 18 3 5" xfId="11627" xr:uid="{00000000-0005-0000-0000-000085300000}"/>
    <cellStyle name="Normal 18 3 5 2" xfId="11628" xr:uid="{00000000-0005-0000-0000-000086300000}"/>
    <cellStyle name="Normal 18 3 5 3" xfId="11629" xr:uid="{00000000-0005-0000-0000-000087300000}"/>
    <cellStyle name="Normal 18 3 5 4" xfId="11630" xr:uid="{00000000-0005-0000-0000-000088300000}"/>
    <cellStyle name="Normal 18 3 5 5" xfId="11631" xr:uid="{00000000-0005-0000-0000-000089300000}"/>
    <cellStyle name="Normal 18 3 5 6" xfId="11632" xr:uid="{00000000-0005-0000-0000-00008A300000}"/>
    <cellStyle name="Normal 18 3 6" xfId="11633" xr:uid="{00000000-0005-0000-0000-00008B300000}"/>
    <cellStyle name="Normal 18 3 6 2" xfId="11634" xr:uid="{00000000-0005-0000-0000-00008C300000}"/>
    <cellStyle name="Normal 18 3 6 3" xfId="11635" xr:uid="{00000000-0005-0000-0000-00008D300000}"/>
    <cellStyle name="Normal 18 3 6 4" xfId="11636" xr:uid="{00000000-0005-0000-0000-00008E300000}"/>
    <cellStyle name="Normal 18 3 6 5" xfId="11637" xr:uid="{00000000-0005-0000-0000-00008F300000}"/>
    <cellStyle name="Normal 18 3 6 6" xfId="11638" xr:uid="{00000000-0005-0000-0000-000090300000}"/>
    <cellStyle name="Normal 18 3 7" xfId="11639" xr:uid="{00000000-0005-0000-0000-000091300000}"/>
    <cellStyle name="Normal 18 3 7 2" xfId="11640" xr:uid="{00000000-0005-0000-0000-000092300000}"/>
    <cellStyle name="Normal 18 3 7 3" xfId="11641" xr:uid="{00000000-0005-0000-0000-000093300000}"/>
    <cellStyle name="Normal 18 3 7 4" xfId="11642" xr:uid="{00000000-0005-0000-0000-000094300000}"/>
    <cellStyle name="Normal 18 3 7 5" xfId="11643" xr:uid="{00000000-0005-0000-0000-000095300000}"/>
    <cellStyle name="Normal 18 3 7 6" xfId="11644" xr:uid="{00000000-0005-0000-0000-000096300000}"/>
    <cellStyle name="Normal 18 3 8" xfId="11645" xr:uid="{00000000-0005-0000-0000-000097300000}"/>
    <cellStyle name="Normal 18 3 8 2" xfId="11646" xr:uid="{00000000-0005-0000-0000-000098300000}"/>
    <cellStyle name="Normal 18 3 8 3" xfId="11647" xr:uid="{00000000-0005-0000-0000-000099300000}"/>
    <cellStyle name="Normal 18 3 8 4" xfId="11648" xr:uid="{00000000-0005-0000-0000-00009A300000}"/>
    <cellStyle name="Normal 18 3 8 5" xfId="11649" xr:uid="{00000000-0005-0000-0000-00009B300000}"/>
    <cellStyle name="Normal 18 3 8 6" xfId="11650" xr:uid="{00000000-0005-0000-0000-00009C300000}"/>
    <cellStyle name="Normal 18 3 9" xfId="11651" xr:uid="{00000000-0005-0000-0000-00009D300000}"/>
    <cellStyle name="Normal 18 30" xfId="11652" xr:uid="{00000000-0005-0000-0000-00009E300000}"/>
    <cellStyle name="Normal 18 30 2" xfId="11653" xr:uid="{00000000-0005-0000-0000-00009F300000}"/>
    <cellStyle name="Normal 18 30 3" xfId="11654" xr:uid="{00000000-0005-0000-0000-0000A0300000}"/>
    <cellStyle name="Normal 18 30 4" xfId="11655" xr:uid="{00000000-0005-0000-0000-0000A1300000}"/>
    <cellStyle name="Normal 18 30 5" xfId="11656" xr:uid="{00000000-0005-0000-0000-0000A2300000}"/>
    <cellStyle name="Normal 18 30 6" xfId="11657" xr:uid="{00000000-0005-0000-0000-0000A3300000}"/>
    <cellStyle name="Normal 18 31" xfId="11658" xr:uid="{00000000-0005-0000-0000-0000A4300000}"/>
    <cellStyle name="Normal 18 31 2" xfId="11659" xr:uid="{00000000-0005-0000-0000-0000A5300000}"/>
    <cellStyle name="Normal 18 31 3" xfId="11660" xr:uid="{00000000-0005-0000-0000-0000A6300000}"/>
    <cellStyle name="Normal 18 31 4" xfId="11661" xr:uid="{00000000-0005-0000-0000-0000A7300000}"/>
    <cellStyle name="Normal 18 31 5" xfId="11662" xr:uid="{00000000-0005-0000-0000-0000A8300000}"/>
    <cellStyle name="Normal 18 31 6" xfId="11663" xr:uid="{00000000-0005-0000-0000-0000A9300000}"/>
    <cellStyle name="Normal 18 32" xfId="11664" xr:uid="{00000000-0005-0000-0000-0000AA300000}"/>
    <cellStyle name="Normal 18 33" xfId="11665" xr:uid="{00000000-0005-0000-0000-0000AB300000}"/>
    <cellStyle name="Normal 18 34" xfId="11666" xr:uid="{00000000-0005-0000-0000-0000AC300000}"/>
    <cellStyle name="Normal 18 35" xfId="11667" xr:uid="{00000000-0005-0000-0000-0000AD300000}"/>
    <cellStyle name="Normal 18 36" xfId="11668" xr:uid="{00000000-0005-0000-0000-0000AE300000}"/>
    <cellStyle name="Normal 18 4" xfId="11669" xr:uid="{00000000-0005-0000-0000-0000AF300000}"/>
    <cellStyle name="Normal 18 4 10" xfId="11670" xr:uid="{00000000-0005-0000-0000-0000B0300000}"/>
    <cellStyle name="Normal 18 4 11" xfId="11671" xr:uid="{00000000-0005-0000-0000-0000B1300000}"/>
    <cellStyle name="Normal 18 4 12" xfId="11672" xr:uid="{00000000-0005-0000-0000-0000B2300000}"/>
    <cellStyle name="Normal 18 4 13" xfId="11673" xr:uid="{00000000-0005-0000-0000-0000B3300000}"/>
    <cellStyle name="Normal 18 4 2" xfId="11674" xr:uid="{00000000-0005-0000-0000-0000B4300000}"/>
    <cellStyle name="Normal 18 4 2 2" xfId="11675" xr:uid="{00000000-0005-0000-0000-0000B5300000}"/>
    <cellStyle name="Normal 18 4 2 3" xfId="11676" xr:uid="{00000000-0005-0000-0000-0000B6300000}"/>
    <cellStyle name="Normal 18 4 2 4" xfId="11677" xr:uid="{00000000-0005-0000-0000-0000B7300000}"/>
    <cellStyle name="Normal 18 4 2 5" xfId="11678" xr:uid="{00000000-0005-0000-0000-0000B8300000}"/>
    <cellStyle name="Normal 18 4 2 6" xfId="11679" xr:uid="{00000000-0005-0000-0000-0000B9300000}"/>
    <cellStyle name="Normal 18 4 3" xfId="11680" xr:uid="{00000000-0005-0000-0000-0000BA300000}"/>
    <cellStyle name="Normal 18 4 3 2" xfId="11681" xr:uid="{00000000-0005-0000-0000-0000BB300000}"/>
    <cellStyle name="Normal 18 4 3 3" xfId="11682" xr:uid="{00000000-0005-0000-0000-0000BC300000}"/>
    <cellStyle name="Normal 18 4 3 4" xfId="11683" xr:uid="{00000000-0005-0000-0000-0000BD300000}"/>
    <cellStyle name="Normal 18 4 3 5" xfId="11684" xr:uid="{00000000-0005-0000-0000-0000BE300000}"/>
    <cellStyle name="Normal 18 4 3 6" xfId="11685" xr:uid="{00000000-0005-0000-0000-0000BF300000}"/>
    <cellStyle name="Normal 18 4 4" xfId="11686" xr:uid="{00000000-0005-0000-0000-0000C0300000}"/>
    <cellStyle name="Normal 18 4 4 2" xfId="11687" xr:uid="{00000000-0005-0000-0000-0000C1300000}"/>
    <cellStyle name="Normal 18 4 4 3" xfId="11688" xr:uid="{00000000-0005-0000-0000-0000C2300000}"/>
    <cellStyle name="Normal 18 4 4 4" xfId="11689" xr:uid="{00000000-0005-0000-0000-0000C3300000}"/>
    <cellStyle name="Normal 18 4 4 5" xfId="11690" xr:uid="{00000000-0005-0000-0000-0000C4300000}"/>
    <cellStyle name="Normal 18 4 4 6" xfId="11691" xr:uid="{00000000-0005-0000-0000-0000C5300000}"/>
    <cellStyle name="Normal 18 4 5" xfId="11692" xr:uid="{00000000-0005-0000-0000-0000C6300000}"/>
    <cellStyle name="Normal 18 4 5 2" xfId="11693" xr:uid="{00000000-0005-0000-0000-0000C7300000}"/>
    <cellStyle name="Normal 18 4 5 3" xfId="11694" xr:uid="{00000000-0005-0000-0000-0000C8300000}"/>
    <cellStyle name="Normal 18 4 5 4" xfId="11695" xr:uid="{00000000-0005-0000-0000-0000C9300000}"/>
    <cellStyle name="Normal 18 4 5 5" xfId="11696" xr:uid="{00000000-0005-0000-0000-0000CA300000}"/>
    <cellStyle name="Normal 18 4 5 6" xfId="11697" xr:uid="{00000000-0005-0000-0000-0000CB300000}"/>
    <cellStyle name="Normal 18 4 6" xfId="11698" xr:uid="{00000000-0005-0000-0000-0000CC300000}"/>
    <cellStyle name="Normal 18 4 6 2" xfId="11699" xr:uid="{00000000-0005-0000-0000-0000CD300000}"/>
    <cellStyle name="Normal 18 4 6 3" xfId="11700" xr:uid="{00000000-0005-0000-0000-0000CE300000}"/>
    <cellStyle name="Normal 18 4 6 4" xfId="11701" xr:uid="{00000000-0005-0000-0000-0000CF300000}"/>
    <cellStyle name="Normal 18 4 6 5" xfId="11702" xr:uid="{00000000-0005-0000-0000-0000D0300000}"/>
    <cellStyle name="Normal 18 4 6 6" xfId="11703" xr:uid="{00000000-0005-0000-0000-0000D1300000}"/>
    <cellStyle name="Normal 18 4 7" xfId="11704" xr:uid="{00000000-0005-0000-0000-0000D2300000}"/>
    <cellStyle name="Normal 18 4 7 2" xfId="11705" xr:uid="{00000000-0005-0000-0000-0000D3300000}"/>
    <cellStyle name="Normal 18 4 7 3" xfId="11706" xr:uid="{00000000-0005-0000-0000-0000D4300000}"/>
    <cellStyle name="Normal 18 4 7 4" xfId="11707" xr:uid="{00000000-0005-0000-0000-0000D5300000}"/>
    <cellStyle name="Normal 18 4 7 5" xfId="11708" xr:uid="{00000000-0005-0000-0000-0000D6300000}"/>
    <cellStyle name="Normal 18 4 7 6" xfId="11709" xr:uid="{00000000-0005-0000-0000-0000D7300000}"/>
    <cellStyle name="Normal 18 4 8" xfId="11710" xr:uid="{00000000-0005-0000-0000-0000D8300000}"/>
    <cellStyle name="Normal 18 4 8 2" xfId="11711" xr:uid="{00000000-0005-0000-0000-0000D9300000}"/>
    <cellStyle name="Normal 18 4 8 3" xfId="11712" xr:uid="{00000000-0005-0000-0000-0000DA300000}"/>
    <cellStyle name="Normal 18 4 8 4" xfId="11713" xr:uid="{00000000-0005-0000-0000-0000DB300000}"/>
    <cellStyle name="Normal 18 4 8 5" xfId="11714" xr:uid="{00000000-0005-0000-0000-0000DC300000}"/>
    <cellStyle name="Normal 18 4 8 6" xfId="11715" xr:uid="{00000000-0005-0000-0000-0000DD300000}"/>
    <cellStyle name="Normal 18 4 9" xfId="11716" xr:uid="{00000000-0005-0000-0000-0000DE300000}"/>
    <cellStyle name="Normal 18 5" xfId="11717" xr:uid="{00000000-0005-0000-0000-0000DF300000}"/>
    <cellStyle name="Normal 18 5 10" xfId="11718" xr:uid="{00000000-0005-0000-0000-0000E0300000}"/>
    <cellStyle name="Normal 18 5 11" xfId="11719" xr:uid="{00000000-0005-0000-0000-0000E1300000}"/>
    <cellStyle name="Normal 18 5 12" xfId="11720" xr:uid="{00000000-0005-0000-0000-0000E2300000}"/>
    <cellStyle name="Normal 18 5 13" xfId="11721" xr:uid="{00000000-0005-0000-0000-0000E3300000}"/>
    <cellStyle name="Normal 18 5 2" xfId="11722" xr:uid="{00000000-0005-0000-0000-0000E4300000}"/>
    <cellStyle name="Normal 18 5 2 2" xfId="11723" xr:uid="{00000000-0005-0000-0000-0000E5300000}"/>
    <cellStyle name="Normal 18 5 2 3" xfId="11724" xr:uid="{00000000-0005-0000-0000-0000E6300000}"/>
    <cellStyle name="Normal 18 5 2 4" xfId="11725" xr:uid="{00000000-0005-0000-0000-0000E7300000}"/>
    <cellStyle name="Normal 18 5 2 5" xfId="11726" xr:uid="{00000000-0005-0000-0000-0000E8300000}"/>
    <cellStyle name="Normal 18 5 2 6" xfId="11727" xr:uid="{00000000-0005-0000-0000-0000E9300000}"/>
    <cellStyle name="Normal 18 5 3" xfId="11728" xr:uid="{00000000-0005-0000-0000-0000EA300000}"/>
    <cellStyle name="Normal 18 5 3 2" xfId="11729" xr:uid="{00000000-0005-0000-0000-0000EB300000}"/>
    <cellStyle name="Normal 18 5 3 3" xfId="11730" xr:uid="{00000000-0005-0000-0000-0000EC300000}"/>
    <cellStyle name="Normal 18 5 3 4" xfId="11731" xr:uid="{00000000-0005-0000-0000-0000ED300000}"/>
    <cellStyle name="Normal 18 5 3 5" xfId="11732" xr:uid="{00000000-0005-0000-0000-0000EE300000}"/>
    <cellStyle name="Normal 18 5 3 6" xfId="11733" xr:uid="{00000000-0005-0000-0000-0000EF300000}"/>
    <cellStyle name="Normal 18 5 4" xfId="11734" xr:uid="{00000000-0005-0000-0000-0000F0300000}"/>
    <cellStyle name="Normal 18 5 4 2" xfId="11735" xr:uid="{00000000-0005-0000-0000-0000F1300000}"/>
    <cellStyle name="Normal 18 5 4 3" xfId="11736" xr:uid="{00000000-0005-0000-0000-0000F2300000}"/>
    <cellStyle name="Normal 18 5 4 4" xfId="11737" xr:uid="{00000000-0005-0000-0000-0000F3300000}"/>
    <cellStyle name="Normal 18 5 4 5" xfId="11738" xr:uid="{00000000-0005-0000-0000-0000F4300000}"/>
    <cellStyle name="Normal 18 5 4 6" xfId="11739" xr:uid="{00000000-0005-0000-0000-0000F5300000}"/>
    <cellStyle name="Normal 18 5 5" xfId="11740" xr:uid="{00000000-0005-0000-0000-0000F6300000}"/>
    <cellStyle name="Normal 18 5 5 2" xfId="11741" xr:uid="{00000000-0005-0000-0000-0000F7300000}"/>
    <cellStyle name="Normal 18 5 5 3" xfId="11742" xr:uid="{00000000-0005-0000-0000-0000F8300000}"/>
    <cellStyle name="Normal 18 5 5 4" xfId="11743" xr:uid="{00000000-0005-0000-0000-0000F9300000}"/>
    <cellStyle name="Normal 18 5 5 5" xfId="11744" xr:uid="{00000000-0005-0000-0000-0000FA300000}"/>
    <cellStyle name="Normal 18 5 5 6" xfId="11745" xr:uid="{00000000-0005-0000-0000-0000FB300000}"/>
    <cellStyle name="Normal 18 5 6" xfId="11746" xr:uid="{00000000-0005-0000-0000-0000FC300000}"/>
    <cellStyle name="Normal 18 5 6 2" xfId="11747" xr:uid="{00000000-0005-0000-0000-0000FD300000}"/>
    <cellStyle name="Normal 18 5 6 3" xfId="11748" xr:uid="{00000000-0005-0000-0000-0000FE300000}"/>
    <cellStyle name="Normal 18 5 6 4" xfId="11749" xr:uid="{00000000-0005-0000-0000-0000FF300000}"/>
    <cellStyle name="Normal 18 5 6 5" xfId="11750" xr:uid="{00000000-0005-0000-0000-000000310000}"/>
    <cellStyle name="Normal 18 5 6 6" xfId="11751" xr:uid="{00000000-0005-0000-0000-000001310000}"/>
    <cellStyle name="Normal 18 5 7" xfId="11752" xr:uid="{00000000-0005-0000-0000-000002310000}"/>
    <cellStyle name="Normal 18 5 7 2" xfId="11753" xr:uid="{00000000-0005-0000-0000-000003310000}"/>
    <cellStyle name="Normal 18 5 7 3" xfId="11754" xr:uid="{00000000-0005-0000-0000-000004310000}"/>
    <cellStyle name="Normal 18 5 7 4" xfId="11755" xr:uid="{00000000-0005-0000-0000-000005310000}"/>
    <cellStyle name="Normal 18 5 7 5" xfId="11756" xr:uid="{00000000-0005-0000-0000-000006310000}"/>
    <cellStyle name="Normal 18 5 7 6" xfId="11757" xr:uid="{00000000-0005-0000-0000-000007310000}"/>
    <cellStyle name="Normal 18 5 8" xfId="11758" xr:uid="{00000000-0005-0000-0000-000008310000}"/>
    <cellStyle name="Normal 18 5 8 2" xfId="11759" xr:uid="{00000000-0005-0000-0000-000009310000}"/>
    <cellStyle name="Normal 18 5 8 3" xfId="11760" xr:uid="{00000000-0005-0000-0000-00000A310000}"/>
    <cellStyle name="Normal 18 5 8 4" xfId="11761" xr:uid="{00000000-0005-0000-0000-00000B310000}"/>
    <cellStyle name="Normal 18 5 8 5" xfId="11762" xr:uid="{00000000-0005-0000-0000-00000C310000}"/>
    <cellStyle name="Normal 18 5 8 6" xfId="11763" xr:uid="{00000000-0005-0000-0000-00000D310000}"/>
    <cellStyle name="Normal 18 5 9" xfId="11764" xr:uid="{00000000-0005-0000-0000-00000E310000}"/>
    <cellStyle name="Normal 18 6" xfId="11765" xr:uid="{00000000-0005-0000-0000-00000F310000}"/>
    <cellStyle name="Normal 18 6 10" xfId="11766" xr:uid="{00000000-0005-0000-0000-000010310000}"/>
    <cellStyle name="Normal 18 6 11" xfId="11767" xr:uid="{00000000-0005-0000-0000-000011310000}"/>
    <cellStyle name="Normal 18 6 12" xfId="11768" xr:uid="{00000000-0005-0000-0000-000012310000}"/>
    <cellStyle name="Normal 18 6 13" xfId="11769" xr:uid="{00000000-0005-0000-0000-000013310000}"/>
    <cellStyle name="Normal 18 6 2" xfId="11770" xr:uid="{00000000-0005-0000-0000-000014310000}"/>
    <cellStyle name="Normal 18 6 2 2" xfId="11771" xr:uid="{00000000-0005-0000-0000-000015310000}"/>
    <cellStyle name="Normal 18 6 2 3" xfId="11772" xr:uid="{00000000-0005-0000-0000-000016310000}"/>
    <cellStyle name="Normal 18 6 2 4" xfId="11773" xr:uid="{00000000-0005-0000-0000-000017310000}"/>
    <cellStyle name="Normal 18 6 2 5" xfId="11774" xr:uid="{00000000-0005-0000-0000-000018310000}"/>
    <cellStyle name="Normal 18 6 2 6" xfId="11775" xr:uid="{00000000-0005-0000-0000-000019310000}"/>
    <cellStyle name="Normal 18 6 3" xfId="11776" xr:uid="{00000000-0005-0000-0000-00001A310000}"/>
    <cellStyle name="Normal 18 6 3 2" xfId="11777" xr:uid="{00000000-0005-0000-0000-00001B310000}"/>
    <cellStyle name="Normal 18 6 3 3" xfId="11778" xr:uid="{00000000-0005-0000-0000-00001C310000}"/>
    <cellStyle name="Normal 18 6 3 4" xfId="11779" xr:uid="{00000000-0005-0000-0000-00001D310000}"/>
    <cellStyle name="Normal 18 6 3 5" xfId="11780" xr:uid="{00000000-0005-0000-0000-00001E310000}"/>
    <cellStyle name="Normal 18 6 3 6" xfId="11781" xr:uid="{00000000-0005-0000-0000-00001F310000}"/>
    <cellStyle name="Normal 18 6 4" xfId="11782" xr:uid="{00000000-0005-0000-0000-000020310000}"/>
    <cellStyle name="Normal 18 6 4 2" xfId="11783" xr:uid="{00000000-0005-0000-0000-000021310000}"/>
    <cellStyle name="Normal 18 6 4 3" xfId="11784" xr:uid="{00000000-0005-0000-0000-000022310000}"/>
    <cellStyle name="Normal 18 6 4 4" xfId="11785" xr:uid="{00000000-0005-0000-0000-000023310000}"/>
    <cellStyle name="Normal 18 6 4 5" xfId="11786" xr:uid="{00000000-0005-0000-0000-000024310000}"/>
    <cellStyle name="Normal 18 6 4 6" xfId="11787" xr:uid="{00000000-0005-0000-0000-000025310000}"/>
    <cellStyle name="Normal 18 6 5" xfId="11788" xr:uid="{00000000-0005-0000-0000-000026310000}"/>
    <cellStyle name="Normal 18 6 5 2" xfId="11789" xr:uid="{00000000-0005-0000-0000-000027310000}"/>
    <cellStyle name="Normal 18 6 5 3" xfId="11790" xr:uid="{00000000-0005-0000-0000-000028310000}"/>
    <cellStyle name="Normal 18 6 5 4" xfId="11791" xr:uid="{00000000-0005-0000-0000-000029310000}"/>
    <cellStyle name="Normal 18 6 5 5" xfId="11792" xr:uid="{00000000-0005-0000-0000-00002A310000}"/>
    <cellStyle name="Normal 18 6 5 6" xfId="11793" xr:uid="{00000000-0005-0000-0000-00002B310000}"/>
    <cellStyle name="Normal 18 6 6" xfId="11794" xr:uid="{00000000-0005-0000-0000-00002C310000}"/>
    <cellStyle name="Normal 18 6 6 2" xfId="11795" xr:uid="{00000000-0005-0000-0000-00002D310000}"/>
    <cellStyle name="Normal 18 6 6 3" xfId="11796" xr:uid="{00000000-0005-0000-0000-00002E310000}"/>
    <cellStyle name="Normal 18 6 6 4" xfId="11797" xr:uid="{00000000-0005-0000-0000-00002F310000}"/>
    <cellStyle name="Normal 18 6 6 5" xfId="11798" xr:uid="{00000000-0005-0000-0000-000030310000}"/>
    <cellStyle name="Normal 18 6 6 6" xfId="11799" xr:uid="{00000000-0005-0000-0000-000031310000}"/>
    <cellStyle name="Normal 18 6 7" xfId="11800" xr:uid="{00000000-0005-0000-0000-000032310000}"/>
    <cellStyle name="Normal 18 6 7 2" xfId="11801" xr:uid="{00000000-0005-0000-0000-000033310000}"/>
    <cellStyle name="Normal 18 6 7 3" xfId="11802" xr:uid="{00000000-0005-0000-0000-000034310000}"/>
    <cellStyle name="Normal 18 6 7 4" xfId="11803" xr:uid="{00000000-0005-0000-0000-000035310000}"/>
    <cellStyle name="Normal 18 6 7 5" xfId="11804" xr:uid="{00000000-0005-0000-0000-000036310000}"/>
    <cellStyle name="Normal 18 6 7 6" xfId="11805" xr:uid="{00000000-0005-0000-0000-000037310000}"/>
    <cellStyle name="Normal 18 6 8" xfId="11806" xr:uid="{00000000-0005-0000-0000-000038310000}"/>
    <cellStyle name="Normal 18 6 8 2" xfId="11807" xr:uid="{00000000-0005-0000-0000-000039310000}"/>
    <cellStyle name="Normal 18 6 8 3" xfId="11808" xr:uid="{00000000-0005-0000-0000-00003A310000}"/>
    <cellStyle name="Normal 18 6 8 4" xfId="11809" xr:uid="{00000000-0005-0000-0000-00003B310000}"/>
    <cellStyle name="Normal 18 6 8 5" xfId="11810" xr:uid="{00000000-0005-0000-0000-00003C310000}"/>
    <cellStyle name="Normal 18 6 8 6" xfId="11811" xr:uid="{00000000-0005-0000-0000-00003D310000}"/>
    <cellStyle name="Normal 18 6 9" xfId="11812" xr:uid="{00000000-0005-0000-0000-00003E310000}"/>
    <cellStyle name="Normal 18 7" xfId="11813" xr:uid="{00000000-0005-0000-0000-00003F310000}"/>
    <cellStyle name="Normal 18 7 10" xfId="11814" xr:uid="{00000000-0005-0000-0000-000040310000}"/>
    <cellStyle name="Normal 18 7 11" xfId="11815" xr:uid="{00000000-0005-0000-0000-000041310000}"/>
    <cellStyle name="Normal 18 7 12" xfId="11816" xr:uid="{00000000-0005-0000-0000-000042310000}"/>
    <cellStyle name="Normal 18 7 13" xfId="11817" xr:uid="{00000000-0005-0000-0000-000043310000}"/>
    <cellStyle name="Normal 18 7 2" xfId="11818" xr:uid="{00000000-0005-0000-0000-000044310000}"/>
    <cellStyle name="Normal 18 7 2 2" xfId="11819" xr:uid="{00000000-0005-0000-0000-000045310000}"/>
    <cellStyle name="Normal 18 7 2 3" xfId="11820" xr:uid="{00000000-0005-0000-0000-000046310000}"/>
    <cellStyle name="Normal 18 7 2 4" xfId="11821" xr:uid="{00000000-0005-0000-0000-000047310000}"/>
    <cellStyle name="Normal 18 7 2 5" xfId="11822" xr:uid="{00000000-0005-0000-0000-000048310000}"/>
    <cellStyle name="Normal 18 7 2 6" xfId="11823" xr:uid="{00000000-0005-0000-0000-000049310000}"/>
    <cellStyle name="Normal 18 7 3" xfId="11824" xr:uid="{00000000-0005-0000-0000-00004A310000}"/>
    <cellStyle name="Normal 18 7 3 2" xfId="11825" xr:uid="{00000000-0005-0000-0000-00004B310000}"/>
    <cellStyle name="Normal 18 7 3 3" xfId="11826" xr:uid="{00000000-0005-0000-0000-00004C310000}"/>
    <cellStyle name="Normal 18 7 3 4" xfId="11827" xr:uid="{00000000-0005-0000-0000-00004D310000}"/>
    <cellStyle name="Normal 18 7 3 5" xfId="11828" xr:uid="{00000000-0005-0000-0000-00004E310000}"/>
    <cellStyle name="Normal 18 7 3 6" xfId="11829" xr:uid="{00000000-0005-0000-0000-00004F310000}"/>
    <cellStyle name="Normal 18 7 4" xfId="11830" xr:uid="{00000000-0005-0000-0000-000050310000}"/>
    <cellStyle name="Normal 18 7 4 2" xfId="11831" xr:uid="{00000000-0005-0000-0000-000051310000}"/>
    <cellStyle name="Normal 18 7 4 3" xfId="11832" xr:uid="{00000000-0005-0000-0000-000052310000}"/>
    <cellStyle name="Normal 18 7 4 4" xfId="11833" xr:uid="{00000000-0005-0000-0000-000053310000}"/>
    <cellStyle name="Normal 18 7 4 5" xfId="11834" xr:uid="{00000000-0005-0000-0000-000054310000}"/>
    <cellStyle name="Normal 18 7 4 6" xfId="11835" xr:uid="{00000000-0005-0000-0000-000055310000}"/>
    <cellStyle name="Normal 18 7 5" xfId="11836" xr:uid="{00000000-0005-0000-0000-000056310000}"/>
    <cellStyle name="Normal 18 7 5 2" xfId="11837" xr:uid="{00000000-0005-0000-0000-000057310000}"/>
    <cellStyle name="Normal 18 7 5 3" xfId="11838" xr:uid="{00000000-0005-0000-0000-000058310000}"/>
    <cellStyle name="Normal 18 7 5 4" xfId="11839" xr:uid="{00000000-0005-0000-0000-000059310000}"/>
    <cellStyle name="Normal 18 7 5 5" xfId="11840" xr:uid="{00000000-0005-0000-0000-00005A310000}"/>
    <cellStyle name="Normal 18 7 5 6" xfId="11841" xr:uid="{00000000-0005-0000-0000-00005B310000}"/>
    <cellStyle name="Normal 18 7 6" xfId="11842" xr:uid="{00000000-0005-0000-0000-00005C310000}"/>
    <cellStyle name="Normal 18 7 6 2" xfId="11843" xr:uid="{00000000-0005-0000-0000-00005D310000}"/>
    <cellStyle name="Normal 18 7 6 3" xfId="11844" xr:uid="{00000000-0005-0000-0000-00005E310000}"/>
    <cellStyle name="Normal 18 7 6 4" xfId="11845" xr:uid="{00000000-0005-0000-0000-00005F310000}"/>
    <cellStyle name="Normal 18 7 6 5" xfId="11846" xr:uid="{00000000-0005-0000-0000-000060310000}"/>
    <cellStyle name="Normal 18 7 6 6" xfId="11847" xr:uid="{00000000-0005-0000-0000-000061310000}"/>
    <cellStyle name="Normal 18 7 7" xfId="11848" xr:uid="{00000000-0005-0000-0000-000062310000}"/>
    <cellStyle name="Normal 18 7 7 2" xfId="11849" xr:uid="{00000000-0005-0000-0000-000063310000}"/>
    <cellStyle name="Normal 18 7 7 3" xfId="11850" xr:uid="{00000000-0005-0000-0000-000064310000}"/>
    <cellStyle name="Normal 18 7 7 4" xfId="11851" xr:uid="{00000000-0005-0000-0000-000065310000}"/>
    <cellStyle name="Normal 18 7 7 5" xfId="11852" xr:uid="{00000000-0005-0000-0000-000066310000}"/>
    <cellStyle name="Normal 18 7 7 6" xfId="11853" xr:uid="{00000000-0005-0000-0000-000067310000}"/>
    <cellStyle name="Normal 18 7 8" xfId="11854" xr:uid="{00000000-0005-0000-0000-000068310000}"/>
    <cellStyle name="Normal 18 7 8 2" xfId="11855" xr:uid="{00000000-0005-0000-0000-000069310000}"/>
    <cellStyle name="Normal 18 7 8 3" xfId="11856" xr:uid="{00000000-0005-0000-0000-00006A310000}"/>
    <cellStyle name="Normal 18 7 8 4" xfId="11857" xr:uid="{00000000-0005-0000-0000-00006B310000}"/>
    <cellStyle name="Normal 18 7 8 5" xfId="11858" xr:uid="{00000000-0005-0000-0000-00006C310000}"/>
    <cellStyle name="Normal 18 7 8 6" xfId="11859" xr:uid="{00000000-0005-0000-0000-00006D310000}"/>
    <cellStyle name="Normal 18 7 9" xfId="11860" xr:uid="{00000000-0005-0000-0000-00006E310000}"/>
    <cellStyle name="Normal 18 8" xfId="11861" xr:uid="{00000000-0005-0000-0000-00006F310000}"/>
    <cellStyle name="Normal 18 8 10" xfId="11862" xr:uid="{00000000-0005-0000-0000-000070310000}"/>
    <cellStyle name="Normal 18 8 11" xfId="11863" xr:uid="{00000000-0005-0000-0000-000071310000}"/>
    <cellStyle name="Normal 18 8 12" xfId="11864" xr:uid="{00000000-0005-0000-0000-000072310000}"/>
    <cellStyle name="Normal 18 8 13" xfId="11865" xr:uid="{00000000-0005-0000-0000-000073310000}"/>
    <cellStyle name="Normal 18 8 2" xfId="11866" xr:uid="{00000000-0005-0000-0000-000074310000}"/>
    <cellStyle name="Normal 18 8 2 2" xfId="11867" xr:uid="{00000000-0005-0000-0000-000075310000}"/>
    <cellStyle name="Normal 18 8 2 3" xfId="11868" xr:uid="{00000000-0005-0000-0000-000076310000}"/>
    <cellStyle name="Normal 18 8 2 4" xfId="11869" xr:uid="{00000000-0005-0000-0000-000077310000}"/>
    <cellStyle name="Normal 18 8 2 5" xfId="11870" xr:uid="{00000000-0005-0000-0000-000078310000}"/>
    <cellStyle name="Normal 18 8 2 6" xfId="11871" xr:uid="{00000000-0005-0000-0000-000079310000}"/>
    <cellStyle name="Normal 18 8 3" xfId="11872" xr:uid="{00000000-0005-0000-0000-00007A310000}"/>
    <cellStyle name="Normal 18 8 3 2" xfId="11873" xr:uid="{00000000-0005-0000-0000-00007B310000}"/>
    <cellStyle name="Normal 18 8 3 3" xfId="11874" xr:uid="{00000000-0005-0000-0000-00007C310000}"/>
    <cellStyle name="Normal 18 8 3 4" xfId="11875" xr:uid="{00000000-0005-0000-0000-00007D310000}"/>
    <cellStyle name="Normal 18 8 3 5" xfId="11876" xr:uid="{00000000-0005-0000-0000-00007E310000}"/>
    <cellStyle name="Normal 18 8 3 6" xfId="11877" xr:uid="{00000000-0005-0000-0000-00007F310000}"/>
    <cellStyle name="Normal 18 8 4" xfId="11878" xr:uid="{00000000-0005-0000-0000-000080310000}"/>
    <cellStyle name="Normal 18 8 4 2" xfId="11879" xr:uid="{00000000-0005-0000-0000-000081310000}"/>
    <cellStyle name="Normal 18 8 4 3" xfId="11880" xr:uid="{00000000-0005-0000-0000-000082310000}"/>
    <cellStyle name="Normal 18 8 4 4" xfId="11881" xr:uid="{00000000-0005-0000-0000-000083310000}"/>
    <cellStyle name="Normal 18 8 4 5" xfId="11882" xr:uid="{00000000-0005-0000-0000-000084310000}"/>
    <cellStyle name="Normal 18 8 4 6" xfId="11883" xr:uid="{00000000-0005-0000-0000-000085310000}"/>
    <cellStyle name="Normal 18 8 5" xfId="11884" xr:uid="{00000000-0005-0000-0000-000086310000}"/>
    <cellStyle name="Normal 18 8 5 2" xfId="11885" xr:uid="{00000000-0005-0000-0000-000087310000}"/>
    <cellStyle name="Normal 18 8 5 3" xfId="11886" xr:uid="{00000000-0005-0000-0000-000088310000}"/>
    <cellStyle name="Normal 18 8 5 4" xfId="11887" xr:uid="{00000000-0005-0000-0000-000089310000}"/>
    <cellStyle name="Normal 18 8 5 5" xfId="11888" xr:uid="{00000000-0005-0000-0000-00008A310000}"/>
    <cellStyle name="Normal 18 8 5 6" xfId="11889" xr:uid="{00000000-0005-0000-0000-00008B310000}"/>
    <cellStyle name="Normal 18 8 6" xfId="11890" xr:uid="{00000000-0005-0000-0000-00008C310000}"/>
    <cellStyle name="Normal 18 8 6 2" xfId="11891" xr:uid="{00000000-0005-0000-0000-00008D310000}"/>
    <cellStyle name="Normal 18 8 6 3" xfId="11892" xr:uid="{00000000-0005-0000-0000-00008E310000}"/>
    <cellStyle name="Normal 18 8 6 4" xfId="11893" xr:uid="{00000000-0005-0000-0000-00008F310000}"/>
    <cellStyle name="Normal 18 8 6 5" xfId="11894" xr:uid="{00000000-0005-0000-0000-000090310000}"/>
    <cellStyle name="Normal 18 8 6 6" xfId="11895" xr:uid="{00000000-0005-0000-0000-000091310000}"/>
    <cellStyle name="Normal 18 8 7" xfId="11896" xr:uid="{00000000-0005-0000-0000-000092310000}"/>
    <cellStyle name="Normal 18 8 7 2" xfId="11897" xr:uid="{00000000-0005-0000-0000-000093310000}"/>
    <cellStyle name="Normal 18 8 7 3" xfId="11898" xr:uid="{00000000-0005-0000-0000-000094310000}"/>
    <cellStyle name="Normal 18 8 7 4" xfId="11899" xr:uid="{00000000-0005-0000-0000-000095310000}"/>
    <cellStyle name="Normal 18 8 7 5" xfId="11900" xr:uid="{00000000-0005-0000-0000-000096310000}"/>
    <cellStyle name="Normal 18 8 7 6" xfId="11901" xr:uid="{00000000-0005-0000-0000-000097310000}"/>
    <cellStyle name="Normal 18 8 8" xfId="11902" xr:uid="{00000000-0005-0000-0000-000098310000}"/>
    <cellStyle name="Normal 18 8 8 2" xfId="11903" xr:uid="{00000000-0005-0000-0000-000099310000}"/>
    <cellStyle name="Normal 18 8 8 3" xfId="11904" xr:uid="{00000000-0005-0000-0000-00009A310000}"/>
    <cellStyle name="Normal 18 8 8 4" xfId="11905" xr:uid="{00000000-0005-0000-0000-00009B310000}"/>
    <cellStyle name="Normal 18 8 8 5" xfId="11906" xr:uid="{00000000-0005-0000-0000-00009C310000}"/>
    <cellStyle name="Normal 18 8 8 6" xfId="11907" xr:uid="{00000000-0005-0000-0000-00009D310000}"/>
    <cellStyle name="Normal 18 8 9" xfId="11908" xr:uid="{00000000-0005-0000-0000-00009E310000}"/>
    <cellStyle name="Normal 18 9" xfId="11909" xr:uid="{00000000-0005-0000-0000-00009F310000}"/>
    <cellStyle name="Normal 18 9 10" xfId="11910" xr:uid="{00000000-0005-0000-0000-0000A0310000}"/>
    <cellStyle name="Normal 18 9 11" xfId="11911" xr:uid="{00000000-0005-0000-0000-0000A1310000}"/>
    <cellStyle name="Normal 18 9 12" xfId="11912" xr:uid="{00000000-0005-0000-0000-0000A2310000}"/>
    <cellStyle name="Normal 18 9 13" xfId="11913" xr:uid="{00000000-0005-0000-0000-0000A3310000}"/>
    <cellStyle name="Normal 18 9 2" xfId="11914" xr:uid="{00000000-0005-0000-0000-0000A4310000}"/>
    <cellStyle name="Normal 18 9 2 2" xfId="11915" xr:uid="{00000000-0005-0000-0000-0000A5310000}"/>
    <cellStyle name="Normal 18 9 2 3" xfId="11916" xr:uid="{00000000-0005-0000-0000-0000A6310000}"/>
    <cellStyle name="Normal 18 9 2 4" xfId="11917" xr:uid="{00000000-0005-0000-0000-0000A7310000}"/>
    <cellStyle name="Normal 18 9 2 5" xfId="11918" xr:uid="{00000000-0005-0000-0000-0000A8310000}"/>
    <cellStyle name="Normal 18 9 2 6" xfId="11919" xr:uid="{00000000-0005-0000-0000-0000A9310000}"/>
    <cellStyle name="Normal 18 9 3" xfId="11920" xr:uid="{00000000-0005-0000-0000-0000AA310000}"/>
    <cellStyle name="Normal 18 9 3 2" xfId="11921" xr:uid="{00000000-0005-0000-0000-0000AB310000}"/>
    <cellStyle name="Normal 18 9 3 3" xfId="11922" xr:uid="{00000000-0005-0000-0000-0000AC310000}"/>
    <cellStyle name="Normal 18 9 3 4" xfId="11923" xr:uid="{00000000-0005-0000-0000-0000AD310000}"/>
    <cellStyle name="Normal 18 9 3 5" xfId="11924" xr:uid="{00000000-0005-0000-0000-0000AE310000}"/>
    <cellStyle name="Normal 18 9 3 6" xfId="11925" xr:uid="{00000000-0005-0000-0000-0000AF310000}"/>
    <cellStyle name="Normal 18 9 4" xfId="11926" xr:uid="{00000000-0005-0000-0000-0000B0310000}"/>
    <cellStyle name="Normal 18 9 4 2" xfId="11927" xr:uid="{00000000-0005-0000-0000-0000B1310000}"/>
    <cellStyle name="Normal 18 9 4 3" xfId="11928" xr:uid="{00000000-0005-0000-0000-0000B2310000}"/>
    <cellStyle name="Normal 18 9 4 4" xfId="11929" xr:uid="{00000000-0005-0000-0000-0000B3310000}"/>
    <cellStyle name="Normal 18 9 4 5" xfId="11930" xr:uid="{00000000-0005-0000-0000-0000B4310000}"/>
    <cellStyle name="Normal 18 9 4 6" xfId="11931" xr:uid="{00000000-0005-0000-0000-0000B5310000}"/>
    <cellStyle name="Normal 18 9 5" xfId="11932" xr:uid="{00000000-0005-0000-0000-0000B6310000}"/>
    <cellStyle name="Normal 18 9 5 2" xfId="11933" xr:uid="{00000000-0005-0000-0000-0000B7310000}"/>
    <cellStyle name="Normal 18 9 5 3" xfId="11934" xr:uid="{00000000-0005-0000-0000-0000B8310000}"/>
    <cellStyle name="Normal 18 9 5 4" xfId="11935" xr:uid="{00000000-0005-0000-0000-0000B9310000}"/>
    <cellStyle name="Normal 18 9 5 5" xfId="11936" xr:uid="{00000000-0005-0000-0000-0000BA310000}"/>
    <cellStyle name="Normal 18 9 5 6" xfId="11937" xr:uid="{00000000-0005-0000-0000-0000BB310000}"/>
    <cellStyle name="Normal 18 9 6" xfId="11938" xr:uid="{00000000-0005-0000-0000-0000BC310000}"/>
    <cellStyle name="Normal 18 9 6 2" xfId="11939" xr:uid="{00000000-0005-0000-0000-0000BD310000}"/>
    <cellStyle name="Normal 18 9 6 3" xfId="11940" xr:uid="{00000000-0005-0000-0000-0000BE310000}"/>
    <cellStyle name="Normal 18 9 6 4" xfId="11941" xr:uid="{00000000-0005-0000-0000-0000BF310000}"/>
    <cellStyle name="Normal 18 9 6 5" xfId="11942" xr:uid="{00000000-0005-0000-0000-0000C0310000}"/>
    <cellStyle name="Normal 18 9 6 6" xfId="11943" xr:uid="{00000000-0005-0000-0000-0000C1310000}"/>
    <cellStyle name="Normal 18 9 7" xfId="11944" xr:uid="{00000000-0005-0000-0000-0000C2310000}"/>
    <cellStyle name="Normal 18 9 7 2" xfId="11945" xr:uid="{00000000-0005-0000-0000-0000C3310000}"/>
    <cellStyle name="Normal 18 9 7 3" xfId="11946" xr:uid="{00000000-0005-0000-0000-0000C4310000}"/>
    <cellStyle name="Normal 18 9 7 4" xfId="11947" xr:uid="{00000000-0005-0000-0000-0000C5310000}"/>
    <cellStyle name="Normal 18 9 7 5" xfId="11948" xr:uid="{00000000-0005-0000-0000-0000C6310000}"/>
    <cellStyle name="Normal 18 9 7 6" xfId="11949" xr:uid="{00000000-0005-0000-0000-0000C7310000}"/>
    <cellStyle name="Normal 18 9 8" xfId="11950" xr:uid="{00000000-0005-0000-0000-0000C8310000}"/>
    <cellStyle name="Normal 18 9 8 2" xfId="11951" xr:uid="{00000000-0005-0000-0000-0000C9310000}"/>
    <cellStyle name="Normal 18 9 8 3" xfId="11952" xr:uid="{00000000-0005-0000-0000-0000CA310000}"/>
    <cellStyle name="Normal 18 9 8 4" xfId="11953" xr:uid="{00000000-0005-0000-0000-0000CB310000}"/>
    <cellStyle name="Normal 18 9 8 5" xfId="11954" xr:uid="{00000000-0005-0000-0000-0000CC310000}"/>
    <cellStyle name="Normal 18 9 8 6" xfId="11955" xr:uid="{00000000-0005-0000-0000-0000CD310000}"/>
    <cellStyle name="Normal 18 9 9" xfId="11956" xr:uid="{00000000-0005-0000-0000-0000CE310000}"/>
    <cellStyle name="Normal 181" xfId="43970" xr:uid="{00000000-0005-0000-0000-0000CF310000}"/>
    <cellStyle name="Normal 181 2" xfId="43965" xr:uid="{00000000-0005-0000-0000-0000D0310000}"/>
    <cellStyle name="Normal 183" xfId="43978" xr:uid="{00000000-0005-0000-0000-0000D1310000}"/>
    <cellStyle name="Normal 183 2" xfId="43980" xr:uid="{00000000-0005-0000-0000-0000D2310000}"/>
    <cellStyle name="Normal 19" xfId="1067" xr:uid="{00000000-0005-0000-0000-0000D3310000}"/>
    <cellStyle name="Normal 19 10" xfId="11957" xr:uid="{00000000-0005-0000-0000-0000D4310000}"/>
    <cellStyle name="Normal 19 10 10" xfId="11958" xr:uid="{00000000-0005-0000-0000-0000D5310000}"/>
    <cellStyle name="Normal 19 10 11" xfId="11959" xr:uid="{00000000-0005-0000-0000-0000D6310000}"/>
    <cellStyle name="Normal 19 10 12" xfId="11960" xr:uid="{00000000-0005-0000-0000-0000D7310000}"/>
    <cellStyle name="Normal 19 10 13" xfId="11961" xr:uid="{00000000-0005-0000-0000-0000D8310000}"/>
    <cellStyle name="Normal 19 10 2" xfId="11962" xr:uid="{00000000-0005-0000-0000-0000D9310000}"/>
    <cellStyle name="Normal 19 10 2 2" xfId="11963" xr:uid="{00000000-0005-0000-0000-0000DA310000}"/>
    <cellStyle name="Normal 19 10 2 3" xfId="11964" xr:uid="{00000000-0005-0000-0000-0000DB310000}"/>
    <cellStyle name="Normal 19 10 2 4" xfId="11965" xr:uid="{00000000-0005-0000-0000-0000DC310000}"/>
    <cellStyle name="Normal 19 10 2 5" xfId="11966" xr:uid="{00000000-0005-0000-0000-0000DD310000}"/>
    <cellStyle name="Normal 19 10 2 6" xfId="11967" xr:uid="{00000000-0005-0000-0000-0000DE310000}"/>
    <cellStyle name="Normal 19 10 3" xfId="11968" xr:uid="{00000000-0005-0000-0000-0000DF310000}"/>
    <cellStyle name="Normal 19 10 3 2" xfId="11969" xr:uid="{00000000-0005-0000-0000-0000E0310000}"/>
    <cellStyle name="Normal 19 10 3 3" xfId="11970" xr:uid="{00000000-0005-0000-0000-0000E1310000}"/>
    <cellStyle name="Normal 19 10 3 4" xfId="11971" xr:uid="{00000000-0005-0000-0000-0000E2310000}"/>
    <cellStyle name="Normal 19 10 3 5" xfId="11972" xr:uid="{00000000-0005-0000-0000-0000E3310000}"/>
    <cellStyle name="Normal 19 10 3 6" xfId="11973" xr:uid="{00000000-0005-0000-0000-0000E4310000}"/>
    <cellStyle name="Normal 19 10 4" xfId="11974" xr:uid="{00000000-0005-0000-0000-0000E5310000}"/>
    <cellStyle name="Normal 19 10 4 2" xfId="11975" xr:uid="{00000000-0005-0000-0000-0000E6310000}"/>
    <cellStyle name="Normal 19 10 4 3" xfId="11976" xr:uid="{00000000-0005-0000-0000-0000E7310000}"/>
    <cellStyle name="Normal 19 10 4 4" xfId="11977" xr:uid="{00000000-0005-0000-0000-0000E8310000}"/>
    <cellStyle name="Normal 19 10 4 5" xfId="11978" xr:uid="{00000000-0005-0000-0000-0000E9310000}"/>
    <cellStyle name="Normal 19 10 4 6" xfId="11979" xr:uid="{00000000-0005-0000-0000-0000EA310000}"/>
    <cellStyle name="Normal 19 10 5" xfId="11980" xr:uid="{00000000-0005-0000-0000-0000EB310000}"/>
    <cellStyle name="Normal 19 10 5 2" xfId="11981" xr:uid="{00000000-0005-0000-0000-0000EC310000}"/>
    <cellStyle name="Normal 19 10 5 3" xfId="11982" xr:uid="{00000000-0005-0000-0000-0000ED310000}"/>
    <cellStyle name="Normal 19 10 5 4" xfId="11983" xr:uid="{00000000-0005-0000-0000-0000EE310000}"/>
    <cellStyle name="Normal 19 10 5 5" xfId="11984" xr:uid="{00000000-0005-0000-0000-0000EF310000}"/>
    <cellStyle name="Normal 19 10 5 6" xfId="11985" xr:uid="{00000000-0005-0000-0000-0000F0310000}"/>
    <cellStyle name="Normal 19 10 6" xfId="11986" xr:uid="{00000000-0005-0000-0000-0000F1310000}"/>
    <cellStyle name="Normal 19 10 6 2" xfId="11987" xr:uid="{00000000-0005-0000-0000-0000F2310000}"/>
    <cellStyle name="Normal 19 10 6 3" xfId="11988" xr:uid="{00000000-0005-0000-0000-0000F3310000}"/>
    <cellStyle name="Normal 19 10 6 4" xfId="11989" xr:uid="{00000000-0005-0000-0000-0000F4310000}"/>
    <cellStyle name="Normal 19 10 6 5" xfId="11990" xr:uid="{00000000-0005-0000-0000-0000F5310000}"/>
    <cellStyle name="Normal 19 10 6 6" xfId="11991" xr:uid="{00000000-0005-0000-0000-0000F6310000}"/>
    <cellStyle name="Normal 19 10 7" xfId="11992" xr:uid="{00000000-0005-0000-0000-0000F7310000}"/>
    <cellStyle name="Normal 19 10 7 2" xfId="11993" xr:uid="{00000000-0005-0000-0000-0000F8310000}"/>
    <cellStyle name="Normal 19 10 7 3" xfId="11994" xr:uid="{00000000-0005-0000-0000-0000F9310000}"/>
    <cellStyle name="Normal 19 10 7 4" xfId="11995" xr:uid="{00000000-0005-0000-0000-0000FA310000}"/>
    <cellStyle name="Normal 19 10 7 5" xfId="11996" xr:uid="{00000000-0005-0000-0000-0000FB310000}"/>
    <cellStyle name="Normal 19 10 7 6" xfId="11997" xr:uid="{00000000-0005-0000-0000-0000FC310000}"/>
    <cellStyle name="Normal 19 10 8" xfId="11998" xr:uid="{00000000-0005-0000-0000-0000FD310000}"/>
    <cellStyle name="Normal 19 10 8 2" xfId="11999" xr:uid="{00000000-0005-0000-0000-0000FE310000}"/>
    <cellStyle name="Normal 19 10 8 3" xfId="12000" xr:uid="{00000000-0005-0000-0000-0000FF310000}"/>
    <cellStyle name="Normal 19 10 8 4" xfId="12001" xr:uid="{00000000-0005-0000-0000-000000320000}"/>
    <cellStyle name="Normal 19 10 8 5" xfId="12002" xr:uid="{00000000-0005-0000-0000-000001320000}"/>
    <cellStyle name="Normal 19 10 8 6" xfId="12003" xr:uid="{00000000-0005-0000-0000-000002320000}"/>
    <cellStyle name="Normal 19 10 9" xfId="12004" xr:uid="{00000000-0005-0000-0000-000003320000}"/>
    <cellStyle name="Normal 19 11" xfId="12005" xr:uid="{00000000-0005-0000-0000-000004320000}"/>
    <cellStyle name="Normal 19 11 10" xfId="12006" xr:uid="{00000000-0005-0000-0000-000005320000}"/>
    <cellStyle name="Normal 19 11 11" xfId="12007" xr:uid="{00000000-0005-0000-0000-000006320000}"/>
    <cellStyle name="Normal 19 11 12" xfId="12008" xr:uid="{00000000-0005-0000-0000-000007320000}"/>
    <cellStyle name="Normal 19 11 13" xfId="12009" xr:uid="{00000000-0005-0000-0000-000008320000}"/>
    <cellStyle name="Normal 19 11 2" xfId="12010" xr:uid="{00000000-0005-0000-0000-000009320000}"/>
    <cellStyle name="Normal 19 11 2 2" xfId="12011" xr:uid="{00000000-0005-0000-0000-00000A320000}"/>
    <cellStyle name="Normal 19 11 2 3" xfId="12012" xr:uid="{00000000-0005-0000-0000-00000B320000}"/>
    <cellStyle name="Normal 19 11 2 4" xfId="12013" xr:uid="{00000000-0005-0000-0000-00000C320000}"/>
    <cellStyle name="Normal 19 11 2 5" xfId="12014" xr:uid="{00000000-0005-0000-0000-00000D320000}"/>
    <cellStyle name="Normal 19 11 2 6" xfId="12015" xr:uid="{00000000-0005-0000-0000-00000E320000}"/>
    <cellStyle name="Normal 19 11 3" xfId="12016" xr:uid="{00000000-0005-0000-0000-00000F320000}"/>
    <cellStyle name="Normal 19 11 3 2" xfId="12017" xr:uid="{00000000-0005-0000-0000-000010320000}"/>
    <cellStyle name="Normal 19 11 3 3" xfId="12018" xr:uid="{00000000-0005-0000-0000-000011320000}"/>
    <cellStyle name="Normal 19 11 3 4" xfId="12019" xr:uid="{00000000-0005-0000-0000-000012320000}"/>
    <cellStyle name="Normal 19 11 3 5" xfId="12020" xr:uid="{00000000-0005-0000-0000-000013320000}"/>
    <cellStyle name="Normal 19 11 3 6" xfId="12021" xr:uid="{00000000-0005-0000-0000-000014320000}"/>
    <cellStyle name="Normal 19 11 4" xfId="12022" xr:uid="{00000000-0005-0000-0000-000015320000}"/>
    <cellStyle name="Normal 19 11 4 2" xfId="12023" xr:uid="{00000000-0005-0000-0000-000016320000}"/>
    <cellStyle name="Normal 19 11 4 3" xfId="12024" xr:uid="{00000000-0005-0000-0000-000017320000}"/>
    <cellStyle name="Normal 19 11 4 4" xfId="12025" xr:uid="{00000000-0005-0000-0000-000018320000}"/>
    <cellStyle name="Normal 19 11 4 5" xfId="12026" xr:uid="{00000000-0005-0000-0000-000019320000}"/>
    <cellStyle name="Normal 19 11 4 6" xfId="12027" xr:uid="{00000000-0005-0000-0000-00001A320000}"/>
    <cellStyle name="Normal 19 11 5" xfId="12028" xr:uid="{00000000-0005-0000-0000-00001B320000}"/>
    <cellStyle name="Normal 19 11 5 2" xfId="12029" xr:uid="{00000000-0005-0000-0000-00001C320000}"/>
    <cellStyle name="Normal 19 11 5 3" xfId="12030" xr:uid="{00000000-0005-0000-0000-00001D320000}"/>
    <cellStyle name="Normal 19 11 5 4" xfId="12031" xr:uid="{00000000-0005-0000-0000-00001E320000}"/>
    <cellStyle name="Normal 19 11 5 5" xfId="12032" xr:uid="{00000000-0005-0000-0000-00001F320000}"/>
    <cellStyle name="Normal 19 11 5 6" xfId="12033" xr:uid="{00000000-0005-0000-0000-000020320000}"/>
    <cellStyle name="Normal 19 11 6" xfId="12034" xr:uid="{00000000-0005-0000-0000-000021320000}"/>
    <cellStyle name="Normal 19 11 6 2" xfId="12035" xr:uid="{00000000-0005-0000-0000-000022320000}"/>
    <cellStyle name="Normal 19 11 6 3" xfId="12036" xr:uid="{00000000-0005-0000-0000-000023320000}"/>
    <cellStyle name="Normal 19 11 6 4" xfId="12037" xr:uid="{00000000-0005-0000-0000-000024320000}"/>
    <cellStyle name="Normal 19 11 6 5" xfId="12038" xr:uid="{00000000-0005-0000-0000-000025320000}"/>
    <cellStyle name="Normal 19 11 6 6" xfId="12039" xr:uid="{00000000-0005-0000-0000-000026320000}"/>
    <cellStyle name="Normal 19 11 7" xfId="12040" xr:uid="{00000000-0005-0000-0000-000027320000}"/>
    <cellStyle name="Normal 19 11 7 2" xfId="12041" xr:uid="{00000000-0005-0000-0000-000028320000}"/>
    <cellStyle name="Normal 19 11 7 3" xfId="12042" xr:uid="{00000000-0005-0000-0000-000029320000}"/>
    <cellStyle name="Normal 19 11 7 4" xfId="12043" xr:uid="{00000000-0005-0000-0000-00002A320000}"/>
    <cellStyle name="Normal 19 11 7 5" xfId="12044" xr:uid="{00000000-0005-0000-0000-00002B320000}"/>
    <cellStyle name="Normal 19 11 7 6" xfId="12045" xr:uid="{00000000-0005-0000-0000-00002C320000}"/>
    <cellStyle name="Normal 19 11 8" xfId="12046" xr:uid="{00000000-0005-0000-0000-00002D320000}"/>
    <cellStyle name="Normal 19 11 8 2" xfId="12047" xr:uid="{00000000-0005-0000-0000-00002E320000}"/>
    <cellStyle name="Normal 19 11 8 3" xfId="12048" xr:uid="{00000000-0005-0000-0000-00002F320000}"/>
    <cellStyle name="Normal 19 11 8 4" xfId="12049" xr:uid="{00000000-0005-0000-0000-000030320000}"/>
    <cellStyle name="Normal 19 11 8 5" xfId="12050" xr:uid="{00000000-0005-0000-0000-000031320000}"/>
    <cellStyle name="Normal 19 11 8 6" xfId="12051" xr:uid="{00000000-0005-0000-0000-000032320000}"/>
    <cellStyle name="Normal 19 11 9" xfId="12052" xr:uid="{00000000-0005-0000-0000-000033320000}"/>
    <cellStyle name="Normal 19 12" xfId="12053" xr:uid="{00000000-0005-0000-0000-000034320000}"/>
    <cellStyle name="Normal 19 12 10" xfId="12054" xr:uid="{00000000-0005-0000-0000-000035320000}"/>
    <cellStyle name="Normal 19 12 11" xfId="12055" xr:uid="{00000000-0005-0000-0000-000036320000}"/>
    <cellStyle name="Normal 19 12 12" xfId="12056" xr:uid="{00000000-0005-0000-0000-000037320000}"/>
    <cellStyle name="Normal 19 12 13" xfId="12057" xr:uid="{00000000-0005-0000-0000-000038320000}"/>
    <cellStyle name="Normal 19 12 2" xfId="12058" xr:uid="{00000000-0005-0000-0000-000039320000}"/>
    <cellStyle name="Normal 19 12 2 2" xfId="12059" xr:uid="{00000000-0005-0000-0000-00003A320000}"/>
    <cellStyle name="Normal 19 12 2 3" xfId="12060" xr:uid="{00000000-0005-0000-0000-00003B320000}"/>
    <cellStyle name="Normal 19 12 2 4" xfId="12061" xr:uid="{00000000-0005-0000-0000-00003C320000}"/>
    <cellStyle name="Normal 19 12 2 5" xfId="12062" xr:uid="{00000000-0005-0000-0000-00003D320000}"/>
    <cellStyle name="Normal 19 12 2 6" xfId="12063" xr:uid="{00000000-0005-0000-0000-00003E320000}"/>
    <cellStyle name="Normal 19 12 3" xfId="12064" xr:uid="{00000000-0005-0000-0000-00003F320000}"/>
    <cellStyle name="Normal 19 12 3 2" xfId="12065" xr:uid="{00000000-0005-0000-0000-000040320000}"/>
    <cellStyle name="Normal 19 12 3 3" xfId="12066" xr:uid="{00000000-0005-0000-0000-000041320000}"/>
    <cellStyle name="Normal 19 12 3 4" xfId="12067" xr:uid="{00000000-0005-0000-0000-000042320000}"/>
    <cellStyle name="Normal 19 12 3 5" xfId="12068" xr:uid="{00000000-0005-0000-0000-000043320000}"/>
    <cellStyle name="Normal 19 12 3 6" xfId="12069" xr:uid="{00000000-0005-0000-0000-000044320000}"/>
    <cellStyle name="Normal 19 12 4" xfId="12070" xr:uid="{00000000-0005-0000-0000-000045320000}"/>
    <cellStyle name="Normal 19 12 4 2" xfId="12071" xr:uid="{00000000-0005-0000-0000-000046320000}"/>
    <cellStyle name="Normal 19 12 4 3" xfId="12072" xr:uid="{00000000-0005-0000-0000-000047320000}"/>
    <cellStyle name="Normal 19 12 4 4" xfId="12073" xr:uid="{00000000-0005-0000-0000-000048320000}"/>
    <cellStyle name="Normal 19 12 4 5" xfId="12074" xr:uid="{00000000-0005-0000-0000-000049320000}"/>
    <cellStyle name="Normal 19 12 4 6" xfId="12075" xr:uid="{00000000-0005-0000-0000-00004A320000}"/>
    <cellStyle name="Normal 19 12 5" xfId="12076" xr:uid="{00000000-0005-0000-0000-00004B320000}"/>
    <cellStyle name="Normal 19 12 5 2" xfId="12077" xr:uid="{00000000-0005-0000-0000-00004C320000}"/>
    <cellStyle name="Normal 19 12 5 3" xfId="12078" xr:uid="{00000000-0005-0000-0000-00004D320000}"/>
    <cellStyle name="Normal 19 12 5 4" xfId="12079" xr:uid="{00000000-0005-0000-0000-00004E320000}"/>
    <cellStyle name="Normal 19 12 5 5" xfId="12080" xr:uid="{00000000-0005-0000-0000-00004F320000}"/>
    <cellStyle name="Normal 19 12 5 6" xfId="12081" xr:uid="{00000000-0005-0000-0000-000050320000}"/>
    <cellStyle name="Normal 19 12 6" xfId="12082" xr:uid="{00000000-0005-0000-0000-000051320000}"/>
    <cellStyle name="Normal 19 12 6 2" xfId="12083" xr:uid="{00000000-0005-0000-0000-000052320000}"/>
    <cellStyle name="Normal 19 12 6 3" xfId="12084" xr:uid="{00000000-0005-0000-0000-000053320000}"/>
    <cellStyle name="Normal 19 12 6 4" xfId="12085" xr:uid="{00000000-0005-0000-0000-000054320000}"/>
    <cellStyle name="Normal 19 12 6 5" xfId="12086" xr:uid="{00000000-0005-0000-0000-000055320000}"/>
    <cellStyle name="Normal 19 12 6 6" xfId="12087" xr:uid="{00000000-0005-0000-0000-000056320000}"/>
    <cellStyle name="Normal 19 12 7" xfId="12088" xr:uid="{00000000-0005-0000-0000-000057320000}"/>
    <cellStyle name="Normal 19 12 7 2" xfId="12089" xr:uid="{00000000-0005-0000-0000-000058320000}"/>
    <cellStyle name="Normal 19 12 7 3" xfId="12090" xr:uid="{00000000-0005-0000-0000-000059320000}"/>
    <cellStyle name="Normal 19 12 7 4" xfId="12091" xr:uid="{00000000-0005-0000-0000-00005A320000}"/>
    <cellStyle name="Normal 19 12 7 5" xfId="12092" xr:uid="{00000000-0005-0000-0000-00005B320000}"/>
    <cellStyle name="Normal 19 12 7 6" xfId="12093" xr:uid="{00000000-0005-0000-0000-00005C320000}"/>
    <cellStyle name="Normal 19 12 8" xfId="12094" xr:uid="{00000000-0005-0000-0000-00005D320000}"/>
    <cellStyle name="Normal 19 12 8 2" xfId="12095" xr:uid="{00000000-0005-0000-0000-00005E320000}"/>
    <cellStyle name="Normal 19 12 8 3" xfId="12096" xr:uid="{00000000-0005-0000-0000-00005F320000}"/>
    <cellStyle name="Normal 19 12 8 4" xfId="12097" xr:uid="{00000000-0005-0000-0000-000060320000}"/>
    <cellStyle name="Normal 19 12 8 5" xfId="12098" xr:uid="{00000000-0005-0000-0000-000061320000}"/>
    <cellStyle name="Normal 19 12 8 6" xfId="12099" xr:uid="{00000000-0005-0000-0000-000062320000}"/>
    <cellStyle name="Normal 19 12 9" xfId="12100" xr:uid="{00000000-0005-0000-0000-000063320000}"/>
    <cellStyle name="Normal 19 13" xfId="12101" xr:uid="{00000000-0005-0000-0000-000064320000}"/>
    <cellStyle name="Normal 19 13 10" xfId="12102" xr:uid="{00000000-0005-0000-0000-000065320000}"/>
    <cellStyle name="Normal 19 13 11" xfId="12103" xr:uid="{00000000-0005-0000-0000-000066320000}"/>
    <cellStyle name="Normal 19 13 12" xfId="12104" xr:uid="{00000000-0005-0000-0000-000067320000}"/>
    <cellStyle name="Normal 19 13 13" xfId="12105" xr:uid="{00000000-0005-0000-0000-000068320000}"/>
    <cellStyle name="Normal 19 13 2" xfId="12106" xr:uid="{00000000-0005-0000-0000-000069320000}"/>
    <cellStyle name="Normal 19 13 2 2" xfId="12107" xr:uid="{00000000-0005-0000-0000-00006A320000}"/>
    <cellStyle name="Normal 19 13 2 3" xfId="12108" xr:uid="{00000000-0005-0000-0000-00006B320000}"/>
    <cellStyle name="Normal 19 13 2 4" xfId="12109" xr:uid="{00000000-0005-0000-0000-00006C320000}"/>
    <cellStyle name="Normal 19 13 2 5" xfId="12110" xr:uid="{00000000-0005-0000-0000-00006D320000}"/>
    <cellStyle name="Normal 19 13 2 6" xfId="12111" xr:uid="{00000000-0005-0000-0000-00006E320000}"/>
    <cellStyle name="Normal 19 13 3" xfId="12112" xr:uid="{00000000-0005-0000-0000-00006F320000}"/>
    <cellStyle name="Normal 19 13 3 2" xfId="12113" xr:uid="{00000000-0005-0000-0000-000070320000}"/>
    <cellStyle name="Normal 19 13 3 3" xfId="12114" xr:uid="{00000000-0005-0000-0000-000071320000}"/>
    <cellStyle name="Normal 19 13 3 4" xfId="12115" xr:uid="{00000000-0005-0000-0000-000072320000}"/>
    <cellStyle name="Normal 19 13 3 5" xfId="12116" xr:uid="{00000000-0005-0000-0000-000073320000}"/>
    <cellStyle name="Normal 19 13 3 6" xfId="12117" xr:uid="{00000000-0005-0000-0000-000074320000}"/>
    <cellStyle name="Normal 19 13 4" xfId="12118" xr:uid="{00000000-0005-0000-0000-000075320000}"/>
    <cellStyle name="Normal 19 13 4 2" xfId="12119" xr:uid="{00000000-0005-0000-0000-000076320000}"/>
    <cellStyle name="Normal 19 13 4 3" xfId="12120" xr:uid="{00000000-0005-0000-0000-000077320000}"/>
    <cellStyle name="Normal 19 13 4 4" xfId="12121" xr:uid="{00000000-0005-0000-0000-000078320000}"/>
    <cellStyle name="Normal 19 13 4 5" xfId="12122" xr:uid="{00000000-0005-0000-0000-000079320000}"/>
    <cellStyle name="Normal 19 13 4 6" xfId="12123" xr:uid="{00000000-0005-0000-0000-00007A320000}"/>
    <cellStyle name="Normal 19 13 5" xfId="12124" xr:uid="{00000000-0005-0000-0000-00007B320000}"/>
    <cellStyle name="Normal 19 13 5 2" xfId="12125" xr:uid="{00000000-0005-0000-0000-00007C320000}"/>
    <cellStyle name="Normal 19 13 5 3" xfId="12126" xr:uid="{00000000-0005-0000-0000-00007D320000}"/>
    <cellStyle name="Normal 19 13 5 4" xfId="12127" xr:uid="{00000000-0005-0000-0000-00007E320000}"/>
    <cellStyle name="Normal 19 13 5 5" xfId="12128" xr:uid="{00000000-0005-0000-0000-00007F320000}"/>
    <cellStyle name="Normal 19 13 5 6" xfId="12129" xr:uid="{00000000-0005-0000-0000-000080320000}"/>
    <cellStyle name="Normal 19 13 6" xfId="12130" xr:uid="{00000000-0005-0000-0000-000081320000}"/>
    <cellStyle name="Normal 19 13 6 2" xfId="12131" xr:uid="{00000000-0005-0000-0000-000082320000}"/>
    <cellStyle name="Normal 19 13 6 3" xfId="12132" xr:uid="{00000000-0005-0000-0000-000083320000}"/>
    <cellStyle name="Normal 19 13 6 4" xfId="12133" xr:uid="{00000000-0005-0000-0000-000084320000}"/>
    <cellStyle name="Normal 19 13 6 5" xfId="12134" xr:uid="{00000000-0005-0000-0000-000085320000}"/>
    <cellStyle name="Normal 19 13 6 6" xfId="12135" xr:uid="{00000000-0005-0000-0000-000086320000}"/>
    <cellStyle name="Normal 19 13 7" xfId="12136" xr:uid="{00000000-0005-0000-0000-000087320000}"/>
    <cellStyle name="Normal 19 13 7 2" xfId="12137" xr:uid="{00000000-0005-0000-0000-000088320000}"/>
    <cellStyle name="Normal 19 13 7 3" xfId="12138" xr:uid="{00000000-0005-0000-0000-000089320000}"/>
    <cellStyle name="Normal 19 13 7 4" xfId="12139" xr:uid="{00000000-0005-0000-0000-00008A320000}"/>
    <cellStyle name="Normal 19 13 7 5" xfId="12140" xr:uid="{00000000-0005-0000-0000-00008B320000}"/>
    <cellStyle name="Normal 19 13 7 6" xfId="12141" xr:uid="{00000000-0005-0000-0000-00008C320000}"/>
    <cellStyle name="Normal 19 13 8" xfId="12142" xr:uid="{00000000-0005-0000-0000-00008D320000}"/>
    <cellStyle name="Normal 19 13 8 2" xfId="12143" xr:uid="{00000000-0005-0000-0000-00008E320000}"/>
    <cellStyle name="Normal 19 13 8 3" xfId="12144" xr:uid="{00000000-0005-0000-0000-00008F320000}"/>
    <cellStyle name="Normal 19 13 8 4" xfId="12145" xr:uid="{00000000-0005-0000-0000-000090320000}"/>
    <cellStyle name="Normal 19 13 8 5" xfId="12146" xr:uid="{00000000-0005-0000-0000-000091320000}"/>
    <cellStyle name="Normal 19 13 8 6" xfId="12147" xr:uid="{00000000-0005-0000-0000-000092320000}"/>
    <cellStyle name="Normal 19 13 9" xfId="12148" xr:uid="{00000000-0005-0000-0000-000093320000}"/>
    <cellStyle name="Normal 19 14" xfId="12149" xr:uid="{00000000-0005-0000-0000-000094320000}"/>
    <cellStyle name="Normal 19 14 10" xfId="12150" xr:uid="{00000000-0005-0000-0000-000095320000}"/>
    <cellStyle name="Normal 19 14 11" xfId="12151" xr:uid="{00000000-0005-0000-0000-000096320000}"/>
    <cellStyle name="Normal 19 14 12" xfId="12152" xr:uid="{00000000-0005-0000-0000-000097320000}"/>
    <cellStyle name="Normal 19 14 13" xfId="12153" xr:uid="{00000000-0005-0000-0000-000098320000}"/>
    <cellStyle name="Normal 19 14 2" xfId="12154" xr:uid="{00000000-0005-0000-0000-000099320000}"/>
    <cellStyle name="Normal 19 14 2 2" xfId="12155" xr:uid="{00000000-0005-0000-0000-00009A320000}"/>
    <cellStyle name="Normal 19 14 2 3" xfId="12156" xr:uid="{00000000-0005-0000-0000-00009B320000}"/>
    <cellStyle name="Normal 19 14 2 4" xfId="12157" xr:uid="{00000000-0005-0000-0000-00009C320000}"/>
    <cellStyle name="Normal 19 14 2 5" xfId="12158" xr:uid="{00000000-0005-0000-0000-00009D320000}"/>
    <cellStyle name="Normal 19 14 2 6" xfId="12159" xr:uid="{00000000-0005-0000-0000-00009E320000}"/>
    <cellStyle name="Normal 19 14 3" xfId="12160" xr:uid="{00000000-0005-0000-0000-00009F320000}"/>
    <cellStyle name="Normal 19 14 3 2" xfId="12161" xr:uid="{00000000-0005-0000-0000-0000A0320000}"/>
    <cellStyle name="Normal 19 14 3 3" xfId="12162" xr:uid="{00000000-0005-0000-0000-0000A1320000}"/>
    <cellStyle name="Normal 19 14 3 4" xfId="12163" xr:uid="{00000000-0005-0000-0000-0000A2320000}"/>
    <cellStyle name="Normal 19 14 3 5" xfId="12164" xr:uid="{00000000-0005-0000-0000-0000A3320000}"/>
    <cellStyle name="Normal 19 14 3 6" xfId="12165" xr:uid="{00000000-0005-0000-0000-0000A4320000}"/>
    <cellStyle name="Normal 19 14 4" xfId="12166" xr:uid="{00000000-0005-0000-0000-0000A5320000}"/>
    <cellStyle name="Normal 19 14 4 2" xfId="12167" xr:uid="{00000000-0005-0000-0000-0000A6320000}"/>
    <cellStyle name="Normal 19 14 4 3" xfId="12168" xr:uid="{00000000-0005-0000-0000-0000A7320000}"/>
    <cellStyle name="Normal 19 14 4 4" xfId="12169" xr:uid="{00000000-0005-0000-0000-0000A8320000}"/>
    <cellStyle name="Normal 19 14 4 5" xfId="12170" xr:uid="{00000000-0005-0000-0000-0000A9320000}"/>
    <cellStyle name="Normal 19 14 4 6" xfId="12171" xr:uid="{00000000-0005-0000-0000-0000AA320000}"/>
    <cellStyle name="Normal 19 14 5" xfId="12172" xr:uid="{00000000-0005-0000-0000-0000AB320000}"/>
    <cellStyle name="Normal 19 14 5 2" xfId="12173" xr:uid="{00000000-0005-0000-0000-0000AC320000}"/>
    <cellStyle name="Normal 19 14 5 3" xfId="12174" xr:uid="{00000000-0005-0000-0000-0000AD320000}"/>
    <cellStyle name="Normal 19 14 5 4" xfId="12175" xr:uid="{00000000-0005-0000-0000-0000AE320000}"/>
    <cellStyle name="Normal 19 14 5 5" xfId="12176" xr:uid="{00000000-0005-0000-0000-0000AF320000}"/>
    <cellStyle name="Normal 19 14 5 6" xfId="12177" xr:uid="{00000000-0005-0000-0000-0000B0320000}"/>
    <cellStyle name="Normal 19 14 6" xfId="12178" xr:uid="{00000000-0005-0000-0000-0000B1320000}"/>
    <cellStyle name="Normal 19 14 6 2" xfId="12179" xr:uid="{00000000-0005-0000-0000-0000B2320000}"/>
    <cellStyle name="Normal 19 14 6 3" xfId="12180" xr:uid="{00000000-0005-0000-0000-0000B3320000}"/>
    <cellStyle name="Normal 19 14 6 4" xfId="12181" xr:uid="{00000000-0005-0000-0000-0000B4320000}"/>
    <cellStyle name="Normal 19 14 6 5" xfId="12182" xr:uid="{00000000-0005-0000-0000-0000B5320000}"/>
    <cellStyle name="Normal 19 14 6 6" xfId="12183" xr:uid="{00000000-0005-0000-0000-0000B6320000}"/>
    <cellStyle name="Normal 19 14 7" xfId="12184" xr:uid="{00000000-0005-0000-0000-0000B7320000}"/>
    <cellStyle name="Normal 19 14 7 2" xfId="12185" xr:uid="{00000000-0005-0000-0000-0000B8320000}"/>
    <cellStyle name="Normal 19 14 7 3" xfId="12186" xr:uid="{00000000-0005-0000-0000-0000B9320000}"/>
    <cellStyle name="Normal 19 14 7 4" xfId="12187" xr:uid="{00000000-0005-0000-0000-0000BA320000}"/>
    <cellStyle name="Normal 19 14 7 5" xfId="12188" xr:uid="{00000000-0005-0000-0000-0000BB320000}"/>
    <cellStyle name="Normal 19 14 7 6" xfId="12189" xr:uid="{00000000-0005-0000-0000-0000BC320000}"/>
    <cellStyle name="Normal 19 14 8" xfId="12190" xr:uid="{00000000-0005-0000-0000-0000BD320000}"/>
    <cellStyle name="Normal 19 14 8 2" xfId="12191" xr:uid="{00000000-0005-0000-0000-0000BE320000}"/>
    <cellStyle name="Normal 19 14 8 3" xfId="12192" xr:uid="{00000000-0005-0000-0000-0000BF320000}"/>
    <cellStyle name="Normal 19 14 8 4" xfId="12193" xr:uid="{00000000-0005-0000-0000-0000C0320000}"/>
    <cellStyle name="Normal 19 14 8 5" xfId="12194" xr:uid="{00000000-0005-0000-0000-0000C1320000}"/>
    <cellStyle name="Normal 19 14 8 6" xfId="12195" xr:uid="{00000000-0005-0000-0000-0000C2320000}"/>
    <cellStyle name="Normal 19 14 9" xfId="12196" xr:uid="{00000000-0005-0000-0000-0000C3320000}"/>
    <cellStyle name="Normal 19 15" xfId="12197" xr:uid="{00000000-0005-0000-0000-0000C4320000}"/>
    <cellStyle name="Normal 19 15 10" xfId="12198" xr:uid="{00000000-0005-0000-0000-0000C5320000}"/>
    <cellStyle name="Normal 19 15 11" xfId="12199" xr:uid="{00000000-0005-0000-0000-0000C6320000}"/>
    <cellStyle name="Normal 19 15 12" xfId="12200" xr:uid="{00000000-0005-0000-0000-0000C7320000}"/>
    <cellStyle name="Normal 19 15 13" xfId="12201" xr:uid="{00000000-0005-0000-0000-0000C8320000}"/>
    <cellStyle name="Normal 19 15 2" xfId="12202" xr:uid="{00000000-0005-0000-0000-0000C9320000}"/>
    <cellStyle name="Normal 19 15 2 2" xfId="12203" xr:uid="{00000000-0005-0000-0000-0000CA320000}"/>
    <cellStyle name="Normal 19 15 2 3" xfId="12204" xr:uid="{00000000-0005-0000-0000-0000CB320000}"/>
    <cellStyle name="Normal 19 15 2 4" xfId="12205" xr:uid="{00000000-0005-0000-0000-0000CC320000}"/>
    <cellStyle name="Normal 19 15 2 5" xfId="12206" xr:uid="{00000000-0005-0000-0000-0000CD320000}"/>
    <cellStyle name="Normal 19 15 2 6" xfId="12207" xr:uid="{00000000-0005-0000-0000-0000CE320000}"/>
    <cellStyle name="Normal 19 15 3" xfId="12208" xr:uid="{00000000-0005-0000-0000-0000CF320000}"/>
    <cellStyle name="Normal 19 15 3 2" xfId="12209" xr:uid="{00000000-0005-0000-0000-0000D0320000}"/>
    <cellStyle name="Normal 19 15 3 3" xfId="12210" xr:uid="{00000000-0005-0000-0000-0000D1320000}"/>
    <cellStyle name="Normal 19 15 3 4" xfId="12211" xr:uid="{00000000-0005-0000-0000-0000D2320000}"/>
    <cellStyle name="Normal 19 15 3 5" xfId="12212" xr:uid="{00000000-0005-0000-0000-0000D3320000}"/>
    <cellStyle name="Normal 19 15 3 6" xfId="12213" xr:uid="{00000000-0005-0000-0000-0000D4320000}"/>
    <cellStyle name="Normal 19 15 4" xfId="12214" xr:uid="{00000000-0005-0000-0000-0000D5320000}"/>
    <cellStyle name="Normal 19 15 4 2" xfId="12215" xr:uid="{00000000-0005-0000-0000-0000D6320000}"/>
    <cellStyle name="Normal 19 15 4 3" xfId="12216" xr:uid="{00000000-0005-0000-0000-0000D7320000}"/>
    <cellStyle name="Normal 19 15 4 4" xfId="12217" xr:uid="{00000000-0005-0000-0000-0000D8320000}"/>
    <cellStyle name="Normal 19 15 4 5" xfId="12218" xr:uid="{00000000-0005-0000-0000-0000D9320000}"/>
    <cellStyle name="Normal 19 15 4 6" xfId="12219" xr:uid="{00000000-0005-0000-0000-0000DA320000}"/>
    <cellStyle name="Normal 19 15 5" xfId="12220" xr:uid="{00000000-0005-0000-0000-0000DB320000}"/>
    <cellStyle name="Normal 19 15 5 2" xfId="12221" xr:uid="{00000000-0005-0000-0000-0000DC320000}"/>
    <cellStyle name="Normal 19 15 5 3" xfId="12222" xr:uid="{00000000-0005-0000-0000-0000DD320000}"/>
    <cellStyle name="Normal 19 15 5 4" xfId="12223" xr:uid="{00000000-0005-0000-0000-0000DE320000}"/>
    <cellStyle name="Normal 19 15 5 5" xfId="12224" xr:uid="{00000000-0005-0000-0000-0000DF320000}"/>
    <cellStyle name="Normal 19 15 5 6" xfId="12225" xr:uid="{00000000-0005-0000-0000-0000E0320000}"/>
    <cellStyle name="Normal 19 15 6" xfId="12226" xr:uid="{00000000-0005-0000-0000-0000E1320000}"/>
    <cellStyle name="Normal 19 15 6 2" xfId="12227" xr:uid="{00000000-0005-0000-0000-0000E2320000}"/>
    <cellStyle name="Normal 19 15 6 3" xfId="12228" xr:uid="{00000000-0005-0000-0000-0000E3320000}"/>
    <cellStyle name="Normal 19 15 6 4" xfId="12229" xr:uid="{00000000-0005-0000-0000-0000E4320000}"/>
    <cellStyle name="Normal 19 15 6 5" xfId="12230" xr:uid="{00000000-0005-0000-0000-0000E5320000}"/>
    <cellStyle name="Normal 19 15 6 6" xfId="12231" xr:uid="{00000000-0005-0000-0000-0000E6320000}"/>
    <cellStyle name="Normal 19 15 7" xfId="12232" xr:uid="{00000000-0005-0000-0000-0000E7320000}"/>
    <cellStyle name="Normal 19 15 7 2" xfId="12233" xr:uid="{00000000-0005-0000-0000-0000E8320000}"/>
    <cellStyle name="Normal 19 15 7 3" xfId="12234" xr:uid="{00000000-0005-0000-0000-0000E9320000}"/>
    <cellStyle name="Normal 19 15 7 4" xfId="12235" xr:uid="{00000000-0005-0000-0000-0000EA320000}"/>
    <cellStyle name="Normal 19 15 7 5" xfId="12236" xr:uid="{00000000-0005-0000-0000-0000EB320000}"/>
    <cellStyle name="Normal 19 15 7 6" xfId="12237" xr:uid="{00000000-0005-0000-0000-0000EC320000}"/>
    <cellStyle name="Normal 19 15 8" xfId="12238" xr:uid="{00000000-0005-0000-0000-0000ED320000}"/>
    <cellStyle name="Normal 19 15 8 2" xfId="12239" xr:uid="{00000000-0005-0000-0000-0000EE320000}"/>
    <cellStyle name="Normal 19 15 8 3" xfId="12240" xr:uid="{00000000-0005-0000-0000-0000EF320000}"/>
    <cellStyle name="Normal 19 15 8 4" xfId="12241" xr:uid="{00000000-0005-0000-0000-0000F0320000}"/>
    <cellStyle name="Normal 19 15 8 5" xfId="12242" xr:uid="{00000000-0005-0000-0000-0000F1320000}"/>
    <cellStyle name="Normal 19 15 8 6" xfId="12243" xr:uid="{00000000-0005-0000-0000-0000F2320000}"/>
    <cellStyle name="Normal 19 15 9" xfId="12244" xr:uid="{00000000-0005-0000-0000-0000F3320000}"/>
    <cellStyle name="Normal 19 16" xfId="12245" xr:uid="{00000000-0005-0000-0000-0000F4320000}"/>
    <cellStyle name="Normal 19 16 10" xfId="12246" xr:uid="{00000000-0005-0000-0000-0000F5320000}"/>
    <cellStyle name="Normal 19 16 11" xfId="12247" xr:uid="{00000000-0005-0000-0000-0000F6320000}"/>
    <cellStyle name="Normal 19 16 12" xfId="12248" xr:uid="{00000000-0005-0000-0000-0000F7320000}"/>
    <cellStyle name="Normal 19 16 13" xfId="12249" xr:uid="{00000000-0005-0000-0000-0000F8320000}"/>
    <cellStyle name="Normal 19 16 2" xfId="12250" xr:uid="{00000000-0005-0000-0000-0000F9320000}"/>
    <cellStyle name="Normal 19 16 2 2" xfId="12251" xr:uid="{00000000-0005-0000-0000-0000FA320000}"/>
    <cellStyle name="Normal 19 16 2 3" xfId="12252" xr:uid="{00000000-0005-0000-0000-0000FB320000}"/>
    <cellStyle name="Normal 19 16 2 4" xfId="12253" xr:uid="{00000000-0005-0000-0000-0000FC320000}"/>
    <cellStyle name="Normal 19 16 2 5" xfId="12254" xr:uid="{00000000-0005-0000-0000-0000FD320000}"/>
    <cellStyle name="Normal 19 16 2 6" xfId="12255" xr:uid="{00000000-0005-0000-0000-0000FE320000}"/>
    <cellStyle name="Normal 19 16 3" xfId="12256" xr:uid="{00000000-0005-0000-0000-0000FF320000}"/>
    <cellStyle name="Normal 19 16 3 2" xfId="12257" xr:uid="{00000000-0005-0000-0000-000000330000}"/>
    <cellStyle name="Normal 19 16 3 3" xfId="12258" xr:uid="{00000000-0005-0000-0000-000001330000}"/>
    <cellStyle name="Normal 19 16 3 4" xfId="12259" xr:uid="{00000000-0005-0000-0000-000002330000}"/>
    <cellStyle name="Normal 19 16 3 5" xfId="12260" xr:uid="{00000000-0005-0000-0000-000003330000}"/>
    <cellStyle name="Normal 19 16 3 6" xfId="12261" xr:uid="{00000000-0005-0000-0000-000004330000}"/>
    <cellStyle name="Normal 19 16 4" xfId="12262" xr:uid="{00000000-0005-0000-0000-000005330000}"/>
    <cellStyle name="Normal 19 16 4 2" xfId="12263" xr:uid="{00000000-0005-0000-0000-000006330000}"/>
    <cellStyle name="Normal 19 16 4 3" xfId="12264" xr:uid="{00000000-0005-0000-0000-000007330000}"/>
    <cellStyle name="Normal 19 16 4 4" xfId="12265" xr:uid="{00000000-0005-0000-0000-000008330000}"/>
    <cellStyle name="Normal 19 16 4 5" xfId="12266" xr:uid="{00000000-0005-0000-0000-000009330000}"/>
    <cellStyle name="Normal 19 16 4 6" xfId="12267" xr:uid="{00000000-0005-0000-0000-00000A330000}"/>
    <cellStyle name="Normal 19 16 5" xfId="12268" xr:uid="{00000000-0005-0000-0000-00000B330000}"/>
    <cellStyle name="Normal 19 16 5 2" xfId="12269" xr:uid="{00000000-0005-0000-0000-00000C330000}"/>
    <cellStyle name="Normal 19 16 5 3" xfId="12270" xr:uid="{00000000-0005-0000-0000-00000D330000}"/>
    <cellStyle name="Normal 19 16 5 4" xfId="12271" xr:uid="{00000000-0005-0000-0000-00000E330000}"/>
    <cellStyle name="Normal 19 16 5 5" xfId="12272" xr:uid="{00000000-0005-0000-0000-00000F330000}"/>
    <cellStyle name="Normal 19 16 5 6" xfId="12273" xr:uid="{00000000-0005-0000-0000-000010330000}"/>
    <cellStyle name="Normal 19 16 6" xfId="12274" xr:uid="{00000000-0005-0000-0000-000011330000}"/>
    <cellStyle name="Normal 19 16 6 2" xfId="12275" xr:uid="{00000000-0005-0000-0000-000012330000}"/>
    <cellStyle name="Normal 19 16 6 3" xfId="12276" xr:uid="{00000000-0005-0000-0000-000013330000}"/>
    <cellStyle name="Normal 19 16 6 4" xfId="12277" xr:uid="{00000000-0005-0000-0000-000014330000}"/>
    <cellStyle name="Normal 19 16 6 5" xfId="12278" xr:uid="{00000000-0005-0000-0000-000015330000}"/>
    <cellStyle name="Normal 19 16 6 6" xfId="12279" xr:uid="{00000000-0005-0000-0000-000016330000}"/>
    <cellStyle name="Normal 19 16 7" xfId="12280" xr:uid="{00000000-0005-0000-0000-000017330000}"/>
    <cellStyle name="Normal 19 16 7 2" xfId="12281" xr:uid="{00000000-0005-0000-0000-000018330000}"/>
    <cellStyle name="Normal 19 16 7 3" xfId="12282" xr:uid="{00000000-0005-0000-0000-000019330000}"/>
    <cellStyle name="Normal 19 16 7 4" xfId="12283" xr:uid="{00000000-0005-0000-0000-00001A330000}"/>
    <cellStyle name="Normal 19 16 7 5" xfId="12284" xr:uid="{00000000-0005-0000-0000-00001B330000}"/>
    <cellStyle name="Normal 19 16 7 6" xfId="12285" xr:uid="{00000000-0005-0000-0000-00001C330000}"/>
    <cellStyle name="Normal 19 16 8" xfId="12286" xr:uid="{00000000-0005-0000-0000-00001D330000}"/>
    <cellStyle name="Normal 19 16 8 2" xfId="12287" xr:uid="{00000000-0005-0000-0000-00001E330000}"/>
    <cellStyle name="Normal 19 16 8 3" xfId="12288" xr:uid="{00000000-0005-0000-0000-00001F330000}"/>
    <cellStyle name="Normal 19 16 8 4" xfId="12289" xr:uid="{00000000-0005-0000-0000-000020330000}"/>
    <cellStyle name="Normal 19 16 8 5" xfId="12290" xr:uid="{00000000-0005-0000-0000-000021330000}"/>
    <cellStyle name="Normal 19 16 8 6" xfId="12291" xr:uid="{00000000-0005-0000-0000-000022330000}"/>
    <cellStyle name="Normal 19 16 9" xfId="12292" xr:uid="{00000000-0005-0000-0000-000023330000}"/>
    <cellStyle name="Normal 19 17" xfId="12293" xr:uid="{00000000-0005-0000-0000-000024330000}"/>
    <cellStyle name="Normal 19 17 10" xfId="12294" xr:uid="{00000000-0005-0000-0000-000025330000}"/>
    <cellStyle name="Normal 19 17 11" xfId="12295" xr:uid="{00000000-0005-0000-0000-000026330000}"/>
    <cellStyle name="Normal 19 17 12" xfId="12296" xr:uid="{00000000-0005-0000-0000-000027330000}"/>
    <cellStyle name="Normal 19 17 13" xfId="12297" xr:uid="{00000000-0005-0000-0000-000028330000}"/>
    <cellStyle name="Normal 19 17 2" xfId="12298" xr:uid="{00000000-0005-0000-0000-000029330000}"/>
    <cellStyle name="Normal 19 17 2 2" xfId="12299" xr:uid="{00000000-0005-0000-0000-00002A330000}"/>
    <cellStyle name="Normal 19 17 2 3" xfId="12300" xr:uid="{00000000-0005-0000-0000-00002B330000}"/>
    <cellStyle name="Normal 19 17 2 4" xfId="12301" xr:uid="{00000000-0005-0000-0000-00002C330000}"/>
    <cellStyle name="Normal 19 17 2 5" xfId="12302" xr:uid="{00000000-0005-0000-0000-00002D330000}"/>
    <cellStyle name="Normal 19 17 2 6" xfId="12303" xr:uid="{00000000-0005-0000-0000-00002E330000}"/>
    <cellStyle name="Normal 19 17 3" xfId="12304" xr:uid="{00000000-0005-0000-0000-00002F330000}"/>
    <cellStyle name="Normal 19 17 3 2" xfId="12305" xr:uid="{00000000-0005-0000-0000-000030330000}"/>
    <cellStyle name="Normal 19 17 3 3" xfId="12306" xr:uid="{00000000-0005-0000-0000-000031330000}"/>
    <cellStyle name="Normal 19 17 3 4" xfId="12307" xr:uid="{00000000-0005-0000-0000-000032330000}"/>
    <cellStyle name="Normal 19 17 3 5" xfId="12308" xr:uid="{00000000-0005-0000-0000-000033330000}"/>
    <cellStyle name="Normal 19 17 3 6" xfId="12309" xr:uid="{00000000-0005-0000-0000-000034330000}"/>
    <cellStyle name="Normal 19 17 4" xfId="12310" xr:uid="{00000000-0005-0000-0000-000035330000}"/>
    <cellStyle name="Normal 19 17 4 2" xfId="12311" xr:uid="{00000000-0005-0000-0000-000036330000}"/>
    <cellStyle name="Normal 19 17 4 3" xfId="12312" xr:uid="{00000000-0005-0000-0000-000037330000}"/>
    <cellStyle name="Normal 19 17 4 4" xfId="12313" xr:uid="{00000000-0005-0000-0000-000038330000}"/>
    <cellStyle name="Normal 19 17 4 5" xfId="12314" xr:uid="{00000000-0005-0000-0000-000039330000}"/>
    <cellStyle name="Normal 19 17 4 6" xfId="12315" xr:uid="{00000000-0005-0000-0000-00003A330000}"/>
    <cellStyle name="Normal 19 17 5" xfId="12316" xr:uid="{00000000-0005-0000-0000-00003B330000}"/>
    <cellStyle name="Normal 19 17 5 2" xfId="12317" xr:uid="{00000000-0005-0000-0000-00003C330000}"/>
    <cellStyle name="Normal 19 17 5 3" xfId="12318" xr:uid="{00000000-0005-0000-0000-00003D330000}"/>
    <cellStyle name="Normal 19 17 5 4" xfId="12319" xr:uid="{00000000-0005-0000-0000-00003E330000}"/>
    <cellStyle name="Normal 19 17 5 5" xfId="12320" xr:uid="{00000000-0005-0000-0000-00003F330000}"/>
    <cellStyle name="Normal 19 17 5 6" xfId="12321" xr:uid="{00000000-0005-0000-0000-000040330000}"/>
    <cellStyle name="Normal 19 17 6" xfId="12322" xr:uid="{00000000-0005-0000-0000-000041330000}"/>
    <cellStyle name="Normal 19 17 6 2" xfId="12323" xr:uid="{00000000-0005-0000-0000-000042330000}"/>
    <cellStyle name="Normal 19 17 6 3" xfId="12324" xr:uid="{00000000-0005-0000-0000-000043330000}"/>
    <cellStyle name="Normal 19 17 6 4" xfId="12325" xr:uid="{00000000-0005-0000-0000-000044330000}"/>
    <cellStyle name="Normal 19 17 6 5" xfId="12326" xr:uid="{00000000-0005-0000-0000-000045330000}"/>
    <cellStyle name="Normal 19 17 6 6" xfId="12327" xr:uid="{00000000-0005-0000-0000-000046330000}"/>
    <cellStyle name="Normal 19 17 7" xfId="12328" xr:uid="{00000000-0005-0000-0000-000047330000}"/>
    <cellStyle name="Normal 19 17 7 2" xfId="12329" xr:uid="{00000000-0005-0000-0000-000048330000}"/>
    <cellStyle name="Normal 19 17 7 3" xfId="12330" xr:uid="{00000000-0005-0000-0000-000049330000}"/>
    <cellStyle name="Normal 19 17 7 4" xfId="12331" xr:uid="{00000000-0005-0000-0000-00004A330000}"/>
    <cellStyle name="Normal 19 17 7 5" xfId="12332" xr:uid="{00000000-0005-0000-0000-00004B330000}"/>
    <cellStyle name="Normal 19 17 7 6" xfId="12333" xr:uid="{00000000-0005-0000-0000-00004C330000}"/>
    <cellStyle name="Normal 19 17 8" xfId="12334" xr:uid="{00000000-0005-0000-0000-00004D330000}"/>
    <cellStyle name="Normal 19 17 8 2" xfId="12335" xr:uid="{00000000-0005-0000-0000-00004E330000}"/>
    <cellStyle name="Normal 19 17 8 3" xfId="12336" xr:uid="{00000000-0005-0000-0000-00004F330000}"/>
    <cellStyle name="Normal 19 17 8 4" xfId="12337" xr:uid="{00000000-0005-0000-0000-000050330000}"/>
    <cellStyle name="Normal 19 17 8 5" xfId="12338" xr:uid="{00000000-0005-0000-0000-000051330000}"/>
    <cellStyle name="Normal 19 17 8 6" xfId="12339" xr:uid="{00000000-0005-0000-0000-000052330000}"/>
    <cellStyle name="Normal 19 17 9" xfId="12340" xr:uid="{00000000-0005-0000-0000-000053330000}"/>
    <cellStyle name="Normal 19 18" xfId="12341" xr:uid="{00000000-0005-0000-0000-000054330000}"/>
    <cellStyle name="Normal 19 18 10" xfId="12342" xr:uid="{00000000-0005-0000-0000-000055330000}"/>
    <cellStyle name="Normal 19 18 11" xfId="12343" xr:uid="{00000000-0005-0000-0000-000056330000}"/>
    <cellStyle name="Normal 19 18 12" xfId="12344" xr:uid="{00000000-0005-0000-0000-000057330000}"/>
    <cellStyle name="Normal 19 18 13" xfId="12345" xr:uid="{00000000-0005-0000-0000-000058330000}"/>
    <cellStyle name="Normal 19 18 2" xfId="12346" xr:uid="{00000000-0005-0000-0000-000059330000}"/>
    <cellStyle name="Normal 19 18 2 2" xfId="12347" xr:uid="{00000000-0005-0000-0000-00005A330000}"/>
    <cellStyle name="Normal 19 18 2 3" xfId="12348" xr:uid="{00000000-0005-0000-0000-00005B330000}"/>
    <cellStyle name="Normal 19 18 2 4" xfId="12349" xr:uid="{00000000-0005-0000-0000-00005C330000}"/>
    <cellStyle name="Normal 19 18 2 5" xfId="12350" xr:uid="{00000000-0005-0000-0000-00005D330000}"/>
    <cellStyle name="Normal 19 18 2 6" xfId="12351" xr:uid="{00000000-0005-0000-0000-00005E330000}"/>
    <cellStyle name="Normal 19 18 3" xfId="12352" xr:uid="{00000000-0005-0000-0000-00005F330000}"/>
    <cellStyle name="Normal 19 18 3 2" xfId="12353" xr:uid="{00000000-0005-0000-0000-000060330000}"/>
    <cellStyle name="Normal 19 18 3 3" xfId="12354" xr:uid="{00000000-0005-0000-0000-000061330000}"/>
    <cellStyle name="Normal 19 18 3 4" xfId="12355" xr:uid="{00000000-0005-0000-0000-000062330000}"/>
    <cellStyle name="Normal 19 18 3 5" xfId="12356" xr:uid="{00000000-0005-0000-0000-000063330000}"/>
    <cellStyle name="Normal 19 18 3 6" xfId="12357" xr:uid="{00000000-0005-0000-0000-000064330000}"/>
    <cellStyle name="Normal 19 18 4" xfId="12358" xr:uid="{00000000-0005-0000-0000-000065330000}"/>
    <cellStyle name="Normal 19 18 4 2" xfId="12359" xr:uid="{00000000-0005-0000-0000-000066330000}"/>
    <cellStyle name="Normal 19 18 4 3" xfId="12360" xr:uid="{00000000-0005-0000-0000-000067330000}"/>
    <cellStyle name="Normal 19 18 4 4" xfId="12361" xr:uid="{00000000-0005-0000-0000-000068330000}"/>
    <cellStyle name="Normal 19 18 4 5" xfId="12362" xr:uid="{00000000-0005-0000-0000-000069330000}"/>
    <cellStyle name="Normal 19 18 4 6" xfId="12363" xr:uid="{00000000-0005-0000-0000-00006A330000}"/>
    <cellStyle name="Normal 19 18 5" xfId="12364" xr:uid="{00000000-0005-0000-0000-00006B330000}"/>
    <cellStyle name="Normal 19 18 5 2" xfId="12365" xr:uid="{00000000-0005-0000-0000-00006C330000}"/>
    <cellStyle name="Normal 19 18 5 3" xfId="12366" xr:uid="{00000000-0005-0000-0000-00006D330000}"/>
    <cellStyle name="Normal 19 18 5 4" xfId="12367" xr:uid="{00000000-0005-0000-0000-00006E330000}"/>
    <cellStyle name="Normal 19 18 5 5" xfId="12368" xr:uid="{00000000-0005-0000-0000-00006F330000}"/>
    <cellStyle name="Normal 19 18 5 6" xfId="12369" xr:uid="{00000000-0005-0000-0000-000070330000}"/>
    <cellStyle name="Normal 19 18 6" xfId="12370" xr:uid="{00000000-0005-0000-0000-000071330000}"/>
    <cellStyle name="Normal 19 18 6 2" xfId="12371" xr:uid="{00000000-0005-0000-0000-000072330000}"/>
    <cellStyle name="Normal 19 18 6 3" xfId="12372" xr:uid="{00000000-0005-0000-0000-000073330000}"/>
    <cellStyle name="Normal 19 18 6 4" xfId="12373" xr:uid="{00000000-0005-0000-0000-000074330000}"/>
    <cellStyle name="Normal 19 18 6 5" xfId="12374" xr:uid="{00000000-0005-0000-0000-000075330000}"/>
    <cellStyle name="Normal 19 18 6 6" xfId="12375" xr:uid="{00000000-0005-0000-0000-000076330000}"/>
    <cellStyle name="Normal 19 18 7" xfId="12376" xr:uid="{00000000-0005-0000-0000-000077330000}"/>
    <cellStyle name="Normal 19 18 7 2" xfId="12377" xr:uid="{00000000-0005-0000-0000-000078330000}"/>
    <cellStyle name="Normal 19 18 7 3" xfId="12378" xr:uid="{00000000-0005-0000-0000-000079330000}"/>
    <cellStyle name="Normal 19 18 7 4" xfId="12379" xr:uid="{00000000-0005-0000-0000-00007A330000}"/>
    <cellStyle name="Normal 19 18 7 5" xfId="12380" xr:uid="{00000000-0005-0000-0000-00007B330000}"/>
    <cellStyle name="Normal 19 18 7 6" xfId="12381" xr:uid="{00000000-0005-0000-0000-00007C330000}"/>
    <cellStyle name="Normal 19 18 8" xfId="12382" xr:uid="{00000000-0005-0000-0000-00007D330000}"/>
    <cellStyle name="Normal 19 18 8 2" xfId="12383" xr:uid="{00000000-0005-0000-0000-00007E330000}"/>
    <cellStyle name="Normal 19 18 8 3" xfId="12384" xr:uid="{00000000-0005-0000-0000-00007F330000}"/>
    <cellStyle name="Normal 19 18 8 4" xfId="12385" xr:uid="{00000000-0005-0000-0000-000080330000}"/>
    <cellStyle name="Normal 19 18 8 5" xfId="12386" xr:uid="{00000000-0005-0000-0000-000081330000}"/>
    <cellStyle name="Normal 19 18 8 6" xfId="12387" xr:uid="{00000000-0005-0000-0000-000082330000}"/>
    <cellStyle name="Normal 19 18 9" xfId="12388" xr:uid="{00000000-0005-0000-0000-000083330000}"/>
    <cellStyle name="Normal 19 19" xfId="12389" xr:uid="{00000000-0005-0000-0000-000084330000}"/>
    <cellStyle name="Normal 19 19 10" xfId="12390" xr:uid="{00000000-0005-0000-0000-000085330000}"/>
    <cellStyle name="Normal 19 19 11" xfId="12391" xr:uid="{00000000-0005-0000-0000-000086330000}"/>
    <cellStyle name="Normal 19 19 12" xfId="12392" xr:uid="{00000000-0005-0000-0000-000087330000}"/>
    <cellStyle name="Normal 19 19 13" xfId="12393" xr:uid="{00000000-0005-0000-0000-000088330000}"/>
    <cellStyle name="Normal 19 19 2" xfId="12394" xr:uid="{00000000-0005-0000-0000-000089330000}"/>
    <cellStyle name="Normal 19 19 2 2" xfId="12395" xr:uid="{00000000-0005-0000-0000-00008A330000}"/>
    <cellStyle name="Normal 19 19 2 3" xfId="12396" xr:uid="{00000000-0005-0000-0000-00008B330000}"/>
    <cellStyle name="Normal 19 19 2 4" xfId="12397" xr:uid="{00000000-0005-0000-0000-00008C330000}"/>
    <cellStyle name="Normal 19 19 2 5" xfId="12398" xr:uid="{00000000-0005-0000-0000-00008D330000}"/>
    <cellStyle name="Normal 19 19 2 6" xfId="12399" xr:uid="{00000000-0005-0000-0000-00008E330000}"/>
    <cellStyle name="Normal 19 19 3" xfId="12400" xr:uid="{00000000-0005-0000-0000-00008F330000}"/>
    <cellStyle name="Normal 19 19 3 2" xfId="12401" xr:uid="{00000000-0005-0000-0000-000090330000}"/>
    <cellStyle name="Normal 19 19 3 3" xfId="12402" xr:uid="{00000000-0005-0000-0000-000091330000}"/>
    <cellStyle name="Normal 19 19 3 4" xfId="12403" xr:uid="{00000000-0005-0000-0000-000092330000}"/>
    <cellStyle name="Normal 19 19 3 5" xfId="12404" xr:uid="{00000000-0005-0000-0000-000093330000}"/>
    <cellStyle name="Normal 19 19 3 6" xfId="12405" xr:uid="{00000000-0005-0000-0000-000094330000}"/>
    <cellStyle name="Normal 19 19 4" xfId="12406" xr:uid="{00000000-0005-0000-0000-000095330000}"/>
    <cellStyle name="Normal 19 19 4 2" xfId="12407" xr:uid="{00000000-0005-0000-0000-000096330000}"/>
    <cellStyle name="Normal 19 19 4 3" xfId="12408" xr:uid="{00000000-0005-0000-0000-000097330000}"/>
    <cellStyle name="Normal 19 19 4 4" xfId="12409" xr:uid="{00000000-0005-0000-0000-000098330000}"/>
    <cellStyle name="Normal 19 19 4 5" xfId="12410" xr:uid="{00000000-0005-0000-0000-000099330000}"/>
    <cellStyle name="Normal 19 19 4 6" xfId="12411" xr:uid="{00000000-0005-0000-0000-00009A330000}"/>
    <cellStyle name="Normal 19 19 5" xfId="12412" xr:uid="{00000000-0005-0000-0000-00009B330000}"/>
    <cellStyle name="Normal 19 19 5 2" xfId="12413" xr:uid="{00000000-0005-0000-0000-00009C330000}"/>
    <cellStyle name="Normal 19 19 5 3" xfId="12414" xr:uid="{00000000-0005-0000-0000-00009D330000}"/>
    <cellStyle name="Normal 19 19 5 4" xfId="12415" xr:uid="{00000000-0005-0000-0000-00009E330000}"/>
    <cellStyle name="Normal 19 19 5 5" xfId="12416" xr:uid="{00000000-0005-0000-0000-00009F330000}"/>
    <cellStyle name="Normal 19 19 5 6" xfId="12417" xr:uid="{00000000-0005-0000-0000-0000A0330000}"/>
    <cellStyle name="Normal 19 19 6" xfId="12418" xr:uid="{00000000-0005-0000-0000-0000A1330000}"/>
    <cellStyle name="Normal 19 19 6 2" xfId="12419" xr:uid="{00000000-0005-0000-0000-0000A2330000}"/>
    <cellStyle name="Normal 19 19 6 3" xfId="12420" xr:uid="{00000000-0005-0000-0000-0000A3330000}"/>
    <cellStyle name="Normal 19 19 6 4" xfId="12421" xr:uid="{00000000-0005-0000-0000-0000A4330000}"/>
    <cellStyle name="Normal 19 19 6 5" xfId="12422" xr:uid="{00000000-0005-0000-0000-0000A5330000}"/>
    <cellStyle name="Normal 19 19 6 6" xfId="12423" xr:uid="{00000000-0005-0000-0000-0000A6330000}"/>
    <cellStyle name="Normal 19 19 7" xfId="12424" xr:uid="{00000000-0005-0000-0000-0000A7330000}"/>
    <cellStyle name="Normal 19 19 7 2" xfId="12425" xr:uid="{00000000-0005-0000-0000-0000A8330000}"/>
    <cellStyle name="Normal 19 19 7 3" xfId="12426" xr:uid="{00000000-0005-0000-0000-0000A9330000}"/>
    <cellStyle name="Normal 19 19 7 4" xfId="12427" xr:uid="{00000000-0005-0000-0000-0000AA330000}"/>
    <cellStyle name="Normal 19 19 7 5" xfId="12428" xr:uid="{00000000-0005-0000-0000-0000AB330000}"/>
    <cellStyle name="Normal 19 19 7 6" xfId="12429" xr:uid="{00000000-0005-0000-0000-0000AC330000}"/>
    <cellStyle name="Normal 19 19 8" xfId="12430" xr:uid="{00000000-0005-0000-0000-0000AD330000}"/>
    <cellStyle name="Normal 19 19 8 2" xfId="12431" xr:uid="{00000000-0005-0000-0000-0000AE330000}"/>
    <cellStyle name="Normal 19 19 8 3" xfId="12432" xr:uid="{00000000-0005-0000-0000-0000AF330000}"/>
    <cellStyle name="Normal 19 19 8 4" xfId="12433" xr:uid="{00000000-0005-0000-0000-0000B0330000}"/>
    <cellStyle name="Normal 19 19 8 5" xfId="12434" xr:uid="{00000000-0005-0000-0000-0000B1330000}"/>
    <cellStyle name="Normal 19 19 8 6" xfId="12435" xr:uid="{00000000-0005-0000-0000-0000B2330000}"/>
    <cellStyle name="Normal 19 19 9" xfId="12436" xr:uid="{00000000-0005-0000-0000-0000B3330000}"/>
    <cellStyle name="Normal 19 2" xfId="12437" xr:uid="{00000000-0005-0000-0000-0000B4330000}"/>
    <cellStyle name="Normal 19 2 10" xfId="12438" xr:uid="{00000000-0005-0000-0000-0000B5330000}"/>
    <cellStyle name="Normal 19 2 11" xfId="12439" xr:uid="{00000000-0005-0000-0000-0000B6330000}"/>
    <cellStyle name="Normal 19 2 12" xfId="12440" xr:uid="{00000000-0005-0000-0000-0000B7330000}"/>
    <cellStyle name="Normal 19 2 13" xfId="12441" xr:uid="{00000000-0005-0000-0000-0000B8330000}"/>
    <cellStyle name="Normal 19 2 14" xfId="42558" xr:uid="{00000000-0005-0000-0000-0000B9330000}"/>
    <cellStyle name="Normal 19 2 14 2" xfId="43574" xr:uid="{00000000-0005-0000-0000-0000BA330000}"/>
    <cellStyle name="Normal 19 2 2" xfId="12442" xr:uid="{00000000-0005-0000-0000-0000BB330000}"/>
    <cellStyle name="Normal 19 2 2 2" xfId="12443" xr:uid="{00000000-0005-0000-0000-0000BC330000}"/>
    <cellStyle name="Normal 19 2 2 3" xfId="12444" xr:uid="{00000000-0005-0000-0000-0000BD330000}"/>
    <cellStyle name="Normal 19 2 2 4" xfId="12445" xr:uid="{00000000-0005-0000-0000-0000BE330000}"/>
    <cellStyle name="Normal 19 2 2 5" xfId="12446" xr:uid="{00000000-0005-0000-0000-0000BF330000}"/>
    <cellStyle name="Normal 19 2 2 6" xfId="12447" xr:uid="{00000000-0005-0000-0000-0000C0330000}"/>
    <cellStyle name="Normal 19 2 3" xfId="12448" xr:uid="{00000000-0005-0000-0000-0000C1330000}"/>
    <cellStyle name="Normal 19 2 3 2" xfId="12449" xr:uid="{00000000-0005-0000-0000-0000C2330000}"/>
    <cellStyle name="Normal 19 2 3 3" xfId="12450" xr:uid="{00000000-0005-0000-0000-0000C3330000}"/>
    <cellStyle name="Normal 19 2 3 4" xfId="12451" xr:uid="{00000000-0005-0000-0000-0000C4330000}"/>
    <cellStyle name="Normal 19 2 3 5" xfId="12452" xr:uid="{00000000-0005-0000-0000-0000C5330000}"/>
    <cellStyle name="Normal 19 2 3 6" xfId="12453" xr:uid="{00000000-0005-0000-0000-0000C6330000}"/>
    <cellStyle name="Normal 19 2 4" xfId="12454" xr:uid="{00000000-0005-0000-0000-0000C7330000}"/>
    <cellStyle name="Normal 19 2 4 2" xfId="12455" xr:uid="{00000000-0005-0000-0000-0000C8330000}"/>
    <cellStyle name="Normal 19 2 4 3" xfId="12456" xr:uid="{00000000-0005-0000-0000-0000C9330000}"/>
    <cellStyle name="Normal 19 2 4 4" xfId="12457" xr:uid="{00000000-0005-0000-0000-0000CA330000}"/>
    <cellStyle name="Normal 19 2 4 5" xfId="12458" xr:uid="{00000000-0005-0000-0000-0000CB330000}"/>
    <cellStyle name="Normal 19 2 4 6" xfId="12459" xr:uid="{00000000-0005-0000-0000-0000CC330000}"/>
    <cellStyle name="Normal 19 2 5" xfId="12460" xr:uid="{00000000-0005-0000-0000-0000CD330000}"/>
    <cellStyle name="Normal 19 2 5 2" xfId="12461" xr:uid="{00000000-0005-0000-0000-0000CE330000}"/>
    <cellStyle name="Normal 19 2 5 3" xfId="12462" xr:uid="{00000000-0005-0000-0000-0000CF330000}"/>
    <cellStyle name="Normal 19 2 5 4" xfId="12463" xr:uid="{00000000-0005-0000-0000-0000D0330000}"/>
    <cellStyle name="Normal 19 2 5 5" xfId="12464" xr:uid="{00000000-0005-0000-0000-0000D1330000}"/>
    <cellStyle name="Normal 19 2 5 6" xfId="12465" xr:uid="{00000000-0005-0000-0000-0000D2330000}"/>
    <cellStyle name="Normal 19 2 6" xfId="12466" xr:uid="{00000000-0005-0000-0000-0000D3330000}"/>
    <cellStyle name="Normal 19 2 6 2" xfId="12467" xr:uid="{00000000-0005-0000-0000-0000D4330000}"/>
    <cellStyle name="Normal 19 2 6 3" xfId="12468" xr:uid="{00000000-0005-0000-0000-0000D5330000}"/>
    <cellStyle name="Normal 19 2 6 4" xfId="12469" xr:uid="{00000000-0005-0000-0000-0000D6330000}"/>
    <cellStyle name="Normal 19 2 6 5" xfId="12470" xr:uid="{00000000-0005-0000-0000-0000D7330000}"/>
    <cellStyle name="Normal 19 2 6 6" xfId="12471" xr:uid="{00000000-0005-0000-0000-0000D8330000}"/>
    <cellStyle name="Normal 19 2 7" xfId="12472" xr:uid="{00000000-0005-0000-0000-0000D9330000}"/>
    <cellStyle name="Normal 19 2 7 2" xfId="12473" xr:uid="{00000000-0005-0000-0000-0000DA330000}"/>
    <cellStyle name="Normal 19 2 7 3" xfId="12474" xr:uid="{00000000-0005-0000-0000-0000DB330000}"/>
    <cellStyle name="Normal 19 2 7 4" xfId="12475" xr:uid="{00000000-0005-0000-0000-0000DC330000}"/>
    <cellStyle name="Normal 19 2 7 5" xfId="12476" xr:uid="{00000000-0005-0000-0000-0000DD330000}"/>
    <cellStyle name="Normal 19 2 7 6" xfId="12477" xr:uid="{00000000-0005-0000-0000-0000DE330000}"/>
    <cellStyle name="Normal 19 2 8" xfId="12478" xr:uid="{00000000-0005-0000-0000-0000DF330000}"/>
    <cellStyle name="Normal 19 2 8 2" xfId="12479" xr:uid="{00000000-0005-0000-0000-0000E0330000}"/>
    <cellStyle name="Normal 19 2 8 3" xfId="12480" xr:uid="{00000000-0005-0000-0000-0000E1330000}"/>
    <cellStyle name="Normal 19 2 8 4" xfId="12481" xr:uid="{00000000-0005-0000-0000-0000E2330000}"/>
    <cellStyle name="Normal 19 2 8 5" xfId="12482" xr:uid="{00000000-0005-0000-0000-0000E3330000}"/>
    <cellStyle name="Normal 19 2 8 6" xfId="12483" xr:uid="{00000000-0005-0000-0000-0000E4330000}"/>
    <cellStyle name="Normal 19 2 9" xfId="12484" xr:uid="{00000000-0005-0000-0000-0000E5330000}"/>
    <cellStyle name="Normal 19 20" xfId="12485" xr:uid="{00000000-0005-0000-0000-0000E6330000}"/>
    <cellStyle name="Normal 19 20 10" xfId="12486" xr:uid="{00000000-0005-0000-0000-0000E7330000}"/>
    <cellStyle name="Normal 19 20 11" xfId="12487" xr:uid="{00000000-0005-0000-0000-0000E8330000}"/>
    <cellStyle name="Normal 19 20 12" xfId="12488" xr:uid="{00000000-0005-0000-0000-0000E9330000}"/>
    <cellStyle name="Normal 19 20 13" xfId="12489" xr:uid="{00000000-0005-0000-0000-0000EA330000}"/>
    <cellStyle name="Normal 19 20 2" xfId="12490" xr:uid="{00000000-0005-0000-0000-0000EB330000}"/>
    <cellStyle name="Normal 19 20 2 2" xfId="12491" xr:uid="{00000000-0005-0000-0000-0000EC330000}"/>
    <cellStyle name="Normal 19 20 2 3" xfId="12492" xr:uid="{00000000-0005-0000-0000-0000ED330000}"/>
    <cellStyle name="Normal 19 20 2 4" xfId="12493" xr:uid="{00000000-0005-0000-0000-0000EE330000}"/>
    <cellStyle name="Normal 19 20 2 5" xfId="12494" xr:uid="{00000000-0005-0000-0000-0000EF330000}"/>
    <cellStyle name="Normal 19 20 2 6" xfId="12495" xr:uid="{00000000-0005-0000-0000-0000F0330000}"/>
    <cellStyle name="Normal 19 20 3" xfId="12496" xr:uid="{00000000-0005-0000-0000-0000F1330000}"/>
    <cellStyle name="Normal 19 20 3 2" xfId="12497" xr:uid="{00000000-0005-0000-0000-0000F2330000}"/>
    <cellStyle name="Normal 19 20 3 3" xfId="12498" xr:uid="{00000000-0005-0000-0000-0000F3330000}"/>
    <cellStyle name="Normal 19 20 3 4" xfId="12499" xr:uid="{00000000-0005-0000-0000-0000F4330000}"/>
    <cellStyle name="Normal 19 20 3 5" xfId="12500" xr:uid="{00000000-0005-0000-0000-0000F5330000}"/>
    <cellStyle name="Normal 19 20 3 6" xfId="12501" xr:uid="{00000000-0005-0000-0000-0000F6330000}"/>
    <cellStyle name="Normal 19 20 4" xfId="12502" xr:uid="{00000000-0005-0000-0000-0000F7330000}"/>
    <cellStyle name="Normal 19 20 4 2" xfId="12503" xr:uid="{00000000-0005-0000-0000-0000F8330000}"/>
    <cellStyle name="Normal 19 20 4 3" xfId="12504" xr:uid="{00000000-0005-0000-0000-0000F9330000}"/>
    <cellStyle name="Normal 19 20 4 4" xfId="12505" xr:uid="{00000000-0005-0000-0000-0000FA330000}"/>
    <cellStyle name="Normal 19 20 4 5" xfId="12506" xr:uid="{00000000-0005-0000-0000-0000FB330000}"/>
    <cellStyle name="Normal 19 20 4 6" xfId="12507" xr:uid="{00000000-0005-0000-0000-0000FC330000}"/>
    <cellStyle name="Normal 19 20 5" xfId="12508" xr:uid="{00000000-0005-0000-0000-0000FD330000}"/>
    <cellStyle name="Normal 19 20 5 2" xfId="12509" xr:uid="{00000000-0005-0000-0000-0000FE330000}"/>
    <cellStyle name="Normal 19 20 5 3" xfId="12510" xr:uid="{00000000-0005-0000-0000-0000FF330000}"/>
    <cellStyle name="Normal 19 20 5 4" xfId="12511" xr:uid="{00000000-0005-0000-0000-000000340000}"/>
    <cellStyle name="Normal 19 20 5 5" xfId="12512" xr:uid="{00000000-0005-0000-0000-000001340000}"/>
    <cellStyle name="Normal 19 20 5 6" xfId="12513" xr:uid="{00000000-0005-0000-0000-000002340000}"/>
    <cellStyle name="Normal 19 20 6" xfId="12514" xr:uid="{00000000-0005-0000-0000-000003340000}"/>
    <cellStyle name="Normal 19 20 6 2" xfId="12515" xr:uid="{00000000-0005-0000-0000-000004340000}"/>
    <cellStyle name="Normal 19 20 6 3" xfId="12516" xr:uid="{00000000-0005-0000-0000-000005340000}"/>
    <cellStyle name="Normal 19 20 6 4" xfId="12517" xr:uid="{00000000-0005-0000-0000-000006340000}"/>
    <cellStyle name="Normal 19 20 6 5" xfId="12518" xr:uid="{00000000-0005-0000-0000-000007340000}"/>
    <cellStyle name="Normal 19 20 6 6" xfId="12519" xr:uid="{00000000-0005-0000-0000-000008340000}"/>
    <cellStyle name="Normal 19 20 7" xfId="12520" xr:uid="{00000000-0005-0000-0000-000009340000}"/>
    <cellStyle name="Normal 19 20 7 2" xfId="12521" xr:uid="{00000000-0005-0000-0000-00000A340000}"/>
    <cellStyle name="Normal 19 20 7 3" xfId="12522" xr:uid="{00000000-0005-0000-0000-00000B340000}"/>
    <cellStyle name="Normal 19 20 7 4" xfId="12523" xr:uid="{00000000-0005-0000-0000-00000C340000}"/>
    <cellStyle name="Normal 19 20 7 5" xfId="12524" xr:uid="{00000000-0005-0000-0000-00000D340000}"/>
    <cellStyle name="Normal 19 20 7 6" xfId="12525" xr:uid="{00000000-0005-0000-0000-00000E340000}"/>
    <cellStyle name="Normal 19 20 8" xfId="12526" xr:uid="{00000000-0005-0000-0000-00000F340000}"/>
    <cellStyle name="Normal 19 20 8 2" xfId="12527" xr:uid="{00000000-0005-0000-0000-000010340000}"/>
    <cellStyle name="Normal 19 20 8 3" xfId="12528" xr:uid="{00000000-0005-0000-0000-000011340000}"/>
    <cellStyle name="Normal 19 20 8 4" xfId="12529" xr:uid="{00000000-0005-0000-0000-000012340000}"/>
    <cellStyle name="Normal 19 20 8 5" xfId="12530" xr:uid="{00000000-0005-0000-0000-000013340000}"/>
    <cellStyle name="Normal 19 20 8 6" xfId="12531" xr:uid="{00000000-0005-0000-0000-000014340000}"/>
    <cellStyle name="Normal 19 20 9" xfId="12532" xr:uid="{00000000-0005-0000-0000-000015340000}"/>
    <cellStyle name="Normal 19 21" xfId="12533" xr:uid="{00000000-0005-0000-0000-000016340000}"/>
    <cellStyle name="Normal 19 21 10" xfId="12534" xr:uid="{00000000-0005-0000-0000-000017340000}"/>
    <cellStyle name="Normal 19 21 11" xfId="12535" xr:uid="{00000000-0005-0000-0000-000018340000}"/>
    <cellStyle name="Normal 19 21 12" xfId="12536" xr:uid="{00000000-0005-0000-0000-000019340000}"/>
    <cellStyle name="Normal 19 21 13" xfId="12537" xr:uid="{00000000-0005-0000-0000-00001A340000}"/>
    <cellStyle name="Normal 19 21 2" xfId="12538" xr:uid="{00000000-0005-0000-0000-00001B340000}"/>
    <cellStyle name="Normal 19 21 2 2" xfId="12539" xr:uid="{00000000-0005-0000-0000-00001C340000}"/>
    <cellStyle name="Normal 19 21 2 3" xfId="12540" xr:uid="{00000000-0005-0000-0000-00001D340000}"/>
    <cellStyle name="Normal 19 21 2 4" xfId="12541" xr:uid="{00000000-0005-0000-0000-00001E340000}"/>
    <cellStyle name="Normal 19 21 2 5" xfId="12542" xr:uid="{00000000-0005-0000-0000-00001F340000}"/>
    <cellStyle name="Normal 19 21 2 6" xfId="12543" xr:uid="{00000000-0005-0000-0000-000020340000}"/>
    <cellStyle name="Normal 19 21 3" xfId="12544" xr:uid="{00000000-0005-0000-0000-000021340000}"/>
    <cellStyle name="Normal 19 21 3 2" xfId="12545" xr:uid="{00000000-0005-0000-0000-000022340000}"/>
    <cellStyle name="Normal 19 21 3 3" xfId="12546" xr:uid="{00000000-0005-0000-0000-000023340000}"/>
    <cellStyle name="Normal 19 21 3 4" xfId="12547" xr:uid="{00000000-0005-0000-0000-000024340000}"/>
    <cellStyle name="Normal 19 21 3 5" xfId="12548" xr:uid="{00000000-0005-0000-0000-000025340000}"/>
    <cellStyle name="Normal 19 21 3 6" xfId="12549" xr:uid="{00000000-0005-0000-0000-000026340000}"/>
    <cellStyle name="Normal 19 21 4" xfId="12550" xr:uid="{00000000-0005-0000-0000-000027340000}"/>
    <cellStyle name="Normal 19 21 4 2" xfId="12551" xr:uid="{00000000-0005-0000-0000-000028340000}"/>
    <cellStyle name="Normal 19 21 4 3" xfId="12552" xr:uid="{00000000-0005-0000-0000-000029340000}"/>
    <cellStyle name="Normal 19 21 4 4" xfId="12553" xr:uid="{00000000-0005-0000-0000-00002A340000}"/>
    <cellStyle name="Normal 19 21 4 5" xfId="12554" xr:uid="{00000000-0005-0000-0000-00002B340000}"/>
    <cellStyle name="Normal 19 21 4 6" xfId="12555" xr:uid="{00000000-0005-0000-0000-00002C340000}"/>
    <cellStyle name="Normal 19 21 5" xfId="12556" xr:uid="{00000000-0005-0000-0000-00002D340000}"/>
    <cellStyle name="Normal 19 21 5 2" xfId="12557" xr:uid="{00000000-0005-0000-0000-00002E340000}"/>
    <cellStyle name="Normal 19 21 5 3" xfId="12558" xr:uid="{00000000-0005-0000-0000-00002F340000}"/>
    <cellStyle name="Normal 19 21 5 4" xfId="12559" xr:uid="{00000000-0005-0000-0000-000030340000}"/>
    <cellStyle name="Normal 19 21 5 5" xfId="12560" xr:uid="{00000000-0005-0000-0000-000031340000}"/>
    <cellStyle name="Normal 19 21 5 6" xfId="12561" xr:uid="{00000000-0005-0000-0000-000032340000}"/>
    <cellStyle name="Normal 19 21 6" xfId="12562" xr:uid="{00000000-0005-0000-0000-000033340000}"/>
    <cellStyle name="Normal 19 21 6 2" xfId="12563" xr:uid="{00000000-0005-0000-0000-000034340000}"/>
    <cellStyle name="Normal 19 21 6 3" xfId="12564" xr:uid="{00000000-0005-0000-0000-000035340000}"/>
    <cellStyle name="Normal 19 21 6 4" xfId="12565" xr:uid="{00000000-0005-0000-0000-000036340000}"/>
    <cellStyle name="Normal 19 21 6 5" xfId="12566" xr:uid="{00000000-0005-0000-0000-000037340000}"/>
    <cellStyle name="Normal 19 21 6 6" xfId="12567" xr:uid="{00000000-0005-0000-0000-000038340000}"/>
    <cellStyle name="Normal 19 21 7" xfId="12568" xr:uid="{00000000-0005-0000-0000-000039340000}"/>
    <cellStyle name="Normal 19 21 7 2" xfId="12569" xr:uid="{00000000-0005-0000-0000-00003A340000}"/>
    <cellStyle name="Normal 19 21 7 3" xfId="12570" xr:uid="{00000000-0005-0000-0000-00003B340000}"/>
    <cellStyle name="Normal 19 21 7 4" xfId="12571" xr:uid="{00000000-0005-0000-0000-00003C340000}"/>
    <cellStyle name="Normal 19 21 7 5" xfId="12572" xr:uid="{00000000-0005-0000-0000-00003D340000}"/>
    <cellStyle name="Normal 19 21 7 6" xfId="12573" xr:uid="{00000000-0005-0000-0000-00003E340000}"/>
    <cellStyle name="Normal 19 21 8" xfId="12574" xr:uid="{00000000-0005-0000-0000-00003F340000}"/>
    <cellStyle name="Normal 19 21 8 2" xfId="12575" xr:uid="{00000000-0005-0000-0000-000040340000}"/>
    <cellStyle name="Normal 19 21 8 3" xfId="12576" xr:uid="{00000000-0005-0000-0000-000041340000}"/>
    <cellStyle name="Normal 19 21 8 4" xfId="12577" xr:uid="{00000000-0005-0000-0000-000042340000}"/>
    <cellStyle name="Normal 19 21 8 5" xfId="12578" xr:uid="{00000000-0005-0000-0000-000043340000}"/>
    <cellStyle name="Normal 19 21 8 6" xfId="12579" xr:uid="{00000000-0005-0000-0000-000044340000}"/>
    <cellStyle name="Normal 19 21 9" xfId="12580" xr:uid="{00000000-0005-0000-0000-000045340000}"/>
    <cellStyle name="Normal 19 22" xfId="12581" xr:uid="{00000000-0005-0000-0000-000046340000}"/>
    <cellStyle name="Normal 19 22 10" xfId="12582" xr:uid="{00000000-0005-0000-0000-000047340000}"/>
    <cellStyle name="Normal 19 22 11" xfId="12583" xr:uid="{00000000-0005-0000-0000-000048340000}"/>
    <cellStyle name="Normal 19 22 12" xfId="12584" xr:uid="{00000000-0005-0000-0000-000049340000}"/>
    <cellStyle name="Normal 19 22 13" xfId="12585" xr:uid="{00000000-0005-0000-0000-00004A340000}"/>
    <cellStyle name="Normal 19 22 2" xfId="12586" xr:uid="{00000000-0005-0000-0000-00004B340000}"/>
    <cellStyle name="Normal 19 22 2 2" xfId="12587" xr:uid="{00000000-0005-0000-0000-00004C340000}"/>
    <cellStyle name="Normal 19 22 2 3" xfId="12588" xr:uid="{00000000-0005-0000-0000-00004D340000}"/>
    <cellStyle name="Normal 19 22 2 4" xfId="12589" xr:uid="{00000000-0005-0000-0000-00004E340000}"/>
    <cellStyle name="Normal 19 22 2 5" xfId="12590" xr:uid="{00000000-0005-0000-0000-00004F340000}"/>
    <cellStyle name="Normal 19 22 2 6" xfId="12591" xr:uid="{00000000-0005-0000-0000-000050340000}"/>
    <cellStyle name="Normal 19 22 3" xfId="12592" xr:uid="{00000000-0005-0000-0000-000051340000}"/>
    <cellStyle name="Normal 19 22 3 2" xfId="12593" xr:uid="{00000000-0005-0000-0000-000052340000}"/>
    <cellStyle name="Normal 19 22 3 3" xfId="12594" xr:uid="{00000000-0005-0000-0000-000053340000}"/>
    <cellStyle name="Normal 19 22 3 4" xfId="12595" xr:uid="{00000000-0005-0000-0000-000054340000}"/>
    <cellStyle name="Normal 19 22 3 5" xfId="12596" xr:uid="{00000000-0005-0000-0000-000055340000}"/>
    <cellStyle name="Normal 19 22 3 6" xfId="12597" xr:uid="{00000000-0005-0000-0000-000056340000}"/>
    <cellStyle name="Normal 19 22 4" xfId="12598" xr:uid="{00000000-0005-0000-0000-000057340000}"/>
    <cellStyle name="Normal 19 22 4 2" xfId="12599" xr:uid="{00000000-0005-0000-0000-000058340000}"/>
    <cellStyle name="Normal 19 22 4 3" xfId="12600" xr:uid="{00000000-0005-0000-0000-000059340000}"/>
    <cellStyle name="Normal 19 22 4 4" xfId="12601" xr:uid="{00000000-0005-0000-0000-00005A340000}"/>
    <cellStyle name="Normal 19 22 4 5" xfId="12602" xr:uid="{00000000-0005-0000-0000-00005B340000}"/>
    <cellStyle name="Normal 19 22 4 6" xfId="12603" xr:uid="{00000000-0005-0000-0000-00005C340000}"/>
    <cellStyle name="Normal 19 22 5" xfId="12604" xr:uid="{00000000-0005-0000-0000-00005D340000}"/>
    <cellStyle name="Normal 19 22 5 2" xfId="12605" xr:uid="{00000000-0005-0000-0000-00005E340000}"/>
    <cellStyle name="Normal 19 22 5 3" xfId="12606" xr:uid="{00000000-0005-0000-0000-00005F340000}"/>
    <cellStyle name="Normal 19 22 5 4" xfId="12607" xr:uid="{00000000-0005-0000-0000-000060340000}"/>
    <cellStyle name="Normal 19 22 5 5" xfId="12608" xr:uid="{00000000-0005-0000-0000-000061340000}"/>
    <cellStyle name="Normal 19 22 5 6" xfId="12609" xr:uid="{00000000-0005-0000-0000-000062340000}"/>
    <cellStyle name="Normal 19 22 6" xfId="12610" xr:uid="{00000000-0005-0000-0000-000063340000}"/>
    <cellStyle name="Normal 19 22 6 2" xfId="12611" xr:uid="{00000000-0005-0000-0000-000064340000}"/>
    <cellStyle name="Normal 19 22 6 3" xfId="12612" xr:uid="{00000000-0005-0000-0000-000065340000}"/>
    <cellStyle name="Normal 19 22 6 4" xfId="12613" xr:uid="{00000000-0005-0000-0000-000066340000}"/>
    <cellStyle name="Normal 19 22 6 5" xfId="12614" xr:uid="{00000000-0005-0000-0000-000067340000}"/>
    <cellStyle name="Normal 19 22 6 6" xfId="12615" xr:uid="{00000000-0005-0000-0000-000068340000}"/>
    <cellStyle name="Normal 19 22 7" xfId="12616" xr:uid="{00000000-0005-0000-0000-000069340000}"/>
    <cellStyle name="Normal 19 22 7 2" xfId="12617" xr:uid="{00000000-0005-0000-0000-00006A340000}"/>
    <cellStyle name="Normal 19 22 7 3" xfId="12618" xr:uid="{00000000-0005-0000-0000-00006B340000}"/>
    <cellStyle name="Normal 19 22 7 4" xfId="12619" xr:uid="{00000000-0005-0000-0000-00006C340000}"/>
    <cellStyle name="Normal 19 22 7 5" xfId="12620" xr:uid="{00000000-0005-0000-0000-00006D340000}"/>
    <cellStyle name="Normal 19 22 7 6" xfId="12621" xr:uid="{00000000-0005-0000-0000-00006E340000}"/>
    <cellStyle name="Normal 19 22 8" xfId="12622" xr:uid="{00000000-0005-0000-0000-00006F340000}"/>
    <cellStyle name="Normal 19 22 8 2" xfId="12623" xr:uid="{00000000-0005-0000-0000-000070340000}"/>
    <cellStyle name="Normal 19 22 8 3" xfId="12624" xr:uid="{00000000-0005-0000-0000-000071340000}"/>
    <cellStyle name="Normal 19 22 8 4" xfId="12625" xr:uid="{00000000-0005-0000-0000-000072340000}"/>
    <cellStyle name="Normal 19 22 8 5" xfId="12626" xr:uid="{00000000-0005-0000-0000-000073340000}"/>
    <cellStyle name="Normal 19 22 8 6" xfId="12627" xr:uid="{00000000-0005-0000-0000-000074340000}"/>
    <cellStyle name="Normal 19 22 9" xfId="12628" xr:uid="{00000000-0005-0000-0000-000075340000}"/>
    <cellStyle name="Normal 19 23" xfId="12629" xr:uid="{00000000-0005-0000-0000-000076340000}"/>
    <cellStyle name="Normal 19 23 10" xfId="12630" xr:uid="{00000000-0005-0000-0000-000077340000}"/>
    <cellStyle name="Normal 19 23 11" xfId="12631" xr:uid="{00000000-0005-0000-0000-000078340000}"/>
    <cellStyle name="Normal 19 23 12" xfId="12632" xr:uid="{00000000-0005-0000-0000-000079340000}"/>
    <cellStyle name="Normal 19 23 13" xfId="12633" xr:uid="{00000000-0005-0000-0000-00007A340000}"/>
    <cellStyle name="Normal 19 23 2" xfId="12634" xr:uid="{00000000-0005-0000-0000-00007B340000}"/>
    <cellStyle name="Normal 19 23 2 2" xfId="12635" xr:uid="{00000000-0005-0000-0000-00007C340000}"/>
    <cellStyle name="Normal 19 23 2 3" xfId="12636" xr:uid="{00000000-0005-0000-0000-00007D340000}"/>
    <cellStyle name="Normal 19 23 2 4" xfId="12637" xr:uid="{00000000-0005-0000-0000-00007E340000}"/>
    <cellStyle name="Normal 19 23 2 5" xfId="12638" xr:uid="{00000000-0005-0000-0000-00007F340000}"/>
    <cellStyle name="Normal 19 23 2 6" xfId="12639" xr:uid="{00000000-0005-0000-0000-000080340000}"/>
    <cellStyle name="Normal 19 23 3" xfId="12640" xr:uid="{00000000-0005-0000-0000-000081340000}"/>
    <cellStyle name="Normal 19 23 3 2" xfId="12641" xr:uid="{00000000-0005-0000-0000-000082340000}"/>
    <cellStyle name="Normal 19 23 3 3" xfId="12642" xr:uid="{00000000-0005-0000-0000-000083340000}"/>
    <cellStyle name="Normal 19 23 3 4" xfId="12643" xr:uid="{00000000-0005-0000-0000-000084340000}"/>
    <cellStyle name="Normal 19 23 3 5" xfId="12644" xr:uid="{00000000-0005-0000-0000-000085340000}"/>
    <cellStyle name="Normal 19 23 3 6" xfId="12645" xr:uid="{00000000-0005-0000-0000-000086340000}"/>
    <cellStyle name="Normal 19 23 4" xfId="12646" xr:uid="{00000000-0005-0000-0000-000087340000}"/>
    <cellStyle name="Normal 19 23 4 2" xfId="12647" xr:uid="{00000000-0005-0000-0000-000088340000}"/>
    <cellStyle name="Normal 19 23 4 3" xfId="12648" xr:uid="{00000000-0005-0000-0000-000089340000}"/>
    <cellStyle name="Normal 19 23 4 4" xfId="12649" xr:uid="{00000000-0005-0000-0000-00008A340000}"/>
    <cellStyle name="Normal 19 23 4 5" xfId="12650" xr:uid="{00000000-0005-0000-0000-00008B340000}"/>
    <cellStyle name="Normal 19 23 4 6" xfId="12651" xr:uid="{00000000-0005-0000-0000-00008C340000}"/>
    <cellStyle name="Normal 19 23 5" xfId="12652" xr:uid="{00000000-0005-0000-0000-00008D340000}"/>
    <cellStyle name="Normal 19 23 5 2" xfId="12653" xr:uid="{00000000-0005-0000-0000-00008E340000}"/>
    <cellStyle name="Normal 19 23 5 3" xfId="12654" xr:uid="{00000000-0005-0000-0000-00008F340000}"/>
    <cellStyle name="Normal 19 23 5 4" xfId="12655" xr:uid="{00000000-0005-0000-0000-000090340000}"/>
    <cellStyle name="Normal 19 23 5 5" xfId="12656" xr:uid="{00000000-0005-0000-0000-000091340000}"/>
    <cellStyle name="Normal 19 23 5 6" xfId="12657" xr:uid="{00000000-0005-0000-0000-000092340000}"/>
    <cellStyle name="Normal 19 23 6" xfId="12658" xr:uid="{00000000-0005-0000-0000-000093340000}"/>
    <cellStyle name="Normal 19 23 6 2" xfId="12659" xr:uid="{00000000-0005-0000-0000-000094340000}"/>
    <cellStyle name="Normal 19 23 6 3" xfId="12660" xr:uid="{00000000-0005-0000-0000-000095340000}"/>
    <cellStyle name="Normal 19 23 6 4" xfId="12661" xr:uid="{00000000-0005-0000-0000-000096340000}"/>
    <cellStyle name="Normal 19 23 6 5" xfId="12662" xr:uid="{00000000-0005-0000-0000-000097340000}"/>
    <cellStyle name="Normal 19 23 6 6" xfId="12663" xr:uid="{00000000-0005-0000-0000-000098340000}"/>
    <cellStyle name="Normal 19 23 7" xfId="12664" xr:uid="{00000000-0005-0000-0000-000099340000}"/>
    <cellStyle name="Normal 19 23 7 2" xfId="12665" xr:uid="{00000000-0005-0000-0000-00009A340000}"/>
    <cellStyle name="Normal 19 23 7 3" xfId="12666" xr:uid="{00000000-0005-0000-0000-00009B340000}"/>
    <cellStyle name="Normal 19 23 7 4" xfId="12667" xr:uid="{00000000-0005-0000-0000-00009C340000}"/>
    <cellStyle name="Normal 19 23 7 5" xfId="12668" xr:uid="{00000000-0005-0000-0000-00009D340000}"/>
    <cellStyle name="Normal 19 23 7 6" xfId="12669" xr:uid="{00000000-0005-0000-0000-00009E340000}"/>
    <cellStyle name="Normal 19 23 8" xfId="12670" xr:uid="{00000000-0005-0000-0000-00009F340000}"/>
    <cellStyle name="Normal 19 23 8 2" xfId="12671" xr:uid="{00000000-0005-0000-0000-0000A0340000}"/>
    <cellStyle name="Normal 19 23 8 3" xfId="12672" xr:uid="{00000000-0005-0000-0000-0000A1340000}"/>
    <cellStyle name="Normal 19 23 8 4" xfId="12673" xr:uid="{00000000-0005-0000-0000-0000A2340000}"/>
    <cellStyle name="Normal 19 23 8 5" xfId="12674" xr:uid="{00000000-0005-0000-0000-0000A3340000}"/>
    <cellStyle name="Normal 19 23 8 6" xfId="12675" xr:uid="{00000000-0005-0000-0000-0000A4340000}"/>
    <cellStyle name="Normal 19 23 9" xfId="12676" xr:uid="{00000000-0005-0000-0000-0000A5340000}"/>
    <cellStyle name="Normal 19 24" xfId="12677" xr:uid="{00000000-0005-0000-0000-0000A6340000}"/>
    <cellStyle name="Normal 19 24 10" xfId="12678" xr:uid="{00000000-0005-0000-0000-0000A7340000}"/>
    <cellStyle name="Normal 19 24 11" xfId="12679" xr:uid="{00000000-0005-0000-0000-0000A8340000}"/>
    <cellStyle name="Normal 19 24 12" xfId="12680" xr:uid="{00000000-0005-0000-0000-0000A9340000}"/>
    <cellStyle name="Normal 19 24 13" xfId="12681" xr:uid="{00000000-0005-0000-0000-0000AA340000}"/>
    <cellStyle name="Normal 19 24 2" xfId="12682" xr:uid="{00000000-0005-0000-0000-0000AB340000}"/>
    <cellStyle name="Normal 19 24 2 2" xfId="12683" xr:uid="{00000000-0005-0000-0000-0000AC340000}"/>
    <cellStyle name="Normal 19 24 2 3" xfId="12684" xr:uid="{00000000-0005-0000-0000-0000AD340000}"/>
    <cellStyle name="Normal 19 24 2 4" xfId="12685" xr:uid="{00000000-0005-0000-0000-0000AE340000}"/>
    <cellStyle name="Normal 19 24 2 5" xfId="12686" xr:uid="{00000000-0005-0000-0000-0000AF340000}"/>
    <cellStyle name="Normal 19 24 2 6" xfId="12687" xr:uid="{00000000-0005-0000-0000-0000B0340000}"/>
    <cellStyle name="Normal 19 24 3" xfId="12688" xr:uid="{00000000-0005-0000-0000-0000B1340000}"/>
    <cellStyle name="Normal 19 24 3 2" xfId="12689" xr:uid="{00000000-0005-0000-0000-0000B2340000}"/>
    <cellStyle name="Normal 19 24 3 3" xfId="12690" xr:uid="{00000000-0005-0000-0000-0000B3340000}"/>
    <cellStyle name="Normal 19 24 3 4" xfId="12691" xr:uid="{00000000-0005-0000-0000-0000B4340000}"/>
    <cellStyle name="Normal 19 24 3 5" xfId="12692" xr:uid="{00000000-0005-0000-0000-0000B5340000}"/>
    <cellStyle name="Normal 19 24 3 6" xfId="12693" xr:uid="{00000000-0005-0000-0000-0000B6340000}"/>
    <cellStyle name="Normal 19 24 4" xfId="12694" xr:uid="{00000000-0005-0000-0000-0000B7340000}"/>
    <cellStyle name="Normal 19 24 4 2" xfId="12695" xr:uid="{00000000-0005-0000-0000-0000B8340000}"/>
    <cellStyle name="Normal 19 24 4 3" xfId="12696" xr:uid="{00000000-0005-0000-0000-0000B9340000}"/>
    <cellStyle name="Normal 19 24 4 4" xfId="12697" xr:uid="{00000000-0005-0000-0000-0000BA340000}"/>
    <cellStyle name="Normal 19 24 4 5" xfId="12698" xr:uid="{00000000-0005-0000-0000-0000BB340000}"/>
    <cellStyle name="Normal 19 24 4 6" xfId="12699" xr:uid="{00000000-0005-0000-0000-0000BC340000}"/>
    <cellStyle name="Normal 19 24 5" xfId="12700" xr:uid="{00000000-0005-0000-0000-0000BD340000}"/>
    <cellStyle name="Normal 19 24 5 2" xfId="12701" xr:uid="{00000000-0005-0000-0000-0000BE340000}"/>
    <cellStyle name="Normal 19 24 5 3" xfId="12702" xr:uid="{00000000-0005-0000-0000-0000BF340000}"/>
    <cellStyle name="Normal 19 24 5 4" xfId="12703" xr:uid="{00000000-0005-0000-0000-0000C0340000}"/>
    <cellStyle name="Normal 19 24 5 5" xfId="12704" xr:uid="{00000000-0005-0000-0000-0000C1340000}"/>
    <cellStyle name="Normal 19 24 5 6" xfId="12705" xr:uid="{00000000-0005-0000-0000-0000C2340000}"/>
    <cellStyle name="Normal 19 24 6" xfId="12706" xr:uid="{00000000-0005-0000-0000-0000C3340000}"/>
    <cellStyle name="Normal 19 24 6 2" xfId="12707" xr:uid="{00000000-0005-0000-0000-0000C4340000}"/>
    <cellStyle name="Normal 19 24 6 3" xfId="12708" xr:uid="{00000000-0005-0000-0000-0000C5340000}"/>
    <cellStyle name="Normal 19 24 6 4" xfId="12709" xr:uid="{00000000-0005-0000-0000-0000C6340000}"/>
    <cellStyle name="Normal 19 24 6 5" xfId="12710" xr:uid="{00000000-0005-0000-0000-0000C7340000}"/>
    <cellStyle name="Normal 19 24 6 6" xfId="12711" xr:uid="{00000000-0005-0000-0000-0000C8340000}"/>
    <cellStyle name="Normal 19 24 7" xfId="12712" xr:uid="{00000000-0005-0000-0000-0000C9340000}"/>
    <cellStyle name="Normal 19 24 7 2" xfId="12713" xr:uid="{00000000-0005-0000-0000-0000CA340000}"/>
    <cellStyle name="Normal 19 24 7 3" xfId="12714" xr:uid="{00000000-0005-0000-0000-0000CB340000}"/>
    <cellStyle name="Normal 19 24 7 4" xfId="12715" xr:uid="{00000000-0005-0000-0000-0000CC340000}"/>
    <cellStyle name="Normal 19 24 7 5" xfId="12716" xr:uid="{00000000-0005-0000-0000-0000CD340000}"/>
    <cellStyle name="Normal 19 24 7 6" xfId="12717" xr:uid="{00000000-0005-0000-0000-0000CE340000}"/>
    <cellStyle name="Normal 19 24 8" xfId="12718" xr:uid="{00000000-0005-0000-0000-0000CF340000}"/>
    <cellStyle name="Normal 19 24 8 2" xfId="12719" xr:uid="{00000000-0005-0000-0000-0000D0340000}"/>
    <cellStyle name="Normal 19 24 8 3" xfId="12720" xr:uid="{00000000-0005-0000-0000-0000D1340000}"/>
    <cellStyle name="Normal 19 24 8 4" xfId="12721" xr:uid="{00000000-0005-0000-0000-0000D2340000}"/>
    <cellStyle name="Normal 19 24 8 5" xfId="12722" xr:uid="{00000000-0005-0000-0000-0000D3340000}"/>
    <cellStyle name="Normal 19 24 8 6" xfId="12723" xr:uid="{00000000-0005-0000-0000-0000D4340000}"/>
    <cellStyle name="Normal 19 24 9" xfId="12724" xr:uid="{00000000-0005-0000-0000-0000D5340000}"/>
    <cellStyle name="Normal 19 25" xfId="12725" xr:uid="{00000000-0005-0000-0000-0000D6340000}"/>
    <cellStyle name="Normal 19 25 2" xfId="12726" xr:uid="{00000000-0005-0000-0000-0000D7340000}"/>
    <cellStyle name="Normal 19 25 3" xfId="12727" xr:uid="{00000000-0005-0000-0000-0000D8340000}"/>
    <cellStyle name="Normal 19 25 4" xfId="12728" xr:uid="{00000000-0005-0000-0000-0000D9340000}"/>
    <cellStyle name="Normal 19 25 5" xfId="12729" xr:uid="{00000000-0005-0000-0000-0000DA340000}"/>
    <cellStyle name="Normal 19 25 6" xfId="12730" xr:uid="{00000000-0005-0000-0000-0000DB340000}"/>
    <cellStyle name="Normal 19 26" xfId="12731" xr:uid="{00000000-0005-0000-0000-0000DC340000}"/>
    <cellStyle name="Normal 19 26 2" xfId="12732" xr:uid="{00000000-0005-0000-0000-0000DD340000}"/>
    <cellStyle name="Normal 19 26 3" xfId="12733" xr:uid="{00000000-0005-0000-0000-0000DE340000}"/>
    <cellStyle name="Normal 19 26 4" xfId="12734" xr:uid="{00000000-0005-0000-0000-0000DF340000}"/>
    <cellStyle name="Normal 19 26 5" xfId="12735" xr:uid="{00000000-0005-0000-0000-0000E0340000}"/>
    <cellStyle name="Normal 19 26 6" xfId="12736" xr:uid="{00000000-0005-0000-0000-0000E1340000}"/>
    <cellStyle name="Normal 19 27" xfId="12737" xr:uid="{00000000-0005-0000-0000-0000E2340000}"/>
    <cellStyle name="Normal 19 27 2" xfId="12738" xr:uid="{00000000-0005-0000-0000-0000E3340000}"/>
    <cellStyle name="Normal 19 27 3" xfId="12739" xr:uid="{00000000-0005-0000-0000-0000E4340000}"/>
    <cellStyle name="Normal 19 27 4" xfId="12740" xr:uid="{00000000-0005-0000-0000-0000E5340000}"/>
    <cellStyle name="Normal 19 27 5" xfId="12741" xr:uid="{00000000-0005-0000-0000-0000E6340000}"/>
    <cellStyle name="Normal 19 27 6" xfId="12742" xr:uid="{00000000-0005-0000-0000-0000E7340000}"/>
    <cellStyle name="Normal 19 28" xfId="12743" xr:uid="{00000000-0005-0000-0000-0000E8340000}"/>
    <cellStyle name="Normal 19 28 2" xfId="12744" xr:uid="{00000000-0005-0000-0000-0000E9340000}"/>
    <cellStyle name="Normal 19 28 3" xfId="12745" xr:uid="{00000000-0005-0000-0000-0000EA340000}"/>
    <cellStyle name="Normal 19 28 4" xfId="12746" xr:uid="{00000000-0005-0000-0000-0000EB340000}"/>
    <cellStyle name="Normal 19 28 5" xfId="12747" xr:uid="{00000000-0005-0000-0000-0000EC340000}"/>
    <cellStyle name="Normal 19 28 6" xfId="12748" xr:uid="{00000000-0005-0000-0000-0000ED340000}"/>
    <cellStyle name="Normal 19 29" xfId="12749" xr:uid="{00000000-0005-0000-0000-0000EE340000}"/>
    <cellStyle name="Normal 19 29 2" xfId="12750" xr:uid="{00000000-0005-0000-0000-0000EF340000}"/>
    <cellStyle name="Normal 19 29 3" xfId="12751" xr:uid="{00000000-0005-0000-0000-0000F0340000}"/>
    <cellStyle name="Normal 19 29 4" xfId="12752" xr:uid="{00000000-0005-0000-0000-0000F1340000}"/>
    <cellStyle name="Normal 19 29 5" xfId="12753" xr:uid="{00000000-0005-0000-0000-0000F2340000}"/>
    <cellStyle name="Normal 19 29 6" xfId="12754" xr:uid="{00000000-0005-0000-0000-0000F3340000}"/>
    <cellStyle name="Normal 19 3" xfId="12755" xr:uid="{00000000-0005-0000-0000-0000F4340000}"/>
    <cellStyle name="Normal 19 3 10" xfId="12756" xr:uid="{00000000-0005-0000-0000-0000F5340000}"/>
    <cellStyle name="Normal 19 3 11" xfId="12757" xr:uid="{00000000-0005-0000-0000-0000F6340000}"/>
    <cellStyle name="Normal 19 3 12" xfId="12758" xr:uid="{00000000-0005-0000-0000-0000F7340000}"/>
    <cellStyle name="Normal 19 3 13" xfId="12759" xr:uid="{00000000-0005-0000-0000-0000F8340000}"/>
    <cellStyle name="Normal 19 3 2" xfId="12760" xr:uid="{00000000-0005-0000-0000-0000F9340000}"/>
    <cellStyle name="Normal 19 3 2 2" xfId="12761" xr:uid="{00000000-0005-0000-0000-0000FA340000}"/>
    <cellStyle name="Normal 19 3 2 3" xfId="12762" xr:uid="{00000000-0005-0000-0000-0000FB340000}"/>
    <cellStyle name="Normal 19 3 2 4" xfId="12763" xr:uid="{00000000-0005-0000-0000-0000FC340000}"/>
    <cellStyle name="Normal 19 3 2 5" xfId="12764" xr:uid="{00000000-0005-0000-0000-0000FD340000}"/>
    <cellStyle name="Normal 19 3 2 6" xfId="12765" xr:uid="{00000000-0005-0000-0000-0000FE340000}"/>
    <cellStyle name="Normal 19 3 3" xfId="12766" xr:uid="{00000000-0005-0000-0000-0000FF340000}"/>
    <cellStyle name="Normal 19 3 3 2" xfId="12767" xr:uid="{00000000-0005-0000-0000-000000350000}"/>
    <cellStyle name="Normal 19 3 3 3" xfId="12768" xr:uid="{00000000-0005-0000-0000-000001350000}"/>
    <cellStyle name="Normal 19 3 3 4" xfId="12769" xr:uid="{00000000-0005-0000-0000-000002350000}"/>
    <cellStyle name="Normal 19 3 3 5" xfId="12770" xr:uid="{00000000-0005-0000-0000-000003350000}"/>
    <cellStyle name="Normal 19 3 3 6" xfId="12771" xr:uid="{00000000-0005-0000-0000-000004350000}"/>
    <cellStyle name="Normal 19 3 4" xfId="12772" xr:uid="{00000000-0005-0000-0000-000005350000}"/>
    <cellStyle name="Normal 19 3 4 2" xfId="12773" xr:uid="{00000000-0005-0000-0000-000006350000}"/>
    <cellStyle name="Normal 19 3 4 3" xfId="12774" xr:uid="{00000000-0005-0000-0000-000007350000}"/>
    <cellStyle name="Normal 19 3 4 4" xfId="12775" xr:uid="{00000000-0005-0000-0000-000008350000}"/>
    <cellStyle name="Normal 19 3 4 5" xfId="12776" xr:uid="{00000000-0005-0000-0000-000009350000}"/>
    <cellStyle name="Normal 19 3 4 6" xfId="12777" xr:uid="{00000000-0005-0000-0000-00000A350000}"/>
    <cellStyle name="Normal 19 3 5" xfId="12778" xr:uid="{00000000-0005-0000-0000-00000B350000}"/>
    <cellStyle name="Normal 19 3 5 2" xfId="12779" xr:uid="{00000000-0005-0000-0000-00000C350000}"/>
    <cellStyle name="Normal 19 3 5 3" xfId="12780" xr:uid="{00000000-0005-0000-0000-00000D350000}"/>
    <cellStyle name="Normal 19 3 5 4" xfId="12781" xr:uid="{00000000-0005-0000-0000-00000E350000}"/>
    <cellStyle name="Normal 19 3 5 5" xfId="12782" xr:uid="{00000000-0005-0000-0000-00000F350000}"/>
    <cellStyle name="Normal 19 3 5 6" xfId="12783" xr:uid="{00000000-0005-0000-0000-000010350000}"/>
    <cellStyle name="Normal 19 3 6" xfId="12784" xr:uid="{00000000-0005-0000-0000-000011350000}"/>
    <cellStyle name="Normal 19 3 6 2" xfId="12785" xr:uid="{00000000-0005-0000-0000-000012350000}"/>
    <cellStyle name="Normal 19 3 6 3" xfId="12786" xr:uid="{00000000-0005-0000-0000-000013350000}"/>
    <cellStyle name="Normal 19 3 6 4" xfId="12787" xr:uid="{00000000-0005-0000-0000-000014350000}"/>
    <cellStyle name="Normal 19 3 6 5" xfId="12788" xr:uid="{00000000-0005-0000-0000-000015350000}"/>
    <cellStyle name="Normal 19 3 6 6" xfId="12789" xr:uid="{00000000-0005-0000-0000-000016350000}"/>
    <cellStyle name="Normal 19 3 7" xfId="12790" xr:uid="{00000000-0005-0000-0000-000017350000}"/>
    <cellStyle name="Normal 19 3 7 2" xfId="12791" xr:uid="{00000000-0005-0000-0000-000018350000}"/>
    <cellStyle name="Normal 19 3 7 3" xfId="12792" xr:uid="{00000000-0005-0000-0000-000019350000}"/>
    <cellStyle name="Normal 19 3 7 4" xfId="12793" xr:uid="{00000000-0005-0000-0000-00001A350000}"/>
    <cellStyle name="Normal 19 3 7 5" xfId="12794" xr:uid="{00000000-0005-0000-0000-00001B350000}"/>
    <cellStyle name="Normal 19 3 7 6" xfId="12795" xr:uid="{00000000-0005-0000-0000-00001C350000}"/>
    <cellStyle name="Normal 19 3 8" xfId="12796" xr:uid="{00000000-0005-0000-0000-00001D350000}"/>
    <cellStyle name="Normal 19 3 8 2" xfId="12797" xr:uid="{00000000-0005-0000-0000-00001E350000}"/>
    <cellStyle name="Normal 19 3 8 3" xfId="12798" xr:uid="{00000000-0005-0000-0000-00001F350000}"/>
    <cellStyle name="Normal 19 3 8 4" xfId="12799" xr:uid="{00000000-0005-0000-0000-000020350000}"/>
    <cellStyle name="Normal 19 3 8 5" xfId="12800" xr:uid="{00000000-0005-0000-0000-000021350000}"/>
    <cellStyle name="Normal 19 3 8 6" xfId="12801" xr:uid="{00000000-0005-0000-0000-000022350000}"/>
    <cellStyle name="Normal 19 3 9" xfId="12802" xr:uid="{00000000-0005-0000-0000-000023350000}"/>
    <cellStyle name="Normal 19 30" xfId="12803" xr:uid="{00000000-0005-0000-0000-000024350000}"/>
    <cellStyle name="Normal 19 30 2" xfId="12804" xr:uid="{00000000-0005-0000-0000-000025350000}"/>
    <cellStyle name="Normal 19 30 3" xfId="12805" xr:uid="{00000000-0005-0000-0000-000026350000}"/>
    <cellStyle name="Normal 19 30 4" xfId="12806" xr:uid="{00000000-0005-0000-0000-000027350000}"/>
    <cellStyle name="Normal 19 30 5" xfId="12807" xr:uid="{00000000-0005-0000-0000-000028350000}"/>
    <cellStyle name="Normal 19 30 6" xfId="12808" xr:uid="{00000000-0005-0000-0000-000029350000}"/>
    <cellStyle name="Normal 19 31" xfId="12809" xr:uid="{00000000-0005-0000-0000-00002A350000}"/>
    <cellStyle name="Normal 19 31 2" xfId="12810" xr:uid="{00000000-0005-0000-0000-00002B350000}"/>
    <cellStyle name="Normal 19 31 3" xfId="12811" xr:uid="{00000000-0005-0000-0000-00002C350000}"/>
    <cellStyle name="Normal 19 31 4" xfId="12812" xr:uid="{00000000-0005-0000-0000-00002D350000}"/>
    <cellStyle name="Normal 19 31 5" xfId="12813" xr:uid="{00000000-0005-0000-0000-00002E350000}"/>
    <cellStyle name="Normal 19 31 6" xfId="12814" xr:uid="{00000000-0005-0000-0000-00002F350000}"/>
    <cellStyle name="Normal 19 32" xfId="12815" xr:uid="{00000000-0005-0000-0000-000030350000}"/>
    <cellStyle name="Normal 19 33" xfId="12816" xr:uid="{00000000-0005-0000-0000-000031350000}"/>
    <cellStyle name="Normal 19 34" xfId="12817" xr:uid="{00000000-0005-0000-0000-000032350000}"/>
    <cellStyle name="Normal 19 35" xfId="12818" xr:uid="{00000000-0005-0000-0000-000033350000}"/>
    <cellStyle name="Normal 19 36" xfId="12819" xr:uid="{00000000-0005-0000-0000-000034350000}"/>
    <cellStyle name="Normal 19 37" xfId="12820" xr:uid="{00000000-0005-0000-0000-000035350000}"/>
    <cellStyle name="Normal 19 4" xfId="12821" xr:uid="{00000000-0005-0000-0000-000036350000}"/>
    <cellStyle name="Normal 19 4 10" xfId="12822" xr:uid="{00000000-0005-0000-0000-000037350000}"/>
    <cellStyle name="Normal 19 4 11" xfId="12823" xr:uid="{00000000-0005-0000-0000-000038350000}"/>
    <cellStyle name="Normal 19 4 12" xfId="12824" xr:uid="{00000000-0005-0000-0000-000039350000}"/>
    <cellStyle name="Normal 19 4 13" xfId="12825" xr:uid="{00000000-0005-0000-0000-00003A350000}"/>
    <cellStyle name="Normal 19 4 2" xfId="12826" xr:uid="{00000000-0005-0000-0000-00003B350000}"/>
    <cellStyle name="Normal 19 4 2 2" xfId="12827" xr:uid="{00000000-0005-0000-0000-00003C350000}"/>
    <cellStyle name="Normal 19 4 2 3" xfId="12828" xr:uid="{00000000-0005-0000-0000-00003D350000}"/>
    <cellStyle name="Normal 19 4 2 4" xfId="12829" xr:uid="{00000000-0005-0000-0000-00003E350000}"/>
    <cellStyle name="Normal 19 4 2 5" xfId="12830" xr:uid="{00000000-0005-0000-0000-00003F350000}"/>
    <cellStyle name="Normal 19 4 2 6" xfId="12831" xr:uid="{00000000-0005-0000-0000-000040350000}"/>
    <cellStyle name="Normal 19 4 3" xfId="12832" xr:uid="{00000000-0005-0000-0000-000041350000}"/>
    <cellStyle name="Normal 19 4 3 2" xfId="12833" xr:uid="{00000000-0005-0000-0000-000042350000}"/>
    <cellStyle name="Normal 19 4 3 3" xfId="12834" xr:uid="{00000000-0005-0000-0000-000043350000}"/>
    <cellStyle name="Normal 19 4 3 4" xfId="12835" xr:uid="{00000000-0005-0000-0000-000044350000}"/>
    <cellStyle name="Normal 19 4 3 5" xfId="12836" xr:uid="{00000000-0005-0000-0000-000045350000}"/>
    <cellStyle name="Normal 19 4 3 6" xfId="12837" xr:uid="{00000000-0005-0000-0000-000046350000}"/>
    <cellStyle name="Normal 19 4 4" xfId="12838" xr:uid="{00000000-0005-0000-0000-000047350000}"/>
    <cellStyle name="Normal 19 4 4 2" xfId="12839" xr:uid="{00000000-0005-0000-0000-000048350000}"/>
    <cellStyle name="Normal 19 4 4 3" xfId="12840" xr:uid="{00000000-0005-0000-0000-000049350000}"/>
    <cellStyle name="Normal 19 4 4 4" xfId="12841" xr:uid="{00000000-0005-0000-0000-00004A350000}"/>
    <cellStyle name="Normal 19 4 4 5" xfId="12842" xr:uid="{00000000-0005-0000-0000-00004B350000}"/>
    <cellStyle name="Normal 19 4 4 6" xfId="12843" xr:uid="{00000000-0005-0000-0000-00004C350000}"/>
    <cellStyle name="Normal 19 4 5" xfId="12844" xr:uid="{00000000-0005-0000-0000-00004D350000}"/>
    <cellStyle name="Normal 19 4 5 2" xfId="12845" xr:uid="{00000000-0005-0000-0000-00004E350000}"/>
    <cellStyle name="Normal 19 4 5 3" xfId="12846" xr:uid="{00000000-0005-0000-0000-00004F350000}"/>
    <cellStyle name="Normal 19 4 5 4" xfId="12847" xr:uid="{00000000-0005-0000-0000-000050350000}"/>
    <cellStyle name="Normal 19 4 5 5" xfId="12848" xr:uid="{00000000-0005-0000-0000-000051350000}"/>
    <cellStyle name="Normal 19 4 5 6" xfId="12849" xr:uid="{00000000-0005-0000-0000-000052350000}"/>
    <cellStyle name="Normal 19 4 6" xfId="12850" xr:uid="{00000000-0005-0000-0000-000053350000}"/>
    <cellStyle name="Normal 19 4 6 2" xfId="12851" xr:uid="{00000000-0005-0000-0000-000054350000}"/>
    <cellStyle name="Normal 19 4 6 3" xfId="12852" xr:uid="{00000000-0005-0000-0000-000055350000}"/>
    <cellStyle name="Normal 19 4 6 4" xfId="12853" xr:uid="{00000000-0005-0000-0000-000056350000}"/>
    <cellStyle name="Normal 19 4 6 5" xfId="12854" xr:uid="{00000000-0005-0000-0000-000057350000}"/>
    <cellStyle name="Normal 19 4 6 6" xfId="12855" xr:uid="{00000000-0005-0000-0000-000058350000}"/>
    <cellStyle name="Normal 19 4 7" xfId="12856" xr:uid="{00000000-0005-0000-0000-000059350000}"/>
    <cellStyle name="Normal 19 4 7 2" xfId="12857" xr:uid="{00000000-0005-0000-0000-00005A350000}"/>
    <cellStyle name="Normal 19 4 7 3" xfId="12858" xr:uid="{00000000-0005-0000-0000-00005B350000}"/>
    <cellStyle name="Normal 19 4 7 4" xfId="12859" xr:uid="{00000000-0005-0000-0000-00005C350000}"/>
    <cellStyle name="Normal 19 4 7 5" xfId="12860" xr:uid="{00000000-0005-0000-0000-00005D350000}"/>
    <cellStyle name="Normal 19 4 7 6" xfId="12861" xr:uid="{00000000-0005-0000-0000-00005E350000}"/>
    <cellStyle name="Normal 19 4 8" xfId="12862" xr:uid="{00000000-0005-0000-0000-00005F350000}"/>
    <cellStyle name="Normal 19 4 8 2" xfId="12863" xr:uid="{00000000-0005-0000-0000-000060350000}"/>
    <cellStyle name="Normal 19 4 8 3" xfId="12864" xr:uid="{00000000-0005-0000-0000-000061350000}"/>
    <cellStyle name="Normal 19 4 8 4" xfId="12865" xr:uid="{00000000-0005-0000-0000-000062350000}"/>
    <cellStyle name="Normal 19 4 8 5" xfId="12866" xr:uid="{00000000-0005-0000-0000-000063350000}"/>
    <cellStyle name="Normal 19 4 8 6" xfId="12867" xr:uid="{00000000-0005-0000-0000-000064350000}"/>
    <cellStyle name="Normal 19 4 9" xfId="12868" xr:uid="{00000000-0005-0000-0000-000065350000}"/>
    <cellStyle name="Normal 19 5" xfId="12869" xr:uid="{00000000-0005-0000-0000-000066350000}"/>
    <cellStyle name="Normal 19 5 10" xfId="12870" xr:uid="{00000000-0005-0000-0000-000067350000}"/>
    <cellStyle name="Normal 19 5 11" xfId="12871" xr:uid="{00000000-0005-0000-0000-000068350000}"/>
    <cellStyle name="Normal 19 5 12" xfId="12872" xr:uid="{00000000-0005-0000-0000-000069350000}"/>
    <cellStyle name="Normal 19 5 13" xfId="12873" xr:uid="{00000000-0005-0000-0000-00006A350000}"/>
    <cellStyle name="Normal 19 5 2" xfId="12874" xr:uid="{00000000-0005-0000-0000-00006B350000}"/>
    <cellStyle name="Normal 19 5 2 2" xfId="12875" xr:uid="{00000000-0005-0000-0000-00006C350000}"/>
    <cellStyle name="Normal 19 5 2 3" xfId="12876" xr:uid="{00000000-0005-0000-0000-00006D350000}"/>
    <cellStyle name="Normal 19 5 2 4" xfId="12877" xr:uid="{00000000-0005-0000-0000-00006E350000}"/>
    <cellStyle name="Normal 19 5 2 5" xfId="12878" xr:uid="{00000000-0005-0000-0000-00006F350000}"/>
    <cellStyle name="Normal 19 5 2 6" xfId="12879" xr:uid="{00000000-0005-0000-0000-000070350000}"/>
    <cellStyle name="Normal 19 5 3" xfId="12880" xr:uid="{00000000-0005-0000-0000-000071350000}"/>
    <cellStyle name="Normal 19 5 3 2" xfId="12881" xr:uid="{00000000-0005-0000-0000-000072350000}"/>
    <cellStyle name="Normal 19 5 3 3" xfId="12882" xr:uid="{00000000-0005-0000-0000-000073350000}"/>
    <cellStyle name="Normal 19 5 3 4" xfId="12883" xr:uid="{00000000-0005-0000-0000-000074350000}"/>
    <cellStyle name="Normal 19 5 3 5" xfId="12884" xr:uid="{00000000-0005-0000-0000-000075350000}"/>
    <cellStyle name="Normal 19 5 3 6" xfId="12885" xr:uid="{00000000-0005-0000-0000-000076350000}"/>
    <cellStyle name="Normal 19 5 4" xfId="12886" xr:uid="{00000000-0005-0000-0000-000077350000}"/>
    <cellStyle name="Normal 19 5 4 2" xfId="12887" xr:uid="{00000000-0005-0000-0000-000078350000}"/>
    <cellStyle name="Normal 19 5 4 3" xfId="12888" xr:uid="{00000000-0005-0000-0000-000079350000}"/>
    <cellStyle name="Normal 19 5 4 4" xfId="12889" xr:uid="{00000000-0005-0000-0000-00007A350000}"/>
    <cellStyle name="Normal 19 5 4 5" xfId="12890" xr:uid="{00000000-0005-0000-0000-00007B350000}"/>
    <cellStyle name="Normal 19 5 4 6" xfId="12891" xr:uid="{00000000-0005-0000-0000-00007C350000}"/>
    <cellStyle name="Normal 19 5 5" xfId="12892" xr:uid="{00000000-0005-0000-0000-00007D350000}"/>
    <cellStyle name="Normal 19 5 5 2" xfId="12893" xr:uid="{00000000-0005-0000-0000-00007E350000}"/>
    <cellStyle name="Normal 19 5 5 3" xfId="12894" xr:uid="{00000000-0005-0000-0000-00007F350000}"/>
    <cellStyle name="Normal 19 5 5 4" xfId="12895" xr:uid="{00000000-0005-0000-0000-000080350000}"/>
    <cellStyle name="Normal 19 5 5 5" xfId="12896" xr:uid="{00000000-0005-0000-0000-000081350000}"/>
    <cellStyle name="Normal 19 5 5 6" xfId="12897" xr:uid="{00000000-0005-0000-0000-000082350000}"/>
    <cellStyle name="Normal 19 5 6" xfId="12898" xr:uid="{00000000-0005-0000-0000-000083350000}"/>
    <cellStyle name="Normal 19 5 6 2" xfId="12899" xr:uid="{00000000-0005-0000-0000-000084350000}"/>
    <cellStyle name="Normal 19 5 6 3" xfId="12900" xr:uid="{00000000-0005-0000-0000-000085350000}"/>
    <cellStyle name="Normal 19 5 6 4" xfId="12901" xr:uid="{00000000-0005-0000-0000-000086350000}"/>
    <cellStyle name="Normal 19 5 6 5" xfId="12902" xr:uid="{00000000-0005-0000-0000-000087350000}"/>
    <cellStyle name="Normal 19 5 6 6" xfId="12903" xr:uid="{00000000-0005-0000-0000-000088350000}"/>
    <cellStyle name="Normal 19 5 7" xfId="12904" xr:uid="{00000000-0005-0000-0000-000089350000}"/>
    <cellStyle name="Normal 19 5 7 2" xfId="12905" xr:uid="{00000000-0005-0000-0000-00008A350000}"/>
    <cellStyle name="Normal 19 5 7 3" xfId="12906" xr:uid="{00000000-0005-0000-0000-00008B350000}"/>
    <cellStyle name="Normal 19 5 7 4" xfId="12907" xr:uid="{00000000-0005-0000-0000-00008C350000}"/>
    <cellStyle name="Normal 19 5 7 5" xfId="12908" xr:uid="{00000000-0005-0000-0000-00008D350000}"/>
    <cellStyle name="Normal 19 5 7 6" xfId="12909" xr:uid="{00000000-0005-0000-0000-00008E350000}"/>
    <cellStyle name="Normal 19 5 8" xfId="12910" xr:uid="{00000000-0005-0000-0000-00008F350000}"/>
    <cellStyle name="Normal 19 5 8 2" xfId="12911" xr:uid="{00000000-0005-0000-0000-000090350000}"/>
    <cellStyle name="Normal 19 5 8 3" xfId="12912" xr:uid="{00000000-0005-0000-0000-000091350000}"/>
    <cellStyle name="Normal 19 5 8 4" xfId="12913" xr:uid="{00000000-0005-0000-0000-000092350000}"/>
    <cellStyle name="Normal 19 5 8 5" xfId="12914" xr:uid="{00000000-0005-0000-0000-000093350000}"/>
    <cellStyle name="Normal 19 5 8 6" xfId="12915" xr:uid="{00000000-0005-0000-0000-000094350000}"/>
    <cellStyle name="Normal 19 5 9" xfId="12916" xr:uid="{00000000-0005-0000-0000-000095350000}"/>
    <cellStyle name="Normal 19 6" xfId="12917" xr:uid="{00000000-0005-0000-0000-000096350000}"/>
    <cellStyle name="Normal 19 6 10" xfId="12918" xr:uid="{00000000-0005-0000-0000-000097350000}"/>
    <cellStyle name="Normal 19 6 11" xfId="12919" xr:uid="{00000000-0005-0000-0000-000098350000}"/>
    <cellStyle name="Normal 19 6 12" xfId="12920" xr:uid="{00000000-0005-0000-0000-000099350000}"/>
    <cellStyle name="Normal 19 6 13" xfId="12921" xr:uid="{00000000-0005-0000-0000-00009A350000}"/>
    <cellStyle name="Normal 19 6 2" xfId="12922" xr:uid="{00000000-0005-0000-0000-00009B350000}"/>
    <cellStyle name="Normal 19 6 2 2" xfId="12923" xr:uid="{00000000-0005-0000-0000-00009C350000}"/>
    <cellStyle name="Normal 19 6 2 3" xfId="12924" xr:uid="{00000000-0005-0000-0000-00009D350000}"/>
    <cellStyle name="Normal 19 6 2 4" xfId="12925" xr:uid="{00000000-0005-0000-0000-00009E350000}"/>
    <cellStyle name="Normal 19 6 2 5" xfId="12926" xr:uid="{00000000-0005-0000-0000-00009F350000}"/>
    <cellStyle name="Normal 19 6 2 6" xfId="12927" xr:uid="{00000000-0005-0000-0000-0000A0350000}"/>
    <cellStyle name="Normal 19 6 3" xfId="12928" xr:uid="{00000000-0005-0000-0000-0000A1350000}"/>
    <cellStyle name="Normal 19 6 3 2" xfId="12929" xr:uid="{00000000-0005-0000-0000-0000A2350000}"/>
    <cellStyle name="Normal 19 6 3 3" xfId="12930" xr:uid="{00000000-0005-0000-0000-0000A3350000}"/>
    <cellStyle name="Normal 19 6 3 4" xfId="12931" xr:uid="{00000000-0005-0000-0000-0000A4350000}"/>
    <cellStyle name="Normal 19 6 3 5" xfId="12932" xr:uid="{00000000-0005-0000-0000-0000A5350000}"/>
    <cellStyle name="Normal 19 6 3 6" xfId="12933" xr:uid="{00000000-0005-0000-0000-0000A6350000}"/>
    <cellStyle name="Normal 19 6 4" xfId="12934" xr:uid="{00000000-0005-0000-0000-0000A7350000}"/>
    <cellStyle name="Normal 19 6 4 2" xfId="12935" xr:uid="{00000000-0005-0000-0000-0000A8350000}"/>
    <cellStyle name="Normal 19 6 4 3" xfId="12936" xr:uid="{00000000-0005-0000-0000-0000A9350000}"/>
    <cellStyle name="Normal 19 6 4 4" xfId="12937" xr:uid="{00000000-0005-0000-0000-0000AA350000}"/>
    <cellStyle name="Normal 19 6 4 5" xfId="12938" xr:uid="{00000000-0005-0000-0000-0000AB350000}"/>
    <cellStyle name="Normal 19 6 4 6" xfId="12939" xr:uid="{00000000-0005-0000-0000-0000AC350000}"/>
    <cellStyle name="Normal 19 6 5" xfId="12940" xr:uid="{00000000-0005-0000-0000-0000AD350000}"/>
    <cellStyle name="Normal 19 6 5 2" xfId="12941" xr:uid="{00000000-0005-0000-0000-0000AE350000}"/>
    <cellStyle name="Normal 19 6 5 3" xfId="12942" xr:uid="{00000000-0005-0000-0000-0000AF350000}"/>
    <cellStyle name="Normal 19 6 5 4" xfId="12943" xr:uid="{00000000-0005-0000-0000-0000B0350000}"/>
    <cellStyle name="Normal 19 6 5 5" xfId="12944" xr:uid="{00000000-0005-0000-0000-0000B1350000}"/>
    <cellStyle name="Normal 19 6 5 6" xfId="12945" xr:uid="{00000000-0005-0000-0000-0000B2350000}"/>
    <cellStyle name="Normal 19 6 6" xfId="12946" xr:uid="{00000000-0005-0000-0000-0000B3350000}"/>
    <cellStyle name="Normal 19 6 6 2" xfId="12947" xr:uid="{00000000-0005-0000-0000-0000B4350000}"/>
    <cellStyle name="Normal 19 6 6 3" xfId="12948" xr:uid="{00000000-0005-0000-0000-0000B5350000}"/>
    <cellStyle name="Normal 19 6 6 4" xfId="12949" xr:uid="{00000000-0005-0000-0000-0000B6350000}"/>
    <cellStyle name="Normal 19 6 6 5" xfId="12950" xr:uid="{00000000-0005-0000-0000-0000B7350000}"/>
    <cellStyle name="Normal 19 6 6 6" xfId="12951" xr:uid="{00000000-0005-0000-0000-0000B8350000}"/>
    <cellStyle name="Normal 19 6 7" xfId="12952" xr:uid="{00000000-0005-0000-0000-0000B9350000}"/>
    <cellStyle name="Normal 19 6 7 2" xfId="12953" xr:uid="{00000000-0005-0000-0000-0000BA350000}"/>
    <cellStyle name="Normal 19 6 7 3" xfId="12954" xr:uid="{00000000-0005-0000-0000-0000BB350000}"/>
    <cellStyle name="Normal 19 6 7 4" xfId="12955" xr:uid="{00000000-0005-0000-0000-0000BC350000}"/>
    <cellStyle name="Normal 19 6 7 5" xfId="12956" xr:uid="{00000000-0005-0000-0000-0000BD350000}"/>
    <cellStyle name="Normal 19 6 7 6" xfId="12957" xr:uid="{00000000-0005-0000-0000-0000BE350000}"/>
    <cellStyle name="Normal 19 6 8" xfId="12958" xr:uid="{00000000-0005-0000-0000-0000BF350000}"/>
    <cellStyle name="Normal 19 6 8 2" xfId="12959" xr:uid="{00000000-0005-0000-0000-0000C0350000}"/>
    <cellStyle name="Normal 19 6 8 3" xfId="12960" xr:uid="{00000000-0005-0000-0000-0000C1350000}"/>
    <cellStyle name="Normal 19 6 8 4" xfId="12961" xr:uid="{00000000-0005-0000-0000-0000C2350000}"/>
    <cellStyle name="Normal 19 6 8 5" xfId="12962" xr:uid="{00000000-0005-0000-0000-0000C3350000}"/>
    <cellStyle name="Normal 19 6 8 6" xfId="12963" xr:uid="{00000000-0005-0000-0000-0000C4350000}"/>
    <cellStyle name="Normal 19 6 9" xfId="12964" xr:uid="{00000000-0005-0000-0000-0000C5350000}"/>
    <cellStyle name="Normal 19 7" xfId="12965" xr:uid="{00000000-0005-0000-0000-0000C6350000}"/>
    <cellStyle name="Normal 19 7 10" xfId="12966" xr:uid="{00000000-0005-0000-0000-0000C7350000}"/>
    <cellStyle name="Normal 19 7 11" xfId="12967" xr:uid="{00000000-0005-0000-0000-0000C8350000}"/>
    <cellStyle name="Normal 19 7 12" xfId="12968" xr:uid="{00000000-0005-0000-0000-0000C9350000}"/>
    <cellStyle name="Normal 19 7 13" xfId="12969" xr:uid="{00000000-0005-0000-0000-0000CA350000}"/>
    <cellStyle name="Normal 19 7 2" xfId="12970" xr:uid="{00000000-0005-0000-0000-0000CB350000}"/>
    <cellStyle name="Normal 19 7 2 2" xfId="12971" xr:uid="{00000000-0005-0000-0000-0000CC350000}"/>
    <cellStyle name="Normal 19 7 2 3" xfId="12972" xr:uid="{00000000-0005-0000-0000-0000CD350000}"/>
    <cellStyle name="Normal 19 7 2 4" xfId="12973" xr:uid="{00000000-0005-0000-0000-0000CE350000}"/>
    <cellStyle name="Normal 19 7 2 5" xfId="12974" xr:uid="{00000000-0005-0000-0000-0000CF350000}"/>
    <cellStyle name="Normal 19 7 2 6" xfId="12975" xr:uid="{00000000-0005-0000-0000-0000D0350000}"/>
    <cellStyle name="Normal 19 7 3" xfId="12976" xr:uid="{00000000-0005-0000-0000-0000D1350000}"/>
    <cellStyle name="Normal 19 7 3 2" xfId="12977" xr:uid="{00000000-0005-0000-0000-0000D2350000}"/>
    <cellStyle name="Normal 19 7 3 3" xfId="12978" xr:uid="{00000000-0005-0000-0000-0000D3350000}"/>
    <cellStyle name="Normal 19 7 3 4" xfId="12979" xr:uid="{00000000-0005-0000-0000-0000D4350000}"/>
    <cellStyle name="Normal 19 7 3 5" xfId="12980" xr:uid="{00000000-0005-0000-0000-0000D5350000}"/>
    <cellStyle name="Normal 19 7 3 6" xfId="12981" xr:uid="{00000000-0005-0000-0000-0000D6350000}"/>
    <cellStyle name="Normal 19 7 4" xfId="12982" xr:uid="{00000000-0005-0000-0000-0000D7350000}"/>
    <cellStyle name="Normal 19 7 4 2" xfId="12983" xr:uid="{00000000-0005-0000-0000-0000D8350000}"/>
    <cellStyle name="Normal 19 7 4 3" xfId="12984" xr:uid="{00000000-0005-0000-0000-0000D9350000}"/>
    <cellStyle name="Normal 19 7 4 4" xfId="12985" xr:uid="{00000000-0005-0000-0000-0000DA350000}"/>
    <cellStyle name="Normal 19 7 4 5" xfId="12986" xr:uid="{00000000-0005-0000-0000-0000DB350000}"/>
    <cellStyle name="Normal 19 7 4 6" xfId="12987" xr:uid="{00000000-0005-0000-0000-0000DC350000}"/>
    <cellStyle name="Normal 19 7 5" xfId="12988" xr:uid="{00000000-0005-0000-0000-0000DD350000}"/>
    <cellStyle name="Normal 19 7 5 2" xfId="12989" xr:uid="{00000000-0005-0000-0000-0000DE350000}"/>
    <cellStyle name="Normal 19 7 5 3" xfId="12990" xr:uid="{00000000-0005-0000-0000-0000DF350000}"/>
    <cellStyle name="Normal 19 7 5 4" xfId="12991" xr:uid="{00000000-0005-0000-0000-0000E0350000}"/>
    <cellStyle name="Normal 19 7 5 5" xfId="12992" xr:uid="{00000000-0005-0000-0000-0000E1350000}"/>
    <cellStyle name="Normal 19 7 5 6" xfId="12993" xr:uid="{00000000-0005-0000-0000-0000E2350000}"/>
    <cellStyle name="Normal 19 7 6" xfId="12994" xr:uid="{00000000-0005-0000-0000-0000E3350000}"/>
    <cellStyle name="Normal 19 7 6 2" xfId="12995" xr:uid="{00000000-0005-0000-0000-0000E4350000}"/>
    <cellStyle name="Normal 19 7 6 3" xfId="12996" xr:uid="{00000000-0005-0000-0000-0000E5350000}"/>
    <cellStyle name="Normal 19 7 6 4" xfId="12997" xr:uid="{00000000-0005-0000-0000-0000E6350000}"/>
    <cellStyle name="Normal 19 7 6 5" xfId="12998" xr:uid="{00000000-0005-0000-0000-0000E7350000}"/>
    <cellStyle name="Normal 19 7 6 6" xfId="12999" xr:uid="{00000000-0005-0000-0000-0000E8350000}"/>
    <cellStyle name="Normal 19 7 7" xfId="13000" xr:uid="{00000000-0005-0000-0000-0000E9350000}"/>
    <cellStyle name="Normal 19 7 7 2" xfId="13001" xr:uid="{00000000-0005-0000-0000-0000EA350000}"/>
    <cellStyle name="Normal 19 7 7 3" xfId="13002" xr:uid="{00000000-0005-0000-0000-0000EB350000}"/>
    <cellStyle name="Normal 19 7 7 4" xfId="13003" xr:uid="{00000000-0005-0000-0000-0000EC350000}"/>
    <cellStyle name="Normal 19 7 7 5" xfId="13004" xr:uid="{00000000-0005-0000-0000-0000ED350000}"/>
    <cellStyle name="Normal 19 7 7 6" xfId="13005" xr:uid="{00000000-0005-0000-0000-0000EE350000}"/>
    <cellStyle name="Normal 19 7 8" xfId="13006" xr:uid="{00000000-0005-0000-0000-0000EF350000}"/>
    <cellStyle name="Normal 19 7 8 2" xfId="13007" xr:uid="{00000000-0005-0000-0000-0000F0350000}"/>
    <cellStyle name="Normal 19 7 8 3" xfId="13008" xr:uid="{00000000-0005-0000-0000-0000F1350000}"/>
    <cellStyle name="Normal 19 7 8 4" xfId="13009" xr:uid="{00000000-0005-0000-0000-0000F2350000}"/>
    <cellStyle name="Normal 19 7 8 5" xfId="13010" xr:uid="{00000000-0005-0000-0000-0000F3350000}"/>
    <cellStyle name="Normal 19 7 8 6" xfId="13011" xr:uid="{00000000-0005-0000-0000-0000F4350000}"/>
    <cellStyle name="Normal 19 7 9" xfId="13012" xr:uid="{00000000-0005-0000-0000-0000F5350000}"/>
    <cellStyle name="Normal 19 8" xfId="13013" xr:uid="{00000000-0005-0000-0000-0000F6350000}"/>
    <cellStyle name="Normal 19 8 10" xfId="13014" xr:uid="{00000000-0005-0000-0000-0000F7350000}"/>
    <cellStyle name="Normal 19 8 11" xfId="13015" xr:uid="{00000000-0005-0000-0000-0000F8350000}"/>
    <cellStyle name="Normal 19 8 12" xfId="13016" xr:uid="{00000000-0005-0000-0000-0000F9350000}"/>
    <cellStyle name="Normal 19 8 13" xfId="13017" xr:uid="{00000000-0005-0000-0000-0000FA350000}"/>
    <cellStyle name="Normal 19 8 2" xfId="13018" xr:uid="{00000000-0005-0000-0000-0000FB350000}"/>
    <cellStyle name="Normal 19 8 2 2" xfId="13019" xr:uid="{00000000-0005-0000-0000-0000FC350000}"/>
    <cellStyle name="Normal 19 8 2 3" xfId="13020" xr:uid="{00000000-0005-0000-0000-0000FD350000}"/>
    <cellStyle name="Normal 19 8 2 4" xfId="13021" xr:uid="{00000000-0005-0000-0000-0000FE350000}"/>
    <cellStyle name="Normal 19 8 2 5" xfId="13022" xr:uid="{00000000-0005-0000-0000-0000FF350000}"/>
    <cellStyle name="Normal 19 8 2 6" xfId="13023" xr:uid="{00000000-0005-0000-0000-000000360000}"/>
    <cellStyle name="Normal 19 8 3" xfId="13024" xr:uid="{00000000-0005-0000-0000-000001360000}"/>
    <cellStyle name="Normal 19 8 3 2" xfId="13025" xr:uid="{00000000-0005-0000-0000-000002360000}"/>
    <cellStyle name="Normal 19 8 3 3" xfId="13026" xr:uid="{00000000-0005-0000-0000-000003360000}"/>
    <cellStyle name="Normal 19 8 3 4" xfId="13027" xr:uid="{00000000-0005-0000-0000-000004360000}"/>
    <cellStyle name="Normal 19 8 3 5" xfId="13028" xr:uid="{00000000-0005-0000-0000-000005360000}"/>
    <cellStyle name="Normal 19 8 3 6" xfId="13029" xr:uid="{00000000-0005-0000-0000-000006360000}"/>
    <cellStyle name="Normal 19 8 4" xfId="13030" xr:uid="{00000000-0005-0000-0000-000007360000}"/>
    <cellStyle name="Normal 19 8 4 2" xfId="13031" xr:uid="{00000000-0005-0000-0000-000008360000}"/>
    <cellStyle name="Normal 19 8 4 3" xfId="13032" xr:uid="{00000000-0005-0000-0000-000009360000}"/>
    <cellStyle name="Normal 19 8 4 4" xfId="13033" xr:uid="{00000000-0005-0000-0000-00000A360000}"/>
    <cellStyle name="Normal 19 8 4 5" xfId="13034" xr:uid="{00000000-0005-0000-0000-00000B360000}"/>
    <cellStyle name="Normal 19 8 4 6" xfId="13035" xr:uid="{00000000-0005-0000-0000-00000C360000}"/>
    <cellStyle name="Normal 19 8 5" xfId="13036" xr:uid="{00000000-0005-0000-0000-00000D360000}"/>
    <cellStyle name="Normal 19 8 5 2" xfId="13037" xr:uid="{00000000-0005-0000-0000-00000E360000}"/>
    <cellStyle name="Normal 19 8 5 3" xfId="13038" xr:uid="{00000000-0005-0000-0000-00000F360000}"/>
    <cellStyle name="Normal 19 8 5 4" xfId="13039" xr:uid="{00000000-0005-0000-0000-000010360000}"/>
    <cellStyle name="Normal 19 8 5 5" xfId="13040" xr:uid="{00000000-0005-0000-0000-000011360000}"/>
    <cellStyle name="Normal 19 8 5 6" xfId="13041" xr:uid="{00000000-0005-0000-0000-000012360000}"/>
    <cellStyle name="Normal 19 8 6" xfId="13042" xr:uid="{00000000-0005-0000-0000-000013360000}"/>
    <cellStyle name="Normal 19 8 6 2" xfId="13043" xr:uid="{00000000-0005-0000-0000-000014360000}"/>
    <cellStyle name="Normal 19 8 6 3" xfId="13044" xr:uid="{00000000-0005-0000-0000-000015360000}"/>
    <cellStyle name="Normal 19 8 6 4" xfId="13045" xr:uid="{00000000-0005-0000-0000-000016360000}"/>
    <cellStyle name="Normal 19 8 6 5" xfId="13046" xr:uid="{00000000-0005-0000-0000-000017360000}"/>
    <cellStyle name="Normal 19 8 6 6" xfId="13047" xr:uid="{00000000-0005-0000-0000-000018360000}"/>
    <cellStyle name="Normal 19 8 7" xfId="13048" xr:uid="{00000000-0005-0000-0000-000019360000}"/>
    <cellStyle name="Normal 19 8 7 2" xfId="13049" xr:uid="{00000000-0005-0000-0000-00001A360000}"/>
    <cellStyle name="Normal 19 8 7 3" xfId="13050" xr:uid="{00000000-0005-0000-0000-00001B360000}"/>
    <cellStyle name="Normal 19 8 7 4" xfId="13051" xr:uid="{00000000-0005-0000-0000-00001C360000}"/>
    <cellStyle name="Normal 19 8 7 5" xfId="13052" xr:uid="{00000000-0005-0000-0000-00001D360000}"/>
    <cellStyle name="Normal 19 8 7 6" xfId="13053" xr:uid="{00000000-0005-0000-0000-00001E360000}"/>
    <cellStyle name="Normal 19 8 8" xfId="13054" xr:uid="{00000000-0005-0000-0000-00001F360000}"/>
    <cellStyle name="Normal 19 8 8 2" xfId="13055" xr:uid="{00000000-0005-0000-0000-000020360000}"/>
    <cellStyle name="Normal 19 8 8 3" xfId="13056" xr:uid="{00000000-0005-0000-0000-000021360000}"/>
    <cellStyle name="Normal 19 8 8 4" xfId="13057" xr:uid="{00000000-0005-0000-0000-000022360000}"/>
    <cellStyle name="Normal 19 8 8 5" xfId="13058" xr:uid="{00000000-0005-0000-0000-000023360000}"/>
    <cellStyle name="Normal 19 8 8 6" xfId="13059" xr:uid="{00000000-0005-0000-0000-000024360000}"/>
    <cellStyle name="Normal 19 8 9" xfId="13060" xr:uid="{00000000-0005-0000-0000-000025360000}"/>
    <cellStyle name="Normal 19 9" xfId="13061" xr:uid="{00000000-0005-0000-0000-000026360000}"/>
    <cellStyle name="Normal 19 9 10" xfId="13062" xr:uid="{00000000-0005-0000-0000-000027360000}"/>
    <cellStyle name="Normal 19 9 11" xfId="13063" xr:uid="{00000000-0005-0000-0000-000028360000}"/>
    <cellStyle name="Normal 19 9 12" xfId="13064" xr:uid="{00000000-0005-0000-0000-000029360000}"/>
    <cellStyle name="Normal 19 9 13" xfId="13065" xr:uid="{00000000-0005-0000-0000-00002A360000}"/>
    <cellStyle name="Normal 19 9 2" xfId="13066" xr:uid="{00000000-0005-0000-0000-00002B360000}"/>
    <cellStyle name="Normal 19 9 2 2" xfId="13067" xr:uid="{00000000-0005-0000-0000-00002C360000}"/>
    <cellStyle name="Normal 19 9 2 3" xfId="13068" xr:uid="{00000000-0005-0000-0000-00002D360000}"/>
    <cellStyle name="Normal 19 9 2 4" xfId="13069" xr:uid="{00000000-0005-0000-0000-00002E360000}"/>
    <cellStyle name="Normal 19 9 2 5" xfId="13070" xr:uid="{00000000-0005-0000-0000-00002F360000}"/>
    <cellStyle name="Normal 19 9 2 6" xfId="13071" xr:uid="{00000000-0005-0000-0000-000030360000}"/>
    <cellStyle name="Normal 19 9 3" xfId="13072" xr:uid="{00000000-0005-0000-0000-000031360000}"/>
    <cellStyle name="Normal 19 9 3 2" xfId="13073" xr:uid="{00000000-0005-0000-0000-000032360000}"/>
    <cellStyle name="Normal 19 9 3 3" xfId="13074" xr:uid="{00000000-0005-0000-0000-000033360000}"/>
    <cellStyle name="Normal 19 9 3 4" xfId="13075" xr:uid="{00000000-0005-0000-0000-000034360000}"/>
    <cellStyle name="Normal 19 9 3 5" xfId="13076" xr:uid="{00000000-0005-0000-0000-000035360000}"/>
    <cellStyle name="Normal 19 9 3 6" xfId="13077" xr:uid="{00000000-0005-0000-0000-000036360000}"/>
    <cellStyle name="Normal 19 9 4" xfId="13078" xr:uid="{00000000-0005-0000-0000-000037360000}"/>
    <cellStyle name="Normal 19 9 4 2" xfId="13079" xr:uid="{00000000-0005-0000-0000-000038360000}"/>
    <cellStyle name="Normal 19 9 4 3" xfId="13080" xr:uid="{00000000-0005-0000-0000-000039360000}"/>
    <cellStyle name="Normal 19 9 4 4" xfId="13081" xr:uid="{00000000-0005-0000-0000-00003A360000}"/>
    <cellStyle name="Normal 19 9 4 5" xfId="13082" xr:uid="{00000000-0005-0000-0000-00003B360000}"/>
    <cellStyle name="Normal 19 9 4 6" xfId="13083" xr:uid="{00000000-0005-0000-0000-00003C360000}"/>
    <cellStyle name="Normal 19 9 5" xfId="13084" xr:uid="{00000000-0005-0000-0000-00003D360000}"/>
    <cellStyle name="Normal 19 9 5 2" xfId="13085" xr:uid="{00000000-0005-0000-0000-00003E360000}"/>
    <cellStyle name="Normal 19 9 5 3" xfId="13086" xr:uid="{00000000-0005-0000-0000-00003F360000}"/>
    <cellStyle name="Normal 19 9 5 4" xfId="13087" xr:uid="{00000000-0005-0000-0000-000040360000}"/>
    <cellStyle name="Normal 19 9 5 5" xfId="13088" xr:uid="{00000000-0005-0000-0000-000041360000}"/>
    <cellStyle name="Normal 19 9 5 6" xfId="13089" xr:uid="{00000000-0005-0000-0000-000042360000}"/>
    <cellStyle name="Normal 19 9 6" xfId="13090" xr:uid="{00000000-0005-0000-0000-000043360000}"/>
    <cellStyle name="Normal 19 9 6 2" xfId="13091" xr:uid="{00000000-0005-0000-0000-000044360000}"/>
    <cellStyle name="Normal 19 9 6 3" xfId="13092" xr:uid="{00000000-0005-0000-0000-000045360000}"/>
    <cellStyle name="Normal 19 9 6 4" xfId="13093" xr:uid="{00000000-0005-0000-0000-000046360000}"/>
    <cellStyle name="Normal 19 9 6 5" xfId="13094" xr:uid="{00000000-0005-0000-0000-000047360000}"/>
    <cellStyle name="Normal 19 9 6 6" xfId="13095" xr:uid="{00000000-0005-0000-0000-000048360000}"/>
    <cellStyle name="Normal 19 9 7" xfId="13096" xr:uid="{00000000-0005-0000-0000-000049360000}"/>
    <cellStyle name="Normal 19 9 7 2" xfId="13097" xr:uid="{00000000-0005-0000-0000-00004A360000}"/>
    <cellStyle name="Normal 19 9 7 3" xfId="13098" xr:uid="{00000000-0005-0000-0000-00004B360000}"/>
    <cellStyle name="Normal 19 9 7 4" xfId="13099" xr:uid="{00000000-0005-0000-0000-00004C360000}"/>
    <cellStyle name="Normal 19 9 7 5" xfId="13100" xr:uid="{00000000-0005-0000-0000-00004D360000}"/>
    <cellStyle name="Normal 19 9 7 6" xfId="13101" xr:uid="{00000000-0005-0000-0000-00004E360000}"/>
    <cellStyle name="Normal 19 9 8" xfId="13102" xr:uid="{00000000-0005-0000-0000-00004F360000}"/>
    <cellStyle name="Normal 19 9 8 2" xfId="13103" xr:uid="{00000000-0005-0000-0000-000050360000}"/>
    <cellStyle name="Normal 19 9 8 3" xfId="13104" xr:uid="{00000000-0005-0000-0000-000051360000}"/>
    <cellStyle name="Normal 19 9 8 4" xfId="13105" xr:uid="{00000000-0005-0000-0000-000052360000}"/>
    <cellStyle name="Normal 19 9 8 5" xfId="13106" xr:uid="{00000000-0005-0000-0000-000053360000}"/>
    <cellStyle name="Normal 19 9 8 6" xfId="13107" xr:uid="{00000000-0005-0000-0000-000054360000}"/>
    <cellStyle name="Normal 19 9 9" xfId="13108" xr:uid="{00000000-0005-0000-0000-000055360000}"/>
    <cellStyle name="Normal 2" xfId="850" xr:uid="{00000000-0005-0000-0000-000056360000}"/>
    <cellStyle name="Normal 2 10" xfId="3" xr:uid="{00000000-0005-0000-0000-000057360000}"/>
    <cellStyle name="Normal 2 10 10" xfId="13110" xr:uid="{00000000-0005-0000-0000-000058360000}"/>
    <cellStyle name="Normal 2 10 11" xfId="13111" xr:uid="{00000000-0005-0000-0000-000059360000}"/>
    <cellStyle name="Normal 2 10 12" xfId="13112" xr:uid="{00000000-0005-0000-0000-00005A360000}"/>
    <cellStyle name="Normal 2 10 13" xfId="13113" xr:uid="{00000000-0005-0000-0000-00005B360000}"/>
    <cellStyle name="Normal 2 10 14" xfId="13114" xr:uid="{00000000-0005-0000-0000-00005C360000}"/>
    <cellStyle name="Normal 2 10 15" xfId="13115" xr:uid="{00000000-0005-0000-0000-00005D360000}"/>
    <cellStyle name="Normal 2 10 16" xfId="13116" xr:uid="{00000000-0005-0000-0000-00005E360000}"/>
    <cellStyle name="Normal 2 10 17" xfId="13117" xr:uid="{00000000-0005-0000-0000-00005F360000}"/>
    <cellStyle name="Normal 2 10 18" xfId="13118" xr:uid="{00000000-0005-0000-0000-000060360000}"/>
    <cellStyle name="Normal 2 10 19" xfId="13119" xr:uid="{00000000-0005-0000-0000-000061360000}"/>
    <cellStyle name="Normal 2 10 2" xfId="13120" xr:uid="{00000000-0005-0000-0000-000062360000}"/>
    <cellStyle name="Normal 2 10 2 2" xfId="13121" xr:uid="{00000000-0005-0000-0000-000063360000}"/>
    <cellStyle name="Normal 2 10 2 2 2" xfId="13122" xr:uid="{00000000-0005-0000-0000-000064360000}"/>
    <cellStyle name="Normal 2 10 2 2 2 2" xfId="13123" xr:uid="{00000000-0005-0000-0000-000065360000}"/>
    <cellStyle name="Normal 2 10 2 2 2 3" xfId="13124" xr:uid="{00000000-0005-0000-0000-000066360000}"/>
    <cellStyle name="Normal 2 10 20" xfId="13125" xr:uid="{00000000-0005-0000-0000-000067360000}"/>
    <cellStyle name="Normal 2 10 21" xfId="13126" xr:uid="{00000000-0005-0000-0000-000068360000}"/>
    <cellStyle name="Normal 2 10 22" xfId="13127" xr:uid="{00000000-0005-0000-0000-000069360000}"/>
    <cellStyle name="Normal 2 10 23" xfId="13128" xr:uid="{00000000-0005-0000-0000-00006A360000}"/>
    <cellStyle name="Normal 2 10 24" xfId="13129" xr:uid="{00000000-0005-0000-0000-00006B360000}"/>
    <cellStyle name="Normal 2 10 25" xfId="13130" xr:uid="{00000000-0005-0000-0000-00006C360000}"/>
    <cellStyle name="Normal 2 10 26" xfId="13131" xr:uid="{00000000-0005-0000-0000-00006D360000}"/>
    <cellStyle name="Normal 2 10 27" xfId="13132" xr:uid="{00000000-0005-0000-0000-00006E360000}"/>
    <cellStyle name="Normal 2 10 28" xfId="13133" xr:uid="{00000000-0005-0000-0000-00006F360000}"/>
    <cellStyle name="Normal 2 10 29" xfId="13134" xr:uid="{00000000-0005-0000-0000-000070360000}"/>
    <cellStyle name="Normal 2 10 3" xfId="13135" xr:uid="{00000000-0005-0000-0000-000071360000}"/>
    <cellStyle name="Normal 2 10 30" xfId="13136" xr:uid="{00000000-0005-0000-0000-000072360000}"/>
    <cellStyle name="Normal 2 10 31" xfId="13137" xr:uid="{00000000-0005-0000-0000-000073360000}"/>
    <cellStyle name="Normal 2 10 32" xfId="13138" xr:uid="{00000000-0005-0000-0000-000074360000}"/>
    <cellStyle name="Normal 2 10 33" xfId="13139" xr:uid="{00000000-0005-0000-0000-000075360000}"/>
    <cellStyle name="Normal 2 10 34" xfId="13140" xr:uid="{00000000-0005-0000-0000-000076360000}"/>
    <cellStyle name="Normal 2 10 35" xfId="13141" xr:uid="{00000000-0005-0000-0000-000077360000}"/>
    <cellStyle name="Normal 2 10 36" xfId="13142" xr:uid="{00000000-0005-0000-0000-000078360000}"/>
    <cellStyle name="Normal 2 10 37" xfId="13143" xr:uid="{00000000-0005-0000-0000-000079360000}"/>
    <cellStyle name="Normal 2 10 38" xfId="13144" xr:uid="{00000000-0005-0000-0000-00007A360000}"/>
    <cellStyle name="Normal 2 10 39" xfId="13145" xr:uid="{00000000-0005-0000-0000-00007B360000}"/>
    <cellStyle name="Normal 2 10 4" xfId="13146" xr:uid="{00000000-0005-0000-0000-00007C360000}"/>
    <cellStyle name="Normal 2 10 40" xfId="13147" xr:uid="{00000000-0005-0000-0000-00007D360000}"/>
    <cellStyle name="Normal 2 10 41" xfId="13148" xr:uid="{00000000-0005-0000-0000-00007E360000}"/>
    <cellStyle name="Normal 2 10 42" xfId="13149" xr:uid="{00000000-0005-0000-0000-00007F360000}"/>
    <cellStyle name="Normal 2 10 43" xfId="13150" xr:uid="{00000000-0005-0000-0000-000080360000}"/>
    <cellStyle name="Normal 2 10 44" xfId="13151" xr:uid="{00000000-0005-0000-0000-000081360000}"/>
    <cellStyle name="Normal 2 10 45" xfId="13152" xr:uid="{00000000-0005-0000-0000-000082360000}"/>
    <cellStyle name="Normal 2 10 46" xfId="13153" xr:uid="{00000000-0005-0000-0000-000083360000}"/>
    <cellStyle name="Normal 2 10 47" xfId="13154" xr:uid="{00000000-0005-0000-0000-000084360000}"/>
    <cellStyle name="Normal 2 10 48" xfId="13155" xr:uid="{00000000-0005-0000-0000-000085360000}"/>
    <cellStyle name="Normal 2 10 49" xfId="13156" xr:uid="{00000000-0005-0000-0000-000086360000}"/>
    <cellStyle name="Normal 2 10 5" xfId="13157" xr:uid="{00000000-0005-0000-0000-000087360000}"/>
    <cellStyle name="Normal 2 10 50" xfId="13158" xr:uid="{00000000-0005-0000-0000-000088360000}"/>
    <cellStyle name="Normal 2 10 51" xfId="13159" xr:uid="{00000000-0005-0000-0000-000089360000}"/>
    <cellStyle name="Normal 2 10 52" xfId="13160" xr:uid="{00000000-0005-0000-0000-00008A360000}"/>
    <cellStyle name="Normal 2 10 53" xfId="13161" xr:uid="{00000000-0005-0000-0000-00008B360000}"/>
    <cellStyle name="Normal 2 10 54" xfId="13109" xr:uid="{00000000-0005-0000-0000-00008C360000}"/>
    <cellStyle name="Normal 2 10 6" xfId="13162" xr:uid="{00000000-0005-0000-0000-00008D360000}"/>
    <cellStyle name="Normal 2 10 7" xfId="13163" xr:uid="{00000000-0005-0000-0000-00008E360000}"/>
    <cellStyle name="Normal 2 10 8" xfId="13164" xr:uid="{00000000-0005-0000-0000-00008F360000}"/>
    <cellStyle name="Normal 2 10 9" xfId="13165" xr:uid="{00000000-0005-0000-0000-000090360000}"/>
    <cellStyle name="Normal 2 100" xfId="43575" xr:uid="{00000000-0005-0000-0000-000091360000}"/>
    <cellStyle name="Normal 2 101" xfId="43968" xr:uid="{00000000-0005-0000-0000-000092360000}"/>
    <cellStyle name="Normal 2 11" xfId="13166" xr:uid="{00000000-0005-0000-0000-000093360000}"/>
    <cellStyle name="Normal 2 11 10" xfId="13167" xr:uid="{00000000-0005-0000-0000-000094360000}"/>
    <cellStyle name="Normal 2 11 11" xfId="13168" xr:uid="{00000000-0005-0000-0000-000095360000}"/>
    <cellStyle name="Normal 2 11 12" xfId="13169" xr:uid="{00000000-0005-0000-0000-000096360000}"/>
    <cellStyle name="Normal 2 11 13" xfId="13170" xr:uid="{00000000-0005-0000-0000-000097360000}"/>
    <cellStyle name="Normal 2 11 14" xfId="13171" xr:uid="{00000000-0005-0000-0000-000098360000}"/>
    <cellStyle name="Normal 2 11 15" xfId="13172" xr:uid="{00000000-0005-0000-0000-000099360000}"/>
    <cellStyle name="Normal 2 11 16" xfId="13173" xr:uid="{00000000-0005-0000-0000-00009A360000}"/>
    <cellStyle name="Normal 2 11 17" xfId="13174" xr:uid="{00000000-0005-0000-0000-00009B360000}"/>
    <cellStyle name="Normal 2 11 18" xfId="13175" xr:uid="{00000000-0005-0000-0000-00009C360000}"/>
    <cellStyle name="Normal 2 11 19" xfId="13176" xr:uid="{00000000-0005-0000-0000-00009D360000}"/>
    <cellStyle name="Normal 2 11 2" xfId="13177" xr:uid="{00000000-0005-0000-0000-00009E360000}"/>
    <cellStyle name="Normal 2 11 20" xfId="13178" xr:uid="{00000000-0005-0000-0000-00009F360000}"/>
    <cellStyle name="Normal 2 11 21" xfId="13179" xr:uid="{00000000-0005-0000-0000-0000A0360000}"/>
    <cellStyle name="Normal 2 11 22" xfId="13180" xr:uid="{00000000-0005-0000-0000-0000A1360000}"/>
    <cellStyle name="Normal 2 11 23" xfId="13181" xr:uid="{00000000-0005-0000-0000-0000A2360000}"/>
    <cellStyle name="Normal 2 11 24" xfId="13182" xr:uid="{00000000-0005-0000-0000-0000A3360000}"/>
    <cellStyle name="Normal 2 11 25" xfId="13183" xr:uid="{00000000-0005-0000-0000-0000A4360000}"/>
    <cellStyle name="Normal 2 11 26" xfId="13184" xr:uid="{00000000-0005-0000-0000-0000A5360000}"/>
    <cellStyle name="Normal 2 11 27" xfId="13185" xr:uid="{00000000-0005-0000-0000-0000A6360000}"/>
    <cellStyle name="Normal 2 11 28" xfId="13186" xr:uid="{00000000-0005-0000-0000-0000A7360000}"/>
    <cellStyle name="Normal 2 11 29" xfId="13187" xr:uid="{00000000-0005-0000-0000-0000A8360000}"/>
    <cellStyle name="Normal 2 11 3" xfId="13188" xr:uid="{00000000-0005-0000-0000-0000A9360000}"/>
    <cellStyle name="Normal 2 11 30" xfId="13189" xr:uid="{00000000-0005-0000-0000-0000AA360000}"/>
    <cellStyle name="Normal 2 11 31" xfId="13190" xr:uid="{00000000-0005-0000-0000-0000AB360000}"/>
    <cellStyle name="Normal 2 11 32" xfId="13191" xr:uid="{00000000-0005-0000-0000-0000AC360000}"/>
    <cellStyle name="Normal 2 11 33" xfId="13192" xr:uid="{00000000-0005-0000-0000-0000AD360000}"/>
    <cellStyle name="Normal 2 11 34" xfId="13193" xr:uid="{00000000-0005-0000-0000-0000AE360000}"/>
    <cellStyle name="Normal 2 11 35" xfId="13194" xr:uid="{00000000-0005-0000-0000-0000AF360000}"/>
    <cellStyle name="Normal 2 11 36" xfId="13195" xr:uid="{00000000-0005-0000-0000-0000B0360000}"/>
    <cellStyle name="Normal 2 11 37" xfId="13196" xr:uid="{00000000-0005-0000-0000-0000B1360000}"/>
    <cellStyle name="Normal 2 11 38" xfId="13197" xr:uid="{00000000-0005-0000-0000-0000B2360000}"/>
    <cellStyle name="Normal 2 11 39" xfId="13198" xr:uid="{00000000-0005-0000-0000-0000B3360000}"/>
    <cellStyle name="Normal 2 11 4" xfId="13199" xr:uid="{00000000-0005-0000-0000-0000B4360000}"/>
    <cellStyle name="Normal 2 11 40" xfId="13200" xr:uid="{00000000-0005-0000-0000-0000B5360000}"/>
    <cellStyle name="Normal 2 11 41" xfId="13201" xr:uid="{00000000-0005-0000-0000-0000B6360000}"/>
    <cellStyle name="Normal 2 11 42" xfId="13202" xr:uid="{00000000-0005-0000-0000-0000B7360000}"/>
    <cellStyle name="Normal 2 11 43" xfId="13203" xr:uid="{00000000-0005-0000-0000-0000B8360000}"/>
    <cellStyle name="Normal 2 11 44" xfId="13204" xr:uid="{00000000-0005-0000-0000-0000B9360000}"/>
    <cellStyle name="Normal 2 11 45" xfId="13205" xr:uid="{00000000-0005-0000-0000-0000BA360000}"/>
    <cellStyle name="Normal 2 11 46" xfId="13206" xr:uid="{00000000-0005-0000-0000-0000BB360000}"/>
    <cellStyle name="Normal 2 11 47" xfId="13207" xr:uid="{00000000-0005-0000-0000-0000BC360000}"/>
    <cellStyle name="Normal 2 11 48" xfId="13208" xr:uid="{00000000-0005-0000-0000-0000BD360000}"/>
    <cellStyle name="Normal 2 11 49" xfId="13209" xr:uid="{00000000-0005-0000-0000-0000BE360000}"/>
    <cellStyle name="Normal 2 11 5" xfId="13210" xr:uid="{00000000-0005-0000-0000-0000BF360000}"/>
    <cellStyle name="Normal 2 11 50" xfId="13211" xr:uid="{00000000-0005-0000-0000-0000C0360000}"/>
    <cellStyle name="Normal 2 11 51" xfId="13212" xr:uid="{00000000-0005-0000-0000-0000C1360000}"/>
    <cellStyle name="Normal 2 11 52" xfId="13213" xr:uid="{00000000-0005-0000-0000-0000C2360000}"/>
    <cellStyle name="Normal 2 11 53" xfId="13214" xr:uid="{00000000-0005-0000-0000-0000C3360000}"/>
    <cellStyle name="Normal 2 11 6" xfId="13215" xr:uid="{00000000-0005-0000-0000-0000C4360000}"/>
    <cellStyle name="Normal 2 11 7" xfId="13216" xr:uid="{00000000-0005-0000-0000-0000C5360000}"/>
    <cellStyle name="Normal 2 11 8" xfId="13217" xr:uid="{00000000-0005-0000-0000-0000C6360000}"/>
    <cellStyle name="Normal 2 11 9" xfId="13218" xr:uid="{00000000-0005-0000-0000-0000C7360000}"/>
    <cellStyle name="Normal 2 12" xfId="13219" xr:uid="{00000000-0005-0000-0000-0000C8360000}"/>
    <cellStyle name="Normal 2 12 10" xfId="13220" xr:uid="{00000000-0005-0000-0000-0000C9360000}"/>
    <cellStyle name="Normal 2 12 11" xfId="13221" xr:uid="{00000000-0005-0000-0000-0000CA360000}"/>
    <cellStyle name="Normal 2 12 12" xfId="13222" xr:uid="{00000000-0005-0000-0000-0000CB360000}"/>
    <cellStyle name="Normal 2 12 13" xfId="13223" xr:uid="{00000000-0005-0000-0000-0000CC360000}"/>
    <cellStyle name="Normal 2 12 14" xfId="13224" xr:uid="{00000000-0005-0000-0000-0000CD360000}"/>
    <cellStyle name="Normal 2 12 15" xfId="13225" xr:uid="{00000000-0005-0000-0000-0000CE360000}"/>
    <cellStyle name="Normal 2 12 16" xfId="13226" xr:uid="{00000000-0005-0000-0000-0000CF360000}"/>
    <cellStyle name="Normal 2 12 17" xfId="13227" xr:uid="{00000000-0005-0000-0000-0000D0360000}"/>
    <cellStyle name="Normal 2 12 18" xfId="13228" xr:uid="{00000000-0005-0000-0000-0000D1360000}"/>
    <cellStyle name="Normal 2 12 19" xfId="13229" xr:uid="{00000000-0005-0000-0000-0000D2360000}"/>
    <cellStyle name="Normal 2 12 2" xfId="13230" xr:uid="{00000000-0005-0000-0000-0000D3360000}"/>
    <cellStyle name="Normal 2 12 20" xfId="13231" xr:uid="{00000000-0005-0000-0000-0000D4360000}"/>
    <cellStyle name="Normal 2 12 21" xfId="13232" xr:uid="{00000000-0005-0000-0000-0000D5360000}"/>
    <cellStyle name="Normal 2 12 22" xfId="13233" xr:uid="{00000000-0005-0000-0000-0000D6360000}"/>
    <cellStyle name="Normal 2 12 23" xfId="13234" xr:uid="{00000000-0005-0000-0000-0000D7360000}"/>
    <cellStyle name="Normal 2 12 24" xfId="13235" xr:uid="{00000000-0005-0000-0000-0000D8360000}"/>
    <cellStyle name="Normal 2 12 25" xfId="13236" xr:uid="{00000000-0005-0000-0000-0000D9360000}"/>
    <cellStyle name="Normal 2 12 26" xfId="13237" xr:uid="{00000000-0005-0000-0000-0000DA360000}"/>
    <cellStyle name="Normal 2 12 27" xfId="13238" xr:uid="{00000000-0005-0000-0000-0000DB360000}"/>
    <cellStyle name="Normal 2 12 28" xfId="13239" xr:uid="{00000000-0005-0000-0000-0000DC360000}"/>
    <cellStyle name="Normal 2 12 29" xfId="13240" xr:uid="{00000000-0005-0000-0000-0000DD360000}"/>
    <cellStyle name="Normal 2 12 3" xfId="13241" xr:uid="{00000000-0005-0000-0000-0000DE360000}"/>
    <cellStyle name="Normal 2 12 30" xfId="13242" xr:uid="{00000000-0005-0000-0000-0000DF360000}"/>
    <cellStyle name="Normal 2 12 31" xfId="13243" xr:uid="{00000000-0005-0000-0000-0000E0360000}"/>
    <cellStyle name="Normal 2 12 32" xfId="13244" xr:uid="{00000000-0005-0000-0000-0000E1360000}"/>
    <cellStyle name="Normal 2 12 33" xfId="13245" xr:uid="{00000000-0005-0000-0000-0000E2360000}"/>
    <cellStyle name="Normal 2 12 34" xfId="13246" xr:uid="{00000000-0005-0000-0000-0000E3360000}"/>
    <cellStyle name="Normal 2 12 35" xfId="13247" xr:uid="{00000000-0005-0000-0000-0000E4360000}"/>
    <cellStyle name="Normal 2 12 36" xfId="13248" xr:uid="{00000000-0005-0000-0000-0000E5360000}"/>
    <cellStyle name="Normal 2 12 37" xfId="13249" xr:uid="{00000000-0005-0000-0000-0000E6360000}"/>
    <cellStyle name="Normal 2 12 38" xfId="13250" xr:uid="{00000000-0005-0000-0000-0000E7360000}"/>
    <cellStyle name="Normal 2 12 39" xfId="13251" xr:uid="{00000000-0005-0000-0000-0000E8360000}"/>
    <cellStyle name="Normal 2 12 4" xfId="13252" xr:uid="{00000000-0005-0000-0000-0000E9360000}"/>
    <cellStyle name="Normal 2 12 40" xfId="13253" xr:uid="{00000000-0005-0000-0000-0000EA360000}"/>
    <cellStyle name="Normal 2 12 41" xfId="13254" xr:uid="{00000000-0005-0000-0000-0000EB360000}"/>
    <cellStyle name="Normal 2 12 42" xfId="13255" xr:uid="{00000000-0005-0000-0000-0000EC360000}"/>
    <cellStyle name="Normal 2 12 43" xfId="13256" xr:uid="{00000000-0005-0000-0000-0000ED360000}"/>
    <cellStyle name="Normal 2 12 44" xfId="13257" xr:uid="{00000000-0005-0000-0000-0000EE360000}"/>
    <cellStyle name="Normal 2 12 45" xfId="13258" xr:uid="{00000000-0005-0000-0000-0000EF360000}"/>
    <cellStyle name="Normal 2 12 46" xfId="13259" xr:uid="{00000000-0005-0000-0000-0000F0360000}"/>
    <cellStyle name="Normal 2 12 47" xfId="13260" xr:uid="{00000000-0005-0000-0000-0000F1360000}"/>
    <cellStyle name="Normal 2 12 48" xfId="13261" xr:uid="{00000000-0005-0000-0000-0000F2360000}"/>
    <cellStyle name="Normal 2 12 49" xfId="13262" xr:uid="{00000000-0005-0000-0000-0000F3360000}"/>
    <cellStyle name="Normal 2 12 5" xfId="13263" xr:uid="{00000000-0005-0000-0000-0000F4360000}"/>
    <cellStyle name="Normal 2 12 50" xfId="13264" xr:uid="{00000000-0005-0000-0000-0000F5360000}"/>
    <cellStyle name="Normal 2 12 51" xfId="13265" xr:uid="{00000000-0005-0000-0000-0000F6360000}"/>
    <cellStyle name="Normal 2 12 52" xfId="13266" xr:uid="{00000000-0005-0000-0000-0000F7360000}"/>
    <cellStyle name="Normal 2 12 53" xfId="13267" xr:uid="{00000000-0005-0000-0000-0000F8360000}"/>
    <cellStyle name="Normal 2 12 6" xfId="13268" xr:uid="{00000000-0005-0000-0000-0000F9360000}"/>
    <cellStyle name="Normal 2 12 7" xfId="13269" xr:uid="{00000000-0005-0000-0000-0000FA360000}"/>
    <cellStyle name="Normal 2 12 8" xfId="13270" xr:uid="{00000000-0005-0000-0000-0000FB360000}"/>
    <cellStyle name="Normal 2 12 9" xfId="13271" xr:uid="{00000000-0005-0000-0000-0000FC360000}"/>
    <cellStyle name="Normal 2 13" xfId="13272" xr:uid="{00000000-0005-0000-0000-0000FD360000}"/>
    <cellStyle name="Normal 2 13 10" xfId="13273" xr:uid="{00000000-0005-0000-0000-0000FE360000}"/>
    <cellStyle name="Normal 2 13 11" xfId="13274" xr:uid="{00000000-0005-0000-0000-0000FF360000}"/>
    <cellStyle name="Normal 2 13 12" xfId="13275" xr:uid="{00000000-0005-0000-0000-000000370000}"/>
    <cellStyle name="Normal 2 13 13" xfId="13276" xr:uid="{00000000-0005-0000-0000-000001370000}"/>
    <cellStyle name="Normal 2 13 14" xfId="13277" xr:uid="{00000000-0005-0000-0000-000002370000}"/>
    <cellStyle name="Normal 2 13 15" xfId="13278" xr:uid="{00000000-0005-0000-0000-000003370000}"/>
    <cellStyle name="Normal 2 13 16" xfId="13279" xr:uid="{00000000-0005-0000-0000-000004370000}"/>
    <cellStyle name="Normal 2 13 17" xfId="13280" xr:uid="{00000000-0005-0000-0000-000005370000}"/>
    <cellStyle name="Normal 2 13 18" xfId="13281" xr:uid="{00000000-0005-0000-0000-000006370000}"/>
    <cellStyle name="Normal 2 13 19" xfId="13282" xr:uid="{00000000-0005-0000-0000-000007370000}"/>
    <cellStyle name="Normal 2 13 2" xfId="13283" xr:uid="{00000000-0005-0000-0000-000008370000}"/>
    <cellStyle name="Normal 2 13 20" xfId="13284" xr:uid="{00000000-0005-0000-0000-000009370000}"/>
    <cellStyle name="Normal 2 13 21" xfId="13285" xr:uid="{00000000-0005-0000-0000-00000A370000}"/>
    <cellStyle name="Normal 2 13 22" xfId="13286" xr:uid="{00000000-0005-0000-0000-00000B370000}"/>
    <cellStyle name="Normal 2 13 23" xfId="13287" xr:uid="{00000000-0005-0000-0000-00000C370000}"/>
    <cellStyle name="Normal 2 13 24" xfId="13288" xr:uid="{00000000-0005-0000-0000-00000D370000}"/>
    <cellStyle name="Normal 2 13 25" xfId="13289" xr:uid="{00000000-0005-0000-0000-00000E370000}"/>
    <cellStyle name="Normal 2 13 26" xfId="13290" xr:uid="{00000000-0005-0000-0000-00000F370000}"/>
    <cellStyle name="Normal 2 13 27" xfId="13291" xr:uid="{00000000-0005-0000-0000-000010370000}"/>
    <cellStyle name="Normal 2 13 28" xfId="13292" xr:uid="{00000000-0005-0000-0000-000011370000}"/>
    <cellStyle name="Normal 2 13 29" xfId="13293" xr:uid="{00000000-0005-0000-0000-000012370000}"/>
    <cellStyle name="Normal 2 13 3" xfId="13294" xr:uid="{00000000-0005-0000-0000-000013370000}"/>
    <cellStyle name="Normal 2 13 30" xfId="13295" xr:uid="{00000000-0005-0000-0000-000014370000}"/>
    <cellStyle name="Normal 2 13 31" xfId="13296" xr:uid="{00000000-0005-0000-0000-000015370000}"/>
    <cellStyle name="Normal 2 13 32" xfId="13297" xr:uid="{00000000-0005-0000-0000-000016370000}"/>
    <cellStyle name="Normal 2 13 33" xfId="13298" xr:uid="{00000000-0005-0000-0000-000017370000}"/>
    <cellStyle name="Normal 2 13 34" xfId="13299" xr:uid="{00000000-0005-0000-0000-000018370000}"/>
    <cellStyle name="Normal 2 13 35" xfId="13300" xr:uid="{00000000-0005-0000-0000-000019370000}"/>
    <cellStyle name="Normal 2 13 36" xfId="13301" xr:uid="{00000000-0005-0000-0000-00001A370000}"/>
    <cellStyle name="Normal 2 13 37" xfId="13302" xr:uid="{00000000-0005-0000-0000-00001B370000}"/>
    <cellStyle name="Normal 2 13 38" xfId="13303" xr:uid="{00000000-0005-0000-0000-00001C370000}"/>
    <cellStyle name="Normal 2 13 39" xfId="13304" xr:uid="{00000000-0005-0000-0000-00001D370000}"/>
    <cellStyle name="Normal 2 13 4" xfId="13305" xr:uid="{00000000-0005-0000-0000-00001E370000}"/>
    <cellStyle name="Normal 2 13 40" xfId="13306" xr:uid="{00000000-0005-0000-0000-00001F370000}"/>
    <cellStyle name="Normal 2 13 41" xfId="13307" xr:uid="{00000000-0005-0000-0000-000020370000}"/>
    <cellStyle name="Normal 2 13 42" xfId="13308" xr:uid="{00000000-0005-0000-0000-000021370000}"/>
    <cellStyle name="Normal 2 13 43" xfId="13309" xr:uid="{00000000-0005-0000-0000-000022370000}"/>
    <cellStyle name="Normal 2 13 44" xfId="13310" xr:uid="{00000000-0005-0000-0000-000023370000}"/>
    <cellStyle name="Normal 2 13 45" xfId="13311" xr:uid="{00000000-0005-0000-0000-000024370000}"/>
    <cellStyle name="Normal 2 13 46" xfId="13312" xr:uid="{00000000-0005-0000-0000-000025370000}"/>
    <cellStyle name="Normal 2 13 47" xfId="13313" xr:uid="{00000000-0005-0000-0000-000026370000}"/>
    <cellStyle name="Normal 2 13 48" xfId="13314" xr:uid="{00000000-0005-0000-0000-000027370000}"/>
    <cellStyle name="Normal 2 13 49" xfId="13315" xr:uid="{00000000-0005-0000-0000-000028370000}"/>
    <cellStyle name="Normal 2 13 5" xfId="13316" xr:uid="{00000000-0005-0000-0000-000029370000}"/>
    <cellStyle name="Normal 2 13 50" xfId="13317" xr:uid="{00000000-0005-0000-0000-00002A370000}"/>
    <cellStyle name="Normal 2 13 51" xfId="13318" xr:uid="{00000000-0005-0000-0000-00002B370000}"/>
    <cellStyle name="Normal 2 13 52" xfId="13319" xr:uid="{00000000-0005-0000-0000-00002C370000}"/>
    <cellStyle name="Normal 2 13 53" xfId="13320" xr:uid="{00000000-0005-0000-0000-00002D370000}"/>
    <cellStyle name="Normal 2 13 54" xfId="13321" xr:uid="{00000000-0005-0000-0000-00002E370000}"/>
    <cellStyle name="Normal 2 13 6" xfId="13322" xr:uid="{00000000-0005-0000-0000-00002F370000}"/>
    <cellStyle name="Normal 2 13 7" xfId="13323" xr:uid="{00000000-0005-0000-0000-000030370000}"/>
    <cellStyle name="Normal 2 13 8" xfId="13324" xr:uid="{00000000-0005-0000-0000-000031370000}"/>
    <cellStyle name="Normal 2 13 9" xfId="13325" xr:uid="{00000000-0005-0000-0000-000032370000}"/>
    <cellStyle name="Normal 2 14" xfId="13326" xr:uid="{00000000-0005-0000-0000-000033370000}"/>
    <cellStyle name="Normal 2 14 10" xfId="13327" xr:uid="{00000000-0005-0000-0000-000034370000}"/>
    <cellStyle name="Normal 2 14 11" xfId="13328" xr:uid="{00000000-0005-0000-0000-000035370000}"/>
    <cellStyle name="Normal 2 14 12" xfId="13329" xr:uid="{00000000-0005-0000-0000-000036370000}"/>
    <cellStyle name="Normal 2 14 13" xfId="13330" xr:uid="{00000000-0005-0000-0000-000037370000}"/>
    <cellStyle name="Normal 2 14 14" xfId="13331" xr:uid="{00000000-0005-0000-0000-000038370000}"/>
    <cellStyle name="Normal 2 14 15" xfId="13332" xr:uid="{00000000-0005-0000-0000-000039370000}"/>
    <cellStyle name="Normal 2 14 16" xfId="13333" xr:uid="{00000000-0005-0000-0000-00003A370000}"/>
    <cellStyle name="Normal 2 14 17" xfId="13334" xr:uid="{00000000-0005-0000-0000-00003B370000}"/>
    <cellStyle name="Normal 2 14 18" xfId="13335" xr:uid="{00000000-0005-0000-0000-00003C370000}"/>
    <cellStyle name="Normal 2 14 19" xfId="13336" xr:uid="{00000000-0005-0000-0000-00003D370000}"/>
    <cellStyle name="Normal 2 14 2" xfId="13337" xr:uid="{00000000-0005-0000-0000-00003E370000}"/>
    <cellStyle name="Normal 2 14 20" xfId="13338" xr:uid="{00000000-0005-0000-0000-00003F370000}"/>
    <cellStyle name="Normal 2 14 21" xfId="13339" xr:uid="{00000000-0005-0000-0000-000040370000}"/>
    <cellStyle name="Normal 2 14 22" xfId="13340" xr:uid="{00000000-0005-0000-0000-000041370000}"/>
    <cellStyle name="Normal 2 14 23" xfId="13341" xr:uid="{00000000-0005-0000-0000-000042370000}"/>
    <cellStyle name="Normal 2 14 24" xfId="13342" xr:uid="{00000000-0005-0000-0000-000043370000}"/>
    <cellStyle name="Normal 2 14 25" xfId="13343" xr:uid="{00000000-0005-0000-0000-000044370000}"/>
    <cellStyle name="Normal 2 14 26" xfId="13344" xr:uid="{00000000-0005-0000-0000-000045370000}"/>
    <cellStyle name="Normal 2 14 27" xfId="13345" xr:uid="{00000000-0005-0000-0000-000046370000}"/>
    <cellStyle name="Normal 2 14 28" xfId="13346" xr:uid="{00000000-0005-0000-0000-000047370000}"/>
    <cellStyle name="Normal 2 14 29" xfId="13347" xr:uid="{00000000-0005-0000-0000-000048370000}"/>
    <cellStyle name="Normal 2 14 3" xfId="13348" xr:uid="{00000000-0005-0000-0000-000049370000}"/>
    <cellStyle name="Normal 2 14 30" xfId="13349" xr:uid="{00000000-0005-0000-0000-00004A370000}"/>
    <cellStyle name="Normal 2 14 31" xfId="13350" xr:uid="{00000000-0005-0000-0000-00004B370000}"/>
    <cellStyle name="Normal 2 14 32" xfId="13351" xr:uid="{00000000-0005-0000-0000-00004C370000}"/>
    <cellStyle name="Normal 2 14 33" xfId="13352" xr:uid="{00000000-0005-0000-0000-00004D370000}"/>
    <cellStyle name="Normal 2 14 34" xfId="13353" xr:uid="{00000000-0005-0000-0000-00004E370000}"/>
    <cellStyle name="Normal 2 14 35" xfId="13354" xr:uid="{00000000-0005-0000-0000-00004F370000}"/>
    <cellStyle name="Normal 2 14 36" xfId="13355" xr:uid="{00000000-0005-0000-0000-000050370000}"/>
    <cellStyle name="Normal 2 14 37" xfId="13356" xr:uid="{00000000-0005-0000-0000-000051370000}"/>
    <cellStyle name="Normal 2 14 38" xfId="13357" xr:uid="{00000000-0005-0000-0000-000052370000}"/>
    <cellStyle name="Normal 2 14 39" xfId="13358" xr:uid="{00000000-0005-0000-0000-000053370000}"/>
    <cellStyle name="Normal 2 14 4" xfId="13359" xr:uid="{00000000-0005-0000-0000-000054370000}"/>
    <cellStyle name="Normal 2 14 40" xfId="13360" xr:uid="{00000000-0005-0000-0000-000055370000}"/>
    <cellStyle name="Normal 2 14 41" xfId="13361" xr:uid="{00000000-0005-0000-0000-000056370000}"/>
    <cellStyle name="Normal 2 14 42" xfId="13362" xr:uid="{00000000-0005-0000-0000-000057370000}"/>
    <cellStyle name="Normal 2 14 43" xfId="13363" xr:uid="{00000000-0005-0000-0000-000058370000}"/>
    <cellStyle name="Normal 2 14 44" xfId="13364" xr:uid="{00000000-0005-0000-0000-000059370000}"/>
    <cellStyle name="Normal 2 14 45" xfId="13365" xr:uid="{00000000-0005-0000-0000-00005A370000}"/>
    <cellStyle name="Normal 2 14 46" xfId="13366" xr:uid="{00000000-0005-0000-0000-00005B370000}"/>
    <cellStyle name="Normal 2 14 5" xfId="13367" xr:uid="{00000000-0005-0000-0000-00005C370000}"/>
    <cellStyle name="Normal 2 14 6" xfId="13368" xr:uid="{00000000-0005-0000-0000-00005D370000}"/>
    <cellStyle name="Normal 2 14 7" xfId="13369" xr:uid="{00000000-0005-0000-0000-00005E370000}"/>
    <cellStyle name="Normal 2 14 8" xfId="13370" xr:uid="{00000000-0005-0000-0000-00005F370000}"/>
    <cellStyle name="Normal 2 14 9" xfId="13371" xr:uid="{00000000-0005-0000-0000-000060370000}"/>
    <cellStyle name="Normal 2 15" xfId="13372" xr:uid="{00000000-0005-0000-0000-000061370000}"/>
    <cellStyle name="Normal 2 15 10" xfId="13373" xr:uid="{00000000-0005-0000-0000-000062370000}"/>
    <cellStyle name="Normal 2 15 11" xfId="13374" xr:uid="{00000000-0005-0000-0000-000063370000}"/>
    <cellStyle name="Normal 2 15 12" xfId="13375" xr:uid="{00000000-0005-0000-0000-000064370000}"/>
    <cellStyle name="Normal 2 15 13" xfId="13376" xr:uid="{00000000-0005-0000-0000-000065370000}"/>
    <cellStyle name="Normal 2 15 14" xfId="13377" xr:uid="{00000000-0005-0000-0000-000066370000}"/>
    <cellStyle name="Normal 2 15 15" xfId="13378" xr:uid="{00000000-0005-0000-0000-000067370000}"/>
    <cellStyle name="Normal 2 15 16" xfId="13379" xr:uid="{00000000-0005-0000-0000-000068370000}"/>
    <cellStyle name="Normal 2 15 17" xfId="13380" xr:uid="{00000000-0005-0000-0000-000069370000}"/>
    <cellStyle name="Normal 2 15 18" xfId="13381" xr:uid="{00000000-0005-0000-0000-00006A370000}"/>
    <cellStyle name="Normal 2 15 19" xfId="13382" xr:uid="{00000000-0005-0000-0000-00006B370000}"/>
    <cellStyle name="Normal 2 15 2" xfId="13383" xr:uid="{00000000-0005-0000-0000-00006C370000}"/>
    <cellStyle name="Normal 2 15 20" xfId="13384" xr:uid="{00000000-0005-0000-0000-00006D370000}"/>
    <cellStyle name="Normal 2 15 21" xfId="13385" xr:uid="{00000000-0005-0000-0000-00006E370000}"/>
    <cellStyle name="Normal 2 15 22" xfId="13386" xr:uid="{00000000-0005-0000-0000-00006F370000}"/>
    <cellStyle name="Normal 2 15 23" xfId="13387" xr:uid="{00000000-0005-0000-0000-000070370000}"/>
    <cellStyle name="Normal 2 15 24" xfId="13388" xr:uid="{00000000-0005-0000-0000-000071370000}"/>
    <cellStyle name="Normal 2 15 25" xfId="13389" xr:uid="{00000000-0005-0000-0000-000072370000}"/>
    <cellStyle name="Normal 2 15 26" xfId="13390" xr:uid="{00000000-0005-0000-0000-000073370000}"/>
    <cellStyle name="Normal 2 15 27" xfId="13391" xr:uid="{00000000-0005-0000-0000-000074370000}"/>
    <cellStyle name="Normal 2 15 28" xfId="13392" xr:uid="{00000000-0005-0000-0000-000075370000}"/>
    <cellStyle name="Normal 2 15 29" xfId="13393" xr:uid="{00000000-0005-0000-0000-000076370000}"/>
    <cellStyle name="Normal 2 15 3" xfId="13394" xr:uid="{00000000-0005-0000-0000-000077370000}"/>
    <cellStyle name="Normal 2 15 30" xfId="13395" xr:uid="{00000000-0005-0000-0000-000078370000}"/>
    <cellStyle name="Normal 2 15 31" xfId="13396" xr:uid="{00000000-0005-0000-0000-000079370000}"/>
    <cellStyle name="Normal 2 15 32" xfId="13397" xr:uid="{00000000-0005-0000-0000-00007A370000}"/>
    <cellStyle name="Normal 2 15 33" xfId="13398" xr:uid="{00000000-0005-0000-0000-00007B370000}"/>
    <cellStyle name="Normal 2 15 34" xfId="13399" xr:uid="{00000000-0005-0000-0000-00007C370000}"/>
    <cellStyle name="Normal 2 15 35" xfId="13400" xr:uid="{00000000-0005-0000-0000-00007D370000}"/>
    <cellStyle name="Normal 2 15 36" xfId="13401" xr:uid="{00000000-0005-0000-0000-00007E370000}"/>
    <cellStyle name="Normal 2 15 37" xfId="13402" xr:uid="{00000000-0005-0000-0000-00007F370000}"/>
    <cellStyle name="Normal 2 15 38" xfId="13403" xr:uid="{00000000-0005-0000-0000-000080370000}"/>
    <cellStyle name="Normal 2 15 39" xfId="13404" xr:uid="{00000000-0005-0000-0000-000081370000}"/>
    <cellStyle name="Normal 2 15 4" xfId="13405" xr:uid="{00000000-0005-0000-0000-000082370000}"/>
    <cellStyle name="Normal 2 15 40" xfId="13406" xr:uid="{00000000-0005-0000-0000-000083370000}"/>
    <cellStyle name="Normal 2 15 41" xfId="13407" xr:uid="{00000000-0005-0000-0000-000084370000}"/>
    <cellStyle name="Normal 2 15 42" xfId="13408" xr:uid="{00000000-0005-0000-0000-000085370000}"/>
    <cellStyle name="Normal 2 15 43" xfId="13409" xr:uid="{00000000-0005-0000-0000-000086370000}"/>
    <cellStyle name="Normal 2 15 44" xfId="13410" xr:uid="{00000000-0005-0000-0000-000087370000}"/>
    <cellStyle name="Normal 2 15 45" xfId="13411" xr:uid="{00000000-0005-0000-0000-000088370000}"/>
    <cellStyle name="Normal 2 15 46" xfId="13412" xr:uid="{00000000-0005-0000-0000-000089370000}"/>
    <cellStyle name="Normal 2 15 5" xfId="13413" xr:uid="{00000000-0005-0000-0000-00008A370000}"/>
    <cellStyle name="Normal 2 15 6" xfId="13414" xr:uid="{00000000-0005-0000-0000-00008B370000}"/>
    <cellStyle name="Normal 2 15 7" xfId="13415" xr:uid="{00000000-0005-0000-0000-00008C370000}"/>
    <cellStyle name="Normal 2 15 8" xfId="13416" xr:uid="{00000000-0005-0000-0000-00008D370000}"/>
    <cellStyle name="Normal 2 15 9" xfId="13417" xr:uid="{00000000-0005-0000-0000-00008E370000}"/>
    <cellStyle name="Normal 2 16" xfId="13418" xr:uid="{00000000-0005-0000-0000-00008F370000}"/>
    <cellStyle name="Normal 2 16 10" xfId="13419" xr:uid="{00000000-0005-0000-0000-000090370000}"/>
    <cellStyle name="Normal 2 16 11" xfId="13420" xr:uid="{00000000-0005-0000-0000-000091370000}"/>
    <cellStyle name="Normal 2 16 12" xfId="13421" xr:uid="{00000000-0005-0000-0000-000092370000}"/>
    <cellStyle name="Normal 2 16 13" xfId="13422" xr:uid="{00000000-0005-0000-0000-000093370000}"/>
    <cellStyle name="Normal 2 16 14" xfId="13423" xr:uid="{00000000-0005-0000-0000-000094370000}"/>
    <cellStyle name="Normal 2 16 15" xfId="13424" xr:uid="{00000000-0005-0000-0000-000095370000}"/>
    <cellStyle name="Normal 2 16 16" xfId="13425" xr:uid="{00000000-0005-0000-0000-000096370000}"/>
    <cellStyle name="Normal 2 16 17" xfId="13426" xr:uid="{00000000-0005-0000-0000-000097370000}"/>
    <cellStyle name="Normal 2 16 18" xfId="13427" xr:uid="{00000000-0005-0000-0000-000098370000}"/>
    <cellStyle name="Normal 2 16 19" xfId="13428" xr:uid="{00000000-0005-0000-0000-000099370000}"/>
    <cellStyle name="Normal 2 16 2" xfId="13429" xr:uid="{00000000-0005-0000-0000-00009A370000}"/>
    <cellStyle name="Normal 2 16 20" xfId="13430" xr:uid="{00000000-0005-0000-0000-00009B370000}"/>
    <cellStyle name="Normal 2 16 21" xfId="13431" xr:uid="{00000000-0005-0000-0000-00009C370000}"/>
    <cellStyle name="Normal 2 16 22" xfId="13432" xr:uid="{00000000-0005-0000-0000-00009D370000}"/>
    <cellStyle name="Normal 2 16 23" xfId="13433" xr:uid="{00000000-0005-0000-0000-00009E370000}"/>
    <cellStyle name="Normal 2 16 24" xfId="13434" xr:uid="{00000000-0005-0000-0000-00009F370000}"/>
    <cellStyle name="Normal 2 16 25" xfId="13435" xr:uid="{00000000-0005-0000-0000-0000A0370000}"/>
    <cellStyle name="Normal 2 16 26" xfId="13436" xr:uid="{00000000-0005-0000-0000-0000A1370000}"/>
    <cellStyle name="Normal 2 16 27" xfId="13437" xr:uid="{00000000-0005-0000-0000-0000A2370000}"/>
    <cellStyle name="Normal 2 16 28" xfId="13438" xr:uid="{00000000-0005-0000-0000-0000A3370000}"/>
    <cellStyle name="Normal 2 16 29" xfId="13439" xr:uid="{00000000-0005-0000-0000-0000A4370000}"/>
    <cellStyle name="Normal 2 16 3" xfId="13440" xr:uid="{00000000-0005-0000-0000-0000A5370000}"/>
    <cellStyle name="Normal 2 16 30" xfId="13441" xr:uid="{00000000-0005-0000-0000-0000A6370000}"/>
    <cellStyle name="Normal 2 16 31" xfId="13442" xr:uid="{00000000-0005-0000-0000-0000A7370000}"/>
    <cellStyle name="Normal 2 16 32" xfId="13443" xr:uid="{00000000-0005-0000-0000-0000A8370000}"/>
    <cellStyle name="Normal 2 16 33" xfId="13444" xr:uid="{00000000-0005-0000-0000-0000A9370000}"/>
    <cellStyle name="Normal 2 16 34" xfId="13445" xr:uid="{00000000-0005-0000-0000-0000AA370000}"/>
    <cellStyle name="Normal 2 16 35" xfId="13446" xr:uid="{00000000-0005-0000-0000-0000AB370000}"/>
    <cellStyle name="Normal 2 16 36" xfId="13447" xr:uid="{00000000-0005-0000-0000-0000AC370000}"/>
    <cellStyle name="Normal 2 16 37" xfId="13448" xr:uid="{00000000-0005-0000-0000-0000AD370000}"/>
    <cellStyle name="Normal 2 16 38" xfId="13449" xr:uid="{00000000-0005-0000-0000-0000AE370000}"/>
    <cellStyle name="Normal 2 16 39" xfId="13450" xr:uid="{00000000-0005-0000-0000-0000AF370000}"/>
    <cellStyle name="Normal 2 16 4" xfId="13451" xr:uid="{00000000-0005-0000-0000-0000B0370000}"/>
    <cellStyle name="Normal 2 16 40" xfId="13452" xr:uid="{00000000-0005-0000-0000-0000B1370000}"/>
    <cellStyle name="Normal 2 16 41" xfId="13453" xr:uid="{00000000-0005-0000-0000-0000B2370000}"/>
    <cellStyle name="Normal 2 16 42" xfId="13454" xr:uid="{00000000-0005-0000-0000-0000B3370000}"/>
    <cellStyle name="Normal 2 16 43" xfId="13455" xr:uid="{00000000-0005-0000-0000-0000B4370000}"/>
    <cellStyle name="Normal 2 16 44" xfId="13456" xr:uid="{00000000-0005-0000-0000-0000B5370000}"/>
    <cellStyle name="Normal 2 16 45" xfId="13457" xr:uid="{00000000-0005-0000-0000-0000B6370000}"/>
    <cellStyle name="Normal 2 16 46" xfId="13458" xr:uid="{00000000-0005-0000-0000-0000B7370000}"/>
    <cellStyle name="Normal 2 16 5" xfId="13459" xr:uid="{00000000-0005-0000-0000-0000B8370000}"/>
    <cellStyle name="Normal 2 16 6" xfId="13460" xr:uid="{00000000-0005-0000-0000-0000B9370000}"/>
    <cellStyle name="Normal 2 16 7" xfId="13461" xr:uid="{00000000-0005-0000-0000-0000BA370000}"/>
    <cellStyle name="Normal 2 16 8" xfId="13462" xr:uid="{00000000-0005-0000-0000-0000BB370000}"/>
    <cellStyle name="Normal 2 16 9" xfId="13463" xr:uid="{00000000-0005-0000-0000-0000BC370000}"/>
    <cellStyle name="Normal 2 17" xfId="13464" xr:uid="{00000000-0005-0000-0000-0000BD370000}"/>
    <cellStyle name="Normal 2 17 10" xfId="13465" xr:uid="{00000000-0005-0000-0000-0000BE370000}"/>
    <cellStyle name="Normal 2 17 11" xfId="13466" xr:uid="{00000000-0005-0000-0000-0000BF370000}"/>
    <cellStyle name="Normal 2 17 12" xfId="13467" xr:uid="{00000000-0005-0000-0000-0000C0370000}"/>
    <cellStyle name="Normal 2 17 13" xfId="13468" xr:uid="{00000000-0005-0000-0000-0000C1370000}"/>
    <cellStyle name="Normal 2 17 14" xfId="13469" xr:uid="{00000000-0005-0000-0000-0000C2370000}"/>
    <cellStyle name="Normal 2 17 15" xfId="13470" xr:uid="{00000000-0005-0000-0000-0000C3370000}"/>
    <cellStyle name="Normal 2 17 16" xfId="13471" xr:uid="{00000000-0005-0000-0000-0000C4370000}"/>
    <cellStyle name="Normal 2 17 17" xfId="13472" xr:uid="{00000000-0005-0000-0000-0000C5370000}"/>
    <cellStyle name="Normal 2 17 18" xfId="13473" xr:uid="{00000000-0005-0000-0000-0000C6370000}"/>
    <cellStyle name="Normal 2 17 19" xfId="13474" xr:uid="{00000000-0005-0000-0000-0000C7370000}"/>
    <cellStyle name="Normal 2 17 2" xfId="13475" xr:uid="{00000000-0005-0000-0000-0000C8370000}"/>
    <cellStyle name="Normal 2 17 20" xfId="13476" xr:uid="{00000000-0005-0000-0000-0000C9370000}"/>
    <cellStyle name="Normal 2 17 21" xfId="13477" xr:uid="{00000000-0005-0000-0000-0000CA370000}"/>
    <cellStyle name="Normal 2 17 22" xfId="13478" xr:uid="{00000000-0005-0000-0000-0000CB370000}"/>
    <cellStyle name="Normal 2 17 23" xfId="13479" xr:uid="{00000000-0005-0000-0000-0000CC370000}"/>
    <cellStyle name="Normal 2 17 24" xfId="13480" xr:uid="{00000000-0005-0000-0000-0000CD370000}"/>
    <cellStyle name="Normal 2 17 25" xfId="13481" xr:uid="{00000000-0005-0000-0000-0000CE370000}"/>
    <cellStyle name="Normal 2 17 26" xfId="13482" xr:uid="{00000000-0005-0000-0000-0000CF370000}"/>
    <cellStyle name="Normal 2 17 27" xfId="13483" xr:uid="{00000000-0005-0000-0000-0000D0370000}"/>
    <cellStyle name="Normal 2 17 28" xfId="13484" xr:uid="{00000000-0005-0000-0000-0000D1370000}"/>
    <cellStyle name="Normal 2 17 29" xfId="13485" xr:uid="{00000000-0005-0000-0000-0000D2370000}"/>
    <cellStyle name="Normal 2 17 3" xfId="13486" xr:uid="{00000000-0005-0000-0000-0000D3370000}"/>
    <cellStyle name="Normal 2 17 30" xfId="13487" xr:uid="{00000000-0005-0000-0000-0000D4370000}"/>
    <cellStyle name="Normal 2 17 31" xfId="13488" xr:uid="{00000000-0005-0000-0000-0000D5370000}"/>
    <cellStyle name="Normal 2 17 32" xfId="13489" xr:uid="{00000000-0005-0000-0000-0000D6370000}"/>
    <cellStyle name="Normal 2 17 33" xfId="13490" xr:uid="{00000000-0005-0000-0000-0000D7370000}"/>
    <cellStyle name="Normal 2 17 34" xfId="13491" xr:uid="{00000000-0005-0000-0000-0000D8370000}"/>
    <cellStyle name="Normal 2 17 35" xfId="13492" xr:uid="{00000000-0005-0000-0000-0000D9370000}"/>
    <cellStyle name="Normal 2 17 36" xfId="13493" xr:uid="{00000000-0005-0000-0000-0000DA370000}"/>
    <cellStyle name="Normal 2 17 37" xfId="13494" xr:uid="{00000000-0005-0000-0000-0000DB370000}"/>
    <cellStyle name="Normal 2 17 38" xfId="13495" xr:uid="{00000000-0005-0000-0000-0000DC370000}"/>
    <cellStyle name="Normal 2 17 39" xfId="13496" xr:uid="{00000000-0005-0000-0000-0000DD370000}"/>
    <cellStyle name="Normal 2 17 4" xfId="13497" xr:uid="{00000000-0005-0000-0000-0000DE370000}"/>
    <cellStyle name="Normal 2 17 40" xfId="13498" xr:uid="{00000000-0005-0000-0000-0000DF370000}"/>
    <cellStyle name="Normal 2 17 41" xfId="13499" xr:uid="{00000000-0005-0000-0000-0000E0370000}"/>
    <cellStyle name="Normal 2 17 42" xfId="13500" xr:uid="{00000000-0005-0000-0000-0000E1370000}"/>
    <cellStyle name="Normal 2 17 43" xfId="13501" xr:uid="{00000000-0005-0000-0000-0000E2370000}"/>
    <cellStyle name="Normal 2 17 44" xfId="13502" xr:uid="{00000000-0005-0000-0000-0000E3370000}"/>
    <cellStyle name="Normal 2 17 45" xfId="13503" xr:uid="{00000000-0005-0000-0000-0000E4370000}"/>
    <cellStyle name="Normal 2 17 46" xfId="13504" xr:uid="{00000000-0005-0000-0000-0000E5370000}"/>
    <cellStyle name="Normal 2 17 5" xfId="13505" xr:uid="{00000000-0005-0000-0000-0000E6370000}"/>
    <cellStyle name="Normal 2 17 6" xfId="13506" xr:uid="{00000000-0005-0000-0000-0000E7370000}"/>
    <cellStyle name="Normal 2 17 7" xfId="13507" xr:uid="{00000000-0005-0000-0000-0000E8370000}"/>
    <cellStyle name="Normal 2 17 8" xfId="13508" xr:uid="{00000000-0005-0000-0000-0000E9370000}"/>
    <cellStyle name="Normal 2 17 9" xfId="13509" xr:uid="{00000000-0005-0000-0000-0000EA370000}"/>
    <cellStyle name="Normal 2 18" xfId="13510" xr:uid="{00000000-0005-0000-0000-0000EB370000}"/>
    <cellStyle name="Normal 2 18 10" xfId="13511" xr:uid="{00000000-0005-0000-0000-0000EC370000}"/>
    <cellStyle name="Normal 2 18 11" xfId="13512" xr:uid="{00000000-0005-0000-0000-0000ED370000}"/>
    <cellStyle name="Normal 2 18 12" xfId="13513" xr:uid="{00000000-0005-0000-0000-0000EE370000}"/>
    <cellStyle name="Normal 2 18 13" xfId="13514" xr:uid="{00000000-0005-0000-0000-0000EF370000}"/>
    <cellStyle name="Normal 2 18 14" xfId="13515" xr:uid="{00000000-0005-0000-0000-0000F0370000}"/>
    <cellStyle name="Normal 2 18 15" xfId="13516" xr:uid="{00000000-0005-0000-0000-0000F1370000}"/>
    <cellStyle name="Normal 2 18 16" xfId="13517" xr:uid="{00000000-0005-0000-0000-0000F2370000}"/>
    <cellStyle name="Normal 2 18 17" xfId="13518" xr:uid="{00000000-0005-0000-0000-0000F3370000}"/>
    <cellStyle name="Normal 2 18 18" xfId="13519" xr:uid="{00000000-0005-0000-0000-0000F4370000}"/>
    <cellStyle name="Normal 2 18 19" xfId="13520" xr:uid="{00000000-0005-0000-0000-0000F5370000}"/>
    <cellStyle name="Normal 2 18 2" xfId="13521" xr:uid="{00000000-0005-0000-0000-0000F6370000}"/>
    <cellStyle name="Normal 2 18 20" xfId="13522" xr:uid="{00000000-0005-0000-0000-0000F7370000}"/>
    <cellStyle name="Normal 2 18 21" xfId="13523" xr:uid="{00000000-0005-0000-0000-0000F8370000}"/>
    <cellStyle name="Normal 2 18 22" xfId="13524" xr:uid="{00000000-0005-0000-0000-0000F9370000}"/>
    <cellStyle name="Normal 2 18 23" xfId="13525" xr:uid="{00000000-0005-0000-0000-0000FA370000}"/>
    <cellStyle name="Normal 2 18 24" xfId="13526" xr:uid="{00000000-0005-0000-0000-0000FB370000}"/>
    <cellStyle name="Normal 2 18 25" xfId="13527" xr:uid="{00000000-0005-0000-0000-0000FC370000}"/>
    <cellStyle name="Normal 2 18 26" xfId="13528" xr:uid="{00000000-0005-0000-0000-0000FD370000}"/>
    <cellStyle name="Normal 2 18 27" xfId="13529" xr:uid="{00000000-0005-0000-0000-0000FE370000}"/>
    <cellStyle name="Normal 2 18 28" xfId="13530" xr:uid="{00000000-0005-0000-0000-0000FF370000}"/>
    <cellStyle name="Normal 2 18 29" xfId="13531" xr:uid="{00000000-0005-0000-0000-000000380000}"/>
    <cellStyle name="Normal 2 18 3" xfId="13532" xr:uid="{00000000-0005-0000-0000-000001380000}"/>
    <cellStyle name="Normal 2 18 30" xfId="13533" xr:uid="{00000000-0005-0000-0000-000002380000}"/>
    <cellStyle name="Normal 2 18 31" xfId="13534" xr:uid="{00000000-0005-0000-0000-000003380000}"/>
    <cellStyle name="Normal 2 18 32" xfId="13535" xr:uid="{00000000-0005-0000-0000-000004380000}"/>
    <cellStyle name="Normal 2 18 33" xfId="13536" xr:uid="{00000000-0005-0000-0000-000005380000}"/>
    <cellStyle name="Normal 2 18 34" xfId="13537" xr:uid="{00000000-0005-0000-0000-000006380000}"/>
    <cellStyle name="Normal 2 18 35" xfId="13538" xr:uid="{00000000-0005-0000-0000-000007380000}"/>
    <cellStyle name="Normal 2 18 36" xfId="13539" xr:uid="{00000000-0005-0000-0000-000008380000}"/>
    <cellStyle name="Normal 2 18 37" xfId="13540" xr:uid="{00000000-0005-0000-0000-000009380000}"/>
    <cellStyle name="Normal 2 18 38" xfId="13541" xr:uid="{00000000-0005-0000-0000-00000A380000}"/>
    <cellStyle name="Normal 2 18 39" xfId="13542" xr:uid="{00000000-0005-0000-0000-00000B380000}"/>
    <cellStyle name="Normal 2 18 4" xfId="13543" xr:uid="{00000000-0005-0000-0000-00000C380000}"/>
    <cellStyle name="Normal 2 18 40" xfId="13544" xr:uid="{00000000-0005-0000-0000-00000D380000}"/>
    <cellStyle name="Normal 2 18 41" xfId="13545" xr:uid="{00000000-0005-0000-0000-00000E380000}"/>
    <cellStyle name="Normal 2 18 42" xfId="13546" xr:uid="{00000000-0005-0000-0000-00000F380000}"/>
    <cellStyle name="Normal 2 18 43" xfId="13547" xr:uid="{00000000-0005-0000-0000-000010380000}"/>
    <cellStyle name="Normal 2 18 44" xfId="13548" xr:uid="{00000000-0005-0000-0000-000011380000}"/>
    <cellStyle name="Normal 2 18 45" xfId="13549" xr:uid="{00000000-0005-0000-0000-000012380000}"/>
    <cellStyle name="Normal 2 18 46" xfId="13550" xr:uid="{00000000-0005-0000-0000-000013380000}"/>
    <cellStyle name="Normal 2 18 5" xfId="13551" xr:uid="{00000000-0005-0000-0000-000014380000}"/>
    <cellStyle name="Normal 2 18 6" xfId="13552" xr:uid="{00000000-0005-0000-0000-000015380000}"/>
    <cellStyle name="Normal 2 18 7" xfId="13553" xr:uid="{00000000-0005-0000-0000-000016380000}"/>
    <cellStyle name="Normal 2 18 8" xfId="13554" xr:uid="{00000000-0005-0000-0000-000017380000}"/>
    <cellStyle name="Normal 2 18 9" xfId="13555" xr:uid="{00000000-0005-0000-0000-000018380000}"/>
    <cellStyle name="Normal 2 19" xfId="13556" xr:uid="{00000000-0005-0000-0000-000019380000}"/>
    <cellStyle name="Normal 2 19 10" xfId="13557" xr:uid="{00000000-0005-0000-0000-00001A380000}"/>
    <cellStyle name="Normal 2 19 11" xfId="13558" xr:uid="{00000000-0005-0000-0000-00001B380000}"/>
    <cellStyle name="Normal 2 19 12" xfId="13559" xr:uid="{00000000-0005-0000-0000-00001C380000}"/>
    <cellStyle name="Normal 2 19 13" xfId="13560" xr:uid="{00000000-0005-0000-0000-00001D380000}"/>
    <cellStyle name="Normal 2 19 14" xfId="13561" xr:uid="{00000000-0005-0000-0000-00001E380000}"/>
    <cellStyle name="Normal 2 19 15" xfId="13562" xr:uid="{00000000-0005-0000-0000-00001F380000}"/>
    <cellStyle name="Normal 2 19 16" xfId="13563" xr:uid="{00000000-0005-0000-0000-000020380000}"/>
    <cellStyle name="Normal 2 19 17" xfId="13564" xr:uid="{00000000-0005-0000-0000-000021380000}"/>
    <cellStyle name="Normal 2 19 18" xfId="13565" xr:uid="{00000000-0005-0000-0000-000022380000}"/>
    <cellStyle name="Normal 2 19 19" xfId="13566" xr:uid="{00000000-0005-0000-0000-000023380000}"/>
    <cellStyle name="Normal 2 19 2" xfId="13567" xr:uid="{00000000-0005-0000-0000-000024380000}"/>
    <cellStyle name="Normal 2 19 20" xfId="13568" xr:uid="{00000000-0005-0000-0000-000025380000}"/>
    <cellStyle name="Normal 2 19 21" xfId="13569" xr:uid="{00000000-0005-0000-0000-000026380000}"/>
    <cellStyle name="Normal 2 19 22" xfId="13570" xr:uid="{00000000-0005-0000-0000-000027380000}"/>
    <cellStyle name="Normal 2 19 23" xfId="13571" xr:uid="{00000000-0005-0000-0000-000028380000}"/>
    <cellStyle name="Normal 2 19 24" xfId="13572" xr:uid="{00000000-0005-0000-0000-000029380000}"/>
    <cellStyle name="Normal 2 19 25" xfId="13573" xr:uid="{00000000-0005-0000-0000-00002A380000}"/>
    <cellStyle name="Normal 2 19 26" xfId="13574" xr:uid="{00000000-0005-0000-0000-00002B380000}"/>
    <cellStyle name="Normal 2 19 27" xfId="13575" xr:uid="{00000000-0005-0000-0000-00002C380000}"/>
    <cellStyle name="Normal 2 19 28" xfId="13576" xr:uid="{00000000-0005-0000-0000-00002D380000}"/>
    <cellStyle name="Normal 2 19 29" xfId="13577" xr:uid="{00000000-0005-0000-0000-00002E380000}"/>
    <cellStyle name="Normal 2 19 3" xfId="13578" xr:uid="{00000000-0005-0000-0000-00002F380000}"/>
    <cellStyle name="Normal 2 19 30" xfId="13579" xr:uid="{00000000-0005-0000-0000-000030380000}"/>
    <cellStyle name="Normal 2 19 31" xfId="13580" xr:uid="{00000000-0005-0000-0000-000031380000}"/>
    <cellStyle name="Normal 2 19 32" xfId="13581" xr:uid="{00000000-0005-0000-0000-000032380000}"/>
    <cellStyle name="Normal 2 19 33" xfId="13582" xr:uid="{00000000-0005-0000-0000-000033380000}"/>
    <cellStyle name="Normal 2 19 34" xfId="13583" xr:uid="{00000000-0005-0000-0000-000034380000}"/>
    <cellStyle name="Normal 2 19 35" xfId="13584" xr:uid="{00000000-0005-0000-0000-000035380000}"/>
    <cellStyle name="Normal 2 19 36" xfId="13585" xr:uid="{00000000-0005-0000-0000-000036380000}"/>
    <cellStyle name="Normal 2 19 37" xfId="13586" xr:uid="{00000000-0005-0000-0000-000037380000}"/>
    <cellStyle name="Normal 2 19 38" xfId="13587" xr:uid="{00000000-0005-0000-0000-000038380000}"/>
    <cellStyle name="Normal 2 19 39" xfId="13588" xr:uid="{00000000-0005-0000-0000-000039380000}"/>
    <cellStyle name="Normal 2 19 4" xfId="13589" xr:uid="{00000000-0005-0000-0000-00003A380000}"/>
    <cellStyle name="Normal 2 19 40" xfId="13590" xr:uid="{00000000-0005-0000-0000-00003B380000}"/>
    <cellStyle name="Normal 2 19 41" xfId="13591" xr:uid="{00000000-0005-0000-0000-00003C380000}"/>
    <cellStyle name="Normal 2 19 42" xfId="13592" xr:uid="{00000000-0005-0000-0000-00003D380000}"/>
    <cellStyle name="Normal 2 19 43" xfId="13593" xr:uid="{00000000-0005-0000-0000-00003E380000}"/>
    <cellStyle name="Normal 2 19 44" xfId="13594" xr:uid="{00000000-0005-0000-0000-00003F380000}"/>
    <cellStyle name="Normal 2 19 45" xfId="13595" xr:uid="{00000000-0005-0000-0000-000040380000}"/>
    <cellStyle name="Normal 2 19 46" xfId="13596" xr:uid="{00000000-0005-0000-0000-000041380000}"/>
    <cellStyle name="Normal 2 19 5" xfId="13597" xr:uid="{00000000-0005-0000-0000-000042380000}"/>
    <cellStyle name="Normal 2 19 6" xfId="13598" xr:uid="{00000000-0005-0000-0000-000043380000}"/>
    <cellStyle name="Normal 2 19 7" xfId="13599" xr:uid="{00000000-0005-0000-0000-000044380000}"/>
    <cellStyle name="Normal 2 19 8" xfId="13600" xr:uid="{00000000-0005-0000-0000-000045380000}"/>
    <cellStyle name="Normal 2 19 9" xfId="13601" xr:uid="{00000000-0005-0000-0000-000046380000}"/>
    <cellStyle name="Normal 2 2" xfId="1068" xr:uid="{00000000-0005-0000-0000-000047380000}"/>
    <cellStyle name="Normal 2 2 10" xfId="13602" xr:uid="{00000000-0005-0000-0000-000048380000}"/>
    <cellStyle name="Normal 2 2 10 10" xfId="13603" xr:uid="{00000000-0005-0000-0000-000049380000}"/>
    <cellStyle name="Normal 2 2 10 11" xfId="13604" xr:uid="{00000000-0005-0000-0000-00004A380000}"/>
    <cellStyle name="Normal 2 2 10 12" xfId="13605" xr:uid="{00000000-0005-0000-0000-00004B380000}"/>
    <cellStyle name="Normal 2 2 10 13" xfId="13606" xr:uid="{00000000-0005-0000-0000-00004C380000}"/>
    <cellStyle name="Normal 2 2 10 14" xfId="13607" xr:uid="{00000000-0005-0000-0000-00004D380000}"/>
    <cellStyle name="Normal 2 2 10 2" xfId="13608" xr:uid="{00000000-0005-0000-0000-00004E380000}"/>
    <cellStyle name="Normal 2 2 10 2 2" xfId="13609" xr:uid="{00000000-0005-0000-0000-00004F380000}"/>
    <cellStyle name="Normal 2 2 10 2 3" xfId="13610" xr:uid="{00000000-0005-0000-0000-000050380000}"/>
    <cellStyle name="Normal 2 2 10 2 4" xfId="13611" xr:uid="{00000000-0005-0000-0000-000051380000}"/>
    <cellStyle name="Normal 2 2 10 2 5" xfId="13612" xr:uid="{00000000-0005-0000-0000-000052380000}"/>
    <cellStyle name="Normal 2 2 10 2 6" xfId="13613" xr:uid="{00000000-0005-0000-0000-000053380000}"/>
    <cellStyle name="Normal 2 2 10 3" xfId="13614" xr:uid="{00000000-0005-0000-0000-000054380000}"/>
    <cellStyle name="Normal 2 2 10 3 2" xfId="13615" xr:uid="{00000000-0005-0000-0000-000055380000}"/>
    <cellStyle name="Normal 2 2 10 3 3" xfId="13616" xr:uid="{00000000-0005-0000-0000-000056380000}"/>
    <cellStyle name="Normal 2 2 10 3 4" xfId="13617" xr:uid="{00000000-0005-0000-0000-000057380000}"/>
    <cellStyle name="Normal 2 2 10 3 5" xfId="13618" xr:uid="{00000000-0005-0000-0000-000058380000}"/>
    <cellStyle name="Normal 2 2 10 3 6" xfId="13619" xr:uid="{00000000-0005-0000-0000-000059380000}"/>
    <cellStyle name="Normal 2 2 10 4" xfId="13620" xr:uid="{00000000-0005-0000-0000-00005A380000}"/>
    <cellStyle name="Normal 2 2 10 4 2" xfId="13621" xr:uid="{00000000-0005-0000-0000-00005B380000}"/>
    <cellStyle name="Normal 2 2 10 4 3" xfId="13622" xr:uid="{00000000-0005-0000-0000-00005C380000}"/>
    <cellStyle name="Normal 2 2 10 4 4" xfId="13623" xr:uid="{00000000-0005-0000-0000-00005D380000}"/>
    <cellStyle name="Normal 2 2 10 4 5" xfId="13624" xr:uid="{00000000-0005-0000-0000-00005E380000}"/>
    <cellStyle name="Normal 2 2 10 4 6" xfId="13625" xr:uid="{00000000-0005-0000-0000-00005F380000}"/>
    <cellStyle name="Normal 2 2 10 5" xfId="13626" xr:uid="{00000000-0005-0000-0000-000060380000}"/>
    <cellStyle name="Normal 2 2 10 5 2" xfId="13627" xr:uid="{00000000-0005-0000-0000-000061380000}"/>
    <cellStyle name="Normal 2 2 10 5 3" xfId="13628" xr:uid="{00000000-0005-0000-0000-000062380000}"/>
    <cellStyle name="Normal 2 2 10 5 4" xfId="13629" xr:uid="{00000000-0005-0000-0000-000063380000}"/>
    <cellStyle name="Normal 2 2 10 5 5" xfId="13630" xr:uid="{00000000-0005-0000-0000-000064380000}"/>
    <cellStyle name="Normal 2 2 10 5 6" xfId="13631" xr:uid="{00000000-0005-0000-0000-000065380000}"/>
    <cellStyle name="Normal 2 2 10 6" xfId="13632" xr:uid="{00000000-0005-0000-0000-000066380000}"/>
    <cellStyle name="Normal 2 2 10 6 2" xfId="13633" xr:uid="{00000000-0005-0000-0000-000067380000}"/>
    <cellStyle name="Normal 2 2 10 6 3" xfId="13634" xr:uid="{00000000-0005-0000-0000-000068380000}"/>
    <cellStyle name="Normal 2 2 10 6 4" xfId="13635" xr:uid="{00000000-0005-0000-0000-000069380000}"/>
    <cellStyle name="Normal 2 2 10 6 5" xfId="13636" xr:uid="{00000000-0005-0000-0000-00006A380000}"/>
    <cellStyle name="Normal 2 2 10 6 6" xfId="13637" xr:uid="{00000000-0005-0000-0000-00006B380000}"/>
    <cellStyle name="Normal 2 2 10 7" xfId="13638" xr:uid="{00000000-0005-0000-0000-00006C380000}"/>
    <cellStyle name="Normal 2 2 10 7 2" xfId="13639" xr:uid="{00000000-0005-0000-0000-00006D380000}"/>
    <cellStyle name="Normal 2 2 10 7 3" xfId="13640" xr:uid="{00000000-0005-0000-0000-00006E380000}"/>
    <cellStyle name="Normal 2 2 10 7 4" xfId="13641" xr:uid="{00000000-0005-0000-0000-00006F380000}"/>
    <cellStyle name="Normal 2 2 10 7 5" xfId="13642" xr:uid="{00000000-0005-0000-0000-000070380000}"/>
    <cellStyle name="Normal 2 2 10 7 6" xfId="13643" xr:uid="{00000000-0005-0000-0000-000071380000}"/>
    <cellStyle name="Normal 2 2 10 8" xfId="13644" xr:uid="{00000000-0005-0000-0000-000072380000}"/>
    <cellStyle name="Normal 2 2 10 8 2" xfId="13645" xr:uid="{00000000-0005-0000-0000-000073380000}"/>
    <cellStyle name="Normal 2 2 10 8 3" xfId="13646" xr:uid="{00000000-0005-0000-0000-000074380000}"/>
    <cellStyle name="Normal 2 2 10 8 4" xfId="13647" xr:uid="{00000000-0005-0000-0000-000075380000}"/>
    <cellStyle name="Normal 2 2 10 8 5" xfId="13648" xr:uid="{00000000-0005-0000-0000-000076380000}"/>
    <cellStyle name="Normal 2 2 10 8 6" xfId="13649" xr:uid="{00000000-0005-0000-0000-000077380000}"/>
    <cellStyle name="Normal 2 2 10 9" xfId="13650" xr:uid="{00000000-0005-0000-0000-000078380000}"/>
    <cellStyle name="Normal 2 2 11" xfId="13651" xr:uid="{00000000-0005-0000-0000-000079380000}"/>
    <cellStyle name="Normal 2 2 11 10" xfId="13652" xr:uid="{00000000-0005-0000-0000-00007A380000}"/>
    <cellStyle name="Normal 2 2 11 11" xfId="13653" xr:uid="{00000000-0005-0000-0000-00007B380000}"/>
    <cellStyle name="Normal 2 2 11 12" xfId="13654" xr:uid="{00000000-0005-0000-0000-00007C380000}"/>
    <cellStyle name="Normal 2 2 11 13" xfId="13655" xr:uid="{00000000-0005-0000-0000-00007D380000}"/>
    <cellStyle name="Normal 2 2 11 14" xfId="13656" xr:uid="{00000000-0005-0000-0000-00007E380000}"/>
    <cellStyle name="Normal 2 2 11 2" xfId="13657" xr:uid="{00000000-0005-0000-0000-00007F380000}"/>
    <cellStyle name="Normal 2 2 11 2 2" xfId="13658" xr:uid="{00000000-0005-0000-0000-000080380000}"/>
    <cellStyle name="Normal 2 2 11 2 3" xfId="13659" xr:uid="{00000000-0005-0000-0000-000081380000}"/>
    <cellStyle name="Normal 2 2 11 2 4" xfId="13660" xr:uid="{00000000-0005-0000-0000-000082380000}"/>
    <cellStyle name="Normal 2 2 11 2 5" xfId="13661" xr:uid="{00000000-0005-0000-0000-000083380000}"/>
    <cellStyle name="Normal 2 2 11 2 6" xfId="13662" xr:uid="{00000000-0005-0000-0000-000084380000}"/>
    <cellStyle name="Normal 2 2 11 3" xfId="13663" xr:uid="{00000000-0005-0000-0000-000085380000}"/>
    <cellStyle name="Normal 2 2 11 3 2" xfId="13664" xr:uid="{00000000-0005-0000-0000-000086380000}"/>
    <cellStyle name="Normal 2 2 11 3 3" xfId="13665" xr:uid="{00000000-0005-0000-0000-000087380000}"/>
    <cellStyle name="Normal 2 2 11 3 4" xfId="13666" xr:uid="{00000000-0005-0000-0000-000088380000}"/>
    <cellStyle name="Normal 2 2 11 3 5" xfId="13667" xr:uid="{00000000-0005-0000-0000-000089380000}"/>
    <cellStyle name="Normal 2 2 11 3 6" xfId="13668" xr:uid="{00000000-0005-0000-0000-00008A380000}"/>
    <cellStyle name="Normal 2 2 11 4" xfId="13669" xr:uid="{00000000-0005-0000-0000-00008B380000}"/>
    <cellStyle name="Normal 2 2 11 4 2" xfId="13670" xr:uid="{00000000-0005-0000-0000-00008C380000}"/>
    <cellStyle name="Normal 2 2 11 4 3" xfId="13671" xr:uid="{00000000-0005-0000-0000-00008D380000}"/>
    <cellStyle name="Normal 2 2 11 4 4" xfId="13672" xr:uid="{00000000-0005-0000-0000-00008E380000}"/>
    <cellStyle name="Normal 2 2 11 4 5" xfId="13673" xr:uid="{00000000-0005-0000-0000-00008F380000}"/>
    <cellStyle name="Normal 2 2 11 4 6" xfId="13674" xr:uid="{00000000-0005-0000-0000-000090380000}"/>
    <cellStyle name="Normal 2 2 11 5" xfId="13675" xr:uid="{00000000-0005-0000-0000-000091380000}"/>
    <cellStyle name="Normal 2 2 11 5 2" xfId="13676" xr:uid="{00000000-0005-0000-0000-000092380000}"/>
    <cellStyle name="Normal 2 2 11 5 3" xfId="13677" xr:uid="{00000000-0005-0000-0000-000093380000}"/>
    <cellStyle name="Normal 2 2 11 5 4" xfId="13678" xr:uid="{00000000-0005-0000-0000-000094380000}"/>
    <cellStyle name="Normal 2 2 11 5 5" xfId="13679" xr:uid="{00000000-0005-0000-0000-000095380000}"/>
    <cellStyle name="Normal 2 2 11 5 6" xfId="13680" xr:uid="{00000000-0005-0000-0000-000096380000}"/>
    <cellStyle name="Normal 2 2 11 6" xfId="13681" xr:uid="{00000000-0005-0000-0000-000097380000}"/>
    <cellStyle name="Normal 2 2 11 6 2" xfId="13682" xr:uid="{00000000-0005-0000-0000-000098380000}"/>
    <cellStyle name="Normal 2 2 11 6 3" xfId="13683" xr:uid="{00000000-0005-0000-0000-000099380000}"/>
    <cellStyle name="Normal 2 2 11 6 4" xfId="13684" xr:uid="{00000000-0005-0000-0000-00009A380000}"/>
    <cellStyle name="Normal 2 2 11 6 5" xfId="13685" xr:uid="{00000000-0005-0000-0000-00009B380000}"/>
    <cellStyle name="Normal 2 2 11 6 6" xfId="13686" xr:uid="{00000000-0005-0000-0000-00009C380000}"/>
    <cellStyle name="Normal 2 2 11 7" xfId="13687" xr:uid="{00000000-0005-0000-0000-00009D380000}"/>
    <cellStyle name="Normal 2 2 11 7 2" xfId="13688" xr:uid="{00000000-0005-0000-0000-00009E380000}"/>
    <cellStyle name="Normal 2 2 11 7 3" xfId="13689" xr:uid="{00000000-0005-0000-0000-00009F380000}"/>
    <cellStyle name="Normal 2 2 11 7 4" xfId="13690" xr:uid="{00000000-0005-0000-0000-0000A0380000}"/>
    <cellStyle name="Normal 2 2 11 7 5" xfId="13691" xr:uid="{00000000-0005-0000-0000-0000A1380000}"/>
    <cellStyle name="Normal 2 2 11 7 6" xfId="13692" xr:uid="{00000000-0005-0000-0000-0000A2380000}"/>
    <cellStyle name="Normal 2 2 11 8" xfId="13693" xr:uid="{00000000-0005-0000-0000-0000A3380000}"/>
    <cellStyle name="Normal 2 2 11 8 2" xfId="13694" xr:uid="{00000000-0005-0000-0000-0000A4380000}"/>
    <cellStyle name="Normal 2 2 11 8 3" xfId="13695" xr:uid="{00000000-0005-0000-0000-0000A5380000}"/>
    <cellStyle name="Normal 2 2 11 8 4" xfId="13696" xr:uid="{00000000-0005-0000-0000-0000A6380000}"/>
    <cellStyle name="Normal 2 2 11 8 5" xfId="13697" xr:uid="{00000000-0005-0000-0000-0000A7380000}"/>
    <cellStyle name="Normal 2 2 11 8 6" xfId="13698" xr:uid="{00000000-0005-0000-0000-0000A8380000}"/>
    <cellStyle name="Normal 2 2 11 9" xfId="13699" xr:uid="{00000000-0005-0000-0000-0000A9380000}"/>
    <cellStyle name="Normal 2 2 12" xfId="11" xr:uid="{00000000-0005-0000-0000-0000AA380000}"/>
    <cellStyle name="Normal 2 2 12 10" xfId="13701" xr:uid="{00000000-0005-0000-0000-0000AB380000}"/>
    <cellStyle name="Normal 2 2 12 11" xfId="13702" xr:uid="{00000000-0005-0000-0000-0000AC380000}"/>
    <cellStyle name="Normal 2 2 12 12" xfId="13703" xr:uid="{00000000-0005-0000-0000-0000AD380000}"/>
    <cellStyle name="Normal 2 2 12 13" xfId="13704" xr:uid="{00000000-0005-0000-0000-0000AE380000}"/>
    <cellStyle name="Normal 2 2 12 14" xfId="13705" xr:uid="{00000000-0005-0000-0000-0000AF380000}"/>
    <cellStyle name="Normal 2 2 12 15" xfId="13700" xr:uid="{00000000-0005-0000-0000-0000B0380000}"/>
    <cellStyle name="Normal 2 2 12 2" xfId="13706" xr:uid="{00000000-0005-0000-0000-0000B1380000}"/>
    <cellStyle name="Normal 2 2 12 2 2" xfId="13707" xr:uid="{00000000-0005-0000-0000-0000B2380000}"/>
    <cellStyle name="Normal 2 2 12 2 3" xfId="13708" xr:uid="{00000000-0005-0000-0000-0000B3380000}"/>
    <cellStyle name="Normal 2 2 12 2 4" xfId="13709" xr:uid="{00000000-0005-0000-0000-0000B4380000}"/>
    <cellStyle name="Normal 2 2 12 2 5" xfId="13710" xr:uid="{00000000-0005-0000-0000-0000B5380000}"/>
    <cellStyle name="Normal 2 2 12 2 6" xfId="13711" xr:uid="{00000000-0005-0000-0000-0000B6380000}"/>
    <cellStyle name="Normal 2 2 12 3" xfId="13712" xr:uid="{00000000-0005-0000-0000-0000B7380000}"/>
    <cellStyle name="Normal 2 2 12 3 2" xfId="13713" xr:uid="{00000000-0005-0000-0000-0000B8380000}"/>
    <cellStyle name="Normal 2 2 12 3 3" xfId="13714" xr:uid="{00000000-0005-0000-0000-0000B9380000}"/>
    <cellStyle name="Normal 2 2 12 3 4" xfId="13715" xr:uid="{00000000-0005-0000-0000-0000BA380000}"/>
    <cellStyle name="Normal 2 2 12 3 5" xfId="13716" xr:uid="{00000000-0005-0000-0000-0000BB380000}"/>
    <cellStyle name="Normal 2 2 12 3 6" xfId="13717" xr:uid="{00000000-0005-0000-0000-0000BC380000}"/>
    <cellStyle name="Normal 2 2 12 4" xfId="13718" xr:uid="{00000000-0005-0000-0000-0000BD380000}"/>
    <cellStyle name="Normal 2 2 12 4 2" xfId="13719" xr:uid="{00000000-0005-0000-0000-0000BE380000}"/>
    <cellStyle name="Normal 2 2 12 4 3" xfId="13720" xr:uid="{00000000-0005-0000-0000-0000BF380000}"/>
    <cellStyle name="Normal 2 2 12 4 4" xfId="13721" xr:uid="{00000000-0005-0000-0000-0000C0380000}"/>
    <cellStyle name="Normal 2 2 12 4 5" xfId="13722" xr:uid="{00000000-0005-0000-0000-0000C1380000}"/>
    <cellStyle name="Normal 2 2 12 4 6" xfId="13723" xr:uid="{00000000-0005-0000-0000-0000C2380000}"/>
    <cellStyle name="Normal 2 2 12 5" xfId="13724" xr:uid="{00000000-0005-0000-0000-0000C3380000}"/>
    <cellStyle name="Normal 2 2 12 5 2" xfId="13725" xr:uid="{00000000-0005-0000-0000-0000C4380000}"/>
    <cellStyle name="Normal 2 2 12 5 3" xfId="13726" xr:uid="{00000000-0005-0000-0000-0000C5380000}"/>
    <cellStyle name="Normal 2 2 12 5 4" xfId="13727" xr:uid="{00000000-0005-0000-0000-0000C6380000}"/>
    <cellStyle name="Normal 2 2 12 5 5" xfId="13728" xr:uid="{00000000-0005-0000-0000-0000C7380000}"/>
    <cellStyle name="Normal 2 2 12 5 6" xfId="13729" xr:uid="{00000000-0005-0000-0000-0000C8380000}"/>
    <cellStyle name="Normal 2 2 12 6" xfId="13730" xr:uid="{00000000-0005-0000-0000-0000C9380000}"/>
    <cellStyle name="Normal 2 2 12 6 2" xfId="13731" xr:uid="{00000000-0005-0000-0000-0000CA380000}"/>
    <cellStyle name="Normal 2 2 12 6 3" xfId="13732" xr:uid="{00000000-0005-0000-0000-0000CB380000}"/>
    <cellStyle name="Normal 2 2 12 6 4" xfId="13733" xr:uid="{00000000-0005-0000-0000-0000CC380000}"/>
    <cellStyle name="Normal 2 2 12 6 5" xfId="13734" xr:uid="{00000000-0005-0000-0000-0000CD380000}"/>
    <cellStyle name="Normal 2 2 12 6 6" xfId="13735" xr:uid="{00000000-0005-0000-0000-0000CE380000}"/>
    <cellStyle name="Normal 2 2 12 7" xfId="13736" xr:uid="{00000000-0005-0000-0000-0000CF380000}"/>
    <cellStyle name="Normal 2 2 12 7 2" xfId="13737" xr:uid="{00000000-0005-0000-0000-0000D0380000}"/>
    <cellStyle name="Normal 2 2 12 7 3" xfId="13738" xr:uid="{00000000-0005-0000-0000-0000D1380000}"/>
    <cellStyle name="Normal 2 2 12 7 4" xfId="13739" xr:uid="{00000000-0005-0000-0000-0000D2380000}"/>
    <cellStyle name="Normal 2 2 12 7 5" xfId="13740" xr:uid="{00000000-0005-0000-0000-0000D3380000}"/>
    <cellStyle name="Normal 2 2 12 7 6" xfId="13741" xr:uid="{00000000-0005-0000-0000-0000D4380000}"/>
    <cellStyle name="Normal 2 2 12 8" xfId="13742" xr:uid="{00000000-0005-0000-0000-0000D5380000}"/>
    <cellStyle name="Normal 2 2 12 8 2" xfId="13743" xr:uid="{00000000-0005-0000-0000-0000D6380000}"/>
    <cellStyle name="Normal 2 2 12 8 3" xfId="13744" xr:uid="{00000000-0005-0000-0000-0000D7380000}"/>
    <cellStyle name="Normal 2 2 12 8 4" xfId="13745" xr:uid="{00000000-0005-0000-0000-0000D8380000}"/>
    <cellStyle name="Normal 2 2 12 8 5" xfId="13746" xr:uid="{00000000-0005-0000-0000-0000D9380000}"/>
    <cellStyle name="Normal 2 2 12 8 6" xfId="13747" xr:uid="{00000000-0005-0000-0000-0000DA380000}"/>
    <cellStyle name="Normal 2 2 12 9" xfId="13748" xr:uid="{00000000-0005-0000-0000-0000DB380000}"/>
    <cellStyle name="Normal 2 2 13" xfId="13749" xr:uid="{00000000-0005-0000-0000-0000DC380000}"/>
    <cellStyle name="Normal 2 2 13 10" xfId="13750" xr:uid="{00000000-0005-0000-0000-0000DD380000}"/>
    <cellStyle name="Normal 2 2 13 11" xfId="13751" xr:uid="{00000000-0005-0000-0000-0000DE380000}"/>
    <cellStyle name="Normal 2 2 13 12" xfId="13752" xr:uid="{00000000-0005-0000-0000-0000DF380000}"/>
    <cellStyle name="Normal 2 2 13 13" xfId="13753" xr:uid="{00000000-0005-0000-0000-0000E0380000}"/>
    <cellStyle name="Normal 2 2 13 14" xfId="13754" xr:uid="{00000000-0005-0000-0000-0000E1380000}"/>
    <cellStyle name="Normal 2 2 13 2" xfId="13755" xr:uid="{00000000-0005-0000-0000-0000E2380000}"/>
    <cellStyle name="Normal 2 2 13 2 2" xfId="13756" xr:uid="{00000000-0005-0000-0000-0000E3380000}"/>
    <cellStyle name="Normal 2 2 13 2 3" xfId="13757" xr:uid="{00000000-0005-0000-0000-0000E4380000}"/>
    <cellStyle name="Normal 2 2 13 2 4" xfId="13758" xr:uid="{00000000-0005-0000-0000-0000E5380000}"/>
    <cellStyle name="Normal 2 2 13 2 5" xfId="13759" xr:uid="{00000000-0005-0000-0000-0000E6380000}"/>
    <cellStyle name="Normal 2 2 13 2 6" xfId="13760" xr:uid="{00000000-0005-0000-0000-0000E7380000}"/>
    <cellStyle name="Normal 2 2 13 3" xfId="13761" xr:uid="{00000000-0005-0000-0000-0000E8380000}"/>
    <cellStyle name="Normal 2 2 13 3 2" xfId="13762" xr:uid="{00000000-0005-0000-0000-0000E9380000}"/>
    <cellStyle name="Normal 2 2 13 3 3" xfId="13763" xr:uid="{00000000-0005-0000-0000-0000EA380000}"/>
    <cellStyle name="Normal 2 2 13 3 4" xfId="13764" xr:uid="{00000000-0005-0000-0000-0000EB380000}"/>
    <cellStyle name="Normal 2 2 13 3 5" xfId="13765" xr:uid="{00000000-0005-0000-0000-0000EC380000}"/>
    <cellStyle name="Normal 2 2 13 3 6" xfId="13766" xr:uid="{00000000-0005-0000-0000-0000ED380000}"/>
    <cellStyle name="Normal 2 2 13 4" xfId="13767" xr:uid="{00000000-0005-0000-0000-0000EE380000}"/>
    <cellStyle name="Normal 2 2 13 4 2" xfId="13768" xr:uid="{00000000-0005-0000-0000-0000EF380000}"/>
    <cellStyle name="Normal 2 2 13 4 3" xfId="13769" xr:uid="{00000000-0005-0000-0000-0000F0380000}"/>
    <cellStyle name="Normal 2 2 13 4 4" xfId="13770" xr:uid="{00000000-0005-0000-0000-0000F1380000}"/>
    <cellStyle name="Normal 2 2 13 4 5" xfId="13771" xr:uid="{00000000-0005-0000-0000-0000F2380000}"/>
    <cellStyle name="Normal 2 2 13 4 6" xfId="13772" xr:uid="{00000000-0005-0000-0000-0000F3380000}"/>
    <cellStyle name="Normal 2 2 13 5" xfId="13773" xr:uid="{00000000-0005-0000-0000-0000F4380000}"/>
    <cellStyle name="Normal 2 2 13 5 2" xfId="13774" xr:uid="{00000000-0005-0000-0000-0000F5380000}"/>
    <cellStyle name="Normal 2 2 13 5 3" xfId="13775" xr:uid="{00000000-0005-0000-0000-0000F6380000}"/>
    <cellStyle name="Normal 2 2 13 5 4" xfId="13776" xr:uid="{00000000-0005-0000-0000-0000F7380000}"/>
    <cellStyle name="Normal 2 2 13 5 5" xfId="13777" xr:uid="{00000000-0005-0000-0000-0000F8380000}"/>
    <cellStyle name="Normal 2 2 13 5 6" xfId="13778" xr:uid="{00000000-0005-0000-0000-0000F9380000}"/>
    <cellStyle name="Normal 2 2 13 6" xfId="13779" xr:uid="{00000000-0005-0000-0000-0000FA380000}"/>
    <cellStyle name="Normal 2 2 13 6 2" xfId="13780" xr:uid="{00000000-0005-0000-0000-0000FB380000}"/>
    <cellStyle name="Normal 2 2 13 6 3" xfId="13781" xr:uid="{00000000-0005-0000-0000-0000FC380000}"/>
    <cellStyle name="Normal 2 2 13 6 4" xfId="13782" xr:uid="{00000000-0005-0000-0000-0000FD380000}"/>
    <cellStyle name="Normal 2 2 13 6 5" xfId="13783" xr:uid="{00000000-0005-0000-0000-0000FE380000}"/>
    <cellStyle name="Normal 2 2 13 6 6" xfId="13784" xr:uid="{00000000-0005-0000-0000-0000FF380000}"/>
    <cellStyle name="Normal 2 2 13 7" xfId="13785" xr:uid="{00000000-0005-0000-0000-000000390000}"/>
    <cellStyle name="Normal 2 2 13 7 2" xfId="13786" xr:uid="{00000000-0005-0000-0000-000001390000}"/>
    <cellStyle name="Normal 2 2 13 7 3" xfId="13787" xr:uid="{00000000-0005-0000-0000-000002390000}"/>
    <cellStyle name="Normal 2 2 13 7 4" xfId="13788" xr:uid="{00000000-0005-0000-0000-000003390000}"/>
    <cellStyle name="Normal 2 2 13 7 5" xfId="13789" xr:uid="{00000000-0005-0000-0000-000004390000}"/>
    <cellStyle name="Normal 2 2 13 7 6" xfId="13790" xr:uid="{00000000-0005-0000-0000-000005390000}"/>
    <cellStyle name="Normal 2 2 13 8" xfId="13791" xr:uid="{00000000-0005-0000-0000-000006390000}"/>
    <cellStyle name="Normal 2 2 13 8 2" xfId="13792" xr:uid="{00000000-0005-0000-0000-000007390000}"/>
    <cellStyle name="Normal 2 2 13 8 3" xfId="13793" xr:uid="{00000000-0005-0000-0000-000008390000}"/>
    <cellStyle name="Normal 2 2 13 8 4" xfId="13794" xr:uid="{00000000-0005-0000-0000-000009390000}"/>
    <cellStyle name="Normal 2 2 13 8 5" xfId="13795" xr:uid="{00000000-0005-0000-0000-00000A390000}"/>
    <cellStyle name="Normal 2 2 13 8 6" xfId="13796" xr:uid="{00000000-0005-0000-0000-00000B390000}"/>
    <cellStyle name="Normal 2 2 13 9" xfId="13797" xr:uid="{00000000-0005-0000-0000-00000C390000}"/>
    <cellStyle name="Normal 2 2 14" xfId="13798" xr:uid="{00000000-0005-0000-0000-00000D390000}"/>
    <cellStyle name="Normal 2 2 14 10" xfId="13799" xr:uid="{00000000-0005-0000-0000-00000E390000}"/>
    <cellStyle name="Normal 2 2 14 11" xfId="13800" xr:uid="{00000000-0005-0000-0000-00000F390000}"/>
    <cellStyle name="Normal 2 2 14 12" xfId="13801" xr:uid="{00000000-0005-0000-0000-000010390000}"/>
    <cellStyle name="Normal 2 2 14 13" xfId="13802" xr:uid="{00000000-0005-0000-0000-000011390000}"/>
    <cellStyle name="Normal 2 2 14 14" xfId="13803" xr:uid="{00000000-0005-0000-0000-000012390000}"/>
    <cellStyle name="Normal 2 2 14 2" xfId="13804" xr:uid="{00000000-0005-0000-0000-000013390000}"/>
    <cellStyle name="Normal 2 2 14 2 2" xfId="13805" xr:uid="{00000000-0005-0000-0000-000014390000}"/>
    <cellStyle name="Normal 2 2 14 2 3" xfId="13806" xr:uid="{00000000-0005-0000-0000-000015390000}"/>
    <cellStyle name="Normal 2 2 14 2 4" xfId="13807" xr:uid="{00000000-0005-0000-0000-000016390000}"/>
    <cellStyle name="Normal 2 2 14 2 5" xfId="13808" xr:uid="{00000000-0005-0000-0000-000017390000}"/>
    <cellStyle name="Normal 2 2 14 2 6" xfId="13809" xr:uid="{00000000-0005-0000-0000-000018390000}"/>
    <cellStyle name="Normal 2 2 14 3" xfId="13810" xr:uid="{00000000-0005-0000-0000-000019390000}"/>
    <cellStyle name="Normal 2 2 14 3 2" xfId="13811" xr:uid="{00000000-0005-0000-0000-00001A390000}"/>
    <cellStyle name="Normal 2 2 14 3 3" xfId="13812" xr:uid="{00000000-0005-0000-0000-00001B390000}"/>
    <cellStyle name="Normal 2 2 14 3 4" xfId="13813" xr:uid="{00000000-0005-0000-0000-00001C390000}"/>
    <cellStyle name="Normal 2 2 14 3 5" xfId="13814" xr:uid="{00000000-0005-0000-0000-00001D390000}"/>
    <cellStyle name="Normal 2 2 14 3 6" xfId="13815" xr:uid="{00000000-0005-0000-0000-00001E390000}"/>
    <cellStyle name="Normal 2 2 14 4" xfId="13816" xr:uid="{00000000-0005-0000-0000-00001F390000}"/>
    <cellStyle name="Normal 2 2 14 4 2" xfId="13817" xr:uid="{00000000-0005-0000-0000-000020390000}"/>
    <cellStyle name="Normal 2 2 14 4 3" xfId="13818" xr:uid="{00000000-0005-0000-0000-000021390000}"/>
    <cellStyle name="Normal 2 2 14 4 4" xfId="13819" xr:uid="{00000000-0005-0000-0000-000022390000}"/>
    <cellStyle name="Normal 2 2 14 4 5" xfId="13820" xr:uid="{00000000-0005-0000-0000-000023390000}"/>
    <cellStyle name="Normal 2 2 14 4 6" xfId="13821" xr:uid="{00000000-0005-0000-0000-000024390000}"/>
    <cellStyle name="Normal 2 2 14 5" xfId="13822" xr:uid="{00000000-0005-0000-0000-000025390000}"/>
    <cellStyle name="Normal 2 2 14 5 2" xfId="13823" xr:uid="{00000000-0005-0000-0000-000026390000}"/>
    <cellStyle name="Normal 2 2 14 5 3" xfId="13824" xr:uid="{00000000-0005-0000-0000-000027390000}"/>
    <cellStyle name="Normal 2 2 14 5 4" xfId="13825" xr:uid="{00000000-0005-0000-0000-000028390000}"/>
    <cellStyle name="Normal 2 2 14 5 5" xfId="13826" xr:uid="{00000000-0005-0000-0000-000029390000}"/>
    <cellStyle name="Normal 2 2 14 5 6" xfId="13827" xr:uid="{00000000-0005-0000-0000-00002A390000}"/>
    <cellStyle name="Normal 2 2 14 6" xfId="13828" xr:uid="{00000000-0005-0000-0000-00002B390000}"/>
    <cellStyle name="Normal 2 2 14 6 2" xfId="13829" xr:uid="{00000000-0005-0000-0000-00002C390000}"/>
    <cellStyle name="Normal 2 2 14 6 3" xfId="13830" xr:uid="{00000000-0005-0000-0000-00002D390000}"/>
    <cellStyle name="Normal 2 2 14 6 4" xfId="13831" xr:uid="{00000000-0005-0000-0000-00002E390000}"/>
    <cellStyle name="Normal 2 2 14 6 5" xfId="13832" xr:uid="{00000000-0005-0000-0000-00002F390000}"/>
    <cellStyle name="Normal 2 2 14 6 6" xfId="13833" xr:uid="{00000000-0005-0000-0000-000030390000}"/>
    <cellStyle name="Normal 2 2 14 7" xfId="13834" xr:uid="{00000000-0005-0000-0000-000031390000}"/>
    <cellStyle name="Normal 2 2 14 7 2" xfId="13835" xr:uid="{00000000-0005-0000-0000-000032390000}"/>
    <cellStyle name="Normal 2 2 14 7 3" xfId="13836" xr:uid="{00000000-0005-0000-0000-000033390000}"/>
    <cellStyle name="Normal 2 2 14 7 4" xfId="13837" xr:uid="{00000000-0005-0000-0000-000034390000}"/>
    <cellStyle name="Normal 2 2 14 7 5" xfId="13838" xr:uid="{00000000-0005-0000-0000-000035390000}"/>
    <cellStyle name="Normal 2 2 14 7 6" xfId="13839" xr:uid="{00000000-0005-0000-0000-000036390000}"/>
    <cellStyle name="Normal 2 2 14 8" xfId="13840" xr:uid="{00000000-0005-0000-0000-000037390000}"/>
    <cellStyle name="Normal 2 2 14 8 2" xfId="13841" xr:uid="{00000000-0005-0000-0000-000038390000}"/>
    <cellStyle name="Normal 2 2 14 8 3" xfId="13842" xr:uid="{00000000-0005-0000-0000-000039390000}"/>
    <cellStyle name="Normal 2 2 14 8 4" xfId="13843" xr:uid="{00000000-0005-0000-0000-00003A390000}"/>
    <cellStyle name="Normal 2 2 14 8 5" xfId="13844" xr:uid="{00000000-0005-0000-0000-00003B390000}"/>
    <cellStyle name="Normal 2 2 14 8 6" xfId="13845" xr:uid="{00000000-0005-0000-0000-00003C390000}"/>
    <cellStyle name="Normal 2 2 14 9" xfId="13846" xr:uid="{00000000-0005-0000-0000-00003D390000}"/>
    <cellStyle name="Normal 2 2 15" xfId="13847" xr:uid="{00000000-0005-0000-0000-00003E390000}"/>
    <cellStyle name="Normal 2 2 15 10" xfId="13848" xr:uid="{00000000-0005-0000-0000-00003F390000}"/>
    <cellStyle name="Normal 2 2 15 11" xfId="13849" xr:uid="{00000000-0005-0000-0000-000040390000}"/>
    <cellStyle name="Normal 2 2 15 12" xfId="13850" xr:uid="{00000000-0005-0000-0000-000041390000}"/>
    <cellStyle name="Normal 2 2 15 13" xfId="13851" xr:uid="{00000000-0005-0000-0000-000042390000}"/>
    <cellStyle name="Normal 2 2 15 14" xfId="13852" xr:uid="{00000000-0005-0000-0000-000043390000}"/>
    <cellStyle name="Normal 2 2 15 2" xfId="13853" xr:uid="{00000000-0005-0000-0000-000044390000}"/>
    <cellStyle name="Normal 2 2 15 2 2" xfId="13854" xr:uid="{00000000-0005-0000-0000-000045390000}"/>
    <cellStyle name="Normal 2 2 15 2 3" xfId="13855" xr:uid="{00000000-0005-0000-0000-000046390000}"/>
    <cellStyle name="Normal 2 2 15 2 4" xfId="13856" xr:uid="{00000000-0005-0000-0000-000047390000}"/>
    <cellStyle name="Normal 2 2 15 2 5" xfId="13857" xr:uid="{00000000-0005-0000-0000-000048390000}"/>
    <cellStyle name="Normal 2 2 15 2 6" xfId="13858" xr:uid="{00000000-0005-0000-0000-000049390000}"/>
    <cellStyle name="Normal 2 2 15 3" xfId="13859" xr:uid="{00000000-0005-0000-0000-00004A390000}"/>
    <cellStyle name="Normal 2 2 15 3 2" xfId="13860" xr:uid="{00000000-0005-0000-0000-00004B390000}"/>
    <cellStyle name="Normal 2 2 15 3 3" xfId="13861" xr:uid="{00000000-0005-0000-0000-00004C390000}"/>
    <cellStyle name="Normal 2 2 15 3 4" xfId="13862" xr:uid="{00000000-0005-0000-0000-00004D390000}"/>
    <cellStyle name="Normal 2 2 15 3 5" xfId="13863" xr:uid="{00000000-0005-0000-0000-00004E390000}"/>
    <cellStyle name="Normal 2 2 15 3 6" xfId="13864" xr:uid="{00000000-0005-0000-0000-00004F390000}"/>
    <cellStyle name="Normal 2 2 15 4" xfId="13865" xr:uid="{00000000-0005-0000-0000-000050390000}"/>
    <cellStyle name="Normal 2 2 15 4 2" xfId="13866" xr:uid="{00000000-0005-0000-0000-000051390000}"/>
    <cellStyle name="Normal 2 2 15 4 3" xfId="13867" xr:uid="{00000000-0005-0000-0000-000052390000}"/>
    <cellStyle name="Normal 2 2 15 4 4" xfId="13868" xr:uid="{00000000-0005-0000-0000-000053390000}"/>
    <cellStyle name="Normal 2 2 15 4 5" xfId="13869" xr:uid="{00000000-0005-0000-0000-000054390000}"/>
    <cellStyle name="Normal 2 2 15 4 6" xfId="13870" xr:uid="{00000000-0005-0000-0000-000055390000}"/>
    <cellStyle name="Normal 2 2 15 5" xfId="13871" xr:uid="{00000000-0005-0000-0000-000056390000}"/>
    <cellStyle name="Normal 2 2 15 5 2" xfId="13872" xr:uid="{00000000-0005-0000-0000-000057390000}"/>
    <cellStyle name="Normal 2 2 15 5 3" xfId="13873" xr:uid="{00000000-0005-0000-0000-000058390000}"/>
    <cellStyle name="Normal 2 2 15 5 4" xfId="13874" xr:uid="{00000000-0005-0000-0000-000059390000}"/>
    <cellStyle name="Normal 2 2 15 5 5" xfId="13875" xr:uid="{00000000-0005-0000-0000-00005A390000}"/>
    <cellStyle name="Normal 2 2 15 5 6" xfId="13876" xr:uid="{00000000-0005-0000-0000-00005B390000}"/>
    <cellStyle name="Normal 2 2 15 6" xfId="13877" xr:uid="{00000000-0005-0000-0000-00005C390000}"/>
    <cellStyle name="Normal 2 2 15 6 2" xfId="13878" xr:uid="{00000000-0005-0000-0000-00005D390000}"/>
    <cellStyle name="Normal 2 2 15 6 3" xfId="13879" xr:uid="{00000000-0005-0000-0000-00005E390000}"/>
    <cellStyle name="Normal 2 2 15 6 4" xfId="13880" xr:uid="{00000000-0005-0000-0000-00005F390000}"/>
    <cellStyle name="Normal 2 2 15 6 5" xfId="13881" xr:uid="{00000000-0005-0000-0000-000060390000}"/>
    <cellStyle name="Normal 2 2 15 6 6" xfId="13882" xr:uid="{00000000-0005-0000-0000-000061390000}"/>
    <cellStyle name="Normal 2 2 15 7" xfId="13883" xr:uid="{00000000-0005-0000-0000-000062390000}"/>
    <cellStyle name="Normal 2 2 15 7 2" xfId="13884" xr:uid="{00000000-0005-0000-0000-000063390000}"/>
    <cellStyle name="Normal 2 2 15 7 3" xfId="13885" xr:uid="{00000000-0005-0000-0000-000064390000}"/>
    <cellStyle name="Normal 2 2 15 7 4" xfId="13886" xr:uid="{00000000-0005-0000-0000-000065390000}"/>
    <cellStyle name="Normal 2 2 15 7 5" xfId="13887" xr:uid="{00000000-0005-0000-0000-000066390000}"/>
    <cellStyle name="Normal 2 2 15 7 6" xfId="13888" xr:uid="{00000000-0005-0000-0000-000067390000}"/>
    <cellStyle name="Normal 2 2 15 8" xfId="13889" xr:uid="{00000000-0005-0000-0000-000068390000}"/>
    <cellStyle name="Normal 2 2 15 8 2" xfId="13890" xr:uid="{00000000-0005-0000-0000-000069390000}"/>
    <cellStyle name="Normal 2 2 15 8 3" xfId="13891" xr:uid="{00000000-0005-0000-0000-00006A390000}"/>
    <cellStyle name="Normal 2 2 15 8 4" xfId="13892" xr:uid="{00000000-0005-0000-0000-00006B390000}"/>
    <cellStyle name="Normal 2 2 15 8 5" xfId="13893" xr:uid="{00000000-0005-0000-0000-00006C390000}"/>
    <cellStyle name="Normal 2 2 15 8 6" xfId="13894" xr:uid="{00000000-0005-0000-0000-00006D390000}"/>
    <cellStyle name="Normal 2 2 15 9" xfId="13895" xr:uid="{00000000-0005-0000-0000-00006E390000}"/>
    <cellStyle name="Normal 2 2 16" xfId="13896" xr:uid="{00000000-0005-0000-0000-00006F390000}"/>
    <cellStyle name="Normal 2 2 16 10" xfId="13897" xr:uid="{00000000-0005-0000-0000-000070390000}"/>
    <cellStyle name="Normal 2 2 16 11" xfId="13898" xr:uid="{00000000-0005-0000-0000-000071390000}"/>
    <cellStyle name="Normal 2 2 16 12" xfId="13899" xr:uid="{00000000-0005-0000-0000-000072390000}"/>
    <cellStyle name="Normal 2 2 16 13" xfId="13900" xr:uid="{00000000-0005-0000-0000-000073390000}"/>
    <cellStyle name="Normal 2 2 16 14" xfId="13901" xr:uid="{00000000-0005-0000-0000-000074390000}"/>
    <cellStyle name="Normal 2 2 16 2" xfId="13902" xr:uid="{00000000-0005-0000-0000-000075390000}"/>
    <cellStyle name="Normal 2 2 16 2 2" xfId="13903" xr:uid="{00000000-0005-0000-0000-000076390000}"/>
    <cellStyle name="Normal 2 2 16 2 3" xfId="13904" xr:uid="{00000000-0005-0000-0000-000077390000}"/>
    <cellStyle name="Normal 2 2 16 2 4" xfId="13905" xr:uid="{00000000-0005-0000-0000-000078390000}"/>
    <cellStyle name="Normal 2 2 16 2 5" xfId="13906" xr:uid="{00000000-0005-0000-0000-000079390000}"/>
    <cellStyle name="Normal 2 2 16 2 6" xfId="13907" xr:uid="{00000000-0005-0000-0000-00007A390000}"/>
    <cellStyle name="Normal 2 2 16 3" xfId="13908" xr:uid="{00000000-0005-0000-0000-00007B390000}"/>
    <cellStyle name="Normal 2 2 16 3 2" xfId="13909" xr:uid="{00000000-0005-0000-0000-00007C390000}"/>
    <cellStyle name="Normal 2 2 16 3 3" xfId="13910" xr:uid="{00000000-0005-0000-0000-00007D390000}"/>
    <cellStyle name="Normal 2 2 16 3 4" xfId="13911" xr:uid="{00000000-0005-0000-0000-00007E390000}"/>
    <cellStyle name="Normal 2 2 16 3 5" xfId="13912" xr:uid="{00000000-0005-0000-0000-00007F390000}"/>
    <cellStyle name="Normal 2 2 16 3 6" xfId="13913" xr:uid="{00000000-0005-0000-0000-000080390000}"/>
    <cellStyle name="Normal 2 2 16 4" xfId="13914" xr:uid="{00000000-0005-0000-0000-000081390000}"/>
    <cellStyle name="Normal 2 2 16 4 2" xfId="13915" xr:uid="{00000000-0005-0000-0000-000082390000}"/>
    <cellStyle name="Normal 2 2 16 4 3" xfId="13916" xr:uid="{00000000-0005-0000-0000-000083390000}"/>
    <cellStyle name="Normal 2 2 16 4 4" xfId="13917" xr:uid="{00000000-0005-0000-0000-000084390000}"/>
    <cellStyle name="Normal 2 2 16 4 5" xfId="13918" xr:uid="{00000000-0005-0000-0000-000085390000}"/>
    <cellStyle name="Normal 2 2 16 4 6" xfId="13919" xr:uid="{00000000-0005-0000-0000-000086390000}"/>
    <cellStyle name="Normal 2 2 16 5" xfId="13920" xr:uid="{00000000-0005-0000-0000-000087390000}"/>
    <cellStyle name="Normal 2 2 16 5 2" xfId="13921" xr:uid="{00000000-0005-0000-0000-000088390000}"/>
    <cellStyle name="Normal 2 2 16 5 3" xfId="13922" xr:uid="{00000000-0005-0000-0000-000089390000}"/>
    <cellStyle name="Normal 2 2 16 5 4" xfId="13923" xr:uid="{00000000-0005-0000-0000-00008A390000}"/>
    <cellStyle name="Normal 2 2 16 5 5" xfId="13924" xr:uid="{00000000-0005-0000-0000-00008B390000}"/>
    <cellStyle name="Normal 2 2 16 5 6" xfId="13925" xr:uid="{00000000-0005-0000-0000-00008C390000}"/>
    <cellStyle name="Normal 2 2 16 6" xfId="13926" xr:uid="{00000000-0005-0000-0000-00008D390000}"/>
    <cellStyle name="Normal 2 2 16 6 2" xfId="13927" xr:uid="{00000000-0005-0000-0000-00008E390000}"/>
    <cellStyle name="Normal 2 2 16 6 3" xfId="13928" xr:uid="{00000000-0005-0000-0000-00008F390000}"/>
    <cellStyle name="Normal 2 2 16 6 4" xfId="13929" xr:uid="{00000000-0005-0000-0000-000090390000}"/>
    <cellStyle name="Normal 2 2 16 6 5" xfId="13930" xr:uid="{00000000-0005-0000-0000-000091390000}"/>
    <cellStyle name="Normal 2 2 16 6 6" xfId="13931" xr:uid="{00000000-0005-0000-0000-000092390000}"/>
    <cellStyle name="Normal 2 2 16 7" xfId="13932" xr:uid="{00000000-0005-0000-0000-000093390000}"/>
    <cellStyle name="Normal 2 2 16 7 2" xfId="13933" xr:uid="{00000000-0005-0000-0000-000094390000}"/>
    <cellStyle name="Normal 2 2 16 7 3" xfId="13934" xr:uid="{00000000-0005-0000-0000-000095390000}"/>
    <cellStyle name="Normal 2 2 16 7 4" xfId="13935" xr:uid="{00000000-0005-0000-0000-000096390000}"/>
    <cellStyle name="Normal 2 2 16 7 5" xfId="13936" xr:uid="{00000000-0005-0000-0000-000097390000}"/>
    <cellStyle name="Normal 2 2 16 7 6" xfId="13937" xr:uid="{00000000-0005-0000-0000-000098390000}"/>
    <cellStyle name="Normal 2 2 16 8" xfId="13938" xr:uid="{00000000-0005-0000-0000-000099390000}"/>
    <cellStyle name="Normal 2 2 16 8 2" xfId="13939" xr:uid="{00000000-0005-0000-0000-00009A390000}"/>
    <cellStyle name="Normal 2 2 16 8 3" xfId="13940" xr:uid="{00000000-0005-0000-0000-00009B390000}"/>
    <cellStyle name="Normal 2 2 16 8 4" xfId="13941" xr:uid="{00000000-0005-0000-0000-00009C390000}"/>
    <cellStyle name="Normal 2 2 16 8 5" xfId="13942" xr:uid="{00000000-0005-0000-0000-00009D390000}"/>
    <cellStyle name="Normal 2 2 16 8 6" xfId="13943" xr:uid="{00000000-0005-0000-0000-00009E390000}"/>
    <cellStyle name="Normal 2 2 16 9" xfId="13944" xr:uid="{00000000-0005-0000-0000-00009F390000}"/>
    <cellStyle name="Normal 2 2 17" xfId="13945" xr:uid="{00000000-0005-0000-0000-0000A0390000}"/>
    <cellStyle name="Normal 2 2 17 10" xfId="13946" xr:uid="{00000000-0005-0000-0000-0000A1390000}"/>
    <cellStyle name="Normal 2 2 17 11" xfId="13947" xr:uid="{00000000-0005-0000-0000-0000A2390000}"/>
    <cellStyle name="Normal 2 2 17 12" xfId="13948" xr:uid="{00000000-0005-0000-0000-0000A3390000}"/>
    <cellStyle name="Normal 2 2 17 13" xfId="13949" xr:uid="{00000000-0005-0000-0000-0000A4390000}"/>
    <cellStyle name="Normal 2 2 17 14" xfId="13950" xr:uid="{00000000-0005-0000-0000-0000A5390000}"/>
    <cellStyle name="Normal 2 2 17 2" xfId="13951" xr:uid="{00000000-0005-0000-0000-0000A6390000}"/>
    <cellStyle name="Normal 2 2 17 2 2" xfId="13952" xr:uid="{00000000-0005-0000-0000-0000A7390000}"/>
    <cellStyle name="Normal 2 2 17 2 3" xfId="13953" xr:uid="{00000000-0005-0000-0000-0000A8390000}"/>
    <cellStyle name="Normal 2 2 17 2 4" xfId="13954" xr:uid="{00000000-0005-0000-0000-0000A9390000}"/>
    <cellStyle name="Normal 2 2 17 2 5" xfId="13955" xr:uid="{00000000-0005-0000-0000-0000AA390000}"/>
    <cellStyle name="Normal 2 2 17 2 6" xfId="13956" xr:uid="{00000000-0005-0000-0000-0000AB390000}"/>
    <cellStyle name="Normal 2 2 17 3" xfId="13957" xr:uid="{00000000-0005-0000-0000-0000AC390000}"/>
    <cellStyle name="Normal 2 2 17 3 2" xfId="13958" xr:uid="{00000000-0005-0000-0000-0000AD390000}"/>
    <cellStyle name="Normal 2 2 17 3 3" xfId="13959" xr:uid="{00000000-0005-0000-0000-0000AE390000}"/>
    <cellStyle name="Normal 2 2 17 3 4" xfId="13960" xr:uid="{00000000-0005-0000-0000-0000AF390000}"/>
    <cellStyle name="Normal 2 2 17 3 5" xfId="13961" xr:uid="{00000000-0005-0000-0000-0000B0390000}"/>
    <cellStyle name="Normal 2 2 17 3 6" xfId="13962" xr:uid="{00000000-0005-0000-0000-0000B1390000}"/>
    <cellStyle name="Normal 2 2 17 4" xfId="13963" xr:uid="{00000000-0005-0000-0000-0000B2390000}"/>
    <cellStyle name="Normal 2 2 17 4 2" xfId="13964" xr:uid="{00000000-0005-0000-0000-0000B3390000}"/>
    <cellStyle name="Normal 2 2 17 4 3" xfId="13965" xr:uid="{00000000-0005-0000-0000-0000B4390000}"/>
    <cellStyle name="Normal 2 2 17 4 4" xfId="13966" xr:uid="{00000000-0005-0000-0000-0000B5390000}"/>
    <cellStyle name="Normal 2 2 17 4 5" xfId="13967" xr:uid="{00000000-0005-0000-0000-0000B6390000}"/>
    <cellStyle name="Normal 2 2 17 4 6" xfId="13968" xr:uid="{00000000-0005-0000-0000-0000B7390000}"/>
    <cellStyle name="Normal 2 2 17 5" xfId="13969" xr:uid="{00000000-0005-0000-0000-0000B8390000}"/>
    <cellStyle name="Normal 2 2 17 5 2" xfId="13970" xr:uid="{00000000-0005-0000-0000-0000B9390000}"/>
    <cellStyle name="Normal 2 2 17 5 3" xfId="13971" xr:uid="{00000000-0005-0000-0000-0000BA390000}"/>
    <cellStyle name="Normal 2 2 17 5 4" xfId="13972" xr:uid="{00000000-0005-0000-0000-0000BB390000}"/>
    <cellStyle name="Normal 2 2 17 5 5" xfId="13973" xr:uid="{00000000-0005-0000-0000-0000BC390000}"/>
    <cellStyle name="Normal 2 2 17 5 6" xfId="13974" xr:uid="{00000000-0005-0000-0000-0000BD390000}"/>
    <cellStyle name="Normal 2 2 17 6" xfId="13975" xr:uid="{00000000-0005-0000-0000-0000BE390000}"/>
    <cellStyle name="Normal 2 2 17 6 2" xfId="13976" xr:uid="{00000000-0005-0000-0000-0000BF390000}"/>
    <cellStyle name="Normal 2 2 17 6 3" xfId="13977" xr:uid="{00000000-0005-0000-0000-0000C0390000}"/>
    <cellStyle name="Normal 2 2 17 6 4" xfId="13978" xr:uid="{00000000-0005-0000-0000-0000C1390000}"/>
    <cellStyle name="Normal 2 2 17 6 5" xfId="13979" xr:uid="{00000000-0005-0000-0000-0000C2390000}"/>
    <cellStyle name="Normal 2 2 17 6 6" xfId="13980" xr:uid="{00000000-0005-0000-0000-0000C3390000}"/>
    <cellStyle name="Normal 2 2 17 7" xfId="13981" xr:uid="{00000000-0005-0000-0000-0000C4390000}"/>
    <cellStyle name="Normal 2 2 17 7 2" xfId="13982" xr:uid="{00000000-0005-0000-0000-0000C5390000}"/>
    <cellStyle name="Normal 2 2 17 7 3" xfId="13983" xr:uid="{00000000-0005-0000-0000-0000C6390000}"/>
    <cellStyle name="Normal 2 2 17 7 4" xfId="13984" xr:uid="{00000000-0005-0000-0000-0000C7390000}"/>
    <cellStyle name="Normal 2 2 17 7 5" xfId="13985" xr:uid="{00000000-0005-0000-0000-0000C8390000}"/>
    <cellStyle name="Normal 2 2 17 7 6" xfId="13986" xr:uid="{00000000-0005-0000-0000-0000C9390000}"/>
    <cellStyle name="Normal 2 2 17 8" xfId="13987" xr:uid="{00000000-0005-0000-0000-0000CA390000}"/>
    <cellStyle name="Normal 2 2 17 8 2" xfId="13988" xr:uid="{00000000-0005-0000-0000-0000CB390000}"/>
    <cellStyle name="Normal 2 2 17 8 3" xfId="13989" xr:uid="{00000000-0005-0000-0000-0000CC390000}"/>
    <cellStyle name="Normal 2 2 17 8 4" xfId="13990" xr:uid="{00000000-0005-0000-0000-0000CD390000}"/>
    <cellStyle name="Normal 2 2 17 8 5" xfId="13991" xr:uid="{00000000-0005-0000-0000-0000CE390000}"/>
    <cellStyle name="Normal 2 2 17 8 6" xfId="13992" xr:uid="{00000000-0005-0000-0000-0000CF390000}"/>
    <cellStyle name="Normal 2 2 17 9" xfId="13993" xr:uid="{00000000-0005-0000-0000-0000D0390000}"/>
    <cellStyle name="Normal 2 2 18" xfId="13994" xr:uid="{00000000-0005-0000-0000-0000D1390000}"/>
    <cellStyle name="Normal 2 2 18 10" xfId="13995" xr:uid="{00000000-0005-0000-0000-0000D2390000}"/>
    <cellStyle name="Normal 2 2 18 10 2" xfId="13996" xr:uid="{00000000-0005-0000-0000-0000D3390000}"/>
    <cellStyle name="Normal 2 2 18 10 3" xfId="13997" xr:uid="{00000000-0005-0000-0000-0000D4390000}"/>
    <cellStyle name="Normal 2 2 18 10 4" xfId="13998" xr:uid="{00000000-0005-0000-0000-0000D5390000}"/>
    <cellStyle name="Normal 2 2 18 10 5" xfId="13999" xr:uid="{00000000-0005-0000-0000-0000D6390000}"/>
    <cellStyle name="Normal 2 2 18 10 6" xfId="14000" xr:uid="{00000000-0005-0000-0000-0000D7390000}"/>
    <cellStyle name="Normal 2 2 18 11" xfId="14001" xr:uid="{00000000-0005-0000-0000-0000D8390000}"/>
    <cellStyle name="Normal 2 2 18 11 2" xfId="14002" xr:uid="{00000000-0005-0000-0000-0000D9390000}"/>
    <cellStyle name="Normal 2 2 18 11 3" xfId="14003" xr:uid="{00000000-0005-0000-0000-0000DA390000}"/>
    <cellStyle name="Normal 2 2 18 11 4" xfId="14004" xr:uid="{00000000-0005-0000-0000-0000DB390000}"/>
    <cellStyle name="Normal 2 2 18 11 5" xfId="14005" xr:uid="{00000000-0005-0000-0000-0000DC390000}"/>
    <cellStyle name="Normal 2 2 18 11 6" xfId="14006" xr:uid="{00000000-0005-0000-0000-0000DD390000}"/>
    <cellStyle name="Normal 2 2 18 12" xfId="14007" xr:uid="{00000000-0005-0000-0000-0000DE390000}"/>
    <cellStyle name="Normal 2 2 18 12 2" xfId="14008" xr:uid="{00000000-0005-0000-0000-0000DF390000}"/>
    <cellStyle name="Normal 2 2 18 12 3" xfId="14009" xr:uid="{00000000-0005-0000-0000-0000E0390000}"/>
    <cellStyle name="Normal 2 2 18 12 4" xfId="14010" xr:uid="{00000000-0005-0000-0000-0000E1390000}"/>
    <cellStyle name="Normal 2 2 18 12 5" xfId="14011" xr:uid="{00000000-0005-0000-0000-0000E2390000}"/>
    <cellStyle name="Normal 2 2 18 12 6" xfId="14012" xr:uid="{00000000-0005-0000-0000-0000E3390000}"/>
    <cellStyle name="Normal 2 2 18 13" xfId="14013" xr:uid="{00000000-0005-0000-0000-0000E4390000}"/>
    <cellStyle name="Normal 2 2 18 13 2" xfId="14014" xr:uid="{00000000-0005-0000-0000-0000E5390000}"/>
    <cellStyle name="Normal 2 2 18 13 3" xfId="14015" xr:uid="{00000000-0005-0000-0000-0000E6390000}"/>
    <cellStyle name="Normal 2 2 18 13 4" xfId="14016" xr:uid="{00000000-0005-0000-0000-0000E7390000}"/>
    <cellStyle name="Normal 2 2 18 13 5" xfId="14017" xr:uid="{00000000-0005-0000-0000-0000E8390000}"/>
    <cellStyle name="Normal 2 2 18 13 6" xfId="14018" xr:uid="{00000000-0005-0000-0000-0000E9390000}"/>
    <cellStyle name="Normal 2 2 18 14" xfId="14019" xr:uid="{00000000-0005-0000-0000-0000EA390000}"/>
    <cellStyle name="Normal 2 2 18 14 2" xfId="14020" xr:uid="{00000000-0005-0000-0000-0000EB390000}"/>
    <cellStyle name="Normal 2 2 18 14 3" xfId="14021" xr:uid="{00000000-0005-0000-0000-0000EC390000}"/>
    <cellStyle name="Normal 2 2 18 14 4" xfId="14022" xr:uid="{00000000-0005-0000-0000-0000ED390000}"/>
    <cellStyle name="Normal 2 2 18 14 5" xfId="14023" xr:uid="{00000000-0005-0000-0000-0000EE390000}"/>
    <cellStyle name="Normal 2 2 18 14 6" xfId="14024" xr:uid="{00000000-0005-0000-0000-0000EF390000}"/>
    <cellStyle name="Normal 2 2 18 15" xfId="14025" xr:uid="{00000000-0005-0000-0000-0000F0390000}"/>
    <cellStyle name="Normal 2 2 18 16" xfId="14026" xr:uid="{00000000-0005-0000-0000-0000F1390000}"/>
    <cellStyle name="Normal 2 2 18 17" xfId="14027" xr:uid="{00000000-0005-0000-0000-0000F2390000}"/>
    <cellStyle name="Normal 2 2 18 18" xfId="14028" xr:uid="{00000000-0005-0000-0000-0000F3390000}"/>
    <cellStyle name="Normal 2 2 18 19" xfId="14029" xr:uid="{00000000-0005-0000-0000-0000F4390000}"/>
    <cellStyle name="Normal 2 2 18 2" xfId="14030" xr:uid="{00000000-0005-0000-0000-0000F5390000}"/>
    <cellStyle name="Normal 2 2 18 2 10" xfId="14031" xr:uid="{00000000-0005-0000-0000-0000F6390000}"/>
    <cellStyle name="Normal 2 2 18 2 11" xfId="14032" xr:uid="{00000000-0005-0000-0000-0000F7390000}"/>
    <cellStyle name="Normal 2 2 18 2 12" xfId="14033" xr:uid="{00000000-0005-0000-0000-0000F8390000}"/>
    <cellStyle name="Normal 2 2 18 2 13" xfId="14034" xr:uid="{00000000-0005-0000-0000-0000F9390000}"/>
    <cellStyle name="Normal 2 2 18 2 14" xfId="14035" xr:uid="{00000000-0005-0000-0000-0000FA390000}"/>
    <cellStyle name="Normal 2 2 18 2 15" xfId="14036" xr:uid="{00000000-0005-0000-0000-0000FB390000}"/>
    <cellStyle name="Normal 2 2 18 2 16" xfId="14037" xr:uid="{00000000-0005-0000-0000-0000FC390000}"/>
    <cellStyle name="Normal 2 2 18 2 17" xfId="14038" xr:uid="{00000000-0005-0000-0000-0000FD390000}"/>
    <cellStyle name="Normal 2 2 18 2 18" xfId="14039" xr:uid="{00000000-0005-0000-0000-0000FE390000}"/>
    <cellStyle name="Normal 2 2 18 2 19" xfId="14040" xr:uid="{00000000-0005-0000-0000-0000FF390000}"/>
    <cellStyle name="Normal 2 2 18 2 2" xfId="14041" xr:uid="{00000000-0005-0000-0000-0000003A0000}"/>
    <cellStyle name="Normal 2 2 18 2 20" xfId="14042" xr:uid="{00000000-0005-0000-0000-0000013A0000}"/>
    <cellStyle name="Normal 2 2 18 2 21" xfId="14043" xr:uid="{00000000-0005-0000-0000-0000023A0000}"/>
    <cellStyle name="Normal 2 2 18 2 22" xfId="14044" xr:uid="{00000000-0005-0000-0000-0000033A0000}"/>
    <cellStyle name="Normal 2 2 18 2 23" xfId="14045" xr:uid="{00000000-0005-0000-0000-0000043A0000}"/>
    <cellStyle name="Normal 2 2 18 2 24" xfId="14046" xr:uid="{00000000-0005-0000-0000-0000053A0000}"/>
    <cellStyle name="Normal 2 2 18 2 25" xfId="14047" xr:uid="{00000000-0005-0000-0000-0000063A0000}"/>
    <cellStyle name="Normal 2 2 18 2 26" xfId="14048" xr:uid="{00000000-0005-0000-0000-0000073A0000}"/>
    <cellStyle name="Normal 2 2 18 2 27" xfId="14049" xr:uid="{00000000-0005-0000-0000-0000083A0000}"/>
    <cellStyle name="Normal 2 2 18 2 28" xfId="14050" xr:uid="{00000000-0005-0000-0000-0000093A0000}"/>
    <cellStyle name="Normal 2 2 18 2 29" xfId="14051" xr:uid="{00000000-0005-0000-0000-00000A3A0000}"/>
    <cellStyle name="Normal 2 2 18 2 3" xfId="14052" xr:uid="{00000000-0005-0000-0000-00000B3A0000}"/>
    <cellStyle name="Normal 2 2 18 2 30" xfId="14053" xr:uid="{00000000-0005-0000-0000-00000C3A0000}"/>
    <cellStyle name="Normal 2 2 18 2 31" xfId="14054" xr:uid="{00000000-0005-0000-0000-00000D3A0000}"/>
    <cellStyle name="Normal 2 2 18 2 32" xfId="14055" xr:uid="{00000000-0005-0000-0000-00000E3A0000}"/>
    <cellStyle name="Normal 2 2 18 2 33" xfId="14056" xr:uid="{00000000-0005-0000-0000-00000F3A0000}"/>
    <cellStyle name="Normal 2 2 18 2 34" xfId="14057" xr:uid="{00000000-0005-0000-0000-0000103A0000}"/>
    <cellStyle name="Normal 2 2 18 2 35" xfId="14058" xr:uid="{00000000-0005-0000-0000-0000113A0000}"/>
    <cellStyle name="Normal 2 2 18 2 36" xfId="14059" xr:uid="{00000000-0005-0000-0000-0000123A0000}"/>
    <cellStyle name="Normal 2 2 18 2 37" xfId="14060" xr:uid="{00000000-0005-0000-0000-0000133A0000}"/>
    <cellStyle name="Normal 2 2 18 2 38" xfId="14061" xr:uid="{00000000-0005-0000-0000-0000143A0000}"/>
    <cellStyle name="Normal 2 2 18 2 39" xfId="14062" xr:uid="{00000000-0005-0000-0000-0000153A0000}"/>
    <cellStyle name="Normal 2 2 18 2 4" xfId="14063" xr:uid="{00000000-0005-0000-0000-0000163A0000}"/>
    <cellStyle name="Normal 2 2 18 2 40" xfId="14064" xr:uid="{00000000-0005-0000-0000-0000173A0000}"/>
    <cellStyle name="Normal 2 2 18 2 41" xfId="14065" xr:uid="{00000000-0005-0000-0000-0000183A0000}"/>
    <cellStyle name="Normal 2 2 18 2 42" xfId="14066" xr:uid="{00000000-0005-0000-0000-0000193A0000}"/>
    <cellStyle name="Normal 2 2 18 2 43" xfId="14067" xr:uid="{00000000-0005-0000-0000-00001A3A0000}"/>
    <cellStyle name="Normal 2 2 18 2 44" xfId="14068" xr:uid="{00000000-0005-0000-0000-00001B3A0000}"/>
    <cellStyle name="Normal 2 2 18 2 45" xfId="14069" xr:uid="{00000000-0005-0000-0000-00001C3A0000}"/>
    <cellStyle name="Normal 2 2 18 2 5" xfId="14070" xr:uid="{00000000-0005-0000-0000-00001D3A0000}"/>
    <cellStyle name="Normal 2 2 18 2 6" xfId="14071" xr:uid="{00000000-0005-0000-0000-00001E3A0000}"/>
    <cellStyle name="Normal 2 2 18 2 7" xfId="14072" xr:uid="{00000000-0005-0000-0000-00001F3A0000}"/>
    <cellStyle name="Normal 2 2 18 2 8" xfId="14073" xr:uid="{00000000-0005-0000-0000-0000203A0000}"/>
    <cellStyle name="Normal 2 2 18 2 9" xfId="14074" xr:uid="{00000000-0005-0000-0000-0000213A0000}"/>
    <cellStyle name="Normal 2 2 18 20" xfId="14075" xr:uid="{00000000-0005-0000-0000-0000223A0000}"/>
    <cellStyle name="Normal 2 2 18 3" xfId="14076" xr:uid="{00000000-0005-0000-0000-0000233A0000}"/>
    <cellStyle name="Normal 2 2 18 3 10" xfId="14077" xr:uid="{00000000-0005-0000-0000-0000243A0000}"/>
    <cellStyle name="Normal 2 2 18 3 11" xfId="14078" xr:uid="{00000000-0005-0000-0000-0000253A0000}"/>
    <cellStyle name="Normal 2 2 18 3 12" xfId="14079" xr:uid="{00000000-0005-0000-0000-0000263A0000}"/>
    <cellStyle name="Normal 2 2 18 3 13" xfId="14080" xr:uid="{00000000-0005-0000-0000-0000273A0000}"/>
    <cellStyle name="Normal 2 2 18 3 14" xfId="14081" xr:uid="{00000000-0005-0000-0000-0000283A0000}"/>
    <cellStyle name="Normal 2 2 18 3 15" xfId="14082" xr:uid="{00000000-0005-0000-0000-0000293A0000}"/>
    <cellStyle name="Normal 2 2 18 3 16" xfId="14083" xr:uid="{00000000-0005-0000-0000-00002A3A0000}"/>
    <cellStyle name="Normal 2 2 18 3 17" xfId="14084" xr:uid="{00000000-0005-0000-0000-00002B3A0000}"/>
    <cellStyle name="Normal 2 2 18 3 18" xfId="14085" xr:uid="{00000000-0005-0000-0000-00002C3A0000}"/>
    <cellStyle name="Normal 2 2 18 3 19" xfId="14086" xr:uid="{00000000-0005-0000-0000-00002D3A0000}"/>
    <cellStyle name="Normal 2 2 18 3 2" xfId="14087" xr:uid="{00000000-0005-0000-0000-00002E3A0000}"/>
    <cellStyle name="Normal 2 2 18 3 20" xfId="14088" xr:uid="{00000000-0005-0000-0000-00002F3A0000}"/>
    <cellStyle name="Normal 2 2 18 3 21" xfId="14089" xr:uid="{00000000-0005-0000-0000-0000303A0000}"/>
    <cellStyle name="Normal 2 2 18 3 22" xfId="14090" xr:uid="{00000000-0005-0000-0000-0000313A0000}"/>
    <cellStyle name="Normal 2 2 18 3 23" xfId="14091" xr:uid="{00000000-0005-0000-0000-0000323A0000}"/>
    <cellStyle name="Normal 2 2 18 3 24" xfId="14092" xr:uid="{00000000-0005-0000-0000-0000333A0000}"/>
    <cellStyle name="Normal 2 2 18 3 25" xfId="14093" xr:uid="{00000000-0005-0000-0000-0000343A0000}"/>
    <cellStyle name="Normal 2 2 18 3 26" xfId="14094" xr:uid="{00000000-0005-0000-0000-0000353A0000}"/>
    <cellStyle name="Normal 2 2 18 3 27" xfId="14095" xr:uid="{00000000-0005-0000-0000-0000363A0000}"/>
    <cellStyle name="Normal 2 2 18 3 28" xfId="14096" xr:uid="{00000000-0005-0000-0000-0000373A0000}"/>
    <cellStyle name="Normal 2 2 18 3 29" xfId="14097" xr:uid="{00000000-0005-0000-0000-0000383A0000}"/>
    <cellStyle name="Normal 2 2 18 3 3" xfId="14098" xr:uid="{00000000-0005-0000-0000-0000393A0000}"/>
    <cellStyle name="Normal 2 2 18 3 30" xfId="14099" xr:uid="{00000000-0005-0000-0000-00003A3A0000}"/>
    <cellStyle name="Normal 2 2 18 3 31" xfId="14100" xr:uid="{00000000-0005-0000-0000-00003B3A0000}"/>
    <cellStyle name="Normal 2 2 18 3 32" xfId="14101" xr:uid="{00000000-0005-0000-0000-00003C3A0000}"/>
    <cellStyle name="Normal 2 2 18 3 33" xfId="14102" xr:uid="{00000000-0005-0000-0000-00003D3A0000}"/>
    <cellStyle name="Normal 2 2 18 3 34" xfId="14103" xr:uid="{00000000-0005-0000-0000-00003E3A0000}"/>
    <cellStyle name="Normal 2 2 18 3 35" xfId="14104" xr:uid="{00000000-0005-0000-0000-00003F3A0000}"/>
    <cellStyle name="Normal 2 2 18 3 36" xfId="14105" xr:uid="{00000000-0005-0000-0000-0000403A0000}"/>
    <cellStyle name="Normal 2 2 18 3 37" xfId="14106" xr:uid="{00000000-0005-0000-0000-0000413A0000}"/>
    <cellStyle name="Normal 2 2 18 3 38" xfId="14107" xr:uid="{00000000-0005-0000-0000-0000423A0000}"/>
    <cellStyle name="Normal 2 2 18 3 39" xfId="14108" xr:uid="{00000000-0005-0000-0000-0000433A0000}"/>
    <cellStyle name="Normal 2 2 18 3 4" xfId="14109" xr:uid="{00000000-0005-0000-0000-0000443A0000}"/>
    <cellStyle name="Normal 2 2 18 3 40" xfId="14110" xr:uid="{00000000-0005-0000-0000-0000453A0000}"/>
    <cellStyle name="Normal 2 2 18 3 41" xfId="14111" xr:uid="{00000000-0005-0000-0000-0000463A0000}"/>
    <cellStyle name="Normal 2 2 18 3 42" xfId="14112" xr:uid="{00000000-0005-0000-0000-0000473A0000}"/>
    <cellStyle name="Normal 2 2 18 3 43" xfId="14113" xr:uid="{00000000-0005-0000-0000-0000483A0000}"/>
    <cellStyle name="Normal 2 2 18 3 44" xfId="14114" xr:uid="{00000000-0005-0000-0000-0000493A0000}"/>
    <cellStyle name="Normal 2 2 18 3 45" xfId="14115" xr:uid="{00000000-0005-0000-0000-00004A3A0000}"/>
    <cellStyle name="Normal 2 2 18 3 5" xfId="14116" xr:uid="{00000000-0005-0000-0000-00004B3A0000}"/>
    <cellStyle name="Normal 2 2 18 3 6" xfId="14117" xr:uid="{00000000-0005-0000-0000-00004C3A0000}"/>
    <cellStyle name="Normal 2 2 18 3 7" xfId="14118" xr:uid="{00000000-0005-0000-0000-00004D3A0000}"/>
    <cellStyle name="Normal 2 2 18 3 8" xfId="14119" xr:uid="{00000000-0005-0000-0000-00004E3A0000}"/>
    <cellStyle name="Normal 2 2 18 3 9" xfId="14120" xr:uid="{00000000-0005-0000-0000-00004F3A0000}"/>
    <cellStyle name="Normal 2 2 18 4" xfId="14121" xr:uid="{00000000-0005-0000-0000-0000503A0000}"/>
    <cellStyle name="Normal 2 2 18 4 10" xfId="14122" xr:uid="{00000000-0005-0000-0000-0000513A0000}"/>
    <cellStyle name="Normal 2 2 18 4 11" xfId="14123" xr:uid="{00000000-0005-0000-0000-0000523A0000}"/>
    <cellStyle name="Normal 2 2 18 4 12" xfId="14124" xr:uid="{00000000-0005-0000-0000-0000533A0000}"/>
    <cellStyle name="Normal 2 2 18 4 13" xfId="14125" xr:uid="{00000000-0005-0000-0000-0000543A0000}"/>
    <cellStyle name="Normal 2 2 18 4 14" xfId="14126" xr:uid="{00000000-0005-0000-0000-0000553A0000}"/>
    <cellStyle name="Normal 2 2 18 4 15" xfId="14127" xr:uid="{00000000-0005-0000-0000-0000563A0000}"/>
    <cellStyle name="Normal 2 2 18 4 16" xfId="14128" xr:uid="{00000000-0005-0000-0000-0000573A0000}"/>
    <cellStyle name="Normal 2 2 18 4 17" xfId="14129" xr:uid="{00000000-0005-0000-0000-0000583A0000}"/>
    <cellStyle name="Normal 2 2 18 4 18" xfId="14130" xr:uid="{00000000-0005-0000-0000-0000593A0000}"/>
    <cellStyle name="Normal 2 2 18 4 19" xfId="14131" xr:uid="{00000000-0005-0000-0000-00005A3A0000}"/>
    <cellStyle name="Normal 2 2 18 4 2" xfId="14132" xr:uid="{00000000-0005-0000-0000-00005B3A0000}"/>
    <cellStyle name="Normal 2 2 18 4 20" xfId="14133" xr:uid="{00000000-0005-0000-0000-00005C3A0000}"/>
    <cellStyle name="Normal 2 2 18 4 21" xfId="14134" xr:uid="{00000000-0005-0000-0000-00005D3A0000}"/>
    <cellStyle name="Normal 2 2 18 4 22" xfId="14135" xr:uid="{00000000-0005-0000-0000-00005E3A0000}"/>
    <cellStyle name="Normal 2 2 18 4 23" xfId="14136" xr:uid="{00000000-0005-0000-0000-00005F3A0000}"/>
    <cellStyle name="Normal 2 2 18 4 24" xfId="14137" xr:uid="{00000000-0005-0000-0000-0000603A0000}"/>
    <cellStyle name="Normal 2 2 18 4 25" xfId="14138" xr:uid="{00000000-0005-0000-0000-0000613A0000}"/>
    <cellStyle name="Normal 2 2 18 4 26" xfId="14139" xr:uid="{00000000-0005-0000-0000-0000623A0000}"/>
    <cellStyle name="Normal 2 2 18 4 27" xfId="14140" xr:uid="{00000000-0005-0000-0000-0000633A0000}"/>
    <cellStyle name="Normal 2 2 18 4 28" xfId="14141" xr:uid="{00000000-0005-0000-0000-0000643A0000}"/>
    <cellStyle name="Normal 2 2 18 4 29" xfId="14142" xr:uid="{00000000-0005-0000-0000-0000653A0000}"/>
    <cellStyle name="Normal 2 2 18 4 3" xfId="14143" xr:uid="{00000000-0005-0000-0000-0000663A0000}"/>
    <cellStyle name="Normal 2 2 18 4 30" xfId="14144" xr:uid="{00000000-0005-0000-0000-0000673A0000}"/>
    <cellStyle name="Normal 2 2 18 4 31" xfId="14145" xr:uid="{00000000-0005-0000-0000-0000683A0000}"/>
    <cellStyle name="Normal 2 2 18 4 32" xfId="14146" xr:uid="{00000000-0005-0000-0000-0000693A0000}"/>
    <cellStyle name="Normal 2 2 18 4 33" xfId="14147" xr:uid="{00000000-0005-0000-0000-00006A3A0000}"/>
    <cellStyle name="Normal 2 2 18 4 34" xfId="14148" xr:uid="{00000000-0005-0000-0000-00006B3A0000}"/>
    <cellStyle name="Normal 2 2 18 4 35" xfId="14149" xr:uid="{00000000-0005-0000-0000-00006C3A0000}"/>
    <cellStyle name="Normal 2 2 18 4 36" xfId="14150" xr:uid="{00000000-0005-0000-0000-00006D3A0000}"/>
    <cellStyle name="Normal 2 2 18 4 37" xfId="14151" xr:uid="{00000000-0005-0000-0000-00006E3A0000}"/>
    <cellStyle name="Normal 2 2 18 4 38" xfId="14152" xr:uid="{00000000-0005-0000-0000-00006F3A0000}"/>
    <cellStyle name="Normal 2 2 18 4 39" xfId="14153" xr:uid="{00000000-0005-0000-0000-0000703A0000}"/>
    <cellStyle name="Normal 2 2 18 4 4" xfId="14154" xr:uid="{00000000-0005-0000-0000-0000713A0000}"/>
    <cellStyle name="Normal 2 2 18 4 40" xfId="14155" xr:uid="{00000000-0005-0000-0000-0000723A0000}"/>
    <cellStyle name="Normal 2 2 18 4 41" xfId="14156" xr:uid="{00000000-0005-0000-0000-0000733A0000}"/>
    <cellStyle name="Normal 2 2 18 4 42" xfId="14157" xr:uid="{00000000-0005-0000-0000-0000743A0000}"/>
    <cellStyle name="Normal 2 2 18 4 43" xfId="14158" xr:uid="{00000000-0005-0000-0000-0000753A0000}"/>
    <cellStyle name="Normal 2 2 18 4 44" xfId="14159" xr:uid="{00000000-0005-0000-0000-0000763A0000}"/>
    <cellStyle name="Normal 2 2 18 4 45" xfId="14160" xr:uid="{00000000-0005-0000-0000-0000773A0000}"/>
    <cellStyle name="Normal 2 2 18 4 5" xfId="14161" xr:uid="{00000000-0005-0000-0000-0000783A0000}"/>
    <cellStyle name="Normal 2 2 18 4 6" xfId="14162" xr:uid="{00000000-0005-0000-0000-0000793A0000}"/>
    <cellStyle name="Normal 2 2 18 4 7" xfId="14163" xr:uid="{00000000-0005-0000-0000-00007A3A0000}"/>
    <cellStyle name="Normal 2 2 18 4 8" xfId="14164" xr:uid="{00000000-0005-0000-0000-00007B3A0000}"/>
    <cellStyle name="Normal 2 2 18 4 9" xfId="14165" xr:uid="{00000000-0005-0000-0000-00007C3A0000}"/>
    <cellStyle name="Normal 2 2 18 5" xfId="14166" xr:uid="{00000000-0005-0000-0000-00007D3A0000}"/>
    <cellStyle name="Normal 2 2 18 5 10" xfId="14167" xr:uid="{00000000-0005-0000-0000-00007E3A0000}"/>
    <cellStyle name="Normal 2 2 18 5 11" xfId="14168" xr:uid="{00000000-0005-0000-0000-00007F3A0000}"/>
    <cellStyle name="Normal 2 2 18 5 12" xfId="14169" xr:uid="{00000000-0005-0000-0000-0000803A0000}"/>
    <cellStyle name="Normal 2 2 18 5 13" xfId="14170" xr:uid="{00000000-0005-0000-0000-0000813A0000}"/>
    <cellStyle name="Normal 2 2 18 5 14" xfId="14171" xr:uid="{00000000-0005-0000-0000-0000823A0000}"/>
    <cellStyle name="Normal 2 2 18 5 15" xfId="14172" xr:uid="{00000000-0005-0000-0000-0000833A0000}"/>
    <cellStyle name="Normal 2 2 18 5 16" xfId="14173" xr:uid="{00000000-0005-0000-0000-0000843A0000}"/>
    <cellStyle name="Normal 2 2 18 5 17" xfId="14174" xr:uid="{00000000-0005-0000-0000-0000853A0000}"/>
    <cellStyle name="Normal 2 2 18 5 18" xfId="14175" xr:uid="{00000000-0005-0000-0000-0000863A0000}"/>
    <cellStyle name="Normal 2 2 18 5 19" xfId="14176" xr:uid="{00000000-0005-0000-0000-0000873A0000}"/>
    <cellStyle name="Normal 2 2 18 5 2" xfId="14177" xr:uid="{00000000-0005-0000-0000-0000883A0000}"/>
    <cellStyle name="Normal 2 2 18 5 20" xfId="14178" xr:uid="{00000000-0005-0000-0000-0000893A0000}"/>
    <cellStyle name="Normal 2 2 18 5 21" xfId="14179" xr:uid="{00000000-0005-0000-0000-00008A3A0000}"/>
    <cellStyle name="Normal 2 2 18 5 22" xfId="14180" xr:uid="{00000000-0005-0000-0000-00008B3A0000}"/>
    <cellStyle name="Normal 2 2 18 5 23" xfId="14181" xr:uid="{00000000-0005-0000-0000-00008C3A0000}"/>
    <cellStyle name="Normal 2 2 18 5 24" xfId="14182" xr:uid="{00000000-0005-0000-0000-00008D3A0000}"/>
    <cellStyle name="Normal 2 2 18 5 25" xfId="14183" xr:uid="{00000000-0005-0000-0000-00008E3A0000}"/>
    <cellStyle name="Normal 2 2 18 5 26" xfId="14184" xr:uid="{00000000-0005-0000-0000-00008F3A0000}"/>
    <cellStyle name="Normal 2 2 18 5 27" xfId="14185" xr:uid="{00000000-0005-0000-0000-0000903A0000}"/>
    <cellStyle name="Normal 2 2 18 5 28" xfId="14186" xr:uid="{00000000-0005-0000-0000-0000913A0000}"/>
    <cellStyle name="Normal 2 2 18 5 29" xfId="14187" xr:uid="{00000000-0005-0000-0000-0000923A0000}"/>
    <cellStyle name="Normal 2 2 18 5 3" xfId="14188" xr:uid="{00000000-0005-0000-0000-0000933A0000}"/>
    <cellStyle name="Normal 2 2 18 5 30" xfId="14189" xr:uid="{00000000-0005-0000-0000-0000943A0000}"/>
    <cellStyle name="Normal 2 2 18 5 31" xfId="14190" xr:uid="{00000000-0005-0000-0000-0000953A0000}"/>
    <cellStyle name="Normal 2 2 18 5 32" xfId="14191" xr:uid="{00000000-0005-0000-0000-0000963A0000}"/>
    <cellStyle name="Normal 2 2 18 5 33" xfId="14192" xr:uid="{00000000-0005-0000-0000-0000973A0000}"/>
    <cellStyle name="Normal 2 2 18 5 34" xfId="14193" xr:uid="{00000000-0005-0000-0000-0000983A0000}"/>
    <cellStyle name="Normal 2 2 18 5 35" xfId="14194" xr:uid="{00000000-0005-0000-0000-0000993A0000}"/>
    <cellStyle name="Normal 2 2 18 5 36" xfId="14195" xr:uid="{00000000-0005-0000-0000-00009A3A0000}"/>
    <cellStyle name="Normal 2 2 18 5 37" xfId="14196" xr:uid="{00000000-0005-0000-0000-00009B3A0000}"/>
    <cellStyle name="Normal 2 2 18 5 38" xfId="14197" xr:uid="{00000000-0005-0000-0000-00009C3A0000}"/>
    <cellStyle name="Normal 2 2 18 5 39" xfId="14198" xr:uid="{00000000-0005-0000-0000-00009D3A0000}"/>
    <cellStyle name="Normal 2 2 18 5 4" xfId="14199" xr:uid="{00000000-0005-0000-0000-00009E3A0000}"/>
    <cellStyle name="Normal 2 2 18 5 40" xfId="14200" xr:uid="{00000000-0005-0000-0000-00009F3A0000}"/>
    <cellStyle name="Normal 2 2 18 5 41" xfId="14201" xr:uid="{00000000-0005-0000-0000-0000A03A0000}"/>
    <cellStyle name="Normal 2 2 18 5 42" xfId="14202" xr:uid="{00000000-0005-0000-0000-0000A13A0000}"/>
    <cellStyle name="Normal 2 2 18 5 43" xfId="14203" xr:uid="{00000000-0005-0000-0000-0000A23A0000}"/>
    <cellStyle name="Normal 2 2 18 5 44" xfId="14204" xr:uid="{00000000-0005-0000-0000-0000A33A0000}"/>
    <cellStyle name="Normal 2 2 18 5 45" xfId="14205" xr:uid="{00000000-0005-0000-0000-0000A43A0000}"/>
    <cellStyle name="Normal 2 2 18 5 5" xfId="14206" xr:uid="{00000000-0005-0000-0000-0000A53A0000}"/>
    <cellStyle name="Normal 2 2 18 5 6" xfId="14207" xr:uid="{00000000-0005-0000-0000-0000A63A0000}"/>
    <cellStyle name="Normal 2 2 18 5 7" xfId="14208" xr:uid="{00000000-0005-0000-0000-0000A73A0000}"/>
    <cellStyle name="Normal 2 2 18 5 8" xfId="14209" xr:uid="{00000000-0005-0000-0000-0000A83A0000}"/>
    <cellStyle name="Normal 2 2 18 5 9" xfId="14210" xr:uid="{00000000-0005-0000-0000-0000A93A0000}"/>
    <cellStyle name="Normal 2 2 18 6" xfId="14211" xr:uid="{00000000-0005-0000-0000-0000AA3A0000}"/>
    <cellStyle name="Normal 2 2 18 6 10" xfId="14212" xr:uid="{00000000-0005-0000-0000-0000AB3A0000}"/>
    <cellStyle name="Normal 2 2 18 6 11" xfId="14213" xr:uid="{00000000-0005-0000-0000-0000AC3A0000}"/>
    <cellStyle name="Normal 2 2 18 6 12" xfId="14214" xr:uid="{00000000-0005-0000-0000-0000AD3A0000}"/>
    <cellStyle name="Normal 2 2 18 6 13" xfId="14215" xr:uid="{00000000-0005-0000-0000-0000AE3A0000}"/>
    <cellStyle name="Normal 2 2 18 6 14" xfId="14216" xr:uid="{00000000-0005-0000-0000-0000AF3A0000}"/>
    <cellStyle name="Normal 2 2 18 6 15" xfId="14217" xr:uid="{00000000-0005-0000-0000-0000B03A0000}"/>
    <cellStyle name="Normal 2 2 18 6 16" xfId="14218" xr:uid="{00000000-0005-0000-0000-0000B13A0000}"/>
    <cellStyle name="Normal 2 2 18 6 17" xfId="14219" xr:uid="{00000000-0005-0000-0000-0000B23A0000}"/>
    <cellStyle name="Normal 2 2 18 6 18" xfId="14220" xr:uid="{00000000-0005-0000-0000-0000B33A0000}"/>
    <cellStyle name="Normal 2 2 18 6 19" xfId="14221" xr:uid="{00000000-0005-0000-0000-0000B43A0000}"/>
    <cellStyle name="Normal 2 2 18 6 2" xfId="14222" xr:uid="{00000000-0005-0000-0000-0000B53A0000}"/>
    <cellStyle name="Normal 2 2 18 6 20" xfId="14223" xr:uid="{00000000-0005-0000-0000-0000B63A0000}"/>
    <cellStyle name="Normal 2 2 18 6 21" xfId="14224" xr:uid="{00000000-0005-0000-0000-0000B73A0000}"/>
    <cellStyle name="Normal 2 2 18 6 22" xfId="14225" xr:uid="{00000000-0005-0000-0000-0000B83A0000}"/>
    <cellStyle name="Normal 2 2 18 6 23" xfId="14226" xr:uid="{00000000-0005-0000-0000-0000B93A0000}"/>
    <cellStyle name="Normal 2 2 18 6 24" xfId="14227" xr:uid="{00000000-0005-0000-0000-0000BA3A0000}"/>
    <cellStyle name="Normal 2 2 18 6 25" xfId="14228" xr:uid="{00000000-0005-0000-0000-0000BB3A0000}"/>
    <cellStyle name="Normal 2 2 18 6 26" xfId="14229" xr:uid="{00000000-0005-0000-0000-0000BC3A0000}"/>
    <cellStyle name="Normal 2 2 18 6 27" xfId="14230" xr:uid="{00000000-0005-0000-0000-0000BD3A0000}"/>
    <cellStyle name="Normal 2 2 18 6 28" xfId="14231" xr:uid="{00000000-0005-0000-0000-0000BE3A0000}"/>
    <cellStyle name="Normal 2 2 18 6 29" xfId="14232" xr:uid="{00000000-0005-0000-0000-0000BF3A0000}"/>
    <cellStyle name="Normal 2 2 18 6 3" xfId="14233" xr:uid="{00000000-0005-0000-0000-0000C03A0000}"/>
    <cellStyle name="Normal 2 2 18 6 30" xfId="14234" xr:uid="{00000000-0005-0000-0000-0000C13A0000}"/>
    <cellStyle name="Normal 2 2 18 6 31" xfId="14235" xr:uid="{00000000-0005-0000-0000-0000C23A0000}"/>
    <cellStyle name="Normal 2 2 18 6 32" xfId="14236" xr:uid="{00000000-0005-0000-0000-0000C33A0000}"/>
    <cellStyle name="Normal 2 2 18 6 33" xfId="14237" xr:uid="{00000000-0005-0000-0000-0000C43A0000}"/>
    <cellStyle name="Normal 2 2 18 6 34" xfId="14238" xr:uid="{00000000-0005-0000-0000-0000C53A0000}"/>
    <cellStyle name="Normal 2 2 18 6 35" xfId="14239" xr:uid="{00000000-0005-0000-0000-0000C63A0000}"/>
    <cellStyle name="Normal 2 2 18 6 36" xfId="14240" xr:uid="{00000000-0005-0000-0000-0000C73A0000}"/>
    <cellStyle name="Normal 2 2 18 6 37" xfId="14241" xr:uid="{00000000-0005-0000-0000-0000C83A0000}"/>
    <cellStyle name="Normal 2 2 18 6 38" xfId="14242" xr:uid="{00000000-0005-0000-0000-0000C93A0000}"/>
    <cellStyle name="Normal 2 2 18 6 39" xfId="14243" xr:uid="{00000000-0005-0000-0000-0000CA3A0000}"/>
    <cellStyle name="Normal 2 2 18 6 4" xfId="14244" xr:uid="{00000000-0005-0000-0000-0000CB3A0000}"/>
    <cellStyle name="Normal 2 2 18 6 40" xfId="14245" xr:uid="{00000000-0005-0000-0000-0000CC3A0000}"/>
    <cellStyle name="Normal 2 2 18 6 41" xfId="14246" xr:uid="{00000000-0005-0000-0000-0000CD3A0000}"/>
    <cellStyle name="Normal 2 2 18 6 42" xfId="14247" xr:uid="{00000000-0005-0000-0000-0000CE3A0000}"/>
    <cellStyle name="Normal 2 2 18 6 43" xfId="14248" xr:uid="{00000000-0005-0000-0000-0000CF3A0000}"/>
    <cellStyle name="Normal 2 2 18 6 44" xfId="14249" xr:uid="{00000000-0005-0000-0000-0000D03A0000}"/>
    <cellStyle name="Normal 2 2 18 6 45" xfId="14250" xr:uid="{00000000-0005-0000-0000-0000D13A0000}"/>
    <cellStyle name="Normal 2 2 18 6 5" xfId="14251" xr:uid="{00000000-0005-0000-0000-0000D23A0000}"/>
    <cellStyle name="Normal 2 2 18 6 6" xfId="14252" xr:uid="{00000000-0005-0000-0000-0000D33A0000}"/>
    <cellStyle name="Normal 2 2 18 6 7" xfId="14253" xr:uid="{00000000-0005-0000-0000-0000D43A0000}"/>
    <cellStyle name="Normal 2 2 18 6 8" xfId="14254" xr:uid="{00000000-0005-0000-0000-0000D53A0000}"/>
    <cellStyle name="Normal 2 2 18 6 9" xfId="14255" xr:uid="{00000000-0005-0000-0000-0000D63A0000}"/>
    <cellStyle name="Normal 2 2 18 7" xfId="14256" xr:uid="{00000000-0005-0000-0000-0000D73A0000}"/>
    <cellStyle name="Normal 2 2 18 7 10" xfId="14257" xr:uid="{00000000-0005-0000-0000-0000D83A0000}"/>
    <cellStyle name="Normal 2 2 18 7 11" xfId="14258" xr:uid="{00000000-0005-0000-0000-0000D93A0000}"/>
    <cellStyle name="Normal 2 2 18 7 12" xfId="14259" xr:uid="{00000000-0005-0000-0000-0000DA3A0000}"/>
    <cellStyle name="Normal 2 2 18 7 13" xfId="14260" xr:uid="{00000000-0005-0000-0000-0000DB3A0000}"/>
    <cellStyle name="Normal 2 2 18 7 14" xfId="14261" xr:uid="{00000000-0005-0000-0000-0000DC3A0000}"/>
    <cellStyle name="Normal 2 2 18 7 15" xfId="14262" xr:uid="{00000000-0005-0000-0000-0000DD3A0000}"/>
    <cellStyle name="Normal 2 2 18 7 16" xfId="14263" xr:uid="{00000000-0005-0000-0000-0000DE3A0000}"/>
    <cellStyle name="Normal 2 2 18 7 17" xfId="14264" xr:uid="{00000000-0005-0000-0000-0000DF3A0000}"/>
    <cellStyle name="Normal 2 2 18 7 18" xfId="14265" xr:uid="{00000000-0005-0000-0000-0000E03A0000}"/>
    <cellStyle name="Normal 2 2 18 7 19" xfId="14266" xr:uid="{00000000-0005-0000-0000-0000E13A0000}"/>
    <cellStyle name="Normal 2 2 18 7 2" xfId="14267" xr:uid="{00000000-0005-0000-0000-0000E23A0000}"/>
    <cellStyle name="Normal 2 2 18 7 20" xfId="14268" xr:uid="{00000000-0005-0000-0000-0000E33A0000}"/>
    <cellStyle name="Normal 2 2 18 7 21" xfId="14269" xr:uid="{00000000-0005-0000-0000-0000E43A0000}"/>
    <cellStyle name="Normal 2 2 18 7 22" xfId="14270" xr:uid="{00000000-0005-0000-0000-0000E53A0000}"/>
    <cellStyle name="Normal 2 2 18 7 23" xfId="14271" xr:uid="{00000000-0005-0000-0000-0000E63A0000}"/>
    <cellStyle name="Normal 2 2 18 7 24" xfId="14272" xr:uid="{00000000-0005-0000-0000-0000E73A0000}"/>
    <cellStyle name="Normal 2 2 18 7 25" xfId="14273" xr:uid="{00000000-0005-0000-0000-0000E83A0000}"/>
    <cellStyle name="Normal 2 2 18 7 26" xfId="14274" xr:uid="{00000000-0005-0000-0000-0000E93A0000}"/>
    <cellStyle name="Normal 2 2 18 7 27" xfId="14275" xr:uid="{00000000-0005-0000-0000-0000EA3A0000}"/>
    <cellStyle name="Normal 2 2 18 7 28" xfId="14276" xr:uid="{00000000-0005-0000-0000-0000EB3A0000}"/>
    <cellStyle name="Normal 2 2 18 7 29" xfId="14277" xr:uid="{00000000-0005-0000-0000-0000EC3A0000}"/>
    <cellStyle name="Normal 2 2 18 7 3" xfId="14278" xr:uid="{00000000-0005-0000-0000-0000ED3A0000}"/>
    <cellStyle name="Normal 2 2 18 7 30" xfId="14279" xr:uid="{00000000-0005-0000-0000-0000EE3A0000}"/>
    <cellStyle name="Normal 2 2 18 7 31" xfId="14280" xr:uid="{00000000-0005-0000-0000-0000EF3A0000}"/>
    <cellStyle name="Normal 2 2 18 7 32" xfId="14281" xr:uid="{00000000-0005-0000-0000-0000F03A0000}"/>
    <cellStyle name="Normal 2 2 18 7 33" xfId="14282" xr:uid="{00000000-0005-0000-0000-0000F13A0000}"/>
    <cellStyle name="Normal 2 2 18 7 34" xfId="14283" xr:uid="{00000000-0005-0000-0000-0000F23A0000}"/>
    <cellStyle name="Normal 2 2 18 7 35" xfId="14284" xr:uid="{00000000-0005-0000-0000-0000F33A0000}"/>
    <cellStyle name="Normal 2 2 18 7 36" xfId="14285" xr:uid="{00000000-0005-0000-0000-0000F43A0000}"/>
    <cellStyle name="Normal 2 2 18 7 37" xfId="14286" xr:uid="{00000000-0005-0000-0000-0000F53A0000}"/>
    <cellStyle name="Normal 2 2 18 7 38" xfId="14287" xr:uid="{00000000-0005-0000-0000-0000F63A0000}"/>
    <cellStyle name="Normal 2 2 18 7 39" xfId="14288" xr:uid="{00000000-0005-0000-0000-0000F73A0000}"/>
    <cellStyle name="Normal 2 2 18 7 4" xfId="14289" xr:uid="{00000000-0005-0000-0000-0000F83A0000}"/>
    <cellStyle name="Normal 2 2 18 7 40" xfId="14290" xr:uid="{00000000-0005-0000-0000-0000F93A0000}"/>
    <cellStyle name="Normal 2 2 18 7 41" xfId="14291" xr:uid="{00000000-0005-0000-0000-0000FA3A0000}"/>
    <cellStyle name="Normal 2 2 18 7 42" xfId="14292" xr:uid="{00000000-0005-0000-0000-0000FB3A0000}"/>
    <cellStyle name="Normal 2 2 18 7 43" xfId="14293" xr:uid="{00000000-0005-0000-0000-0000FC3A0000}"/>
    <cellStyle name="Normal 2 2 18 7 44" xfId="14294" xr:uid="{00000000-0005-0000-0000-0000FD3A0000}"/>
    <cellStyle name="Normal 2 2 18 7 45" xfId="14295" xr:uid="{00000000-0005-0000-0000-0000FE3A0000}"/>
    <cellStyle name="Normal 2 2 18 7 5" xfId="14296" xr:uid="{00000000-0005-0000-0000-0000FF3A0000}"/>
    <cellStyle name="Normal 2 2 18 7 6" xfId="14297" xr:uid="{00000000-0005-0000-0000-0000003B0000}"/>
    <cellStyle name="Normal 2 2 18 7 7" xfId="14298" xr:uid="{00000000-0005-0000-0000-0000013B0000}"/>
    <cellStyle name="Normal 2 2 18 7 8" xfId="14299" xr:uid="{00000000-0005-0000-0000-0000023B0000}"/>
    <cellStyle name="Normal 2 2 18 7 9" xfId="14300" xr:uid="{00000000-0005-0000-0000-0000033B0000}"/>
    <cellStyle name="Normal 2 2 18 8" xfId="14301" xr:uid="{00000000-0005-0000-0000-0000043B0000}"/>
    <cellStyle name="Normal 2 2 18 8 2" xfId="14302" xr:uid="{00000000-0005-0000-0000-0000053B0000}"/>
    <cellStyle name="Normal 2 2 18 8 3" xfId="14303" xr:uid="{00000000-0005-0000-0000-0000063B0000}"/>
    <cellStyle name="Normal 2 2 18 8 4" xfId="14304" xr:uid="{00000000-0005-0000-0000-0000073B0000}"/>
    <cellStyle name="Normal 2 2 18 8 5" xfId="14305" xr:uid="{00000000-0005-0000-0000-0000083B0000}"/>
    <cellStyle name="Normal 2 2 18 8 6" xfId="14306" xr:uid="{00000000-0005-0000-0000-0000093B0000}"/>
    <cellStyle name="Normal 2 2 18 9" xfId="14307" xr:uid="{00000000-0005-0000-0000-00000A3B0000}"/>
    <cellStyle name="Normal 2 2 18 9 2" xfId="14308" xr:uid="{00000000-0005-0000-0000-00000B3B0000}"/>
    <cellStyle name="Normal 2 2 18 9 3" xfId="14309" xr:uid="{00000000-0005-0000-0000-00000C3B0000}"/>
    <cellStyle name="Normal 2 2 18 9 4" xfId="14310" xr:uid="{00000000-0005-0000-0000-00000D3B0000}"/>
    <cellStyle name="Normal 2 2 18 9 5" xfId="14311" xr:uid="{00000000-0005-0000-0000-00000E3B0000}"/>
    <cellStyle name="Normal 2 2 18 9 6" xfId="14312" xr:uid="{00000000-0005-0000-0000-00000F3B0000}"/>
    <cellStyle name="Normal 2 2 19" xfId="14313" xr:uid="{00000000-0005-0000-0000-0000103B0000}"/>
    <cellStyle name="Normal 2 2 19 10" xfId="14314" xr:uid="{00000000-0005-0000-0000-0000113B0000}"/>
    <cellStyle name="Normal 2 2 19 11" xfId="14315" xr:uid="{00000000-0005-0000-0000-0000123B0000}"/>
    <cellStyle name="Normal 2 2 19 12" xfId="14316" xr:uid="{00000000-0005-0000-0000-0000133B0000}"/>
    <cellStyle name="Normal 2 2 19 13" xfId="14317" xr:uid="{00000000-0005-0000-0000-0000143B0000}"/>
    <cellStyle name="Normal 2 2 19 14" xfId="14318" xr:uid="{00000000-0005-0000-0000-0000153B0000}"/>
    <cellStyle name="Normal 2 2 19 15" xfId="14319" xr:uid="{00000000-0005-0000-0000-0000163B0000}"/>
    <cellStyle name="Normal 2 2 19 16" xfId="14320" xr:uid="{00000000-0005-0000-0000-0000173B0000}"/>
    <cellStyle name="Normal 2 2 19 17" xfId="14321" xr:uid="{00000000-0005-0000-0000-0000183B0000}"/>
    <cellStyle name="Normal 2 2 19 18" xfId="14322" xr:uid="{00000000-0005-0000-0000-0000193B0000}"/>
    <cellStyle name="Normal 2 2 19 19" xfId="14323" xr:uid="{00000000-0005-0000-0000-00001A3B0000}"/>
    <cellStyle name="Normal 2 2 19 2" xfId="14324" xr:uid="{00000000-0005-0000-0000-00001B3B0000}"/>
    <cellStyle name="Normal 2 2 19 20" xfId="14325" xr:uid="{00000000-0005-0000-0000-00001C3B0000}"/>
    <cellStyle name="Normal 2 2 19 21" xfId="14326" xr:uid="{00000000-0005-0000-0000-00001D3B0000}"/>
    <cellStyle name="Normal 2 2 19 22" xfId="14327" xr:uid="{00000000-0005-0000-0000-00001E3B0000}"/>
    <cellStyle name="Normal 2 2 19 23" xfId="14328" xr:uid="{00000000-0005-0000-0000-00001F3B0000}"/>
    <cellStyle name="Normal 2 2 19 24" xfId="14329" xr:uid="{00000000-0005-0000-0000-0000203B0000}"/>
    <cellStyle name="Normal 2 2 19 25" xfId="14330" xr:uid="{00000000-0005-0000-0000-0000213B0000}"/>
    <cellStyle name="Normal 2 2 19 26" xfId="14331" xr:uid="{00000000-0005-0000-0000-0000223B0000}"/>
    <cellStyle name="Normal 2 2 19 27" xfId="14332" xr:uid="{00000000-0005-0000-0000-0000233B0000}"/>
    <cellStyle name="Normal 2 2 19 28" xfId="14333" xr:uid="{00000000-0005-0000-0000-0000243B0000}"/>
    <cellStyle name="Normal 2 2 19 29" xfId="14334" xr:uid="{00000000-0005-0000-0000-0000253B0000}"/>
    <cellStyle name="Normal 2 2 19 3" xfId="14335" xr:uid="{00000000-0005-0000-0000-0000263B0000}"/>
    <cellStyle name="Normal 2 2 19 30" xfId="14336" xr:uid="{00000000-0005-0000-0000-0000273B0000}"/>
    <cellStyle name="Normal 2 2 19 31" xfId="14337" xr:uid="{00000000-0005-0000-0000-0000283B0000}"/>
    <cellStyle name="Normal 2 2 19 32" xfId="14338" xr:uid="{00000000-0005-0000-0000-0000293B0000}"/>
    <cellStyle name="Normal 2 2 19 33" xfId="14339" xr:uid="{00000000-0005-0000-0000-00002A3B0000}"/>
    <cellStyle name="Normal 2 2 19 34" xfId="14340" xr:uid="{00000000-0005-0000-0000-00002B3B0000}"/>
    <cellStyle name="Normal 2 2 19 35" xfId="14341" xr:uid="{00000000-0005-0000-0000-00002C3B0000}"/>
    <cellStyle name="Normal 2 2 19 36" xfId="14342" xr:uid="{00000000-0005-0000-0000-00002D3B0000}"/>
    <cellStyle name="Normal 2 2 19 37" xfId="14343" xr:uid="{00000000-0005-0000-0000-00002E3B0000}"/>
    <cellStyle name="Normal 2 2 19 38" xfId="14344" xr:uid="{00000000-0005-0000-0000-00002F3B0000}"/>
    <cellStyle name="Normal 2 2 19 39" xfId="14345" xr:uid="{00000000-0005-0000-0000-0000303B0000}"/>
    <cellStyle name="Normal 2 2 19 4" xfId="14346" xr:uid="{00000000-0005-0000-0000-0000313B0000}"/>
    <cellStyle name="Normal 2 2 19 40" xfId="14347" xr:uid="{00000000-0005-0000-0000-0000323B0000}"/>
    <cellStyle name="Normal 2 2 19 41" xfId="14348" xr:uid="{00000000-0005-0000-0000-0000333B0000}"/>
    <cellStyle name="Normal 2 2 19 42" xfId="14349" xr:uid="{00000000-0005-0000-0000-0000343B0000}"/>
    <cellStyle name="Normal 2 2 19 43" xfId="14350" xr:uid="{00000000-0005-0000-0000-0000353B0000}"/>
    <cellStyle name="Normal 2 2 19 44" xfId="14351" xr:uid="{00000000-0005-0000-0000-0000363B0000}"/>
    <cellStyle name="Normal 2 2 19 45" xfId="14352" xr:uid="{00000000-0005-0000-0000-0000373B0000}"/>
    <cellStyle name="Normal 2 2 19 46" xfId="14353" xr:uid="{00000000-0005-0000-0000-0000383B0000}"/>
    <cellStyle name="Normal 2 2 19 5" xfId="14354" xr:uid="{00000000-0005-0000-0000-0000393B0000}"/>
    <cellStyle name="Normal 2 2 19 6" xfId="14355" xr:uid="{00000000-0005-0000-0000-00003A3B0000}"/>
    <cellStyle name="Normal 2 2 19 7" xfId="14356" xr:uid="{00000000-0005-0000-0000-00003B3B0000}"/>
    <cellStyle name="Normal 2 2 19 8" xfId="14357" xr:uid="{00000000-0005-0000-0000-00003C3B0000}"/>
    <cellStyle name="Normal 2 2 19 9" xfId="14358" xr:uid="{00000000-0005-0000-0000-00003D3B0000}"/>
    <cellStyle name="Normal 2 2 2" xfId="1069" xr:uid="{00000000-0005-0000-0000-00003E3B0000}"/>
    <cellStyle name="Normal 2 2 2 10" xfId="14359" xr:uid="{00000000-0005-0000-0000-00003F3B0000}"/>
    <cellStyle name="Normal 2 2 2 10 10" xfId="14360" xr:uid="{00000000-0005-0000-0000-0000403B0000}"/>
    <cellStyle name="Normal 2 2 2 10 11" xfId="14361" xr:uid="{00000000-0005-0000-0000-0000413B0000}"/>
    <cellStyle name="Normal 2 2 2 10 12" xfId="14362" xr:uid="{00000000-0005-0000-0000-0000423B0000}"/>
    <cellStyle name="Normal 2 2 2 10 13" xfId="14363" xr:uid="{00000000-0005-0000-0000-0000433B0000}"/>
    <cellStyle name="Normal 2 2 2 10 14" xfId="14364" xr:uid="{00000000-0005-0000-0000-0000443B0000}"/>
    <cellStyle name="Normal 2 2 2 10 2" xfId="14365" xr:uid="{00000000-0005-0000-0000-0000453B0000}"/>
    <cellStyle name="Normal 2 2 2 10 2 2" xfId="14366" xr:uid="{00000000-0005-0000-0000-0000463B0000}"/>
    <cellStyle name="Normal 2 2 2 10 2 3" xfId="14367" xr:uid="{00000000-0005-0000-0000-0000473B0000}"/>
    <cellStyle name="Normal 2 2 2 10 2 4" xfId="14368" xr:uid="{00000000-0005-0000-0000-0000483B0000}"/>
    <cellStyle name="Normal 2 2 2 10 2 5" xfId="14369" xr:uid="{00000000-0005-0000-0000-0000493B0000}"/>
    <cellStyle name="Normal 2 2 2 10 2 6" xfId="14370" xr:uid="{00000000-0005-0000-0000-00004A3B0000}"/>
    <cellStyle name="Normal 2 2 2 10 3" xfId="14371" xr:uid="{00000000-0005-0000-0000-00004B3B0000}"/>
    <cellStyle name="Normal 2 2 2 10 3 2" xfId="14372" xr:uid="{00000000-0005-0000-0000-00004C3B0000}"/>
    <cellStyle name="Normal 2 2 2 10 3 3" xfId="14373" xr:uid="{00000000-0005-0000-0000-00004D3B0000}"/>
    <cellStyle name="Normal 2 2 2 10 3 4" xfId="14374" xr:uid="{00000000-0005-0000-0000-00004E3B0000}"/>
    <cellStyle name="Normal 2 2 2 10 3 5" xfId="14375" xr:uid="{00000000-0005-0000-0000-00004F3B0000}"/>
    <cellStyle name="Normal 2 2 2 10 3 6" xfId="14376" xr:uid="{00000000-0005-0000-0000-0000503B0000}"/>
    <cellStyle name="Normal 2 2 2 10 4" xfId="14377" xr:uid="{00000000-0005-0000-0000-0000513B0000}"/>
    <cellStyle name="Normal 2 2 2 10 4 2" xfId="14378" xr:uid="{00000000-0005-0000-0000-0000523B0000}"/>
    <cellStyle name="Normal 2 2 2 10 4 3" xfId="14379" xr:uid="{00000000-0005-0000-0000-0000533B0000}"/>
    <cellStyle name="Normal 2 2 2 10 4 4" xfId="14380" xr:uid="{00000000-0005-0000-0000-0000543B0000}"/>
    <cellStyle name="Normal 2 2 2 10 4 5" xfId="14381" xr:uid="{00000000-0005-0000-0000-0000553B0000}"/>
    <cellStyle name="Normal 2 2 2 10 4 6" xfId="14382" xr:uid="{00000000-0005-0000-0000-0000563B0000}"/>
    <cellStyle name="Normal 2 2 2 10 5" xfId="14383" xr:uid="{00000000-0005-0000-0000-0000573B0000}"/>
    <cellStyle name="Normal 2 2 2 10 5 2" xfId="14384" xr:uid="{00000000-0005-0000-0000-0000583B0000}"/>
    <cellStyle name="Normal 2 2 2 10 5 3" xfId="14385" xr:uid="{00000000-0005-0000-0000-0000593B0000}"/>
    <cellStyle name="Normal 2 2 2 10 5 4" xfId="14386" xr:uid="{00000000-0005-0000-0000-00005A3B0000}"/>
    <cellStyle name="Normal 2 2 2 10 5 5" xfId="14387" xr:uid="{00000000-0005-0000-0000-00005B3B0000}"/>
    <cellStyle name="Normal 2 2 2 10 5 6" xfId="14388" xr:uid="{00000000-0005-0000-0000-00005C3B0000}"/>
    <cellStyle name="Normal 2 2 2 10 6" xfId="14389" xr:uid="{00000000-0005-0000-0000-00005D3B0000}"/>
    <cellStyle name="Normal 2 2 2 10 6 2" xfId="14390" xr:uid="{00000000-0005-0000-0000-00005E3B0000}"/>
    <cellStyle name="Normal 2 2 2 10 6 3" xfId="14391" xr:uid="{00000000-0005-0000-0000-00005F3B0000}"/>
    <cellStyle name="Normal 2 2 2 10 6 4" xfId="14392" xr:uid="{00000000-0005-0000-0000-0000603B0000}"/>
    <cellStyle name="Normal 2 2 2 10 6 5" xfId="14393" xr:uid="{00000000-0005-0000-0000-0000613B0000}"/>
    <cellStyle name="Normal 2 2 2 10 6 6" xfId="14394" xr:uid="{00000000-0005-0000-0000-0000623B0000}"/>
    <cellStyle name="Normal 2 2 2 10 7" xfId="14395" xr:uid="{00000000-0005-0000-0000-0000633B0000}"/>
    <cellStyle name="Normal 2 2 2 10 7 2" xfId="14396" xr:uid="{00000000-0005-0000-0000-0000643B0000}"/>
    <cellStyle name="Normal 2 2 2 10 7 3" xfId="14397" xr:uid="{00000000-0005-0000-0000-0000653B0000}"/>
    <cellStyle name="Normal 2 2 2 10 7 4" xfId="14398" xr:uid="{00000000-0005-0000-0000-0000663B0000}"/>
    <cellStyle name="Normal 2 2 2 10 7 5" xfId="14399" xr:uid="{00000000-0005-0000-0000-0000673B0000}"/>
    <cellStyle name="Normal 2 2 2 10 7 6" xfId="14400" xr:uid="{00000000-0005-0000-0000-0000683B0000}"/>
    <cellStyle name="Normal 2 2 2 10 8" xfId="14401" xr:uid="{00000000-0005-0000-0000-0000693B0000}"/>
    <cellStyle name="Normal 2 2 2 10 8 2" xfId="14402" xr:uid="{00000000-0005-0000-0000-00006A3B0000}"/>
    <cellStyle name="Normal 2 2 2 10 8 3" xfId="14403" xr:uid="{00000000-0005-0000-0000-00006B3B0000}"/>
    <cellStyle name="Normal 2 2 2 10 8 4" xfId="14404" xr:uid="{00000000-0005-0000-0000-00006C3B0000}"/>
    <cellStyle name="Normal 2 2 2 10 8 5" xfId="14405" xr:uid="{00000000-0005-0000-0000-00006D3B0000}"/>
    <cellStyle name="Normal 2 2 2 10 8 6" xfId="14406" xr:uid="{00000000-0005-0000-0000-00006E3B0000}"/>
    <cellStyle name="Normal 2 2 2 10 9" xfId="14407" xr:uid="{00000000-0005-0000-0000-00006F3B0000}"/>
    <cellStyle name="Normal 2 2 2 11" xfId="14408" xr:uid="{00000000-0005-0000-0000-0000703B0000}"/>
    <cellStyle name="Normal 2 2 2 11 10" xfId="14409" xr:uid="{00000000-0005-0000-0000-0000713B0000}"/>
    <cellStyle name="Normal 2 2 2 11 11" xfId="14410" xr:uid="{00000000-0005-0000-0000-0000723B0000}"/>
    <cellStyle name="Normal 2 2 2 11 12" xfId="14411" xr:uid="{00000000-0005-0000-0000-0000733B0000}"/>
    <cellStyle name="Normal 2 2 2 11 13" xfId="14412" xr:uid="{00000000-0005-0000-0000-0000743B0000}"/>
    <cellStyle name="Normal 2 2 2 11 14" xfId="14413" xr:uid="{00000000-0005-0000-0000-0000753B0000}"/>
    <cellStyle name="Normal 2 2 2 11 2" xfId="14414" xr:uid="{00000000-0005-0000-0000-0000763B0000}"/>
    <cellStyle name="Normal 2 2 2 11 2 2" xfId="14415" xr:uid="{00000000-0005-0000-0000-0000773B0000}"/>
    <cellStyle name="Normal 2 2 2 11 2 3" xfId="14416" xr:uid="{00000000-0005-0000-0000-0000783B0000}"/>
    <cellStyle name="Normal 2 2 2 11 2 4" xfId="14417" xr:uid="{00000000-0005-0000-0000-0000793B0000}"/>
    <cellStyle name="Normal 2 2 2 11 2 5" xfId="14418" xr:uid="{00000000-0005-0000-0000-00007A3B0000}"/>
    <cellStyle name="Normal 2 2 2 11 2 6" xfId="14419" xr:uid="{00000000-0005-0000-0000-00007B3B0000}"/>
    <cellStyle name="Normal 2 2 2 11 3" xfId="14420" xr:uid="{00000000-0005-0000-0000-00007C3B0000}"/>
    <cellStyle name="Normal 2 2 2 11 3 2" xfId="14421" xr:uid="{00000000-0005-0000-0000-00007D3B0000}"/>
    <cellStyle name="Normal 2 2 2 11 3 3" xfId="14422" xr:uid="{00000000-0005-0000-0000-00007E3B0000}"/>
    <cellStyle name="Normal 2 2 2 11 3 4" xfId="14423" xr:uid="{00000000-0005-0000-0000-00007F3B0000}"/>
    <cellStyle name="Normal 2 2 2 11 3 5" xfId="14424" xr:uid="{00000000-0005-0000-0000-0000803B0000}"/>
    <cellStyle name="Normal 2 2 2 11 3 6" xfId="14425" xr:uid="{00000000-0005-0000-0000-0000813B0000}"/>
    <cellStyle name="Normal 2 2 2 11 4" xfId="14426" xr:uid="{00000000-0005-0000-0000-0000823B0000}"/>
    <cellStyle name="Normal 2 2 2 11 4 2" xfId="14427" xr:uid="{00000000-0005-0000-0000-0000833B0000}"/>
    <cellStyle name="Normal 2 2 2 11 4 3" xfId="14428" xr:uid="{00000000-0005-0000-0000-0000843B0000}"/>
    <cellStyle name="Normal 2 2 2 11 4 4" xfId="14429" xr:uid="{00000000-0005-0000-0000-0000853B0000}"/>
    <cellStyle name="Normal 2 2 2 11 4 5" xfId="14430" xr:uid="{00000000-0005-0000-0000-0000863B0000}"/>
    <cellStyle name="Normal 2 2 2 11 4 6" xfId="14431" xr:uid="{00000000-0005-0000-0000-0000873B0000}"/>
    <cellStyle name="Normal 2 2 2 11 5" xfId="14432" xr:uid="{00000000-0005-0000-0000-0000883B0000}"/>
    <cellStyle name="Normal 2 2 2 11 5 2" xfId="14433" xr:uid="{00000000-0005-0000-0000-0000893B0000}"/>
    <cellStyle name="Normal 2 2 2 11 5 3" xfId="14434" xr:uid="{00000000-0005-0000-0000-00008A3B0000}"/>
    <cellStyle name="Normal 2 2 2 11 5 4" xfId="14435" xr:uid="{00000000-0005-0000-0000-00008B3B0000}"/>
    <cellStyle name="Normal 2 2 2 11 5 5" xfId="14436" xr:uid="{00000000-0005-0000-0000-00008C3B0000}"/>
    <cellStyle name="Normal 2 2 2 11 5 6" xfId="14437" xr:uid="{00000000-0005-0000-0000-00008D3B0000}"/>
    <cellStyle name="Normal 2 2 2 11 6" xfId="14438" xr:uid="{00000000-0005-0000-0000-00008E3B0000}"/>
    <cellStyle name="Normal 2 2 2 11 6 2" xfId="14439" xr:uid="{00000000-0005-0000-0000-00008F3B0000}"/>
    <cellStyle name="Normal 2 2 2 11 6 3" xfId="14440" xr:uid="{00000000-0005-0000-0000-0000903B0000}"/>
    <cellStyle name="Normal 2 2 2 11 6 4" xfId="14441" xr:uid="{00000000-0005-0000-0000-0000913B0000}"/>
    <cellStyle name="Normal 2 2 2 11 6 5" xfId="14442" xr:uid="{00000000-0005-0000-0000-0000923B0000}"/>
    <cellStyle name="Normal 2 2 2 11 6 6" xfId="14443" xr:uid="{00000000-0005-0000-0000-0000933B0000}"/>
    <cellStyle name="Normal 2 2 2 11 7" xfId="14444" xr:uid="{00000000-0005-0000-0000-0000943B0000}"/>
    <cellStyle name="Normal 2 2 2 11 7 2" xfId="14445" xr:uid="{00000000-0005-0000-0000-0000953B0000}"/>
    <cellStyle name="Normal 2 2 2 11 7 3" xfId="14446" xr:uid="{00000000-0005-0000-0000-0000963B0000}"/>
    <cellStyle name="Normal 2 2 2 11 7 4" xfId="14447" xr:uid="{00000000-0005-0000-0000-0000973B0000}"/>
    <cellStyle name="Normal 2 2 2 11 7 5" xfId="14448" xr:uid="{00000000-0005-0000-0000-0000983B0000}"/>
    <cellStyle name="Normal 2 2 2 11 7 6" xfId="14449" xr:uid="{00000000-0005-0000-0000-0000993B0000}"/>
    <cellStyle name="Normal 2 2 2 11 8" xfId="14450" xr:uid="{00000000-0005-0000-0000-00009A3B0000}"/>
    <cellStyle name="Normal 2 2 2 11 8 2" xfId="14451" xr:uid="{00000000-0005-0000-0000-00009B3B0000}"/>
    <cellStyle name="Normal 2 2 2 11 8 3" xfId="14452" xr:uid="{00000000-0005-0000-0000-00009C3B0000}"/>
    <cellStyle name="Normal 2 2 2 11 8 4" xfId="14453" xr:uid="{00000000-0005-0000-0000-00009D3B0000}"/>
    <cellStyle name="Normal 2 2 2 11 8 5" xfId="14454" xr:uid="{00000000-0005-0000-0000-00009E3B0000}"/>
    <cellStyle name="Normal 2 2 2 11 8 6" xfId="14455" xr:uid="{00000000-0005-0000-0000-00009F3B0000}"/>
    <cellStyle name="Normal 2 2 2 11 9" xfId="14456" xr:uid="{00000000-0005-0000-0000-0000A03B0000}"/>
    <cellStyle name="Normal 2 2 2 12" xfId="14457" xr:uid="{00000000-0005-0000-0000-0000A13B0000}"/>
    <cellStyle name="Normal 2 2 2 12 10" xfId="14458" xr:uid="{00000000-0005-0000-0000-0000A23B0000}"/>
    <cellStyle name="Normal 2 2 2 12 11" xfId="14459" xr:uid="{00000000-0005-0000-0000-0000A33B0000}"/>
    <cellStyle name="Normal 2 2 2 12 12" xfId="14460" xr:uid="{00000000-0005-0000-0000-0000A43B0000}"/>
    <cellStyle name="Normal 2 2 2 12 13" xfId="14461" xr:uid="{00000000-0005-0000-0000-0000A53B0000}"/>
    <cellStyle name="Normal 2 2 2 12 14" xfId="14462" xr:uid="{00000000-0005-0000-0000-0000A63B0000}"/>
    <cellStyle name="Normal 2 2 2 12 15" xfId="14463" xr:uid="{00000000-0005-0000-0000-0000A73B0000}"/>
    <cellStyle name="Normal 2 2 2 12 16" xfId="14464" xr:uid="{00000000-0005-0000-0000-0000A83B0000}"/>
    <cellStyle name="Normal 2 2 2 12 17" xfId="14465" xr:uid="{00000000-0005-0000-0000-0000A93B0000}"/>
    <cellStyle name="Normal 2 2 2 12 18" xfId="14466" xr:uid="{00000000-0005-0000-0000-0000AA3B0000}"/>
    <cellStyle name="Normal 2 2 2 12 19" xfId="14467" xr:uid="{00000000-0005-0000-0000-0000AB3B0000}"/>
    <cellStyle name="Normal 2 2 2 12 2" xfId="14468" xr:uid="{00000000-0005-0000-0000-0000AC3B0000}"/>
    <cellStyle name="Normal 2 2 2 12 20" xfId="14469" xr:uid="{00000000-0005-0000-0000-0000AD3B0000}"/>
    <cellStyle name="Normal 2 2 2 12 21" xfId="14470" xr:uid="{00000000-0005-0000-0000-0000AE3B0000}"/>
    <cellStyle name="Normal 2 2 2 12 22" xfId="14471" xr:uid="{00000000-0005-0000-0000-0000AF3B0000}"/>
    <cellStyle name="Normal 2 2 2 12 23" xfId="14472" xr:uid="{00000000-0005-0000-0000-0000B03B0000}"/>
    <cellStyle name="Normal 2 2 2 12 24" xfId="14473" xr:uid="{00000000-0005-0000-0000-0000B13B0000}"/>
    <cellStyle name="Normal 2 2 2 12 25" xfId="14474" xr:uid="{00000000-0005-0000-0000-0000B23B0000}"/>
    <cellStyle name="Normal 2 2 2 12 26" xfId="14475" xr:uid="{00000000-0005-0000-0000-0000B33B0000}"/>
    <cellStyle name="Normal 2 2 2 12 27" xfId="14476" xr:uid="{00000000-0005-0000-0000-0000B43B0000}"/>
    <cellStyle name="Normal 2 2 2 12 28" xfId="14477" xr:uid="{00000000-0005-0000-0000-0000B53B0000}"/>
    <cellStyle name="Normal 2 2 2 12 29" xfId="14478" xr:uid="{00000000-0005-0000-0000-0000B63B0000}"/>
    <cellStyle name="Normal 2 2 2 12 3" xfId="14479" xr:uid="{00000000-0005-0000-0000-0000B73B0000}"/>
    <cellStyle name="Normal 2 2 2 12 30" xfId="14480" xr:uid="{00000000-0005-0000-0000-0000B83B0000}"/>
    <cellStyle name="Normal 2 2 2 12 31" xfId="14481" xr:uid="{00000000-0005-0000-0000-0000B93B0000}"/>
    <cellStyle name="Normal 2 2 2 12 32" xfId="14482" xr:uid="{00000000-0005-0000-0000-0000BA3B0000}"/>
    <cellStyle name="Normal 2 2 2 12 33" xfId="14483" xr:uid="{00000000-0005-0000-0000-0000BB3B0000}"/>
    <cellStyle name="Normal 2 2 2 12 34" xfId="14484" xr:uid="{00000000-0005-0000-0000-0000BC3B0000}"/>
    <cellStyle name="Normal 2 2 2 12 35" xfId="14485" xr:uid="{00000000-0005-0000-0000-0000BD3B0000}"/>
    <cellStyle name="Normal 2 2 2 12 36" xfId="14486" xr:uid="{00000000-0005-0000-0000-0000BE3B0000}"/>
    <cellStyle name="Normal 2 2 2 12 37" xfId="14487" xr:uid="{00000000-0005-0000-0000-0000BF3B0000}"/>
    <cellStyle name="Normal 2 2 2 12 38" xfId="14488" xr:uid="{00000000-0005-0000-0000-0000C03B0000}"/>
    <cellStyle name="Normal 2 2 2 12 39" xfId="14489" xr:uid="{00000000-0005-0000-0000-0000C13B0000}"/>
    <cellStyle name="Normal 2 2 2 12 4" xfId="14490" xr:uid="{00000000-0005-0000-0000-0000C23B0000}"/>
    <cellStyle name="Normal 2 2 2 12 40" xfId="14491" xr:uid="{00000000-0005-0000-0000-0000C33B0000}"/>
    <cellStyle name="Normal 2 2 2 12 41" xfId="14492" xr:uid="{00000000-0005-0000-0000-0000C43B0000}"/>
    <cellStyle name="Normal 2 2 2 12 42" xfId="14493" xr:uid="{00000000-0005-0000-0000-0000C53B0000}"/>
    <cellStyle name="Normal 2 2 2 12 43" xfId="14494" xr:uid="{00000000-0005-0000-0000-0000C63B0000}"/>
    <cellStyle name="Normal 2 2 2 12 44" xfId="14495" xr:uid="{00000000-0005-0000-0000-0000C73B0000}"/>
    <cellStyle name="Normal 2 2 2 12 45" xfId="14496" xr:uid="{00000000-0005-0000-0000-0000C83B0000}"/>
    <cellStyle name="Normal 2 2 2 12 46" xfId="14497" xr:uid="{00000000-0005-0000-0000-0000C93B0000}"/>
    <cellStyle name="Normal 2 2 2 12 5" xfId="14498" xr:uid="{00000000-0005-0000-0000-0000CA3B0000}"/>
    <cellStyle name="Normal 2 2 2 12 6" xfId="14499" xr:uid="{00000000-0005-0000-0000-0000CB3B0000}"/>
    <cellStyle name="Normal 2 2 2 12 7" xfId="14500" xr:uid="{00000000-0005-0000-0000-0000CC3B0000}"/>
    <cellStyle name="Normal 2 2 2 12 8" xfId="14501" xr:uid="{00000000-0005-0000-0000-0000CD3B0000}"/>
    <cellStyle name="Normal 2 2 2 12 9" xfId="14502" xr:uid="{00000000-0005-0000-0000-0000CE3B0000}"/>
    <cellStyle name="Normal 2 2 2 13" xfId="14503" xr:uid="{00000000-0005-0000-0000-0000CF3B0000}"/>
    <cellStyle name="Normal 2 2 2 13 10" xfId="14504" xr:uid="{00000000-0005-0000-0000-0000D03B0000}"/>
    <cellStyle name="Normal 2 2 2 13 11" xfId="14505" xr:uid="{00000000-0005-0000-0000-0000D13B0000}"/>
    <cellStyle name="Normal 2 2 2 13 12" xfId="14506" xr:uid="{00000000-0005-0000-0000-0000D23B0000}"/>
    <cellStyle name="Normal 2 2 2 13 13" xfId="14507" xr:uid="{00000000-0005-0000-0000-0000D33B0000}"/>
    <cellStyle name="Normal 2 2 2 13 14" xfId="14508" xr:uid="{00000000-0005-0000-0000-0000D43B0000}"/>
    <cellStyle name="Normal 2 2 2 13 15" xfId="14509" xr:uid="{00000000-0005-0000-0000-0000D53B0000}"/>
    <cellStyle name="Normal 2 2 2 13 16" xfId="14510" xr:uid="{00000000-0005-0000-0000-0000D63B0000}"/>
    <cellStyle name="Normal 2 2 2 13 17" xfId="14511" xr:uid="{00000000-0005-0000-0000-0000D73B0000}"/>
    <cellStyle name="Normal 2 2 2 13 18" xfId="14512" xr:uid="{00000000-0005-0000-0000-0000D83B0000}"/>
    <cellStyle name="Normal 2 2 2 13 19" xfId="14513" xr:uid="{00000000-0005-0000-0000-0000D93B0000}"/>
    <cellStyle name="Normal 2 2 2 13 2" xfId="14514" xr:uid="{00000000-0005-0000-0000-0000DA3B0000}"/>
    <cellStyle name="Normal 2 2 2 13 20" xfId="14515" xr:uid="{00000000-0005-0000-0000-0000DB3B0000}"/>
    <cellStyle name="Normal 2 2 2 13 21" xfId="14516" xr:uid="{00000000-0005-0000-0000-0000DC3B0000}"/>
    <cellStyle name="Normal 2 2 2 13 22" xfId="14517" xr:uid="{00000000-0005-0000-0000-0000DD3B0000}"/>
    <cellStyle name="Normal 2 2 2 13 23" xfId="14518" xr:uid="{00000000-0005-0000-0000-0000DE3B0000}"/>
    <cellStyle name="Normal 2 2 2 13 24" xfId="14519" xr:uid="{00000000-0005-0000-0000-0000DF3B0000}"/>
    <cellStyle name="Normal 2 2 2 13 25" xfId="14520" xr:uid="{00000000-0005-0000-0000-0000E03B0000}"/>
    <cellStyle name="Normal 2 2 2 13 26" xfId="14521" xr:uid="{00000000-0005-0000-0000-0000E13B0000}"/>
    <cellStyle name="Normal 2 2 2 13 27" xfId="14522" xr:uid="{00000000-0005-0000-0000-0000E23B0000}"/>
    <cellStyle name="Normal 2 2 2 13 28" xfId="14523" xr:uid="{00000000-0005-0000-0000-0000E33B0000}"/>
    <cellStyle name="Normal 2 2 2 13 29" xfId="14524" xr:uid="{00000000-0005-0000-0000-0000E43B0000}"/>
    <cellStyle name="Normal 2 2 2 13 3" xfId="14525" xr:uid="{00000000-0005-0000-0000-0000E53B0000}"/>
    <cellStyle name="Normal 2 2 2 13 30" xfId="14526" xr:uid="{00000000-0005-0000-0000-0000E63B0000}"/>
    <cellStyle name="Normal 2 2 2 13 31" xfId="14527" xr:uid="{00000000-0005-0000-0000-0000E73B0000}"/>
    <cellStyle name="Normal 2 2 2 13 32" xfId="14528" xr:uid="{00000000-0005-0000-0000-0000E83B0000}"/>
    <cellStyle name="Normal 2 2 2 13 33" xfId="14529" xr:uid="{00000000-0005-0000-0000-0000E93B0000}"/>
    <cellStyle name="Normal 2 2 2 13 34" xfId="14530" xr:uid="{00000000-0005-0000-0000-0000EA3B0000}"/>
    <cellStyle name="Normal 2 2 2 13 35" xfId="14531" xr:uid="{00000000-0005-0000-0000-0000EB3B0000}"/>
    <cellStyle name="Normal 2 2 2 13 36" xfId="14532" xr:uid="{00000000-0005-0000-0000-0000EC3B0000}"/>
    <cellStyle name="Normal 2 2 2 13 37" xfId="14533" xr:uid="{00000000-0005-0000-0000-0000ED3B0000}"/>
    <cellStyle name="Normal 2 2 2 13 38" xfId="14534" xr:uid="{00000000-0005-0000-0000-0000EE3B0000}"/>
    <cellStyle name="Normal 2 2 2 13 39" xfId="14535" xr:uid="{00000000-0005-0000-0000-0000EF3B0000}"/>
    <cellStyle name="Normal 2 2 2 13 4" xfId="14536" xr:uid="{00000000-0005-0000-0000-0000F03B0000}"/>
    <cellStyle name="Normal 2 2 2 13 40" xfId="14537" xr:uid="{00000000-0005-0000-0000-0000F13B0000}"/>
    <cellStyle name="Normal 2 2 2 13 41" xfId="14538" xr:uid="{00000000-0005-0000-0000-0000F23B0000}"/>
    <cellStyle name="Normal 2 2 2 13 42" xfId="14539" xr:uid="{00000000-0005-0000-0000-0000F33B0000}"/>
    <cellStyle name="Normal 2 2 2 13 43" xfId="14540" xr:uid="{00000000-0005-0000-0000-0000F43B0000}"/>
    <cellStyle name="Normal 2 2 2 13 44" xfId="14541" xr:uid="{00000000-0005-0000-0000-0000F53B0000}"/>
    <cellStyle name="Normal 2 2 2 13 45" xfId="14542" xr:uid="{00000000-0005-0000-0000-0000F63B0000}"/>
    <cellStyle name="Normal 2 2 2 13 46" xfId="14543" xr:uid="{00000000-0005-0000-0000-0000F73B0000}"/>
    <cellStyle name="Normal 2 2 2 13 5" xfId="14544" xr:uid="{00000000-0005-0000-0000-0000F83B0000}"/>
    <cellStyle name="Normal 2 2 2 13 6" xfId="14545" xr:uid="{00000000-0005-0000-0000-0000F93B0000}"/>
    <cellStyle name="Normal 2 2 2 13 7" xfId="14546" xr:uid="{00000000-0005-0000-0000-0000FA3B0000}"/>
    <cellStyle name="Normal 2 2 2 13 8" xfId="14547" xr:uid="{00000000-0005-0000-0000-0000FB3B0000}"/>
    <cellStyle name="Normal 2 2 2 13 9" xfId="14548" xr:uid="{00000000-0005-0000-0000-0000FC3B0000}"/>
    <cellStyle name="Normal 2 2 2 14" xfId="14549" xr:uid="{00000000-0005-0000-0000-0000FD3B0000}"/>
    <cellStyle name="Normal 2 2 2 14 10" xfId="14550" xr:uid="{00000000-0005-0000-0000-0000FE3B0000}"/>
    <cellStyle name="Normal 2 2 2 14 11" xfId="14551" xr:uid="{00000000-0005-0000-0000-0000FF3B0000}"/>
    <cellStyle name="Normal 2 2 2 14 12" xfId="14552" xr:uid="{00000000-0005-0000-0000-0000003C0000}"/>
    <cellStyle name="Normal 2 2 2 14 13" xfId="14553" xr:uid="{00000000-0005-0000-0000-0000013C0000}"/>
    <cellStyle name="Normal 2 2 2 14 14" xfId="14554" xr:uid="{00000000-0005-0000-0000-0000023C0000}"/>
    <cellStyle name="Normal 2 2 2 14 15" xfId="14555" xr:uid="{00000000-0005-0000-0000-0000033C0000}"/>
    <cellStyle name="Normal 2 2 2 14 16" xfId="14556" xr:uid="{00000000-0005-0000-0000-0000043C0000}"/>
    <cellStyle name="Normal 2 2 2 14 17" xfId="14557" xr:uid="{00000000-0005-0000-0000-0000053C0000}"/>
    <cellStyle name="Normal 2 2 2 14 18" xfId="14558" xr:uid="{00000000-0005-0000-0000-0000063C0000}"/>
    <cellStyle name="Normal 2 2 2 14 19" xfId="14559" xr:uid="{00000000-0005-0000-0000-0000073C0000}"/>
    <cellStyle name="Normal 2 2 2 14 2" xfId="14560" xr:uid="{00000000-0005-0000-0000-0000083C0000}"/>
    <cellStyle name="Normal 2 2 2 14 20" xfId="14561" xr:uid="{00000000-0005-0000-0000-0000093C0000}"/>
    <cellStyle name="Normal 2 2 2 14 21" xfId="14562" xr:uid="{00000000-0005-0000-0000-00000A3C0000}"/>
    <cellStyle name="Normal 2 2 2 14 22" xfId="14563" xr:uid="{00000000-0005-0000-0000-00000B3C0000}"/>
    <cellStyle name="Normal 2 2 2 14 23" xfId="14564" xr:uid="{00000000-0005-0000-0000-00000C3C0000}"/>
    <cellStyle name="Normal 2 2 2 14 24" xfId="14565" xr:uid="{00000000-0005-0000-0000-00000D3C0000}"/>
    <cellStyle name="Normal 2 2 2 14 25" xfId="14566" xr:uid="{00000000-0005-0000-0000-00000E3C0000}"/>
    <cellStyle name="Normal 2 2 2 14 26" xfId="14567" xr:uid="{00000000-0005-0000-0000-00000F3C0000}"/>
    <cellStyle name="Normal 2 2 2 14 27" xfId="14568" xr:uid="{00000000-0005-0000-0000-0000103C0000}"/>
    <cellStyle name="Normal 2 2 2 14 28" xfId="14569" xr:uid="{00000000-0005-0000-0000-0000113C0000}"/>
    <cellStyle name="Normal 2 2 2 14 29" xfId="14570" xr:uid="{00000000-0005-0000-0000-0000123C0000}"/>
    <cellStyle name="Normal 2 2 2 14 3" xfId="14571" xr:uid="{00000000-0005-0000-0000-0000133C0000}"/>
    <cellStyle name="Normal 2 2 2 14 30" xfId="14572" xr:uid="{00000000-0005-0000-0000-0000143C0000}"/>
    <cellStyle name="Normal 2 2 2 14 31" xfId="14573" xr:uid="{00000000-0005-0000-0000-0000153C0000}"/>
    <cellStyle name="Normal 2 2 2 14 32" xfId="14574" xr:uid="{00000000-0005-0000-0000-0000163C0000}"/>
    <cellStyle name="Normal 2 2 2 14 33" xfId="14575" xr:uid="{00000000-0005-0000-0000-0000173C0000}"/>
    <cellStyle name="Normal 2 2 2 14 34" xfId="14576" xr:uid="{00000000-0005-0000-0000-0000183C0000}"/>
    <cellStyle name="Normal 2 2 2 14 35" xfId="14577" xr:uid="{00000000-0005-0000-0000-0000193C0000}"/>
    <cellStyle name="Normal 2 2 2 14 36" xfId="14578" xr:uid="{00000000-0005-0000-0000-00001A3C0000}"/>
    <cellStyle name="Normal 2 2 2 14 37" xfId="14579" xr:uid="{00000000-0005-0000-0000-00001B3C0000}"/>
    <cellStyle name="Normal 2 2 2 14 38" xfId="14580" xr:uid="{00000000-0005-0000-0000-00001C3C0000}"/>
    <cellStyle name="Normal 2 2 2 14 39" xfId="14581" xr:uid="{00000000-0005-0000-0000-00001D3C0000}"/>
    <cellStyle name="Normal 2 2 2 14 4" xfId="14582" xr:uid="{00000000-0005-0000-0000-00001E3C0000}"/>
    <cellStyle name="Normal 2 2 2 14 40" xfId="14583" xr:uid="{00000000-0005-0000-0000-00001F3C0000}"/>
    <cellStyle name="Normal 2 2 2 14 41" xfId="14584" xr:uid="{00000000-0005-0000-0000-0000203C0000}"/>
    <cellStyle name="Normal 2 2 2 14 42" xfId="14585" xr:uid="{00000000-0005-0000-0000-0000213C0000}"/>
    <cellStyle name="Normal 2 2 2 14 43" xfId="14586" xr:uid="{00000000-0005-0000-0000-0000223C0000}"/>
    <cellStyle name="Normal 2 2 2 14 44" xfId="14587" xr:uid="{00000000-0005-0000-0000-0000233C0000}"/>
    <cellStyle name="Normal 2 2 2 14 45" xfId="14588" xr:uid="{00000000-0005-0000-0000-0000243C0000}"/>
    <cellStyle name="Normal 2 2 2 14 46" xfId="14589" xr:uid="{00000000-0005-0000-0000-0000253C0000}"/>
    <cellStyle name="Normal 2 2 2 14 5" xfId="14590" xr:uid="{00000000-0005-0000-0000-0000263C0000}"/>
    <cellStyle name="Normal 2 2 2 14 6" xfId="14591" xr:uid="{00000000-0005-0000-0000-0000273C0000}"/>
    <cellStyle name="Normal 2 2 2 14 7" xfId="14592" xr:uid="{00000000-0005-0000-0000-0000283C0000}"/>
    <cellStyle name="Normal 2 2 2 14 8" xfId="14593" xr:uid="{00000000-0005-0000-0000-0000293C0000}"/>
    <cellStyle name="Normal 2 2 2 14 9" xfId="14594" xr:uid="{00000000-0005-0000-0000-00002A3C0000}"/>
    <cellStyle name="Normal 2 2 2 15" xfId="14595" xr:uid="{00000000-0005-0000-0000-00002B3C0000}"/>
    <cellStyle name="Normal 2 2 2 15 10" xfId="14596" xr:uid="{00000000-0005-0000-0000-00002C3C0000}"/>
    <cellStyle name="Normal 2 2 2 15 11" xfId="14597" xr:uid="{00000000-0005-0000-0000-00002D3C0000}"/>
    <cellStyle name="Normal 2 2 2 15 12" xfId="14598" xr:uid="{00000000-0005-0000-0000-00002E3C0000}"/>
    <cellStyle name="Normal 2 2 2 15 13" xfId="14599" xr:uid="{00000000-0005-0000-0000-00002F3C0000}"/>
    <cellStyle name="Normal 2 2 2 15 14" xfId="14600" xr:uid="{00000000-0005-0000-0000-0000303C0000}"/>
    <cellStyle name="Normal 2 2 2 15 15" xfId="14601" xr:uid="{00000000-0005-0000-0000-0000313C0000}"/>
    <cellStyle name="Normal 2 2 2 15 16" xfId="14602" xr:uid="{00000000-0005-0000-0000-0000323C0000}"/>
    <cellStyle name="Normal 2 2 2 15 17" xfId="14603" xr:uid="{00000000-0005-0000-0000-0000333C0000}"/>
    <cellStyle name="Normal 2 2 2 15 18" xfId="14604" xr:uid="{00000000-0005-0000-0000-0000343C0000}"/>
    <cellStyle name="Normal 2 2 2 15 19" xfId="14605" xr:uid="{00000000-0005-0000-0000-0000353C0000}"/>
    <cellStyle name="Normal 2 2 2 15 2" xfId="14606" xr:uid="{00000000-0005-0000-0000-0000363C0000}"/>
    <cellStyle name="Normal 2 2 2 15 20" xfId="14607" xr:uid="{00000000-0005-0000-0000-0000373C0000}"/>
    <cellStyle name="Normal 2 2 2 15 21" xfId="14608" xr:uid="{00000000-0005-0000-0000-0000383C0000}"/>
    <cellStyle name="Normal 2 2 2 15 22" xfId="14609" xr:uid="{00000000-0005-0000-0000-0000393C0000}"/>
    <cellStyle name="Normal 2 2 2 15 23" xfId="14610" xr:uid="{00000000-0005-0000-0000-00003A3C0000}"/>
    <cellStyle name="Normal 2 2 2 15 24" xfId="14611" xr:uid="{00000000-0005-0000-0000-00003B3C0000}"/>
    <cellStyle name="Normal 2 2 2 15 25" xfId="14612" xr:uid="{00000000-0005-0000-0000-00003C3C0000}"/>
    <cellStyle name="Normal 2 2 2 15 26" xfId="14613" xr:uid="{00000000-0005-0000-0000-00003D3C0000}"/>
    <cellStyle name="Normal 2 2 2 15 27" xfId="14614" xr:uid="{00000000-0005-0000-0000-00003E3C0000}"/>
    <cellStyle name="Normal 2 2 2 15 28" xfId="14615" xr:uid="{00000000-0005-0000-0000-00003F3C0000}"/>
    <cellStyle name="Normal 2 2 2 15 29" xfId="14616" xr:uid="{00000000-0005-0000-0000-0000403C0000}"/>
    <cellStyle name="Normal 2 2 2 15 3" xfId="14617" xr:uid="{00000000-0005-0000-0000-0000413C0000}"/>
    <cellStyle name="Normal 2 2 2 15 30" xfId="14618" xr:uid="{00000000-0005-0000-0000-0000423C0000}"/>
    <cellStyle name="Normal 2 2 2 15 31" xfId="14619" xr:uid="{00000000-0005-0000-0000-0000433C0000}"/>
    <cellStyle name="Normal 2 2 2 15 32" xfId="14620" xr:uid="{00000000-0005-0000-0000-0000443C0000}"/>
    <cellStyle name="Normal 2 2 2 15 33" xfId="14621" xr:uid="{00000000-0005-0000-0000-0000453C0000}"/>
    <cellStyle name="Normal 2 2 2 15 34" xfId="14622" xr:uid="{00000000-0005-0000-0000-0000463C0000}"/>
    <cellStyle name="Normal 2 2 2 15 35" xfId="14623" xr:uid="{00000000-0005-0000-0000-0000473C0000}"/>
    <cellStyle name="Normal 2 2 2 15 36" xfId="14624" xr:uid="{00000000-0005-0000-0000-0000483C0000}"/>
    <cellStyle name="Normal 2 2 2 15 37" xfId="14625" xr:uid="{00000000-0005-0000-0000-0000493C0000}"/>
    <cellStyle name="Normal 2 2 2 15 38" xfId="14626" xr:uid="{00000000-0005-0000-0000-00004A3C0000}"/>
    <cellStyle name="Normal 2 2 2 15 39" xfId="14627" xr:uid="{00000000-0005-0000-0000-00004B3C0000}"/>
    <cellStyle name="Normal 2 2 2 15 4" xfId="14628" xr:uid="{00000000-0005-0000-0000-00004C3C0000}"/>
    <cellStyle name="Normal 2 2 2 15 40" xfId="14629" xr:uid="{00000000-0005-0000-0000-00004D3C0000}"/>
    <cellStyle name="Normal 2 2 2 15 41" xfId="14630" xr:uid="{00000000-0005-0000-0000-00004E3C0000}"/>
    <cellStyle name="Normal 2 2 2 15 42" xfId="14631" xr:uid="{00000000-0005-0000-0000-00004F3C0000}"/>
    <cellStyle name="Normal 2 2 2 15 43" xfId="14632" xr:uid="{00000000-0005-0000-0000-0000503C0000}"/>
    <cellStyle name="Normal 2 2 2 15 44" xfId="14633" xr:uid="{00000000-0005-0000-0000-0000513C0000}"/>
    <cellStyle name="Normal 2 2 2 15 45" xfId="14634" xr:uid="{00000000-0005-0000-0000-0000523C0000}"/>
    <cellStyle name="Normal 2 2 2 15 46" xfId="14635" xr:uid="{00000000-0005-0000-0000-0000533C0000}"/>
    <cellStyle name="Normal 2 2 2 15 5" xfId="14636" xr:uid="{00000000-0005-0000-0000-0000543C0000}"/>
    <cellStyle name="Normal 2 2 2 15 6" xfId="14637" xr:uid="{00000000-0005-0000-0000-0000553C0000}"/>
    <cellStyle name="Normal 2 2 2 15 7" xfId="14638" xr:uid="{00000000-0005-0000-0000-0000563C0000}"/>
    <cellStyle name="Normal 2 2 2 15 8" xfId="14639" xr:uid="{00000000-0005-0000-0000-0000573C0000}"/>
    <cellStyle name="Normal 2 2 2 15 9" xfId="14640" xr:uid="{00000000-0005-0000-0000-0000583C0000}"/>
    <cellStyle name="Normal 2 2 2 16" xfId="14641" xr:uid="{00000000-0005-0000-0000-0000593C0000}"/>
    <cellStyle name="Normal 2 2 2 16 10" xfId="14642" xr:uid="{00000000-0005-0000-0000-00005A3C0000}"/>
    <cellStyle name="Normal 2 2 2 16 11" xfId="14643" xr:uid="{00000000-0005-0000-0000-00005B3C0000}"/>
    <cellStyle name="Normal 2 2 2 16 12" xfId="14644" xr:uid="{00000000-0005-0000-0000-00005C3C0000}"/>
    <cellStyle name="Normal 2 2 2 16 13" xfId="14645" xr:uid="{00000000-0005-0000-0000-00005D3C0000}"/>
    <cellStyle name="Normal 2 2 2 16 14" xfId="14646" xr:uid="{00000000-0005-0000-0000-00005E3C0000}"/>
    <cellStyle name="Normal 2 2 2 16 15" xfId="14647" xr:uid="{00000000-0005-0000-0000-00005F3C0000}"/>
    <cellStyle name="Normal 2 2 2 16 16" xfId="14648" xr:uid="{00000000-0005-0000-0000-0000603C0000}"/>
    <cellStyle name="Normal 2 2 2 16 17" xfId="14649" xr:uid="{00000000-0005-0000-0000-0000613C0000}"/>
    <cellStyle name="Normal 2 2 2 16 18" xfId="14650" xr:uid="{00000000-0005-0000-0000-0000623C0000}"/>
    <cellStyle name="Normal 2 2 2 16 19" xfId="14651" xr:uid="{00000000-0005-0000-0000-0000633C0000}"/>
    <cellStyle name="Normal 2 2 2 16 2" xfId="14652" xr:uid="{00000000-0005-0000-0000-0000643C0000}"/>
    <cellStyle name="Normal 2 2 2 16 20" xfId="14653" xr:uid="{00000000-0005-0000-0000-0000653C0000}"/>
    <cellStyle name="Normal 2 2 2 16 21" xfId="14654" xr:uid="{00000000-0005-0000-0000-0000663C0000}"/>
    <cellStyle name="Normal 2 2 2 16 22" xfId="14655" xr:uid="{00000000-0005-0000-0000-0000673C0000}"/>
    <cellStyle name="Normal 2 2 2 16 23" xfId="14656" xr:uid="{00000000-0005-0000-0000-0000683C0000}"/>
    <cellStyle name="Normal 2 2 2 16 24" xfId="14657" xr:uid="{00000000-0005-0000-0000-0000693C0000}"/>
    <cellStyle name="Normal 2 2 2 16 25" xfId="14658" xr:uid="{00000000-0005-0000-0000-00006A3C0000}"/>
    <cellStyle name="Normal 2 2 2 16 26" xfId="14659" xr:uid="{00000000-0005-0000-0000-00006B3C0000}"/>
    <cellStyle name="Normal 2 2 2 16 27" xfId="14660" xr:uid="{00000000-0005-0000-0000-00006C3C0000}"/>
    <cellStyle name="Normal 2 2 2 16 28" xfId="14661" xr:uid="{00000000-0005-0000-0000-00006D3C0000}"/>
    <cellStyle name="Normal 2 2 2 16 29" xfId="14662" xr:uid="{00000000-0005-0000-0000-00006E3C0000}"/>
    <cellStyle name="Normal 2 2 2 16 3" xfId="14663" xr:uid="{00000000-0005-0000-0000-00006F3C0000}"/>
    <cellStyle name="Normal 2 2 2 16 30" xfId="14664" xr:uid="{00000000-0005-0000-0000-0000703C0000}"/>
    <cellStyle name="Normal 2 2 2 16 31" xfId="14665" xr:uid="{00000000-0005-0000-0000-0000713C0000}"/>
    <cellStyle name="Normal 2 2 2 16 32" xfId="14666" xr:uid="{00000000-0005-0000-0000-0000723C0000}"/>
    <cellStyle name="Normal 2 2 2 16 33" xfId="14667" xr:uid="{00000000-0005-0000-0000-0000733C0000}"/>
    <cellStyle name="Normal 2 2 2 16 34" xfId="14668" xr:uid="{00000000-0005-0000-0000-0000743C0000}"/>
    <cellStyle name="Normal 2 2 2 16 35" xfId="14669" xr:uid="{00000000-0005-0000-0000-0000753C0000}"/>
    <cellStyle name="Normal 2 2 2 16 36" xfId="14670" xr:uid="{00000000-0005-0000-0000-0000763C0000}"/>
    <cellStyle name="Normal 2 2 2 16 37" xfId="14671" xr:uid="{00000000-0005-0000-0000-0000773C0000}"/>
    <cellStyle name="Normal 2 2 2 16 38" xfId="14672" xr:uid="{00000000-0005-0000-0000-0000783C0000}"/>
    <cellStyle name="Normal 2 2 2 16 39" xfId="14673" xr:uid="{00000000-0005-0000-0000-0000793C0000}"/>
    <cellStyle name="Normal 2 2 2 16 4" xfId="14674" xr:uid="{00000000-0005-0000-0000-00007A3C0000}"/>
    <cellStyle name="Normal 2 2 2 16 40" xfId="14675" xr:uid="{00000000-0005-0000-0000-00007B3C0000}"/>
    <cellStyle name="Normal 2 2 2 16 41" xfId="14676" xr:uid="{00000000-0005-0000-0000-00007C3C0000}"/>
    <cellStyle name="Normal 2 2 2 16 42" xfId="14677" xr:uid="{00000000-0005-0000-0000-00007D3C0000}"/>
    <cellStyle name="Normal 2 2 2 16 43" xfId="14678" xr:uid="{00000000-0005-0000-0000-00007E3C0000}"/>
    <cellStyle name="Normal 2 2 2 16 44" xfId="14679" xr:uid="{00000000-0005-0000-0000-00007F3C0000}"/>
    <cellStyle name="Normal 2 2 2 16 45" xfId="14680" xr:uid="{00000000-0005-0000-0000-0000803C0000}"/>
    <cellStyle name="Normal 2 2 2 16 46" xfId="14681" xr:uid="{00000000-0005-0000-0000-0000813C0000}"/>
    <cellStyle name="Normal 2 2 2 16 5" xfId="14682" xr:uid="{00000000-0005-0000-0000-0000823C0000}"/>
    <cellStyle name="Normal 2 2 2 16 6" xfId="14683" xr:uid="{00000000-0005-0000-0000-0000833C0000}"/>
    <cellStyle name="Normal 2 2 2 16 7" xfId="14684" xr:uid="{00000000-0005-0000-0000-0000843C0000}"/>
    <cellStyle name="Normal 2 2 2 16 8" xfId="14685" xr:uid="{00000000-0005-0000-0000-0000853C0000}"/>
    <cellStyle name="Normal 2 2 2 16 9" xfId="14686" xr:uid="{00000000-0005-0000-0000-0000863C0000}"/>
    <cellStyle name="Normal 2 2 2 17" xfId="14687" xr:uid="{00000000-0005-0000-0000-0000873C0000}"/>
    <cellStyle name="Normal 2 2 2 17 10" xfId="14688" xr:uid="{00000000-0005-0000-0000-0000883C0000}"/>
    <cellStyle name="Normal 2 2 2 17 10 10" xfId="14689" xr:uid="{00000000-0005-0000-0000-0000893C0000}"/>
    <cellStyle name="Normal 2 2 2 17 10 11" xfId="14690" xr:uid="{00000000-0005-0000-0000-00008A3C0000}"/>
    <cellStyle name="Normal 2 2 2 17 10 12" xfId="14691" xr:uid="{00000000-0005-0000-0000-00008B3C0000}"/>
    <cellStyle name="Normal 2 2 2 17 10 13" xfId="14692" xr:uid="{00000000-0005-0000-0000-00008C3C0000}"/>
    <cellStyle name="Normal 2 2 2 17 10 2" xfId="14693" xr:uid="{00000000-0005-0000-0000-00008D3C0000}"/>
    <cellStyle name="Normal 2 2 2 17 10 2 2" xfId="14694" xr:uid="{00000000-0005-0000-0000-00008E3C0000}"/>
    <cellStyle name="Normal 2 2 2 17 10 2 3" xfId="14695" xr:uid="{00000000-0005-0000-0000-00008F3C0000}"/>
    <cellStyle name="Normal 2 2 2 17 10 2 4" xfId="14696" xr:uid="{00000000-0005-0000-0000-0000903C0000}"/>
    <cellStyle name="Normal 2 2 2 17 10 2 5" xfId="14697" xr:uid="{00000000-0005-0000-0000-0000913C0000}"/>
    <cellStyle name="Normal 2 2 2 17 10 2 6" xfId="14698" xr:uid="{00000000-0005-0000-0000-0000923C0000}"/>
    <cellStyle name="Normal 2 2 2 17 10 3" xfId="14699" xr:uid="{00000000-0005-0000-0000-0000933C0000}"/>
    <cellStyle name="Normal 2 2 2 17 10 3 2" xfId="14700" xr:uid="{00000000-0005-0000-0000-0000943C0000}"/>
    <cellStyle name="Normal 2 2 2 17 10 3 3" xfId="14701" xr:uid="{00000000-0005-0000-0000-0000953C0000}"/>
    <cellStyle name="Normal 2 2 2 17 10 3 4" xfId="14702" xr:uid="{00000000-0005-0000-0000-0000963C0000}"/>
    <cellStyle name="Normal 2 2 2 17 10 3 5" xfId="14703" xr:uid="{00000000-0005-0000-0000-0000973C0000}"/>
    <cellStyle name="Normal 2 2 2 17 10 3 6" xfId="14704" xr:uid="{00000000-0005-0000-0000-0000983C0000}"/>
    <cellStyle name="Normal 2 2 2 17 10 4" xfId="14705" xr:uid="{00000000-0005-0000-0000-0000993C0000}"/>
    <cellStyle name="Normal 2 2 2 17 10 4 2" xfId="14706" xr:uid="{00000000-0005-0000-0000-00009A3C0000}"/>
    <cellStyle name="Normal 2 2 2 17 10 4 3" xfId="14707" xr:uid="{00000000-0005-0000-0000-00009B3C0000}"/>
    <cellStyle name="Normal 2 2 2 17 10 4 4" xfId="14708" xr:uid="{00000000-0005-0000-0000-00009C3C0000}"/>
    <cellStyle name="Normal 2 2 2 17 10 4 5" xfId="14709" xr:uid="{00000000-0005-0000-0000-00009D3C0000}"/>
    <cellStyle name="Normal 2 2 2 17 10 4 6" xfId="14710" xr:uid="{00000000-0005-0000-0000-00009E3C0000}"/>
    <cellStyle name="Normal 2 2 2 17 10 5" xfId="14711" xr:uid="{00000000-0005-0000-0000-00009F3C0000}"/>
    <cellStyle name="Normal 2 2 2 17 10 5 2" xfId="14712" xr:uid="{00000000-0005-0000-0000-0000A03C0000}"/>
    <cellStyle name="Normal 2 2 2 17 10 5 3" xfId="14713" xr:uid="{00000000-0005-0000-0000-0000A13C0000}"/>
    <cellStyle name="Normal 2 2 2 17 10 5 4" xfId="14714" xr:uid="{00000000-0005-0000-0000-0000A23C0000}"/>
    <cellStyle name="Normal 2 2 2 17 10 5 5" xfId="14715" xr:uid="{00000000-0005-0000-0000-0000A33C0000}"/>
    <cellStyle name="Normal 2 2 2 17 10 5 6" xfId="14716" xr:uid="{00000000-0005-0000-0000-0000A43C0000}"/>
    <cellStyle name="Normal 2 2 2 17 10 6" xfId="14717" xr:uid="{00000000-0005-0000-0000-0000A53C0000}"/>
    <cellStyle name="Normal 2 2 2 17 10 6 2" xfId="14718" xr:uid="{00000000-0005-0000-0000-0000A63C0000}"/>
    <cellStyle name="Normal 2 2 2 17 10 6 3" xfId="14719" xr:uid="{00000000-0005-0000-0000-0000A73C0000}"/>
    <cellStyle name="Normal 2 2 2 17 10 6 4" xfId="14720" xr:uid="{00000000-0005-0000-0000-0000A83C0000}"/>
    <cellStyle name="Normal 2 2 2 17 10 6 5" xfId="14721" xr:uid="{00000000-0005-0000-0000-0000A93C0000}"/>
    <cellStyle name="Normal 2 2 2 17 10 6 6" xfId="14722" xr:uid="{00000000-0005-0000-0000-0000AA3C0000}"/>
    <cellStyle name="Normal 2 2 2 17 10 7" xfId="14723" xr:uid="{00000000-0005-0000-0000-0000AB3C0000}"/>
    <cellStyle name="Normal 2 2 2 17 10 7 2" xfId="14724" xr:uid="{00000000-0005-0000-0000-0000AC3C0000}"/>
    <cellStyle name="Normal 2 2 2 17 10 7 3" xfId="14725" xr:uid="{00000000-0005-0000-0000-0000AD3C0000}"/>
    <cellStyle name="Normal 2 2 2 17 10 7 4" xfId="14726" xr:uid="{00000000-0005-0000-0000-0000AE3C0000}"/>
    <cellStyle name="Normal 2 2 2 17 10 7 5" xfId="14727" xr:uid="{00000000-0005-0000-0000-0000AF3C0000}"/>
    <cellStyle name="Normal 2 2 2 17 10 7 6" xfId="14728" xr:uid="{00000000-0005-0000-0000-0000B03C0000}"/>
    <cellStyle name="Normal 2 2 2 17 10 8" xfId="14729" xr:uid="{00000000-0005-0000-0000-0000B13C0000}"/>
    <cellStyle name="Normal 2 2 2 17 10 8 2" xfId="14730" xr:uid="{00000000-0005-0000-0000-0000B23C0000}"/>
    <cellStyle name="Normal 2 2 2 17 10 8 3" xfId="14731" xr:uid="{00000000-0005-0000-0000-0000B33C0000}"/>
    <cellStyle name="Normal 2 2 2 17 10 8 4" xfId="14732" xr:uid="{00000000-0005-0000-0000-0000B43C0000}"/>
    <cellStyle name="Normal 2 2 2 17 10 8 5" xfId="14733" xr:uid="{00000000-0005-0000-0000-0000B53C0000}"/>
    <cellStyle name="Normal 2 2 2 17 10 8 6" xfId="14734" xr:uid="{00000000-0005-0000-0000-0000B63C0000}"/>
    <cellStyle name="Normal 2 2 2 17 10 9" xfId="14735" xr:uid="{00000000-0005-0000-0000-0000B73C0000}"/>
    <cellStyle name="Normal 2 2 2 17 11" xfId="14736" xr:uid="{00000000-0005-0000-0000-0000B83C0000}"/>
    <cellStyle name="Normal 2 2 2 17 11 10" xfId="14737" xr:uid="{00000000-0005-0000-0000-0000B93C0000}"/>
    <cellStyle name="Normal 2 2 2 17 11 11" xfId="14738" xr:uid="{00000000-0005-0000-0000-0000BA3C0000}"/>
    <cellStyle name="Normal 2 2 2 17 11 12" xfId="14739" xr:uid="{00000000-0005-0000-0000-0000BB3C0000}"/>
    <cellStyle name="Normal 2 2 2 17 11 13" xfId="14740" xr:uid="{00000000-0005-0000-0000-0000BC3C0000}"/>
    <cellStyle name="Normal 2 2 2 17 11 2" xfId="14741" xr:uid="{00000000-0005-0000-0000-0000BD3C0000}"/>
    <cellStyle name="Normal 2 2 2 17 11 2 2" xfId="14742" xr:uid="{00000000-0005-0000-0000-0000BE3C0000}"/>
    <cellStyle name="Normal 2 2 2 17 11 2 3" xfId="14743" xr:uid="{00000000-0005-0000-0000-0000BF3C0000}"/>
    <cellStyle name="Normal 2 2 2 17 11 2 4" xfId="14744" xr:uid="{00000000-0005-0000-0000-0000C03C0000}"/>
    <cellStyle name="Normal 2 2 2 17 11 2 5" xfId="14745" xr:uid="{00000000-0005-0000-0000-0000C13C0000}"/>
    <cellStyle name="Normal 2 2 2 17 11 2 6" xfId="14746" xr:uid="{00000000-0005-0000-0000-0000C23C0000}"/>
    <cellStyle name="Normal 2 2 2 17 11 3" xfId="14747" xr:uid="{00000000-0005-0000-0000-0000C33C0000}"/>
    <cellStyle name="Normal 2 2 2 17 11 3 2" xfId="14748" xr:uid="{00000000-0005-0000-0000-0000C43C0000}"/>
    <cellStyle name="Normal 2 2 2 17 11 3 3" xfId="14749" xr:uid="{00000000-0005-0000-0000-0000C53C0000}"/>
    <cellStyle name="Normal 2 2 2 17 11 3 4" xfId="14750" xr:uid="{00000000-0005-0000-0000-0000C63C0000}"/>
    <cellStyle name="Normal 2 2 2 17 11 3 5" xfId="14751" xr:uid="{00000000-0005-0000-0000-0000C73C0000}"/>
    <cellStyle name="Normal 2 2 2 17 11 3 6" xfId="14752" xr:uid="{00000000-0005-0000-0000-0000C83C0000}"/>
    <cellStyle name="Normal 2 2 2 17 11 4" xfId="14753" xr:uid="{00000000-0005-0000-0000-0000C93C0000}"/>
    <cellStyle name="Normal 2 2 2 17 11 4 2" xfId="14754" xr:uid="{00000000-0005-0000-0000-0000CA3C0000}"/>
    <cellStyle name="Normal 2 2 2 17 11 4 3" xfId="14755" xr:uid="{00000000-0005-0000-0000-0000CB3C0000}"/>
    <cellStyle name="Normal 2 2 2 17 11 4 4" xfId="14756" xr:uid="{00000000-0005-0000-0000-0000CC3C0000}"/>
    <cellStyle name="Normal 2 2 2 17 11 4 5" xfId="14757" xr:uid="{00000000-0005-0000-0000-0000CD3C0000}"/>
    <cellStyle name="Normal 2 2 2 17 11 4 6" xfId="14758" xr:uid="{00000000-0005-0000-0000-0000CE3C0000}"/>
    <cellStyle name="Normal 2 2 2 17 11 5" xfId="14759" xr:uid="{00000000-0005-0000-0000-0000CF3C0000}"/>
    <cellStyle name="Normal 2 2 2 17 11 5 2" xfId="14760" xr:uid="{00000000-0005-0000-0000-0000D03C0000}"/>
    <cellStyle name="Normal 2 2 2 17 11 5 3" xfId="14761" xr:uid="{00000000-0005-0000-0000-0000D13C0000}"/>
    <cellStyle name="Normal 2 2 2 17 11 5 4" xfId="14762" xr:uid="{00000000-0005-0000-0000-0000D23C0000}"/>
    <cellStyle name="Normal 2 2 2 17 11 5 5" xfId="14763" xr:uid="{00000000-0005-0000-0000-0000D33C0000}"/>
    <cellStyle name="Normal 2 2 2 17 11 5 6" xfId="14764" xr:uid="{00000000-0005-0000-0000-0000D43C0000}"/>
    <cellStyle name="Normal 2 2 2 17 11 6" xfId="14765" xr:uid="{00000000-0005-0000-0000-0000D53C0000}"/>
    <cellStyle name="Normal 2 2 2 17 11 6 2" xfId="14766" xr:uid="{00000000-0005-0000-0000-0000D63C0000}"/>
    <cellStyle name="Normal 2 2 2 17 11 6 3" xfId="14767" xr:uid="{00000000-0005-0000-0000-0000D73C0000}"/>
    <cellStyle name="Normal 2 2 2 17 11 6 4" xfId="14768" xr:uid="{00000000-0005-0000-0000-0000D83C0000}"/>
    <cellStyle name="Normal 2 2 2 17 11 6 5" xfId="14769" xr:uid="{00000000-0005-0000-0000-0000D93C0000}"/>
    <cellStyle name="Normal 2 2 2 17 11 6 6" xfId="14770" xr:uid="{00000000-0005-0000-0000-0000DA3C0000}"/>
    <cellStyle name="Normal 2 2 2 17 11 7" xfId="14771" xr:uid="{00000000-0005-0000-0000-0000DB3C0000}"/>
    <cellStyle name="Normal 2 2 2 17 11 7 2" xfId="14772" xr:uid="{00000000-0005-0000-0000-0000DC3C0000}"/>
    <cellStyle name="Normal 2 2 2 17 11 7 3" xfId="14773" xr:uid="{00000000-0005-0000-0000-0000DD3C0000}"/>
    <cellStyle name="Normal 2 2 2 17 11 7 4" xfId="14774" xr:uid="{00000000-0005-0000-0000-0000DE3C0000}"/>
    <cellStyle name="Normal 2 2 2 17 11 7 5" xfId="14775" xr:uid="{00000000-0005-0000-0000-0000DF3C0000}"/>
    <cellStyle name="Normal 2 2 2 17 11 7 6" xfId="14776" xr:uid="{00000000-0005-0000-0000-0000E03C0000}"/>
    <cellStyle name="Normal 2 2 2 17 11 8" xfId="14777" xr:uid="{00000000-0005-0000-0000-0000E13C0000}"/>
    <cellStyle name="Normal 2 2 2 17 11 8 2" xfId="14778" xr:uid="{00000000-0005-0000-0000-0000E23C0000}"/>
    <cellStyle name="Normal 2 2 2 17 11 8 3" xfId="14779" xr:uid="{00000000-0005-0000-0000-0000E33C0000}"/>
    <cellStyle name="Normal 2 2 2 17 11 8 4" xfId="14780" xr:uid="{00000000-0005-0000-0000-0000E43C0000}"/>
    <cellStyle name="Normal 2 2 2 17 11 8 5" xfId="14781" xr:uid="{00000000-0005-0000-0000-0000E53C0000}"/>
    <cellStyle name="Normal 2 2 2 17 11 8 6" xfId="14782" xr:uid="{00000000-0005-0000-0000-0000E63C0000}"/>
    <cellStyle name="Normal 2 2 2 17 11 9" xfId="14783" xr:uid="{00000000-0005-0000-0000-0000E73C0000}"/>
    <cellStyle name="Normal 2 2 2 17 12" xfId="14784" xr:uid="{00000000-0005-0000-0000-0000E83C0000}"/>
    <cellStyle name="Normal 2 2 2 17 13" xfId="14785" xr:uid="{00000000-0005-0000-0000-0000E93C0000}"/>
    <cellStyle name="Normal 2 2 2 17 14" xfId="14786" xr:uid="{00000000-0005-0000-0000-0000EA3C0000}"/>
    <cellStyle name="Normal 2 2 2 17 15" xfId="14787" xr:uid="{00000000-0005-0000-0000-0000EB3C0000}"/>
    <cellStyle name="Normal 2 2 2 17 16" xfId="14788" xr:uid="{00000000-0005-0000-0000-0000EC3C0000}"/>
    <cellStyle name="Normal 2 2 2 17 17" xfId="14789" xr:uid="{00000000-0005-0000-0000-0000ED3C0000}"/>
    <cellStyle name="Normal 2 2 2 17 18" xfId="14790" xr:uid="{00000000-0005-0000-0000-0000EE3C0000}"/>
    <cellStyle name="Normal 2 2 2 17 19" xfId="14791" xr:uid="{00000000-0005-0000-0000-0000EF3C0000}"/>
    <cellStyle name="Normal 2 2 2 17 2" xfId="14792" xr:uid="{00000000-0005-0000-0000-0000F03C0000}"/>
    <cellStyle name="Normal 2 2 2 17 2 10" xfId="14793" xr:uid="{00000000-0005-0000-0000-0000F13C0000}"/>
    <cellStyle name="Normal 2 2 2 17 2 11" xfId="14794" xr:uid="{00000000-0005-0000-0000-0000F23C0000}"/>
    <cellStyle name="Normal 2 2 2 17 2 12" xfId="14795" xr:uid="{00000000-0005-0000-0000-0000F33C0000}"/>
    <cellStyle name="Normal 2 2 2 17 2 13" xfId="14796" xr:uid="{00000000-0005-0000-0000-0000F43C0000}"/>
    <cellStyle name="Normal 2 2 2 17 2 2" xfId="14797" xr:uid="{00000000-0005-0000-0000-0000F53C0000}"/>
    <cellStyle name="Normal 2 2 2 17 2 2 2" xfId="14798" xr:uid="{00000000-0005-0000-0000-0000F63C0000}"/>
    <cellStyle name="Normal 2 2 2 17 2 2 3" xfId="14799" xr:uid="{00000000-0005-0000-0000-0000F73C0000}"/>
    <cellStyle name="Normal 2 2 2 17 2 2 4" xfId="14800" xr:uid="{00000000-0005-0000-0000-0000F83C0000}"/>
    <cellStyle name="Normal 2 2 2 17 2 2 5" xfId="14801" xr:uid="{00000000-0005-0000-0000-0000F93C0000}"/>
    <cellStyle name="Normal 2 2 2 17 2 2 6" xfId="14802" xr:uid="{00000000-0005-0000-0000-0000FA3C0000}"/>
    <cellStyle name="Normal 2 2 2 17 2 3" xfId="14803" xr:uid="{00000000-0005-0000-0000-0000FB3C0000}"/>
    <cellStyle name="Normal 2 2 2 17 2 3 2" xfId="14804" xr:uid="{00000000-0005-0000-0000-0000FC3C0000}"/>
    <cellStyle name="Normal 2 2 2 17 2 3 3" xfId="14805" xr:uid="{00000000-0005-0000-0000-0000FD3C0000}"/>
    <cellStyle name="Normal 2 2 2 17 2 3 4" xfId="14806" xr:uid="{00000000-0005-0000-0000-0000FE3C0000}"/>
    <cellStyle name="Normal 2 2 2 17 2 3 5" xfId="14807" xr:uid="{00000000-0005-0000-0000-0000FF3C0000}"/>
    <cellStyle name="Normal 2 2 2 17 2 3 6" xfId="14808" xr:uid="{00000000-0005-0000-0000-0000003D0000}"/>
    <cellStyle name="Normal 2 2 2 17 2 4" xfId="14809" xr:uid="{00000000-0005-0000-0000-0000013D0000}"/>
    <cellStyle name="Normal 2 2 2 17 2 4 2" xfId="14810" xr:uid="{00000000-0005-0000-0000-0000023D0000}"/>
    <cellStyle name="Normal 2 2 2 17 2 4 3" xfId="14811" xr:uid="{00000000-0005-0000-0000-0000033D0000}"/>
    <cellStyle name="Normal 2 2 2 17 2 4 4" xfId="14812" xr:uid="{00000000-0005-0000-0000-0000043D0000}"/>
    <cellStyle name="Normal 2 2 2 17 2 4 5" xfId="14813" xr:uid="{00000000-0005-0000-0000-0000053D0000}"/>
    <cellStyle name="Normal 2 2 2 17 2 4 6" xfId="14814" xr:uid="{00000000-0005-0000-0000-0000063D0000}"/>
    <cellStyle name="Normal 2 2 2 17 2 5" xfId="14815" xr:uid="{00000000-0005-0000-0000-0000073D0000}"/>
    <cellStyle name="Normal 2 2 2 17 2 5 2" xfId="14816" xr:uid="{00000000-0005-0000-0000-0000083D0000}"/>
    <cellStyle name="Normal 2 2 2 17 2 5 3" xfId="14817" xr:uid="{00000000-0005-0000-0000-0000093D0000}"/>
    <cellStyle name="Normal 2 2 2 17 2 5 4" xfId="14818" xr:uid="{00000000-0005-0000-0000-00000A3D0000}"/>
    <cellStyle name="Normal 2 2 2 17 2 5 5" xfId="14819" xr:uid="{00000000-0005-0000-0000-00000B3D0000}"/>
    <cellStyle name="Normal 2 2 2 17 2 5 6" xfId="14820" xr:uid="{00000000-0005-0000-0000-00000C3D0000}"/>
    <cellStyle name="Normal 2 2 2 17 2 6" xfId="14821" xr:uid="{00000000-0005-0000-0000-00000D3D0000}"/>
    <cellStyle name="Normal 2 2 2 17 2 6 2" xfId="14822" xr:uid="{00000000-0005-0000-0000-00000E3D0000}"/>
    <cellStyle name="Normal 2 2 2 17 2 6 3" xfId="14823" xr:uid="{00000000-0005-0000-0000-00000F3D0000}"/>
    <cellStyle name="Normal 2 2 2 17 2 6 4" xfId="14824" xr:uid="{00000000-0005-0000-0000-0000103D0000}"/>
    <cellStyle name="Normal 2 2 2 17 2 6 5" xfId="14825" xr:uid="{00000000-0005-0000-0000-0000113D0000}"/>
    <cellStyle name="Normal 2 2 2 17 2 6 6" xfId="14826" xr:uid="{00000000-0005-0000-0000-0000123D0000}"/>
    <cellStyle name="Normal 2 2 2 17 2 7" xfId="14827" xr:uid="{00000000-0005-0000-0000-0000133D0000}"/>
    <cellStyle name="Normal 2 2 2 17 2 7 2" xfId="14828" xr:uid="{00000000-0005-0000-0000-0000143D0000}"/>
    <cellStyle name="Normal 2 2 2 17 2 7 3" xfId="14829" xr:uid="{00000000-0005-0000-0000-0000153D0000}"/>
    <cellStyle name="Normal 2 2 2 17 2 7 4" xfId="14830" xr:uid="{00000000-0005-0000-0000-0000163D0000}"/>
    <cellStyle name="Normal 2 2 2 17 2 7 5" xfId="14831" xr:uid="{00000000-0005-0000-0000-0000173D0000}"/>
    <cellStyle name="Normal 2 2 2 17 2 7 6" xfId="14832" xr:uid="{00000000-0005-0000-0000-0000183D0000}"/>
    <cellStyle name="Normal 2 2 2 17 2 8" xfId="14833" xr:uid="{00000000-0005-0000-0000-0000193D0000}"/>
    <cellStyle name="Normal 2 2 2 17 2 8 2" xfId="14834" xr:uid="{00000000-0005-0000-0000-00001A3D0000}"/>
    <cellStyle name="Normal 2 2 2 17 2 8 3" xfId="14835" xr:uid="{00000000-0005-0000-0000-00001B3D0000}"/>
    <cellStyle name="Normal 2 2 2 17 2 8 4" xfId="14836" xr:uid="{00000000-0005-0000-0000-00001C3D0000}"/>
    <cellStyle name="Normal 2 2 2 17 2 8 5" xfId="14837" xr:uid="{00000000-0005-0000-0000-00001D3D0000}"/>
    <cellStyle name="Normal 2 2 2 17 2 8 6" xfId="14838" xr:uid="{00000000-0005-0000-0000-00001E3D0000}"/>
    <cellStyle name="Normal 2 2 2 17 2 9" xfId="14839" xr:uid="{00000000-0005-0000-0000-00001F3D0000}"/>
    <cellStyle name="Normal 2 2 2 17 20" xfId="14840" xr:uid="{00000000-0005-0000-0000-0000203D0000}"/>
    <cellStyle name="Normal 2 2 2 17 21" xfId="14841" xr:uid="{00000000-0005-0000-0000-0000213D0000}"/>
    <cellStyle name="Normal 2 2 2 17 22" xfId="14842" xr:uid="{00000000-0005-0000-0000-0000223D0000}"/>
    <cellStyle name="Normal 2 2 2 17 23" xfId="14843" xr:uid="{00000000-0005-0000-0000-0000233D0000}"/>
    <cellStyle name="Normal 2 2 2 17 24" xfId="14844" xr:uid="{00000000-0005-0000-0000-0000243D0000}"/>
    <cellStyle name="Normal 2 2 2 17 25" xfId="14845" xr:uid="{00000000-0005-0000-0000-0000253D0000}"/>
    <cellStyle name="Normal 2 2 2 17 26" xfId="14846" xr:uid="{00000000-0005-0000-0000-0000263D0000}"/>
    <cellStyle name="Normal 2 2 2 17 27" xfId="14847" xr:uid="{00000000-0005-0000-0000-0000273D0000}"/>
    <cellStyle name="Normal 2 2 2 17 28" xfId="14848" xr:uid="{00000000-0005-0000-0000-0000283D0000}"/>
    <cellStyle name="Normal 2 2 2 17 29" xfId="14849" xr:uid="{00000000-0005-0000-0000-0000293D0000}"/>
    <cellStyle name="Normal 2 2 2 17 3" xfId="14850" xr:uid="{00000000-0005-0000-0000-00002A3D0000}"/>
    <cellStyle name="Normal 2 2 2 17 3 10" xfId="14851" xr:uid="{00000000-0005-0000-0000-00002B3D0000}"/>
    <cellStyle name="Normal 2 2 2 17 3 11" xfId="14852" xr:uid="{00000000-0005-0000-0000-00002C3D0000}"/>
    <cellStyle name="Normal 2 2 2 17 3 12" xfId="14853" xr:uid="{00000000-0005-0000-0000-00002D3D0000}"/>
    <cellStyle name="Normal 2 2 2 17 3 13" xfId="14854" xr:uid="{00000000-0005-0000-0000-00002E3D0000}"/>
    <cellStyle name="Normal 2 2 2 17 3 2" xfId="14855" xr:uid="{00000000-0005-0000-0000-00002F3D0000}"/>
    <cellStyle name="Normal 2 2 2 17 3 2 2" xfId="14856" xr:uid="{00000000-0005-0000-0000-0000303D0000}"/>
    <cellStyle name="Normal 2 2 2 17 3 2 3" xfId="14857" xr:uid="{00000000-0005-0000-0000-0000313D0000}"/>
    <cellStyle name="Normal 2 2 2 17 3 2 4" xfId="14858" xr:uid="{00000000-0005-0000-0000-0000323D0000}"/>
    <cellStyle name="Normal 2 2 2 17 3 2 5" xfId="14859" xr:uid="{00000000-0005-0000-0000-0000333D0000}"/>
    <cellStyle name="Normal 2 2 2 17 3 2 6" xfId="14860" xr:uid="{00000000-0005-0000-0000-0000343D0000}"/>
    <cellStyle name="Normal 2 2 2 17 3 3" xfId="14861" xr:uid="{00000000-0005-0000-0000-0000353D0000}"/>
    <cellStyle name="Normal 2 2 2 17 3 3 2" xfId="14862" xr:uid="{00000000-0005-0000-0000-0000363D0000}"/>
    <cellStyle name="Normal 2 2 2 17 3 3 3" xfId="14863" xr:uid="{00000000-0005-0000-0000-0000373D0000}"/>
    <cellStyle name="Normal 2 2 2 17 3 3 4" xfId="14864" xr:uid="{00000000-0005-0000-0000-0000383D0000}"/>
    <cellStyle name="Normal 2 2 2 17 3 3 5" xfId="14865" xr:uid="{00000000-0005-0000-0000-0000393D0000}"/>
    <cellStyle name="Normal 2 2 2 17 3 3 6" xfId="14866" xr:uid="{00000000-0005-0000-0000-00003A3D0000}"/>
    <cellStyle name="Normal 2 2 2 17 3 4" xfId="14867" xr:uid="{00000000-0005-0000-0000-00003B3D0000}"/>
    <cellStyle name="Normal 2 2 2 17 3 4 2" xfId="14868" xr:uid="{00000000-0005-0000-0000-00003C3D0000}"/>
    <cellStyle name="Normal 2 2 2 17 3 4 3" xfId="14869" xr:uid="{00000000-0005-0000-0000-00003D3D0000}"/>
    <cellStyle name="Normal 2 2 2 17 3 4 4" xfId="14870" xr:uid="{00000000-0005-0000-0000-00003E3D0000}"/>
    <cellStyle name="Normal 2 2 2 17 3 4 5" xfId="14871" xr:uid="{00000000-0005-0000-0000-00003F3D0000}"/>
    <cellStyle name="Normal 2 2 2 17 3 4 6" xfId="14872" xr:uid="{00000000-0005-0000-0000-0000403D0000}"/>
    <cellStyle name="Normal 2 2 2 17 3 5" xfId="14873" xr:uid="{00000000-0005-0000-0000-0000413D0000}"/>
    <cellStyle name="Normal 2 2 2 17 3 5 2" xfId="14874" xr:uid="{00000000-0005-0000-0000-0000423D0000}"/>
    <cellStyle name="Normal 2 2 2 17 3 5 3" xfId="14875" xr:uid="{00000000-0005-0000-0000-0000433D0000}"/>
    <cellStyle name="Normal 2 2 2 17 3 5 4" xfId="14876" xr:uid="{00000000-0005-0000-0000-0000443D0000}"/>
    <cellStyle name="Normal 2 2 2 17 3 5 5" xfId="14877" xr:uid="{00000000-0005-0000-0000-0000453D0000}"/>
    <cellStyle name="Normal 2 2 2 17 3 5 6" xfId="14878" xr:uid="{00000000-0005-0000-0000-0000463D0000}"/>
    <cellStyle name="Normal 2 2 2 17 3 6" xfId="14879" xr:uid="{00000000-0005-0000-0000-0000473D0000}"/>
    <cellStyle name="Normal 2 2 2 17 3 6 2" xfId="14880" xr:uid="{00000000-0005-0000-0000-0000483D0000}"/>
    <cellStyle name="Normal 2 2 2 17 3 6 3" xfId="14881" xr:uid="{00000000-0005-0000-0000-0000493D0000}"/>
    <cellStyle name="Normal 2 2 2 17 3 6 4" xfId="14882" xr:uid="{00000000-0005-0000-0000-00004A3D0000}"/>
    <cellStyle name="Normal 2 2 2 17 3 6 5" xfId="14883" xr:uid="{00000000-0005-0000-0000-00004B3D0000}"/>
    <cellStyle name="Normal 2 2 2 17 3 6 6" xfId="14884" xr:uid="{00000000-0005-0000-0000-00004C3D0000}"/>
    <cellStyle name="Normal 2 2 2 17 3 7" xfId="14885" xr:uid="{00000000-0005-0000-0000-00004D3D0000}"/>
    <cellStyle name="Normal 2 2 2 17 3 7 2" xfId="14886" xr:uid="{00000000-0005-0000-0000-00004E3D0000}"/>
    <cellStyle name="Normal 2 2 2 17 3 7 3" xfId="14887" xr:uid="{00000000-0005-0000-0000-00004F3D0000}"/>
    <cellStyle name="Normal 2 2 2 17 3 7 4" xfId="14888" xr:uid="{00000000-0005-0000-0000-0000503D0000}"/>
    <cellStyle name="Normal 2 2 2 17 3 7 5" xfId="14889" xr:uid="{00000000-0005-0000-0000-0000513D0000}"/>
    <cellStyle name="Normal 2 2 2 17 3 7 6" xfId="14890" xr:uid="{00000000-0005-0000-0000-0000523D0000}"/>
    <cellStyle name="Normal 2 2 2 17 3 8" xfId="14891" xr:uid="{00000000-0005-0000-0000-0000533D0000}"/>
    <cellStyle name="Normal 2 2 2 17 3 8 2" xfId="14892" xr:uid="{00000000-0005-0000-0000-0000543D0000}"/>
    <cellStyle name="Normal 2 2 2 17 3 8 3" xfId="14893" xr:uid="{00000000-0005-0000-0000-0000553D0000}"/>
    <cellStyle name="Normal 2 2 2 17 3 8 4" xfId="14894" xr:uid="{00000000-0005-0000-0000-0000563D0000}"/>
    <cellStyle name="Normal 2 2 2 17 3 8 5" xfId="14895" xr:uid="{00000000-0005-0000-0000-0000573D0000}"/>
    <cellStyle name="Normal 2 2 2 17 3 8 6" xfId="14896" xr:uid="{00000000-0005-0000-0000-0000583D0000}"/>
    <cellStyle name="Normal 2 2 2 17 3 9" xfId="14897" xr:uid="{00000000-0005-0000-0000-0000593D0000}"/>
    <cellStyle name="Normal 2 2 2 17 30" xfId="14898" xr:uid="{00000000-0005-0000-0000-00005A3D0000}"/>
    <cellStyle name="Normal 2 2 2 17 31" xfId="14899" xr:uid="{00000000-0005-0000-0000-00005B3D0000}"/>
    <cellStyle name="Normal 2 2 2 17 32" xfId="14900" xr:uid="{00000000-0005-0000-0000-00005C3D0000}"/>
    <cellStyle name="Normal 2 2 2 17 33" xfId="14901" xr:uid="{00000000-0005-0000-0000-00005D3D0000}"/>
    <cellStyle name="Normal 2 2 2 17 34" xfId="14902" xr:uid="{00000000-0005-0000-0000-00005E3D0000}"/>
    <cellStyle name="Normal 2 2 2 17 35" xfId="14903" xr:uid="{00000000-0005-0000-0000-00005F3D0000}"/>
    <cellStyle name="Normal 2 2 2 17 36" xfId="14904" xr:uid="{00000000-0005-0000-0000-0000603D0000}"/>
    <cellStyle name="Normal 2 2 2 17 37" xfId="14905" xr:uid="{00000000-0005-0000-0000-0000613D0000}"/>
    <cellStyle name="Normal 2 2 2 17 38" xfId="14906" xr:uid="{00000000-0005-0000-0000-0000623D0000}"/>
    <cellStyle name="Normal 2 2 2 17 39" xfId="14907" xr:uid="{00000000-0005-0000-0000-0000633D0000}"/>
    <cellStyle name="Normal 2 2 2 17 4" xfId="14908" xr:uid="{00000000-0005-0000-0000-0000643D0000}"/>
    <cellStyle name="Normal 2 2 2 17 4 10" xfId="14909" xr:uid="{00000000-0005-0000-0000-0000653D0000}"/>
    <cellStyle name="Normal 2 2 2 17 4 11" xfId="14910" xr:uid="{00000000-0005-0000-0000-0000663D0000}"/>
    <cellStyle name="Normal 2 2 2 17 4 12" xfId="14911" xr:uid="{00000000-0005-0000-0000-0000673D0000}"/>
    <cellStyle name="Normal 2 2 2 17 4 13" xfId="14912" xr:uid="{00000000-0005-0000-0000-0000683D0000}"/>
    <cellStyle name="Normal 2 2 2 17 4 2" xfId="14913" xr:uid="{00000000-0005-0000-0000-0000693D0000}"/>
    <cellStyle name="Normal 2 2 2 17 4 2 2" xfId="14914" xr:uid="{00000000-0005-0000-0000-00006A3D0000}"/>
    <cellStyle name="Normal 2 2 2 17 4 2 3" xfId="14915" xr:uid="{00000000-0005-0000-0000-00006B3D0000}"/>
    <cellStyle name="Normal 2 2 2 17 4 2 4" xfId="14916" xr:uid="{00000000-0005-0000-0000-00006C3D0000}"/>
    <cellStyle name="Normal 2 2 2 17 4 2 5" xfId="14917" xr:uid="{00000000-0005-0000-0000-00006D3D0000}"/>
    <cellStyle name="Normal 2 2 2 17 4 2 6" xfId="14918" xr:uid="{00000000-0005-0000-0000-00006E3D0000}"/>
    <cellStyle name="Normal 2 2 2 17 4 3" xfId="14919" xr:uid="{00000000-0005-0000-0000-00006F3D0000}"/>
    <cellStyle name="Normal 2 2 2 17 4 3 2" xfId="14920" xr:uid="{00000000-0005-0000-0000-0000703D0000}"/>
    <cellStyle name="Normal 2 2 2 17 4 3 3" xfId="14921" xr:uid="{00000000-0005-0000-0000-0000713D0000}"/>
    <cellStyle name="Normal 2 2 2 17 4 3 4" xfId="14922" xr:uid="{00000000-0005-0000-0000-0000723D0000}"/>
    <cellStyle name="Normal 2 2 2 17 4 3 5" xfId="14923" xr:uid="{00000000-0005-0000-0000-0000733D0000}"/>
    <cellStyle name="Normal 2 2 2 17 4 3 6" xfId="14924" xr:uid="{00000000-0005-0000-0000-0000743D0000}"/>
    <cellStyle name="Normal 2 2 2 17 4 4" xfId="14925" xr:uid="{00000000-0005-0000-0000-0000753D0000}"/>
    <cellStyle name="Normal 2 2 2 17 4 4 2" xfId="14926" xr:uid="{00000000-0005-0000-0000-0000763D0000}"/>
    <cellStyle name="Normal 2 2 2 17 4 4 3" xfId="14927" xr:uid="{00000000-0005-0000-0000-0000773D0000}"/>
    <cellStyle name="Normal 2 2 2 17 4 4 4" xfId="14928" xr:uid="{00000000-0005-0000-0000-0000783D0000}"/>
    <cellStyle name="Normal 2 2 2 17 4 4 5" xfId="14929" xr:uid="{00000000-0005-0000-0000-0000793D0000}"/>
    <cellStyle name="Normal 2 2 2 17 4 4 6" xfId="14930" xr:uid="{00000000-0005-0000-0000-00007A3D0000}"/>
    <cellStyle name="Normal 2 2 2 17 4 5" xfId="14931" xr:uid="{00000000-0005-0000-0000-00007B3D0000}"/>
    <cellStyle name="Normal 2 2 2 17 4 5 2" xfId="14932" xr:uid="{00000000-0005-0000-0000-00007C3D0000}"/>
    <cellStyle name="Normal 2 2 2 17 4 5 3" xfId="14933" xr:uid="{00000000-0005-0000-0000-00007D3D0000}"/>
    <cellStyle name="Normal 2 2 2 17 4 5 4" xfId="14934" xr:uid="{00000000-0005-0000-0000-00007E3D0000}"/>
    <cellStyle name="Normal 2 2 2 17 4 5 5" xfId="14935" xr:uid="{00000000-0005-0000-0000-00007F3D0000}"/>
    <cellStyle name="Normal 2 2 2 17 4 5 6" xfId="14936" xr:uid="{00000000-0005-0000-0000-0000803D0000}"/>
    <cellStyle name="Normal 2 2 2 17 4 6" xfId="14937" xr:uid="{00000000-0005-0000-0000-0000813D0000}"/>
    <cellStyle name="Normal 2 2 2 17 4 6 2" xfId="14938" xr:uid="{00000000-0005-0000-0000-0000823D0000}"/>
    <cellStyle name="Normal 2 2 2 17 4 6 3" xfId="14939" xr:uid="{00000000-0005-0000-0000-0000833D0000}"/>
    <cellStyle name="Normal 2 2 2 17 4 6 4" xfId="14940" xr:uid="{00000000-0005-0000-0000-0000843D0000}"/>
    <cellStyle name="Normal 2 2 2 17 4 6 5" xfId="14941" xr:uid="{00000000-0005-0000-0000-0000853D0000}"/>
    <cellStyle name="Normal 2 2 2 17 4 6 6" xfId="14942" xr:uid="{00000000-0005-0000-0000-0000863D0000}"/>
    <cellStyle name="Normal 2 2 2 17 4 7" xfId="14943" xr:uid="{00000000-0005-0000-0000-0000873D0000}"/>
    <cellStyle name="Normal 2 2 2 17 4 7 2" xfId="14944" xr:uid="{00000000-0005-0000-0000-0000883D0000}"/>
    <cellStyle name="Normal 2 2 2 17 4 7 3" xfId="14945" xr:uid="{00000000-0005-0000-0000-0000893D0000}"/>
    <cellStyle name="Normal 2 2 2 17 4 7 4" xfId="14946" xr:uid="{00000000-0005-0000-0000-00008A3D0000}"/>
    <cellStyle name="Normal 2 2 2 17 4 7 5" xfId="14947" xr:uid="{00000000-0005-0000-0000-00008B3D0000}"/>
    <cellStyle name="Normal 2 2 2 17 4 7 6" xfId="14948" xr:uid="{00000000-0005-0000-0000-00008C3D0000}"/>
    <cellStyle name="Normal 2 2 2 17 4 8" xfId="14949" xr:uid="{00000000-0005-0000-0000-00008D3D0000}"/>
    <cellStyle name="Normal 2 2 2 17 4 8 2" xfId="14950" xr:uid="{00000000-0005-0000-0000-00008E3D0000}"/>
    <cellStyle name="Normal 2 2 2 17 4 8 3" xfId="14951" xr:uid="{00000000-0005-0000-0000-00008F3D0000}"/>
    <cellStyle name="Normal 2 2 2 17 4 8 4" xfId="14952" xr:uid="{00000000-0005-0000-0000-0000903D0000}"/>
    <cellStyle name="Normal 2 2 2 17 4 8 5" xfId="14953" xr:uid="{00000000-0005-0000-0000-0000913D0000}"/>
    <cellStyle name="Normal 2 2 2 17 4 8 6" xfId="14954" xr:uid="{00000000-0005-0000-0000-0000923D0000}"/>
    <cellStyle name="Normal 2 2 2 17 4 9" xfId="14955" xr:uid="{00000000-0005-0000-0000-0000933D0000}"/>
    <cellStyle name="Normal 2 2 2 17 40" xfId="14956" xr:uid="{00000000-0005-0000-0000-0000943D0000}"/>
    <cellStyle name="Normal 2 2 2 17 41" xfId="14957" xr:uid="{00000000-0005-0000-0000-0000953D0000}"/>
    <cellStyle name="Normal 2 2 2 17 42" xfId="14958" xr:uid="{00000000-0005-0000-0000-0000963D0000}"/>
    <cellStyle name="Normal 2 2 2 17 43" xfId="14959" xr:uid="{00000000-0005-0000-0000-0000973D0000}"/>
    <cellStyle name="Normal 2 2 2 17 44" xfId="14960" xr:uid="{00000000-0005-0000-0000-0000983D0000}"/>
    <cellStyle name="Normal 2 2 2 17 45" xfId="14961" xr:uid="{00000000-0005-0000-0000-0000993D0000}"/>
    <cellStyle name="Normal 2 2 2 17 46" xfId="14962" xr:uid="{00000000-0005-0000-0000-00009A3D0000}"/>
    <cellStyle name="Normal 2 2 2 17 47" xfId="14963" xr:uid="{00000000-0005-0000-0000-00009B3D0000}"/>
    <cellStyle name="Normal 2 2 2 17 48" xfId="14964" xr:uid="{00000000-0005-0000-0000-00009C3D0000}"/>
    <cellStyle name="Normal 2 2 2 17 5" xfId="14965" xr:uid="{00000000-0005-0000-0000-00009D3D0000}"/>
    <cellStyle name="Normal 2 2 2 17 5 10" xfId="14966" xr:uid="{00000000-0005-0000-0000-00009E3D0000}"/>
    <cellStyle name="Normal 2 2 2 17 5 11" xfId="14967" xr:uid="{00000000-0005-0000-0000-00009F3D0000}"/>
    <cellStyle name="Normal 2 2 2 17 5 12" xfId="14968" xr:uid="{00000000-0005-0000-0000-0000A03D0000}"/>
    <cellStyle name="Normal 2 2 2 17 5 13" xfId="14969" xr:uid="{00000000-0005-0000-0000-0000A13D0000}"/>
    <cellStyle name="Normal 2 2 2 17 5 2" xfId="14970" xr:uid="{00000000-0005-0000-0000-0000A23D0000}"/>
    <cellStyle name="Normal 2 2 2 17 5 2 2" xfId="14971" xr:uid="{00000000-0005-0000-0000-0000A33D0000}"/>
    <cellStyle name="Normal 2 2 2 17 5 2 3" xfId="14972" xr:uid="{00000000-0005-0000-0000-0000A43D0000}"/>
    <cellStyle name="Normal 2 2 2 17 5 2 4" xfId="14973" xr:uid="{00000000-0005-0000-0000-0000A53D0000}"/>
    <cellStyle name="Normal 2 2 2 17 5 2 5" xfId="14974" xr:uid="{00000000-0005-0000-0000-0000A63D0000}"/>
    <cellStyle name="Normal 2 2 2 17 5 2 6" xfId="14975" xr:uid="{00000000-0005-0000-0000-0000A73D0000}"/>
    <cellStyle name="Normal 2 2 2 17 5 3" xfId="14976" xr:uid="{00000000-0005-0000-0000-0000A83D0000}"/>
    <cellStyle name="Normal 2 2 2 17 5 3 2" xfId="14977" xr:uid="{00000000-0005-0000-0000-0000A93D0000}"/>
    <cellStyle name="Normal 2 2 2 17 5 3 3" xfId="14978" xr:uid="{00000000-0005-0000-0000-0000AA3D0000}"/>
    <cellStyle name="Normal 2 2 2 17 5 3 4" xfId="14979" xr:uid="{00000000-0005-0000-0000-0000AB3D0000}"/>
    <cellStyle name="Normal 2 2 2 17 5 3 5" xfId="14980" xr:uid="{00000000-0005-0000-0000-0000AC3D0000}"/>
    <cellStyle name="Normal 2 2 2 17 5 3 6" xfId="14981" xr:uid="{00000000-0005-0000-0000-0000AD3D0000}"/>
    <cellStyle name="Normal 2 2 2 17 5 4" xfId="14982" xr:uid="{00000000-0005-0000-0000-0000AE3D0000}"/>
    <cellStyle name="Normal 2 2 2 17 5 4 2" xfId="14983" xr:uid="{00000000-0005-0000-0000-0000AF3D0000}"/>
    <cellStyle name="Normal 2 2 2 17 5 4 3" xfId="14984" xr:uid="{00000000-0005-0000-0000-0000B03D0000}"/>
    <cellStyle name="Normal 2 2 2 17 5 4 4" xfId="14985" xr:uid="{00000000-0005-0000-0000-0000B13D0000}"/>
    <cellStyle name="Normal 2 2 2 17 5 4 5" xfId="14986" xr:uid="{00000000-0005-0000-0000-0000B23D0000}"/>
    <cellStyle name="Normal 2 2 2 17 5 4 6" xfId="14987" xr:uid="{00000000-0005-0000-0000-0000B33D0000}"/>
    <cellStyle name="Normal 2 2 2 17 5 5" xfId="14988" xr:uid="{00000000-0005-0000-0000-0000B43D0000}"/>
    <cellStyle name="Normal 2 2 2 17 5 5 2" xfId="14989" xr:uid="{00000000-0005-0000-0000-0000B53D0000}"/>
    <cellStyle name="Normal 2 2 2 17 5 5 3" xfId="14990" xr:uid="{00000000-0005-0000-0000-0000B63D0000}"/>
    <cellStyle name="Normal 2 2 2 17 5 5 4" xfId="14991" xr:uid="{00000000-0005-0000-0000-0000B73D0000}"/>
    <cellStyle name="Normal 2 2 2 17 5 5 5" xfId="14992" xr:uid="{00000000-0005-0000-0000-0000B83D0000}"/>
    <cellStyle name="Normal 2 2 2 17 5 5 6" xfId="14993" xr:uid="{00000000-0005-0000-0000-0000B93D0000}"/>
    <cellStyle name="Normal 2 2 2 17 5 6" xfId="14994" xr:uid="{00000000-0005-0000-0000-0000BA3D0000}"/>
    <cellStyle name="Normal 2 2 2 17 5 6 2" xfId="14995" xr:uid="{00000000-0005-0000-0000-0000BB3D0000}"/>
    <cellStyle name="Normal 2 2 2 17 5 6 3" xfId="14996" xr:uid="{00000000-0005-0000-0000-0000BC3D0000}"/>
    <cellStyle name="Normal 2 2 2 17 5 6 4" xfId="14997" xr:uid="{00000000-0005-0000-0000-0000BD3D0000}"/>
    <cellStyle name="Normal 2 2 2 17 5 6 5" xfId="14998" xr:uid="{00000000-0005-0000-0000-0000BE3D0000}"/>
    <cellStyle name="Normal 2 2 2 17 5 6 6" xfId="14999" xr:uid="{00000000-0005-0000-0000-0000BF3D0000}"/>
    <cellStyle name="Normal 2 2 2 17 5 7" xfId="15000" xr:uid="{00000000-0005-0000-0000-0000C03D0000}"/>
    <cellStyle name="Normal 2 2 2 17 5 7 2" xfId="15001" xr:uid="{00000000-0005-0000-0000-0000C13D0000}"/>
    <cellStyle name="Normal 2 2 2 17 5 7 3" xfId="15002" xr:uid="{00000000-0005-0000-0000-0000C23D0000}"/>
    <cellStyle name="Normal 2 2 2 17 5 7 4" xfId="15003" xr:uid="{00000000-0005-0000-0000-0000C33D0000}"/>
    <cellStyle name="Normal 2 2 2 17 5 7 5" xfId="15004" xr:uid="{00000000-0005-0000-0000-0000C43D0000}"/>
    <cellStyle name="Normal 2 2 2 17 5 7 6" xfId="15005" xr:uid="{00000000-0005-0000-0000-0000C53D0000}"/>
    <cellStyle name="Normal 2 2 2 17 5 8" xfId="15006" xr:uid="{00000000-0005-0000-0000-0000C63D0000}"/>
    <cellStyle name="Normal 2 2 2 17 5 8 2" xfId="15007" xr:uid="{00000000-0005-0000-0000-0000C73D0000}"/>
    <cellStyle name="Normal 2 2 2 17 5 8 3" xfId="15008" xr:uid="{00000000-0005-0000-0000-0000C83D0000}"/>
    <cellStyle name="Normal 2 2 2 17 5 8 4" xfId="15009" xr:uid="{00000000-0005-0000-0000-0000C93D0000}"/>
    <cellStyle name="Normal 2 2 2 17 5 8 5" xfId="15010" xr:uid="{00000000-0005-0000-0000-0000CA3D0000}"/>
    <cellStyle name="Normal 2 2 2 17 5 8 6" xfId="15011" xr:uid="{00000000-0005-0000-0000-0000CB3D0000}"/>
    <cellStyle name="Normal 2 2 2 17 5 9" xfId="15012" xr:uid="{00000000-0005-0000-0000-0000CC3D0000}"/>
    <cellStyle name="Normal 2 2 2 17 6" xfId="15013" xr:uid="{00000000-0005-0000-0000-0000CD3D0000}"/>
    <cellStyle name="Normal 2 2 2 17 6 10" xfId="15014" xr:uid="{00000000-0005-0000-0000-0000CE3D0000}"/>
    <cellStyle name="Normal 2 2 2 17 6 11" xfId="15015" xr:uid="{00000000-0005-0000-0000-0000CF3D0000}"/>
    <cellStyle name="Normal 2 2 2 17 6 12" xfId="15016" xr:uid="{00000000-0005-0000-0000-0000D03D0000}"/>
    <cellStyle name="Normal 2 2 2 17 6 13" xfId="15017" xr:uid="{00000000-0005-0000-0000-0000D13D0000}"/>
    <cellStyle name="Normal 2 2 2 17 6 2" xfId="15018" xr:uid="{00000000-0005-0000-0000-0000D23D0000}"/>
    <cellStyle name="Normal 2 2 2 17 6 2 2" xfId="15019" xr:uid="{00000000-0005-0000-0000-0000D33D0000}"/>
    <cellStyle name="Normal 2 2 2 17 6 2 3" xfId="15020" xr:uid="{00000000-0005-0000-0000-0000D43D0000}"/>
    <cellStyle name="Normal 2 2 2 17 6 2 4" xfId="15021" xr:uid="{00000000-0005-0000-0000-0000D53D0000}"/>
    <cellStyle name="Normal 2 2 2 17 6 2 5" xfId="15022" xr:uid="{00000000-0005-0000-0000-0000D63D0000}"/>
    <cellStyle name="Normal 2 2 2 17 6 2 6" xfId="15023" xr:uid="{00000000-0005-0000-0000-0000D73D0000}"/>
    <cellStyle name="Normal 2 2 2 17 6 3" xfId="15024" xr:uid="{00000000-0005-0000-0000-0000D83D0000}"/>
    <cellStyle name="Normal 2 2 2 17 6 3 2" xfId="15025" xr:uid="{00000000-0005-0000-0000-0000D93D0000}"/>
    <cellStyle name="Normal 2 2 2 17 6 3 3" xfId="15026" xr:uid="{00000000-0005-0000-0000-0000DA3D0000}"/>
    <cellStyle name="Normal 2 2 2 17 6 3 4" xfId="15027" xr:uid="{00000000-0005-0000-0000-0000DB3D0000}"/>
    <cellStyle name="Normal 2 2 2 17 6 3 5" xfId="15028" xr:uid="{00000000-0005-0000-0000-0000DC3D0000}"/>
    <cellStyle name="Normal 2 2 2 17 6 3 6" xfId="15029" xr:uid="{00000000-0005-0000-0000-0000DD3D0000}"/>
    <cellStyle name="Normal 2 2 2 17 6 4" xfId="15030" xr:uid="{00000000-0005-0000-0000-0000DE3D0000}"/>
    <cellStyle name="Normal 2 2 2 17 6 4 2" xfId="15031" xr:uid="{00000000-0005-0000-0000-0000DF3D0000}"/>
    <cellStyle name="Normal 2 2 2 17 6 4 3" xfId="15032" xr:uid="{00000000-0005-0000-0000-0000E03D0000}"/>
    <cellStyle name="Normal 2 2 2 17 6 4 4" xfId="15033" xr:uid="{00000000-0005-0000-0000-0000E13D0000}"/>
    <cellStyle name="Normal 2 2 2 17 6 4 5" xfId="15034" xr:uid="{00000000-0005-0000-0000-0000E23D0000}"/>
    <cellStyle name="Normal 2 2 2 17 6 4 6" xfId="15035" xr:uid="{00000000-0005-0000-0000-0000E33D0000}"/>
    <cellStyle name="Normal 2 2 2 17 6 5" xfId="15036" xr:uid="{00000000-0005-0000-0000-0000E43D0000}"/>
    <cellStyle name="Normal 2 2 2 17 6 5 2" xfId="15037" xr:uid="{00000000-0005-0000-0000-0000E53D0000}"/>
    <cellStyle name="Normal 2 2 2 17 6 5 3" xfId="15038" xr:uid="{00000000-0005-0000-0000-0000E63D0000}"/>
    <cellStyle name="Normal 2 2 2 17 6 5 4" xfId="15039" xr:uid="{00000000-0005-0000-0000-0000E73D0000}"/>
    <cellStyle name="Normal 2 2 2 17 6 5 5" xfId="15040" xr:uid="{00000000-0005-0000-0000-0000E83D0000}"/>
    <cellStyle name="Normal 2 2 2 17 6 5 6" xfId="15041" xr:uid="{00000000-0005-0000-0000-0000E93D0000}"/>
    <cellStyle name="Normal 2 2 2 17 6 6" xfId="15042" xr:uid="{00000000-0005-0000-0000-0000EA3D0000}"/>
    <cellStyle name="Normal 2 2 2 17 6 6 2" xfId="15043" xr:uid="{00000000-0005-0000-0000-0000EB3D0000}"/>
    <cellStyle name="Normal 2 2 2 17 6 6 3" xfId="15044" xr:uid="{00000000-0005-0000-0000-0000EC3D0000}"/>
    <cellStyle name="Normal 2 2 2 17 6 6 4" xfId="15045" xr:uid="{00000000-0005-0000-0000-0000ED3D0000}"/>
    <cellStyle name="Normal 2 2 2 17 6 6 5" xfId="15046" xr:uid="{00000000-0005-0000-0000-0000EE3D0000}"/>
    <cellStyle name="Normal 2 2 2 17 6 6 6" xfId="15047" xr:uid="{00000000-0005-0000-0000-0000EF3D0000}"/>
    <cellStyle name="Normal 2 2 2 17 6 7" xfId="15048" xr:uid="{00000000-0005-0000-0000-0000F03D0000}"/>
    <cellStyle name="Normal 2 2 2 17 6 7 2" xfId="15049" xr:uid="{00000000-0005-0000-0000-0000F13D0000}"/>
    <cellStyle name="Normal 2 2 2 17 6 7 3" xfId="15050" xr:uid="{00000000-0005-0000-0000-0000F23D0000}"/>
    <cellStyle name="Normal 2 2 2 17 6 7 4" xfId="15051" xr:uid="{00000000-0005-0000-0000-0000F33D0000}"/>
    <cellStyle name="Normal 2 2 2 17 6 7 5" xfId="15052" xr:uid="{00000000-0005-0000-0000-0000F43D0000}"/>
    <cellStyle name="Normal 2 2 2 17 6 7 6" xfId="15053" xr:uid="{00000000-0005-0000-0000-0000F53D0000}"/>
    <cellStyle name="Normal 2 2 2 17 6 8" xfId="15054" xr:uid="{00000000-0005-0000-0000-0000F63D0000}"/>
    <cellStyle name="Normal 2 2 2 17 6 8 2" xfId="15055" xr:uid="{00000000-0005-0000-0000-0000F73D0000}"/>
    <cellStyle name="Normal 2 2 2 17 6 8 3" xfId="15056" xr:uid="{00000000-0005-0000-0000-0000F83D0000}"/>
    <cellStyle name="Normal 2 2 2 17 6 8 4" xfId="15057" xr:uid="{00000000-0005-0000-0000-0000F93D0000}"/>
    <cellStyle name="Normal 2 2 2 17 6 8 5" xfId="15058" xr:uid="{00000000-0005-0000-0000-0000FA3D0000}"/>
    <cellStyle name="Normal 2 2 2 17 6 8 6" xfId="15059" xr:uid="{00000000-0005-0000-0000-0000FB3D0000}"/>
    <cellStyle name="Normal 2 2 2 17 6 9" xfId="15060" xr:uid="{00000000-0005-0000-0000-0000FC3D0000}"/>
    <cellStyle name="Normal 2 2 2 17 7" xfId="15061" xr:uid="{00000000-0005-0000-0000-0000FD3D0000}"/>
    <cellStyle name="Normal 2 2 2 17 7 10" xfId="15062" xr:uid="{00000000-0005-0000-0000-0000FE3D0000}"/>
    <cellStyle name="Normal 2 2 2 17 7 11" xfId="15063" xr:uid="{00000000-0005-0000-0000-0000FF3D0000}"/>
    <cellStyle name="Normal 2 2 2 17 7 12" xfId="15064" xr:uid="{00000000-0005-0000-0000-0000003E0000}"/>
    <cellStyle name="Normal 2 2 2 17 7 13" xfId="15065" xr:uid="{00000000-0005-0000-0000-0000013E0000}"/>
    <cellStyle name="Normal 2 2 2 17 7 2" xfId="15066" xr:uid="{00000000-0005-0000-0000-0000023E0000}"/>
    <cellStyle name="Normal 2 2 2 17 7 2 2" xfId="15067" xr:uid="{00000000-0005-0000-0000-0000033E0000}"/>
    <cellStyle name="Normal 2 2 2 17 7 2 3" xfId="15068" xr:uid="{00000000-0005-0000-0000-0000043E0000}"/>
    <cellStyle name="Normal 2 2 2 17 7 2 4" xfId="15069" xr:uid="{00000000-0005-0000-0000-0000053E0000}"/>
    <cellStyle name="Normal 2 2 2 17 7 2 5" xfId="15070" xr:uid="{00000000-0005-0000-0000-0000063E0000}"/>
    <cellStyle name="Normal 2 2 2 17 7 2 6" xfId="15071" xr:uid="{00000000-0005-0000-0000-0000073E0000}"/>
    <cellStyle name="Normal 2 2 2 17 7 3" xfId="15072" xr:uid="{00000000-0005-0000-0000-0000083E0000}"/>
    <cellStyle name="Normal 2 2 2 17 7 3 2" xfId="15073" xr:uid="{00000000-0005-0000-0000-0000093E0000}"/>
    <cellStyle name="Normal 2 2 2 17 7 3 3" xfId="15074" xr:uid="{00000000-0005-0000-0000-00000A3E0000}"/>
    <cellStyle name="Normal 2 2 2 17 7 3 4" xfId="15075" xr:uid="{00000000-0005-0000-0000-00000B3E0000}"/>
    <cellStyle name="Normal 2 2 2 17 7 3 5" xfId="15076" xr:uid="{00000000-0005-0000-0000-00000C3E0000}"/>
    <cellStyle name="Normal 2 2 2 17 7 3 6" xfId="15077" xr:uid="{00000000-0005-0000-0000-00000D3E0000}"/>
    <cellStyle name="Normal 2 2 2 17 7 4" xfId="15078" xr:uid="{00000000-0005-0000-0000-00000E3E0000}"/>
    <cellStyle name="Normal 2 2 2 17 7 4 2" xfId="15079" xr:uid="{00000000-0005-0000-0000-00000F3E0000}"/>
    <cellStyle name="Normal 2 2 2 17 7 4 3" xfId="15080" xr:uid="{00000000-0005-0000-0000-0000103E0000}"/>
    <cellStyle name="Normal 2 2 2 17 7 4 4" xfId="15081" xr:uid="{00000000-0005-0000-0000-0000113E0000}"/>
    <cellStyle name="Normal 2 2 2 17 7 4 5" xfId="15082" xr:uid="{00000000-0005-0000-0000-0000123E0000}"/>
    <cellStyle name="Normal 2 2 2 17 7 4 6" xfId="15083" xr:uid="{00000000-0005-0000-0000-0000133E0000}"/>
    <cellStyle name="Normal 2 2 2 17 7 5" xfId="15084" xr:uid="{00000000-0005-0000-0000-0000143E0000}"/>
    <cellStyle name="Normal 2 2 2 17 7 5 2" xfId="15085" xr:uid="{00000000-0005-0000-0000-0000153E0000}"/>
    <cellStyle name="Normal 2 2 2 17 7 5 3" xfId="15086" xr:uid="{00000000-0005-0000-0000-0000163E0000}"/>
    <cellStyle name="Normal 2 2 2 17 7 5 4" xfId="15087" xr:uid="{00000000-0005-0000-0000-0000173E0000}"/>
    <cellStyle name="Normal 2 2 2 17 7 5 5" xfId="15088" xr:uid="{00000000-0005-0000-0000-0000183E0000}"/>
    <cellStyle name="Normal 2 2 2 17 7 5 6" xfId="15089" xr:uid="{00000000-0005-0000-0000-0000193E0000}"/>
    <cellStyle name="Normal 2 2 2 17 7 6" xfId="15090" xr:uid="{00000000-0005-0000-0000-00001A3E0000}"/>
    <cellStyle name="Normal 2 2 2 17 7 6 2" xfId="15091" xr:uid="{00000000-0005-0000-0000-00001B3E0000}"/>
    <cellStyle name="Normal 2 2 2 17 7 6 3" xfId="15092" xr:uid="{00000000-0005-0000-0000-00001C3E0000}"/>
    <cellStyle name="Normal 2 2 2 17 7 6 4" xfId="15093" xr:uid="{00000000-0005-0000-0000-00001D3E0000}"/>
    <cellStyle name="Normal 2 2 2 17 7 6 5" xfId="15094" xr:uid="{00000000-0005-0000-0000-00001E3E0000}"/>
    <cellStyle name="Normal 2 2 2 17 7 6 6" xfId="15095" xr:uid="{00000000-0005-0000-0000-00001F3E0000}"/>
    <cellStyle name="Normal 2 2 2 17 7 7" xfId="15096" xr:uid="{00000000-0005-0000-0000-0000203E0000}"/>
    <cellStyle name="Normal 2 2 2 17 7 7 2" xfId="15097" xr:uid="{00000000-0005-0000-0000-0000213E0000}"/>
    <cellStyle name="Normal 2 2 2 17 7 7 3" xfId="15098" xr:uid="{00000000-0005-0000-0000-0000223E0000}"/>
    <cellStyle name="Normal 2 2 2 17 7 7 4" xfId="15099" xr:uid="{00000000-0005-0000-0000-0000233E0000}"/>
    <cellStyle name="Normal 2 2 2 17 7 7 5" xfId="15100" xr:uid="{00000000-0005-0000-0000-0000243E0000}"/>
    <cellStyle name="Normal 2 2 2 17 7 7 6" xfId="15101" xr:uid="{00000000-0005-0000-0000-0000253E0000}"/>
    <cellStyle name="Normal 2 2 2 17 7 8" xfId="15102" xr:uid="{00000000-0005-0000-0000-0000263E0000}"/>
    <cellStyle name="Normal 2 2 2 17 7 8 2" xfId="15103" xr:uid="{00000000-0005-0000-0000-0000273E0000}"/>
    <cellStyle name="Normal 2 2 2 17 7 8 3" xfId="15104" xr:uid="{00000000-0005-0000-0000-0000283E0000}"/>
    <cellStyle name="Normal 2 2 2 17 7 8 4" xfId="15105" xr:uid="{00000000-0005-0000-0000-0000293E0000}"/>
    <cellStyle name="Normal 2 2 2 17 7 8 5" xfId="15106" xr:uid="{00000000-0005-0000-0000-00002A3E0000}"/>
    <cellStyle name="Normal 2 2 2 17 7 8 6" xfId="15107" xr:uid="{00000000-0005-0000-0000-00002B3E0000}"/>
    <cellStyle name="Normal 2 2 2 17 7 9" xfId="15108" xr:uid="{00000000-0005-0000-0000-00002C3E0000}"/>
    <cellStyle name="Normal 2 2 2 17 8" xfId="15109" xr:uid="{00000000-0005-0000-0000-00002D3E0000}"/>
    <cellStyle name="Normal 2 2 2 17 8 10" xfId="15110" xr:uid="{00000000-0005-0000-0000-00002E3E0000}"/>
    <cellStyle name="Normal 2 2 2 17 8 11" xfId="15111" xr:uid="{00000000-0005-0000-0000-00002F3E0000}"/>
    <cellStyle name="Normal 2 2 2 17 8 12" xfId="15112" xr:uid="{00000000-0005-0000-0000-0000303E0000}"/>
    <cellStyle name="Normal 2 2 2 17 8 13" xfId="15113" xr:uid="{00000000-0005-0000-0000-0000313E0000}"/>
    <cellStyle name="Normal 2 2 2 17 8 2" xfId="15114" xr:uid="{00000000-0005-0000-0000-0000323E0000}"/>
    <cellStyle name="Normal 2 2 2 17 8 2 2" xfId="15115" xr:uid="{00000000-0005-0000-0000-0000333E0000}"/>
    <cellStyle name="Normal 2 2 2 17 8 2 3" xfId="15116" xr:uid="{00000000-0005-0000-0000-0000343E0000}"/>
    <cellStyle name="Normal 2 2 2 17 8 2 4" xfId="15117" xr:uid="{00000000-0005-0000-0000-0000353E0000}"/>
    <cellStyle name="Normal 2 2 2 17 8 2 5" xfId="15118" xr:uid="{00000000-0005-0000-0000-0000363E0000}"/>
    <cellStyle name="Normal 2 2 2 17 8 2 6" xfId="15119" xr:uid="{00000000-0005-0000-0000-0000373E0000}"/>
    <cellStyle name="Normal 2 2 2 17 8 3" xfId="15120" xr:uid="{00000000-0005-0000-0000-0000383E0000}"/>
    <cellStyle name="Normal 2 2 2 17 8 3 2" xfId="15121" xr:uid="{00000000-0005-0000-0000-0000393E0000}"/>
    <cellStyle name="Normal 2 2 2 17 8 3 3" xfId="15122" xr:uid="{00000000-0005-0000-0000-00003A3E0000}"/>
    <cellStyle name="Normal 2 2 2 17 8 3 4" xfId="15123" xr:uid="{00000000-0005-0000-0000-00003B3E0000}"/>
    <cellStyle name="Normal 2 2 2 17 8 3 5" xfId="15124" xr:uid="{00000000-0005-0000-0000-00003C3E0000}"/>
    <cellStyle name="Normal 2 2 2 17 8 3 6" xfId="15125" xr:uid="{00000000-0005-0000-0000-00003D3E0000}"/>
    <cellStyle name="Normal 2 2 2 17 8 4" xfId="15126" xr:uid="{00000000-0005-0000-0000-00003E3E0000}"/>
    <cellStyle name="Normal 2 2 2 17 8 4 2" xfId="15127" xr:uid="{00000000-0005-0000-0000-00003F3E0000}"/>
    <cellStyle name="Normal 2 2 2 17 8 4 3" xfId="15128" xr:uid="{00000000-0005-0000-0000-0000403E0000}"/>
    <cellStyle name="Normal 2 2 2 17 8 4 4" xfId="15129" xr:uid="{00000000-0005-0000-0000-0000413E0000}"/>
    <cellStyle name="Normal 2 2 2 17 8 4 5" xfId="15130" xr:uid="{00000000-0005-0000-0000-0000423E0000}"/>
    <cellStyle name="Normal 2 2 2 17 8 4 6" xfId="15131" xr:uid="{00000000-0005-0000-0000-0000433E0000}"/>
    <cellStyle name="Normal 2 2 2 17 8 5" xfId="15132" xr:uid="{00000000-0005-0000-0000-0000443E0000}"/>
    <cellStyle name="Normal 2 2 2 17 8 5 2" xfId="15133" xr:uid="{00000000-0005-0000-0000-0000453E0000}"/>
    <cellStyle name="Normal 2 2 2 17 8 5 3" xfId="15134" xr:uid="{00000000-0005-0000-0000-0000463E0000}"/>
    <cellStyle name="Normal 2 2 2 17 8 5 4" xfId="15135" xr:uid="{00000000-0005-0000-0000-0000473E0000}"/>
    <cellStyle name="Normal 2 2 2 17 8 5 5" xfId="15136" xr:uid="{00000000-0005-0000-0000-0000483E0000}"/>
    <cellStyle name="Normal 2 2 2 17 8 5 6" xfId="15137" xr:uid="{00000000-0005-0000-0000-0000493E0000}"/>
    <cellStyle name="Normal 2 2 2 17 8 6" xfId="15138" xr:uid="{00000000-0005-0000-0000-00004A3E0000}"/>
    <cellStyle name="Normal 2 2 2 17 8 6 2" xfId="15139" xr:uid="{00000000-0005-0000-0000-00004B3E0000}"/>
    <cellStyle name="Normal 2 2 2 17 8 6 3" xfId="15140" xr:uid="{00000000-0005-0000-0000-00004C3E0000}"/>
    <cellStyle name="Normal 2 2 2 17 8 6 4" xfId="15141" xr:uid="{00000000-0005-0000-0000-00004D3E0000}"/>
    <cellStyle name="Normal 2 2 2 17 8 6 5" xfId="15142" xr:uid="{00000000-0005-0000-0000-00004E3E0000}"/>
    <cellStyle name="Normal 2 2 2 17 8 6 6" xfId="15143" xr:uid="{00000000-0005-0000-0000-00004F3E0000}"/>
    <cellStyle name="Normal 2 2 2 17 8 7" xfId="15144" xr:uid="{00000000-0005-0000-0000-0000503E0000}"/>
    <cellStyle name="Normal 2 2 2 17 8 7 2" xfId="15145" xr:uid="{00000000-0005-0000-0000-0000513E0000}"/>
    <cellStyle name="Normal 2 2 2 17 8 7 3" xfId="15146" xr:uid="{00000000-0005-0000-0000-0000523E0000}"/>
    <cellStyle name="Normal 2 2 2 17 8 7 4" xfId="15147" xr:uid="{00000000-0005-0000-0000-0000533E0000}"/>
    <cellStyle name="Normal 2 2 2 17 8 7 5" xfId="15148" xr:uid="{00000000-0005-0000-0000-0000543E0000}"/>
    <cellStyle name="Normal 2 2 2 17 8 7 6" xfId="15149" xr:uid="{00000000-0005-0000-0000-0000553E0000}"/>
    <cellStyle name="Normal 2 2 2 17 8 8" xfId="15150" xr:uid="{00000000-0005-0000-0000-0000563E0000}"/>
    <cellStyle name="Normal 2 2 2 17 8 8 2" xfId="15151" xr:uid="{00000000-0005-0000-0000-0000573E0000}"/>
    <cellStyle name="Normal 2 2 2 17 8 8 3" xfId="15152" xr:uid="{00000000-0005-0000-0000-0000583E0000}"/>
    <cellStyle name="Normal 2 2 2 17 8 8 4" xfId="15153" xr:uid="{00000000-0005-0000-0000-0000593E0000}"/>
    <cellStyle name="Normal 2 2 2 17 8 8 5" xfId="15154" xr:uid="{00000000-0005-0000-0000-00005A3E0000}"/>
    <cellStyle name="Normal 2 2 2 17 8 8 6" xfId="15155" xr:uid="{00000000-0005-0000-0000-00005B3E0000}"/>
    <cellStyle name="Normal 2 2 2 17 8 9" xfId="15156" xr:uid="{00000000-0005-0000-0000-00005C3E0000}"/>
    <cellStyle name="Normal 2 2 2 17 9" xfId="15157" xr:uid="{00000000-0005-0000-0000-00005D3E0000}"/>
    <cellStyle name="Normal 2 2 2 17 9 10" xfId="15158" xr:uid="{00000000-0005-0000-0000-00005E3E0000}"/>
    <cellStyle name="Normal 2 2 2 17 9 11" xfId="15159" xr:uid="{00000000-0005-0000-0000-00005F3E0000}"/>
    <cellStyle name="Normal 2 2 2 17 9 12" xfId="15160" xr:uid="{00000000-0005-0000-0000-0000603E0000}"/>
    <cellStyle name="Normal 2 2 2 17 9 13" xfId="15161" xr:uid="{00000000-0005-0000-0000-0000613E0000}"/>
    <cellStyle name="Normal 2 2 2 17 9 2" xfId="15162" xr:uid="{00000000-0005-0000-0000-0000623E0000}"/>
    <cellStyle name="Normal 2 2 2 17 9 2 2" xfId="15163" xr:uid="{00000000-0005-0000-0000-0000633E0000}"/>
    <cellStyle name="Normal 2 2 2 17 9 2 3" xfId="15164" xr:uid="{00000000-0005-0000-0000-0000643E0000}"/>
    <cellStyle name="Normal 2 2 2 17 9 2 4" xfId="15165" xr:uid="{00000000-0005-0000-0000-0000653E0000}"/>
    <cellStyle name="Normal 2 2 2 17 9 2 5" xfId="15166" xr:uid="{00000000-0005-0000-0000-0000663E0000}"/>
    <cellStyle name="Normal 2 2 2 17 9 2 6" xfId="15167" xr:uid="{00000000-0005-0000-0000-0000673E0000}"/>
    <cellStyle name="Normal 2 2 2 17 9 3" xfId="15168" xr:uid="{00000000-0005-0000-0000-0000683E0000}"/>
    <cellStyle name="Normal 2 2 2 17 9 3 2" xfId="15169" xr:uid="{00000000-0005-0000-0000-0000693E0000}"/>
    <cellStyle name="Normal 2 2 2 17 9 3 3" xfId="15170" xr:uid="{00000000-0005-0000-0000-00006A3E0000}"/>
    <cellStyle name="Normal 2 2 2 17 9 3 4" xfId="15171" xr:uid="{00000000-0005-0000-0000-00006B3E0000}"/>
    <cellStyle name="Normal 2 2 2 17 9 3 5" xfId="15172" xr:uid="{00000000-0005-0000-0000-00006C3E0000}"/>
    <cellStyle name="Normal 2 2 2 17 9 3 6" xfId="15173" xr:uid="{00000000-0005-0000-0000-00006D3E0000}"/>
    <cellStyle name="Normal 2 2 2 17 9 4" xfId="15174" xr:uid="{00000000-0005-0000-0000-00006E3E0000}"/>
    <cellStyle name="Normal 2 2 2 17 9 4 2" xfId="15175" xr:uid="{00000000-0005-0000-0000-00006F3E0000}"/>
    <cellStyle name="Normal 2 2 2 17 9 4 3" xfId="15176" xr:uid="{00000000-0005-0000-0000-0000703E0000}"/>
    <cellStyle name="Normal 2 2 2 17 9 4 4" xfId="15177" xr:uid="{00000000-0005-0000-0000-0000713E0000}"/>
    <cellStyle name="Normal 2 2 2 17 9 4 5" xfId="15178" xr:uid="{00000000-0005-0000-0000-0000723E0000}"/>
    <cellStyle name="Normal 2 2 2 17 9 4 6" xfId="15179" xr:uid="{00000000-0005-0000-0000-0000733E0000}"/>
    <cellStyle name="Normal 2 2 2 17 9 5" xfId="15180" xr:uid="{00000000-0005-0000-0000-0000743E0000}"/>
    <cellStyle name="Normal 2 2 2 17 9 5 2" xfId="15181" xr:uid="{00000000-0005-0000-0000-0000753E0000}"/>
    <cellStyle name="Normal 2 2 2 17 9 5 3" xfId="15182" xr:uid="{00000000-0005-0000-0000-0000763E0000}"/>
    <cellStyle name="Normal 2 2 2 17 9 5 4" xfId="15183" xr:uid="{00000000-0005-0000-0000-0000773E0000}"/>
    <cellStyle name="Normal 2 2 2 17 9 5 5" xfId="15184" xr:uid="{00000000-0005-0000-0000-0000783E0000}"/>
    <cellStyle name="Normal 2 2 2 17 9 5 6" xfId="15185" xr:uid="{00000000-0005-0000-0000-0000793E0000}"/>
    <cellStyle name="Normal 2 2 2 17 9 6" xfId="15186" xr:uid="{00000000-0005-0000-0000-00007A3E0000}"/>
    <cellStyle name="Normal 2 2 2 17 9 6 2" xfId="15187" xr:uid="{00000000-0005-0000-0000-00007B3E0000}"/>
    <cellStyle name="Normal 2 2 2 17 9 6 3" xfId="15188" xr:uid="{00000000-0005-0000-0000-00007C3E0000}"/>
    <cellStyle name="Normal 2 2 2 17 9 6 4" xfId="15189" xr:uid="{00000000-0005-0000-0000-00007D3E0000}"/>
    <cellStyle name="Normal 2 2 2 17 9 6 5" xfId="15190" xr:uid="{00000000-0005-0000-0000-00007E3E0000}"/>
    <cellStyle name="Normal 2 2 2 17 9 6 6" xfId="15191" xr:uid="{00000000-0005-0000-0000-00007F3E0000}"/>
    <cellStyle name="Normal 2 2 2 17 9 7" xfId="15192" xr:uid="{00000000-0005-0000-0000-0000803E0000}"/>
    <cellStyle name="Normal 2 2 2 17 9 7 2" xfId="15193" xr:uid="{00000000-0005-0000-0000-0000813E0000}"/>
    <cellStyle name="Normal 2 2 2 17 9 7 3" xfId="15194" xr:uid="{00000000-0005-0000-0000-0000823E0000}"/>
    <cellStyle name="Normal 2 2 2 17 9 7 4" xfId="15195" xr:uid="{00000000-0005-0000-0000-0000833E0000}"/>
    <cellStyle name="Normal 2 2 2 17 9 7 5" xfId="15196" xr:uid="{00000000-0005-0000-0000-0000843E0000}"/>
    <cellStyle name="Normal 2 2 2 17 9 7 6" xfId="15197" xr:uid="{00000000-0005-0000-0000-0000853E0000}"/>
    <cellStyle name="Normal 2 2 2 17 9 8" xfId="15198" xr:uid="{00000000-0005-0000-0000-0000863E0000}"/>
    <cellStyle name="Normal 2 2 2 17 9 8 2" xfId="15199" xr:uid="{00000000-0005-0000-0000-0000873E0000}"/>
    <cellStyle name="Normal 2 2 2 17 9 8 3" xfId="15200" xr:uid="{00000000-0005-0000-0000-0000883E0000}"/>
    <cellStyle name="Normal 2 2 2 17 9 8 4" xfId="15201" xr:uid="{00000000-0005-0000-0000-0000893E0000}"/>
    <cellStyle name="Normal 2 2 2 17 9 8 5" xfId="15202" xr:uid="{00000000-0005-0000-0000-00008A3E0000}"/>
    <cellStyle name="Normal 2 2 2 17 9 8 6" xfId="15203" xr:uid="{00000000-0005-0000-0000-00008B3E0000}"/>
    <cellStyle name="Normal 2 2 2 17 9 9" xfId="15204" xr:uid="{00000000-0005-0000-0000-00008C3E0000}"/>
    <cellStyle name="Normal 2 2 2 18" xfId="15205" xr:uid="{00000000-0005-0000-0000-00008D3E0000}"/>
    <cellStyle name="Normal 2 2 2 18 10" xfId="15206" xr:uid="{00000000-0005-0000-0000-00008E3E0000}"/>
    <cellStyle name="Normal 2 2 2 18 11" xfId="15207" xr:uid="{00000000-0005-0000-0000-00008F3E0000}"/>
    <cellStyle name="Normal 2 2 2 18 12" xfId="15208" xr:uid="{00000000-0005-0000-0000-0000903E0000}"/>
    <cellStyle name="Normal 2 2 2 18 13" xfId="15209" xr:uid="{00000000-0005-0000-0000-0000913E0000}"/>
    <cellStyle name="Normal 2 2 2 18 14" xfId="15210" xr:uid="{00000000-0005-0000-0000-0000923E0000}"/>
    <cellStyle name="Normal 2 2 2 18 2" xfId="15211" xr:uid="{00000000-0005-0000-0000-0000933E0000}"/>
    <cellStyle name="Normal 2 2 2 18 2 2" xfId="15212" xr:uid="{00000000-0005-0000-0000-0000943E0000}"/>
    <cellStyle name="Normal 2 2 2 18 2 3" xfId="15213" xr:uid="{00000000-0005-0000-0000-0000953E0000}"/>
    <cellStyle name="Normal 2 2 2 18 2 4" xfId="15214" xr:uid="{00000000-0005-0000-0000-0000963E0000}"/>
    <cellStyle name="Normal 2 2 2 18 2 5" xfId="15215" xr:uid="{00000000-0005-0000-0000-0000973E0000}"/>
    <cellStyle name="Normal 2 2 2 18 2 6" xfId="15216" xr:uid="{00000000-0005-0000-0000-0000983E0000}"/>
    <cellStyle name="Normal 2 2 2 18 3" xfId="15217" xr:uid="{00000000-0005-0000-0000-0000993E0000}"/>
    <cellStyle name="Normal 2 2 2 18 3 2" xfId="15218" xr:uid="{00000000-0005-0000-0000-00009A3E0000}"/>
    <cellStyle name="Normal 2 2 2 18 3 3" xfId="15219" xr:uid="{00000000-0005-0000-0000-00009B3E0000}"/>
    <cellStyle name="Normal 2 2 2 18 3 4" xfId="15220" xr:uid="{00000000-0005-0000-0000-00009C3E0000}"/>
    <cellStyle name="Normal 2 2 2 18 3 5" xfId="15221" xr:uid="{00000000-0005-0000-0000-00009D3E0000}"/>
    <cellStyle name="Normal 2 2 2 18 3 6" xfId="15222" xr:uid="{00000000-0005-0000-0000-00009E3E0000}"/>
    <cellStyle name="Normal 2 2 2 18 4" xfId="15223" xr:uid="{00000000-0005-0000-0000-00009F3E0000}"/>
    <cellStyle name="Normal 2 2 2 18 4 2" xfId="15224" xr:uid="{00000000-0005-0000-0000-0000A03E0000}"/>
    <cellStyle name="Normal 2 2 2 18 4 3" xfId="15225" xr:uid="{00000000-0005-0000-0000-0000A13E0000}"/>
    <cellStyle name="Normal 2 2 2 18 4 4" xfId="15226" xr:uid="{00000000-0005-0000-0000-0000A23E0000}"/>
    <cellStyle name="Normal 2 2 2 18 4 5" xfId="15227" xr:uid="{00000000-0005-0000-0000-0000A33E0000}"/>
    <cellStyle name="Normal 2 2 2 18 4 6" xfId="15228" xr:uid="{00000000-0005-0000-0000-0000A43E0000}"/>
    <cellStyle name="Normal 2 2 2 18 5" xfId="15229" xr:uid="{00000000-0005-0000-0000-0000A53E0000}"/>
    <cellStyle name="Normal 2 2 2 18 5 2" xfId="15230" xr:uid="{00000000-0005-0000-0000-0000A63E0000}"/>
    <cellStyle name="Normal 2 2 2 18 5 3" xfId="15231" xr:uid="{00000000-0005-0000-0000-0000A73E0000}"/>
    <cellStyle name="Normal 2 2 2 18 5 4" xfId="15232" xr:uid="{00000000-0005-0000-0000-0000A83E0000}"/>
    <cellStyle name="Normal 2 2 2 18 5 5" xfId="15233" xr:uid="{00000000-0005-0000-0000-0000A93E0000}"/>
    <cellStyle name="Normal 2 2 2 18 5 6" xfId="15234" xr:uid="{00000000-0005-0000-0000-0000AA3E0000}"/>
    <cellStyle name="Normal 2 2 2 18 6" xfId="15235" xr:uid="{00000000-0005-0000-0000-0000AB3E0000}"/>
    <cellStyle name="Normal 2 2 2 18 6 2" xfId="15236" xr:uid="{00000000-0005-0000-0000-0000AC3E0000}"/>
    <cellStyle name="Normal 2 2 2 18 6 3" xfId="15237" xr:uid="{00000000-0005-0000-0000-0000AD3E0000}"/>
    <cellStyle name="Normal 2 2 2 18 6 4" xfId="15238" xr:uid="{00000000-0005-0000-0000-0000AE3E0000}"/>
    <cellStyle name="Normal 2 2 2 18 6 5" xfId="15239" xr:uid="{00000000-0005-0000-0000-0000AF3E0000}"/>
    <cellStyle name="Normal 2 2 2 18 6 6" xfId="15240" xr:uid="{00000000-0005-0000-0000-0000B03E0000}"/>
    <cellStyle name="Normal 2 2 2 18 7" xfId="15241" xr:uid="{00000000-0005-0000-0000-0000B13E0000}"/>
    <cellStyle name="Normal 2 2 2 18 7 2" xfId="15242" xr:uid="{00000000-0005-0000-0000-0000B23E0000}"/>
    <cellStyle name="Normal 2 2 2 18 7 3" xfId="15243" xr:uid="{00000000-0005-0000-0000-0000B33E0000}"/>
    <cellStyle name="Normal 2 2 2 18 7 4" xfId="15244" xr:uid="{00000000-0005-0000-0000-0000B43E0000}"/>
    <cellStyle name="Normal 2 2 2 18 7 5" xfId="15245" xr:uid="{00000000-0005-0000-0000-0000B53E0000}"/>
    <cellStyle name="Normal 2 2 2 18 7 6" xfId="15246" xr:uid="{00000000-0005-0000-0000-0000B63E0000}"/>
    <cellStyle name="Normal 2 2 2 18 8" xfId="15247" xr:uid="{00000000-0005-0000-0000-0000B73E0000}"/>
    <cellStyle name="Normal 2 2 2 18 8 2" xfId="15248" xr:uid="{00000000-0005-0000-0000-0000B83E0000}"/>
    <cellStyle name="Normal 2 2 2 18 8 3" xfId="15249" xr:uid="{00000000-0005-0000-0000-0000B93E0000}"/>
    <cellStyle name="Normal 2 2 2 18 8 4" xfId="15250" xr:uid="{00000000-0005-0000-0000-0000BA3E0000}"/>
    <cellStyle name="Normal 2 2 2 18 8 5" xfId="15251" xr:uid="{00000000-0005-0000-0000-0000BB3E0000}"/>
    <cellStyle name="Normal 2 2 2 18 8 6" xfId="15252" xr:uid="{00000000-0005-0000-0000-0000BC3E0000}"/>
    <cellStyle name="Normal 2 2 2 18 9" xfId="15253" xr:uid="{00000000-0005-0000-0000-0000BD3E0000}"/>
    <cellStyle name="Normal 2 2 2 19" xfId="15254" xr:uid="{00000000-0005-0000-0000-0000BE3E0000}"/>
    <cellStyle name="Normal 2 2 2 19 10" xfId="15255" xr:uid="{00000000-0005-0000-0000-0000BF3E0000}"/>
    <cellStyle name="Normal 2 2 2 19 11" xfId="15256" xr:uid="{00000000-0005-0000-0000-0000C03E0000}"/>
    <cellStyle name="Normal 2 2 2 19 12" xfId="15257" xr:uid="{00000000-0005-0000-0000-0000C13E0000}"/>
    <cellStyle name="Normal 2 2 2 19 13" xfId="15258" xr:uid="{00000000-0005-0000-0000-0000C23E0000}"/>
    <cellStyle name="Normal 2 2 2 19 14" xfId="15259" xr:uid="{00000000-0005-0000-0000-0000C33E0000}"/>
    <cellStyle name="Normal 2 2 2 19 2" xfId="15260" xr:uid="{00000000-0005-0000-0000-0000C43E0000}"/>
    <cellStyle name="Normal 2 2 2 19 2 2" xfId="15261" xr:uid="{00000000-0005-0000-0000-0000C53E0000}"/>
    <cellStyle name="Normal 2 2 2 19 2 3" xfId="15262" xr:uid="{00000000-0005-0000-0000-0000C63E0000}"/>
    <cellStyle name="Normal 2 2 2 19 2 4" xfId="15263" xr:uid="{00000000-0005-0000-0000-0000C73E0000}"/>
    <cellStyle name="Normal 2 2 2 19 2 5" xfId="15264" xr:uid="{00000000-0005-0000-0000-0000C83E0000}"/>
    <cellStyle name="Normal 2 2 2 19 2 6" xfId="15265" xr:uid="{00000000-0005-0000-0000-0000C93E0000}"/>
    <cellStyle name="Normal 2 2 2 19 3" xfId="15266" xr:uid="{00000000-0005-0000-0000-0000CA3E0000}"/>
    <cellStyle name="Normal 2 2 2 19 3 2" xfId="15267" xr:uid="{00000000-0005-0000-0000-0000CB3E0000}"/>
    <cellStyle name="Normal 2 2 2 19 3 3" xfId="15268" xr:uid="{00000000-0005-0000-0000-0000CC3E0000}"/>
    <cellStyle name="Normal 2 2 2 19 3 4" xfId="15269" xr:uid="{00000000-0005-0000-0000-0000CD3E0000}"/>
    <cellStyle name="Normal 2 2 2 19 3 5" xfId="15270" xr:uid="{00000000-0005-0000-0000-0000CE3E0000}"/>
    <cellStyle name="Normal 2 2 2 19 3 6" xfId="15271" xr:uid="{00000000-0005-0000-0000-0000CF3E0000}"/>
    <cellStyle name="Normal 2 2 2 19 4" xfId="15272" xr:uid="{00000000-0005-0000-0000-0000D03E0000}"/>
    <cellStyle name="Normal 2 2 2 19 4 2" xfId="15273" xr:uid="{00000000-0005-0000-0000-0000D13E0000}"/>
    <cellStyle name="Normal 2 2 2 19 4 3" xfId="15274" xr:uid="{00000000-0005-0000-0000-0000D23E0000}"/>
    <cellStyle name="Normal 2 2 2 19 4 4" xfId="15275" xr:uid="{00000000-0005-0000-0000-0000D33E0000}"/>
    <cellStyle name="Normal 2 2 2 19 4 5" xfId="15276" xr:uid="{00000000-0005-0000-0000-0000D43E0000}"/>
    <cellStyle name="Normal 2 2 2 19 4 6" xfId="15277" xr:uid="{00000000-0005-0000-0000-0000D53E0000}"/>
    <cellStyle name="Normal 2 2 2 19 5" xfId="15278" xr:uid="{00000000-0005-0000-0000-0000D63E0000}"/>
    <cellStyle name="Normal 2 2 2 19 5 2" xfId="15279" xr:uid="{00000000-0005-0000-0000-0000D73E0000}"/>
    <cellStyle name="Normal 2 2 2 19 5 3" xfId="15280" xr:uid="{00000000-0005-0000-0000-0000D83E0000}"/>
    <cellStyle name="Normal 2 2 2 19 5 4" xfId="15281" xr:uid="{00000000-0005-0000-0000-0000D93E0000}"/>
    <cellStyle name="Normal 2 2 2 19 5 5" xfId="15282" xr:uid="{00000000-0005-0000-0000-0000DA3E0000}"/>
    <cellStyle name="Normal 2 2 2 19 5 6" xfId="15283" xr:uid="{00000000-0005-0000-0000-0000DB3E0000}"/>
    <cellStyle name="Normal 2 2 2 19 6" xfId="15284" xr:uid="{00000000-0005-0000-0000-0000DC3E0000}"/>
    <cellStyle name="Normal 2 2 2 19 6 2" xfId="15285" xr:uid="{00000000-0005-0000-0000-0000DD3E0000}"/>
    <cellStyle name="Normal 2 2 2 19 6 3" xfId="15286" xr:uid="{00000000-0005-0000-0000-0000DE3E0000}"/>
    <cellStyle name="Normal 2 2 2 19 6 4" xfId="15287" xr:uid="{00000000-0005-0000-0000-0000DF3E0000}"/>
    <cellStyle name="Normal 2 2 2 19 6 5" xfId="15288" xr:uid="{00000000-0005-0000-0000-0000E03E0000}"/>
    <cellStyle name="Normal 2 2 2 19 6 6" xfId="15289" xr:uid="{00000000-0005-0000-0000-0000E13E0000}"/>
    <cellStyle name="Normal 2 2 2 19 7" xfId="15290" xr:uid="{00000000-0005-0000-0000-0000E23E0000}"/>
    <cellStyle name="Normal 2 2 2 19 7 2" xfId="15291" xr:uid="{00000000-0005-0000-0000-0000E33E0000}"/>
    <cellStyle name="Normal 2 2 2 19 7 3" xfId="15292" xr:uid="{00000000-0005-0000-0000-0000E43E0000}"/>
    <cellStyle name="Normal 2 2 2 19 7 4" xfId="15293" xr:uid="{00000000-0005-0000-0000-0000E53E0000}"/>
    <cellStyle name="Normal 2 2 2 19 7 5" xfId="15294" xr:uid="{00000000-0005-0000-0000-0000E63E0000}"/>
    <cellStyle name="Normal 2 2 2 19 7 6" xfId="15295" xr:uid="{00000000-0005-0000-0000-0000E73E0000}"/>
    <cellStyle name="Normal 2 2 2 19 8" xfId="15296" xr:uid="{00000000-0005-0000-0000-0000E83E0000}"/>
    <cellStyle name="Normal 2 2 2 19 8 2" xfId="15297" xr:uid="{00000000-0005-0000-0000-0000E93E0000}"/>
    <cellStyle name="Normal 2 2 2 19 8 3" xfId="15298" xr:uid="{00000000-0005-0000-0000-0000EA3E0000}"/>
    <cellStyle name="Normal 2 2 2 19 8 4" xfId="15299" xr:uid="{00000000-0005-0000-0000-0000EB3E0000}"/>
    <cellStyle name="Normal 2 2 2 19 8 5" xfId="15300" xr:uid="{00000000-0005-0000-0000-0000EC3E0000}"/>
    <cellStyle name="Normal 2 2 2 19 8 6" xfId="15301" xr:uid="{00000000-0005-0000-0000-0000ED3E0000}"/>
    <cellStyle name="Normal 2 2 2 19 9" xfId="15302" xr:uid="{00000000-0005-0000-0000-0000EE3E0000}"/>
    <cellStyle name="Normal 2 2 2 2" xfId="15303" xr:uid="{00000000-0005-0000-0000-0000EF3E0000}"/>
    <cellStyle name="Normal 2 2 2 2 10" xfId="15304" xr:uid="{00000000-0005-0000-0000-0000F03E0000}"/>
    <cellStyle name="Normal 2 2 2 2 11" xfId="15305" xr:uid="{00000000-0005-0000-0000-0000F13E0000}"/>
    <cellStyle name="Normal 2 2 2 2 12" xfId="15306" xr:uid="{00000000-0005-0000-0000-0000F23E0000}"/>
    <cellStyle name="Normal 2 2 2 2 12 10" xfId="15307" xr:uid="{00000000-0005-0000-0000-0000F33E0000}"/>
    <cellStyle name="Normal 2 2 2 2 12 11" xfId="15308" xr:uid="{00000000-0005-0000-0000-0000F43E0000}"/>
    <cellStyle name="Normal 2 2 2 2 12 12" xfId="15309" xr:uid="{00000000-0005-0000-0000-0000F53E0000}"/>
    <cellStyle name="Normal 2 2 2 2 12 13" xfId="15310" xr:uid="{00000000-0005-0000-0000-0000F63E0000}"/>
    <cellStyle name="Normal 2 2 2 2 12 2" xfId="15311" xr:uid="{00000000-0005-0000-0000-0000F73E0000}"/>
    <cellStyle name="Normal 2 2 2 2 12 2 2" xfId="15312" xr:uid="{00000000-0005-0000-0000-0000F83E0000}"/>
    <cellStyle name="Normal 2 2 2 2 12 2 3" xfId="15313" xr:uid="{00000000-0005-0000-0000-0000F93E0000}"/>
    <cellStyle name="Normal 2 2 2 2 12 2 4" xfId="15314" xr:uid="{00000000-0005-0000-0000-0000FA3E0000}"/>
    <cellStyle name="Normal 2 2 2 2 12 2 5" xfId="15315" xr:uid="{00000000-0005-0000-0000-0000FB3E0000}"/>
    <cellStyle name="Normal 2 2 2 2 12 2 6" xfId="15316" xr:uid="{00000000-0005-0000-0000-0000FC3E0000}"/>
    <cellStyle name="Normal 2 2 2 2 12 3" xfId="15317" xr:uid="{00000000-0005-0000-0000-0000FD3E0000}"/>
    <cellStyle name="Normal 2 2 2 2 12 3 2" xfId="15318" xr:uid="{00000000-0005-0000-0000-0000FE3E0000}"/>
    <cellStyle name="Normal 2 2 2 2 12 3 3" xfId="15319" xr:uid="{00000000-0005-0000-0000-0000FF3E0000}"/>
    <cellStyle name="Normal 2 2 2 2 12 3 4" xfId="15320" xr:uid="{00000000-0005-0000-0000-0000003F0000}"/>
    <cellStyle name="Normal 2 2 2 2 12 3 5" xfId="15321" xr:uid="{00000000-0005-0000-0000-0000013F0000}"/>
    <cellStyle name="Normal 2 2 2 2 12 3 6" xfId="15322" xr:uid="{00000000-0005-0000-0000-0000023F0000}"/>
    <cellStyle name="Normal 2 2 2 2 12 4" xfId="15323" xr:uid="{00000000-0005-0000-0000-0000033F0000}"/>
    <cellStyle name="Normal 2 2 2 2 12 4 2" xfId="15324" xr:uid="{00000000-0005-0000-0000-0000043F0000}"/>
    <cellStyle name="Normal 2 2 2 2 12 4 3" xfId="15325" xr:uid="{00000000-0005-0000-0000-0000053F0000}"/>
    <cellStyle name="Normal 2 2 2 2 12 4 4" xfId="15326" xr:uid="{00000000-0005-0000-0000-0000063F0000}"/>
    <cellStyle name="Normal 2 2 2 2 12 4 5" xfId="15327" xr:uid="{00000000-0005-0000-0000-0000073F0000}"/>
    <cellStyle name="Normal 2 2 2 2 12 4 6" xfId="15328" xr:uid="{00000000-0005-0000-0000-0000083F0000}"/>
    <cellStyle name="Normal 2 2 2 2 12 5" xfId="15329" xr:uid="{00000000-0005-0000-0000-0000093F0000}"/>
    <cellStyle name="Normal 2 2 2 2 12 5 2" xfId="15330" xr:uid="{00000000-0005-0000-0000-00000A3F0000}"/>
    <cellStyle name="Normal 2 2 2 2 12 5 3" xfId="15331" xr:uid="{00000000-0005-0000-0000-00000B3F0000}"/>
    <cellStyle name="Normal 2 2 2 2 12 5 4" xfId="15332" xr:uid="{00000000-0005-0000-0000-00000C3F0000}"/>
    <cellStyle name="Normal 2 2 2 2 12 5 5" xfId="15333" xr:uid="{00000000-0005-0000-0000-00000D3F0000}"/>
    <cellStyle name="Normal 2 2 2 2 12 5 6" xfId="15334" xr:uid="{00000000-0005-0000-0000-00000E3F0000}"/>
    <cellStyle name="Normal 2 2 2 2 12 6" xfId="15335" xr:uid="{00000000-0005-0000-0000-00000F3F0000}"/>
    <cellStyle name="Normal 2 2 2 2 12 6 2" xfId="15336" xr:uid="{00000000-0005-0000-0000-0000103F0000}"/>
    <cellStyle name="Normal 2 2 2 2 12 6 3" xfId="15337" xr:uid="{00000000-0005-0000-0000-0000113F0000}"/>
    <cellStyle name="Normal 2 2 2 2 12 6 4" xfId="15338" xr:uid="{00000000-0005-0000-0000-0000123F0000}"/>
    <cellStyle name="Normal 2 2 2 2 12 6 5" xfId="15339" xr:uid="{00000000-0005-0000-0000-0000133F0000}"/>
    <cellStyle name="Normal 2 2 2 2 12 6 6" xfId="15340" xr:uid="{00000000-0005-0000-0000-0000143F0000}"/>
    <cellStyle name="Normal 2 2 2 2 12 7" xfId="15341" xr:uid="{00000000-0005-0000-0000-0000153F0000}"/>
    <cellStyle name="Normal 2 2 2 2 12 7 2" xfId="15342" xr:uid="{00000000-0005-0000-0000-0000163F0000}"/>
    <cellStyle name="Normal 2 2 2 2 12 7 3" xfId="15343" xr:uid="{00000000-0005-0000-0000-0000173F0000}"/>
    <cellStyle name="Normal 2 2 2 2 12 7 4" xfId="15344" xr:uid="{00000000-0005-0000-0000-0000183F0000}"/>
    <cellStyle name="Normal 2 2 2 2 12 7 5" xfId="15345" xr:uid="{00000000-0005-0000-0000-0000193F0000}"/>
    <cellStyle name="Normal 2 2 2 2 12 7 6" xfId="15346" xr:uid="{00000000-0005-0000-0000-00001A3F0000}"/>
    <cellStyle name="Normal 2 2 2 2 12 8" xfId="15347" xr:uid="{00000000-0005-0000-0000-00001B3F0000}"/>
    <cellStyle name="Normal 2 2 2 2 12 8 2" xfId="15348" xr:uid="{00000000-0005-0000-0000-00001C3F0000}"/>
    <cellStyle name="Normal 2 2 2 2 12 8 3" xfId="15349" xr:uid="{00000000-0005-0000-0000-00001D3F0000}"/>
    <cellStyle name="Normal 2 2 2 2 12 8 4" xfId="15350" xr:uid="{00000000-0005-0000-0000-00001E3F0000}"/>
    <cellStyle name="Normal 2 2 2 2 12 8 5" xfId="15351" xr:uid="{00000000-0005-0000-0000-00001F3F0000}"/>
    <cellStyle name="Normal 2 2 2 2 12 8 6" xfId="15352" xr:uid="{00000000-0005-0000-0000-0000203F0000}"/>
    <cellStyle name="Normal 2 2 2 2 12 9" xfId="15353" xr:uid="{00000000-0005-0000-0000-0000213F0000}"/>
    <cellStyle name="Normal 2 2 2 2 13" xfId="15354" xr:uid="{00000000-0005-0000-0000-0000223F0000}"/>
    <cellStyle name="Normal 2 2 2 2 13 10" xfId="15355" xr:uid="{00000000-0005-0000-0000-0000233F0000}"/>
    <cellStyle name="Normal 2 2 2 2 13 11" xfId="15356" xr:uid="{00000000-0005-0000-0000-0000243F0000}"/>
    <cellStyle name="Normal 2 2 2 2 13 12" xfId="15357" xr:uid="{00000000-0005-0000-0000-0000253F0000}"/>
    <cellStyle name="Normal 2 2 2 2 13 13" xfId="15358" xr:uid="{00000000-0005-0000-0000-0000263F0000}"/>
    <cellStyle name="Normal 2 2 2 2 13 2" xfId="15359" xr:uid="{00000000-0005-0000-0000-0000273F0000}"/>
    <cellStyle name="Normal 2 2 2 2 13 2 2" xfId="15360" xr:uid="{00000000-0005-0000-0000-0000283F0000}"/>
    <cellStyle name="Normal 2 2 2 2 13 2 3" xfId="15361" xr:uid="{00000000-0005-0000-0000-0000293F0000}"/>
    <cellStyle name="Normal 2 2 2 2 13 2 4" xfId="15362" xr:uid="{00000000-0005-0000-0000-00002A3F0000}"/>
    <cellStyle name="Normal 2 2 2 2 13 2 5" xfId="15363" xr:uid="{00000000-0005-0000-0000-00002B3F0000}"/>
    <cellStyle name="Normal 2 2 2 2 13 2 6" xfId="15364" xr:uid="{00000000-0005-0000-0000-00002C3F0000}"/>
    <cellStyle name="Normal 2 2 2 2 13 3" xfId="15365" xr:uid="{00000000-0005-0000-0000-00002D3F0000}"/>
    <cellStyle name="Normal 2 2 2 2 13 3 2" xfId="15366" xr:uid="{00000000-0005-0000-0000-00002E3F0000}"/>
    <cellStyle name="Normal 2 2 2 2 13 3 3" xfId="15367" xr:uid="{00000000-0005-0000-0000-00002F3F0000}"/>
    <cellStyle name="Normal 2 2 2 2 13 3 4" xfId="15368" xr:uid="{00000000-0005-0000-0000-0000303F0000}"/>
    <cellStyle name="Normal 2 2 2 2 13 3 5" xfId="15369" xr:uid="{00000000-0005-0000-0000-0000313F0000}"/>
    <cellStyle name="Normal 2 2 2 2 13 3 6" xfId="15370" xr:uid="{00000000-0005-0000-0000-0000323F0000}"/>
    <cellStyle name="Normal 2 2 2 2 13 4" xfId="15371" xr:uid="{00000000-0005-0000-0000-0000333F0000}"/>
    <cellStyle name="Normal 2 2 2 2 13 4 2" xfId="15372" xr:uid="{00000000-0005-0000-0000-0000343F0000}"/>
    <cellStyle name="Normal 2 2 2 2 13 4 3" xfId="15373" xr:uid="{00000000-0005-0000-0000-0000353F0000}"/>
    <cellStyle name="Normal 2 2 2 2 13 4 4" xfId="15374" xr:uid="{00000000-0005-0000-0000-0000363F0000}"/>
    <cellStyle name="Normal 2 2 2 2 13 4 5" xfId="15375" xr:uid="{00000000-0005-0000-0000-0000373F0000}"/>
    <cellStyle name="Normal 2 2 2 2 13 4 6" xfId="15376" xr:uid="{00000000-0005-0000-0000-0000383F0000}"/>
    <cellStyle name="Normal 2 2 2 2 13 5" xfId="15377" xr:uid="{00000000-0005-0000-0000-0000393F0000}"/>
    <cellStyle name="Normal 2 2 2 2 13 5 2" xfId="15378" xr:uid="{00000000-0005-0000-0000-00003A3F0000}"/>
    <cellStyle name="Normal 2 2 2 2 13 5 3" xfId="15379" xr:uid="{00000000-0005-0000-0000-00003B3F0000}"/>
    <cellStyle name="Normal 2 2 2 2 13 5 4" xfId="15380" xr:uid="{00000000-0005-0000-0000-00003C3F0000}"/>
    <cellStyle name="Normal 2 2 2 2 13 5 5" xfId="15381" xr:uid="{00000000-0005-0000-0000-00003D3F0000}"/>
    <cellStyle name="Normal 2 2 2 2 13 5 6" xfId="15382" xr:uid="{00000000-0005-0000-0000-00003E3F0000}"/>
    <cellStyle name="Normal 2 2 2 2 13 6" xfId="15383" xr:uid="{00000000-0005-0000-0000-00003F3F0000}"/>
    <cellStyle name="Normal 2 2 2 2 13 6 2" xfId="15384" xr:uid="{00000000-0005-0000-0000-0000403F0000}"/>
    <cellStyle name="Normal 2 2 2 2 13 6 3" xfId="15385" xr:uid="{00000000-0005-0000-0000-0000413F0000}"/>
    <cellStyle name="Normal 2 2 2 2 13 6 4" xfId="15386" xr:uid="{00000000-0005-0000-0000-0000423F0000}"/>
    <cellStyle name="Normal 2 2 2 2 13 6 5" xfId="15387" xr:uid="{00000000-0005-0000-0000-0000433F0000}"/>
    <cellStyle name="Normal 2 2 2 2 13 6 6" xfId="15388" xr:uid="{00000000-0005-0000-0000-0000443F0000}"/>
    <cellStyle name="Normal 2 2 2 2 13 7" xfId="15389" xr:uid="{00000000-0005-0000-0000-0000453F0000}"/>
    <cellStyle name="Normal 2 2 2 2 13 7 2" xfId="15390" xr:uid="{00000000-0005-0000-0000-0000463F0000}"/>
    <cellStyle name="Normal 2 2 2 2 13 7 3" xfId="15391" xr:uid="{00000000-0005-0000-0000-0000473F0000}"/>
    <cellStyle name="Normal 2 2 2 2 13 7 4" xfId="15392" xr:uid="{00000000-0005-0000-0000-0000483F0000}"/>
    <cellStyle name="Normal 2 2 2 2 13 7 5" xfId="15393" xr:uid="{00000000-0005-0000-0000-0000493F0000}"/>
    <cellStyle name="Normal 2 2 2 2 13 7 6" xfId="15394" xr:uid="{00000000-0005-0000-0000-00004A3F0000}"/>
    <cellStyle name="Normal 2 2 2 2 13 8" xfId="15395" xr:uid="{00000000-0005-0000-0000-00004B3F0000}"/>
    <cellStyle name="Normal 2 2 2 2 13 8 2" xfId="15396" xr:uid="{00000000-0005-0000-0000-00004C3F0000}"/>
    <cellStyle name="Normal 2 2 2 2 13 8 3" xfId="15397" xr:uid="{00000000-0005-0000-0000-00004D3F0000}"/>
    <cellStyle name="Normal 2 2 2 2 13 8 4" xfId="15398" xr:uid="{00000000-0005-0000-0000-00004E3F0000}"/>
    <cellStyle name="Normal 2 2 2 2 13 8 5" xfId="15399" xr:uid="{00000000-0005-0000-0000-00004F3F0000}"/>
    <cellStyle name="Normal 2 2 2 2 13 8 6" xfId="15400" xr:uid="{00000000-0005-0000-0000-0000503F0000}"/>
    <cellStyle name="Normal 2 2 2 2 13 9" xfId="15401" xr:uid="{00000000-0005-0000-0000-0000513F0000}"/>
    <cellStyle name="Normal 2 2 2 2 14" xfId="15402" xr:uid="{00000000-0005-0000-0000-0000523F0000}"/>
    <cellStyle name="Normal 2 2 2 2 14 10" xfId="15403" xr:uid="{00000000-0005-0000-0000-0000533F0000}"/>
    <cellStyle name="Normal 2 2 2 2 14 11" xfId="15404" xr:uid="{00000000-0005-0000-0000-0000543F0000}"/>
    <cellStyle name="Normal 2 2 2 2 14 12" xfId="15405" xr:uid="{00000000-0005-0000-0000-0000553F0000}"/>
    <cellStyle name="Normal 2 2 2 2 14 13" xfId="15406" xr:uid="{00000000-0005-0000-0000-0000563F0000}"/>
    <cellStyle name="Normal 2 2 2 2 14 2" xfId="15407" xr:uid="{00000000-0005-0000-0000-0000573F0000}"/>
    <cellStyle name="Normal 2 2 2 2 14 2 2" xfId="15408" xr:uid="{00000000-0005-0000-0000-0000583F0000}"/>
    <cellStyle name="Normal 2 2 2 2 14 2 3" xfId="15409" xr:uid="{00000000-0005-0000-0000-0000593F0000}"/>
    <cellStyle name="Normal 2 2 2 2 14 2 4" xfId="15410" xr:uid="{00000000-0005-0000-0000-00005A3F0000}"/>
    <cellStyle name="Normal 2 2 2 2 14 2 5" xfId="15411" xr:uid="{00000000-0005-0000-0000-00005B3F0000}"/>
    <cellStyle name="Normal 2 2 2 2 14 2 6" xfId="15412" xr:uid="{00000000-0005-0000-0000-00005C3F0000}"/>
    <cellStyle name="Normal 2 2 2 2 14 3" xfId="15413" xr:uid="{00000000-0005-0000-0000-00005D3F0000}"/>
    <cellStyle name="Normal 2 2 2 2 14 3 2" xfId="15414" xr:uid="{00000000-0005-0000-0000-00005E3F0000}"/>
    <cellStyle name="Normal 2 2 2 2 14 3 3" xfId="15415" xr:uid="{00000000-0005-0000-0000-00005F3F0000}"/>
    <cellStyle name="Normal 2 2 2 2 14 3 4" xfId="15416" xr:uid="{00000000-0005-0000-0000-0000603F0000}"/>
    <cellStyle name="Normal 2 2 2 2 14 3 5" xfId="15417" xr:uid="{00000000-0005-0000-0000-0000613F0000}"/>
    <cellStyle name="Normal 2 2 2 2 14 3 6" xfId="15418" xr:uid="{00000000-0005-0000-0000-0000623F0000}"/>
    <cellStyle name="Normal 2 2 2 2 14 4" xfId="15419" xr:uid="{00000000-0005-0000-0000-0000633F0000}"/>
    <cellStyle name="Normal 2 2 2 2 14 4 2" xfId="15420" xr:uid="{00000000-0005-0000-0000-0000643F0000}"/>
    <cellStyle name="Normal 2 2 2 2 14 4 3" xfId="15421" xr:uid="{00000000-0005-0000-0000-0000653F0000}"/>
    <cellStyle name="Normal 2 2 2 2 14 4 4" xfId="15422" xr:uid="{00000000-0005-0000-0000-0000663F0000}"/>
    <cellStyle name="Normal 2 2 2 2 14 4 5" xfId="15423" xr:uid="{00000000-0005-0000-0000-0000673F0000}"/>
    <cellStyle name="Normal 2 2 2 2 14 4 6" xfId="15424" xr:uid="{00000000-0005-0000-0000-0000683F0000}"/>
    <cellStyle name="Normal 2 2 2 2 14 5" xfId="15425" xr:uid="{00000000-0005-0000-0000-0000693F0000}"/>
    <cellStyle name="Normal 2 2 2 2 14 5 2" xfId="15426" xr:uid="{00000000-0005-0000-0000-00006A3F0000}"/>
    <cellStyle name="Normal 2 2 2 2 14 5 3" xfId="15427" xr:uid="{00000000-0005-0000-0000-00006B3F0000}"/>
    <cellStyle name="Normal 2 2 2 2 14 5 4" xfId="15428" xr:uid="{00000000-0005-0000-0000-00006C3F0000}"/>
    <cellStyle name="Normal 2 2 2 2 14 5 5" xfId="15429" xr:uid="{00000000-0005-0000-0000-00006D3F0000}"/>
    <cellStyle name="Normal 2 2 2 2 14 5 6" xfId="15430" xr:uid="{00000000-0005-0000-0000-00006E3F0000}"/>
    <cellStyle name="Normal 2 2 2 2 14 6" xfId="15431" xr:uid="{00000000-0005-0000-0000-00006F3F0000}"/>
    <cellStyle name="Normal 2 2 2 2 14 6 2" xfId="15432" xr:uid="{00000000-0005-0000-0000-0000703F0000}"/>
    <cellStyle name="Normal 2 2 2 2 14 6 3" xfId="15433" xr:uid="{00000000-0005-0000-0000-0000713F0000}"/>
    <cellStyle name="Normal 2 2 2 2 14 6 4" xfId="15434" xr:uid="{00000000-0005-0000-0000-0000723F0000}"/>
    <cellStyle name="Normal 2 2 2 2 14 6 5" xfId="15435" xr:uid="{00000000-0005-0000-0000-0000733F0000}"/>
    <cellStyle name="Normal 2 2 2 2 14 6 6" xfId="15436" xr:uid="{00000000-0005-0000-0000-0000743F0000}"/>
    <cellStyle name="Normal 2 2 2 2 14 7" xfId="15437" xr:uid="{00000000-0005-0000-0000-0000753F0000}"/>
    <cellStyle name="Normal 2 2 2 2 14 7 2" xfId="15438" xr:uid="{00000000-0005-0000-0000-0000763F0000}"/>
    <cellStyle name="Normal 2 2 2 2 14 7 3" xfId="15439" xr:uid="{00000000-0005-0000-0000-0000773F0000}"/>
    <cellStyle name="Normal 2 2 2 2 14 7 4" xfId="15440" xr:uid="{00000000-0005-0000-0000-0000783F0000}"/>
    <cellStyle name="Normal 2 2 2 2 14 7 5" xfId="15441" xr:uid="{00000000-0005-0000-0000-0000793F0000}"/>
    <cellStyle name="Normal 2 2 2 2 14 7 6" xfId="15442" xr:uid="{00000000-0005-0000-0000-00007A3F0000}"/>
    <cellStyle name="Normal 2 2 2 2 14 8" xfId="15443" xr:uid="{00000000-0005-0000-0000-00007B3F0000}"/>
    <cellStyle name="Normal 2 2 2 2 14 8 2" xfId="15444" xr:uid="{00000000-0005-0000-0000-00007C3F0000}"/>
    <cellStyle name="Normal 2 2 2 2 14 8 3" xfId="15445" xr:uid="{00000000-0005-0000-0000-00007D3F0000}"/>
    <cellStyle name="Normal 2 2 2 2 14 8 4" xfId="15446" xr:uid="{00000000-0005-0000-0000-00007E3F0000}"/>
    <cellStyle name="Normal 2 2 2 2 14 8 5" xfId="15447" xr:uid="{00000000-0005-0000-0000-00007F3F0000}"/>
    <cellStyle name="Normal 2 2 2 2 14 8 6" xfId="15448" xr:uid="{00000000-0005-0000-0000-0000803F0000}"/>
    <cellStyle name="Normal 2 2 2 2 14 9" xfId="15449" xr:uid="{00000000-0005-0000-0000-0000813F0000}"/>
    <cellStyle name="Normal 2 2 2 2 15" xfId="15450" xr:uid="{00000000-0005-0000-0000-0000823F0000}"/>
    <cellStyle name="Normal 2 2 2 2 15 10" xfId="15451" xr:uid="{00000000-0005-0000-0000-0000833F0000}"/>
    <cellStyle name="Normal 2 2 2 2 15 11" xfId="15452" xr:uid="{00000000-0005-0000-0000-0000843F0000}"/>
    <cellStyle name="Normal 2 2 2 2 15 12" xfId="15453" xr:uid="{00000000-0005-0000-0000-0000853F0000}"/>
    <cellStyle name="Normal 2 2 2 2 15 13" xfId="15454" xr:uid="{00000000-0005-0000-0000-0000863F0000}"/>
    <cellStyle name="Normal 2 2 2 2 15 2" xfId="15455" xr:uid="{00000000-0005-0000-0000-0000873F0000}"/>
    <cellStyle name="Normal 2 2 2 2 15 2 2" xfId="15456" xr:uid="{00000000-0005-0000-0000-0000883F0000}"/>
    <cellStyle name="Normal 2 2 2 2 15 2 3" xfId="15457" xr:uid="{00000000-0005-0000-0000-0000893F0000}"/>
    <cellStyle name="Normal 2 2 2 2 15 2 4" xfId="15458" xr:uid="{00000000-0005-0000-0000-00008A3F0000}"/>
    <cellStyle name="Normal 2 2 2 2 15 2 5" xfId="15459" xr:uid="{00000000-0005-0000-0000-00008B3F0000}"/>
    <cellStyle name="Normal 2 2 2 2 15 2 6" xfId="15460" xr:uid="{00000000-0005-0000-0000-00008C3F0000}"/>
    <cellStyle name="Normal 2 2 2 2 15 3" xfId="15461" xr:uid="{00000000-0005-0000-0000-00008D3F0000}"/>
    <cellStyle name="Normal 2 2 2 2 15 3 2" xfId="15462" xr:uid="{00000000-0005-0000-0000-00008E3F0000}"/>
    <cellStyle name="Normal 2 2 2 2 15 3 3" xfId="15463" xr:uid="{00000000-0005-0000-0000-00008F3F0000}"/>
    <cellStyle name="Normal 2 2 2 2 15 3 4" xfId="15464" xr:uid="{00000000-0005-0000-0000-0000903F0000}"/>
    <cellStyle name="Normal 2 2 2 2 15 3 5" xfId="15465" xr:uid="{00000000-0005-0000-0000-0000913F0000}"/>
    <cellStyle name="Normal 2 2 2 2 15 3 6" xfId="15466" xr:uid="{00000000-0005-0000-0000-0000923F0000}"/>
    <cellStyle name="Normal 2 2 2 2 15 4" xfId="15467" xr:uid="{00000000-0005-0000-0000-0000933F0000}"/>
    <cellStyle name="Normal 2 2 2 2 15 4 2" xfId="15468" xr:uid="{00000000-0005-0000-0000-0000943F0000}"/>
    <cellStyle name="Normal 2 2 2 2 15 4 3" xfId="15469" xr:uid="{00000000-0005-0000-0000-0000953F0000}"/>
    <cellStyle name="Normal 2 2 2 2 15 4 4" xfId="15470" xr:uid="{00000000-0005-0000-0000-0000963F0000}"/>
    <cellStyle name="Normal 2 2 2 2 15 4 5" xfId="15471" xr:uid="{00000000-0005-0000-0000-0000973F0000}"/>
    <cellStyle name="Normal 2 2 2 2 15 4 6" xfId="15472" xr:uid="{00000000-0005-0000-0000-0000983F0000}"/>
    <cellStyle name="Normal 2 2 2 2 15 5" xfId="15473" xr:uid="{00000000-0005-0000-0000-0000993F0000}"/>
    <cellStyle name="Normal 2 2 2 2 15 5 2" xfId="15474" xr:uid="{00000000-0005-0000-0000-00009A3F0000}"/>
    <cellStyle name="Normal 2 2 2 2 15 5 3" xfId="15475" xr:uid="{00000000-0005-0000-0000-00009B3F0000}"/>
    <cellStyle name="Normal 2 2 2 2 15 5 4" xfId="15476" xr:uid="{00000000-0005-0000-0000-00009C3F0000}"/>
    <cellStyle name="Normal 2 2 2 2 15 5 5" xfId="15477" xr:uid="{00000000-0005-0000-0000-00009D3F0000}"/>
    <cellStyle name="Normal 2 2 2 2 15 5 6" xfId="15478" xr:uid="{00000000-0005-0000-0000-00009E3F0000}"/>
    <cellStyle name="Normal 2 2 2 2 15 6" xfId="15479" xr:uid="{00000000-0005-0000-0000-00009F3F0000}"/>
    <cellStyle name="Normal 2 2 2 2 15 6 2" xfId="15480" xr:uid="{00000000-0005-0000-0000-0000A03F0000}"/>
    <cellStyle name="Normal 2 2 2 2 15 6 3" xfId="15481" xr:uid="{00000000-0005-0000-0000-0000A13F0000}"/>
    <cellStyle name="Normal 2 2 2 2 15 6 4" xfId="15482" xr:uid="{00000000-0005-0000-0000-0000A23F0000}"/>
    <cellStyle name="Normal 2 2 2 2 15 6 5" xfId="15483" xr:uid="{00000000-0005-0000-0000-0000A33F0000}"/>
    <cellStyle name="Normal 2 2 2 2 15 6 6" xfId="15484" xr:uid="{00000000-0005-0000-0000-0000A43F0000}"/>
    <cellStyle name="Normal 2 2 2 2 15 7" xfId="15485" xr:uid="{00000000-0005-0000-0000-0000A53F0000}"/>
    <cellStyle name="Normal 2 2 2 2 15 7 2" xfId="15486" xr:uid="{00000000-0005-0000-0000-0000A63F0000}"/>
    <cellStyle name="Normal 2 2 2 2 15 7 3" xfId="15487" xr:uid="{00000000-0005-0000-0000-0000A73F0000}"/>
    <cellStyle name="Normal 2 2 2 2 15 7 4" xfId="15488" xr:uid="{00000000-0005-0000-0000-0000A83F0000}"/>
    <cellStyle name="Normal 2 2 2 2 15 7 5" xfId="15489" xr:uid="{00000000-0005-0000-0000-0000A93F0000}"/>
    <cellStyle name="Normal 2 2 2 2 15 7 6" xfId="15490" xr:uid="{00000000-0005-0000-0000-0000AA3F0000}"/>
    <cellStyle name="Normal 2 2 2 2 15 8" xfId="15491" xr:uid="{00000000-0005-0000-0000-0000AB3F0000}"/>
    <cellStyle name="Normal 2 2 2 2 15 8 2" xfId="15492" xr:uid="{00000000-0005-0000-0000-0000AC3F0000}"/>
    <cellStyle name="Normal 2 2 2 2 15 8 3" xfId="15493" xr:uid="{00000000-0005-0000-0000-0000AD3F0000}"/>
    <cellStyle name="Normal 2 2 2 2 15 8 4" xfId="15494" xr:uid="{00000000-0005-0000-0000-0000AE3F0000}"/>
    <cellStyle name="Normal 2 2 2 2 15 8 5" xfId="15495" xr:uid="{00000000-0005-0000-0000-0000AF3F0000}"/>
    <cellStyle name="Normal 2 2 2 2 15 8 6" xfId="15496" xr:uid="{00000000-0005-0000-0000-0000B03F0000}"/>
    <cellStyle name="Normal 2 2 2 2 15 9" xfId="15497" xr:uid="{00000000-0005-0000-0000-0000B13F0000}"/>
    <cellStyle name="Normal 2 2 2 2 16" xfId="15498" xr:uid="{00000000-0005-0000-0000-0000B23F0000}"/>
    <cellStyle name="Normal 2 2 2 2 16 10" xfId="15499" xr:uid="{00000000-0005-0000-0000-0000B33F0000}"/>
    <cellStyle name="Normal 2 2 2 2 16 11" xfId="15500" xr:uid="{00000000-0005-0000-0000-0000B43F0000}"/>
    <cellStyle name="Normal 2 2 2 2 16 12" xfId="15501" xr:uid="{00000000-0005-0000-0000-0000B53F0000}"/>
    <cellStyle name="Normal 2 2 2 2 16 13" xfId="15502" xr:uid="{00000000-0005-0000-0000-0000B63F0000}"/>
    <cellStyle name="Normal 2 2 2 2 16 2" xfId="15503" xr:uid="{00000000-0005-0000-0000-0000B73F0000}"/>
    <cellStyle name="Normal 2 2 2 2 16 2 2" xfId="15504" xr:uid="{00000000-0005-0000-0000-0000B83F0000}"/>
    <cellStyle name="Normal 2 2 2 2 16 2 3" xfId="15505" xr:uid="{00000000-0005-0000-0000-0000B93F0000}"/>
    <cellStyle name="Normal 2 2 2 2 16 2 4" xfId="15506" xr:uid="{00000000-0005-0000-0000-0000BA3F0000}"/>
    <cellStyle name="Normal 2 2 2 2 16 2 5" xfId="15507" xr:uid="{00000000-0005-0000-0000-0000BB3F0000}"/>
    <cellStyle name="Normal 2 2 2 2 16 2 6" xfId="15508" xr:uid="{00000000-0005-0000-0000-0000BC3F0000}"/>
    <cellStyle name="Normal 2 2 2 2 16 3" xfId="15509" xr:uid="{00000000-0005-0000-0000-0000BD3F0000}"/>
    <cellStyle name="Normal 2 2 2 2 16 3 2" xfId="15510" xr:uid="{00000000-0005-0000-0000-0000BE3F0000}"/>
    <cellStyle name="Normal 2 2 2 2 16 3 3" xfId="15511" xr:uid="{00000000-0005-0000-0000-0000BF3F0000}"/>
    <cellStyle name="Normal 2 2 2 2 16 3 4" xfId="15512" xr:uid="{00000000-0005-0000-0000-0000C03F0000}"/>
    <cellStyle name="Normal 2 2 2 2 16 3 5" xfId="15513" xr:uid="{00000000-0005-0000-0000-0000C13F0000}"/>
    <cellStyle name="Normal 2 2 2 2 16 3 6" xfId="15514" xr:uid="{00000000-0005-0000-0000-0000C23F0000}"/>
    <cellStyle name="Normal 2 2 2 2 16 4" xfId="15515" xr:uid="{00000000-0005-0000-0000-0000C33F0000}"/>
    <cellStyle name="Normal 2 2 2 2 16 4 2" xfId="15516" xr:uid="{00000000-0005-0000-0000-0000C43F0000}"/>
    <cellStyle name="Normal 2 2 2 2 16 4 3" xfId="15517" xr:uid="{00000000-0005-0000-0000-0000C53F0000}"/>
    <cellStyle name="Normal 2 2 2 2 16 4 4" xfId="15518" xr:uid="{00000000-0005-0000-0000-0000C63F0000}"/>
    <cellStyle name="Normal 2 2 2 2 16 4 5" xfId="15519" xr:uid="{00000000-0005-0000-0000-0000C73F0000}"/>
    <cellStyle name="Normal 2 2 2 2 16 4 6" xfId="15520" xr:uid="{00000000-0005-0000-0000-0000C83F0000}"/>
    <cellStyle name="Normal 2 2 2 2 16 5" xfId="15521" xr:uid="{00000000-0005-0000-0000-0000C93F0000}"/>
    <cellStyle name="Normal 2 2 2 2 16 5 2" xfId="15522" xr:uid="{00000000-0005-0000-0000-0000CA3F0000}"/>
    <cellStyle name="Normal 2 2 2 2 16 5 3" xfId="15523" xr:uid="{00000000-0005-0000-0000-0000CB3F0000}"/>
    <cellStyle name="Normal 2 2 2 2 16 5 4" xfId="15524" xr:uid="{00000000-0005-0000-0000-0000CC3F0000}"/>
    <cellStyle name="Normal 2 2 2 2 16 5 5" xfId="15525" xr:uid="{00000000-0005-0000-0000-0000CD3F0000}"/>
    <cellStyle name="Normal 2 2 2 2 16 5 6" xfId="15526" xr:uid="{00000000-0005-0000-0000-0000CE3F0000}"/>
    <cellStyle name="Normal 2 2 2 2 16 6" xfId="15527" xr:uid="{00000000-0005-0000-0000-0000CF3F0000}"/>
    <cellStyle name="Normal 2 2 2 2 16 6 2" xfId="15528" xr:uid="{00000000-0005-0000-0000-0000D03F0000}"/>
    <cellStyle name="Normal 2 2 2 2 16 6 3" xfId="15529" xr:uid="{00000000-0005-0000-0000-0000D13F0000}"/>
    <cellStyle name="Normal 2 2 2 2 16 6 4" xfId="15530" xr:uid="{00000000-0005-0000-0000-0000D23F0000}"/>
    <cellStyle name="Normal 2 2 2 2 16 6 5" xfId="15531" xr:uid="{00000000-0005-0000-0000-0000D33F0000}"/>
    <cellStyle name="Normal 2 2 2 2 16 6 6" xfId="15532" xr:uid="{00000000-0005-0000-0000-0000D43F0000}"/>
    <cellStyle name="Normal 2 2 2 2 16 7" xfId="15533" xr:uid="{00000000-0005-0000-0000-0000D53F0000}"/>
    <cellStyle name="Normal 2 2 2 2 16 7 2" xfId="15534" xr:uid="{00000000-0005-0000-0000-0000D63F0000}"/>
    <cellStyle name="Normal 2 2 2 2 16 7 3" xfId="15535" xr:uid="{00000000-0005-0000-0000-0000D73F0000}"/>
    <cellStyle name="Normal 2 2 2 2 16 7 4" xfId="15536" xr:uid="{00000000-0005-0000-0000-0000D83F0000}"/>
    <cellStyle name="Normal 2 2 2 2 16 7 5" xfId="15537" xr:uid="{00000000-0005-0000-0000-0000D93F0000}"/>
    <cellStyle name="Normal 2 2 2 2 16 7 6" xfId="15538" xr:uid="{00000000-0005-0000-0000-0000DA3F0000}"/>
    <cellStyle name="Normal 2 2 2 2 16 8" xfId="15539" xr:uid="{00000000-0005-0000-0000-0000DB3F0000}"/>
    <cellStyle name="Normal 2 2 2 2 16 8 2" xfId="15540" xr:uid="{00000000-0005-0000-0000-0000DC3F0000}"/>
    <cellStyle name="Normal 2 2 2 2 16 8 3" xfId="15541" xr:uid="{00000000-0005-0000-0000-0000DD3F0000}"/>
    <cellStyle name="Normal 2 2 2 2 16 8 4" xfId="15542" xr:uid="{00000000-0005-0000-0000-0000DE3F0000}"/>
    <cellStyle name="Normal 2 2 2 2 16 8 5" xfId="15543" xr:uid="{00000000-0005-0000-0000-0000DF3F0000}"/>
    <cellStyle name="Normal 2 2 2 2 16 8 6" xfId="15544" xr:uid="{00000000-0005-0000-0000-0000E03F0000}"/>
    <cellStyle name="Normal 2 2 2 2 16 9" xfId="15545" xr:uid="{00000000-0005-0000-0000-0000E13F0000}"/>
    <cellStyle name="Normal 2 2 2 2 17" xfId="15546" xr:uid="{00000000-0005-0000-0000-0000E23F0000}"/>
    <cellStyle name="Normal 2 2 2 2 17 10" xfId="15547" xr:uid="{00000000-0005-0000-0000-0000E33F0000}"/>
    <cellStyle name="Normal 2 2 2 2 17 11" xfId="15548" xr:uid="{00000000-0005-0000-0000-0000E43F0000}"/>
    <cellStyle name="Normal 2 2 2 2 17 12" xfId="15549" xr:uid="{00000000-0005-0000-0000-0000E53F0000}"/>
    <cellStyle name="Normal 2 2 2 2 17 12 2" xfId="15550" xr:uid="{00000000-0005-0000-0000-0000E63F0000}"/>
    <cellStyle name="Normal 2 2 2 2 17 12 3" xfId="15551" xr:uid="{00000000-0005-0000-0000-0000E73F0000}"/>
    <cellStyle name="Normal 2 2 2 2 17 12 4" xfId="15552" xr:uid="{00000000-0005-0000-0000-0000E83F0000}"/>
    <cellStyle name="Normal 2 2 2 2 17 12 5" xfId="15553" xr:uid="{00000000-0005-0000-0000-0000E93F0000}"/>
    <cellStyle name="Normal 2 2 2 2 17 12 6" xfId="15554" xr:uid="{00000000-0005-0000-0000-0000EA3F0000}"/>
    <cellStyle name="Normal 2 2 2 2 17 13" xfId="15555" xr:uid="{00000000-0005-0000-0000-0000EB3F0000}"/>
    <cellStyle name="Normal 2 2 2 2 17 13 2" xfId="15556" xr:uid="{00000000-0005-0000-0000-0000EC3F0000}"/>
    <cellStyle name="Normal 2 2 2 2 17 13 3" xfId="15557" xr:uid="{00000000-0005-0000-0000-0000ED3F0000}"/>
    <cellStyle name="Normal 2 2 2 2 17 13 4" xfId="15558" xr:uid="{00000000-0005-0000-0000-0000EE3F0000}"/>
    <cellStyle name="Normal 2 2 2 2 17 13 5" xfId="15559" xr:uid="{00000000-0005-0000-0000-0000EF3F0000}"/>
    <cellStyle name="Normal 2 2 2 2 17 13 6" xfId="15560" xr:uid="{00000000-0005-0000-0000-0000F03F0000}"/>
    <cellStyle name="Normal 2 2 2 2 17 14" xfId="15561" xr:uid="{00000000-0005-0000-0000-0000F13F0000}"/>
    <cellStyle name="Normal 2 2 2 2 17 14 2" xfId="15562" xr:uid="{00000000-0005-0000-0000-0000F23F0000}"/>
    <cellStyle name="Normal 2 2 2 2 17 14 3" xfId="15563" xr:uid="{00000000-0005-0000-0000-0000F33F0000}"/>
    <cellStyle name="Normal 2 2 2 2 17 14 4" xfId="15564" xr:uid="{00000000-0005-0000-0000-0000F43F0000}"/>
    <cellStyle name="Normal 2 2 2 2 17 14 5" xfId="15565" xr:uid="{00000000-0005-0000-0000-0000F53F0000}"/>
    <cellStyle name="Normal 2 2 2 2 17 14 6" xfId="15566" xr:uid="{00000000-0005-0000-0000-0000F63F0000}"/>
    <cellStyle name="Normal 2 2 2 2 17 15" xfId="15567" xr:uid="{00000000-0005-0000-0000-0000F73F0000}"/>
    <cellStyle name="Normal 2 2 2 2 17 15 2" xfId="15568" xr:uid="{00000000-0005-0000-0000-0000F83F0000}"/>
    <cellStyle name="Normal 2 2 2 2 17 15 3" xfId="15569" xr:uid="{00000000-0005-0000-0000-0000F93F0000}"/>
    <cellStyle name="Normal 2 2 2 2 17 15 4" xfId="15570" xr:uid="{00000000-0005-0000-0000-0000FA3F0000}"/>
    <cellStyle name="Normal 2 2 2 2 17 15 5" xfId="15571" xr:uid="{00000000-0005-0000-0000-0000FB3F0000}"/>
    <cellStyle name="Normal 2 2 2 2 17 15 6" xfId="15572" xr:uid="{00000000-0005-0000-0000-0000FC3F0000}"/>
    <cellStyle name="Normal 2 2 2 2 17 16" xfId="15573" xr:uid="{00000000-0005-0000-0000-0000FD3F0000}"/>
    <cellStyle name="Normal 2 2 2 2 17 16 2" xfId="15574" xr:uid="{00000000-0005-0000-0000-0000FE3F0000}"/>
    <cellStyle name="Normal 2 2 2 2 17 16 3" xfId="15575" xr:uid="{00000000-0005-0000-0000-0000FF3F0000}"/>
    <cellStyle name="Normal 2 2 2 2 17 16 4" xfId="15576" xr:uid="{00000000-0005-0000-0000-000000400000}"/>
    <cellStyle name="Normal 2 2 2 2 17 16 5" xfId="15577" xr:uid="{00000000-0005-0000-0000-000001400000}"/>
    <cellStyle name="Normal 2 2 2 2 17 16 6" xfId="15578" xr:uid="{00000000-0005-0000-0000-000002400000}"/>
    <cellStyle name="Normal 2 2 2 2 17 17" xfId="15579" xr:uid="{00000000-0005-0000-0000-000003400000}"/>
    <cellStyle name="Normal 2 2 2 2 17 17 2" xfId="15580" xr:uid="{00000000-0005-0000-0000-000004400000}"/>
    <cellStyle name="Normal 2 2 2 2 17 17 3" xfId="15581" xr:uid="{00000000-0005-0000-0000-000005400000}"/>
    <cellStyle name="Normal 2 2 2 2 17 17 4" xfId="15582" xr:uid="{00000000-0005-0000-0000-000006400000}"/>
    <cellStyle name="Normal 2 2 2 2 17 17 5" xfId="15583" xr:uid="{00000000-0005-0000-0000-000007400000}"/>
    <cellStyle name="Normal 2 2 2 2 17 17 6" xfId="15584" xr:uid="{00000000-0005-0000-0000-000008400000}"/>
    <cellStyle name="Normal 2 2 2 2 17 18" xfId="15585" xr:uid="{00000000-0005-0000-0000-000009400000}"/>
    <cellStyle name="Normal 2 2 2 2 17 18 2" xfId="15586" xr:uid="{00000000-0005-0000-0000-00000A400000}"/>
    <cellStyle name="Normal 2 2 2 2 17 18 3" xfId="15587" xr:uid="{00000000-0005-0000-0000-00000B400000}"/>
    <cellStyle name="Normal 2 2 2 2 17 18 4" xfId="15588" xr:uid="{00000000-0005-0000-0000-00000C400000}"/>
    <cellStyle name="Normal 2 2 2 2 17 18 5" xfId="15589" xr:uid="{00000000-0005-0000-0000-00000D400000}"/>
    <cellStyle name="Normal 2 2 2 2 17 18 6" xfId="15590" xr:uid="{00000000-0005-0000-0000-00000E400000}"/>
    <cellStyle name="Normal 2 2 2 2 17 19" xfId="15591" xr:uid="{00000000-0005-0000-0000-00000F400000}"/>
    <cellStyle name="Normal 2 2 2 2 17 2" xfId="15592" xr:uid="{00000000-0005-0000-0000-000010400000}"/>
    <cellStyle name="Normal 2 2 2 2 17 20" xfId="15593" xr:uid="{00000000-0005-0000-0000-000011400000}"/>
    <cellStyle name="Normal 2 2 2 2 17 21" xfId="15594" xr:uid="{00000000-0005-0000-0000-000012400000}"/>
    <cellStyle name="Normal 2 2 2 2 17 22" xfId="15595" xr:uid="{00000000-0005-0000-0000-000013400000}"/>
    <cellStyle name="Normal 2 2 2 2 17 23" xfId="15596" xr:uid="{00000000-0005-0000-0000-000014400000}"/>
    <cellStyle name="Normal 2 2 2 2 17 3" xfId="15597" xr:uid="{00000000-0005-0000-0000-000015400000}"/>
    <cellStyle name="Normal 2 2 2 2 17 4" xfId="15598" xr:uid="{00000000-0005-0000-0000-000016400000}"/>
    <cellStyle name="Normal 2 2 2 2 17 5" xfId="15599" xr:uid="{00000000-0005-0000-0000-000017400000}"/>
    <cellStyle name="Normal 2 2 2 2 17 6" xfId="15600" xr:uid="{00000000-0005-0000-0000-000018400000}"/>
    <cellStyle name="Normal 2 2 2 2 17 7" xfId="15601" xr:uid="{00000000-0005-0000-0000-000019400000}"/>
    <cellStyle name="Normal 2 2 2 2 17 8" xfId="15602" xr:uid="{00000000-0005-0000-0000-00001A400000}"/>
    <cellStyle name="Normal 2 2 2 2 17 9" xfId="15603" xr:uid="{00000000-0005-0000-0000-00001B400000}"/>
    <cellStyle name="Normal 2 2 2 2 18" xfId="15604" xr:uid="{00000000-0005-0000-0000-00001C400000}"/>
    <cellStyle name="Normal 2 2 2 2 18 2" xfId="15605" xr:uid="{00000000-0005-0000-0000-00001D400000}"/>
    <cellStyle name="Normal 2 2 2 2 18 2 2" xfId="15606" xr:uid="{00000000-0005-0000-0000-00001E400000}"/>
    <cellStyle name="Normal 2 2 2 2 18 2 2 2" xfId="15607" xr:uid="{00000000-0005-0000-0000-00001F400000}"/>
    <cellStyle name="Normal 2 2 2 2 18 2 3" xfId="15608" xr:uid="{00000000-0005-0000-0000-000020400000}"/>
    <cellStyle name="Normal 2 2 2 2 18 3" xfId="15609" xr:uid="{00000000-0005-0000-0000-000021400000}"/>
    <cellStyle name="Normal 2 2 2 2 18 3 2" xfId="15610" xr:uid="{00000000-0005-0000-0000-000022400000}"/>
    <cellStyle name="Normal 2 2 2 2 19" xfId="15611" xr:uid="{00000000-0005-0000-0000-000023400000}"/>
    <cellStyle name="Normal 2 2 2 2 19 2" xfId="15612" xr:uid="{00000000-0005-0000-0000-000024400000}"/>
    <cellStyle name="Normal 2 2 2 2 2" xfId="15613" xr:uid="{00000000-0005-0000-0000-000025400000}"/>
    <cellStyle name="Normal 2 2 2 2 2 10" xfId="15614" xr:uid="{00000000-0005-0000-0000-000026400000}"/>
    <cellStyle name="Normal 2 2 2 2 2 11" xfId="15615" xr:uid="{00000000-0005-0000-0000-000027400000}"/>
    <cellStyle name="Normal 2 2 2 2 2 11 10" xfId="15616" xr:uid="{00000000-0005-0000-0000-000028400000}"/>
    <cellStyle name="Normal 2 2 2 2 2 11 10 10" xfId="15617" xr:uid="{00000000-0005-0000-0000-000029400000}"/>
    <cellStyle name="Normal 2 2 2 2 2 11 10 11" xfId="15618" xr:uid="{00000000-0005-0000-0000-00002A400000}"/>
    <cellStyle name="Normal 2 2 2 2 2 11 10 12" xfId="15619" xr:uid="{00000000-0005-0000-0000-00002B400000}"/>
    <cellStyle name="Normal 2 2 2 2 2 11 10 13" xfId="15620" xr:uid="{00000000-0005-0000-0000-00002C400000}"/>
    <cellStyle name="Normal 2 2 2 2 2 11 10 2" xfId="15621" xr:uid="{00000000-0005-0000-0000-00002D400000}"/>
    <cellStyle name="Normal 2 2 2 2 2 11 10 2 2" xfId="15622" xr:uid="{00000000-0005-0000-0000-00002E400000}"/>
    <cellStyle name="Normal 2 2 2 2 2 11 10 2 3" xfId="15623" xr:uid="{00000000-0005-0000-0000-00002F400000}"/>
    <cellStyle name="Normal 2 2 2 2 2 11 10 2 4" xfId="15624" xr:uid="{00000000-0005-0000-0000-000030400000}"/>
    <cellStyle name="Normal 2 2 2 2 2 11 10 2 5" xfId="15625" xr:uid="{00000000-0005-0000-0000-000031400000}"/>
    <cellStyle name="Normal 2 2 2 2 2 11 10 2 6" xfId="15626" xr:uid="{00000000-0005-0000-0000-000032400000}"/>
    <cellStyle name="Normal 2 2 2 2 2 11 10 3" xfId="15627" xr:uid="{00000000-0005-0000-0000-000033400000}"/>
    <cellStyle name="Normal 2 2 2 2 2 11 10 3 2" xfId="15628" xr:uid="{00000000-0005-0000-0000-000034400000}"/>
    <cellStyle name="Normal 2 2 2 2 2 11 10 3 3" xfId="15629" xr:uid="{00000000-0005-0000-0000-000035400000}"/>
    <cellStyle name="Normal 2 2 2 2 2 11 10 3 4" xfId="15630" xr:uid="{00000000-0005-0000-0000-000036400000}"/>
    <cellStyle name="Normal 2 2 2 2 2 11 10 3 5" xfId="15631" xr:uid="{00000000-0005-0000-0000-000037400000}"/>
    <cellStyle name="Normal 2 2 2 2 2 11 10 3 6" xfId="15632" xr:uid="{00000000-0005-0000-0000-000038400000}"/>
    <cellStyle name="Normal 2 2 2 2 2 11 10 4" xfId="15633" xr:uid="{00000000-0005-0000-0000-000039400000}"/>
    <cellStyle name="Normal 2 2 2 2 2 11 10 4 2" xfId="15634" xr:uid="{00000000-0005-0000-0000-00003A400000}"/>
    <cellStyle name="Normal 2 2 2 2 2 11 10 4 3" xfId="15635" xr:uid="{00000000-0005-0000-0000-00003B400000}"/>
    <cellStyle name="Normal 2 2 2 2 2 11 10 4 4" xfId="15636" xr:uid="{00000000-0005-0000-0000-00003C400000}"/>
    <cellStyle name="Normal 2 2 2 2 2 11 10 4 5" xfId="15637" xr:uid="{00000000-0005-0000-0000-00003D400000}"/>
    <cellStyle name="Normal 2 2 2 2 2 11 10 4 6" xfId="15638" xr:uid="{00000000-0005-0000-0000-00003E400000}"/>
    <cellStyle name="Normal 2 2 2 2 2 11 10 5" xfId="15639" xr:uid="{00000000-0005-0000-0000-00003F400000}"/>
    <cellStyle name="Normal 2 2 2 2 2 11 10 5 2" xfId="15640" xr:uid="{00000000-0005-0000-0000-000040400000}"/>
    <cellStyle name="Normal 2 2 2 2 2 11 10 5 3" xfId="15641" xr:uid="{00000000-0005-0000-0000-000041400000}"/>
    <cellStyle name="Normal 2 2 2 2 2 11 10 5 4" xfId="15642" xr:uid="{00000000-0005-0000-0000-000042400000}"/>
    <cellStyle name="Normal 2 2 2 2 2 11 10 5 5" xfId="15643" xr:uid="{00000000-0005-0000-0000-000043400000}"/>
    <cellStyle name="Normal 2 2 2 2 2 11 10 5 6" xfId="15644" xr:uid="{00000000-0005-0000-0000-000044400000}"/>
    <cellStyle name="Normal 2 2 2 2 2 11 10 6" xfId="15645" xr:uid="{00000000-0005-0000-0000-000045400000}"/>
    <cellStyle name="Normal 2 2 2 2 2 11 10 6 2" xfId="15646" xr:uid="{00000000-0005-0000-0000-000046400000}"/>
    <cellStyle name="Normal 2 2 2 2 2 11 10 6 3" xfId="15647" xr:uid="{00000000-0005-0000-0000-000047400000}"/>
    <cellStyle name="Normal 2 2 2 2 2 11 10 6 4" xfId="15648" xr:uid="{00000000-0005-0000-0000-000048400000}"/>
    <cellStyle name="Normal 2 2 2 2 2 11 10 6 5" xfId="15649" xr:uid="{00000000-0005-0000-0000-000049400000}"/>
    <cellStyle name="Normal 2 2 2 2 2 11 10 6 6" xfId="15650" xr:uid="{00000000-0005-0000-0000-00004A400000}"/>
    <cellStyle name="Normal 2 2 2 2 2 11 10 7" xfId="15651" xr:uid="{00000000-0005-0000-0000-00004B400000}"/>
    <cellStyle name="Normal 2 2 2 2 2 11 10 7 2" xfId="15652" xr:uid="{00000000-0005-0000-0000-00004C400000}"/>
    <cellStyle name="Normal 2 2 2 2 2 11 10 7 3" xfId="15653" xr:uid="{00000000-0005-0000-0000-00004D400000}"/>
    <cellStyle name="Normal 2 2 2 2 2 11 10 7 4" xfId="15654" xr:uid="{00000000-0005-0000-0000-00004E400000}"/>
    <cellStyle name="Normal 2 2 2 2 2 11 10 7 5" xfId="15655" xr:uid="{00000000-0005-0000-0000-00004F400000}"/>
    <cellStyle name="Normal 2 2 2 2 2 11 10 7 6" xfId="15656" xr:uid="{00000000-0005-0000-0000-000050400000}"/>
    <cellStyle name="Normal 2 2 2 2 2 11 10 8" xfId="15657" xr:uid="{00000000-0005-0000-0000-000051400000}"/>
    <cellStyle name="Normal 2 2 2 2 2 11 10 8 2" xfId="15658" xr:uid="{00000000-0005-0000-0000-000052400000}"/>
    <cellStyle name="Normal 2 2 2 2 2 11 10 8 3" xfId="15659" xr:uid="{00000000-0005-0000-0000-000053400000}"/>
    <cellStyle name="Normal 2 2 2 2 2 11 10 8 4" xfId="15660" xr:uid="{00000000-0005-0000-0000-000054400000}"/>
    <cellStyle name="Normal 2 2 2 2 2 11 10 8 5" xfId="15661" xr:uid="{00000000-0005-0000-0000-000055400000}"/>
    <cellStyle name="Normal 2 2 2 2 2 11 10 8 6" xfId="15662" xr:uid="{00000000-0005-0000-0000-000056400000}"/>
    <cellStyle name="Normal 2 2 2 2 2 11 10 9" xfId="15663" xr:uid="{00000000-0005-0000-0000-000057400000}"/>
    <cellStyle name="Normal 2 2 2 2 2 11 11" xfId="15664" xr:uid="{00000000-0005-0000-0000-000058400000}"/>
    <cellStyle name="Normal 2 2 2 2 2 11 11 10" xfId="15665" xr:uid="{00000000-0005-0000-0000-000059400000}"/>
    <cellStyle name="Normal 2 2 2 2 2 11 11 11" xfId="15666" xr:uid="{00000000-0005-0000-0000-00005A400000}"/>
    <cellStyle name="Normal 2 2 2 2 2 11 11 12" xfId="15667" xr:uid="{00000000-0005-0000-0000-00005B400000}"/>
    <cellStyle name="Normal 2 2 2 2 2 11 11 13" xfId="15668" xr:uid="{00000000-0005-0000-0000-00005C400000}"/>
    <cellStyle name="Normal 2 2 2 2 2 11 11 2" xfId="15669" xr:uid="{00000000-0005-0000-0000-00005D400000}"/>
    <cellStyle name="Normal 2 2 2 2 2 11 11 2 2" xfId="15670" xr:uid="{00000000-0005-0000-0000-00005E400000}"/>
    <cellStyle name="Normal 2 2 2 2 2 11 11 2 3" xfId="15671" xr:uid="{00000000-0005-0000-0000-00005F400000}"/>
    <cellStyle name="Normal 2 2 2 2 2 11 11 2 4" xfId="15672" xr:uid="{00000000-0005-0000-0000-000060400000}"/>
    <cellStyle name="Normal 2 2 2 2 2 11 11 2 5" xfId="15673" xr:uid="{00000000-0005-0000-0000-000061400000}"/>
    <cellStyle name="Normal 2 2 2 2 2 11 11 2 6" xfId="15674" xr:uid="{00000000-0005-0000-0000-000062400000}"/>
    <cellStyle name="Normal 2 2 2 2 2 11 11 3" xfId="15675" xr:uid="{00000000-0005-0000-0000-000063400000}"/>
    <cellStyle name="Normal 2 2 2 2 2 11 11 3 2" xfId="15676" xr:uid="{00000000-0005-0000-0000-000064400000}"/>
    <cellStyle name="Normal 2 2 2 2 2 11 11 3 3" xfId="15677" xr:uid="{00000000-0005-0000-0000-000065400000}"/>
    <cellStyle name="Normal 2 2 2 2 2 11 11 3 4" xfId="15678" xr:uid="{00000000-0005-0000-0000-000066400000}"/>
    <cellStyle name="Normal 2 2 2 2 2 11 11 3 5" xfId="15679" xr:uid="{00000000-0005-0000-0000-000067400000}"/>
    <cellStyle name="Normal 2 2 2 2 2 11 11 3 6" xfId="15680" xr:uid="{00000000-0005-0000-0000-000068400000}"/>
    <cellStyle name="Normal 2 2 2 2 2 11 11 4" xfId="15681" xr:uid="{00000000-0005-0000-0000-000069400000}"/>
    <cellStyle name="Normal 2 2 2 2 2 11 11 4 2" xfId="15682" xr:uid="{00000000-0005-0000-0000-00006A400000}"/>
    <cellStyle name="Normal 2 2 2 2 2 11 11 4 3" xfId="15683" xr:uid="{00000000-0005-0000-0000-00006B400000}"/>
    <cellStyle name="Normal 2 2 2 2 2 11 11 4 4" xfId="15684" xr:uid="{00000000-0005-0000-0000-00006C400000}"/>
    <cellStyle name="Normal 2 2 2 2 2 11 11 4 5" xfId="15685" xr:uid="{00000000-0005-0000-0000-00006D400000}"/>
    <cellStyle name="Normal 2 2 2 2 2 11 11 4 6" xfId="15686" xr:uid="{00000000-0005-0000-0000-00006E400000}"/>
    <cellStyle name="Normal 2 2 2 2 2 11 11 5" xfId="15687" xr:uid="{00000000-0005-0000-0000-00006F400000}"/>
    <cellStyle name="Normal 2 2 2 2 2 11 11 5 2" xfId="15688" xr:uid="{00000000-0005-0000-0000-000070400000}"/>
    <cellStyle name="Normal 2 2 2 2 2 11 11 5 3" xfId="15689" xr:uid="{00000000-0005-0000-0000-000071400000}"/>
    <cellStyle name="Normal 2 2 2 2 2 11 11 5 4" xfId="15690" xr:uid="{00000000-0005-0000-0000-000072400000}"/>
    <cellStyle name="Normal 2 2 2 2 2 11 11 5 5" xfId="15691" xr:uid="{00000000-0005-0000-0000-000073400000}"/>
    <cellStyle name="Normal 2 2 2 2 2 11 11 5 6" xfId="15692" xr:uid="{00000000-0005-0000-0000-000074400000}"/>
    <cellStyle name="Normal 2 2 2 2 2 11 11 6" xfId="15693" xr:uid="{00000000-0005-0000-0000-000075400000}"/>
    <cellStyle name="Normal 2 2 2 2 2 11 11 6 2" xfId="15694" xr:uid="{00000000-0005-0000-0000-000076400000}"/>
    <cellStyle name="Normal 2 2 2 2 2 11 11 6 3" xfId="15695" xr:uid="{00000000-0005-0000-0000-000077400000}"/>
    <cellStyle name="Normal 2 2 2 2 2 11 11 6 4" xfId="15696" xr:uid="{00000000-0005-0000-0000-000078400000}"/>
    <cellStyle name="Normal 2 2 2 2 2 11 11 6 5" xfId="15697" xr:uid="{00000000-0005-0000-0000-000079400000}"/>
    <cellStyle name="Normal 2 2 2 2 2 11 11 6 6" xfId="15698" xr:uid="{00000000-0005-0000-0000-00007A400000}"/>
    <cellStyle name="Normal 2 2 2 2 2 11 11 7" xfId="15699" xr:uid="{00000000-0005-0000-0000-00007B400000}"/>
    <cellStyle name="Normal 2 2 2 2 2 11 11 7 2" xfId="15700" xr:uid="{00000000-0005-0000-0000-00007C400000}"/>
    <cellStyle name="Normal 2 2 2 2 2 11 11 7 3" xfId="15701" xr:uid="{00000000-0005-0000-0000-00007D400000}"/>
    <cellStyle name="Normal 2 2 2 2 2 11 11 7 4" xfId="15702" xr:uid="{00000000-0005-0000-0000-00007E400000}"/>
    <cellStyle name="Normal 2 2 2 2 2 11 11 7 5" xfId="15703" xr:uid="{00000000-0005-0000-0000-00007F400000}"/>
    <cellStyle name="Normal 2 2 2 2 2 11 11 7 6" xfId="15704" xr:uid="{00000000-0005-0000-0000-000080400000}"/>
    <cellStyle name="Normal 2 2 2 2 2 11 11 8" xfId="15705" xr:uid="{00000000-0005-0000-0000-000081400000}"/>
    <cellStyle name="Normal 2 2 2 2 2 11 11 8 2" xfId="15706" xr:uid="{00000000-0005-0000-0000-000082400000}"/>
    <cellStyle name="Normal 2 2 2 2 2 11 11 8 3" xfId="15707" xr:uid="{00000000-0005-0000-0000-000083400000}"/>
    <cellStyle name="Normal 2 2 2 2 2 11 11 8 4" xfId="15708" xr:uid="{00000000-0005-0000-0000-000084400000}"/>
    <cellStyle name="Normal 2 2 2 2 2 11 11 8 5" xfId="15709" xr:uid="{00000000-0005-0000-0000-000085400000}"/>
    <cellStyle name="Normal 2 2 2 2 2 11 11 8 6" xfId="15710" xr:uid="{00000000-0005-0000-0000-000086400000}"/>
    <cellStyle name="Normal 2 2 2 2 2 11 11 9" xfId="15711" xr:uid="{00000000-0005-0000-0000-000087400000}"/>
    <cellStyle name="Normal 2 2 2 2 2 11 2" xfId="15712" xr:uid="{00000000-0005-0000-0000-000088400000}"/>
    <cellStyle name="Normal 2 2 2 2 2 11 2 10" xfId="15713" xr:uid="{00000000-0005-0000-0000-000089400000}"/>
    <cellStyle name="Normal 2 2 2 2 2 11 2 11" xfId="15714" xr:uid="{00000000-0005-0000-0000-00008A400000}"/>
    <cellStyle name="Normal 2 2 2 2 2 11 2 12" xfId="15715" xr:uid="{00000000-0005-0000-0000-00008B400000}"/>
    <cellStyle name="Normal 2 2 2 2 2 11 2 13" xfId="15716" xr:uid="{00000000-0005-0000-0000-00008C400000}"/>
    <cellStyle name="Normal 2 2 2 2 2 11 2 2" xfId="15717" xr:uid="{00000000-0005-0000-0000-00008D400000}"/>
    <cellStyle name="Normal 2 2 2 2 2 11 2 2 2" xfId="15718" xr:uid="{00000000-0005-0000-0000-00008E400000}"/>
    <cellStyle name="Normal 2 2 2 2 2 11 2 2 3" xfId="15719" xr:uid="{00000000-0005-0000-0000-00008F400000}"/>
    <cellStyle name="Normal 2 2 2 2 2 11 2 2 4" xfId="15720" xr:uid="{00000000-0005-0000-0000-000090400000}"/>
    <cellStyle name="Normal 2 2 2 2 2 11 2 2 5" xfId="15721" xr:uid="{00000000-0005-0000-0000-000091400000}"/>
    <cellStyle name="Normal 2 2 2 2 2 11 2 2 6" xfId="15722" xr:uid="{00000000-0005-0000-0000-000092400000}"/>
    <cellStyle name="Normal 2 2 2 2 2 11 2 3" xfId="15723" xr:uid="{00000000-0005-0000-0000-000093400000}"/>
    <cellStyle name="Normal 2 2 2 2 2 11 2 3 2" xfId="15724" xr:uid="{00000000-0005-0000-0000-000094400000}"/>
    <cellStyle name="Normal 2 2 2 2 2 11 2 3 3" xfId="15725" xr:uid="{00000000-0005-0000-0000-000095400000}"/>
    <cellStyle name="Normal 2 2 2 2 2 11 2 3 4" xfId="15726" xr:uid="{00000000-0005-0000-0000-000096400000}"/>
    <cellStyle name="Normal 2 2 2 2 2 11 2 3 5" xfId="15727" xr:uid="{00000000-0005-0000-0000-000097400000}"/>
    <cellStyle name="Normal 2 2 2 2 2 11 2 3 6" xfId="15728" xr:uid="{00000000-0005-0000-0000-000098400000}"/>
    <cellStyle name="Normal 2 2 2 2 2 11 2 4" xfId="15729" xr:uid="{00000000-0005-0000-0000-000099400000}"/>
    <cellStyle name="Normal 2 2 2 2 2 11 2 4 2" xfId="15730" xr:uid="{00000000-0005-0000-0000-00009A400000}"/>
    <cellStyle name="Normal 2 2 2 2 2 11 2 4 3" xfId="15731" xr:uid="{00000000-0005-0000-0000-00009B400000}"/>
    <cellStyle name="Normal 2 2 2 2 2 11 2 4 4" xfId="15732" xr:uid="{00000000-0005-0000-0000-00009C400000}"/>
    <cellStyle name="Normal 2 2 2 2 2 11 2 4 5" xfId="15733" xr:uid="{00000000-0005-0000-0000-00009D400000}"/>
    <cellStyle name="Normal 2 2 2 2 2 11 2 4 6" xfId="15734" xr:uid="{00000000-0005-0000-0000-00009E400000}"/>
    <cellStyle name="Normal 2 2 2 2 2 11 2 5" xfId="15735" xr:uid="{00000000-0005-0000-0000-00009F400000}"/>
    <cellStyle name="Normal 2 2 2 2 2 11 2 5 2" xfId="15736" xr:uid="{00000000-0005-0000-0000-0000A0400000}"/>
    <cellStyle name="Normal 2 2 2 2 2 11 2 5 3" xfId="15737" xr:uid="{00000000-0005-0000-0000-0000A1400000}"/>
    <cellStyle name="Normal 2 2 2 2 2 11 2 5 4" xfId="15738" xr:uid="{00000000-0005-0000-0000-0000A2400000}"/>
    <cellStyle name="Normal 2 2 2 2 2 11 2 5 5" xfId="15739" xr:uid="{00000000-0005-0000-0000-0000A3400000}"/>
    <cellStyle name="Normal 2 2 2 2 2 11 2 5 6" xfId="15740" xr:uid="{00000000-0005-0000-0000-0000A4400000}"/>
    <cellStyle name="Normal 2 2 2 2 2 11 2 6" xfId="15741" xr:uid="{00000000-0005-0000-0000-0000A5400000}"/>
    <cellStyle name="Normal 2 2 2 2 2 11 2 6 2" xfId="15742" xr:uid="{00000000-0005-0000-0000-0000A6400000}"/>
    <cellStyle name="Normal 2 2 2 2 2 11 2 6 3" xfId="15743" xr:uid="{00000000-0005-0000-0000-0000A7400000}"/>
    <cellStyle name="Normal 2 2 2 2 2 11 2 6 4" xfId="15744" xr:uid="{00000000-0005-0000-0000-0000A8400000}"/>
    <cellStyle name="Normal 2 2 2 2 2 11 2 6 5" xfId="15745" xr:uid="{00000000-0005-0000-0000-0000A9400000}"/>
    <cellStyle name="Normal 2 2 2 2 2 11 2 6 6" xfId="15746" xr:uid="{00000000-0005-0000-0000-0000AA400000}"/>
    <cellStyle name="Normal 2 2 2 2 2 11 2 7" xfId="15747" xr:uid="{00000000-0005-0000-0000-0000AB400000}"/>
    <cellStyle name="Normal 2 2 2 2 2 11 2 7 2" xfId="15748" xr:uid="{00000000-0005-0000-0000-0000AC400000}"/>
    <cellStyle name="Normal 2 2 2 2 2 11 2 7 3" xfId="15749" xr:uid="{00000000-0005-0000-0000-0000AD400000}"/>
    <cellStyle name="Normal 2 2 2 2 2 11 2 7 4" xfId="15750" xr:uid="{00000000-0005-0000-0000-0000AE400000}"/>
    <cellStyle name="Normal 2 2 2 2 2 11 2 7 5" xfId="15751" xr:uid="{00000000-0005-0000-0000-0000AF400000}"/>
    <cellStyle name="Normal 2 2 2 2 2 11 2 7 6" xfId="15752" xr:uid="{00000000-0005-0000-0000-0000B0400000}"/>
    <cellStyle name="Normal 2 2 2 2 2 11 2 8" xfId="15753" xr:uid="{00000000-0005-0000-0000-0000B1400000}"/>
    <cellStyle name="Normal 2 2 2 2 2 11 2 8 2" xfId="15754" xr:uid="{00000000-0005-0000-0000-0000B2400000}"/>
    <cellStyle name="Normal 2 2 2 2 2 11 2 8 3" xfId="15755" xr:uid="{00000000-0005-0000-0000-0000B3400000}"/>
    <cellStyle name="Normal 2 2 2 2 2 11 2 8 4" xfId="15756" xr:uid="{00000000-0005-0000-0000-0000B4400000}"/>
    <cellStyle name="Normal 2 2 2 2 2 11 2 8 5" xfId="15757" xr:uid="{00000000-0005-0000-0000-0000B5400000}"/>
    <cellStyle name="Normal 2 2 2 2 2 11 2 8 6" xfId="15758" xr:uid="{00000000-0005-0000-0000-0000B6400000}"/>
    <cellStyle name="Normal 2 2 2 2 2 11 2 9" xfId="15759" xr:uid="{00000000-0005-0000-0000-0000B7400000}"/>
    <cellStyle name="Normal 2 2 2 2 2 11 3" xfId="15760" xr:uid="{00000000-0005-0000-0000-0000B8400000}"/>
    <cellStyle name="Normal 2 2 2 2 2 11 3 10" xfId="15761" xr:uid="{00000000-0005-0000-0000-0000B9400000}"/>
    <cellStyle name="Normal 2 2 2 2 2 11 3 11" xfId="15762" xr:uid="{00000000-0005-0000-0000-0000BA400000}"/>
    <cellStyle name="Normal 2 2 2 2 2 11 3 12" xfId="15763" xr:uid="{00000000-0005-0000-0000-0000BB400000}"/>
    <cellStyle name="Normal 2 2 2 2 2 11 3 13" xfId="15764" xr:uid="{00000000-0005-0000-0000-0000BC400000}"/>
    <cellStyle name="Normal 2 2 2 2 2 11 3 2" xfId="15765" xr:uid="{00000000-0005-0000-0000-0000BD400000}"/>
    <cellStyle name="Normal 2 2 2 2 2 11 3 2 2" xfId="15766" xr:uid="{00000000-0005-0000-0000-0000BE400000}"/>
    <cellStyle name="Normal 2 2 2 2 2 11 3 2 3" xfId="15767" xr:uid="{00000000-0005-0000-0000-0000BF400000}"/>
    <cellStyle name="Normal 2 2 2 2 2 11 3 2 4" xfId="15768" xr:uid="{00000000-0005-0000-0000-0000C0400000}"/>
    <cellStyle name="Normal 2 2 2 2 2 11 3 2 5" xfId="15769" xr:uid="{00000000-0005-0000-0000-0000C1400000}"/>
    <cellStyle name="Normal 2 2 2 2 2 11 3 2 6" xfId="15770" xr:uid="{00000000-0005-0000-0000-0000C2400000}"/>
    <cellStyle name="Normal 2 2 2 2 2 11 3 3" xfId="15771" xr:uid="{00000000-0005-0000-0000-0000C3400000}"/>
    <cellStyle name="Normal 2 2 2 2 2 11 3 3 2" xfId="15772" xr:uid="{00000000-0005-0000-0000-0000C4400000}"/>
    <cellStyle name="Normal 2 2 2 2 2 11 3 3 3" xfId="15773" xr:uid="{00000000-0005-0000-0000-0000C5400000}"/>
    <cellStyle name="Normal 2 2 2 2 2 11 3 3 4" xfId="15774" xr:uid="{00000000-0005-0000-0000-0000C6400000}"/>
    <cellStyle name="Normal 2 2 2 2 2 11 3 3 5" xfId="15775" xr:uid="{00000000-0005-0000-0000-0000C7400000}"/>
    <cellStyle name="Normal 2 2 2 2 2 11 3 3 6" xfId="15776" xr:uid="{00000000-0005-0000-0000-0000C8400000}"/>
    <cellStyle name="Normal 2 2 2 2 2 11 3 4" xfId="15777" xr:uid="{00000000-0005-0000-0000-0000C9400000}"/>
    <cellStyle name="Normal 2 2 2 2 2 11 3 4 2" xfId="15778" xr:uid="{00000000-0005-0000-0000-0000CA400000}"/>
    <cellStyle name="Normal 2 2 2 2 2 11 3 4 3" xfId="15779" xr:uid="{00000000-0005-0000-0000-0000CB400000}"/>
    <cellStyle name="Normal 2 2 2 2 2 11 3 4 4" xfId="15780" xr:uid="{00000000-0005-0000-0000-0000CC400000}"/>
    <cellStyle name="Normal 2 2 2 2 2 11 3 4 5" xfId="15781" xr:uid="{00000000-0005-0000-0000-0000CD400000}"/>
    <cellStyle name="Normal 2 2 2 2 2 11 3 4 6" xfId="15782" xr:uid="{00000000-0005-0000-0000-0000CE400000}"/>
    <cellStyle name="Normal 2 2 2 2 2 11 3 5" xfId="15783" xr:uid="{00000000-0005-0000-0000-0000CF400000}"/>
    <cellStyle name="Normal 2 2 2 2 2 11 3 5 2" xfId="15784" xr:uid="{00000000-0005-0000-0000-0000D0400000}"/>
    <cellStyle name="Normal 2 2 2 2 2 11 3 5 3" xfId="15785" xr:uid="{00000000-0005-0000-0000-0000D1400000}"/>
    <cellStyle name="Normal 2 2 2 2 2 11 3 5 4" xfId="15786" xr:uid="{00000000-0005-0000-0000-0000D2400000}"/>
    <cellStyle name="Normal 2 2 2 2 2 11 3 5 5" xfId="15787" xr:uid="{00000000-0005-0000-0000-0000D3400000}"/>
    <cellStyle name="Normal 2 2 2 2 2 11 3 5 6" xfId="15788" xr:uid="{00000000-0005-0000-0000-0000D4400000}"/>
    <cellStyle name="Normal 2 2 2 2 2 11 3 6" xfId="15789" xr:uid="{00000000-0005-0000-0000-0000D5400000}"/>
    <cellStyle name="Normal 2 2 2 2 2 11 3 6 2" xfId="15790" xr:uid="{00000000-0005-0000-0000-0000D6400000}"/>
    <cellStyle name="Normal 2 2 2 2 2 11 3 6 3" xfId="15791" xr:uid="{00000000-0005-0000-0000-0000D7400000}"/>
    <cellStyle name="Normal 2 2 2 2 2 11 3 6 4" xfId="15792" xr:uid="{00000000-0005-0000-0000-0000D8400000}"/>
    <cellStyle name="Normal 2 2 2 2 2 11 3 6 5" xfId="15793" xr:uid="{00000000-0005-0000-0000-0000D9400000}"/>
    <cellStyle name="Normal 2 2 2 2 2 11 3 6 6" xfId="15794" xr:uid="{00000000-0005-0000-0000-0000DA400000}"/>
    <cellStyle name="Normal 2 2 2 2 2 11 3 7" xfId="15795" xr:uid="{00000000-0005-0000-0000-0000DB400000}"/>
    <cellStyle name="Normal 2 2 2 2 2 11 3 7 2" xfId="15796" xr:uid="{00000000-0005-0000-0000-0000DC400000}"/>
    <cellStyle name="Normal 2 2 2 2 2 11 3 7 3" xfId="15797" xr:uid="{00000000-0005-0000-0000-0000DD400000}"/>
    <cellStyle name="Normal 2 2 2 2 2 11 3 7 4" xfId="15798" xr:uid="{00000000-0005-0000-0000-0000DE400000}"/>
    <cellStyle name="Normal 2 2 2 2 2 11 3 7 5" xfId="15799" xr:uid="{00000000-0005-0000-0000-0000DF400000}"/>
    <cellStyle name="Normal 2 2 2 2 2 11 3 7 6" xfId="15800" xr:uid="{00000000-0005-0000-0000-0000E0400000}"/>
    <cellStyle name="Normal 2 2 2 2 2 11 3 8" xfId="15801" xr:uid="{00000000-0005-0000-0000-0000E1400000}"/>
    <cellStyle name="Normal 2 2 2 2 2 11 3 8 2" xfId="15802" xr:uid="{00000000-0005-0000-0000-0000E2400000}"/>
    <cellStyle name="Normal 2 2 2 2 2 11 3 8 3" xfId="15803" xr:uid="{00000000-0005-0000-0000-0000E3400000}"/>
    <cellStyle name="Normal 2 2 2 2 2 11 3 8 4" xfId="15804" xr:uid="{00000000-0005-0000-0000-0000E4400000}"/>
    <cellStyle name="Normal 2 2 2 2 2 11 3 8 5" xfId="15805" xr:uid="{00000000-0005-0000-0000-0000E5400000}"/>
    <cellStyle name="Normal 2 2 2 2 2 11 3 8 6" xfId="15806" xr:uid="{00000000-0005-0000-0000-0000E6400000}"/>
    <cellStyle name="Normal 2 2 2 2 2 11 3 9" xfId="15807" xr:uid="{00000000-0005-0000-0000-0000E7400000}"/>
    <cellStyle name="Normal 2 2 2 2 2 11 4" xfId="15808" xr:uid="{00000000-0005-0000-0000-0000E8400000}"/>
    <cellStyle name="Normal 2 2 2 2 2 11 4 10" xfId="15809" xr:uid="{00000000-0005-0000-0000-0000E9400000}"/>
    <cellStyle name="Normal 2 2 2 2 2 11 4 11" xfId="15810" xr:uid="{00000000-0005-0000-0000-0000EA400000}"/>
    <cellStyle name="Normal 2 2 2 2 2 11 4 12" xfId="15811" xr:uid="{00000000-0005-0000-0000-0000EB400000}"/>
    <cellStyle name="Normal 2 2 2 2 2 11 4 13" xfId="15812" xr:uid="{00000000-0005-0000-0000-0000EC400000}"/>
    <cellStyle name="Normal 2 2 2 2 2 11 4 2" xfId="15813" xr:uid="{00000000-0005-0000-0000-0000ED400000}"/>
    <cellStyle name="Normal 2 2 2 2 2 11 4 2 2" xfId="15814" xr:uid="{00000000-0005-0000-0000-0000EE400000}"/>
    <cellStyle name="Normal 2 2 2 2 2 11 4 2 3" xfId="15815" xr:uid="{00000000-0005-0000-0000-0000EF400000}"/>
    <cellStyle name="Normal 2 2 2 2 2 11 4 2 4" xfId="15816" xr:uid="{00000000-0005-0000-0000-0000F0400000}"/>
    <cellStyle name="Normal 2 2 2 2 2 11 4 2 5" xfId="15817" xr:uid="{00000000-0005-0000-0000-0000F1400000}"/>
    <cellStyle name="Normal 2 2 2 2 2 11 4 2 6" xfId="15818" xr:uid="{00000000-0005-0000-0000-0000F2400000}"/>
    <cellStyle name="Normal 2 2 2 2 2 11 4 3" xfId="15819" xr:uid="{00000000-0005-0000-0000-0000F3400000}"/>
    <cellStyle name="Normal 2 2 2 2 2 11 4 3 2" xfId="15820" xr:uid="{00000000-0005-0000-0000-0000F4400000}"/>
    <cellStyle name="Normal 2 2 2 2 2 11 4 3 3" xfId="15821" xr:uid="{00000000-0005-0000-0000-0000F5400000}"/>
    <cellStyle name="Normal 2 2 2 2 2 11 4 3 4" xfId="15822" xr:uid="{00000000-0005-0000-0000-0000F6400000}"/>
    <cellStyle name="Normal 2 2 2 2 2 11 4 3 5" xfId="15823" xr:uid="{00000000-0005-0000-0000-0000F7400000}"/>
    <cellStyle name="Normal 2 2 2 2 2 11 4 3 6" xfId="15824" xr:uid="{00000000-0005-0000-0000-0000F8400000}"/>
    <cellStyle name="Normal 2 2 2 2 2 11 4 4" xfId="15825" xr:uid="{00000000-0005-0000-0000-0000F9400000}"/>
    <cellStyle name="Normal 2 2 2 2 2 11 4 4 2" xfId="15826" xr:uid="{00000000-0005-0000-0000-0000FA400000}"/>
    <cellStyle name="Normal 2 2 2 2 2 11 4 4 3" xfId="15827" xr:uid="{00000000-0005-0000-0000-0000FB400000}"/>
    <cellStyle name="Normal 2 2 2 2 2 11 4 4 4" xfId="15828" xr:uid="{00000000-0005-0000-0000-0000FC400000}"/>
    <cellStyle name="Normal 2 2 2 2 2 11 4 4 5" xfId="15829" xr:uid="{00000000-0005-0000-0000-0000FD400000}"/>
    <cellStyle name="Normal 2 2 2 2 2 11 4 4 6" xfId="15830" xr:uid="{00000000-0005-0000-0000-0000FE400000}"/>
    <cellStyle name="Normal 2 2 2 2 2 11 4 5" xfId="15831" xr:uid="{00000000-0005-0000-0000-0000FF400000}"/>
    <cellStyle name="Normal 2 2 2 2 2 11 4 5 2" xfId="15832" xr:uid="{00000000-0005-0000-0000-000000410000}"/>
    <cellStyle name="Normal 2 2 2 2 2 11 4 5 3" xfId="15833" xr:uid="{00000000-0005-0000-0000-000001410000}"/>
    <cellStyle name="Normal 2 2 2 2 2 11 4 5 4" xfId="15834" xr:uid="{00000000-0005-0000-0000-000002410000}"/>
    <cellStyle name="Normal 2 2 2 2 2 11 4 5 5" xfId="15835" xr:uid="{00000000-0005-0000-0000-000003410000}"/>
    <cellStyle name="Normal 2 2 2 2 2 11 4 5 6" xfId="15836" xr:uid="{00000000-0005-0000-0000-000004410000}"/>
    <cellStyle name="Normal 2 2 2 2 2 11 4 6" xfId="15837" xr:uid="{00000000-0005-0000-0000-000005410000}"/>
    <cellStyle name="Normal 2 2 2 2 2 11 4 6 2" xfId="15838" xr:uid="{00000000-0005-0000-0000-000006410000}"/>
    <cellStyle name="Normal 2 2 2 2 2 11 4 6 3" xfId="15839" xr:uid="{00000000-0005-0000-0000-000007410000}"/>
    <cellStyle name="Normal 2 2 2 2 2 11 4 6 4" xfId="15840" xr:uid="{00000000-0005-0000-0000-000008410000}"/>
    <cellStyle name="Normal 2 2 2 2 2 11 4 6 5" xfId="15841" xr:uid="{00000000-0005-0000-0000-000009410000}"/>
    <cellStyle name="Normal 2 2 2 2 2 11 4 6 6" xfId="15842" xr:uid="{00000000-0005-0000-0000-00000A410000}"/>
    <cellStyle name="Normal 2 2 2 2 2 11 4 7" xfId="15843" xr:uid="{00000000-0005-0000-0000-00000B410000}"/>
    <cellStyle name="Normal 2 2 2 2 2 11 4 7 2" xfId="15844" xr:uid="{00000000-0005-0000-0000-00000C410000}"/>
    <cellStyle name="Normal 2 2 2 2 2 11 4 7 3" xfId="15845" xr:uid="{00000000-0005-0000-0000-00000D410000}"/>
    <cellStyle name="Normal 2 2 2 2 2 11 4 7 4" xfId="15846" xr:uid="{00000000-0005-0000-0000-00000E410000}"/>
    <cellStyle name="Normal 2 2 2 2 2 11 4 7 5" xfId="15847" xr:uid="{00000000-0005-0000-0000-00000F410000}"/>
    <cellStyle name="Normal 2 2 2 2 2 11 4 7 6" xfId="15848" xr:uid="{00000000-0005-0000-0000-000010410000}"/>
    <cellStyle name="Normal 2 2 2 2 2 11 4 8" xfId="15849" xr:uid="{00000000-0005-0000-0000-000011410000}"/>
    <cellStyle name="Normal 2 2 2 2 2 11 4 8 2" xfId="15850" xr:uid="{00000000-0005-0000-0000-000012410000}"/>
    <cellStyle name="Normal 2 2 2 2 2 11 4 8 3" xfId="15851" xr:uid="{00000000-0005-0000-0000-000013410000}"/>
    <cellStyle name="Normal 2 2 2 2 2 11 4 8 4" xfId="15852" xr:uid="{00000000-0005-0000-0000-000014410000}"/>
    <cellStyle name="Normal 2 2 2 2 2 11 4 8 5" xfId="15853" xr:uid="{00000000-0005-0000-0000-000015410000}"/>
    <cellStyle name="Normal 2 2 2 2 2 11 4 8 6" xfId="15854" xr:uid="{00000000-0005-0000-0000-000016410000}"/>
    <cellStyle name="Normal 2 2 2 2 2 11 4 9" xfId="15855" xr:uid="{00000000-0005-0000-0000-000017410000}"/>
    <cellStyle name="Normal 2 2 2 2 2 11 5" xfId="15856" xr:uid="{00000000-0005-0000-0000-000018410000}"/>
    <cellStyle name="Normal 2 2 2 2 2 11 5 10" xfId="15857" xr:uid="{00000000-0005-0000-0000-000019410000}"/>
    <cellStyle name="Normal 2 2 2 2 2 11 5 11" xfId="15858" xr:uid="{00000000-0005-0000-0000-00001A410000}"/>
    <cellStyle name="Normal 2 2 2 2 2 11 5 12" xfId="15859" xr:uid="{00000000-0005-0000-0000-00001B410000}"/>
    <cellStyle name="Normal 2 2 2 2 2 11 5 13" xfId="15860" xr:uid="{00000000-0005-0000-0000-00001C410000}"/>
    <cellStyle name="Normal 2 2 2 2 2 11 5 2" xfId="15861" xr:uid="{00000000-0005-0000-0000-00001D410000}"/>
    <cellStyle name="Normal 2 2 2 2 2 11 5 2 2" xfId="15862" xr:uid="{00000000-0005-0000-0000-00001E410000}"/>
    <cellStyle name="Normal 2 2 2 2 2 11 5 2 3" xfId="15863" xr:uid="{00000000-0005-0000-0000-00001F410000}"/>
    <cellStyle name="Normal 2 2 2 2 2 11 5 2 4" xfId="15864" xr:uid="{00000000-0005-0000-0000-000020410000}"/>
    <cellStyle name="Normal 2 2 2 2 2 11 5 2 5" xfId="15865" xr:uid="{00000000-0005-0000-0000-000021410000}"/>
    <cellStyle name="Normal 2 2 2 2 2 11 5 2 6" xfId="15866" xr:uid="{00000000-0005-0000-0000-000022410000}"/>
    <cellStyle name="Normal 2 2 2 2 2 11 5 3" xfId="15867" xr:uid="{00000000-0005-0000-0000-000023410000}"/>
    <cellStyle name="Normal 2 2 2 2 2 11 5 3 2" xfId="15868" xr:uid="{00000000-0005-0000-0000-000024410000}"/>
    <cellStyle name="Normal 2 2 2 2 2 11 5 3 3" xfId="15869" xr:uid="{00000000-0005-0000-0000-000025410000}"/>
    <cellStyle name="Normal 2 2 2 2 2 11 5 3 4" xfId="15870" xr:uid="{00000000-0005-0000-0000-000026410000}"/>
    <cellStyle name="Normal 2 2 2 2 2 11 5 3 5" xfId="15871" xr:uid="{00000000-0005-0000-0000-000027410000}"/>
    <cellStyle name="Normal 2 2 2 2 2 11 5 3 6" xfId="15872" xr:uid="{00000000-0005-0000-0000-000028410000}"/>
    <cellStyle name="Normal 2 2 2 2 2 11 5 4" xfId="15873" xr:uid="{00000000-0005-0000-0000-000029410000}"/>
    <cellStyle name="Normal 2 2 2 2 2 11 5 4 2" xfId="15874" xr:uid="{00000000-0005-0000-0000-00002A410000}"/>
    <cellStyle name="Normal 2 2 2 2 2 11 5 4 3" xfId="15875" xr:uid="{00000000-0005-0000-0000-00002B410000}"/>
    <cellStyle name="Normal 2 2 2 2 2 11 5 4 4" xfId="15876" xr:uid="{00000000-0005-0000-0000-00002C410000}"/>
    <cellStyle name="Normal 2 2 2 2 2 11 5 4 5" xfId="15877" xr:uid="{00000000-0005-0000-0000-00002D410000}"/>
    <cellStyle name="Normal 2 2 2 2 2 11 5 4 6" xfId="15878" xr:uid="{00000000-0005-0000-0000-00002E410000}"/>
    <cellStyle name="Normal 2 2 2 2 2 11 5 5" xfId="15879" xr:uid="{00000000-0005-0000-0000-00002F410000}"/>
    <cellStyle name="Normal 2 2 2 2 2 11 5 5 2" xfId="15880" xr:uid="{00000000-0005-0000-0000-000030410000}"/>
    <cellStyle name="Normal 2 2 2 2 2 11 5 5 3" xfId="15881" xr:uid="{00000000-0005-0000-0000-000031410000}"/>
    <cellStyle name="Normal 2 2 2 2 2 11 5 5 4" xfId="15882" xr:uid="{00000000-0005-0000-0000-000032410000}"/>
    <cellStyle name="Normal 2 2 2 2 2 11 5 5 5" xfId="15883" xr:uid="{00000000-0005-0000-0000-000033410000}"/>
    <cellStyle name="Normal 2 2 2 2 2 11 5 5 6" xfId="15884" xr:uid="{00000000-0005-0000-0000-000034410000}"/>
    <cellStyle name="Normal 2 2 2 2 2 11 5 6" xfId="15885" xr:uid="{00000000-0005-0000-0000-000035410000}"/>
    <cellStyle name="Normal 2 2 2 2 2 11 5 6 2" xfId="15886" xr:uid="{00000000-0005-0000-0000-000036410000}"/>
    <cellStyle name="Normal 2 2 2 2 2 11 5 6 3" xfId="15887" xr:uid="{00000000-0005-0000-0000-000037410000}"/>
    <cellStyle name="Normal 2 2 2 2 2 11 5 6 4" xfId="15888" xr:uid="{00000000-0005-0000-0000-000038410000}"/>
    <cellStyle name="Normal 2 2 2 2 2 11 5 6 5" xfId="15889" xr:uid="{00000000-0005-0000-0000-000039410000}"/>
    <cellStyle name="Normal 2 2 2 2 2 11 5 6 6" xfId="15890" xr:uid="{00000000-0005-0000-0000-00003A410000}"/>
    <cellStyle name="Normal 2 2 2 2 2 11 5 7" xfId="15891" xr:uid="{00000000-0005-0000-0000-00003B410000}"/>
    <cellStyle name="Normal 2 2 2 2 2 11 5 7 2" xfId="15892" xr:uid="{00000000-0005-0000-0000-00003C410000}"/>
    <cellStyle name="Normal 2 2 2 2 2 11 5 7 3" xfId="15893" xr:uid="{00000000-0005-0000-0000-00003D410000}"/>
    <cellStyle name="Normal 2 2 2 2 2 11 5 7 4" xfId="15894" xr:uid="{00000000-0005-0000-0000-00003E410000}"/>
    <cellStyle name="Normal 2 2 2 2 2 11 5 7 5" xfId="15895" xr:uid="{00000000-0005-0000-0000-00003F410000}"/>
    <cellStyle name="Normal 2 2 2 2 2 11 5 7 6" xfId="15896" xr:uid="{00000000-0005-0000-0000-000040410000}"/>
    <cellStyle name="Normal 2 2 2 2 2 11 5 8" xfId="15897" xr:uid="{00000000-0005-0000-0000-000041410000}"/>
    <cellStyle name="Normal 2 2 2 2 2 11 5 8 2" xfId="15898" xr:uid="{00000000-0005-0000-0000-000042410000}"/>
    <cellStyle name="Normal 2 2 2 2 2 11 5 8 3" xfId="15899" xr:uid="{00000000-0005-0000-0000-000043410000}"/>
    <cellStyle name="Normal 2 2 2 2 2 11 5 8 4" xfId="15900" xr:uid="{00000000-0005-0000-0000-000044410000}"/>
    <cellStyle name="Normal 2 2 2 2 2 11 5 8 5" xfId="15901" xr:uid="{00000000-0005-0000-0000-000045410000}"/>
    <cellStyle name="Normal 2 2 2 2 2 11 5 8 6" xfId="15902" xr:uid="{00000000-0005-0000-0000-000046410000}"/>
    <cellStyle name="Normal 2 2 2 2 2 11 5 9" xfId="15903" xr:uid="{00000000-0005-0000-0000-000047410000}"/>
    <cellStyle name="Normal 2 2 2 2 2 11 6" xfId="15904" xr:uid="{00000000-0005-0000-0000-000048410000}"/>
    <cellStyle name="Normal 2 2 2 2 2 11 6 10" xfId="15905" xr:uid="{00000000-0005-0000-0000-000049410000}"/>
    <cellStyle name="Normal 2 2 2 2 2 11 6 11" xfId="15906" xr:uid="{00000000-0005-0000-0000-00004A410000}"/>
    <cellStyle name="Normal 2 2 2 2 2 11 6 12" xfId="15907" xr:uid="{00000000-0005-0000-0000-00004B410000}"/>
    <cellStyle name="Normal 2 2 2 2 2 11 6 13" xfId="15908" xr:uid="{00000000-0005-0000-0000-00004C410000}"/>
    <cellStyle name="Normal 2 2 2 2 2 11 6 2" xfId="15909" xr:uid="{00000000-0005-0000-0000-00004D410000}"/>
    <cellStyle name="Normal 2 2 2 2 2 11 6 2 2" xfId="15910" xr:uid="{00000000-0005-0000-0000-00004E410000}"/>
    <cellStyle name="Normal 2 2 2 2 2 11 6 2 3" xfId="15911" xr:uid="{00000000-0005-0000-0000-00004F410000}"/>
    <cellStyle name="Normal 2 2 2 2 2 11 6 2 4" xfId="15912" xr:uid="{00000000-0005-0000-0000-000050410000}"/>
    <cellStyle name="Normal 2 2 2 2 2 11 6 2 5" xfId="15913" xr:uid="{00000000-0005-0000-0000-000051410000}"/>
    <cellStyle name="Normal 2 2 2 2 2 11 6 2 6" xfId="15914" xr:uid="{00000000-0005-0000-0000-000052410000}"/>
    <cellStyle name="Normal 2 2 2 2 2 11 6 3" xfId="15915" xr:uid="{00000000-0005-0000-0000-000053410000}"/>
    <cellStyle name="Normal 2 2 2 2 2 11 6 3 2" xfId="15916" xr:uid="{00000000-0005-0000-0000-000054410000}"/>
    <cellStyle name="Normal 2 2 2 2 2 11 6 3 3" xfId="15917" xr:uid="{00000000-0005-0000-0000-000055410000}"/>
    <cellStyle name="Normal 2 2 2 2 2 11 6 3 4" xfId="15918" xr:uid="{00000000-0005-0000-0000-000056410000}"/>
    <cellStyle name="Normal 2 2 2 2 2 11 6 3 5" xfId="15919" xr:uid="{00000000-0005-0000-0000-000057410000}"/>
    <cellStyle name="Normal 2 2 2 2 2 11 6 3 6" xfId="15920" xr:uid="{00000000-0005-0000-0000-000058410000}"/>
    <cellStyle name="Normal 2 2 2 2 2 11 6 4" xfId="15921" xr:uid="{00000000-0005-0000-0000-000059410000}"/>
    <cellStyle name="Normal 2 2 2 2 2 11 6 4 2" xfId="15922" xr:uid="{00000000-0005-0000-0000-00005A410000}"/>
    <cellStyle name="Normal 2 2 2 2 2 11 6 4 3" xfId="15923" xr:uid="{00000000-0005-0000-0000-00005B410000}"/>
    <cellStyle name="Normal 2 2 2 2 2 11 6 4 4" xfId="15924" xr:uid="{00000000-0005-0000-0000-00005C410000}"/>
    <cellStyle name="Normal 2 2 2 2 2 11 6 4 5" xfId="15925" xr:uid="{00000000-0005-0000-0000-00005D410000}"/>
    <cellStyle name="Normal 2 2 2 2 2 11 6 4 6" xfId="15926" xr:uid="{00000000-0005-0000-0000-00005E410000}"/>
    <cellStyle name="Normal 2 2 2 2 2 11 6 5" xfId="15927" xr:uid="{00000000-0005-0000-0000-00005F410000}"/>
    <cellStyle name="Normal 2 2 2 2 2 11 6 5 2" xfId="15928" xr:uid="{00000000-0005-0000-0000-000060410000}"/>
    <cellStyle name="Normal 2 2 2 2 2 11 6 5 3" xfId="15929" xr:uid="{00000000-0005-0000-0000-000061410000}"/>
    <cellStyle name="Normal 2 2 2 2 2 11 6 5 4" xfId="15930" xr:uid="{00000000-0005-0000-0000-000062410000}"/>
    <cellStyle name="Normal 2 2 2 2 2 11 6 5 5" xfId="15931" xr:uid="{00000000-0005-0000-0000-000063410000}"/>
    <cellStyle name="Normal 2 2 2 2 2 11 6 5 6" xfId="15932" xr:uid="{00000000-0005-0000-0000-000064410000}"/>
    <cellStyle name="Normal 2 2 2 2 2 11 6 6" xfId="15933" xr:uid="{00000000-0005-0000-0000-000065410000}"/>
    <cellStyle name="Normal 2 2 2 2 2 11 6 6 2" xfId="15934" xr:uid="{00000000-0005-0000-0000-000066410000}"/>
    <cellStyle name="Normal 2 2 2 2 2 11 6 6 3" xfId="15935" xr:uid="{00000000-0005-0000-0000-000067410000}"/>
    <cellStyle name="Normal 2 2 2 2 2 11 6 6 4" xfId="15936" xr:uid="{00000000-0005-0000-0000-000068410000}"/>
    <cellStyle name="Normal 2 2 2 2 2 11 6 6 5" xfId="15937" xr:uid="{00000000-0005-0000-0000-000069410000}"/>
    <cellStyle name="Normal 2 2 2 2 2 11 6 6 6" xfId="15938" xr:uid="{00000000-0005-0000-0000-00006A410000}"/>
    <cellStyle name="Normal 2 2 2 2 2 11 6 7" xfId="15939" xr:uid="{00000000-0005-0000-0000-00006B410000}"/>
    <cellStyle name="Normal 2 2 2 2 2 11 6 7 2" xfId="15940" xr:uid="{00000000-0005-0000-0000-00006C410000}"/>
    <cellStyle name="Normal 2 2 2 2 2 11 6 7 3" xfId="15941" xr:uid="{00000000-0005-0000-0000-00006D410000}"/>
    <cellStyle name="Normal 2 2 2 2 2 11 6 7 4" xfId="15942" xr:uid="{00000000-0005-0000-0000-00006E410000}"/>
    <cellStyle name="Normal 2 2 2 2 2 11 6 7 5" xfId="15943" xr:uid="{00000000-0005-0000-0000-00006F410000}"/>
    <cellStyle name="Normal 2 2 2 2 2 11 6 7 6" xfId="15944" xr:uid="{00000000-0005-0000-0000-000070410000}"/>
    <cellStyle name="Normal 2 2 2 2 2 11 6 8" xfId="15945" xr:uid="{00000000-0005-0000-0000-000071410000}"/>
    <cellStyle name="Normal 2 2 2 2 2 11 6 8 2" xfId="15946" xr:uid="{00000000-0005-0000-0000-000072410000}"/>
    <cellStyle name="Normal 2 2 2 2 2 11 6 8 3" xfId="15947" xr:uid="{00000000-0005-0000-0000-000073410000}"/>
    <cellStyle name="Normal 2 2 2 2 2 11 6 8 4" xfId="15948" xr:uid="{00000000-0005-0000-0000-000074410000}"/>
    <cellStyle name="Normal 2 2 2 2 2 11 6 8 5" xfId="15949" xr:uid="{00000000-0005-0000-0000-000075410000}"/>
    <cellStyle name="Normal 2 2 2 2 2 11 6 8 6" xfId="15950" xr:uid="{00000000-0005-0000-0000-000076410000}"/>
    <cellStyle name="Normal 2 2 2 2 2 11 6 9" xfId="15951" xr:uid="{00000000-0005-0000-0000-000077410000}"/>
    <cellStyle name="Normal 2 2 2 2 2 11 7" xfId="15952" xr:uid="{00000000-0005-0000-0000-000078410000}"/>
    <cellStyle name="Normal 2 2 2 2 2 11 7 10" xfId="15953" xr:uid="{00000000-0005-0000-0000-000079410000}"/>
    <cellStyle name="Normal 2 2 2 2 2 11 7 11" xfId="15954" xr:uid="{00000000-0005-0000-0000-00007A410000}"/>
    <cellStyle name="Normal 2 2 2 2 2 11 7 12" xfId="15955" xr:uid="{00000000-0005-0000-0000-00007B410000}"/>
    <cellStyle name="Normal 2 2 2 2 2 11 7 13" xfId="15956" xr:uid="{00000000-0005-0000-0000-00007C410000}"/>
    <cellStyle name="Normal 2 2 2 2 2 11 7 2" xfId="15957" xr:uid="{00000000-0005-0000-0000-00007D410000}"/>
    <cellStyle name="Normal 2 2 2 2 2 11 7 2 2" xfId="15958" xr:uid="{00000000-0005-0000-0000-00007E410000}"/>
    <cellStyle name="Normal 2 2 2 2 2 11 7 2 3" xfId="15959" xr:uid="{00000000-0005-0000-0000-00007F410000}"/>
    <cellStyle name="Normal 2 2 2 2 2 11 7 2 4" xfId="15960" xr:uid="{00000000-0005-0000-0000-000080410000}"/>
    <cellStyle name="Normal 2 2 2 2 2 11 7 2 5" xfId="15961" xr:uid="{00000000-0005-0000-0000-000081410000}"/>
    <cellStyle name="Normal 2 2 2 2 2 11 7 2 6" xfId="15962" xr:uid="{00000000-0005-0000-0000-000082410000}"/>
    <cellStyle name="Normal 2 2 2 2 2 11 7 3" xfId="15963" xr:uid="{00000000-0005-0000-0000-000083410000}"/>
    <cellStyle name="Normal 2 2 2 2 2 11 7 3 2" xfId="15964" xr:uid="{00000000-0005-0000-0000-000084410000}"/>
    <cellStyle name="Normal 2 2 2 2 2 11 7 3 3" xfId="15965" xr:uid="{00000000-0005-0000-0000-000085410000}"/>
    <cellStyle name="Normal 2 2 2 2 2 11 7 3 4" xfId="15966" xr:uid="{00000000-0005-0000-0000-000086410000}"/>
    <cellStyle name="Normal 2 2 2 2 2 11 7 3 5" xfId="15967" xr:uid="{00000000-0005-0000-0000-000087410000}"/>
    <cellStyle name="Normal 2 2 2 2 2 11 7 3 6" xfId="15968" xr:uid="{00000000-0005-0000-0000-000088410000}"/>
    <cellStyle name="Normal 2 2 2 2 2 11 7 4" xfId="15969" xr:uid="{00000000-0005-0000-0000-000089410000}"/>
    <cellStyle name="Normal 2 2 2 2 2 11 7 4 2" xfId="15970" xr:uid="{00000000-0005-0000-0000-00008A410000}"/>
    <cellStyle name="Normal 2 2 2 2 2 11 7 4 3" xfId="15971" xr:uid="{00000000-0005-0000-0000-00008B410000}"/>
    <cellStyle name="Normal 2 2 2 2 2 11 7 4 4" xfId="15972" xr:uid="{00000000-0005-0000-0000-00008C410000}"/>
    <cellStyle name="Normal 2 2 2 2 2 11 7 4 5" xfId="15973" xr:uid="{00000000-0005-0000-0000-00008D410000}"/>
    <cellStyle name="Normal 2 2 2 2 2 11 7 4 6" xfId="15974" xr:uid="{00000000-0005-0000-0000-00008E410000}"/>
    <cellStyle name="Normal 2 2 2 2 2 11 7 5" xfId="15975" xr:uid="{00000000-0005-0000-0000-00008F410000}"/>
    <cellStyle name="Normal 2 2 2 2 2 11 7 5 2" xfId="15976" xr:uid="{00000000-0005-0000-0000-000090410000}"/>
    <cellStyle name="Normal 2 2 2 2 2 11 7 5 3" xfId="15977" xr:uid="{00000000-0005-0000-0000-000091410000}"/>
    <cellStyle name="Normal 2 2 2 2 2 11 7 5 4" xfId="15978" xr:uid="{00000000-0005-0000-0000-000092410000}"/>
    <cellStyle name="Normal 2 2 2 2 2 11 7 5 5" xfId="15979" xr:uid="{00000000-0005-0000-0000-000093410000}"/>
    <cellStyle name="Normal 2 2 2 2 2 11 7 5 6" xfId="15980" xr:uid="{00000000-0005-0000-0000-000094410000}"/>
    <cellStyle name="Normal 2 2 2 2 2 11 7 6" xfId="15981" xr:uid="{00000000-0005-0000-0000-000095410000}"/>
    <cellStyle name="Normal 2 2 2 2 2 11 7 6 2" xfId="15982" xr:uid="{00000000-0005-0000-0000-000096410000}"/>
    <cellStyle name="Normal 2 2 2 2 2 11 7 6 3" xfId="15983" xr:uid="{00000000-0005-0000-0000-000097410000}"/>
    <cellStyle name="Normal 2 2 2 2 2 11 7 6 4" xfId="15984" xr:uid="{00000000-0005-0000-0000-000098410000}"/>
    <cellStyle name="Normal 2 2 2 2 2 11 7 6 5" xfId="15985" xr:uid="{00000000-0005-0000-0000-000099410000}"/>
    <cellStyle name="Normal 2 2 2 2 2 11 7 6 6" xfId="15986" xr:uid="{00000000-0005-0000-0000-00009A410000}"/>
    <cellStyle name="Normal 2 2 2 2 2 11 7 7" xfId="15987" xr:uid="{00000000-0005-0000-0000-00009B410000}"/>
    <cellStyle name="Normal 2 2 2 2 2 11 7 7 2" xfId="15988" xr:uid="{00000000-0005-0000-0000-00009C410000}"/>
    <cellStyle name="Normal 2 2 2 2 2 11 7 7 3" xfId="15989" xr:uid="{00000000-0005-0000-0000-00009D410000}"/>
    <cellStyle name="Normal 2 2 2 2 2 11 7 7 4" xfId="15990" xr:uid="{00000000-0005-0000-0000-00009E410000}"/>
    <cellStyle name="Normal 2 2 2 2 2 11 7 7 5" xfId="15991" xr:uid="{00000000-0005-0000-0000-00009F410000}"/>
    <cellStyle name="Normal 2 2 2 2 2 11 7 7 6" xfId="15992" xr:uid="{00000000-0005-0000-0000-0000A0410000}"/>
    <cellStyle name="Normal 2 2 2 2 2 11 7 8" xfId="15993" xr:uid="{00000000-0005-0000-0000-0000A1410000}"/>
    <cellStyle name="Normal 2 2 2 2 2 11 7 8 2" xfId="15994" xr:uid="{00000000-0005-0000-0000-0000A2410000}"/>
    <cellStyle name="Normal 2 2 2 2 2 11 7 8 3" xfId="15995" xr:uid="{00000000-0005-0000-0000-0000A3410000}"/>
    <cellStyle name="Normal 2 2 2 2 2 11 7 8 4" xfId="15996" xr:uid="{00000000-0005-0000-0000-0000A4410000}"/>
    <cellStyle name="Normal 2 2 2 2 2 11 7 8 5" xfId="15997" xr:uid="{00000000-0005-0000-0000-0000A5410000}"/>
    <cellStyle name="Normal 2 2 2 2 2 11 7 8 6" xfId="15998" xr:uid="{00000000-0005-0000-0000-0000A6410000}"/>
    <cellStyle name="Normal 2 2 2 2 2 11 7 9" xfId="15999" xr:uid="{00000000-0005-0000-0000-0000A7410000}"/>
    <cellStyle name="Normal 2 2 2 2 2 11 8" xfId="16000" xr:uid="{00000000-0005-0000-0000-0000A8410000}"/>
    <cellStyle name="Normal 2 2 2 2 2 11 8 10" xfId="16001" xr:uid="{00000000-0005-0000-0000-0000A9410000}"/>
    <cellStyle name="Normal 2 2 2 2 2 11 8 11" xfId="16002" xr:uid="{00000000-0005-0000-0000-0000AA410000}"/>
    <cellStyle name="Normal 2 2 2 2 2 11 8 12" xfId="16003" xr:uid="{00000000-0005-0000-0000-0000AB410000}"/>
    <cellStyle name="Normal 2 2 2 2 2 11 8 13" xfId="16004" xr:uid="{00000000-0005-0000-0000-0000AC410000}"/>
    <cellStyle name="Normal 2 2 2 2 2 11 8 2" xfId="16005" xr:uid="{00000000-0005-0000-0000-0000AD410000}"/>
    <cellStyle name="Normal 2 2 2 2 2 11 8 2 2" xfId="16006" xr:uid="{00000000-0005-0000-0000-0000AE410000}"/>
    <cellStyle name="Normal 2 2 2 2 2 11 8 2 3" xfId="16007" xr:uid="{00000000-0005-0000-0000-0000AF410000}"/>
    <cellStyle name="Normal 2 2 2 2 2 11 8 2 4" xfId="16008" xr:uid="{00000000-0005-0000-0000-0000B0410000}"/>
    <cellStyle name="Normal 2 2 2 2 2 11 8 2 5" xfId="16009" xr:uid="{00000000-0005-0000-0000-0000B1410000}"/>
    <cellStyle name="Normal 2 2 2 2 2 11 8 2 6" xfId="16010" xr:uid="{00000000-0005-0000-0000-0000B2410000}"/>
    <cellStyle name="Normal 2 2 2 2 2 11 8 3" xfId="16011" xr:uid="{00000000-0005-0000-0000-0000B3410000}"/>
    <cellStyle name="Normal 2 2 2 2 2 11 8 3 2" xfId="16012" xr:uid="{00000000-0005-0000-0000-0000B4410000}"/>
    <cellStyle name="Normal 2 2 2 2 2 11 8 3 3" xfId="16013" xr:uid="{00000000-0005-0000-0000-0000B5410000}"/>
    <cellStyle name="Normal 2 2 2 2 2 11 8 3 4" xfId="16014" xr:uid="{00000000-0005-0000-0000-0000B6410000}"/>
    <cellStyle name="Normal 2 2 2 2 2 11 8 3 5" xfId="16015" xr:uid="{00000000-0005-0000-0000-0000B7410000}"/>
    <cellStyle name="Normal 2 2 2 2 2 11 8 3 6" xfId="16016" xr:uid="{00000000-0005-0000-0000-0000B8410000}"/>
    <cellStyle name="Normal 2 2 2 2 2 11 8 4" xfId="16017" xr:uid="{00000000-0005-0000-0000-0000B9410000}"/>
    <cellStyle name="Normal 2 2 2 2 2 11 8 4 2" xfId="16018" xr:uid="{00000000-0005-0000-0000-0000BA410000}"/>
    <cellStyle name="Normal 2 2 2 2 2 11 8 4 3" xfId="16019" xr:uid="{00000000-0005-0000-0000-0000BB410000}"/>
    <cellStyle name="Normal 2 2 2 2 2 11 8 4 4" xfId="16020" xr:uid="{00000000-0005-0000-0000-0000BC410000}"/>
    <cellStyle name="Normal 2 2 2 2 2 11 8 4 5" xfId="16021" xr:uid="{00000000-0005-0000-0000-0000BD410000}"/>
    <cellStyle name="Normal 2 2 2 2 2 11 8 4 6" xfId="16022" xr:uid="{00000000-0005-0000-0000-0000BE410000}"/>
    <cellStyle name="Normal 2 2 2 2 2 11 8 5" xfId="16023" xr:uid="{00000000-0005-0000-0000-0000BF410000}"/>
    <cellStyle name="Normal 2 2 2 2 2 11 8 5 2" xfId="16024" xr:uid="{00000000-0005-0000-0000-0000C0410000}"/>
    <cellStyle name="Normal 2 2 2 2 2 11 8 5 3" xfId="16025" xr:uid="{00000000-0005-0000-0000-0000C1410000}"/>
    <cellStyle name="Normal 2 2 2 2 2 11 8 5 4" xfId="16026" xr:uid="{00000000-0005-0000-0000-0000C2410000}"/>
    <cellStyle name="Normal 2 2 2 2 2 11 8 5 5" xfId="16027" xr:uid="{00000000-0005-0000-0000-0000C3410000}"/>
    <cellStyle name="Normal 2 2 2 2 2 11 8 5 6" xfId="16028" xr:uid="{00000000-0005-0000-0000-0000C4410000}"/>
    <cellStyle name="Normal 2 2 2 2 2 11 8 6" xfId="16029" xr:uid="{00000000-0005-0000-0000-0000C5410000}"/>
    <cellStyle name="Normal 2 2 2 2 2 11 8 6 2" xfId="16030" xr:uid="{00000000-0005-0000-0000-0000C6410000}"/>
    <cellStyle name="Normal 2 2 2 2 2 11 8 6 3" xfId="16031" xr:uid="{00000000-0005-0000-0000-0000C7410000}"/>
    <cellStyle name="Normal 2 2 2 2 2 11 8 6 4" xfId="16032" xr:uid="{00000000-0005-0000-0000-0000C8410000}"/>
    <cellStyle name="Normal 2 2 2 2 2 11 8 6 5" xfId="16033" xr:uid="{00000000-0005-0000-0000-0000C9410000}"/>
    <cellStyle name="Normal 2 2 2 2 2 11 8 6 6" xfId="16034" xr:uid="{00000000-0005-0000-0000-0000CA410000}"/>
    <cellStyle name="Normal 2 2 2 2 2 11 8 7" xfId="16035" xr:uid="{00000000-0005-0000-0000-0000CB410000}"/>
    <cellStyle name="Normal 2 2 2 2 2 11 8 7 2" xfId="16036" xr:uid="{00000000-0005-0000-0000-0000CC410000}"/>
    <cellStyle name="Normal 2 2 2 2 2 11 8 7 3" xfId="16037" xr:uid="{00000000-0005-0000-0000-0000CD410000}"/>
    <cellStyle name="Normal 2 2 2 2 2 11 8 7 4" xfId="16038" xr:uid="{00000000-0005-0000-0000-0000CE410000}"/>
    <cellStyle name="Normal 2 2 2 2 2 11 8 7 5" xfId="16039" xr:uid="{00000000-0005-0000-0000-0000CF410000}"/>
    <cellStyle name="Normal 2 2 2 2 2 11 8 7 6" xfId="16040" xr:uid="{00000000-0005-0000-0000-0000D0410000}"/>
    <cellStyle name="Normal 2 2 2 2 2 11 8 8" xfId="16041" xr:uid="{00000000-0005-0000-0000-0000D1410000}"/>
    <cellStyle name="Normal 2 2 2 2 2 11 8 8 2" xfId="16042" xr:uid="{00000000-0005-0000-0000-0000D2410000}"/>
    <cellStyle name="Normal 2 2 2 2 2 11 8 8 3" xfId="16043" xr:uid="{00000000-0005-0000-0000-0000D3410000}"/>
    <cellStyle name="Normal 2 2 2 2 2 11 8 8 4" xfId="16044" xr:uid="{00000000-0005-0000-0000-0000D4410000}"/>
    <cellStyle name="Normal 2 2 2 2 2 11 8 8 5" xfId="16045" xr:uid="{00000000-0005-0000-0000-0000D5410000}"/>
    <cellStyle name="Normal 2 2 2 2 2 11 8 8 6" xfId="16046" xr:uid="{00000000-0005-0000-0000-0000D6410000}"/>
    <cellStyle name="Normal 2 2 2 2 2 11 8 9" xfId="16047" xr:uid="{00000000-0005-0000-0000-0000D7410000}"/>
    <cellStyle name="Normal 2 2 2 2 2 11 9" xfId="16048" xr:uid="{00000000-0005-0000-0000-0000D8410000}"/>
    <cellStyle name="Normal 2 2 2 2 2 11 9 10" xfId="16049" xr:uid="{00000000-0005-0000-0000-0000D9410000}"/>
    <cellStyle name="Normal 2 2 2 2 2 11 9 11" xfId="16050" xr:uid="{00000000-0005-0000-0000-0000DA410000}"/>
    <cellStyle name="Normal 2 2 2 2 2 11 9 12" xfId="16051" xr:uid="{00000000-0005-0000-0000-0000DB410000}"/>
    <cellStyle name="Normal 2 2 2 2 2 11 9 13" xfId="16052" xr:uid="{00000000-0005-0000-0000-0000DC410000}"/>
    <cellStyle name="Normal 2 2 2 2 2 11 9 2" xfId="16053" xr:uid="{00000000-0005-0000-0000-0000DD410000}"/>
    <cellStyle name="Normal 2 2 2 2 2 11 9 2 2" xfId="16054" xr:uid="{00000000-0005-0000-0000-0000DE410000}"/>
    <cellStyle name="Normal 2 2 2 2 2 11 9 2 3" xfId="16055" xr:uid="{00000000-0005-0000-0000-0000DF410000}"/>
    <cellStyle name="Normal 2 2 2 2 2 11 9 2 4" xfId="16056" xr:uid="{00000000-0005-0000-0000-0000E0410000}"/>
    <cellStyle name="Normal 2 2 2 2 2 11 9 2 5" xfId="16057" xr:uid="{00000000-0005-0000-0000-0000E1410000}"/>
    <cellStyle name="Normal 2 2 2 2 2 11 9 2 6" xfId="16058" xr:uid="{00000000-0005-0000-0000-0000E2410000}"/>
    <cellStyle name="Normal 2 2 2 2 2 11 9 3" xfId="16059" xr:uid="{00000000-0005-0000-0000-0000E3410000}"/>
    <cellStyle name="Normal 2 2 2 2 2 11 9 3 2" xfId="16060" xr:uid="{00000000-0005-0000-0000-0000E4410000}"/>
    <cellStyle name="Normal 2 2 2 2 2 11 9 3 3" xfId="16061" xr:uid="{00000000-0005-0000-0000-0000E5410000}"/>
    <cellStyle name="Normal 2 2 2 2 2 11 9 3 4" xfId="16062" xr:uid="{00000000-0005-0000-0000-0000E6410000}"/>
    <cellStyle name="Normal 2 2 2 2 2 11 9 3 5" xfId="16063" xr:uid="{00000000-0005-0000-0000-0000E7410000}"/>
    <cellStyle name="Normal 2 2 2 2 2 11 9 3 6" xfId="16064" xr:uid="{00000000-0005-0000-0000-0000E8410000}"/>
    <cellStyle name="Normal 2 2 2 2 2 11 9 4" xfId="16065" xr:uid="{00000000-0005-0000-0000-0000E9410000}"/>
    <cellStyle name="Normal 2 2 2 2 2 11 9 4 2" xfId="16066" xr:uid="{00000000-0005-0000-0000-0000EA410000}"/>
    <cellStyle name="Normal 2 2 2 2 2 11 9 4 3" xfId="16067" xr:uid="{00000000-0005-0000-0000-0000EB410000}"/>
    <cellStyle name="Normal 2 2 2 2 2 11 9 4 4" xfId="16068" xr:uid="{00000000-0005-0000-0000-0000EC410000}"/>
    <cellStyle name="Normal 2 2 2 2 2 11 9 4 5" xfId="16069" xr:uid="{00000000-0005-0000-0000-0000ED410000}"/>
    <cellStyle name="Normal 2 2 2 2 2 11 9 4 6" xfId="16070" xr:uid="{00000000-0005-0000-0000-0000EE410000}"/>
    <cellStyle name="Normal 2 2 2 2 2 11 9 5" xfId="16071" xr:uid="{00000000-0005-0000-0000-0000EF410000}"/>
    <cellStyle name="Normal 2 2 2 2 2 11 9 5 2" xfId="16072" xr:uid="{00000000-0005-0000-0000-0000F0410000}"/>
    <cellStyle name="Normal 2 2 2 2 2 11 9 5 3" xfId="16073" xr:uid="{00000000-0005-0000-0000-0000F1410000}"/>
    <cellStyle name="Normal 2 2 2 2 2 11 9 5 4" xfId="16074" xr:uid="{00000000-0005-0000-0000-0000F2410000}"/>
    <cellStyle name="Normal 2 2 2 2 2 11 9 5 5" xfId="16075" xr:uid="{00000000-0005-0000-0000-0000F3410000}"/>
    <cellStyle name="Normal 2 2 2 2 2 11 9 5 6" xfId="16076" xr:uid="{00000000-0005-0000-0000-0000F4410000}"/>
    <cellStyle name="Normal 2 2 2 2 2 11 9 6" xfId="16077" xr:uid="{00000000-0005-0000-0000-0000F5410000}"/>
    <cellStyle name="Normal 2 2 2 2 2 11 9 6 2" xfId="16078" xr:uid="{00000000-0005-0000-0000-0000F6410000}"/>
    <cellStyle name="Normal 2 2 2 2 2 11 9 6 3" xfId="16079" xr:uid="{00000000-0005-0000-0000-0000F7410000}"/>
    <cellStyle name="Normal 2 2 2 2 2 11 9 6 4" xfId="16080" xr:uid="{00000000-0005-0000-0000-0000F8410000}"/>
    <cellStyle name="Normal 2 2 2 2 2 11 9 6 5" xfId="16081" xr:uid="{00000000-0005-0000-0000-0000F9410000}"/>
    <cellStyle name="Normal 2 2 2 2 2 11 9 6 6" xfId="16082" xr:uid="{00000000-0005-0000-0000-0000FA410000}"/>
    <cellStyle name="Normal 2 2 2 2 2 11 9 7" xfId="16083" xr:uid="{00000000-0005-0000-0000-0000FB410000}"/>
    <cellStyle name="Normal 2 2 2 2 2 11 9 7 2" xfId="16084" xr:uid="{00000000-0005-0000-0000-0000FC410000}"/>
    <cellStyle name="Normal 2 2 2 2 2 11 9 7 3" xfId="16085" xr:uid="{00000000-0005-0000-0000-0000FD410000}"/>
    <cellStyle name="Normal 2 2 2 2 2 11 9 7 4" xfId="16086" xr:uid="{00000000-0005-0000-0000-0000FE410000}"/>
    <cellStyle name="Normal 2 2 2 2 2 11 9 7 5" xfId="16087" xr:uid="{00000000-0005-0000-0000-0000FF410000}"/>
    <cellStyle name="Normal 2 2 2 2 2 11 9 7 6" xfId="16088" xr:uid="{00000000-0005-0000-0000-000000420000}"/>
    <cellStyle name="Normal 2 2 2 2 2 11 9 8" xfId="16089" xr:uid="{00000000-0005-0000-0000-000001420000}"/>
    <cellStyle name="Normal 2 2 2 2 2 11 9 8 2" xfId="16090" xr:uid="{00000000-0005-0000-0000-000002420000}"/>
    <cellStyle name="Normal 2 2 2 2 2 11 9 8 3" xfId="16091" xr:uid="{00000000-0005-0000-0000-000003420000}"/>
    <cellStyle name="Normal 2 2 2 2 2 11 9 8 4" xfId="16092" xr:uid="{00000000-0005-0000-0000-000004420000}"/>
    <cellStyle name="Normal 2 2 2 2 2 11 9 8 5" xfId="16093" xr:uid="{00000000-0005-0000-0000-000005420000}"/>
    <cellStyle name="Normal 2 2 2 2 2 11 9 8 6" xfId="16094" xr:uid="{00000000-0005-0000-0000-000006420000}"/>
    <cellStyle name="Normal 2 2 2 2 2 11 9 9" xfId="16095" xr:uid="{00000000-0005-0000-0000-000007420000}"/>
    <cellStyle name="Normal 2 2 2 2 2 12" xfId="16096" xr:uid="{00000000-0005-0000-0000-000008420000}"/>
    <cellStyle name="Normal 2 2 2 2 2 12 10" xfId="16097" xr:uid="{00000000-0005-0000-0000-000009420000}"/>
    <cellStyle name="Normal 2 2 2 2 2 12 11" xfId="16098" xr:uid="{00000000-0005-0000-0000-00000A420000}"/>
    <cellStyle name="Normal 2 2 2 2 2 12 12" xfId="16099" xr:uid="{00000000-0005-0000-0000-00000B420000}"/>
    <cellStyle name="Normal 2 2 2 2 2 12 13" xfId="16100" xr:uid="{00000000-0005-0000-0000-00000C420000}"/>
    <cellStyle name="Normal 2 2 2 2 2 12 2" xfId="16101" xr:uid="{00000000-0005-0000-0000-00000D420000}"/>
    <cellStyle name="Normal 2 2 2 2 2 12 2 2" xfId="16102" xr:uid="{00000000-0005-0000-0000-00000E420000}"/>
    <cellStyle name="Normal 2 2 2 2 2 12 2 3" xfId="16103" xr:uid="{00000000-0005-0000-0000-00000F420000}"/>
    <cellStyle name="Normal 2 2 2 2 2 12 2 4" xfId="16104" xr:uid="{00000000-0005-0000-0000-000010420000}"/>
    <cellStyle name="Normal 2 2 2 2 2 12 2 5" xfId="16105" xr:uid="{00000000-0005-0000-0000-000011420000}"/>
    <cellStyle name="Normal 2 2 2 2 2 12 2 6" xfId="16106" xr:uid="{00000000-0005-0000-0000-000012420000}"/>
    <cellStyle name="Normal 2 2 2 2 2 12 3" xfId="16107" xr:uid="{00000000-0005-0000-0000-000013420000}"/>
    <cellStyle name="Normal 2 2 2 2 2 12 3 2" xfId="16108" xr:uid="{00000000-0005-0000-0000-000014420000}"/>
    <cellStyle name="Normal 2 2 2 2 2 12 3 3" xfId="16109" xr:uid="{00000000-0005-0000-0000-000015420000}"/>
    <cellStyle name="Normal 2 2 2 2 2 12 3 4" xfId="16110" xr:uid="{00000000-0005-0000-0000-000016420000}"/>
    <cellStyle name="Normal 2 2 2 2 2 12 3 5" xfId="16111" xr:uid="{00000000-0005-0000-0000-000017420000}"/>
    <cellStyle name="Normal 2 2 2 2 2 12 3 6" xfId="16112" xr:uid="{00000000-0005-0000-0000-000018420000}"/>
    <cellStyle name="Normal 2 2 2 2 2 12 4" xfId="16113" xr:uid="{00000000-0005-0000-0000-000019420000}"/>
    <cellStyle name="Normal 2 2 2 2 2 12 4 2" xfId="16114" xr:uid="{00000000-0005-0000-0000-00001A420000}"/>
    <cellStyle name="Normal 2 2 2 2 2 12 4 3" xfId="16115" xr:uid="{00000000-0005-0000-0000-00001B420000}"/>
    <cellStyle name="Normal 2 2 2 2 2 12 4 4" xfId="16116" xr:uid="{00000000-0005-0000-0000-00001C420000}"/>
    <cellStyle name="Normal 2 2 2 2 2 12 4 5" xfId="16117" xr:uid="{00000000-0005-0000-0000-00001D420000}"/>
    <cellStyle name="Normal 2 2 2 2 2 12 4 6" xfId="16118" xr:uid="{00000000-0005-0000-0000-00001E420000}"/>
    <cellStyle name="Normal 2 2 2 2 2 12 5" xfId="16119" xr:uid="{00000000-0005-0000-0000-00001F420000}"/>
    <cellStyle name="Normal 2 2 2 2 2 12 5 2" xfId="16120" xr:uid="{00000000-0005-0000-0000-000020420000}"/>
    <cellStyle name="Normal 2 2 2 2 2 12 5 3" xfId="16121" xr:uid="{00000000-0005-0000-0000-000021420000}"/>
    <cellStyle name="Normal 2 2 2 2 2 12 5 4" xfId="16122" xr:uid="{00000000-0005-0000-0000-000022420000}"/>
    <cellStyle name="Normal 2 2 2 2 2 12 5 5" xfId="16123" xr:uid="{00000000-0005-0000-0000-000023420000}"/>
    <cellStyle name="Normal 2 2 2 2 2 12 5 6" xfId="16124" xr:uid="{00000000-0005-0000-0000-000024420000}"/>
    <cellStyle name="Normal 2 2 2 2 2 12 6" xfId="16125" xr:uid="{00000000-0005-0000-0000-000025420000}"/>
    <cellStyle name="Normal 2 2 2 2 2 12 6 2" xfId="16126" xr:uid="{00000000-0005-0000-0000-000026420000}"/>
    <cellStyle name="Normal 2 2 2 2 2 12 6 3" xfId="16127" xr:uid="{00000000-0005-0000-0000-000027420000}"/>
    <cellStyle name="Normal 2 2 2 2 2 12 6 4" xfId="16128" xr:uid="{00000000-0005-0000-0000-000028420000}"/>
    <cellStyle name="Normal 2 2 2 2 2 12 6 5" xfId="16129" xr:uid="{00000000-0005-0000-0000-000029420000}"/>
    <cellStyle name="Normal 2 2 2 2 2 12 6 6" xfId="16130" xr:uid="{00000000-0005-0000-0000-00002A420000}"/>
    <cellStyle name="Normal 2 2 2 2 2 12 7" xfId="16131" xr:uid="{00000000-0005-0000-0000-00002B420000}"/>
    <cellStyle name="Normal 2 2 2 2 2 12 7 2" xfId="16132" xr:uid="{00000000-0005-0000-0000-00002C420000}"/>
    <cellStyle name="Normal 2 2 2 2 2 12 7 3" xfId="16133" xr:uid="{00000000-0005-0000-0000-00002D420000}"/>
    <cellStyle name="Normal 2 2 2 2 2 12 7 4" xfId="16134" xr:uid="{00000000-0005-0000-0000-00002E420000}"/>
    <cellStyle name="Normal 2 2 2 2 2 12 7 5" xfId="16135" xr:uid="{00000000-0005-0000-0000-00002F420000}"/>
    <cellStyle name="Normal 2 2 2 2 2 12 7 6" xfId="16136" xr:uid="{00000000-0005-0000-0000-000030420000}"/>
    <cellStyle name="Normal 2 2 2 2 2 12 8" xfId="16137" xr:uid="{00000000-0005-0000-0000-000031420000}"/>
    <cellStyle name="Normal 2 2 2 2 2 12 8 2" xfId="16138" xr:uid="{00000000-0005-0000-0000-000032420000}"/>
    <cellStyle name="Normal 2 2 2 2 2 12 8 3" xfId="16139" xr:uid="{00000000-0005-0000-0000-000033420000}"/>
    <cellStyle name="Normal 2 2 2 2 2 12 8 4" xfId="16140" xr:uid="{00000000-0005-0000-0000-000034420000}"/>
    <cellStyle name="Normal 2 2 2 2 2 12 8 5" xfId="16141" xr:uid="{00000000-0005-0000-0000-000035420000}"/>
    <cellStyle name="Normal 2 2 2 2 2 12 8 6" xfId="16142" xr:uid="{00000000-0005-0000-0000-000036420000}"/>
    <cellStyle name="Normal 2 2 2 2 2 12 9" xfId="16143" xr:uid="{00000000-0005-0000-0000-000037420000}"/>
    <cellStyle name="Normal 2 2 2 2 2 13" xfId="16144" xr:uid="{00000000-0005-0000-0000-000038420000}"/>
    <cellStyle name="Normal 2 2 2 2 2 13 10" xfId="16145" xr:uid="{00000000-0005-0000-0000-000039420000}"/>
    <cellStyle name="Normal 2 2 2 2 2 13 11" xfId="16146" xr:uid="{00000000-0005-0000-0000-00003A420000}"/>
    <cellStyle name="Normal 2 2 2 2 2 13 12" xfId="16147" xr:uid="{00000000-0005-0000-0000-00003B420000}"/>
    <cellStyle name="Normal 2 2 2 2 2 13 13" xfId="16148" xr:uid="{00000000-0005-0000-0000-00003C420000}"/>
    <cellStyle name="Normal 2 2 2 2 2 13 2" xfId="16149" xr:uid="{00000000-0005-0000-0000-00003D420000}"/>
    <cellStyle name="Normal 2 2 2 2 2 13 2 2" xfId="16150" xr:uid="{00000000-0005-0000-0000-00003E420000}"/>
    <cellStyle name="Normal 2 2 2 2 2 13 2 3" xfId="16151" xr:uid="{00000000-0005-0000-0000-00003F420000}"/>
    <cellStyle name="Normal 2 2 2 2 2 13 2 4" xfId="16152" xr:uid="{00000000-0005-0000-0000-000040420000}"/>
    <cellStyle name="Normal 2 2 2 2 2 13 2 5" xfId="16153" xr:uid="{00000000-0005-0000-0000-000041420000}"/>
    <cellStyle name="Normal 2 2 2 2 2 13 2 6" xfId="16154" xr:uid="{00000000-0005-0000-0000-000042420000}"/>
    <cellStyle name="Normal 2 2 2 2 2 13 3" xfId="16155" xr:uid="{00000000-0005-0000-0000-000043420000}"/>
    <cellStyle name="Normal 2 2 2 2 2 13 3 2" xfId="16156" xr:uid="{00000000-0005-0000-0000-000044420000}"/>
    <cellStyle name="Normal 2 2 2 2 2 13 3 3" xfId="16157" xr:uid="{00000000-0005-0000-0000-000045420000}"/>
    <cellStyle name="Normal 2 2 2 2 2 13 3 4" xfId="16158" xr:uid="{00000000-0005-0000-0000-000046420000}"/>
    <cellStyle name="Normal 2 2 2 2 2 13 3 5" xfId="16159" xr:uid="{00000000-0005-0000-0000-000047420000}"/>
    <cellStyle name="Normal 2 2 2 2 2 13 3 6" xfId="16160" xr:uid="{00000000-0005-0000-0000-000048420000}"/>
    <cellStyle name="Normal 2 2 2 2 2 13 4" xfId="16161" xr:uid="{00000000-0005-0000-0000-000049420000}"/>
    <cellStyle name="Normal 2 2 2 2 2 13 4 2" xfId="16162" xr:uid="{00000000-0005-0000-0000-00004A420000}"/>
    <cellStyle name="Normal 2 2 2 2 2 13 4 3" xfId="16163" xr:uid="{00000000-0005-0000-0000-00004B420000}"/>
    <cellStyle name="Normal 2 2 2 2 2 13 4 4" xfId="16164" xr:uid="{00000000-0005-0000-0000-00004C420000}"/>
    <cellStyle name="Normal 2 2 2 2 2 13 4 5" xfId="16165" xr:uid="{00000000-0005-0000-0000-00004D420000}"/>
    <cellStyle name="Normal 2 2 2 2 2 13 4 6" xfId="16166" xr:uid="{00000000-0005-0000-0000-00004E420000}"/>
    <cellStyle name="Normal 2 2 2 2 2 13 5" xfId="16167" xr:uid="{00000000-0005-0000-0000-00004F420000}"/>
    <cellStyle name="Normal 2 2 2 2 2 13 5 2" xfId="16168" xr:uid="{00000000-0005-0000-0000-000050420000}"/>
    <cellStyle name="Normal 2 2 2 2 2 13 5 3" xfId="16169" xr:uid="{00000000-0005-0000-0000-000051420000}"/>
    <cellStyle name="Normal 2 2 2 2 2 13 5 4" xfId="16170" xr:uid="{00000000-0005-0000-0000-000052420000}"/>
    <cellStyle name="Normal 2 2 2 2 2 13 5 5" xfId="16171" xr:uid="{00000000-0005-0000-0000-000053420000}"/>
    <cellStyle name="Normal 2 2 2 2 2 13 5 6" xfId="16172" xr:uid="{00000000-0005-0000-0000-000054420000}"/>
    <cellStyle name="Normal 2 2 2 2 2 13 6" xfId="16173" xr:uid="{00000000-0005-0000-0000-000055420000}"/>
    <cellStyle name="Normal 2 2 2 2 2 13 6 2" xfId="16174" xr:uid="{00000000-0005-0000-0000-000056420000}"/>
    <cellStyle name="Normal 2 2 2 2 2 13 6 3" xfId="16175" xr:uid="{00000000-0005-0000-0000-000057420000}"/>
    <cellStyle name="Normal 2 2 2 2 2 13 6 4" xfId="16176" xr:uid="{00000000-0005-0000-0000-000058420000}"/>
    <cellStyle name="Normal 2 2 2 2 2 13 6 5" xfId="16177" xr:uid="{00000000-0005-0000-0000-000059420000}"/>
    <cellStyle name="Normal 2 2 2 2 2 13 6 6" xfId="16178" xr:uid="{00000000-0005-0000-0000-00005A420000}"/>
    <cellStyle name="Normal 2 2 2 2 2 13 7" xfId="16179" xr:uid="{00000000-0005-0000-0000-00005B420000}"/>
    <cellStyle name="Normal 2 2 2 2 2 13 7 2" xfId="16180" xr:uid="{00000000-0005-0000-0000-00005C420000}"/>
    <cellStyle name="Normal 2 2 2 2 2 13 7 3" xfId="16181" xr:uid="{00000000-0005-0000-0000-00005D420000}"/>
    <cellStyle name="Normal 2 2 2 2 2 13 7 4" xfId="16182" xr:uid="{00000000-0005-0000-0000-00005E420000}"/>
    <cellStyle name="Normal 2 2 2 2 2 13 7 5" xfId="16183" xr:uid="{00000000-0005-0000-0000-00005F420000}"/>
    <cellStyle name="Normal 2 2 2 2 2 13 7 6" xfId="16184" xr:uid="{00000000-0005-0000-0000-000060420000}"/>
    <cellStyle name="Normal 2 2 2 2 2 13 8" xfId="16185" xr:uid="{00000000-0005-0000-0000-000061420000}"/>
    <cellStyle name="Normal 2 2 2 2 2 13 8 2" xfId="16186" xr:uid="{00000000-0005-0000-0000-000062420000}"/>
    <cellStyle name="Normal 2 2 2 2 2 13 8 3" xfId="16187" xr:uid="{00000000-0005-0000-0000-000063420000}"/>
    <cellStyle name="Normal 2 2 2 2 2 13 8 4" xfId="16188" xr:uid="{00000000-0005-0000-0000-000064420000}"/>
    <cellStyle name="Normal 2 2 2 2 2 13 8 5" xfId="16189" xr:uid="{00000000-0005-0000-0000-000065420000}"/>
    <cellStyle name="Normal 2 2 2 2 2 13 8 6" xfId="16190" xr:uid="{00000000-0005-0000-0000-000066420000}"/>
    <cellStyle name="Normal 2 2 2 2 2 13 9" xfId="16191" xr:uid="{00000000-0005-0000-0000-000067420000}"/>
    <cellStyle name="Normal 2 2 2 2 2 14" xfId="16192" xr:uid="{00000000-0005-0000-0000-000068420000}"/>
    <cellStyle name="Normal 2 2 2 2 2 14 10" xfId="16193" xr:uid="{00000000-0005-0000-0000-000069420000}"/>
    <cellStyle name="Normal 2 2 2 2 2 14 11" xfId="16194" xr:uid="{00000000-0005-0000-0000-00006A420000}"/>
    <cellStyle name="Normal 2 2 2 2 2 14 12" xfId="16195" xr:uid="{00000000-0005-0000-0000-00006B420000}"/>
    <cellStyle name="Normal 2 2 2 2 2 14 13" xfId="16196" xr:uid="{00000000-0005-0000-0000-00006C420000}"/>
    <cellStyle name="Normal 2 2 2 2 2 14 2" xfId="16197" xr:uid="{00000000-0005-0000-0000-00006D420000}"/>
    <cellStyle name="Normal 2 2 2 2 2 14 2 2" xfId="16198" xr:uid="{00000000-0005-0000-0000-00006E420000}"/>
    <cellStyle name="Normal 2 2 2 2 2 14 2 3" xfId="16199" xr:uid="{00000000-0005-0000-0000-00006F420000}"/>
    <cellStyle name="Normal 2 2 2 2 2 14 2 4" xfId="16200" xr:uid="{00000000-0005-0000-0000-000070420000}"/>
    <cellStyle name="Normal 2 2 2 2 2 14 2 5" xfId="16201" xr:uid="{00000000-0005-0000-0000-000071420000}"/>
    <cellStyle name="Normal 2 2 2 2 2 14 2 6" xfId="16202" xr:uid="{00000000-0005-0000-0000-000072420000}"/>
    <cellStyle name="Normal 2 2 2 2 2 14 3" xfId="16203" xr:uid="{00000000-0005-0000-0000-000073420000}"/>
    <cellStyle name="Normal 2 2 2 2 2 14 3 2" xfId="16204" xr:uid="{00000000-0005-0000-0000-000074420000}"/>
    <cellStyle name="Normal 2 2 2 2 2 14 3 3" xfId="16205" xr:uid="{00000000-0005-0000-0000-000075420000}"/>
    <cellStyle name="Normal 2 2 2 2 2 14 3 4" xfId="16206" xr:uid="{00000000-0005-0000-0000-000076420000}"/>
    <cellStyle name="Normal 2 2 2 2 2 14 3 5" xfId="16207" xr:uid="{00000000-0005-0000-0000-000077420000}"/>
    <cellStyle name="Normal 2 2 2 2 2 14 3 6" xfId="16208" xr:uid="{00000000-0005-0000-0000-000078420000}"/>
    <cellStyle name="Normal 2 2 2 2 2 14 4" xfId="16209" xr:uid="{00000000-0005-0000-0000-000079420000}"/>
    <cellStyle name="Normal 2 2 2 2 2 14 4 2" xfId="16210" xr:uid="{00000000-0005-0000-0000-00007A420000}"/>
    <cellStyle name="Normal 2 2 2 2 2 14 4 3" xfId="16211" xr:uid="{00000000-0005-0000-0000-00007B420000}"/>
    <cellStyle name="Normal 2 2 2 2 2 14 4 4" xfId="16212" xr:uid="{00000000-0005-0000-0000-00007C420000}"/>
    <cellStyle name="Normal 2 2 2 2 2 14 4 5" xfId="16213" xr:uid="{00000000-0005-0000-0000-00007D420000}"/>
    <cellStyle name="Normal 2 2 2 2 2 14 4 6" xfId="16214" xr:uid="{00000000-0005-0000-0000-00007E420000}"/>
    <cellStyle name="Normal 2 2 2 2 2 14 5" xfId="16215" xr:uid="{00000000-0005-0000-0000-00007F420000}"/>
    <cellStyle name="Normal 2 2 2 2 2 14 5 2" xfId="16216" xr:uid="{00000000-0005-0000-0000-000080420000}"/>
    <cellStyle name="Normal 2 2 2 2 2 14 5 3" xfId="16217" xr:uid="{00000000-0005-0000-0000-000081420000}"/>
    <cellStyle name="Normal 2 2 2 2 2 14 5 4" xfId="16218" xr:uid="{00000000-0005-0000-0000-000082420000}"/>
    <cellStyle name="Normal 2 2 2 2 2 14 5 5" xfId="16219" xr:uid="{00000000-0005-0000-0000-000083420000}"/>
    <cellStyle name="Normal 2 2 2 2 2 14 5 6" xfId="16220" xr:uid="{00000000-0005-0000-0000-000084420000}"/>
    <cellStyle name="Normal 2 2 2 2 2 14 6" xfId="16221" xr:uid="{00000000-0005-0000-0000-000085420000}"/>
    <cellStyle name="Normal 2 2 2 2 2 14 6 2" xfId="16222" xr:uid="{00000000-0005-0000-0000-000086420000}"/>
    <cellStyle name="Normal 2 2 2 2 2 14 6 3" xfId="16223" xr:uid="{00000000-0005-0000-0000-000087420000}"/>
    <cellStyle name="Normal 2 2 2 2 2 14 6 4" xfId="16224" xr:uid="{00000000-0005-0000-0000-000088420000}"/>
    <cellStyle name="Normal 2 2 2 2 2 14 6 5" xfId="16225" xr:uid="{00000000-0005-0000-0000-000089420000}"/>
    <cellStyle name="Normal 2 2 2 2 2 14 6 6" xfId="16226" xr:uid="{00000000-0005-0000-0000-00008A420000}"/>
    <cellStyle name="Normal 2 2 2 2 2 14 7" xfId="16227" xr:uid="{00000000-0005-0000-0000-00008B420000}"/>
    <cellStyle name="Normal 2 2 2 2 2 14 7 2" xfId="16228" xr:uid="{00000000-0005-0000-0000-00008C420000}"/>
    <cellStyle name="Normal 2 2 2 2 2 14 7 3" xfId="16229" xr:uid="{00000000-0005-0000-0000-00008D420000}"/>
    <cellStyle name="Normal 2 2 2 2 2 14 7 4" xfId="16230" xr:uid="{00000000-0005-0000-0000-00008E420000}"/>
    <cellStyle name="Normal 2 2 2 2 2 14 7 5" xfId="16231" xr:uid="{00000000-0005-0000-0000-00008F420000}"/>
    <cellStyle name="Normal 2 2 2 2 2 14 7 6" xfId="16232" xr:uid="{00000000-0005-0000-0000-000090420000}"/>
    <cellStyle name="Normal 2 2 2 2 2 14 8" xfId="16233" xr:uid="{00000000-0005-0000-0000-000091420000}"/>
    <cellStyle name="Normal 2 2 2 2 2 14 8 2" xfId="16234" xr:uid="{00000000-0005-0000-0000-000092420000}"/>
    <cellStyle name="Normal 2 2 2 2 2 14 8 3" xfId="16235" xr:uid="{00000000-0005-0000-0000-000093420000}"/>
    <cellStyle name="Normal 2 2 2 2 2 14 8 4" xfId="16236" xr:uid="{00000000-0005-0000-0000-000094420000}"/>
    <cellStyle name="Normal 2 2 2 2 2 14 8 5" xfId="16237" xr:uid="{00000000-0005-0000-0000-000095420000}"/>
    <cellStyle name="Normal 2 2 2 2 2 14 8 6" xfId="16238" xr:uid="{00000000-0005-0000-0000-000096420000}"/>
    <cellStyle name="Normal 2 2 2 2 2 14 9" xfId="16239" xr:uid="{00000000-0005-0000-0000-000097420000}"/>
    <cellStyle name="Normal 2 2 2 2 2 15" xfId="16240" xr:uid="{00000000-0005-0000-0000-000098420000}"/>
    <cellStyle name="Normal 2 2 2 2 2 15 10" xfId="16241" xr:uid="{00000000-0005-0000-0000-000099420000}"/>
    <cellStyle name="Normal 2 2 2 2 2 15 11" xfId="16242" xr:uid="{00000000-0005-0000-0000-00009A420000}"/>
    <cellStyle name="Normal 2 2 2 2 2 15 12" xfId="16243" xr:uid="{00000000-0005-0000-0000-00009B420000}"/>
    <cellStyle name="Normal 2 2 2 2 2 15 13" xfId="16244" xr:uid="{00000000-0005-0000-0000-00009C420000}"/>
    <cellStyle name="Normal 2 2 2 2 2 15 2" xfId="16245" xr:uid="{00000000-0005-0000-0000-00009D420000}"/>
    <cellStyle name="Normal 2 2 2 2 2 15 2 2" xfId="16246" xr:uid="{00000000-0005-0000-0000-00009E420000}"/>
    <cellStyle name="Normal 2 2 2 2 2 15 2 3" xfId="16247" xr:uid="{00000000-0005-0000-0000-00009F420000}"/>
    <cellStyle name="Normal 2 2 2 2 2 15 2 4" xfId="16248" xr:uid="{00000000-0005-0000-0000-0000A0420000}"/>
    <cellStyle name="Normal 2 2 2 2 2 15 2 5" xfId="16249" xr:uid="{00000000-0005-0000-0000-0000A1420000}"/>
    <cellStyle name="Normal 2 2 2 2 2 15 2 6" xfId="16250" xr:uid="{00000000-0005-0000-0000-0000A2420000}"/>
    <cellStyle name="Normal 2 2 2 2 2 15 3" xfId="16251" xr:uid="{00000000-0005-0000-0000-0000A3420000}"/>
    <cellStyle name="Normal 2 2 2 2 2 15 3 2" xfId="16252" xr:uid="{00000000-0005-0000-0000-0000A4420000}"/>
    <cellStyle name="Normal 2 2 2 2 2 15 3 3" xfId="16253" xr:uid="{00000000-0005-0000-0000-0000A5420000}"/>
    <cellStyle name="Normal 2 2 2 2 2 15 3 4" xfId="16254" xr:uid="{00000000-0005-0000-0000-0000A6420000}"/>
    <cellStyle name="Normal 2 2 2 2 2 15 3 5" xfId="16255" xr:uid="{00000000-0005-0000-0000-0000A7420000}"/>
    <cellStyle name="Normal 2 2 2 2 2 15 3 6" xfId="16256" xr:uid="{00000000-0005-0000-0000-0000A8420000}"/>
    <cellStyle name="Normal 2 2 2 2 2 15 4" xfId="16257" xr:uid="{00000000-0005-0000-0000-0000A9420000}"/>
    <cellStyle name="Normal 2 2 2 2 2 15 4 2" xfId="16258" xr:uid="{00000000-0005-0000-0000-0000AA420000}"/>
    <cellStyle name="Normal 2 2 2 2 2 15 4 3" xfId="16259" xr:uid="{00000000-0005-0000-0000-0000AB420000}"/>
    <cellStyle name="Normal 2 2 2 2 2 15 4 4" xfId="16260" xr:uid="{00000000-0005-0000-0000-0000AC420000}"/>
    <cellStyle name="Normal 2 2 2 2 2 15 4 5" xfId="16261" xr:uid="{00000000-0005-0000-0000-0000AD420000}"/>
    <cellStyle name="Normal 2 2 2 2 2 15 4 6" xfId="16262" xr:uid="{00000000-0005-0000-0000-0000AE420000}"/>
    <cellStyle name="Normal 2 2 2 2 2 15 5" xfId="16263" xr:uid="{00000000-0005-0000-0000-0000AF420000}"/>
    <cellStyle name="Normal 2 2 2 2 2 15 5 2" xfId="16264" xr:uid="{00000000-0005-0000-0000-0000B0420000}"/>
    <cellStyle name="Normal 2 2 2 2 2 15 5 3" xfId="16265" xr:uid="{00000000-0005-0000-0000-0000B1420000}"/>
    <cellStyle name="Normal 2 2 2 2 2 15 5 4" xfId="16266" xr:uid="{00000000-0005-0000-0000-0000B2420000}"/>
    <cellStyle name="Normal 2 2 2 2 2 15 5 5" xfId="16267" xr:uid="{00000000-0005-0000-0000-0000B3420000}"/>
    <cellStyle name="Normal 2 2 2 2 2 15 5 6" xfId="16268" xr:uid="{00000000-0005-0000-0000-0000B4420000}"/>
    <cellStyle name="Normal 2 2 2 2 2 15 6" xfId="16269" xr:uid="{00000000-0005-0000-0000-0000B5420000}"/>
    <cellStyle name="Normal 2 2 2 2 2 15 6 2" xfId="16270" xr:uid="{00000000-0005-0000-0000-0000B6420000}"/>
    <cellStyle name="Normal 2 2 2 2 2 15 6 3" xfId="16271" xr:uid="{00000000-0005-0000-0000-0000B7420000}"/>
    <cellStyle name="Normal 2 2 2 2 2 15 6 4" xfId="16272" xr:uid="{00000000-0005-0000-0000-0000B8420000}"/>
    <cellStyle name="Normal 2 2 2 2 2 15 6 5" xfId="16273" xr:uid="{00000000-0005-0000-0000-0000B9420000}"/>
    <cellStyle name="Normal 2 2 2 2 2 15 6 6" xfId="16274" xr:uid="{00000000-0005-0000-0000-0000BA420000}"/>
    <cellStyle name="Normal 2 2 2 2 2 15 7" xfId="16275" xr:uid="{00000000-0005-0000-0000-0000BB420000}"/>
    <cellStyle name="Normal 2 2 2 2 2 15 7 2" xfId="16276" xr:uid="{00000000-0005-0000-0000-0000BC420000}"/>
    <cellStyle name="Normal 2 2 2 2 2 15 7 3" xfId="16277" xr:uid="{00000000-0005-0000-0000-0000BD420000}"/>
    <cellStyle name="Normal 2 2 2 2 2 15 7 4" xfId="16278" xr:uid="{00000000-0005-0000-0000-0000BE420000}"/>
    <cellStyle name="Normal 2 2 2 2 2 15 7 5" xfId="16279" xr:uid="{00000000-0005-0000-0000-0000BF420000}"/>
    <cellStyle name="Normal 2 2 2 2 2 15 7 6" xfId="16280" xr:uid="{00000000-0005-0000-0000-0000C0420000}"/>
    <cellStyle name="Normal 2 2 2 2 2 15 8" xfId="16281" xr:uid="{00000000-0005-0000-0000-0000C1420000}"/>
    <cellStyle name="Normal 2 2 2 2 2 15 8 2" xfId="16282" xr:uid="{00000000-0005-0000-0000-0000C2420000}"/>
    <cellStyle name="Normal 2 2 2 2 2 15 8 3" xfId="16283" xr:uid="{00000000-0005-0000-0000-0000C3420000}"/>
    <cellStyle name="Normal 2 2 2 2 2 15 8 4" xfId="16284" xr:uid="{00000000-0005-0000-0000-0000C4420000}"/>
    <cellStyle name="Normal 2 2 2 2 2 15 8 5" xfId="16285" xr:uid="{00000000-0005-0000-0000-0000C5420000}"/>
    <cellStyle name="Normal 2 2 2 2 2 15 8 6" xfId="16286" xr:uid="{00000000-0005-0000-0000-0000C6420000}"/>
    <cellStyle name="Normal 2 2 2 2 2 15 9" xfId="16287" xr:uid="{00000000-0005-0000-0000-0000C7420000}"/>
    <cellStyle name="Normal 2 2 2 2 2 16" xfId="16288" xr:uid="{00000000-0005-0000-0000-0000C8420000}"/>
    <cellStyle name="Normal 2 2 2 2 2 16 10" xfId="16289" xr:uid="{00000000-0005-0000-0000-0000C9420000}"/>
    <cellStyle name="Normal 2 2 2 2 2 16 11" xfId="16290" xr:uid="{00000000-0005-0000-0000-0000CA420000}"/>
    <cellStyle name="Normal 2 2 2 2 2 16 12" xfId="16291" xr:uid="{00000000-0005-0000-0000-0000CB420000}"/>
    <cellStyle name="Normal 2 2 2 2 2 16 13" xfId="16292" xr:uid="{00000000-0005-0000-0000-0000CC420000}"/>
    <cellStyle name="Normal 2 2 2 2 2 16 2" xfId="16293" xr:uid="{00000000-0005-0000-0000-0000CD420000}"/>
    <cellStyle name="Normal 2 2 2 2 2 16 2 2" xfId="16294" xr:uid="{00000000-0005-0000-0000-0000CE420000}"/>
    <cellStyle name="Normal 2 2 2 2 2 16 2 3" xfId="16295" xr:uid="{00000000-0005-0000-0000-0000CF420000}"/>
    <cellStyle name="Normal 2 2 2 2 2 16 2 4" xfId="16296" xr:uid="{00000000-0005-0000-0000-0000D0420000}"/>
    <cellStyle name="Normal 2 2 2 2 2 16 2 5" xfId="16297" xr:uid="{00000000-0005-0000-0000-0000D1420000}"/>
    <cellStyle name="Normal 2 2 2 2 2 16 2 6" xfId="16298" xr:uid="{00000000-0005-0000-0000-0000D2420000}"/>
    <cellStyle name="Normal 2 2 2 2 2 16 3" xfId="16299" xr:uid="{00000000-0005-0000-0000-0000D3420000}"/>
    <cellStyle name="Normal 2 2 2 2 2 16 3 2" xfId="16300" xr:uid="{00000000-0005-0000-0000-0000D4420000}"/>
    <cellStyle name="Normal 2 2 2 2 2 16 3 3" xfId="16301" xr:uid="{00000000-0005-0000-0000-0000D5420000}"/>
    <cellStyle name="Normal 2 2 2 2 2 16 3 4" xfId="16302" xr:uid="{00000000-0005-0000-0000-0000D6420000}"/>
    <cellStyle name="Normal 2 2 2 2 2 16 3 5" xfId="16303" xr:uid="{00000000-0005-0000-0000-0000D7420000}"/>
    <cellStyle name="Normal 2 2 2 2 2 16 3 6" xfId="16304" xr:uid="{00000000-0005-0000-0000-0000D8420000}"/>
    <cellStyle name="Normal 2 2 2 2 2 16 4" xfId="16305" xr:uid="{00000000-0005-0000-0000-0000D9420000}"/>
    <cellStyle name="Normal 2 2 2 2 2 16 4 2" xfId="16306" xr:uid="{00000000-0005-0000-0000-0000DA420000}"/>
    <cellStyle name="Normal 2 2 2 2 2 16 4 3" xfId="16307" xr:uid="{00000000-0005-0000-0000-0000DB420000}"/>
    <cellStyle name="Normal 2 2 2 2 2 16 4 4" xfId="16308" xr:uid="{00000000-0005-0000-0000-0000DC420000}"/>
    <cellStyle name="Normal 2 2 2 2 2 16 4 5" xfId="16309" xr:uid="{00000000-0005-0000-0000-0000DD420000}"/>
    <cellStyle name="Normal 2 2 2 2 2 16 4 6" xfId="16310" xr:uid="{00000000-0005-0000-0000-0000DE420000}"/>
    <cellStyle name="Normal 2 2 2 2 2 16 5" xfId="16311" xr:uid="{00000000-0005-0000-0000-0000DF420000}"/>
    <cellStyle name="Normal 2 2 2 2 2 16 5 2" xfId="16312" xr:uid="{00000000-0005-0000-0000-0000E0420000}"/>
    <cellStyle name="Normal 2 2 2 2 2 16 5 3" xfId="16313" xr:uid="{00000000-0005-0000-0000-0000E1420000}"/>
    <cellStyle name="Normal 2 2 2 2 2 16 5 4" xfId="16314" xr:uid="{00000000-0005-0000-0000-0000E2420000}"/>
    <cellStyle name="Normal 2 2 2 2 2 16 5 5" xfId="16315" xr:uid="{00000000-0005-0000-0000-0000E3420000}"/>
    <cellStyle name="Normal 2 2 2 2 2 16 5 6" xfId="16316" xr:uid="{00000000-0005-0000-0000-0000E4420000}"/>
    <cellStyle name="Normal 2 2 2 2 2 16 6" xfId="16317" xr:uid="{00000000-0005-0000-0000-0000E5420000}"/>
    <cellStyle name="Normal 2 2 2 2 2 16 6 2" xfId="16318" xr:uid="{00000000-0005-0000-0000-0000E6420000}"/>
    <cellStyle name="Normal 2 2 2 2 2 16 6 3" xfId="16319" xr:uid="{00000000-0005-0000-0000-0000E7420000}"/>
    <cellStyle name="Normal 2 2 2 2 2 16 6 4" xfId="16320" xr:uid="{00000000-0005-0000-0000-0000E8420000}"/>
    <cellStyle name="Normal 2 2 2 2 2 16 6 5" xfId="16321" xr:uid="{00000000-0005-0000-0000-0000E9420000}"/>
    <cellStyle name="Normal 2 2 2 2 2 16 6 6" xfId="16322" xr:uid="{00000000-0005-0000-0000-0000EA420000}"/>
    <cellStyle name="Normal 2 2 2 2 2 16 7" xfId="16323" xr:uid="{00000000-0005-0000-0000-0000EB420000}"/>
    <cellStyle name="Normal 2 2 2 2 2 16 7 2" xfId="16324" xr:uid="{00000000-0005-0000-0000-0000EC420000}"/>
    <cellStyle name="Normal 2 2 2 2 2 16 7 3" xfId="16325" xr:uid="{00000000-0005-0000-0000-0000ED420000}"/>
    <cellStyle name="Normal 2 2 2 2 2 16 7 4" xfId="16326" xr:uid="{00000000-0005-0000-0000-0000EE420000}"/>
    <cellStyle name="Normal 2 2 2 2 2 16 7 5" xfId="16327" xr:uid="{00000000-0005-0000-0000-0000EF420000}"/>
    <cellStyle name="Normal 2 2 2 2 2 16 7 6" xfId="16328" xr:uid="{00000000-0005-0000-0000-0000F0420000}"/>
    <cellStyle name="Normal 2 2 2 2 2 16 8" xfId="16329" xr:uid="{00000000-0005-0000-0000-0000F1420000}"/>
    <cellStyle name="Normal 2 2 2 2 2 16 8 2" xfId="16330" xr:uid="{00000000-0005-0000-0000-0000F2420000}"/>
    <cellStyle name="Normal 2 2 2 2 2 16 8 3" xfId="16331" xr:uid="{00000000-0005-0000-0000-0000F3420000}"/>
    <cellStyle name="Normal 2 2 2 2 2 16 8 4" xfId="16332" xr:uid="{00000000-0005-0000-0000-0000F4420000}"/>
    <cellStyle name="Normal 2 2 2 2 2 16 8 5" xfId="16333" xr:uid="{00000000-0005-0000-0000-0000F5420000}"/>
    <cellStyle name="Normal 2 2 2 2 2 16 8 6" xfId="16334" xr:uid="{00000000-0005-0000-0000-0000F6420000}"/>
    <cellStyle name="Normal 2 2 2 2 2 16 9" xfId="16335" xr:uid="{00000000-0005-0000-0000-0000F7420000}"/>
    <cellStyle name="Normal 2 2 2 2 2 17" xfId="16336" xr:uid="{00000000-0005-0000-0000-0000F8420000}"/>
    <cellStyle name="Normal 2 2 2 2 2 17 10" xfId="16337" xr:uid="{00000000-0005-0000-0000-0000F9420000}"/>
    <cellStyle name="Normal 2 2 2 2 2 17 11" xfId="16338" xr:uid="{00000000-0005-0000-0000-0000FA420000}"/>
    <cellStyle name="Normal 2 2 2 2 2 17 12" xfId="16339" xr:uid="{00000000-0005-0000-0000-0000FB420000}"/>
    <cellStyle name="Normal 2 2 2 2 2 17 13" xfId="16340" xr:uid="{00000000-0005-0000-0000-0000FC420000}"/>
    <cellStyle name="Normal 2 2 2 2 2 17 2" xfId="16341" xr:uid="{00000000-0005-0000-0000-0000FD420000}"/>
    <cellStyle name="Normal 2 2 2 2 2 17 2 2" xfId="16342" xr:uid="{00000000-0005-0000-0000-0000FE420000}"/>
    <cellStyle name="Normal 2 2 2 2 2 17 2 3" xfId="16343" xr:uid="{00000000-0005-0000-0000-0000FF420000}"/>
    <cellStyle name="Normal 2 2 2 2 2 17 2 4" xfId="16344" xr:uid="{00000000-0005-0000-0000-000000430000}"/>
    <cellStyle name="Normal 2 2 2 2 2 17 2 5" xfId="16345" xr:uid="{00000000-0005-0000-0000-000001430000}"/>
    <cellStyle name="Normal 2 2 2 2 2 17 2 6" xfId="16346" xr:uid="{00000000-0005-0000-0000-000002430000}"/>
    <cellStyle name="Normal 2 2 2 2 2 17 3" xfId="16347" xr:uid="{00000000-0005-0000-0000-000003430000}"/>
    <cellStyle name="Normal 2 2 2 2 2 17 3 2" xfId="16348" xr:uid="{00000000-0005-0000-0000-000004430000}"/>
    <cellStyle name="Normal 2 2 2 2 2 17 3 3" xfId="16349" xr:uid="{00000000-0005-0000-0000-000005430000}"/>
    <cellStyle name="Normal 2 2 2 2 2 17 3 4" xfId="16350" xr:uid="{00000000-0005-0000-0000-000006430000}"/>
    <cellStyle name="Normal 2 2 2 2 2 17 3 5" xfId="16351" xr:uid="{00000000-0005-0000-0000-000007430000}"/>
    <cellStyle name="Normal 2 2 2 2 2 17 3 6" xfId="16352" xr:uid="{00000000-0005-0000-0000-000008430000}"/>
    <cellStyle name="Normal 2 2 2 2 2 17 4" xfId="16353" xr:uid="{00000000-0005-0000-0000-000009430000}"/>
    <cellStyle name="Normal 2 2 2 2 2 17 4 2" xfId="16354" xr:uid="{00000000-0005-0000-0000-00000A430000}"/>
    <cellStyle name="Normal 2 2 2 2 2 17 4 3" xfId="16355" xr:uid="{00000000-0005-0000-0000-00000B430000}"/>
    <cellStyle name="Normal 2 2 2 2 2 17 4 4" xfId="16356" xr:uid="{00000000-0005-0000-0000-00000C430000}"/>
    <cellStyle name="Normal 2 2 2 2 2 17 4 5" xfId="16357" xr:uid="{00000000-0005-0000-0000-00000D430000}"/>
    <cellStyle name="Normal 2 2 2 2 2 17 4 6" xfId="16358" xr:uid="{00000000-0005-0000-0000-00000E430000}"/>
    <cellStyle name="Normal 2 2 2 2 2 17 5" xfId="16359" xr:uid="{00000000-0005-0000-0000-00000F430000}"/>
    <cellStyle name="Normal 2 2 2 2 2 17 5 2" xfId="16360" xr:uid="{00000000-0005-0000-0000-000010430000}"/>
    <cellStyle name="Normal 2 2 2 2 2 17 5 3" xfId="16361" xr:uid="{00000000-0005-0000-0000-000011430000}"/>
    <cellStyle name="Normal 2 2 2 2 2 17 5 4" xfId="16362" xr:uid="{00000000-0005-0000-0000-000012430000}"/>
    <cellStyle name="Normal 2 2 2 2 2 17 5 5" xfId="16363" xr:uid="{00000000-0005-0000-0000-000013430000}"/>
    <cellStyle name="Normal 2 2 2 2 2 17 5 6" xfId="16364" xr:uid="{00000000-0005-0000-0000-000014430000}"/>
    <cellStyle name="Normal 2 2 2 2 2 17 6" xfId="16365" xr:uid="{00000000-0005-0000-0000-000015430000}"/>
    <cellStyle name="Normal 2 2 2 2 2 17 6 2" xfId="16366" xr:uid="{00000000-0005-0000-0000-000016430000}"/>
    <cellStyle name="Normal 2 2 2 2 2 17 6 3" xfId="16367" xr:uid="{00000000-0005-0000-0000-000017430000}"/>
    <cellStyle name="Normal 2 2 2 2 2 17 6 4" xfId="16368" xr:uid="{00000000-0005-0000-0000-000018430000}"/>
    <cellStyle name="Normal 2 2 2 2 2 17 6 5" xfId="16369" xr:uid="{00000000-0005-0000-0000-000019430000}"/>
    <cellStyle name="Normal 2 2 2 2 2 17 6 6" xfId="16370" xr:uid="{00000000-0005-0000-0000-00001A430000}"/>
    <cellStyle name="Normal 2 2 2 2 2 17 7" xfId="16371" xr:uid="{00000000-0005-0000-0000-00001B430000}"/>
    <cellStyle name="Normal 2 2 2 2 2 17 7 2" xfId="16372" xr:uid="{00000000-0005-0000-0000-00001C430000}"/>
    <cellStyle name="Normal 2 2 2 2 2 17 7 3" xfId="16373" xr:uid="{00000000-0005-0000-0000-00001D430000}"/>
    <cellStyle name="Normal 2 2 2 2 2 17 7 4" xfId="16374" xr:uid="{00000000-0005-0000-0000-00001E430000}"/>
    <cellStyle name="Normal 2 2 2 2 2 17 7 5" xfId="16375" xr:uid="{00000000-0005-0000-0000-00001F430000}"/>
    <cellStyle name="Normal 2 2 2 2 2 17 7 6" xfId="16376" xr:uid="{00000000-0005-0000-0000-000020430000}"/>
    <cellStyle name="Normal 2 2 2 2 2 17 8" xfId="16377" xr:uid="{00000000-0005-0000-0000-000021430000}"/>
    <cellStyle name="Normal 2 2 2 2 2 17 8 2" xfId="16378" xr:uid="{00000000-0005-0000-0000-000022430000}"/>
    <cellStyle name="Normal 2 2 2 2 2 17 8 3" xfId="16379" xr:uid="{00000000-0005-0000-0000-000023430000}"/>
    <cellStyle name="Normal 2 2 2 2 2 17 8 4" xfId="16380" xr:uid="{00000000-0005-0000-0000-000024430000}"/>
    <cellStyle name="Normal 2 2 2 2 2 17 8 5" xfId="16381" xr:uid="{00000000-0005-0000-0000-000025430000}"/>
    <cellStyle name="Normal 2 2 2 2 2 17 8 6" xfId="16382" xr:uid="{00000000-0005-0000-0000-000026430000}"/>
    <cellStyle name="Normal 2 2 2 2 2 17 9" xfId="16383" xr:uid="{00000000-0005-0000-0000-000027430000}"/>
    <cellStyle name="Normal 2 2 2 2 2 18" xfId="16384" xr:uid="{00000000-0005-0000-0000-000028430000}"/>
    <cellStyle name="Normal 2 2 2 2 2 18 10" xfId="16385" xr:uid="{00000000-0005-0000-0000-000029430000}"/>
    <cellStyle name="Normal 2 2 2 2 2 18 11" xfId="16386" xr:uid="{00000000-0005-0000-0000-00002A430000}"/>
    <cellStyle name="Normal 2 2 2 2 2 18 12" xfId="16387" xr:uid="{00000000-0005-0000-0000-00002B430000}"/>
    <cellStyle name="Normal 2 2 2 2 2 18 13" xfId="16388" xr:uid="{00000000-0005-0000-0000-00002C430000}"/>
    <cellStyle name="Normal 2 2 2 2 2 18 2" xfId="16389" xr:uid="{00000000-0005-0000-0000-00002D430000}"/>
    <cellStyle name="Normal 2 2 2 2 2 18 2 2" xfId="16390" xr:uid="{00000000-0005-0000-0000-00002E430000}"/>
    <cellStyle name="Normal 2 2 2 2 2 18 2 2 2" xfId="16391" xr:uid="{00000000-0005-0000-0000-00002F430000}"/>
    <cellStyle name="Normal 2 2 2 2 2 18 2 3" xfId="16392" xr:uid="{00000000-0005-0000-0000-000030430000}"/>
    <cellStyle name="Normal 2 2 2 2 2 18 2 4" xfId="16393" xr:uid="{00000000-0005-0000-0000-000031430000}"/>
    <cellStyle name="Normal 2 2 2 2 2 18 2 5" xfId="16394" xr:uid="{00000000-0005-0000-0000-000032430000}"/>
    <cellStyle name="Normal 2 2 2 2 2 18 2 6" xfId="16395" xr:uid="{00000000-0005-0000-0000-000033430000}"/>
    <cellStyle name="Normal 2 2 2 2 2 18 3" xfId="16396" xr:uid="{00000000-0005-0000-0000-000034430000}"/>
    <cellStyle name="Normal 2 2 2 2 2 18 3 2" xfId="16397" xr:uid="{00000000-0005-0000-0000-000035430000}"/>
    <cellStyle name="Normal 2 2 2 2 2 18 3 3" xfId="16398" xr:uid="{00000000-0005-0000-0000-000036430000}"/>
    <cellStyle name="Normal 2 2 2 2 2 18 3 4" xfId="16399" xr:uid="{00000000-0005-0000-0000-000037430000}"/>
    <cellStyle name="Normal 2 2 2 2 2 18 3 5" xfId="16400" xr:uid="{00000000-0005-0000-0000-000038430000}"/>
    <cellStyle name="Normal 2 2 2 2 2 18 3 6" xfId="16401" xr:uid="{00000000-0005-0000-0000-000039430000}"/>
    <cellStyle name="Normal 2 2 2 2 2 18 4" xfId="16402" xr:uid="{00000000-0005-0000-0000-00003A430000}"/>
    <cellStyle name="Normal 2 2 2 2 2 18 4 2" xfId="16403" xr:uid="{00000000-0005-0000-0000-00003B430000}"/>
    <cellStyle name="Normal 2 2 2 2 2 18 4 3" xfId="16404" xr:uid="{00000000-0005-0000-0000-00003C430000}"/>
    <cellStyle name="Normal 2 2 2 2 2 18 4 4" xfId="16405" xr:uid="{00000000-0005-0000-0000-00003D430000}"/>
    <cellStyle name="Normal 2 2 2 2 2 18 4 5" xfId="16406" xr:uid="{00000000-0005-0000-0000-00003E430000}"/>
    <cellStyle name="Normal 2 2 2 2 2 18 4 6" xfId="16407" xr:uid="{00000000-0005-0000-0000-00003F430000}"/>
    <cellStyle name="Normal 2 2 2 2 2 18 5" xfId="16408" xr:uid="{00000000-0005-0000-0000-000040430000}"/>
    <cellStyle name="Normal 2 2 2 2 2 18 5 2" xfId="16409" xr:uid="{00000000-0005-0000-0000-000041430000}"/>
    <cellStyle name="Normal 2 2 2 2 2 18 5 3" xfId="16410" xr:uid="{00000000-0005-0000-0000-000042430000}"/>
    <cellStyle name="Normal 2 2 2 2 2 18 5 4" xfId="16411" xr:uid="{00000000-0005-0000-0000-000043430000}"/>
    <cellStyle name="Normal 2 2 2 2 2 18 5 5" xfId="16412" xr:uid="{00000000-0005-0000-0000-000044430000}"/>
    <cellStyle name="Normal 2 2 2 2 2 18 5 6" xfId="16413" xr:uid="{00000000-0005-0000-0000-000045430000}"/>
    <cellStyle name="Normal 2 2 2 2 2 18 6" xfId="16414" xr:uid="{00000000-0005-0000-0000-000046430000}"/>
    <cellStyle name="Normal 2 2 2 2 2 18 6 2" xfId="16415" xr:uid="{00000000-0005-0000-0000-000047430000}"/>
    <cellStyle name="Normal 2 2 2 2 2 18 6 3" xfId="16416" xr:uid="{00000000-0005-0000-0000-000048430000}"/>
    <cellStyle name="Normal 2 2 2 2 2 18 6 4" xfId="16417" xr:uid="{00000000-0005-0000-0000-000049430000}"/>
    <cellStyle name="Normal 2 2 2 2 2 18 6 5" xfId="16418" xr:uid="{00000000-0005-0000-0000-00004A430000}"/>
    <cellStyle name="Normal 2 2 2 2 2 18 6 6" xfId="16419" xr:uid="{00000000-0005-0000-0000-00004B430000}"/>
    <cellStyle name="Normal 2 2 2 2 2 18 7" xfId="16420" xr:uid="{00000000-0005-0000-0000-00004C430000}"/>
    <cellStyle name="Normal 2 2 2 2 2 18 7 2" xfId="16421" xr:uid="{00000000-0005-0000-0000-00004D430000}"/>
    <cellStyle name="Normal 2 2 2 2 2 18 7 3" xfId="16422" xr:uid="{00000000-0005-0000-0000-00004E430000}"/>
    <cellStyle name="Normal 2 2 2 2 2 18 7 4" xfId="16423" xr:uid="{00000000-0005-0000-0000-00004F430000}"/>
    <cellStyle name="Normal 2 2 2 2 2 18 7 5" xfId="16424" xr:uid="{00000000-0005-0000-0000-000050430000}"/>
    <cellStyle name="Normal 2 2 2 2 2 18 7 6" xfId="16425" xr:uid="{00000000-0005-0000-0000-000051430000}"/>
    <cellStyle name="Normal 2 2 2 2 2 18 8" xfId="16426" xr:uid="{00000000-0005-0000-0000-000052430000}"/>
    <cellStyle name="Normal 2 2 2 2 2 18 8 2" xfId="16427" xr:uid="{00000000-0005-0000-0000-000053430000}"/>
    <cellStyle name="Normal 2 2 2 2 2 18 8 3" xfId="16428" xr:uid="{00000000-0005-0000-0000-000054430000}"/>
    <cellStyle name="Normal 2 2 2 2 2 18 8 4" xfId="16429" xr:uid="{00000000-0005-0000-0000-000055430000}"/>
    <cellStyle name="Normal 2 2 2 2 2 18 8 5" xfId="16430" xr:uid="{00000000-0005-0000-0000-000056430000}"/>
    <cellStyle name="Normal 2 2 2 2 2 18 8 6" xfId="16431" xr:uid="{00000000-0005-0000-0000-000057430000}"/>
    <cellStyle name="Normal 2 2 2 2 2 18 9" xfId="16432" xr:uid="{00000000-0005-0000-0000-000058430000}"/>
    <cellStyle name="Normal 2 2 2 2 2 19" xfId="16433" xr:uid="{00000000-0005-0000-0000-000059430000}"/>
    <cellStyle name="Normal 2 2 2 2 2 19 10" xfId="16434" xr:uid="{00000000-0005-0000-0000-00005A430000}"/>
    <cellStyle name="Normal 2 2 2 2 2 19 11" xfId="16435" xr:uid="{00000000-0005-0000-0000-00005B430000}"/>
    <cellStyle name="Normal 2 2 2 2 2 19 12" xfId="16436" xr:uid="{00000000-0005-0000-0000-00005C430000}"/>
    <cellStyle name="Normal 2 2 2 2 2 19 13" xfId="16437" xr:uid="{00000000-0005-0000-0000-00005D430000}"/>
    <cellStyle name="Normal 2 2 2 2 2 19 2" xfId="16438" xr:uid="{00000000-0005-0000-0000-00005E430000}"/>
    <cellStyle name="Normal 2 2 2 2 2 19 2 2" xfId="16439" xr:uid="{00000000-0005-0000-0000-00005F430000}"/>
    <cellStyle name="Normal 2 2 2 2 2 19 2 3" xfId="16440" xr:uid="{00000000-0005-0000-0000-000060430000}"/>
    <cellStyle name="Normal 2 2 2 2 2 19 2 4" xfId="16441" xr:uid="{00000000-0005-0000-0000-000061430000}"/>
    <cellStyle name="Normal 2 2 2 2 2 19 2 5" xfId="16442" xr:uid="{00000000-0005-0000-0000-000062430000}"/>
    <cellStyle name="Normal 2 2 2 2 2 19 2 6" xfId="16443" xr:uid="{00000000-0005-0000-0000-000063430000}"/>
    <cellStyle name="Normal 2 2 2 2 2 19 3" xfId="16444" xr:uid="{00000000-0005-0000-0000-000064430000}"/>
    <cellStyle name="Normal 2 2 2 2 2 19 3 2" xfId="16445" xr:uid="{00000000-0005-0000-0000-000065430000}"/>
    <cellStyle name="Normal 2 2 2 2 2 19 3 3" xfId="16446" xr:uid="{00000000-0005-0000-0000-000066430000}"/>
    <cellStyle name="Normal 2 2 2 2 2 19 3 4" xfId="16447" xr:uid="{00000000-0005-0000-0000-000067430000}"/>
    <cellStyle name="Normal 2 2 2 2 2 19 3 5" xfId="16448" xr:uid="{00000000-0005-0000-0000-000068430000}"/>
    <cellStyle name="Normal 2 2 2 2 2 19 3 6" xfId="16449" xr:uid="{00000000-0005-0000-0000-000069430000}"/>
    <cellStyle name="Normal 2 2 2 2 2 19 4" xfId="16450" xr:uid="{00000000-0005-0000-0000-00006A430000}"/>
    <cellStyle name="Normal 2 2 2 2 2 19 4 2" xfId="16451" xr:uid="{00000000-0005-0000-0000-00006B430000}"/>
    <cellStyle name="Normal 2 2 2 2 2 19 4 3" xfId="16452" xr:uid="{00000000-0005-0000-0000-00006C430000}"/>
    <cellStyle name="Normal 2 2 2 2 2 19 4 4" xfId="16453" xr:uid="{00000000-0005-0000-0000-00006D430000}"/>
    <cellStyle name="Normal 2 2 2 2 2 19 4 5" xfId="16454" xr:uid="{00000000-0005-0000-0000-00006E430000}"/>
    <cellStyle name="Normal 2 2 2 2 2 19 4 6" xfId="16455" xr:uid="{00000000-0005-0000-0000-00006F430000}"/>
    <cellStyle name="Normal 2 2 2 2 2 19 5" xfId="16456" xr:uid="{00000000-0005-0000-0000-000070430000}"/>
    <cellStyle name="Normal 2 2 2 2 2 19 5 2" xfId="16457" xr:uid="{00000000-0005-0000-0000-000071430000}"/>
    <cellStyle name="Normal 2 2 2 2 2 19 5 3" xfId="16458" xr:uid="{00000000-0005-0000-0000-000072430000}"/>
    <cellStyle name="Normal 2 2 2 2 2 19 5 4" xfId="16459" xr:uid="{00000000-0005-0000-0000-000073430000}"/>
    <cellStyle name="Normal 2 2 2 2 2 19 5 5" xfId="16460" xr:uid="{00000000-0005-0000-0000-000074430000}"/>
    <cellStyle name="Normal 2 2 2 2 2 19 5 6" xfId="16461" xr:uid="{00000000-0005-0000-0000-000075430000}"/>
    <cellStyle name="Normal 2 2 2 2 2 19 6" xfId="16462" xr:uid="{00000000-0005-0000-0000-000076430000}"/>
    <cellStyle name="Normal 2 2 2 2 2 19 6 2" xfId="16463" xr:uid="{00000000-0005-0000-0000-000077430000}"/>
    <cellStyle name="Normal 2 2 2 2 2 19 6 3" xfId="16464" xr:uid="{00000000-0005-0000-0000-000078430000}"/>
    <cellStyle name="Normal 2 2 2 2 2 19 6 4" xfId="16465" xr:uid="{00000000-0005-0000-0000-000079430000}"/>
    <cellStyle name="Normal 2 2 2 2 2 19 6 5" xfId="16466" xr:uid="{00000000-0005-0000-0000-00007A430000}"/>
    <cellStyle name="Normal 2 2 2 2 2 19 6 6" xfId="16467" xr:uid="{00000000-0005-0000-0000-00007B430000}"/>
    <cellStyle name="Normal 2 2 2 2 2 19 7" xfId="16468" xr:uid="{00000000-0005-0000-0000-00007C430000}"/>
    <cellStyle name="Normal 2 2 2 2 2 19 7 2" xfId="16469" xr:uid="{00000000-0005-0000-0000-00007D430000}"/>
    <cellStyle name="Normal 2 2 2 2 2 19 7 3" xfId="16470" xr:uid="{00000000-0005-0000-0000-00007E430000}"/>
    <cellStyle name="Normal 2 2 2 2 2 19 7 4" xfId="16471" xr:uid="{00000000-0005-0000-0000-00007F430000}"/>
    <cellStyle name="Normal 2 2 2 2 2 19 7 5" xfId="16472" xr:uid="{00000000-0005-0000-0000-000080430000}"/>
    <cellStyle name="Normal 2 2 2 2 2 19 7 6" xfId="16473" xr:uid="{00000000-0005-0000-0000-000081430000}"/>
    <cellStyle name="Normal 2 2 2 2 2 19 8" xfId="16474" xr:uid="{00000000-0005-0000-0000-000082430000}"/>
    <cellStyle name="Normal 2 2 2 2 2 19 8 2" xfId="16475" xr:uid="{00000000-0005-0000-0000-000083430000}"/>
    <cellStyle name="Normal 2 2 2 2 2 19 8 3" xfId="16476" xr:uid="{00000000-0005-0000-0000-000084430000}"/>
    <cellStyle name="Normal 2 2 2 2 2 19 8 4" xfId="16477" xr:uid="{00000000-0005-0000-0000-000085430000}"/>
    <cellStyle name="Normal 2 2 2 2 2 19 8 5" xfId="16478" xr:uid="{00000000-0005-0000-0000-000086430000}"/>
    <cellStyle name="Normal 2 2 2 2 2 19 8 6" xfId="16479" xr:uid="{00000000-0005-0000-0000-000087430000}"/>
    <cellStyle name="Normal 2 2 2 2 2 19 9" xfId="16480" xr:uid="{00000000-0005-0000-0000-000088430000}"/>
    <cellStyle name="Normal 2 2 2 2 2 2" xfId="16481" xr:uid="{00000000-0005-0000-0000-000089430000}"/>
    <cellStyle name="Normal 2 2 2 2 2 2 10" xfId="16482" xr:uid="{00000000-0005-0000-0000-00008A430000}"/>
    <cellStyle name="Normal 2 2 2 2 2 2 11" xfId="16483" xr:uid="{00000000-0005-0000-0000-00008B430000}"/>
    <cellStyle name="Normal 2 2 2 2 2 2 12" xfId="16484" xr:uid="{00000000-0005-0000-0000-00008C430000}"/>
    <cellStyle name="Normal 2 2 2 2 2 2 13" xfId="16485" xr:uid="{00000000-0005-0000-0000-00008D430000}"/>
    <cellStyle name="Normal 2 2 2 2 2 2 14" xfId="16486" xr:uid="{00000000-0005-0000-0000-00008E430000}"/>
    <cellStyle name="Normal 2 2 2 2 2 2 15" xfId="16487" xr:uid="{00000000-0005-0000-0000-00008F430000}"/>
    <cellStyle name="Normal 2 2 2 2 2 2 16" xfId="16488" xr:uid="{00000000-0005-0000-0000-000090430000}"/>
    <cellStyle name="Normal 2 2 2 2 2 2 17" xfId="16489" xr:uid="{00000000-0005-0000-0000-000091430000}"/>
    <cellStyle name="Normal 2 2 2 2 2 2 18" xfId="16490" xr:uid="{00000000-0005-0000-0000-000092430000}"/>
    <cellStyle name="Normal 2 2 2 2 2 2 19" xfId="16491" xr:uid="{00000000-0005-0000-0000-000093430000}"/>
    <cellStyle name="Normal 2 2 2 2 2 2 19 10" xfId="16492" xr:uid="{00000000-0005-0000-0000-000094430000}"/>
    <cellStyle name="Normal 2 2 2 2 2 2 19 11" xfId="16493" xr:uid="{00000000-0005-0000-0000-000095430000}"/>
    <cellStyle name="Normal 2 2 2 2 2 2 19 12" xfId="16494" xr:uid="{00000000-0005-0000-0000-000096430000}"/>
    <cellStyle name="Normal 2 2 2 2 2 2 19 13" xfId="16495" xr:uid="{00000000-0005-0000-0000-000097430000}"/>
    <cellStyle name="Normal 2 2 2 2 2 2 19 2" xfId="16496" xr:uid="{00000000-0005-0000-0000-000098430000}"/>
    <cellStyle name="Normal 2 2 2 2 2 2 19 2 2" xfId="16497" xr:uid="{00000000-0005-0000-0000-000099430000}"/>
    <cellStyle name="Normal 2 2 2 2 2 2 19 2 3" xfId="16498" xr:uid="{00000000-0005-0000-0000-00009A430000}"/>
    <cellStyle name="Normal 2 2 2 2 2 2 19 2 4" xfId="16499" xr:uid="{00000000-0005-0000-0000-00009B430000}"/>
    <cellStyle name="Normal 2 2 2 2 2 2 19 2 5" xfId="16500" xr:uid="{00000000-0005-0000-0000-00009C430000}"/>
    <cellStyle name="Normal 2 2 2 2 2 2 19 2 6" xfId="16501" xr:uid="{00000000-0005-0000-0000-00009D430000}"/>
    <cellStyle name="Normal 2 2 2 2 2 2 19 3" xfId="16502" xr:uid="{00000000-0005-0000-0000-00009E430000}"/>
    <cellStyle name="Normal 2 2 2 2 2 2 19 3 2" xfId="16503" xr:uid="{00000000-0005-0000-0000-00009F430000}"/>
    <cellStyle name="Normal 2 2 2 2 2 2 19 3 3" xfId="16504" xr:uid="{00000000-0005-0000-0000-0000A0430000}"/>
    <cellStyle name="Normal 2 2 2 2 2 2 19 3 4" xfId="16505" xr:uid="{00000000-0005-0000-0000-0000A1430000}"/>
    <cellStyle name="Normal 2 2 2 2 2 2 19 3 5" xfId="16506" xr:uid="{00000000-0005-0000-0000-0000A2430000}"/>
    <cellStyle name="Normal 2 2 2 2 2 2 19 3 6" xfId="16507" xr:uid="{00000000-0005-0000-0000-0000A3430000}"/>
    <cellStyle name="Normal 2 2 2 2 2 2 19 4" xfId="16508" xr:uid="{00000000-0005-0000-0000-0000A4430000}"/>
    <cellStyle name="Normal 2 2 2 2 2 2 19 4 2" xfId="16509" xr:uid="{00000000-0005-0000-0000-0000A5430000}"/>
    <cellStyle name="Normal 2 2 2 2 2 2 19 4 3" xfId="16510" xr:uid="{00000000-0005-0000-0000-0000A6430000}"/>
    <cellStyle name="Normal 2 2 2 2 2 2 19 4 4" xfId="16511" xr:uid="{00000000-0005-0000-0000-0000A7430000}"/>
    <cellStyle name="Normal 2 2 2 2 2 2 19 4 5" xfId="16512" xr:uid="{00000000-0005-0000-0000-0000A8430000}"/>
    <cellStyle name="Normal 2 2 2 2 2 2 19 4 6" xfId="16513" xr:uid="{00000000-0005-0000-0000-0000A9430000}"/>
    <cellStyle name="Normal 2 2 2 2 2 2 19 5" xfId="16514" xr:uid="{00000000-0005-0000-0000-0000AA430000}"/>
    <cellStyle name="Normal 2 2 2 2 2 2 19 5 2" xfId="16515" xr:uid="{00000000-0005-0000-0000-0000AB430000}"/>
    <cellStyle name="Normal 2 2 2 2 2 2 19 5 3" xfId="16516" xr:uid="{00000000-0005-0000-0000-0000AC430000}"/>
    <cellStyle name="Normal 2 2 2 2 2 2 19 5 4" xfId="16517" xr:uid="{00000000-0005-0000-0000-0000AD430000}"/>
    <cellStyle name="Normal 2 2 2 2 2 2 19 5 5" xfId="16518" xr:uid="{00000000-0005-0000-0000-0000AE430000}"/>
    <cellStyle name="Normal 2 2 2 2 2 2 19 5 6" xfId="16519" xr:uid="{00000000-0005-0000-0000-0000AF430000}"/>
    <cellStyle name="Normal 2 2 2 2 2 2 19 6" xfId="16520" xr:uid="{00000000-0005-0000-0000-0000B0430000}"/>
    <cellStyle name="Normal 2 2 2 2 2 2 19 6 2" xfId="16521" xr:uid="{00000000-0005-0000-0000-0000B1430000}"/>
    <cellStyle name="Normal 2 2 2 2 2 2 19 6 3" xfId="16522" xr:uid="{00000000-0005-0000-0000-0000B2430000}"/>
    <cellStyle name="Normal 2 2 2 2 2 2 19 6 4" xfId="16523" xr:uid="{00000000-0005-0000-0000-0000B3430000}"/>
    <cellStyle name="Normal 2 2 2 2 2 2 19 6 5" xfId="16524" xr:uid="{00000000-0005-0000-0000-0000B4430000}"/>
    <cellStyle name="Normal 2 2 2 2 2 2 19 6 6" xfId="16525" xr:uid="{00000000-0005-0000-0000-0000B5430000}"/>
    <cellStyle name="Normal 2 2 2 2 2 2 19 7" xfId="16526" xr:uid="{00000000-0005-0000-0000-0000B6430000}"/>
    <cellStyle name="Normal 2 2 2 2 2 2 19 7 2" xfId="16527" xr:uid="{00000000-0005-0000-0000-0000B7430000}"/>
    <cellStyle name="Normal 2 2 2 2 2 2 19 7 3" xfId="16528" xr:uid="{00000000-0005-0000-0000-0000B8430000}"/>
    <cellStyle name="Normal 2 2 2 2 2 2 19 7 4" xfId="16529" xr:uid="{00000000-0005-0000-0000-0000B9430000}"/>
    <cellStyle name="Normal 2 2 2 2 2 2 19 7 5" xfId="16530" xr:uid="{00000000-0005-0000-0000-0000BA430000}"/>
    <cellStyle name="Normal 2 2 2 2 2 2 19 7 6" xfId="16531" xr:uid="{00000000-0005-0000-0000-0000BB430000}"/>
    <cellStyle name="Normal 2 2 2 2 2 2 19 8" xfId="16532" xr:uid="{00000000-0005-0000-0000-0000BC430000}"/>
    <cellStyle name="Normal 2 2 2 2 2 2 19 8 2" xfId="16533" xr:uid="{00000000-0005-0000-0000-0000BD430000}"/>
    <cellStyle name="Normal 2 2 2 2 2 2 19 8 3" xfId="16534" xr:uid="{00000000-0005-0000-0000-0000BE430000}"/>
    <cellStyle name="Normal 2 2 2 2 2 2 19 8 4" xfId="16535" xr:uid="{00000000-0005-0000-0000-0000BF430000}"/>
    <cellStyle name="Normal 2 2 2 2 2 2 19 8 5" xfId="16536" xr:uid="{00000000-0005-0000-0000-0000C0430000}"/>
    <cellStyle name="Normal 2 2 2 2 2 2 19 8 6" xfId="16537" xr:uid="{00000000-0005-0000-0000-0000C1430000}"/>
    <cellStyle name="Normal 2 2 2 2 2 2 19 9" xfId="16538" xr:uid="{00000000-0005-0000-0000-0000C2430000}"/>
    <cellStyle name="Normal 2 2 2 2 2 2 2" xfId="16539" xr:uid="{00000000-0005-0000-0000-0000C3430000}"/>
    <cellStyle name="Normal 2 2 2 2 2 2 2 10" xfId="16540" xr:uid="{00000000-0005-0000-0000-0000C4430000}"/>
    <cellStyle name="Normal 2 2 2 2 2 2 2 10 10" xfId="16541" xr:uid="{00000000-0005-0000-0000-0000C5430000}"/>
    <cellStyle name="Normal 2 2 2 2 2 2 2 10 11" xfId="16542" xr:uid="{00000000-0005-0000-0000-0000C6430000}"/>
    <cellStyle name="Normal 2 2 2 2 2 2 2 10 12" xfId="16543" xr:uid="{00000000-0005-0000-0000-0000C7430000}"/>
    <cellStyle name="Normal 2 2 2 2 2 2 2 10 13" xfId="16544" xr:uid="{00000000-0005-0000-0000-0000C8430000}"/>
    <cellStyle name="Normal 2 2 2 2 2 2 2 10 2" xfId="16545" xr:uid="{00000000-0005-0000-0000-0000C9430000}"/>
    <cellStyle name="Normal 2 2 2 2 2 2 2 10 2 2" xfId="16546" xr:uid="{00000000-0005-0000-0000-0000CA430000}"/>
    <cellStyle name="Normal 2 2 2 2 2 2 2 10 2 3" xfId="16547" xr:uid="{00000000-0005-0000-0000-0000CB430000}"/>
    <cellStyle name="Normal 2 2 2 2 2 2 2 10 2 4" xfId="16548" xr:uid="{00000000-0005-0000-0000-0000CC430000}"/>
    <cellStyle name="Normal 2 2 2 2 2 2 2 10 2 5" xfId="16549" xr:uid="{00000000-0005-0000-0000-0000CD430000}"/>
    <cellStyle name="Normal 2 2 2 2 2 2 2 10 2 6" xfId="16550" xr:uid="{00000000-0005-0000-0000-0000CE430000}"/>
    <cellStyle name="Normal 2 2 2 2 2 2 2 10 3" xfId="16551" xr:uid="{00000000-0005-0000-0000-0000CF430000}"/>
    <cellStyle name="Normal 2 2 2 2 2 2 2 10 3 2" xfId="16552" xr:uid="{00000000-0005-0000-0000-0000D0430000}"/>
    <cellStyle name="Normal 2 2 2 2 2 2 2 10 3 3" xfId="16553" xr:uid="{00000000-0005-0000-0000-0000D1430000}"/>
    <cellStyle name="Normal 2 2 2 2 2 2 2 10 3 4" xfId="16554" xr:uid="{00000000-0005-0000-0000-0000D2430000}"/>
    <cellStyle name="Normal 2 2 2 2 2 2 2 10 3 5" xfId="16555" xr:uid="{00000000-0005-0000-0000-0000D3430000}"/>
    <cellStyle name="Normal 2 2 2 2 2 2 2 10 3 6" xfId="16556" xr:uid="{00000000-0005-0000-0000-0000D4430000}"/>
    <cellStyle name="Normal 2 2 2 2 2 2 2 10 4" xfId="16557" xr:uid="{00000000-0005-0000-0000-0000D5430000}"/>
    <cellStyle name="Normal 2 2 2 2 2 2 2 10 4 2" xfId="16558" xr:uid="{00000000-0005-0000-0000-0000D6430000}"/>
    <cellStyle name="Normal 2 2 2 2 2 2 2 10 4 3" xfId="16559" xr:uid="{00000000-0005-0000-0000-0000D7430000}"/>
    <cellStyle name="Normal 2 2 2 2 2 2 2 10 4 4" xfId="16560" xr:uid="{00000000-0005-0000-0000-0000D8430000}"/>
    <cellStyle name="Normal 2 2 2 2 2 2 2 10 4 5" xfId="16561" xr:uid="{00000000-0005-0000-0000-0000D9430000}"/>
    <cellStyle name="Normal 2 2 2 2 2 2 2 10 4 6" xfId="16562" xr:uid="{00000000-0005-0000-0000-0000DA430000}"/>
    <cellStyle name="Normal 2 2 2 2 2 2 2 10 5" xfId="16563" xr:uid="{00000000-0005-0000-0000-0000DB430000}"/>
    <cellStyle name="Normal 2 2 2 2 2 2 2 10 5 2" xfId="16564" xr:uid="{00000000-0005-0000-0000-0000DC430000}"/>
    <cellStyle name="Normal 2 2 2 2 2 2 2 10 5 3" xfId="16565" xr:uid="{00000000-0005-0000-0000-0000DD430000}"/>
    <cellStyle name="Normal 2 2 2 2 2 2 2 10 5 4" xfId="16566" xr:uid="{00000000-0005-0000-0000-0000DE430000}"/>
    <cellStyle name="Normal 2 2 2 2 2 2 2 10 5 5" xfId="16567" xr:uid="{00000000-0005-0000-0000-0000DF430000}"/>
    <cellStyle name="Normal 2 2 2 2 2 2 2 10 5 6" xfId="16568" xr:uid="{00000000-0005-0000-0000-0000E0430000}"/>
    <cellStyle name="Normal 2 2 2 2 2 2 2 10 6" xfId="16569" xr:uid="{00000000-0005-0000-0000-0000E1430000}"/>
    <cellStyle name="Normal 2 2 2 2 2 2 2 10 6 2" xfId="16570" xr:uid="{00000000-0005-0000-0000-0000E2430000}"/>
    <cellStyle name="Normal 2 2 2 2 2 2 2 10 6 3" xfId="16571" xr:uid="{00000000-0005-0000-0000-0000E3430000}"/>
    <cellStyle name="Normal 2 2 2 2 2 2 2 10 6 4" xfId="16572" xr:uid="{00000000-0005-0000-0000-0000E4430000}"/>
    <cellStyle name="Normal 2 2 2 2 2 2 2 10 6 5" xfId="16573" xr:uid="{00000000-0005-0000-0000-0000E5430000}"/>
    <cellStyle name="Normal 2 2 2 2 2 2 2 10 6 6" xfId="16574" xr:uid="{00000000-0005-0000-0000-0000E6430000}"/>
    <cellStyle name="Normal 2 2 2 2 2 2 2 10 7" xfId="16575" xr:uid="{00000000-0005-0000-0000-0000E7430000}"/>
    <cellStyle name="Normal 2 2 2 2 2 2 2 10 7 2" xfId="16576" xr:uid="{00000000-0005-0000-0000-0000E8430000}"/>
    <cellStyle name="Normal 2 2 2 2 2 2 2 10 7 3" xfId="16577" xr:uid="{00000000-0005-0000-0000-0000E9430000}"/>
    <cellStyle name="Normal 2 2 2 2 2 2 2 10 7 4" xfId="16578" xr:uid="{00000000-0005-0000-0000-0000EA430000}"/>
    <cellStyle name="Normal 2 2 2 2 2 2 2 10 7 5" xfId="16579" xr:uid="{00000000-0005-0000-0000-0000EB430000}"/>
    <cellStyle name="Normal 2 2 2 2 2 2 2 10 7 6" xfId="16580" xr:uid="{00000000-0005-0000-0000-0000EC430000}"/>
    <cellStyle name="Normal 2 2 2 2 2 2 2 10 8" xfId="16581" xr:uid="{00000000-0005-0000-0000-0000ED430000}"/>
    <cellStyle name="Normal 2 2 2 2 2 2 2 10 8 2" xfId="16582" xr:uid="{00000000-0005-0000-0000-0000EE430000}"/>
    <cellStyle name="Normal 2 2 2 2 2 2 2 10 8 3" xfId="16583" xr:uid="{00000000-0005-0000-0000-0000EF430000}"/>
    <cellStyle name="Normal 2 2 2 2 2 2 2 10 8 4" xfId="16584" xr:uid="{00000000-0005-0000-0000-0000F0430000}"/>
    <cellStyle name="Normal 2 2 2 2 2 2 2 10 8 5" xfId="16585" xr:uid="{00000000-0005-0000-0000-0000F1430000}"/>
    <cellStyle name="Normal 2 2 2 2 2 2 2 10 8 6" xfId="16586" xr:uid="{00000000-0005-0000-0000-0000F2430000}"/>
    <cellStyle name="Normal 2 2 2 2 2 2 2 10 9" xfId="16587" xr:uid="{00000000-0005-0000-0000-0000F3430000}"/>
    <cellStyle name="Normal 2 2 2 2 2 2 2 11" xfId="16588" xr:uid="{00000000-0005-0000-0000-0000F4430000}"/>
    <cellStyle name="Normal 2 2 2 2 2 2 2 11 10" xfId="16589" xr:uid="{00000000-0005-0000-0000-0000F5430000}"/>
    <cellStyle name="Normal 2 2 2 2 2 2 2 11 11" xfId="16590" xr:uid="{00000000-0005-0000-0000-0000F6430000}"/>
    <cellStyle name="Normal 2 2 2 2 2 2 2 11 12" xfId="16591" xr:uid="{00000000-0005-0000-0000-0000F7430000}"/>
    <cellStyle name="Normal 2 2 2 2 2 2 2 11 13" xfId="16592" xr:uid="{00000000-0005-0000-0000-0000F8430000}"/>
    <cellStyle name="Normal 2 2 2 2 2 2 2 11 2" xfId="16593" xr:uid="{00000000-0005-0000-0000-0000F9430000}"/>
    <cellStyle name="Normal 2 2 2 2 2 2 2 11 2 2" xfId="16594" xr:uid="{00000000-0005-0000-0000-0000FA430000}"/>
    <cellStyle name="Normal 2 2 2 2 2 2 2 11 2 3" xfId="16595" xr:uid="{00000000-0005-0000-0000-0000FB430000}"/>
    <cellStyle name="Normal 2 2 2 2 2 2 2 11 2 4" xfId="16596" xr:uid="{00000000-0005-0000-0000-0000FC430000}"/>
    <cellStyle name="Normal 2 2 2 2 2 2 2 11 2 5" xfId="16597" xr:uid="{00000000-0005-0000-0000-0000FD430000}"/>
    <cellStyle name="Normal 2 2 2 2 2 2 2 11 2 6" xfId="16598" xr:uid="{00000000-0005-0000-0000-0000FE430000}"/>
    <cellStyle name="Normal 2 2 2 2 2 2 2 11 3" xfId="16599" xr:uid="{00000000-0005-0000-0000-0000FF430000}"/>
    <cellStyle name="Normal 2 2 2 2 2 2 2 11 3 2" xfId="16600" xr:uid="{00000000-0005-0000-0000-000000440000}"/>
    <cellStyle name="Normal 2 2 2 2 2 2 2 11 3 3" xfId="16601" xr:uid="{00000000-0005-0000-0000-000001440000}"/>
    <cellStyle name="Normal 2 2 2 2 2 2 2 11 3 4" xfId="16602" xr:uid="{00000000-0005-0000-0000-000002440000}"/>
    <cellStyle name="Normal 2 2 2 2 2 2 2 11 3 5" xfId="16603" xr:uid="{00000000-0005-0000-0000-000003440000}"/>
    <cellStyle name="Normal 2 2 2 2 2 2 2 11 3 6" xfId="16604" xr:uid="{00000000-0005-0000-0000-000004440000}"/>
    <cellStyle name="Normal 2 2 2 2 2 2 2 11 4" xfId="16605" xr:uid="{00000000-0005-0000-0000-000005440000}"/>
    <cellStyle name="Normal 2 2 2 2 2 2 2 11 4 2" xfId="16606" xr:uid="{00000000-0005-0000-0000-000006440000}"/>
    <cellStyle name="Normal 2 2 2 2 2 2 2 11 4 3" xfId="16607" xr:uid="{00000000-0005-0000-0000-000007440000}"/>
    <cellStyle name="Normal 2 2 2 2 2 2 2 11 4 4" xfId="16608" xr:uid="{00000000-0005-0000-0000-000008440000}"/>
    <cellStyle name="Normal 2 2 2 2 2 2 2 11 4 5" xfId="16609" xr:uid="{00000000-0005-0000-0000-000009440000}"/>
    <cellStyle name="Normal 2 2 2 2 2 2 2 11 4 6" xfId="16610" xr:uid="{00000000-0005-0000-0000-00000A440000}"/>
    <cellStyle name="Normal 2 2 2 2 2 2 2 11 5" xfId="16611" xr:uid="{00000000-0005-0000-0000-00000B440000}"/>
    <cellStyle name="Normal 2 2 2 2 2 2 2 11 5 2" xfId="16612" xr:uid="{00000000-0005-0000-0000-00000C440000}"/>
    <cellStyle name="Normal 2 2 2 2 2 2 2 11 5 3" xfId="16613" xr:uid="{00000000-0005-0000-0000-00000D440000}"/>
    <cellStyle name="Normal 2 2 2 2 2 2 2 11 5 4" xfId="16614" xr:uid="{00000000-0005-0000-0000-00000E440000}"/>
    <cellStyle name="Normal 2 2 2 2 2 2 2 11 5 5" xfId="16615" xr:uid="{00000000-0005-0000-0000-00000F440000}"/>
    <cellStyle name="Normal 2 2 2 2 2 2 2 11 5 6" xfId="16616" xr:uid="{00000000-0005-0000-0000-000010440000}"/>
    <cellStyle name="Normal 2 2 2 2 2 2 2 11 6" xfId="16617" xr:uid="{00000000-0005-0000-0000-000011440000}"/>
    <cellStyle name="Normal 2 2 2 2 2 2 2 11 6 2" xfId="16618" xr:uid="{00000000-0005-0000-0000-000012440000}"/>
    <cellStyle name="Normal 2 2 2 2 2 2 2 11 6 3" xfId="16619" xr:uid="{00000000-0005-0000-0000-000013440000}"/>
    <cellStyle name="Normal 2 2 2 2 2 2 2 11 6 4" xfId="16620" xr:uid="{00000000-0005-0000-0000-000014440000}"/>
    <cellStyle name="Normal 2 2 2 2 2 2 2 11 6 5" xfId="16621" xr:uid="{00000000-0005-0000-0000-000015440000}"/>
    <cellStyle name="Normal 2 2 2 2 2 2 2 11 6 6" xfId="16622" xr:uid="{00000000-0005-0000-0000-000016440000}"/>
    <cellStyle name="Normal 2 2 2 2 2 2 2 11 7" xfId="16623" xr:uid="{00000000-0005-0000-0000-000017440000}"/>
    <cellStyle name="Normal 2 2 2 2 2 2 2 11 7 2" xfId="16624" xr:uid="{00000000-0005-0000-0000-000018440000}"/>
    <cellStyle name="Normal 2 2 2 2 2 2 2 11 7 3" xfId="16625" xr:uid="{00000000-0005-0000-0000-000019440000}"/>
    <cellStyle name="Normal 2 2 2 2 2 2 2 11 7 4" xfId="16626" xr:uid="{00000000-0005-0000-0000-00001A440000}"/>
    <cellStyle name="Normal 2 2 2 2 2 2 2 11 7 5" xfId="16627" xr:uid="{00000000-0005-0000-0000-00001B440000}"/>
    <cellStyle name="Normal 2 2 2 2 2 2 2 11 7 6" xfId="16628" xr:uid="{00000000-0005-0000-0000-00001C440000}"/>
    <cellStyle name="Normal 2 2 2 2 2 2 2 11 8" xfId="16629" xr:uid="{00000000-0005-0000-0000-00001D440000}"/>
    <cellStyle name="Normal 2 2 2 2 2 2 2 11 8 2" xfId="16630" xr:uid="{00000000-0005-0000-0000-00001E440000}"/>
    <cellStyle name="Normal 2 2 2 2 2 2 2 11 8 3" xfId="16631" xr:uid="{00000000-0005-0000-0000-00001F440000}"/>
    <cellStyle name="Normal 2 2 2 2 2 2 2 11 8 4" xfId="16632" xr:uid="{00000000-0005-0000-0000-000020440000}"/>
    <cellStyle name="Normal 2 2 2 2 2 2 2 11 8 5" xfId="16633" xr:uid="{00000000-0005-0000-0000-000021440000}"/>
    <cellStyle name="Normal 2 2 2 2 2 2 2 11 8 6" xfId="16634" xr:uid="{00000000-0005-0000-0000-000022440000}"/>
    <cellStyle name="Normal 2 2 2 2 2 2 2 11 9" xfId="16635" xr:uid="{00000000-0005-0000-0000-000023440000}"/>
    <cellStyle name="Normal 2 2 2 2 2 2 2 12" xfId="16636" xr:uid="{00000000-0005-0000-0000-000024440000}"/>
    <cellStyle name="Normal 2 2 2 2 2 2 2 12 10" xfId="16637" xr:uid="{00000000-0005-0000-0000-000025440000}"/>
    <cellStyle name="Normal 2 2 2 2 2 2 2 12 11" xfId="16638" xr:uid="{00000000-0005-0000-0000-000026440000}"/>
    <cellStyle name="Normal 2 2 2 2 2 2 2 12 12" xfId="16639" xr:uid="{00000000-0005-0000-0000-000027440000}"/>
    <cellStyle name="Normal 2 2 2 2 2 2 2 12 13" xfId="16640" xr:uid="{00000000-0005-0000-0000-000028440000}"/>
    <cellStyle name="Normal 2 2 2 2 2 2 2 12 2" xfId="16641" xr:uid="{00000000-0005-0000-0000-000029440000}"/>
    <cellStyle name="Normal 2 2 2 2 2 2 2 12 2 2" xfId="16642" xr:uid="{00000000-0005-0000-0000-00002A440000}"/>
    <cellStyle name="Normal 2 2 2 2 2 2 2 12 2 3" xfId="16643" xr:uid="{00000000-0005-0000-0000-00002B440000}"/>
    <cellStyle name="Normal 2 2 2 2 2 2 2 12 2 4" xfId="16644" xr:uid="{00000000-0005-0000-0000-00002C440000}"/>
    <cellStyle name="Normal 2 2 2 2 2 2 2 12 2 5" xfId="16645" xr:uid="{00000000-0005-0000-0000-00002D440000}"/>
    <cellStyle name="Normal 2 2 2 2 2 2 2 12 2 6" xfId="16646" xr:uid="{00000000-0005-0000-0000-00002E440000}"/>
    <cellStyle name="Normal 2 2 2 2 2 2 2 12 3" xfId="16647" xr:uid="{00000000-0005-0000-0000-00002F440000}"/>
    <cellStyle name="Normal 2 2 2 2 2 2 2 12 3 2" xfId="16648" xr:uid="{00000000-0005-0000-0000-000030440000}"/>
    <cellStyle name="Normal 2 2 2 2 2 2 2 12 3 3" xfId="16649" xr:uid="{00000000-0005-0000-0000-000031440000}"/>
    <cellStyle name="Normal 2 2 2 2 2 2 2 12 3 4" xfId="16650" xr:uid="{00000000-0005-0000-0000-000032440000}"/>
    <cellStyle name="Normal 2 2 2 2 2 2 2 12 3 5" xfId="16651" xr:uid="{00000000-0005-0000-0000-000033440000}"/>
    <cellStyle name="Normal 2 2 2 2 2 2 2 12 3 6" xfId="16652" xr:uid="{00000000-0005-0000-0000-000034440000}"/>
    <cellStyle name="Normal 2 2 2 2 2 2 2 12 4" xfId="16653" xr:uid="{00000000-0005-0000-0000-000035440000}"/>
    <cellStyle name="Normal 2 2 2 2 2 2 2 12 4 2" xfId="16654" xr:uid="{00000000-0005-0000-0000-000036440000}"/>
    <cellStyle name="Normal 2 2 2 2 2 2 2 12 4 3" xfId="16655" xr:uid="{00000000-0005-0000-0000-000037440000}"/>
    <cellStyle name="Normal 2 2 2 2 2 2 2 12 4 4" xfId="16656" xr:uid="{00000000-0005-0000-0000-000038440000}"/>
    <cellStyle name="Normal 2 2 2 2 2 2 2 12 4 5" xfId="16657" xr:uid="{00000000-0005-0000-0000-000039440000}"/>
    <cellStyle name="Normal 2 2 2 2 2 2 2 12 4 6" xfId="16658" xr:uid="{00000000-0005-0000-0000-00003A440000}"/>
    <cellStyle name="Normal 2 2 2 2 2 2 2 12 5" xfId="16659" xr:uid="{00000000-0005-0000-0000-00003B440000}"/>
    <cellStyle name="Normal 2 2 2 2 2 2 2 12 5 2" xfId="16660" xr:uid="{00000000-0005-0000-0000-00003C440000}"/>
    <cellStyle name="Normal 2 2 2 2 2 2 2 12 5 3" xfId="16661" xr:uid="{00000000-0005-0000-0000-00003D440000}"/>
    <cellStyle name="Normal 2 2 2 2 2 2 2 12 5 4" xfId="16662" xr:uid="{00000000-0005-0000-0000-00003E440000}"/>
    <cellStyle name="Normal 2 2 2 2 2 2 2 12 5 5" xfId="16663" xr:uid="{00000000-0005-0000-0000-00003F440000}"/>
    <cellStyle name="Normal 2 2 2 2 2 2 2 12 5 6" xfId="16664" xr:uid="{00000000-0005-0000-0000-000040440000}"/>
    <cellStyle name="Normal 2 2 2 2 2 2 2 12 6" xfId="16665" xr:uid="{00000000-0005-0000-0000-000041440000}"/>
    <cellStyle name="Normal 2 2 2 2 2 2 2 12 6 2" xfId="16666" xr:uid="{00000000-0005-0000-0000-000042440000}"/>
    <cellStyle name="Normal 2 2 2 2 2 2 2 12 6 3" xfId="16667" xr:uid="{00000000-0005-0000-0000-000043440000}"/>
    <cellStyle name="Normal 2 2 2 2 2 2 2 12 6 4" xfId="16668" xr:uid="{00000000-0005-0000-0000-000044440000}"/>
    <cellStyle name="Normal 2 2 2 2 2 2 2 12 6 5" xfId="16669" xr:uid="{00000000-0005-0000-0000-000045440000}"/>
    <cellStyle name="Normal 2 2 2 2 2 2 2 12 6 6" xfId="16670" xr:uid="{00000000-0005-0000-0000-000046440000}"/>
    <cellStyle name="Normal 2 2 2 2 2 2 2 12 7" xfId="16671" xr:uid="{00000000-0005-0000-0000-000047440000}"/>
    <cellStyle name="Normal 2 2 2 2 2 2 2 12 7 2" xfId="16672" xr:uid="{00000000-0005-0000-0000-000048440000}"/>
    <cellStyle name="Normal 2 2 2 2 2 2 2 12 7 3" xfId="16673" xr:uid="{00000000-0005-0000-0000-000049440000}"/>
    <cellStyle name="Normal 2 2 2 2 2 2 2 12 7 4" xfId="16674" xr:uid="{00000000-0005-0000-0000-00004A440000}"/>
    <cellStyle name="Normal 2 2 2 2 2 2 2 12 7 5" xfId="16675" xr:uid="{00000000-0005-0000-0000-00004B440000}"/>
    <cellStyle name="Normal 2 2 2 2 2 2 2 12 7 6" xfId="16676" xr:uid="{00000000-0005-0000-0000-00004C440000}"/>
    <cellStyle name="Normal 2 2 2 2 2 2 2 12 8" xfId="16677" xr:uid="{00000000-0005-0000-0000-00004D440000}"/>
    <cellStyle name="Normal 2 2 2 2 2 2 2 12 8 2" xfId="16678" xr:uid="{00000000-0005-0000-0000-00004E440000}"/>
    <cellStyle name="Normal 2 2 2 2 2 2 2 12 8 3" xfId="16679" xr:uid="{00000000-0005-0000-0000-00004F440000}"/>
    <cellStyle name="Normal 2 2 2 2 2 2 2 12 8 4" xfId="16680" xr:uid="{00000000-0005-0000-0000-000050440000}"/>
    <cellStyle name="Normal 2 2 2 2 2 2 2 12 8 5" xfId="16681" xr:uid="{00000000-0005-0000-0000-000051440000}"/>
    <cellStyle name="Normal 2 2 2 2 2 2 2 12 8 6" xfId="16682" xr:uid="{00000000-0005-0000-0000-000052440000}"/>
    <cellStyle name="Normal 2 2 2 2 2 2 2 12 9" xfId="16683" xr:uid="{00000000-0005-0000-0000-000053440000}"/>
    <cellStyle name="Normal 2 2 2 2 2 2 2 13" xfId="16684" xr:uid="{00000000-0005-0000-0000-000054440000}"/>
    <cellStyle name="Normal 2 2 2 2 2 2 2 13 10" xfId="16685" xr:uid="{00000000-0005-0000-0000-000055440000}"/>
    <cellStyle name="Normal 2 2 2 2 2 2 2 13 11" xfId="16686" xr:uid="{00000000-0005-0000-0000-000056440000}"/>
    <cellStyle name="Normal 2 2 2 2 2 2 2 13 12" xfId="16687" xr:uid="{00000000-0005-0000-0000-000057440000}"/>
    <cellStyle name="Normal 2 2 2 2 2 2 2 13 13" xfId="16688" xr:uid="{00000000-0005-0000-0000-000058440000}"/>
    <cellStyle name="Normal 2 2 2 2 2 2 2 13 2" xfId="16689" xr:uid="{00000000-0005-0000-0000-000059440000}"/>
    <cellStyle name="Normal 2 2 2 2 2 2 2 13 2 2" xfId="16690" xr:uid="{00000000-0005-0000-0000-00005A440000}"/>
    <cellStyle name="Normal 2 2 2 2 2 2 2 13 2 3" xfId="16691" xr:uid="{00000000-0005-0000-0000-00005B440000}"/>
    <cellStyle name="Normal 2 2 2 2 2 2 2 13 2 4" xfId="16692" xr:uid="{00000000-0005-0000-0000-00005C440000}"/>
    <cellStyle name="Normal 2 2 2 2 2 2 2 13 2 5" xfId="16693" xr:uid="{00000000-0005-0000-0000-00005D440000}"/>
    <cellStyle name="Normal 2 2 2 2 2 2 2 13 2 6" xfId="16694" xr:uid="{00000000-0005-0000-0000-00005E440000}"/>
    <cellStyle name="Normal 2 2 2 2 2 2 2 13 3" xfId="16695" xr:uid="{00000000-0005-0000-0000-00005F440000}"/>
    <cellStyle name="Normal 2 2 2 2 2 2 2 13 3 2" xfId="16696" xr:uid="{00000000-0005-0000-0000-000060440000}"/>
    <cellStyle name="Normal 2 2 2 2 2 2 2 13 3 3" xfId="16697" xr:uid="{00000000-0005-0000-0000-000061440000}"/>
    <cellStyle name="Normal 2 2 2 2 2 2 2 13 3 4" xfId="16698" xr:uid="{00000000-0005-0000-0000-000062440000}"/>
    <cellStyle name="Normal 2 2 2 2 2 2 2 13 3 5" xfId="16699" xr:uid="{00000000-0005-0000-0000-000063440000}"/>
    <cellStyle name="Normal 2 2 2 2 2 2 2 13 3 6" xfId="16700" xr:uid="{00000000-0005-0000-0000-000064440000}"/>
    <cellStyle name="Normal 2 2 2 2 2 2 2 13 4" xfId="16701" xr:uid="{00000000-0005-0000-0000-000065440000}"/>
    <cellStyle name="Normal 2 2 2 2 2 2 2 13 4 2" xfId="16702" xr:uid="{00000000-0005-0000-0000-000066440000}"/>
    <cellStyle name="Normal 2 2 2 2 2 2 2 13 4 3" xfId="16703" xr:uid="{00000000-0005-0000-0000-000067440000}"/>
    <cellStyle name="Normal 2 2 2 2 2 2 2 13 4 4" xfId="16704" xr:uid="{00000000-0005-0000-0000-000068440000}"/>
    <cellStyle name="Normal 2 2 2 2 2 2 2 13 4 5" xfId="16705" xr:uid="{00000000-0005-0000-0000-000069440000}"/>
    <cellStyle name="Normal 2 2 2 2 2 2 2 13 4 6" xfId="16706" xr:uid="{00000000-0005-0000-0000-00006A440000}"/>
    <cellStyle name="Normal 2 2 2 2 2 2 2 13 5" xfId="16707" xr:uid="{00000000-0005-0000-0000-00006B440000}"/>
    <cellStyle name="Normal 2 2 2 2 2 2 2 13 5 2" xfId="16708" xr:uid="{00000000-0005-0000-0000-00006C440000}"/>
    <cellStyle name="Normal 2 2 2 2 2 2 2 13 5 3" xfId="16709" xr:uid="{00000000-0005-0000-0000-00006D440000}"/>
    <cellStyle name="Normal 2 2 2 2 2 2 2 13 5 4" xfId="16710" xr:uid="{00000000-0005-0000-0000-00006E440000}"/>
    <cellStyle name="Normal 2 2 2 2 2 2 2 13 5 5" xfId="16711" xr:uid="{00000000-0005-0000-0000-00006F440000}"/>
    <cellStyle name="Normal 2 2 2 2 2 2 2 13 5 6" xfId="16712" xr:uid="{00000000-0005-0000-0000-000070440000}"/>
    <cellStyle name="Normal 2 2 2 2 2 2 2 13 6" xfId="16713" xr:uid="{00000000-0005-0000-0000-000071440000}"/>
    <cellStyle name="Normal 2 2 2 2 2 2 2 13 6 2" xfId="16714" xr:uid="{00000000-0005-0000-0000-000072440000}"/>
    <cellStyle name="Normal 2 2 2 2 2 2 2 13 6 3" xfId="16715" xr:uid="{00000000-0005-0000-0000-000073440000}"/>
    <cellStyle name="Normal 2 2 2 2 2 2 2 13 6 4" xfId="16716" xr:uid="{00000000-0005-0000-0000-000074440000}"/>
    <cellStyle name="Normal 2 2 2 2 2 2 2 13 6 5" xfId="16717" xr:uid="{00000000-0005-0000-0000-000075440000}"/>
    <cellStyle name="Normal 2 2 2 2 2 2 2 13 6 6" xfId="16718" xr:uid="{00000000-0005-0000-0000-000076440000}"/>
    <cellStyle name="Normal 2 2 2 2 2 2 2 13 7" xfId="16719" xr:uid="{00000000-0005-0000-0000-000077440000}"/>
    <cellStyle name="Normal 2 2 2 2 2 2 2 13 7 2" xfId="16720" xr:uid="{00000000-0005-0000-0000-000078440000}"/>
    <cellStyle name="Normal 2 2 2 2 2 2 2 13 7 3" xfId="16721" xr:uid="{00000000-0005-0000-0000-000079440000}"/>
    <cellStyle name="Normal 2 2 2 2 2 2 2 13 7 4" xfId="16722" xr:uid="{00000000-0005-0000-0000-00007A440000}"/>
    <cellStyle name="Normal 2 2 2 2 2 2 2 13 7 5" xfId="16723" xr:uid="{00000000-0005-0000-0000-00007B440000}"/>
    <cellStyle name="Normal 2 2 2 2 2 2 2 13 7 6" xfId="16724" xr:uid="{00000000-0005-0000-0000-00007C440000}"/>
    <cellStyle name="Normal 2 2 2 2 2 2 2 13 8" xfId="16725" xr:uid="{00000000-0005-0000-0000-00007D440000}"/>
    <cellStyle name="Normal 2 2 2 2 2 2 2 13 8 2" xfId="16726" xr:uid="{00000000-0005-0000-0000-00007E440000}"/>
    <cellStyle name="Normal 2 2 2 2 2 2 2 13 8 3" xfId="16727" xr:uid="{00000000-0005-0000-0000-00007F440000}"/>
    <cellStyle name="Normal 2 2 2 2 2 2 2 13 8 4" xfId="16728" xr:uid="{00000000-0005-0000-0000-000080440000}"/>
    <cellStyle name="Normal 2 2 2 2 2 2 2 13 8 5" xfId="16729" xr:uid="{00000000-0005-0000-0000-000081440000}"/>
    <cellStyle name="Normal 2 2 2 2 2 2 2 13 8 6" xfId="16730" xr:uid="{00000000-0005-0000-0000-000082440000}"/>
    <cellStyle name="Normal 2 2 2 2 2 2 2 13 9" xfId="16731" xr:uid="{00000000-0005-0000-0000-000083440000}"/>
    <cellStyle name="Normal 2 2 2 2 2 2 2 14" xfId="16732" xr:uid="{00000000-0005-0000-0000-000084440000}"/>
    <cellStyle name="Normal 2 2 2 2 2 2 2 15" xfId="16733" xr:uid="{00000000-0005-0000-0000-000085440000}"/>
    <cellStyle name="Normal 2 2 2 2 2 2 2 16" xfId="16734" xr:uid="{00000000-0005-0000-0000-000086440000}"/>
    <cellStyle name="Normal 2 2 2 2 2 2 2 17" xfId="16735" xr:uid="{00000000-0005-0000-0000-000087440000}"/>
    <cellStyle name="Normal 2 2 2 2 2 2 2 18" xfId="16736" xr:uid="{00000000-0005-0000-0000-000088440000}"/>
    <cellStyle name="Normal 2 2 2 2 2 2 2 19" xfId="16737" xr:uid="{00000000-0005-0000-0000-000089440000}"/>
    <cellStyle name="Normal 2 2 2 2 2 2 2 2" xfId="16738" xr:uid="{00000000-0005-0000-0000-00008A440000}"/>
    <cellStyle name="Normal 2 2 2 2 2 2 2 2 10" xfId="16739" xr:uid="{00000000-0005-0000-0000-00008B440000}"/>
    <cellStyle name="Normal 2 2 2 2 2 2 2 2 10 10" xfId="16740" xr:uid="{00000000-0005-0000-0000-00008C440000}"/>
    <cellStyle name="Normal 2 2 2 2 2 2 2 2 10 11" xfId="16741" xr:uid="{00000000-0005-0000-0000-00008D440000}"/>
    <cellStyle name="Normal 2 2 2 2 2 2 2 2 10 12" xfId="16742" xr:uid="{00000000-0005-0000-0000-00008E440000}"/>
    <cellStyle name="Normal 2 2 2 2 2 2 2 2 10 13" xfId="16743" xr:uid="{00000000-0005-0000-0000-00008F440000}"/>
    <cellStyle name="Normal 2 2 2 2 2 2 2 2 10 2" xfId="16744" xr:uid="{00000000-0005-0000-0000-000090440000}"/>
    <cellStyle name="Normal 2 2 2 2 2 2 2 2 10 2 2" xfId="16745" xr:uid="{00000000-0005-0000-0000-000091440000}"/>
    <cellStyle name="Normal 2 2 2 2 2 2 2 2 10 2 3" xfId="16746" xr:uid="{00000000-0005-0000-0000-000092440000}"/>
    <cellStyle name="Normal 2 2 2 2 2 2 2 2 10 2 4" xfId="16747" xr:uid="{00000000-0005-0000-0000-000093440000}"/>
    <cellStyle name="Normal 2 2 2 2 2 2 2 2 10 2 5" xfId="16748" xr:uid="{00000000-0005-0000-0000-000094440000}"/>
    <cellStyle name="Normal 2 2 2 2 2 2 2 2 10 2 6" xfId="16749" xr:uid="{00000000-0005-0000-0000-000095440000}"/>
    <cellStyle name="Normal 2 2 2 2 2 2 2 2 10 3" xfId="16750" xr:uid="{00000000-0005-0000-0000-000096440000}"/>
    <cellStyle name="Normal 2 2 2 2 2 2 2 2 10 3 2" xfId="16751" xr:uid="{00000000-0005-0000-0000-000097440000}"/>
    <cellStyle name="Normal 2 2 2 2 2 2 2 2 10 3 3" xfId="16752" xr:uid="{00000000-0005-0000-0000-000098440000}"/>
    <cellStyle name="Normal 2 2 2 2 2 2 2 2 10 3 4" xfId="16753" xr:uid="{00000000-0005-0000-0000-000099440000}"/>
    <cellStyle name="Normal 2 2 2 2 2 2 2 2 10 3 5" xfId="16754" xr:uid="{00000000-0005-0000-0000-00009A440000}"/>
    <cellStyle name="Normal 2 2 2 2 2 2 2 2 10 3 6" xfId="16755" xr:uid="{00000000-0005-0000-0000-00009B440000}"/>
    <cellStyle name="Normal 2 2 2 2 2 2 2 2 10 4" xfId="16756" xr:uid="{00000000-0005-0000-0000-00009C440000}"/>
    <cellStyle name="Normal 2 2 2 2 2 2 2 2 10 4 2" xfId="16757" xr:uid="{00000000-0005-0000-0000-00009D440000}"/>
    <cellStyle name="Normal 2 2 2 2 2 2 2 2 10 4 3" xfId="16758" xr:uid="{00000000-0005-0000-0000-00009E440000}"/>
    <cellStyle name="Normal 2 2 2 2 2 2 2 2 10 4 4" xfId="16759" xr:uid="{00000000-0005-0000-0000-00009F440000}"/>
    <cellStyle name="Normal 2 2 2 2 2 2 2 2 10 4 5" xfId="16760" xr:uid="{00000000-0005-0000-0000-0000A0440000}"/>
    <cellStyle name="Normal 2 2 2 2 2 2 2 2 10 4 6" xfId="16761" xr:uid="{00000000-0005-0000-0000-0000A1440000}"/>
    <cellStyle name="Normal 2 2 2 2 2 2 2 2 10 5" xfId="16762" xr:uid="{00000000-0005-0000-0000-0000A2440000}"/>
    <cellStyle name="Normal 2 2 2 2 2 2 2 2 10 5 2" xfId="16763" xr:uid="{00000000-0005-0000-0000-0000A3440000}"/>
    <cellStyle name="Normal 2 2 2 2 2 2 2 2 10 5 3" xfId="16764" xr:uid="{00000000-0005-0000-0000-0000A4440000}"/>
    <cellStyle name="Normal 2 2 2 2 2 2 2 2 10 5 4" xfId="16765" xr:uid="{00000000-0005-0000-0000-0000A5440000}"/>
    <cellStyle name="Normal 2 2 2 2 2 2 2 2 10 5 5" xfId="16766" xr:uid="{00000000-0005-0000-0000-0000A6440000}"/>
    <cellStyle name="Normal 2 2 2 2 2 2 2 2 10 5 6" xfId="16767" xr:uid="{00000000-0005-0000-0000-0000A7440000}"/>
    <cellStyle name="Normal 2 2 2 2 2 2 2 2 10 6" xfId="16768" xr:uid="{00000000-0005-0000-0000-0000A8440000}"/>
    <cellStyle name="Normal 2 2 2 2 2 2 2 2 10 6 2" xfId="16769" xr:uid="{00000000-0005-0000-0000-0000A9440000}"/>
    <cellStyle name="Normal 2 2 2 2 2 2 2 2 10 6 3" xfId="16770" xr:uid="{00000000-0005-0000-0000-0000AA440000}"/>
    <cellStyle name="Normal 2 2 2 2 2 2 2 2 10 6 4" xfId="16771" xr:uid="{00000000-0005-0000-0000-0000AB440000}"/>
    <cellStyle name="Normal 2 2 2 2 2 2 2 2 10 6 5" xfId="16772" xr:uid="{00000000-0005-0000-0000-0000AC440000}"/>
    <cellStyle name="Normal 2 2 2 2 2 2 2 2 10 6 6" xfId="16773" xr:uid="{00000000-0005-0000-0000-0000AD440000}"/>
    <cellStyle name="Normal 2 2 2 2 2 2 2 2 10 7" xfId="16774" xr:uid="{00000000-0005-0000-0000-0000AE440000}"/>
    <cellStyle name="Normal 2 2 2 2 2 2 2 2 10 7 2" xfId="16775" xr:uid="{00000000-0005-0000-0000-0000AF440000}"/>
    <cellStyle name="Normal 2 2 2 2 2 2 2 2 10 7 3" xfId="16776" xr:uid="{00000000-0005-0000-0000-0000B0440000}"/>
    <cellStyle name="Normal 2 2 2 2 2 2 2 2 10 7 4" xfId="16777" xr:uid="{00000000-0005-0000-0000-0000B1440000}"/>
    <cellStyle name="Normal 2 2 2 2 2 2 2 2 10 7 5" xfId="16778" xr:uid="{00000000-0005-0000-0000-0000B2440000}"/>
    <cellStyle name="Normal 2 2 2 2 2 2 2 2 10 7 6" xfId="16779" xr:uid="{00000000-0005-0000-0000-0000B3440000}"/>
    <cellStyle name="Normal 2 2 2 2 2 2 2 2 10 8" xfId="16780" xr:uid="{00000000-0005-0000-0000-0000B4440000}"/>
    <cellStyle name="Normal 2 2 2 2 2 2 2 2 10 8 2" xfId="16781" xr:uid="{00000000-0005-0000-0000-0000B5440000}"/>
    <cellStyle name="Normal 2 2 2 2 2 2 2 2 10 8 3" xfId="16782" xr:uid="{00000000-0005-0000-0000-0000B6440000}"/>
    <cellStyle name="Normal 2 2 2 2 2 2 2 2 10 8 4" xfId="16783" xr:uid="{00000000-0005-0000-0000-0000B7440000}"/>
    <cellStyle name="Normal 2 2 2 2 2 2 2 2 10 8 5" xfId="16784" xr:uid="{00000000-0005-0000-0000-0000B8440000}"/>
    <cellStyle name="Normal 2 2 2 2 2 2 2 2 10 8 6" xfId="16785" xr:uid="{00000000-0005-0000-0000-0000B9440000}"/>
    <cellStyle name="Normal 2 2 2 2 2 2 2 2 10 9" xfId="16786" xr:uid="{00000000-0005-0000-0000-0000BA440000}"/>
    <cellStyle name="Normal 2 2 2 2 2 2 2 2 11" xfId="16787" xr:uid="{00000000-0005-0000-0000-0000BB440000}"/>
    <cellStyle name="Normal 2 2 2 2 2 2 2 2 11 10" xfId="16788" xr:uid="{00000000-0005-0000-0000-0000BC440000}"/>
    <cellStyle name="Normal 2 2 2 2 2 2 2 2 11 11" xfId="16789" xr:uid="{00000000-0005-0000-0000-0000BD440000}"/>
    <cellStyle name="Normal 2 2 2 2 2 2 2 2 11 12" xfId="16790" xr:uid="{00000000-0005-0000-0000-0000BE440000}"/>
    <cellStyle name="Normal 2 2 2 2 2 2 2 2 11 13" xfId="16791" xr:uid="{00000000-0005-0000-0000-0000BF440000}"/>
    <cellStyle name="Normal 2 2 2 2 2 2 2 2 11 2" xfId="16792" xr:uid="{00000000-0005-0000-0000-0000C0440000}"/>
    <cellStyle name="Normal 2 2 2 2 2 2 2 2 11 2 2" xfId="16793" xr:uid="{00000000-0005-0000-0000-0000C1440000}"/>
    <cellStyle name="Normal 2 2 2 2 2 2 2 2 11 2 3" xfId="16794" xr:uid="{00000000-0005-0000-0000-0000C2440000}"/>
    <cellStyle name="Normal 2 2 2 2 2 2 2 2 11 2 4" xfId="16795" xr:uid="{00000000-0005-0000-0000-0000C3440000}"/>
    <cellStyle name="Normal 2 2 2 2 2 2 2 2 11 2 5" xfId="16796" xr:uid="{00000000-0005-0000-0000-0000C4440000}"/>
    <cellStyle name="Normal 2 2 2 2 2 2 2 2 11 2 6" xfId="16797" xr:uid="{00000000-0005-0000-0000-0000C5440000}"/>
    <cellStyle name="Normal 2 2 2 2 2 2 2 2 11 3" xfId="16798" xr:uid="{00000000-0005-0000-0000-0000C6440000}"/>
    <cellStyle name="Normal 2 2 2 2 2 2 2 2 11 3 2" xfId="16799" xr:uid="{00000000-0005-0000-0000-0000C7440000}"/>
    <cellStyle name="Normal 2 2 2 2 2 2 2 2 11 3 3" xfId="16800" xr:uid="{00000000-0005-0000-0000-0000C8440000}"/>
    <cellStyle name="Normal 2 2 2 2 2 2 2 2 11 3 4" xfId="16801" xr:uid="{00000000-0005-0000-0000-0000C9440000}"/>
    <cellStyle name="Normal 2 2 2 2 2 2 2 2 11 3 5" xfId="16802" xr:uid="{00000000-0005-0000-0000-0000CA440000}"/>
    <cellStyle name="Normal 2 2 2 2 2 2 2 2 11 3 6" xfId="16803" xr:uid="{00000000-0005-0000-0000-0000CB440000}"/>
    <cellStyle name="Normal 2 2 2 2 2 2 2 2 11 4" xfId="16804" xr:uid="{00000000-0005-0000-0000-0000CC440000}"/>
    <cellStyle name="Normal 2 2 2 2 2 2 2 2 11 4 2" xfId="16805" xr:uid="{00000000-0005-0000-0000-0000CD440000}"/>
    <cellStyle name="Normal 2 2 2 2 2 2 2 2 11 4 3" xfId="16806" xr:uid="{00000000-0005-0000-0000-0000CE440000}"/>
    <cellStyle name="Normal 2 2 2 2 2 2 2 2 11 4 4" xfId="16807" xr:uid="{00000000-0005-0000-0000-0000CF440000}"/>
    <cellStyle name="Normal 2 2 2 2 2 2 2 2 11 4 5" xfId="16808" xr:uid="{00000000-0005-0000-0000-0000D0440000}"/>
    <cellStyle name="Normal 2 2 2 2 2 2 2 2 11 4 6" xfId="16809" xr:uid="{00000000-0005-0000-0000-0000D1440000}"/>
    <cellStyle name="Normal 2 2 2 2 2 2 2 2 11 5" xfId="16810" xr:uid="{00000000-0005-0000-0000-0000D2440000}"/>
    <cellStyle name="Normal 2 2 2 2 2 2 2 2 11 5 2" xfId="16811" xr:uid="{00000000-0005-0000-0000-0000D3440000}"/>
    <cellStyle name="Normal 2 2 2 2 2 2 2 2 11 5 3" xfId="16812" xr:uid="{00000000-0005-0000-0000-0000D4440000}"/>
    <cellStyle name="Normal 2 2 2 2 2 2 2 2 11 5 4" xfId="16813" xr:uid="{00000000-0005-0000-0000-0000D5440000}"/>
    <cellStyle name="Normal 2 2 2 2 2 2 2 2 11 5 5" xfId="16814" xr:uid="{00000000-0005-0000-0000-0000D6440000}"/>
    <cellStyle name="Normal 2 2 2 2 2 2 2 2 11 5 6" xfId="16815" xr:uid="{00000000-0005-0000-0000-0000D7440000}"/>
    <cellStyle name="Normal 2 2 2 2 2 2 2 2 11 6" xfId="16816" xr:uid="{00000000-0005-0000-0000-0000D8440000}"/>
    <cellStyle name="Normal 2 2 2 2 2 2 2 2 11 6 2" xfId="16817" xr:uid="{00000000-0005-0000-0000-0000D9440000}"/>
    <cellStyle name="Normal 2 2 2 2 2 2 2 2 11 6 3" xfId="16818" xr:uid="{00000000-0005-0000-0000-0000DA440000}"/>
    <cellStyle name="Normal 2 2 2 2 2 2 2 2 11 6 4" xfId="16819" xr:uid="{00000000-0005-0000-0000-0000DB440000}"/>
    <cellStyle name="Normal 2 2 2 2 2 2 2 2 11 6 5" xfId="16820" xr:uid="{00000000-0005-0000-0000-0000DC440000}"/>
    <cellStyle name="Normal 2 2 2 2 2 2 2 2 11 6 6" xfId="16821" xr:uid="{00000000-0005-0000-0000-0000DD440000}"/>
    <cellStyle name="Normal 2 2 2 2 2 2 2 2 11 7" xfId="16822" xr:uid="{00000000-0005-0000-0000-0000DE440000}"/>
    <cellStyle name="Normal 2 2 2 2 2 2 2 2 11 7 2" xfId="16823" xr:uid="{00000000-0005-0000-0000-0000DF440000}"/>
    <cellStyle name="Normal 2 2 2 2 2 2 2 2 11 7 3" xfId="16824" xr:uid="{00000000-0005-0000-0000-0000E0440000}"/>
    <cellStyle name="Normal 2 2 2 2 2 2 2 2 11 7 4" xfId="16825" xr:uid="{00000000-0005-0000-0000-0000E1440000}"/>
    <cellStyle name="Normal 2 2 2 2 2 2 2 2 11 7 5" xfId="16826" xr:uid="{00000000-0005-0000-0000-0000E2440000}"/>
    <cellStyle name="Normal 2 2 2 2 2 2 2 2 11 7 6" xfId="16827" xr:uid="{00000000-0005-0000-0000-0000E3440000}"/>
    <cellStyle name="Normal 2 2 2 2 2 2 2 2 11 8" xfId="16828" xr:uid="{00000000-0005-0000-0000-0000E4440000}"/>
    <cellStyle name="Normal 2 2 2 2 2 2 2 2 11 8 2" xfId="16829" xr:uid="{00000000-0005-0000-0000-0000E5440000}"/>
    <cellStyle name="Normal 2 2 2 2 2 2 2 2 11 8 3" xfId="16830" xr:uid="{00000000-0005-0000-0000-0000E6440000}"/>
    <cellStyle name="Normal 2 2 2 2 2 2 2 2 11 8 4" xfId="16831" xr:uid="{00000000-0005-0000-0000-0000E7440000}"/>
    <cellStyle name="Normal 2 2 2 2 2 2 2 2 11 8 5" xfId="16832" xr:uid="{00000000-0005-0000-0000-0000E8440000}"/>
    <cellStyle name="Normal 2 2 2 2 2 2 2 2 11 8 6" xfId="16833" xr:uid="{00000000-0005-0000-0000-0000E9440000}"/>
    <cellStyle name="Normal 2 2 2 2 2 2 2 2 11 9" xfId="16834" xr:uid="{00000000-0005-0000-0000-0000EA440000}"/>
    <cellStyle name="Normal 2 2 2 2 2 2 2 2 12" xfId="16835" xr:uid="{00000000-0005-0000-0000-0000EB440000}"/>
    <cellStyle name="Normal 2 2 2 2 2 2 2 2 12 10" xfId="16836" xr:uid="{00000000-0005-0000-0000-0000EC440000}"/>
    <cellStyle name="Normal 2 2 2 2 2 2 2 2 12 11" xfId="16837" xr:uid="{00000000-0005-0000-0000-0000ED440000}"/>
    <cellStyle name="Normal 2 2 2 2 2 2 2 2 12 2" xfId="16838" xr:uid="{00000000-0005-0000-0000-0000EE440000}"/>
    <cellStyle name="Normal 2 2 2 2 2 2 2 2 12 3" xfId="16839" xr:uid="{00000000-0005-0000-0000-0000EF440000}"/>
    <cellStyle name="Normal 2 2 2 2 2 2 2 2 12 4" xfId="16840" xr:uid="{00000000-0005-0000-0000-0000F0440000}"/>
    <cellStyle name="Normal 2 2 2 2 2 2 2 2 12 5" xfId="16841" xr:uid="{00000000-0005-0000-0000-0000F1440000}"/>
    <cellStyle name="Normal 2 2 2 2 2 2 2 2 12 6" xfId="16842" xr:uid="{00000000-0005-0000-0000-0000F2440000}"/>
    <cellStyle name="Normal 2 2 2 2 2 2 2 2 12 7" xfId="16843" xr:uid="{00000000-0005-0000-0000-0000F3440000}"/>
    <cellStyle name="Normal 2 2 2 2 2 2 2 2 12 8" xfId="16844" xr:uid="{00000000-0005-0000-0000-0000F4440000}"/>
    <cellStyle name="Normal 2 2 2 2 2 2 2 2 12 9" xfId="16845" xr:uid="{00000000-0005-0000-0000-0000F5440000}"/>
    <cellStyle name="Normal 2 2 2 2 2 2 2 2 13" xfId="16846" xr:uid="{00000000-0005-0000-0000-0000F6440000}"/>
    <cellStyle name="Normal 2 2 2 2 2 2 2 2 14" xfId="16847" xr:uid="{00000000-0005-0000-0000-0000F7440000}"/>
    <cellStyle name="Normal 2 2 2 2 2 2 2 2 15" xfId="16848" xr:uid="{00000000-0005-0000-0000-0000F8440000}"/>
    <cellStyle name="Normal 2 2 2 2 2 2 2 2 16" xfId="16849" xr:uid="{00000000-0005-0000-0000-0000F9440000}"/>
    <cellStyle name="Normal 2 2 2 2 2 2 2 2 17" xfId="16850" xr:uid="{00000000-0005-0000-0000-0000FA440000}"/>
    <cellStyle name="Normal 2 2 2 2 2 2 2 2 18" xfId="16851" xr:uid="{00000000-0005-0000-0000-0000FB440000}"/>
    <cellStyle name="Normal 2 2 2 2 2 2 2 2 19" xfId="16852" xr:uid="{00000000-0005-0000-0000-0000FC440000}"/>
    <cellStyle name="Normal 2 2 2 2 2 2 2 2 2" xfId="16853" xr:uid="{00000000-0005-0000-0000-0000FD440000}"/>
    <cellStyle name="Normal 2 2 2 2 2 2 2 2 2 10" xfId="16854" xr:uid="{00000000-0005-0000-0000-0000FE440000}"/>
    <cellStyle name="Normal 2 2 2 2 2 2 2 2 2 10 2" xfId="16855" xr:uid="{00000000-0005-0000-0000-0000FF440000}"/>
    <cellStyle name="Normal 2 2 2 2 2 2 2 2 2 10 3" xfId="16856" xr:uid="{00000000-0005-0000-0000-000000450000}"/>
    <cellStyle name="Normal 2 2 2 2 2 2 2 2 2 10 4" xfId="16857" xr:uid="{00000000-0005-0000-0000-000001450000}"/>
    <cellStyle name="Normal 2 2 2 2 2 2 2 2 2 10 5" xfId="16858" xr:uid="{00000000-0005-0000-0000-000002450000}"/>
    <cellStyle name="Normal 2 2 2 2 2 2 2 2 2 10 6" xfId="16859" xr:uid="{00000000-0005-0000-0000-000003450000}"/>
    <cellStyle name="Normal 2 2 2 2 2 2 2 2 2 11" xfId="16860" xr:uid="{00000000-0005-0000-0000-000004450000}"/>
    <cellStyle name="Normal 2 2 2 2 2 2 2 2 2 11 2" xfId="16861" xr:uid="{00000000-0005-0000-0000-000005450000}"/>
    <cellStyle name="Normal 2 2 2 2 2 2 2 2 2 11 3" xfId="16862" xr:uid="{00000000-0005-0000-0000-000006450000}"/>
    <cellStyle name="Normal 2 2 2 2 2 2 2 2 2 11 4" xfId="16863" xr:uid="{00000000-0005-0000-0000-000007450000}"/>
    <cellStyle name="Normal 2 2 2 2 2 2 2 2 2 11 5" xfId="16864" xr:uid="{00000000-0005-0000-0000-000008450000}"/>
    <cellStyle name="Normal 2 2 2 2 2 2 2 2 2 11 6" xfId="16865" xr:uid="{00000000-0005-0000-0000-000009450000}"/>
    <cellStyle name="Normal 2 2 2 2 2 2 2 2 2 12" xfId="16866" xr:uid="{00000000-0005-0000-0000-00000A450000}"/>
    <cellStyle name="Normal 2 2 2 2 2 2 2 2 2 12 2" xfId="16867" xr:uid="{00000000-0005-0000-0000-00000B450000}"/>
    <cellStyle name="Normal 2 2 2 2 2 2 2 2 2 12 3" xfId="16868" xr:uid="{00000000-0005-0000-0000-00000C450000}"/>
    <cellStyle name="Normal 2 2 2 2 2 2 2 2 2 12 4" xfId="16869" xr:uid="{00000000-0005-0000-0000-00000D450000}"/>
    <cellStyle name="Normal 2 2 2 2 2 2 2 2 2 12 5" xfId="16870" xr:uid="{00000000-0005-0000-0000-00000E450000}"/>
    <cellStyle name="Normal 2 2 2 2 2 2 2 2 2 12 6" xfId="16871" xr:uid="{00000000-0005-0000-0000-00000F450000}"/>
    <cellStyle name="Normal 2 2 2 2 2 2 2 2 2 13" xfId="16872" xr:uid="{00000000-0005-0000-0000-000010450000}"/>
    <cellStyle name="Normal 2 2 2 2 2 2 2 2 2 13 2" xfId="16873" xr:uid="{00000000-0005-0000-0000-000011450000}"/>
    <cellStyle name="Normal 2 2 2 2 2 2 2 2 2 13 3" xfId="16874" xr:uid="{00000000-0005-0000-0000-000012450000}"/>
    <cellStyle name="Normal 2 2 2 2 2 2 2 2 2 13 4" xfId="16875" xr:uid="{00000000-0005-0000-0000-000013450000}"/>
    <cellStyle name="Normal 2 2 2 2 2 2 2 2 2 13 5" xfId="16876" xr:uid="{00000000-0005-0000-0000-000014450000}"/>
    <cellStyle name="Normal 2 2 2 2 2 2 2 2 2 13 6" xfId="16877" xr:uid="{00000000-0005-0000-0000-000015450000}"/>
    <cellStyle name="Normal 2 2 2 2 2 2 2 2 2 14" xfId="16878" xr:uid="{00000000-0005-0000-0000-000016450000}"/>
    <cellStyle name="Normal 2 2 2 2 2 2 2 2 2 14 2" xfId="16879" xr:uid="{00000000-0005-0000-0000-000017450000}"/>
    <cellStyle name="Normal 2 2 2 2 2 2 2 2 2 14 3" xfId="16880" xr:uid="{00000000-0005-0000-0000-000018450000}"/>
    <cellStyle name="Normal 2 2 2 2 2 2 2 2 2 14 4" xfId="16881" xr:uid="{00000000-0005-0000-0000-000019450000}"/>
    <cellStyle name="Normal 2 2 2 2 2 2 2 2 2 14 5" xfId="16882" xr:uid="{00000000-0005-0000-0000-00001A450000}"/>
    <cellStyle name="Normal 2 2 2 2 2 2 2 2 2 14 6" xfId="16883" xr:uid="{00000000-0005-0000-0000-00001B450000}"/>
    <cellStyle name="Normal 2 2 2 2 2 2 2 2 2 15" xfId="16884" xr:uid="{00000000-0005-0000-0000-00001C450000}"/>
    <cellStyle name="Normal 2 2 2 2 2 2 2 2 2 15 2" xfId="16885" xr:uid="{00000000-0005-0000-0000-00001D450000}"/>
    <cellStyle name="Normal 2 2 2 2 2 2 2 2 2 15 3" xfId="16886" xr:uid="{00000000-0005-0000-0000-00001E450000}"/>
    <cellStyle name="Normal 2 2 2 2 2 2 2 2 2 15 4" xfId="16887" xr:uid="{00000000-0005-0000-0000-00001F450000}"/>
    <cellStyle name="Normal 2 2 2 2 2 2 2 2 2 15 5" xfId="16888" xr:uid="{00000000-0005-0000-0000-000020450000}"/>
    <cellStyle name="Normal 2 2 2 2 2 2 2 2 2 15 6" xfId="16889" xr:uid="{00000000-0005-0000-0000-000021450000}"/>
    <cellStyle name="Normal 2 2 2 2 2 2 2 2 2 16" xfId="16890" xr:uid="{00000000-0005-0000-0000-000022450000}"/>
    <cellStyle name="Normal 2 2 2 2 2 2 2 2 2 16 2" xfId="16891" xr:uid="{00000000-0005-0000-0000-000023450000}"/>
    <cellStyle name="Normal 2 2 2 2 2 2 2 2 2 16 3" xfId="16892" xr:uid="{00000000-0005-0000-0000-000024450000}"/>
    <cellStyle name="Normal 2 2 2 2 2 2 2 2 2 16 4" xfId="16893" xr:uid="{00000000-0005-0000-0000-000025450000}"/>
    <cellStyle name="Normal 2 2 2 2 2 2 2 2 2 16 5" xfId="16894" xr:uid="{00000000-0005-0000-0000-000026450000}"/>
    <cellStyle name="Normal 2 2 2 2 2 2 2 2 2 16 6" xfId="16895" xr:uid="{00000000-0005-0000-0000-000027450000}"/>
    <cellStyle name="Normal 2 2 2 2 2 2 2 2 2 17" xfId="16896" xr:uid="{00000000-0005-0000-0000-000028450000}"/>
    <cellStyle name="Normal 2 2 2 2 2 2 2 2 2 17 2" xfId="16897" xr:uid="{00000000-0005-0000-0000-000029450000}"/>
    <cellStyle name="Normal 2 2 2 2 2 2 2 2 2 17 3" xfId="16898" xr:uid="{00000000-0005-0000-0000-00002A450000}"/>
    <cellStyle name="Normal 2 2 2 2 2 2 2 2 2 17 4" xfId="16899" xr:uid="{00000000-0005-0000-0000-00002B450000}"/>
    <cellStyle name="Normal 2 2 2 2 2 2 2 2 2 17 5" xfId="16900" xr:uid="{00000000-0005-0000-0000-00002C450000}"/>
    <cellStyle name="Normal 2 2 2 2 2 2 2 2 2 17 6" xfId="16901" xr:uid="{00000000-0005-0000-0000-00002D450000}"/>
    <cellStyle name="Normal 2 2 2 2 2 2 2 2 2 18" xfId="16902" xr:uid="{00000000-0005-0000-0000-00002E450000}"/>
    <cellStyle name="Normal 2 2 2 2 2 2 2 2 2 19" xfId="16903" xr:uid="{00000000-0005-0000-0000-00002F450000}"/>
    <cellStyle name="Normal 2 2 2 2 2 2 2 2 2 2" xfId="16904" xr:uid="{00000000-0005-0000-0000-000030450000}"/>
    <cellStyle name="Normal 2 2 2 2 2 2 2 2 2 2 10" xfId="16905" xr:uid="{00000000-0005-0000-0000-000031450000}"/>
    <cellStyle name="Normal 2 2 2 2 2 2 2 2 2 2 11" xfId="16906" xr:uid="{00000000-0005-0000-0000-000032450000}"/>
    <cellStyle name="Normal 2 2 2 2 2 2 2 2 2 2 12" xfId="16907" xr:uid="{00000000-0005-0000-0000-000033450000}"/>
    <cellStyle name="Normal 2 2 2 2 2 2 2 2 2 2 13" xfId="16908" xr:uid="{00000000-0005-0000-0000-000034450000}"/>
    <cellStyle name="Normal 2 2 2 2 2 2 2 2 2 2 14" xfId="16909" xr:uid="{00000000-0005-0000-0000-000035450000}"/>
    <cellStyle name="Normal 2 2 2 2 2 2 2 2 2 2 15" xfId="16910" xr:uid="{00000000-0005-0000-0000-000036450000}"/>
    <cellStyle name="Normal 2 2 2 2 2 2 2 2 2 2 16" xfId="16911" xr:uid="{00000000-0005-0000-0000-000037450000}"/>
    <cellStyle name="Normal 2 2 2 2 2 2 2 2 2 2 17" xfId="16912" xr:uid="{00000000-0005-0000-0000-000038450000}"/>
    <cellStyle name="Normal 2 2 2 2 2 2 2 2 2 2 18" xfId="16913" xr:uid="{00000000-0005-0000-0000-000039450000}"/>
    <cellStyle name="Normal 2 2 2 2 2 2 2 2 2 2 19" xfId="16914" xr:uid="{00000000-0005-0000-0000-00003A450000}"/>
    <cellStyle name="Normal 2 2 2 2 2 2 2 2 2 2 2" xfId="16915" xr:uid="{00000000-0005-0000-0000-00003B450000}"/>
    <cellStyle name="Normal 2 2 2 2 2 2 2 2 2 2 2 10" xfId="16916" xr:uid="{00000000-0005-0000-0000-00003C450000}"/>
    <cellStyle name="Normal 2 2 2 2 2 2 2 2 2 2 2 10 2" xfId="16917" xr:uid="{00000000-0005-0000-0000-00003D450000}"/>
    <cellStyle name="Normal 2 2 2 2 2 2 2 2 2 2 2 10 3" xfId="16918" xr:uid="{00000000-0005-0000-0000-00003E450000}"/>
    <cellStyle name="Normal 2 2 2 2 2 2 2 2 2 2 2 10 4" xfId="16919" xr:uid="{00000000-0005-0000-0000-00003F450000}"/>
    <cellStyle name="Normal 2 2 2 2 2 2 2 2 2 2 2 10 5" xfId="16920" xr:uid="{00000000-0005-0000-0000-000040450000}"/>
    <cellStyle name="Normal 2 2 2 2 2 2 2 2 2 2 2 10 6" xfId="16921" xr:uid="{00000000-0005-0000-0000-000041450000}"/>
    <cellStyle name="Normal 2 2 2 2 2 2 2 2 2 2 2 11" xfId="16922" xr:uid="{00000000-0005-0000-0000-000042450000}"/>
    <cellStyle name="Normal 2 2 2 2 2 2 2 2 2 2 2 11 2" xfId="16923" xr:uid="{00000000-0005-0000-0000-000043450000}"/>
    <cellStyle name="Normal 2 2 2 2 2 2 2 2 2 2 2 11 3" xfId="16924" xr:uid="{00000000-0005-0000-0000-000044450000}"/>
    <cellStyle name="Normal 2 2 2 2 2 2 2 2 2 2 2 11 4" xfId="16925" xr:uid="{00000000-0005-0000-0000-000045450000}"/>
    <cellStyle name="Normal 2 2 2 2 2 2 2 2 2 2 2 11 5" xfId="16926" xr:uid="{00000000-0005-0000-0000-000046450000}"/>
    <cellStyle name="Normal 2 2 2 2 2 2 2 2 2 2 2 11 6" xfId="16927" xr:uid="{00000000-0005-0000-0000-000047450000}"/>
    <cellStyle name="Normal 2 2 2 2 2 2 2 2 2 2 2 12" xfId="16928" xr:uid="{00000000-0005-0000-0000-000048450000}"/>
    <cellStyle name="Normal 2 2 2 2 2 2 2 2 2 2 2 12 2" xfId="16929" xr:uid="{00000000-0005-0000-0000-000049450000}"/>
    <cellStyle name="Normal 2 2 2 2 2 2 2 2 2 2 2 12 3" xfId="16930" xr:uid="{00000000-0005-0000-0000-00004A450000}"/>
    <cellStyle name="Normal 2 2 2 2 2 2 2 2 2 2 2 12 4" xfId="16931" xr:uid="{00000000-0005-0000-0000-00004B450000}"/>
    <cellStyle name="Normal 2 2 2 2 2 2 2 2 2 2 2 12 5" xfId="16932" xr:uid="{00000000-0005-0000-0000-00004C450000}"/>
    <cellStyle name="Normal 2 2 2 2 2 2 2 2 2 2 2 12 6" xfId="16933" xr:uid="{00000000-0005-0000-0000-00004D450000}"/>
    <cellStyle name="Normal 2 2 2 2 2 2 2 2 2 2 2 13" xfId="16934" xr:uid="{00000000-0005-0000-0000-00004E450000}"/>
    <cellStyle name="Normal 2 2 2 2 2 2 2 2 2 2 2 13 2" xfId="16935" xr:uid="{00000000-0005-0000-0000-00004F450000}"/>
    <cellStyle name="Normal 2 2 2 2 2 2 2 2 2 2 2 13 3" xfId="16936" xr:uid="{00000000-0005-0000-0000-000050450000}"/>
    <cellStyle name="Normal 2 2 2 2 2 2 2 2 2 2 2 13 4" xfId="16937" xr:uid="{00000000-0005-0000-0000-000051450000}"/>
    <cellStyle name="Normal 2 2 2 2 2 2 2 2 2 2 2 13 5" xfId="16938" xr:uid="{00000000-0005-0000-0000-000052450000}"/>
    <cellStyle name="Normal 2 2 2 2 2 2 2 2 2 2 2 13 6" xfId="16939" xr:uid="{00000000-0005-0000-0000-000053450000}"/>
    <cellStyle name="Normal 2 2 2 2 2 2 2 2 2 2 2 14" xfId="16940" xr:uid="{00000000-0005-0000-0000-000054450000}"/>
    <cellStyle name="Normal 2 2 2 2 2 2 2 2 2 2 2 14 2" xfId="16941" xr:uid="{00000000-0005-0000-0000-000055450000}"/>
    <cellStyle name="Normal 2 2 2 2 2 2 2 2 2 2 2 14 3" xfId="16942" xr:uid="{00000000-0005-0000-0000-000056450000}"/>
    <cellStyle name="Normal 2 2 2 2 2 2 2 2 2 2 2 14 4" xfId="16943" xr:uid="{00000000-0005-0000-0000-000057450000}"/>
    <cellStyle name="Normal 2 2 2 2 2 2 2 2 2 2 2 14 5" xfId="16944" xr:uid="{00000000-0005-0000-0000-000058450000}"/>
    <cellStyle name="Normal 2 2 2 2 2 2 2 2 2 2 2 14 6" xfId="16945" xr:uid="{00000000-0005-0000-0000-000059450000}"/>
    <cellStyle name="Normal 2 2 2 2 2 2 2 2 2 2 2 15" xfId="16946" xr:uid="{00000000-0005-0000-0000-00005A450000}"/>
    <cellStyle name="Normal 2 2 2 2 2 2 2 2 2 2 2 15 2" xfId="16947" xr:uid="{00000000-0005-0000-0000-00005B450000}"/>
    <cellStyle name="Normal 2 2 2 2 2 2 2 2 2 2 2 15 3" xfId="16948" xr:uid="{00000000-0005-0000-0000-00005C450000}"/>
    <cellStyle name="Normal 2 2 2 2 2 2 2 2 2 2 2 15 4" xfId="16949" xr:uid="{00000000-0005-0000-0000-00005D450000}"/>
    <cellStyle name="Normal 2 2 2 2 2 2 2 2 2 2 2 15 5" xfId="16950" xr:uid="{00000000-0005-0000-0000-00005E450000}"/>
    <cellStyle name="Normal 2 2 2 2 2 2 2 2 2 2 2 15 6" xfId="16951" xr:uid="{00000000-0005-0000-0000-00005F450000}"/>
    <cellStyle name="Normal 2 2 2 2 2 2 2 2 2 2 2 16" xfId="16952" xr:uid="{00000000-0005-0000-0000-000060450000}"/>
    <cellStyle name="Normal 2 2 2 2 2 2 2 2 2 2 2 16 2" xfId="16953" xr:uid="{00000000-0005-0000-0000-000061450000}"/>
    <cellStyle name="Normal 2 2 2 2 2 2 2 2 2 2 2 16 3" xfId="16954" xr:uid="{00000000-0005-0000-0000-000062450000}"/>
    <cellStyle name="Normal 2 2 2 2 2 2 2 2 2 2 2 16 4" xfId="16955" xr:uid="{00000000-0005-0000-0000-000063450000}"/>
    <cellStyle name="Normal 2 2 2 2 2 2 2 2 2 2 2 16 5" xfId="16956" xr:uid="{00000000-0005-0000-0000-000064450000}"/>
    <cellStyle name="Normal 2 2 2 2 2 2 2 2 2 2 2 16 6" xfId="16957" xr:uid="{00000000-0005-0000-0000-000065450000}"/>
    <cellStyle name="Normal 2 2 2 2 2 2 2 2 2 2 2 17" xfId="16958" xr:uid="{00000000-0005-0000-0000-000066450000}"/>
    <cellStyle name="Normal 2 2 2 2 2 2 2 2 2 2 2 17 2" xfId="16959" xr:uid="{00000000-0005-0000-0000-000067450000}"/>
    <cellStyle name="Normal 2 2 2 2 2 2 2 2 2 2 2 17 3" xfId="16960" xr:uid="{00000000-0005-0000-0000-000068450000}"/>
    <cellStyle name="Normal 2 2 2 2 2 2 2 2 2 2 2 17 4" xfId="16961" xr:uid="{00000000-0005-0000-0000-000069450000}"/>
    <cellStyle name="Normal 2 2 2 2 2 2 2 2 2 2 2 17 5" xfId="16962" xr:uid="{00000000-0005-0000-0000-00006A450000}"/>
    <cellStyle name="Normal 2 2 2 2 2 2 2 2 2 2 2 17 6" xfId="16963" xr:uid="{00000000-0005-0000-0000-00006B450000}"/>
    <cellStyle name="Normal 2 2 2 2 2 2 2 2 2 2 2 18" xfId="16964" xr:uid="{00000000-0005-0000-0000-00006C450000}"/>
    <cellStyle name="Normal 2 2 2 2 2 2 2 2 2 2 2 18 2" xfId="16965" xr:uid="{00000000-0005-0000-0000-00006D450000}"/>
    <cellStyle name="Normal 2 2 2 2 2 2 2 2 2 2 2 18 3" xfId="16966" xr:uid="{00000000-0005-0000-0000-00006E450000}"/>
    <cellStyle name="Normal 2 2 2 2 2 2 2 2 2 2 2 18 4" xfId="16967" xr:uid="{00000000-0005-0000-0000-00006F450000}"/>
    <cellStyle name="Normal 2 2 2 2 2 2 2 2 2 2 2 18 5" xfId="16968" xr:uid="{00000000-0005-0000-0000-000070450000}"/>
    <cellStyle name="Normal 2 2 2 2 2 2 2 2 2 2 2 18 6" xfId="16969" xr:uid="{00000000-0005-0000-0000-000071450000}"/>
    <cellStyle name="Normal 2 2 2 2 2 2 2 2 2 2 2 19" xfId="16970" xr:uid="{00000000-0005-0000-0000-000072450000}"/>
    <cellStyle name="Normal 2 2 2 2 2 2 2 2 2 2 2 19 2" xfId="16971" xr:uid="{00000000-0005-0000-0000-000073450000}"/>
    <cellStyle name="Normal 2 2 2 2 2 2 2 2 2 2 2 19 3" xfId="16972" xr:uid="{00000000-0005-0000-0000-000074450000}"/>
    <cellStyle name="Normal 2 2 2 2 2 2 2 2 2 2 2 19 4" xfId="16973" xr:uid="{00000000-0005-0000-0000-000075450000}"/>
    <cellStyle name="Normal 2 2 2 2 2 2 2 2 2 2 2 19 5" xfId="16974" xr:uid="{00000000-0005-0000-0000-000076450000}"/>
    <cellStyle name="Normal 2 2 2 2 2 2 2 2 2 2 2 19 6" xfId="16975" xr:uid="{00000000-0005-0000-0000-000077450000}"/>
    <cellStyle name="Normal 2 2 2 2 2 2 2 2 2 2 2 2" xfId="16976" xr:uid="{00000000-0005-0000-0000-000078450000}"/>
    <cellStyle name="Normal 2 2 2 2 2 2 2 2 2 2 2 2 10" xfId="16977" xr:uid="{00000000-0005-0000-0000-000079450000}"/>
    <cellStyle name="Normal 2 2 2 2 2 2 2 2 2 2 2 2 11" xfId="16978" xr:uid="{00000000-0005-0000-0000-00007A450000}"/>
    <cellStyle name="Normal 2 2 2 2 2 2 2 2 2 2 2 2 12" xfId="16979" xr:uid="{00000000-0005-0000-0000-00007B450000}"/>
    <cellStyle name="Normal 2 2 2 2 2 2 2 2 2 2 2 2 13" xfId="16980" xr:uid="{00000000-0005-0000-0000-00007C450000}"/>
    <cellStyle name="Normal 2 2 2 2 2 2 2 2 2 2 2 2 14" xfId="16981" xr:uid="{00000000-0005-0000-0000-00007D450000}"/>
    <cellStyle name="Normal 2 2 2 2 2 2 2 2 2 2 2 2 15" xfId="16982" xr:uid="{00000000-0005-0000-0000-00007E450000}"/>
    <cellStyle name="Normal 2 2 2 2 2 2 2 2 2 2 2 2 2" xfId="16983" xr:uid="{00000000-0005-0000-0000-00007F450000}"/>
    <cellStyle name="Normal 2 2 2 2 2 2 2 2 2 2 2 2 2 10" xfId="16984" xr:uid="{00000000-0005-0000-0000-000080450000}"/>
    <cellStyle name="Normal 2 2 2 2 2 2 2 2 2 2 2 2 2 11" xfId="16985" xr:uid="{00000000-0005-0000-0000-000081450000}"/>
    <cellStyle name="Normal 2 2 2 2 2 2 2 2 2 2 2 2 2 12" xfId="16986" xr:uid="{00000000-0005-0000-0000-000082450000}"/>
    <cellStyle name="Normal 2 2 2 2 2 2 2 2 2 2 2 2 2 13" xfId="16987" xr:uid="{00000000-0005-0000-0000-000083450000}"/>
    <cellStyle name="Normal 2 2 2 2 2 2 2 2 2 2 2 2 2 14" xfId="16988" xr:uid="{00000000-0005-0000-0000-000084450000}"/>
    <cellStyle name="Normal 2 2 2 2 2 2 2 2 2 2 2 2 2 2" xfId="16989" xr:uid="{00000000-0005-0000-0000-000085450000}"/>
    <cellStyle name="Normal 2 2 2 2 2 2 2 2 2 2 2 2 2 2 10" xfId="16990" xr:uid="{00000000-0005-0000-0000-000086450000}"/>
    <cellStyle name="Normal 2 2 2 2 2 2 2 2 2 2 2 2 2 2 11" xfId="16991" xr:uid="{00000000-0005-0000-0000-000087450000}"/>
    <cellStyle name="Normal 2 2 2 2 2 2 2 2 2 2 2 2 2 2 12" xfId="16992" xr:uid="{00000000-0005-0000-0000-000088450000}"/>
    <cellStyle name="Normal 2 2 2 2 2 2 2 2 2 2 2 2 2 2 13" xfId="16993" xr:uid="{00000000-0005-0000-0000-000089450000}"/>
    <cellStyle name="Normal 2 2 2 2 2 2 2 2 2 2 2 2 2 2 14" xfId="16994" xr:uid="{00000000-0005-0000-0000-00008A450000}"/>
    <cellStyle name="Normal 2 2 2 2 2 2 2 2 2 2 2 2 2 2 2" xfId="16995" xr:uid="{00000000-0005-0000-0000-00008B450000}"/>
    <cellStyle name="Normal 2 2 2 2 2 2 2 2 2 2 2 2 2 2 2 10" xfId="16996" xr:uid="{00000000-0005-0000-0000-00008C450000}"/>
    <cellStyle name="Normal 2 2 2 2 2 2 2 2 2 2 2 2 2 2 2 11" xfId="16997" xr:uid="{00000000-0005-0000-0000-00008D450000}"/>
    <cellStyle name="Normal 2 2 2 2 2 2 2 2 2 2 2 2 2 2 2 12" xfId="16998" xr:uid="{00000000-0005-0000-0000-00008E450000}"/>
    <cellStyle name="Normal 2 2 2 2 2 2 2 2 2 2 2 2 2 2 2 13" xfId="16999" xr:uid="{00000000-0005-0000-0000-00008F450000}"/>
    <cellStyle name="Normal 2 2 2 2 2 2 2 2 2 2 2 2 2 2 2 14" xfId="17000" xr:uid="{00000000-0005-0000-0000-000090450000}"/>
    <cellStyle name="Normal 2 2 2 2 2 2 2 2 2 2 2 2 2 2 2 2" xfId="17001" xr:uid="{00000000-0005-0000-0000-000091450000}"/>
    <cellStyle name="Normal 2 2 2 2 2 2 2 2 2 2 2 2 2 2 2 2 10" xfId="17002" xr:uid="{00000000-0005-0000-0000-000092450000}"/>
    <cellStyle name="Normal 2 2 2 2 2 2 2 2 2 2 2 2 2 2 2 2 11" xfId="17003" xr:uid="{00000000-0005-0000-0000-000093450000}"/>
    <cellStyle name="Normal 2 2 2 2 2 2 2 2 2 2 2 2 2 2 2 2 2" xfId="17004" xr:uid="{00000000-0005-0000-0000-000094450000}"/>
    <cellStyle name="Normal 2 2 2 2 2 2 2 2 2 2 2 2 2 2 2 2 2 2" xfId="17005" xr:uid="{00000000-0005-0000-0000-000095450000}"/>
    <cellStyle name="Normal 2 2 2 2 2 2 2 2 2 2 2 2 2 2 2 2 2 2 2" xfId="17006" xr:uid="{00000000-0005-0000-0000-000096450000}"/>
    <cellStyle name="Normal 2 2 2 2 2 2 2 2 2 2 2 2 2 2 2 2 2 2 3" xfId="17007" xr:uid="{00000000-0005-0000-0000-000097450000}"/>
    <cellStyle name="Normal 2 2 2 2 2 2 2 2 2 2 2 2 2 2 2 2 2 3" xfId="17008" xr:uid="{00000000-0005-0000-0000-000098450000}"/>
    <cellStyle name="Normal 2 2 2 2 2 2 2 2 2 2 2 2 2 2 2 2 2 4" xfId="17009" xr:uid="{00000000-0005-0000-0000-000099450000}"/>
    <cellStyle name="Normal 2 2 2 2 2 2 2 2 2 2 2 2 2 2 2 2 2 5" xfId="17010" xr:uid="{00000000-0005-0000-0000-00009A450000}"/>
    <cellStyle name="Normal 2 2 2 2 2 2 2 2 2 2 2 2 2 2 2 2 2 6" xfId="17011" xr:uid="{00000000-0005-0000-0000-00009B450000}"/>
    <cellStyle name="Normal 2 2 2 2 2 2 2 2 2 2 2 2 2 2 2 2 2 7" xfId="17012" xr:uid="{00000000-0005-0000-0000-00009C450000}"/>
    <cellStyle name="Normal 2 2 2 2 2 2 2 2 2 2 2 2 2 2 2 2 2 8" xfId="17013" xr:uid="{00000000-0005-0000-0000-00009D450000}"/>
    <cellStyle name="Normal 2 2 2 2 2 2 2 2 2 2 2 2 2 2 2 2 2 9" xfId="17014" xr:uid="{00000000-0005-0000-0000-00009E450000}"/>
    <cellStyle name="Normal 2 2 2 2 2 2 2 2 2 2 2 2 2 2 2 2 3" xfId="17015" xr:uid="{00000000-0005-0000-0000-00009F450000}"/>
    <cellStyle name="Normal 2 2 2 2 2 2 2 2 2 2 2 2 2 2 2 2 4" xfId="17016" xr:uid="{00000000-0005-0000-0000-0000A0450000}"/>
    <cellStyle name="Normal 2 2 2 2 2 2 2 2 2 2 2 2 2 2 2 2 5" xfId="17017" xr:uid="{00000000-0005-0000-0000-0000A1450000}"/>
    <cellStyle name="Normal 2 2 2 2 2 2 2 2 2 2 2 2 2 2 2 2 5 2" xfId="17018" xr:uid="{00000000-0005-0000-0000-0000A2450000}"/>
    <cellStyle name="Normal 2 2 2 2 2 2 2 2 2 2 2 2 2 2 2 2 5 3" xfId="17019" xr:uid="{00000000-0005-0000-0000-0000A3450000}"/>
    <cellStyle name="Normal 2 2 2 2 2 2 2 2 2 2 2 2 2 2 2 2 6" xfId="17020" xr:uid="{00000000-0005-0000-0000-0000A4450000}"/>
    <cellStyle name="Normal 2 2 2 2 2 2 2 2 2 2 2 2 2 2 2 2 7" xfId="17021" xr:uid="{00000000-0005-0000-0000-0000A5450000}"/>
    <cellStyle name="Normal 2 2 2 2 2 2 2 2 2 2 2 2 2 2 2 2 8" xfId="17022" xr:uid="{00000000-0005-0000-0000-0000A6450000}"/>
    <cellStyle name="Normal 2 2 2 2 2 2 2 2 2 2 2 2 2 2 2 2 9" xfId="17023" xr:uid="{00000000-0005-0000-0000-0000A7450000}"/>
    <cellStyle name="Normal 2 2 2 2 2 2 2 2 2 2 2 2 2 2 2 3" xfId="17024" xr:uid="{00000000-0005-0000-0000-0000A8450000}"/>
    <cellStyle name="Normal 2 2 2 2 2 2 2 2 2 2 2 2 2 2 2 4" xfId="17025" xr:uid="{00000000-0005-0000-0000-0000A9450000}"/>
    <cellStyle name="Normal 2 2 2 2 2 2 2 2 2 2 2 2 2 2 2 5" xfId="17026" xr:uid="{00000000-0005-0000-0000-0000AA450000}"/>
    <cellStyle name="Normal 2 2 2 2 2 2 2 2 2 2 2 2 2 2 2 6" xfId="17027" xr:uid="{00000000-0005-0000-0000-0000AB450000}"/>
    <cellStyle name="Normal 2 2 2 2 2 2 2 2 2 2 2 2 2 2 2 6 2" xfId="17028" xr:uid="{00000000-0005-0000-0000-0000AC450000}"/>
    <cellStyle name="Normal 2 2 2 2 2 2 2 2 2 2 2 2 2 2 2 6 2 2" xfId="17029" xr:uid="{00000000-0005-0000-0000-0000AD450000}"/>
    <cellStyle name="Normal 2 2 2 2 2 2 2 2 2 2 2 2 2 2 2 6 2 3" xfId="17030" xr:uid="{00000000-0005-0000-0000-0000AE450000}"/>
    <cellStyle name="Normal 2 2 2 2 2 2 2 2 2 2 2 2 2 2 2 6 3" xfId="17031" xr:uid="{00000000-0005-0000-0000-0000AF450000}"/>
    <cellStyle name="Normal 2 2 2 2 2 2 2 2 2 2 2 2 2 2 2 6 4" xfId="17032" xr:uid="{00000000-0005-0000-0000-0000B0450000}"/>
    <cellStyle name="Normal 2 2 2 2 2 2 2 2 2 2 2 2 2 2 2 6 5" xfId="17033" xr:uid="{00000000-0005-0000-0000-0000B1450000}"/>
    <cellStyle name="Normal 2 2 2 2 2 2 2 2 2 2 2 2 2 2 2 6 6" xfId="17034" xr:uid="{00000000-0005-0000-0000-0000B2450000}"/>
    <cellStyle name="Normal 2 2 2 2 2 2 2 2 2 2 2 2 2 2 2 6 7" xfId="17035" xr:uid="{00000000-0005-0000-0000-0000B3450000}"/>
    <cellStyle name="Normal 2 2 2 2 2 2 2 2 2 2 2 2 2 2 2 6 8" xfId="17036" xr:uid="{00000000-0005-0000-0000-0000B4450000}"/>
    <cellStyle name="Normal 2 2 2 2 2 2 2 2 2 2 2 2 2 2 2 6 9" xfId="17037" xr:uid="{00000000-0005-0000-0000-0000B5450000}"/>
    <cellStyle name="Normal 2 2 2 2 2 2 2 2 2 2 2 2 2 2 2 7" xfId="17038" xr:uid="{00000000-0005-0000-0000-0000B6450000}"/>
    <cellStyle name="Normal 2 2 2 2 2 2 2 2 2 2 2 2 2 2 2 8" xfId="17039" xr:uid="{00000000-0005-0000-0000-0000B7450000}"/>
    <cellStyle name="Normal 2 2 2 2 2 2 2 2 2 2 2 2 2 2 2 8 2" xfId="17040" xr:uid="{00000000-0005-0000-0000-0000B8450000}"/>
    <cellStyle name="Normal 2 2 2 2 2 2 2 2 2 2 2 2 2 2 2 8 3" xfId="17041" xr:uid="{00000000-0005-0000-0000-0000B9450000}"/>
    <cellStyle name="Normal 2 2 2 2 2 2 2 2 2 2 2 2 2 2 2 9" xfId="17042" xr:uid="{00000000-0005-0000-0000-0000BA450000}"/>
    <cellStyle name="Normal 2 2 2 2 2 2 2 2 2 2 2 2 2 2 3" xfId="17043" xr:uid="{00000000-0005-0000-0000-0000BB450000}"/>
    <cellStyle name="Normal 2 2 2 2 2 2 2 2 2 2 2 2 2 2 3 10" xfId="17044" xr:uid="{00000000-0005-0000-0000-0000BC450000}"/>
    <cellStyle name="Normal 2 2 2 2 2 2 2 2 2 2 2 2 2 2 3 11" xfId="17045" xr:uid="{00000000-0005-0000-0000-0000BD450000}"/>
    <cellStyle name="Normal 2 2 2 2 2 2 2 2 2 2 2 2 2 2 3 2" xfId="17046" xr:uid="{00000000-0005-0000-0000-0000BE450000}"/>
    <cellStyle name="Normal 2 2 2 2 2 2 2 2 2 2 2 2 2 2 3 2 2" xfId="17047" xr:uid="{00000000-0005-0000-0000-0000BF450000}"/>
    <cellStyle name="Normal 2 2 2 2 2 2 2 2 2 2 2 2 2 2 3 2 2 2" xfId="17048" xr:uid="{00000000-0005-0000-0000-0000C0450000}"/>
    <cellStyle name="Normal 2 2 2 2 2 2 2 2 2 2 2 2 2 2 3 2 2 3" xfId="17049" xr:uid="{00000000-0005-0000-0000-0000C1450000}"/>
    <cellStyle name="Normal 2 2 2 2 2 2 2 2 2 2 2 2 2 2 3 2 3" xfId="17050" xr:uid="{00000000-0005-0000-0000-0000C2450000}"/>
    <cellStyle name="Normal 2 2 2 2 2 2 2 2 2 2 2 2 2 2 3 2 4" xfId="17051" xr:uid="{00000000-0005-0000-0000-0000C3450000}"/>
    <cellStyle name="Normal 2 2 2 2 2 2 2 2 2 2 2 2 2 2 3 2 5" xfId="17052" xr:uid="{00000000-0005-0000-0000-0000C4450000}"/>
    <cellStyle name="Normal 2 2 2 2 2 2 2 2 2 2 2 2 2 2 3 2 6" xfId="17053" xr:uid="{00000000-0005-0000-0000-0000C5450000}"/>
    <cellStyle name="Normal 2 2 2 2 2 2 2 2 2 2 2 2 2 2 3 2 7" xfId="17054" xr:uid="{00000000-0005-0000-0000-0000C6450000}"/>
    <cellStyle name="Normal 2 2 2 2 2 2 2 2 2 2 2 2 2 2 3 2 8" xfId="17055" xr:uid="{00000000-0005-0000-0000-0000C7450000}"/>
    <cellStyle name="Normal 2 2 2 2 2 2 2 2 2 2 2 2 2 2 3 2 9" xfId="17056" xr:uid="{00000000-0005-0000-0000-0000C8450000}"/>
    <cellStyle name="Normal 2 2 2 2 2 2 2 2 2 2 2 2 2 2 3 3" xfId="17057" xr:uid="{00000000-0005-0000-0000-0000C9450000}"/>
    <cellStyle name="Normal 2 2 2 2 2 2 2 2 2 2 2 2 2 2 3 4" xfId="17058" xr:uid="{00000000-0005-0000-0000-0000CA450000}"/>
    <cellStyle name="Normal 2 2 2 2 2 2 2 2 2 2 2 2 2 2 3 5" xfId="17059" xr:uid="{00000000-0005-0000-0000-0000CB450000}"/>
    <cellStyle name="Normal 2 2 2 2 2 2 2 2 2 2 2 2 2 2 3 5 2" xfId="17060" xr:uid="{00000000-0005-0000-0000-0000CC450000}"/>
    <cellStyle name="Normal 2 2 2 2 2 2 2 2 2 2 2 2 2 2 3 5 3" xfId="17061" xr:uid="{00000000-0005-0000-0000-0000CD450000}"/>
    <cellStyle name="Normal 2 2 2 2 2 2 2 2 2 2 2 2 2 2 3 6" xfId="17062" xr:uid="{00000000-0005-0000-0000-0000CE450000}"/>
    <cellStyle name="Normal 2 2 2 2 2 2 2 2 2 2 2 2 2 2 3 7" xfId="17063" xr:uid="{00000000-0005-0000-0000-0000CF450000}"/>
    <cellStyle name="Normal 2 2 2 2 2 2 2 2 2 2 2 2 2 2 3 8" xfId="17064" xr:uid="{00000000-0005-0000-0000-0000D0450000}"/>
    <cellStyle name="Normal 2 2 2 2 2 2 2 2 2 2 2 2 2 2 3 9" xfId="17065" xr:uid="{00000000-0005-0000-0000-0000D1450000}"/>
    <cellStyle name="Normal 2 2 2 2 2 2 2 2 2 2 2 2 2 2 4" xfId="17066" xr:uid="{00000000-0005-0000-0000-0000D2450000}"/>
    <cellStyle name="Normal 2 2 2 2 2 2 2 2 2 2 2 2 2 2 5" xfId="17067" xr:uid="{00000000-0005-0000-0000-0000D3450000}"/>
    <cellStyle name="Normal 2 2 2 2 2 2 2 2 2 2 2 2 2 2 6" xfId="17068" xr:uid="{00000000-0005-0000-0000-0000D4450000}"/>
    <cellStyle name="Normal 2 2 2 2 2 2 2 2 2 2 2 2 2 2 6 2" xfId="17069" xr:uid="{00000000-0005-0000-0000-0000D5450000}"/>
    <cellStyle name="Normal 2 2 2 2 2 2 2 2 2 2 2 2 2 2 6 2 2" xfId="17070" xr:uid="{00000000-0005-0000-0000-0000D6450000}"/>
    <cellStyle name="Normal 2 2 2 2 2 2 2 2 2 2 2 2 2 2 6 2 3" xfId="17071" xr:uid="{00000000-0005-0000-0000-0000D7450000}"/>
    <cellStyle name="Normal 2 2 2 2 2 2 2 2 2 2 2 2 2 2 6 3" xfId="17072" xr:uid="{00000000-0005-0000-0000-0000D8450000}"/>
    <cellStyle name="Normal 2 2 2 2 2 2 2 2 2 2 2 2 2 2 6 4" xfId="17073" xr:uid="{00000000-0005-0000-0000-0000D9450000}"/>
    <cellStyle name="Normal 2 2 2 2 2 2 2 2 2 2 2 2 2 2 6 5" xfId="17074" xr:uid="{00000000-0005-0000-0000-0000DA450000}"/>
    <cellStyle name="Normal 2 2 2 2 2 2 2 2 2 2 2 2 2 2 6 6" xfId="17075" xr:uid="{00000000-0005-0000-0000-0000DB450000}"/>
    <cellStyle name="Normal 2 2 2 2 2 2 2 2 2 2 2 2 2 2 6 7" xfId="17076" xr:uid="{00000000-0005-0000-0000-0000DC450000}"/>
    <cellStyle name="Normal 2 2 2 2 2 2 2 2 2 2 2 2 2 2 6 8" xfId="17077" xr:uid="{00000000-0005-0000-0000-0000DD450000}"/>
    <cellStyle name="Normal 2 2 2 2 2 2 2 2 2 2 2 2 2 2 6 9" xfId="17078" xr:uid="{00000000-0005-0000-0000-0000DE450000}"/>
    <cellStyle name="Normal 2 2 2 2 2 2 2 2 2 2 2 2 2 2 7" xfId="17079" xr:uid="{00000000-0005-0000-0000-0000DF450000}"/>
    <cellStyle name="Normal 2 2 2 2 2 2 2 2 2 2 2 2 2 2 8" xfId="17080" xr:uid="{00000000-0005-0000-0000-0000E0450000}"/>
    <cellStyle name="Normal 2 2 2 2 2 2 2 2 2 2 2 2 2 2 8 2" xfId="17081" xr:uid="{00000000-0005-0000-0000-0000E1450000}"/>
    <cellStyle name="Normal 2 2 2 2 2 2 2 2 2 2 2 2 2 2 8 3" xfId="17082" xr:uid="{00000000-0005-0000-0000-0000E2450000}"/>
    <cellStyle name="Normal 2 2 2 2 2 2 2 2 2 2 2 2 2 2 9" xfId="17083" xr:uid="{00000000-0005-0000-0000-0000E3450000}"/>
    <cellStyle name="Normal 2 2 2 2 2 2 2 2 2 2 2 2 2 3" xfId="17084" xr:uid="{00000000-0005-0000-0000-0000E4450000}"/>
    <cellStyle name="Normal 2 2 2 2 2 2 2 2 2 2 2 2 2 3 10" xfId="17085" xr:uid="{00000000-0005-0000-0000-0000E5450000}"/>
    <cellStyle name="Normal 2 2 2 2 2 2 2 2 2 2 2 2 2 3 11" xfId="17086" xr:uid="{00000000-0005-0000-0000-0000E6450000}"/>
    <cellStyle name="Normal 2 2 2 2 2 2 2 2 2 2 2 2 2 3 2" xfId="17087" xr:uid="{00000000-0005-0000-0000-0000E7450000}"/>
    <cellStyle name="Normal 2 2 2 2 2 2 2 2 2 2 2 2 2 3 2 2" xfId="17088" xr:uid="{00000000-0005-0000-0000-0000E8450000}"/>
    <cellStyle name="Normal 2 2 2 2 2 2 2 2 2 2 2 2 2 3 2 2 2" xfId="17089" xr:uid="{00000000-0005-0000-0000-0000E9450000}"/>
    <cellStyle name="Normal 2 2 2 2 2 2 2 2 2 2 2 2 2 3 2 2 3" xfId="17090" xr:uid="{00000000-0005-0000-0000-0000EA450000}"/>
    <cellStyle name="Normal 2 2 2 2 2 2 2 2 2 2 2 2 2 3 2 3" xfId="17091" xr:uid="{00000000-0005-0000-0000-0000EB450000}"/>
    <cellStyle name="Normal 2 2 2 2 2 2 2 2 2 2 2 2 2 3 2 4" xfId="17092" xr:uid="{00000000-0005-0000-0000-0000EC450000}"/>
    <cellStyle name="Normal 2 2 2 2 2 2 2 2 2 2 2 2 2 3 2 5" xfId="17093" xr:uid="{00000000-0005-0000-0000-0000ED450000}"/>
    <cellStyle name="Normal 2 2 2 2 2 2 2 2 2 2 2 2 2 3 2 6" xfId="17094" xr:uid="{00000000-0005-0000-0000-0000EE450000}"/>
    <cellStyle name="Normal 2 2 2 2 2 2 2 2 2 2 2 2 2 3 2 7" xfId="17095" xr:uid="{00000000-0005-0000-0000-0000EF450000}"/>
    <cellStyle name="Normal 2 2 2 2 2 2 2 2 2 2 2 2 2 3 2 8" xfId="17096" xr:uid="{00000000-0005-0000-0000-0000F0450000}"/>
    <cellStyle name="Normal 2 2 2 2 2 2 2 2 2 2 2 2 2 3 2 9" xfId="17097" xr:uid="{00000000-0005-0000-0000-0000F1450000}"/>
    <cellStyle name="Normal 2 2 2 2 2 2 2 2 2 2 2 2 2 3 3" xfId="17098" xr:uid="{00000000-0005-0000-0000-0000F2450000}"/>
    <cellStyle name="Normal 2 2 2 2 2 2 2 2 2 2 2 2 2 3 4" xfId="17099" xr:uid="{00000000-0005-0000-0000-0000F3450000}"/>
    <cellStyle name="Normal 2 2 2 2 2 2 2 2 2 2 2 2 2 3 5" xfId="17100" xr:uid="{00000000-0005-0000-0000-0000F4450000}"/>
    <cellStyle name="Normal 2 2 2 2 2 2 2 2 2 2 2 2 2 3 5 2" xfId="17101" xr:uid="{00000000-0005-0000-0000-0000F5450000}"/>
    <cellStyle name="Normal 2 2 2 2 2 2 2 2 2 2 2 2 2 3 5 3" xfId="17102" xr:uid="{00000000-0005-0000-0000-0000F6450000}"/>
    <cellStyle name="Normal 2 2 2 2 2 2 2 2 2 2 2 2 2 3 6" xfId="17103" xr:uid="{00000000-0005-0000-0000-0000F7450000}"/>
    <cellStyle name="Normal 2 2 2 2 2 2 2 2 2 2 2 2 2 3 7" xfId="17104" xr:uid="{00000000-0005-0000-0000-0000F8450000}"/>
    <cellStyle name="Normal 2 2 2 2 2 2 2 2 2 2 2 2 2 3 8" xfId="17105" xr:uid="{00000000-0005-0000-0000-0000F9450000}"/>
    <cellStyle name="Normal 2 2 2 2 2 2 2 2 2 2 2 2 2 3 9" xfId="17106" xr:uid="{00000000-0005-0000-0000-0000FA450000}"/>
    <cellStyle name="Normal 2 2 2 2 2 2 2 2 2 2 2 2 2 4" xfId="17107" xr:uid="{00000000-0005-0000-0000-0000FB450000}"/>
    <cellStyle name="Normal 2 2 2 2 2 2 2 2 2 2 2 2 2 5" xfId="17108" xr:uid="{00000000-0005-0000-0000-0000FC450000}"/>
    <cellStyle name="Normal 2 2 2 2 2 2 2 2 2 2 2 2 2 6" xfId="17109" xr:uid="{00000000-0005-0000-0000-0000FD450000}"/>
    <cellStyle name="Normal 2 2 2 2 2 2 2 2 2 2 2 2 2 6 2" xfId="17110" xr:uid="{00000000-0005-0000-0000-0000FE450000}"/>
    <cellStyle name="Normal 2 2 2 2 2 2 2 2 2 2 2 2 2 6 2 2" xfId="17111" xr:uid="{00000000-0005-0000-0000-0000FF450000}"/>
    <cellStyle name="Normal 2 2 2 2 2 2 2 2 2 2 2 2 2 6 2 3" xfId="17112" xr:uid="{00000000-0005-0000-0000-000000460000}"/>
    <cellStyle name="Normal 2 2 2 2 2 2 2 2 2 2 2 2 2 6 3" xfId="17113" xr:uid="{00000000-0005-0000-0000-000001460000}"/>
    <cellStyle name="Normal 2 2 2 2 2 2 2 2 2 2 2 2 2 6 4" xfId="17114" xr:uid="{00000000-0005-0000-0000-000002460000}"/>
    <cellStyle name="Normal 2 2 2 2 2 2 2 2 2 2 2 2 2 6 5" xfId="17115" xr:uid="{00000000-0005-0000-0000-000003460000}"/>
    <cellStyle name="Normal 2 2 2 2 2 2 2 2 2 2 2 2 2 6 6" xfId="17116" xr:uid="{00000000-0005-0000-0000-000004460000}"/>
    <cellStyle name="Normal 2 2 2 2 2 2 2 2 2 2 2 2 2 6 7" xfId="17117" xr:uid="{00000000-0005-0000-0000-000005460000}"/>
    <cellStyle name="Normal 2 2 2 2 2 2 2 2 2 2 2 2 2 6 8" xfId="17118" xr:uid="{00000000-0005-0000-0000-000006460000}"/>
    <cellStyle name="Normal 2 2 2 2 2 2 2 2 2 2 2 2 2 6 9" xfId="17119" xr:uid="{00000000-0005-0000-0000-000007460000}"/>
    <cellStyle name="Normal 2 2 2 2 2 2 2 2 2 2 2 2 2 7" xfId="17120" xr:uid="{00000000-0005-0000-0000-000008460000}"/>
    <cellStyle name="Normal 2 2 2 2 2 2 2 2 2 2 2 2 2 8" xfId="17121" xr:uid="{00000000-0005-0000-0000-000009460000}"/>
    <cellStyle name="Normal 2 2 2 2 2 2 2 2 2 2 2 2 2 8 2" xfId="17122" xr:uid="{00000000-0005-0000-0000-00000A460000}"/>
    <cellStyle name="Normal 2 2 2 2 2 2 2 2 2 2 2 2 2 8 3" xfId="17123" xr:uid="{00000000-0005-0000-0000-00000B460000}"/>
    <cellStyle name="Normal 2 2 2 2 2 2 2 2 2 2 2 2 2 9" xfId="17124" xr:uid="{00000000-0005-0000-0000-00000C460000}"/>
    <cellStyle name="Normal 2 2 2 2 2 2 2 2 2 2 2 2 3" xfId="17125" xr:uid="{00000000-0005-0000-0000-00000D460000}"/>
    <cellStyle name="Normal 2 2 2 2 2 2 2 2 2 2 2 2 3 2" xfId="17126" xr:uid="{00000000-0005-0000-0000-00000E460000}"/>
    <cellStyle name="Normal 2 2 2 2 2 2 2 2 2 2 2 2 3 3" xfId="17127" xr:uid="{00000000-0005-0000-0000-00000F460000}"/>
    <cellStyle name="Normal 2 2 2 2 2 2 2 2 2 2 2 2 3 4" xfId="17128" xr:uid="{00000000-0005-0000-0000-000010460000}"/>
    <cellStyle name="Normal 2 2 2 2 2 2 2 2 2 2 2 2 3 5" xfId="17129" xr:uid="{00000000-0005-0000-0000-000011460000}"/>
    <cellStyle name="Normal 2 2 2 2 2 2 2 2 2 2 2 2 3 6" xfId="17130" xr:uid="{00000000-0005-0000-0000-000012460000}"/>
    <cellStyle name="Normal 2 2 2 2 2 2 2 2 2 2 2 2 4" xfId="17131" xr:uid="{00000000-0005-0000-0000-000013460000}"/>
    <cellStyle name="Normal 2 2 2 2 2 2 2 2 2 2 2 2 4 10" xfId="17132" xr:uid="{00000000-0005-0000-0000-000014460000}"/>
    <cellStyle name="Normal 2 2 2 2 2 2 2 2 2 2 2 2 4 11" xfId="17133" xr:uid="{00000000-0005-0000-0000-000015460000}"/>
    <cellStyle name="Normal 2 2 2 2 2 2 2 2 2 2 2 2 4 2" xfId="17134" xr:uid="{00000000-0005-0000-0000-000016460000}"/>
    <cellStyle name="Normal 2 2 2 2 2 2 2 2 2 2 2 2 4 2 2" xfId="17135" xr:uid="{00000000-0005-0000-0000-000017460000}"/>
    <cellStyle name="Normal 2 2 2 2 2 2 2 2 2 2 2 2 4 2 2 2" xfId="17136" xr:uid="{00000000-0005-0000-0000-000018460000}"/>
    <cellStyle name="Normal 2 2 2 2 2 2 2 2 2 2 2 2 4 2 2 3" xfId="17137" xr:uid="{00000000-0005-0000-0000-000019460000}"/>
    <cellStyle name="Normal 2 2 2 2 2 2 2 2 2 2 2 2 4 2 3" xfId="17138" xr:uid="{00000000-0005-0000-0000-00001A460000}"/>
    <cellStyle name="Normal 2 2 2 2 2 2 2 2 2 2 2 2 4 2 4" xfId="17139" xr:uid="{00000000-0005-0000-0000-00001B460000}"/>
    <cellStyle name="Normal 2 2 2 2 2 2 2 2 2 2 2 2 4 2 5" xfId="17140" xr:uid="{00000000-0005-0000-0000-00001C460000}"/>
    <cellStyle name="Normal 2 2 2 2 2 2 2 2 2 2 2 2 4 2 6" xfId="17141" xr:uid="{00000000-0005-0000-0000-00001D460000}"/>
    <cellStyle name="Normal 2 2 2 2 2 2 2 2 2 2 2 2 4 2 7" xfId="17142" xr:uid="{00000000-0005-0000-0000-00001E460000}"/>
    <cellStyle name="Normal 2 2 2 2 2 2 2 2 2 2 2 2 4 2 8" xfId="17143" xr:uid="{00000000-0005-0000-0000-00001F460000}"/>
    <cellStyle name="Normal 2 2 2 2 2 2 2 2 2 2 2 2 4 2 9" xfId="17144" xr:uid="{00000000-0005-0000-0000-000020460000}"/>
    <cellStyle name="Normal 2 2 2 2 2 2 2 2 2 2 2 2 4 3" xfId="17145" xr:uid="{00000000-0005-0000-0000-000021460000}"/>
    <cellStyle name="Normal 2 2 2 2 2 2 2 2 2 2 2 2 4 4" xfId="17146" xr:uid="{00000000-0005-0000-0000-000022460000}"/>
    <cellStyle name="Normal 2 2 2 2 2 2 2 2 2 2 2 2 4 5" xfId="17147" xr:uid="{00000000-0005-0000-0000-000023460000}"/>
    <cellStyle name="Normal 2 2 2 2 2 2 2 2 2 2 2 2 4 5 2" xfId="17148" xr:uid="{00000000-0005-0000-0000-000024460000}"/>
    <cellStyle name="Normal 2 2 2 2 2 2 2 2 2 2 2 2 4 5 3" xfId="17149" xr:uid="{00000000-0005-0000-0000-000025460000}"/>
    <cellStyle name="Normal 2 2 2 2 2 2 2 2 2 2 2 2 4 6" xfId="17150" xr:uid="{00000000-0005-0000-0000-000026460000}"/>
    <cellStyle name="Normal 2 2 2 2 2 2 2 2 2 2 2 2 4 7" xfId="17151" xr:uid="{00000000-0005-0000-0000-000027460000}"/>
    <cellStyle name="Normal 2 2 2 2 2 2 2 2 2 2 2 2 4 8" xfId="17152" xr:uid="{00000000-0005-0000-0000-000028460000}"/>
    <cellStyle name="Normal 2 2 2 2 2 2 2 2 2 2 2 2 4 9" xfId="17153" xr:uid="{00000000-0005-0000-0000-000029460000}"/>
    <cellStyle name="Normal 2 2 2 2 2 2 2 2 2 2 2 2 5" xfId="17154" xr:uid="{00000000-0005-0000-0000-00002A460000}"/>
    <cellStyle name="Normal 2 2 2 2 2 2 2 2 2 2 2 2 6" xfId="17155" xr:uid="{00000000-0005-0000-0000-00002B460000}"/>
    <cellStyle name="Normal 2 2 2 2 2 2 2 2 2 2 2 2 7" xfId="17156" xr:uid="{00000000-0005-0000-0000-00002C460000}"/>
    <cellStyle name="Normal 2 2 2 2 2 2 2 2 2 2 2 2 7 2" xfId="17157" xr:uid="{00000000-0005-0000-0000-00002D460000}"/>
    <cellStyle name="Normal 2 2 2 2 2 2 2 2 2 2 2 2 7 2 2" xfId="17158" xr:uid="{00000000-0005-0000-0000-00002E460000}"/>
    <cellStyle name="Normal 2 2 2 2 2 2 2 2 2 2 2 2 7 2 3" xfId="17159" xr:uid="{00000000-0005-0000-0000-00002F460000}"/>
    <cellStyle name="Normal 2 2 2 2 2 2 2 2 2 2 2 2 7 3" xfId="17160" xr:uid="{00000000-0005-0000-0000-000030460000}"/>
    <cellStyle name="Normal 2 2 2 2 2 2 2 2 2 2 2 2 7 4" xfId="17161" xr:uid="{00000000-0005-0000-0000-000031460000}"/>
    <cellStyle name="Normal 2 2 2 2 2 2 2 2 2 2 2 2 7 5" xfId="17162" xr:uid="{00000000-0005-0000-0000-000032460000}"/>
    <cellStyle name="Normal 2 2 2 2 2 2 2 2 2 2 2 2 7 6" xfId="17163" xr:uid="{00000000-0005-0000-0000-000033460000}"/>
    <cellStyle name="Normal 2 2 2 2 2 2 2 2 2 2 2 2 7 7" xfId="17164" xr:uid="{00000000-0005-0000-0000-000034460000}"/>
    <cellStyle name="Normal 2 2 2 2 2 2 2 2 2 2 2 2 7 8" xfId="17165" xr:uid="{00000000-0005-0000-0000-000035460000}"/>
    <cellStyle name="Normal 2 2 2 2 2 2 2 2 2 2 2 2 7 9" xfId="17166" xr:uid="{00000000-0005-0000-0000-000036460000}"/>
    <cellStyle name="Normal 2 2 2 2 2 2 2 2 2 2 2 2 8" xfId="17167" xr:uid="{00000000-0005-0000-0000-000037460000}"/>
    <cellStyle name="Normal 2 2 2 2 2 2 2 2 2 2 2 2 9" xfId="17168" xr:uid="{00000000-0005-0000-0000-000038460000}"/>
    <cellStyle name="Normal 2 2 2 2 2 2 2 2 2 2 2 2 9 2" xfId="17169" xr:uid="{00000000-0005-0000-0000-000039460000}"/>
    <cellStyle name="Normal 2 2 2 2 2 2 2 2 2 2 2 2 9 3" xfId="17170" xr:uid="{00000000-0005-0000-0000-00003A460000}"/>
    <cellStyle name="Normal 2 2 2 2 2 2 2 2 2 2 2 20" xfId="17171" xr:uid="{00000000-0005-0000-0000-00003B460000}"/>
    <cellStyle name="Normal 2 2 2 2 2 2 2 2 2 2 2 20 2" xfId="17172" xr:uid="{00000000-0005-0000-0000-00003C460000}"/>
    <cellStyle name="Normal 2 2 2 2 2 2 2 2 2 2 2 20 3" xfId="17173" xr:uid="{00000000-0005-0000-0000-00003D460000}"/>
    <cellStyle name="Normal 2 2 2 2 2 2 2 2 2 2 2 20 4" xfId="17174" xr:uid="{00000000-0005-0000-0000-00003E460000}"/>
    <cellStyle name="Normal 2 2 2 2 2 2 2 2 2 2 2 20 5" xfId="17175" xr:uid="{00000000-0005-0000-0000-00003F460000}"/>
    <cellStyle name="Normal 2 2 2 2 2 2 2 2 2 2 2 20 6" xfId="17176" xr:uid="{00000000-0005-0000-0000-000040460000}"/>
    <cellStyle name="Normal 2 2 2 2 2 2 2 2 2 2 2 21" xfId="17177" xr:uid="{00000000-0005-0000-0000-000041460000}"/>
    <cellStyle name="Normal 2 2 2 2 2 2 2 2 2 2 2 21 2" xfId="17178" xr:uid="{00000000-0005-0000-0000-000042460000}"/>
    <cellStyle name="Normal 2 2 2 2 2 2 2 2 2 2 2 21 3" xfId="17179" xr:uid="{00000000-0005-0000-0000-000043460000}"/>
    <cellStyle name="Normal 2 2 2 2 2 2 2 2 2 2 2 21 4" xfId="17180" xr:uid="{00000000-0005-0000-0000-000044460000}"/>
    <cellStyle name="Normal 2 2 2 2 2 2 2 2 2 2 2 21 5" xfId="17181" xr:uid="{00000000-0005-0000-0000-000045460000}"/>
    <cellStyle name="Normal 2 2 2 2 2 2 2 2 2 2 2 21 6" xfId="17182" xr:uid="{00000000-0005-0000-0000-000046460000}"/>
    <cellStyle name="Normal 2 2 2 2 2 2 2 2 2 2 2 22" xfId="17183" xr:uid="{00000000-0005-0000-0000-000047460000}"/>
    <cellStyle name="Normal 2 2 2 2 2 2 2 2 2 2 2 22 2" xfId="17184" xr:uid="{00000000-0005-0000-0000-000048460000}"/>
    <cellStyle name="Normal 2 2 2 2 2 2 2 2 2 2 2 22 3" xfId="17185" xr:uid="{00000000-0005-0000-0000-000049460000}"/>
    <cellStyle name="Normal 2 2 2 2 2 2 2 2 2 2 2 22 4" xfId="17186" xr:uid="{00000000-0005-0000-0000-00004A460000}"/>
    <cellStyle name="Normal 2 2 2 2 2 2 2 2 2 2 2 22 5" xfId="17187" xr:uid="{00000000-0005-0000-0000-00004B460000}"/>
    <cellStyle name="Normal 2 2 2 2 2 2 2 2 2 2 2 22 6" xfId="17188" xr:uid="{00000000-0005-0000-0000-00004C460000}"/>
    <cellStyle name="Normal 2 2 2 2 2 2 2 2 2 2 2 23" xfId="17189" xr:uid="{00000000-0005-0000-0000-00004D460000}"/>
    <cellStyle name="Normal 2 2 2 2 2 2 2 2 2 2 2 23 2" xfId="17190" xr:uid="{00000000-0005-0000-0000-00004E460000}"/>
    <cellStyle name="Normal 2 2 2 2 2 2 2 2 2 2 2 23 2 2" xfId="17191" xr:uid="{00000000-0005-0000-0000-00004F460000}"/>
    <cellStyle name="Normal 2 2 2 2 2 2 2 2 2 2 2 23 2 3" xfId="17192" xr:uid="{00000000-0005-0000-0000-000050460000}"/>
    <cellStyle name="Normal 2 2 2 2 2 2 2 2 2 2 2 23 2 4" xfId="17193" xr:uid="{00000000-0005-0000-0000-000051460000}"/>
    <cellStyle name="Normal 2 2 2 2 2 2 2 2 2 2 2 23 2 5" xfId="17194" xr:uid="{00000000-0005-0000-0000-000052460000}"/>
    <cellStyle name="Normal 2 2 2 2 2 2 2 2 2 2 2 23 2 6" xfId="17195" xr:uid="{00000000-0005-0000-0000-000053460000}"/>
    <cellStyle name="Normal 2 2 2 2 2 2 2 2 2 2 2 24" xfId="17196" xr:uid="{00000000-0005-0000-0000-000054460000}"/>
    <cellStyle name="Normal 2 2 2 2 2 2 2 2 2 2 2 24 10" xfId="17197" xr:uid="{00000000-0005-0000-0000-000055460000}"/>
    <cellStyle name="Normal 2 2 2 2 2 2 2 2 2 2 2 24 11" xfId="17198" xr:uid="{00000000-0005-0000-0000-000056460000}"/>
    <cellStyle name="Normal 2 2 2 2 2 2 2 2 2 2 2 24 2" xfId="17199" xr:uid="{00000000-0005-0000-0000-000057460000}"/>
    <cellStyle name="Normal 2 2 2 2 2 2 2 2 2 2 2 24 2 2" xfId="17200" xr:uid="{00000000-0005-0000-0000-000058460000}"/>
    <cellStyle name="Normal 2 2 2 2 2 2 2 2 2 2 2 24 2 2 2" xfId="17201" xr:uid="{00000000-0005-0000-0000-000059460000}"/>
    <cellStyle name="Normal 2 2 2 2 2 2 2 2 2 2 2 24 2 2 3" xfId="17202" xr:uid="{00000000-0005-0000-0000-00005A460000}"/>
    <cellStyle name="Normal 2 2 2 2 2 2 2 2 2 2 2 24 2 3" xfId="17203" xr:uid="{00000000-0005-0000-0000-00005B460000}"/>
    <cellStyle name="Normal 2 2 2 2 2 2 2 2 2 2 2 24 2 4" xfId="17204" xr:uid="{00000000-0005-0000-0000-00005C460000}"/>
    <cellStyle name="Normal 2 2 2 2 2 2 2 2 2 2 2 24 2 5" xfId="17205" xr:uid="{00000000-0005-0000-0000-00005D460000}"/>
    <cellStyle name="Normal 2 2 2 2 2 2 2 2 2 2 2 24 2 6" xfId="17206" xr:uid="{00000000-0005-0000-0000-00005E460000}"/>
    <cellStyle name="Normal 2 2 2 2 2 2 2 2 2 2 2 24 2 7" xfId="17207" xr:uid="{00000000-0005-0000-0000-00005F460000}"/>
    <cellStyle name="Normal 2 2 2 2 2 2 2 2 2 2 2 24 2 8" xfId="17208" xr:uid="{00000000-0005-0000-0000-000060460000}"/>
    <cellStyle name="Normal 2 2 2 2 2 2 2 2 2 2 2 24 2 9" xfId="17209" xr:uid="{00000000-0005-0000-0000-000061460000}"/>
    <cellStyle name="Normal 2 2 2 2 2 2 2 2 2 2 2 24 3" xfId="17210" xr:uid="{00000000-0005-0000-0000-000062460000}"/>
    <cellStyle name="Normal 2 2 2 2 2 2 2 2 2 2 2 24 4" xfId="17211" xr:uid="{00000000-0005-0000-0000-000063460000}"/>
    <cellStyle name="Normal 2 2 2 2 2 2 2 2 2 2 2 24 5" xfId="17212" xr:uid="{00000000-0005-0000-0000-000064460000}"/>
    <cellStyle name="Normal 2 2 2 2 2 2 2 2 2 2 2 24 5 2" xfId="17213" xr:uid="{00000000-0005-0000-0000-000065460000}"/>
    <cellStyle name="Normal 2 2 2 2 2 2 2 2 2 2 2 24 5 3" xfId="17214" xr:uid="{00000000-0005-0000-0000-000066460000}"/>
    <cellStyle name="Normal 2 2 2 2 2 2 2 2 2 2 2 24 6" xfId="17215" xr:uid="{00000000-0005-0000-0000-000067460000}"/>
    <cellStyle name="Normal 2 2 2 2 2 2 2 2 2 2 2 24 7" xfId="17216" xr:uid="{00000000-0005-0000-0000-000068460000}"/>
    <cellStyle name="Normal 2 2 2 2 2 2 2 2 2 2 2 24 8" xfId="17217" xr:uid="{00000000-0005-0000-0000-000069460000}"/>
    <cellStyle name="Normal 2 2 2 2 2 2 2 2 2 2 2 24 9" xfId="17218" xr:uid="{00000000-0005-0000-0000-00006A460000}"/>
    <cellStyle name="Normal 2 2 2 2 2 2 2 2 2 2 2 25" xfId="17219" xr:uid="{00000000-0005-0000-0000-00006B460000}"/>
    <cellStyle name="Normal 2 2 2 2 2 2 2 2 2 2 2 26" xfId="17220" xr:uid="{00000000-0005-0000-0000-00006C460000}"/>
    <cellStyle name="Normal 2 2 2 2 2 2 2 2 2 2 2 27" xfId="17221" xr:uid="{00000000-0005-0000-0000-00006D460000}"/>
    <cellStyle name="Normal 2 2 2 2 2 2 2 2 2 2 2 27 2" xfId="17222" xr:uid="{00000000-0005-0000-0000-00006E460000}"/>
    <cellStyle name="Normal 2 2 2 2 2 2 2 2 2 2 2 27 2 2" xfId="17223" xr:uid="{00000000-0005-0000-0000-00006F460000}"/>
    <cellStyle name="Normal 2 2 2 2 2 2 2 2 2 2 2 27 2 3" xfId="17224" xr:uid="{00000000-0005-0000-0000-000070460000}"/>
    <cellStyle name="Normal 2 2 2 2 2 2 2 2 2 2 2 27 3" xfId="17225" xr:uid="{00000000-0005-0000-0000-000071460000}"/>
    <cellStyle name="Normal 2 2 2 2 2 2 2 2 2 2 2 27 4" xfId="17226" xr:uid="{00000000-0005-0000-0000-000072460000}"/>
    <cellStyle name="Normal 2 2 2 2 2 2 2 2 2 2 2 27 5" xfId="17227" xr:uid="{00000000-0005-0000-0000-000073460000}"/>
    <cellStyle name="Normal 2 2 2 2 2 2 2 2 2 2 2 27 6" xfId="17228" xr:uid="{00000000-0005-0000-0000-000074460000}"/>
    <cellStyle name="Normal 2 2 2 2 2 2 2 2 2 2 2 27 7" xfId="17229" xr:uid="{00000000-0005-0000-0000-000075460000}"/>
    <cellStyle name="Normal 2 2 2 2 2 2 2 2 2 2 2 27 8" xfId="17230" xr:uid="{00000000-0005-0000-0000-000076460000}"/>
    <cellStyle name="Normal 2 2 2 2 2 2 2 2 2 2 2 27 9" xfId="17231" xr:uid="{00000000-0005-0000-0000-000077460000}"/>
    <cellStyle name="Normal 2 2 2 2 2 2 2 2 2 2 2 28" xfId="17232" xr:uid="{00000000-0005-0000-0000-000078460000}"/>
    <cellStyle name="Normal 2 2 2 2 2 2 2 2 2 2 2 29" xfId="17233" xr:uid="{00000000-0005-0000-0000-000079460000}"/>
    <cellStyle name="Normal 2 2 2 2 2 2 2 2 2 2 2 29 2" xfId="17234" xr:uid="{00000000-0005-0000-0000-00007A460000}"/>
    <cellStyle name="Normal 2 2 2 2 2 2 2 2 2 2 2 29 3" xfId="17235" xr:uid="{00000000-0005-0000-0000-00007B460000}"/>
    <cellStyle name="Normal 2 2 2 2 2 2 2 2 2 2 2 3" xfId="17236" xr:uid="{00000000-0005-0000-0000-00007C460000}"/>
    <cellStyle name="Normal 2 2 2 2 2 2 2 2 2 2 2 3 2" xfId="17237" xr:uid="{00000000-0005-0000-0000-00007D460000}"/>
    <cellStyle name="Normal 2 2 2 2 2 2 2 2 2 2 2 3 3" xfId="17238" xr:uid="{00000000-0005-0000-0000-00007E460000}"/>
    <cellStyle name="Normal 2 2 2 2 2 2 2 2 2 2 2 3 4" xfId="17239" xr:uid="{00000000-0005-0000-0000-00007F460000}"/>
    <cellStyle name="Normal 2 2 2 2 2 2 2 2 2 2 2 3 5" xfId="17240" xr:uid="{00000000-0005-0000-0000-000080460000}"/>
    <cellStyle name="Normal 2 2 2 2 2 2 2 2 2 2 2 3 6" xfId="17241" xr:uid="{00000000-0005-0000-0000-000081460000}"/>
    <cellStyle name="Normal 2 2 2 2 2 2 2 2 2 2 2 30" xfId="17242" xr:uid="{00000000-0005-0000-0000-000082460000}"/>
    <cellStyle name="Normal 2 2 2 2 2 2 2 2 2 2 2 31" xfId="17243" xr:uid="{00000000-0005-0000-0000-000083460000}"/>
    <cellStyle name="Normal 2 2 2 2 2 2 2 2 2 2 2 32" xfId="17244" xr:uid="{00000000-0005-0000-0000-000084460000}"/>
    <cellStyle name="Normal 2 2 2 2 2 2 2 2 2 2 2 33" xfId="17245" xr:uid="{00000000-0005-0000-0000-000085460000}"/>
    <cellStyle name="Normal 2 2 2 2 2 2 2 2 2 2 2 34" xfId="17246" xr:uid="{00000000-0005-0000-0000-000086460000}"/>
    <cellStyle name="Normal 2 2 2 2 2 2 2 2 2 2 2 35" xfId="17247" xr:uid="{00000000-0005-0000-0000-000087460000}"/>
    <cellStyle name="Normal 2 2 2 2 2 2 2 2 2 2 2 4" xfId="17248" xr:uid="{00000000-0005-0000-0000-000088460000}"/>
    <cellStyle name="Normal 2 2 2 2 2 2 2 2 2 2 2 4 2" xfId="17249" xr:uid="{00000000-0005-0000-0000-000089460000}"/>
    <cellStyle name="Normal 2 2 2 2 2 2 2 2 2 2 2 4 3" xfId="17250" xr:uid="{00000000-0005-0000-0000-00008A460000}"/>
    <cellStyle name="Normal 2 2 2 2 2 2 2 2 2 2 2 4 4" xfId="17251" xr:uid="{00000000-0005-0000-0000-00008B460000}"/>
    <cellStyle name="Normal 2 2 2 2 2 2 2 2 2 2 2 4 5" xfId="17252" xr:uid="{00000000-0005-0000-0000-00008C460000}"/>
    <cellStyle name="Normal 2 2 2 2 2 2 2 2 2 2 2 4 6" xfId="17253" xr:uid="{00000000-0005-0000-0000-00008D460000}"/>
    <cellStyle name="Normal 2 2 2 2 2 2 2 2 2 2 2 5" xfId="17254" xr:uid="{00000000-0005-0000-0000-00008E460000}"/>
    <cellStyle name="Normal 2 2 2 2 2 2 2 2 2 2 2 5 2" xfId="17255" xr:uid="{00000000-0005-0000-0000-00008F460000}"/>
    <cellStyle name="Normal 2 2 2 2 2 2 2 2 2 2 2 5 3" xfId="17256" xr:uid="{00000000-0005-0000-0000-000090460000}"/>
    <cellStyle name="Normal 2 2 2 2 2 2 2 2 2 2 2 5 4" xfId="17257" xr:uid="{00000000-0005-0000-0000-000091460000}"/>
    <cellStyle name="Normal 2 2 2 2 2 2 2 2 2 2 2 5 5" xfId="17258" xr:uid="{00000000-0005-0000-0000-000092460000}"/>
    <cellStyle name="Normal 2 2 2 2 2 2 2 2 2 2 2 5 6" xfId="17259" xr:uid="{00000000-0005-0000-0000-000093460000}"/>
    <cellStyle name="Normal 2 2 2 2 2 2 2 2 2 2 2 6" xfId="17260" xr:uid="{00000000-0005-0000-0000-000094460000}"/>
    <cellStyle name="Normal 2 2 2 2 2 2 2 2 2 2 2 6 2" xfId="17261" xr:uid="{00000000-0005-0000-0000-000095460000}"/>
    <cellStyle name="Normal 2 2 2 2 2 2 2 2 2 2 2 6 3" xfId="17262" xr:uid="{00000000-0005-0000-0000-000096460000}"/>
    <cellStyle name="Normal 2 2 2 2 2 2 2 2 2 2 2 6 4" xfId="17263" xr:uid="{00000000-0005-0000-0000-000097460000}"/>
    <cellStyle name="Normal 2 2 2 2 2 2 2 2 2 2 2 6 5" xfId="17264" xr:uid="{00000000-0005-0000-0000-000098460000}"/>
    <cellStyle name="Normal 2 2 2 2 2 2 2 2 2 2 2 6 6" xfId="17265" xr:uid="{00000000-0005-0000-0000-000099460000}"/>
    <cellStyle name="Normal 2 2 2 2 2 2 2 2 2 2 2 7" xfId="17266" xr:uid="{00000000-0005-0000-0000-00009A460000}"/>
    <cellStyle name="Normal 2 2 2 2 2 2 2 2 2 2 2 7 2" xfId="17267" xr:uid="{00000000-0005-0000-0000-00009B460000}"/>
    <cellStyle name="Normal 2 2 2 2 2 2 2 2 2 2 2 7 3" xfId="17268" xr:uid="{00000000-0005-0000-0000-00009C460000}"/>
    <cellStyle name="Normal 2 2 2 2 2 2 2 2 2 2 2 7 4" xfId="17269" xr:uid="{00000000-0005-0000-0000-00009D460000}"/>
    <cellStyle name="Normal 2 2 2 2 2 2 2 2 2 2 2 7 5" xfId="17270" xr:uid="{00000000-0005-0000-0000-00009E460000}"/>
    <cellStyle name="Normal 2 2 2 2 2 2 2 2 2 2 2 7 6" xfId="17271" xr:uid="{00000000-0005-0000-0000-00009F460000}"/>
    <cellStyle name="Normal 2 2 2 2 2 2 2 2 2 2 2 8" xfId="17272" xr:uid="{00000000-0005-0000-0000-0000A0460000}"/>
    <cellStyle name="Normal 2 2 2 2 2 2 2 2 2 2 2 8 2" xfId="17273" xr:uid="{00000000-0005-0000-0000-0000A1460000}"/>
    <cellStyle name="Normal 2 2 2 2 2 2 2 2 2 2 2 8 3" xfId="17274" xr:uid="{00000000-0005-0000-0000-0000A2460000}"/>
    <cellStyle name="Normal 2 2 2 2 2 2 2 2 2 2 2 8 4" xfId="17275" xr:uid="{00000000-0005-0000-0000-0000A3460000}"/>
    <cellStyle name="Normal 2 2 2 2 2 2 2 2 2 2 2 8 5" xfId="17276" xr:uid="{00000000-0005-0000-0000-0000A4460000}"/>
    <cellStyle name="Normal 2 2 2 2 2 2 2 2 2 2 2 8 6" xfId="17277" xr:uid="{00000000-0005-0000-0000-0000A5460000}"/>
    <cellStyle name="Normal 2 2 2 2 2 2 2 2 2 2 2 9" xfId="17278" xr:uid="{00000000-0005-0000-0000-0000A6460000}"/>
    <cellStyle name="Normal 2 2 2 2 2 2 2 2 2 2 2 9 2" xfId="17279" xr:uid="{00000000-0005-0000-0000-0000A7460000}"/>
    <cellStyle name="Normal 2 2 2 2 2 2 2 2 2 2 2 9 3" xfId="17280" xr:uid="{00000000-0005-0000-0000-0000A8460000}"/>
    <cellStyle name="Normal 2 2 2 2 2 2 2 2 2 2 2 9 4" xfId="17281" xr:uid="{00000000-0005-0000-0000-0000A9460000}"/>
    <cellStyle name="Normal 2 2 2 2 2 2 2 2 2 2 2 9 5" xfId="17282" xr:uid="{00000000-0005-0000-0000-0000AA460000}"/>
    <cellStyle name="Normal 2 2 2 2 2 2 2 2 2 2 2 9 6" xfId="17283" xr:uid="{00000000-0005-0000-0000-0000AB460000}"/>
    <cellStyle name="Normal 2 2 2 2 2 2 2 2 2 2 20" xfId="17284" xr:uid="{00000000-0005-0000-0000-0000AC460000}"/>
    <cellStyle name="Normal 2 2 2 2 2 2 2 2 2 2 21" xfId="17285" xr:uid="{00000000-0005-0000-0000-0000AD460000}"/>
    <cellStyle name="Normal 2 2 2 2 2 2 2 2 2 2 22" xfId="17286" xr:uid="{00000000-0005-0000-0000-0000AE460000}"/>
    <cellStyle name="Normal 2 2 2 2 2 2 2 2 2 2 23" xfId="17287" xr:uid="{00000000-0005-0000-0000-0000AF460000}"/>
    <cellStyle name="Normal 2 2 2 2 2 2 2 2 2 2 24" xfId="17288" xr:uid="{00000000-0005-0000-0000-0000B0460000}"/>
    <cellStyle name="Normal 2 2 2 2 2 2 2 2 2 2 25" xfId="17289" xr:uid="{00000000-0005-0000-0000-0000B1460000}"/>
    <cellStyle name="Normal 2 2 2 2 2 2 2 2 2 2 26" xfId="17290" xr:uid="{00000000-0005-0000-0000-0000B2460000}"/>
    <cellStyle name="Normal 2 2 2 2 2 2 2 2 2 2 27" xfId="17291" xr:uid="{00000000-0005-0000-0000-0000B3460000}"/>
    <cellStyle name="Normal 2 2 2 2 2 2 2 2 2 2 27 2" xfId="17292" xr:uid="{00000000-0005-0000-0000-0000B4460000}"/>
    <cellStyle name="Normal 2 2 2 2 2 2 2 2 2 2 27 3" xfId="17293" xr:uid="{00000000-0005-0000-0000-0000B5460000}"/>
    <cellStyle name="Normal 2 2 2 2 2 2 2 2 2 2 27 4" xfId="17294" xr:uid="{00000000-0005-0000-0000-0000B6460000}"/>
    <cellStyle name="Normal 2 2 2 2 2 2 2 2 2 2 27 5" xfId="17295" xr:uid="{00000000-0005-0000-0000-0000B7460000}"/>
    <cellStyle name="Normal 2 2 2 2 2 2 2 2 2 2 27 6" xfId="17296" xr:uid="{00000000-0005-0000-0000-0000B8460000}"/>
    <cellStyle name="Normal 2 2 2 2 2 2 2 2 2 2 27 7" xfId="17297" xr:uid="{00000000-0005-0000-0000-0000B9460000}"/>
    <cellStyle name="Normal 2 2 2 2 2 2 2 2 2 2 28" xfId="17298" xr:uid="{00000000-0005-0000-0000-0000BA460000}"/>
    <cellStyle name="Normal 2 2 2 2 2 2 2 2 2 2 28 10" xfId="17299" xr:uid="{00000000-0005-0000-0000-0000BB460000}"/>
    <cellStyle name="Normal 2 2 2 2 2 2 2 2 2 2 28 11" xfId="17300" xr:uid="{00000000-0005-0000-0000-0000BC460000}"/>
    <cellStyle name="Normal 2 2 2 2 2 2 2 2 2 2 28 2" xfId="17301" xr:uid="{00000000-0005-0000-0000-0000BD460000}"/>
    <cellStyle name="Normal 2 2 2 2 2 2 2 2 2 2 28 2 2" xfId="17302" xr:uid="{00000000-0005-0000-0000-0000BE460000}"/>
    <cellStyle name="Normal 2 2 2 2 2 2 2 2 2 2 28 2 2 2" xfId="17303" xr:uid="{00000000-0005-0000-0000-0000BF460000}"/>
    <cellStyle name="Normal 2 2 2 2 2 2 2 2 2 2 28 2 2 3" xfId="17304" xr:uid="{00000000-0005-0000-0000-0000C0460000}"/>
    <cellStyle name="Normal 2 2 2 2 2 2 2 2 2 2 28 2 3" xfId="17305" xr:uid="{00000000-0005-0000-0000-0000C1460000}"/>
    <cellStyle name="Normal 2 2 2 2 2 2 2 2 2 2 28 2 4" xfId="17306" xr:uid="{00000000-0005-0000-0000-0000C2460000}"/>
    <cellStyle name="Normal 2 2 2 2 2 2 2 2 2 2 28 2 5" xfId="17307" xr:uid="{00000000-0005-0000-0000-0000C3460000}"/>
    <cellStyle name="Normal 2 2 2 2 2 2 2 2 2 2 28 2 6" xfId="17308" xr:uid="{00000000-0005-0000-0000-0000C4460000}"/>
    <cellStyle name="Normal 2 2 2 2 2 2 2 2 2 2 28 2 7" xfId="17309" xr:uid="{00000000-0005-0000-0000-0000C5460000}"/>
    <cellStyle name="Normal 2 2 2 2 2 2 2 2 2 2 28 2 8" xfId="17310" xr:uid="{00000000-0005-0000-0000-0000C6460000}"/>
    <cellStyle name="Normal 2 2 2 2 2 2 2 2 2 2 28 2 9" xfId="17311" xr:uid="{00000000-0005-0000-0000-0000C7460000}"/>
    <cellStyle name="Normal 2 2 2 2 2 2 2 2 2 2 28 3" xfId="17312" xr:uid="{00000000-0005-0000-0000-0000C8460000}"/>
    <cellStyle name="Normal 2 2 2 2 2 2 2 2 2 2 28 4" xfId="17313" xr:uid="{00000000-0005-0000-0000-0000C9460000}"/>
    <cellStyle name="Normal 2 2 2 2 2 2 2 2 2 2 28 5" xfId="17314" xr:uid="{00000000-0005-0000-0000-0000CA460000}"/>
    <cellStyle name="Normal 2 2 2 2 2 2 2 2 2 2 28 5 2" xfId="17315" xr:uid="{00000000-0005-0000-0000-0000CB460000}"/>
    <cellStyle name="Normal 2 2 2 2 2 2 2 2 2 2 28 5 3" xfId="17316" xr:uid="{00000000-0005-0000-0000-0000CC460000}"/>
    <cellStyle name="Normal 2 2 2 2 2 2 2 2 2 2 28 6" xfId="17317" xr:uid="{00000000-0005-0000-0000-0000CD460000}"/>
    <cellStyle name="Normal 2 2 2 2 2 2 2 2 2 2 28 7" xfId="17318" xr:uid="{00000000-0005-0000-0000-0000CE460000}"/>
    <cellStyle name="Normal 2 2 2 2 2 2 2 2 2 2 28 8" xfId="17319" xr:uid="{00000000-0005-0000-0000-0000CF460000}"/>
    <cellStyle name="Normal 2 2 2 2 2 2 2 2 2 2 28 9" xfId="17320" xr:uid="{00000000-0005-0000-0000-0000D0460000}"/>
    <cellStyle name="Normal 2 2 2 2 2 2 2 2 2 2 29" xfId="17321" xr:uid="{00000000-0005-0000-0000-0000D1460000}"/>
    <cellStyle name="Normal 2 2 2 2 2 2 2 2 2 2 3" xfId="17322" xr:uid="{00000000-0005-0000-0000-0000D2460000}"/>
    <cellStyle name="Normal 2 2 2 2 2 2 2 2 2 2 3 2" xfId="17323" xr:uid="{00000000-0005-0000-0000-0000D3460000}"/>
    <cellStyle name="Normal 2 2 2 2 2 2 2 2 2 2 3 3" xfId="17324" xr:uid="{00000000-0005-0000-0000-0000D4460000}"/>
    <cellStyle name="Normal 2 2 2 2 2 2 2 2 2 2 3 4" xfId="17325" xr:uid="{00000000-0005-0000-0000-0000D5460000}"/>
    <cellStyle name="Normal 2 2 2 2 2 2 2 2 2 2 3 5" xfId="17326" xr:uid="{00000000-0005-0000-0000-0000D6460000}"/>
    <cellStyle name="Normal 2 2 2 2 2 2 2 2 2 2 3 6" xfId="17327" xr:uid="{00000000-0005-0000-0000-0000D7460000}"/>
    <cellStyle name="Normal 2 2 2 2 2 2 2 2 2 2 30" xfId="17328" xr:uid="{00000000-0005-0000-0000-0000D8460000}"/>
    <cellStyle name="Normal 2 2 2 2 2 2 2 2 2 2 31" xfId="17329" xr:uid="{00000000-0005-0000-0000-0000D9460000}"/>
    <cellStyle name="Normal 2 2 2 2 2 2 2 2 2 2 31 2" xfId="17330" xr:uid="{00000000-0005-0000-0000-0000DA460000}"/>
    <cellStyle name="Normal 2 2 2 2 2 2 2 2 2 2 31 2 2" xfId="17331" xr:uid="{00000000-0005-0000-0000-0000DB460000}"/>
    <cellStyle name="Normal 2 2 2 2 2 2 2 2 2 2 31 2 3" xfId="17332" xr:uid="{00000000-0005-0000-0000-0000DC460000}"/>
    <cellStyle name="Normal 2 2 2 2 2 2 2 2 2 2 31 3" xfId="17333" xr:uid="{00000000-0005-0000-0000-0000DD460000}"/>
    <cellStyle name="Normal 2 2 2 2 2 2 2 2 2 2 31 4" xfId="17334" xr:uid="{00000000-0005-0000-0000-0000DE460000}"/>
    <cellStyle name="Normal 2 2 2 2 2 2 2 2 2 2 31 5" xfId="17335" xr:uid="{00000000-0005-0000-0000-0000DF460000}"/>
    <cellStyle name="Normal 2 2 2 2 2 2 2 2 2 2 31 6" xfId="17336" xr:uid="{00000000-0005-0000-0000-0000E0460000}"/>
    <cellStyle name="Normal 2 2 2 2 2 2 2 2 2 2 31 7" xfId="17337" xr:uid="{00000000-0005-0000-0000-0000E1460000}"/>
    <cellStyle name="Normal 2 2 2 2 2 2 2 2 2 2 31 8" xfId="17338" xr:uid="{00000000-0005-0000-0000-0000E2460000}"/>
    <cellStyle name="Normal 2 2 2 2 2 2 2 2 2 2 31 9" xfId="17339" xr:uid="{00000000-0005-0000-0000-0000E3460000}"/>
    <cellStyle name="Normal 2 2 2 2 2 2 2 2 2 2 32" xfId="17340" xr:uid="{00000000-0005-0000-0000-0000E4460000}"/>
    <cellStyle name="Normal 2 2 2 2 2 2 2 2 2 2 33" xfId="17341" xr:uid="{00000000-0005-0000-0000-0000E5460000}"/>
    <cellStyle name="Normal 2 2 2 2 2 2 2 2 2 2 33 2" xfId="17342" xr:uid="{00000000-0005-0000-0000-0000E6460000}"/>
    <cellStyle name="Normal 2 2 2 2 2 2 2 2 2 2 33 3" xfId="17343" xr:uid="{00000000-0005-0000-0000-0000E7460000}"/>
    <cellStyle name="Normal 2 2 2 2 2 2 2 2 2 2 34" xfId="17344" xr:uid="{00000000-0005-0000-0000-0000E8460000}"/>
    <cellStyle name="Normal 2 2 2 2 2 2 2 2 2 2 35" xfId="17345" xr:uid="{00000000-0005-0000-0000-0000E9460000}"/>
    <cellStyle name="Normal 2 2 2 2 2 2 2 2 2 2 36" xfId="17346" xr:uid="{00000000-0005-0000-0000-0000EA460000}"/>
    <cellStyle name="Normal 2 2 2 2 2 2 2 2 2 2 37" xfId="17347" xr:uid="{00000000-0005-0000-0000-0000EB460000}"/>
    <cellStyle name="Normal 2 2 2 2 2 2 2 2 2 2 38" xfId="17348" xr:uid="{00000000-0005-0000-0000-0000EC460000}"/>
    <cellStyle name="Normal 2 2 2 2 2 2 2 2 2 2 39" xfId="17349" xr:uid="{00000000-0005-0000-0000-0000ED460000}"/>
    <cellStyle name="Normal 2 2 2 2 2 2 2 2 2 2 4" xfId="17350" xr:uid="{00000000-0005-0000-0000-0000EE460000}"/>
    <cellStyle name="Normal 2 2 2 2 2 2 2 2 2 2 4 2" xfId="17351" xr:uid="{00000000-0005-0000-0000-0000EF460000}"/>
    <cellStyle name="Normal 2 2 2 2 2 2 2 2 2 2 4 3" xfId="17352" xr:uid="{00000000-0005-0000-0000-0000F0460000}"/>
    <cellStyle name="Normal 2 2 2 2 2 2 2 2 2 2 4 4" xfId="17353" xr:uid="{00000000-0005-0000-0000-0000F1460000}"/>
    <cellStyle name="Normal 2 2 2 2 2 2 2 2 2 2 4 5" xfId="17354" xr:uid="{00000000-0005-0000-0000-0000F2460000}"/>
    <cellStyle name="Normal 2 2 2 2 2 2 2 2 2 2 4 6" xfId="17355" xr:uid="{00000000-0005-0000-0000-0000F3460000}"/>
    <cellStyle name="Normal 2 2 2 2 2 2 2 2 2 2 5" xfId="17356" xr:uid="{00000000-0005-0000-0000-0000F4460000}"/>
    <cellStyle name="Normal 2 2 2 2 2 2 2 2 2 2 5 2" xfId="17357" xr:uid="{00000000-0005-0000-0000-0000F5460000}"/>
    <cellStyle name="Normal 2 2 2 2 2 2 2 2 2 2 5 3" xfId="17358" xr:uid="{00000000-0005-0000-0000-0000F6460000}"/>
    <cellStyle name="Normal 2 2 2 2 2 2 2 2 2 2 5 4" xfId="17359" xr:uid="{00000000-0005-0000-0000-0000F7460000}"/>
    <cellStyle name="Normal 2 2 2 2 2 2 2 2 2 2 5 5" xfId="17360" xr:uid="{00000000-0005-0000-0000-0000F8460000}"/>
    <cellStyle name="Normal 2 2 2 2 2 2 2 2 2 2 5 6" xfId="17361" xr:uid="{00000000-0005-0000-0000-0000F9460000}"/>
    <cellStyle name="Normal 2 2 2 2 2 2 2 2 2 2 6" xfId="17362" xr:uid="{00000000-0005-0000-0000-0000FA460000}"/>
    <cellStyle name="Normal 2 2 2 2 2 2 2 2 2 2 6 2" xfId="17363" xr:uid="{00000000-0005-0000-0000-0000FB460000}"/>
    <cellStyle name="Normal 2 2 2 2 2 2 2 2 2 2 6 3" xfId="17364" xr:uid="{00000000-0005-0000-0000-0000FC460000}"/>
    <cellStyle name="Normal 2 2 2 2 2 2 2 2 2 2 6 4" xfId="17365" xr:uid="{00000000-0005-0000-0000-0000FD460000}"/>
    <cellStyle name="Normal 2 2 2 2 2 2 2 2 2 2 6 5" xfId="17366" xr:uid="{00000000-0005-0000-0000-0000FE460000}"/>
    <cellStyle name="Normal 2 2 2 2 2 2 2 2 2 2 6 6" xfId="17367" xr:uid="{00000000-0005-0000-0000-0000FF460000}"/>
    <cellStyle name="Normal 2 2 2 2 2 2 2 2 2 2 7" xfId="17368" xr:uid="{00000000-0005-0000-0000-000000470000}"/>
    <cellStyle name="Normal 2 2 2 2 2 2 2 2 2 2 7 2" xfId="17369" xr:uid="{00000000-0005-0000-0000-000001470000}"/>
    <cellStyle name="Normal 2 2 2 2 2 2 2 2 2 2 7 2 2" xfId="17370" xr:uid="{00000000-0005-0000-0000-000002470000}"/>
    <cellStyle name="Normal 2 2 2 2 2 2 2 2 2 2 7 2 2 2" xfId="17371" xr:uid="{00000000-0005-0000-0000-000003470000}"/>
    <cellStyle name="Normal 2 2 2 2 2 2 2 2 2 2 7 2 2 3" xfId="17372" xr:uid="{00000000-0005-0000-0000-000004470000}"/>
    <cellStyle name="Normal 2 2 2 2 2 2 2 2 2 2 7 2 2 4" xfId="17373" xr:uid="{00000000-0005-0000-0000-000005470000}"/>
    <cellStyle name="Normal 2 2 2 2 2 2 2 2 2 2 7 2 2 5" xfId="17374" xr:uid="{00000000-0005-0000-0000-000006470000}"/>
    <cellStyle name="Normal 2 2 2 2 2 2 2 2 2 2 7 2 2 6" xfId="17375" xr:uid="{00000000-0005-0000-0000-000007470000}"/>
    <cellStyle name="Normal 2 2 2 2 2 2 2 2 2 2 7 2 2 7" xfId="17376" xr:uid="{00000000-0005-0000-0000-000008470000}"/>
    <cellStyle name="Normal 2 2 2 2 2 2 2 2 2 2 7 3" xfId="17377" xr:uid="{00000000-0005-0000-0000-000009470000}"/>
    <cellStyle name="Normal 2 2 2 2 2 2 2 2 2 2 7 4" xfId="17378" xr:uid="{00000000-0005-0000-0000-00000A470000}"/>
    <cellStyle name="Normal 2 2 2 2 2 2 2 2 2 2 7 5" xfId="17379" xr:uid="{00000000-0005-0000-0000-00000B470000}"/>
    <cellStyle name="Normal 2 2 2 2 2 2 2 2 2 2 7 6" xfId="17380" xr:uid="{00000000-0005-0000-0000-00000C470000}"/>
    <cellStyle name="Normal 2 2 2 2 2 2 2 2 2 2 7 7" xfId="17381" xr:uid="{00000000-0005-0000-0000-00000D470000}"/>
    <cellStyle name="Normal 2 2 2 2 2 2 2 2 2 2 7 8" xfId="17382" xr:uid="{00000000-0005-0000-0000-00000E470000}"/>
    <cellStyle name="Normal 2 2 2 2 2 2 2 2 2 2 8" xfId="17383" xr:uid="{00000000-0005-0000-0000-00000F470000}"/>
    <cellStyle name="Normal 2 2 2 2 2 2 2 2 2 2 9" xfId="17384" xr:uid="{00000000-0005-0000-0000-000010470000}"/>
    <cellStyle name="Normal 2 2 2 2 2 2 2 2 2 20" xfId="17385" xr:uid="{00000000-0005-0000-0000-000011470000}"/>
    <cellStyle name="Normal 2 2 2 2 2 2 2 2 2 21" xfId="17386" xr:uid="{00000000-0005-0000-0000-000012470000}"/>
    <cellStyle name="Normal 2 2 2 2 2 2 2 2 2 22" xfId="17387" xr:uid="{00000000-0005-0000-0000-000013470000}"/>
    <cellStyle name="Normal 2 2 2 2 2 2 2 2 2 22 2" xfId="17388" xr:uid="{00000000-0005-0000-0000-000014470000}"/>
    <cellStyle name="Normal 2 2 2 2 2 2 2 2 2 22 2 2" xfId="17389" xr:uid="{00000000-0005-0000-0000-000015470000}"/>
    <cellStyle name="Normal 2 2 2 2 2 2 2 2 2 22 2 2 2" xfId="17390" xr:uid="{00000000-0005-0000-0000-000016470000}"/>
    <cellStyle name="Normal 2 2 2 2 2 2 2 2 2 22 2 2 2 2" xfId="17391" xr:uid="{00000000-0005-0000-0000-000017470000}"/>
    <cellStyle name="Normal 2 2 2 2 2 2 2 2 2 22 2 2 2 3" xfId="17392" xr:uid="{00000000-0005-0000-0000-000018470000}"/>
    <cellStyle name="Normal 2 2 2 2 2 2 2 2 2 22 2 2 2 4" xfId="17393" xr:uid="{00000000-0005-0000-0000-000019470000}"/>
    <cellStyle name="Normal 2 2 2 2 2 2 2 2 2 22 2 2 2 5" xfId="17394" xr:uid="{00000000-0005-0000-0000-00001A470000}"/>
    <cellStyle name="Normal 2 2 2 2 2 2 2 2 2 22 2 2 2 6" xfId="17395" xr:uid="{00000000-0005-0000-0000-00001B470000}"/>
    <cellStyle name="Normal 2 2 2 2 2 2 2 2 2 22 2 3" xfId="17396" xr:uid="{00000000-0005-0000-0000-00001C470000}"/>
    <cellStyle name="Normal 2 2 2 2 2 2 2 2 2 22 2 4" xfId="17397" xr:uid="{00000000-0005-0000-0000-00001D470000}"/>
    <cellStyle name="Normal 2 2 2 2 2 2 2 2 2 22 2 5" xfId="17398" xr:uid="{00000000-0005-0000-0000-00001E470000}"/>
    <cellStyle name="Normal 2 2 2 2 2 2 2 2 2 22 2 6" xfId="17399" xr:uid="{00000000-0005-0000-0000-00001F470000}"/>
    <cellStyle name="Normal 2 2 2 2 2 2 2 2 2 22 2 7" xfId="17400" xr:uid="{00000000-0005-0000-0000-000020470000}"/>
    <cellStyle name="Normal 2 2 2 2 2 2 2 2 2 22 3" xfId="17401" xr:uid="{00000000-0005-0000-0000-000021470000}"/>
    <cellStyle name="Normal 2 2 2 2 2 2 2 2 2 22 3 2" xfId="17402" xr:uid="{00000000-0005-0000-0000-000022470000}"/>
    <cellStyle name="Normal 2 2 2 2 2 2 2 2 2 22 3 3" xfId="17403" xr:uid="{00000000-0005-0000-0000-000023470000}"/>
    <cellStyle name="Normal 2 2 2 2 2 2 2 2 2 22 3 4" xfId="17404" xr:uid="{00000000-0005-0000-0000-000024470000}"/>
    <cellStyle name="Normal 2 2 2 2 2 2 2 2 2 22 3 5" xfId="17405" xr:uid="{00000000-0005-0000-0000-000025470000}"/>
    <cellStyle name="Normal 2 2 2 2 2 2 2 2 2 22 3 6" xfId="17406" xr:uid="{00000000-0005-0000-0000-000026470000}"/>
    <cellStyle name="Normal 2 2 2 2 2 2 2 2 2 23" xfId="17407" xr:uid="{00000000-0005-0000-0000-000027470000}"/>
    <cellStyle name="Normal 2 2 2 2 2 2 2 2 2 23 2" xfId="17408" xr:uid="{00000000-0005-0000-0000-000028470000}"/>
    <cellStyle name="Normal 2 2 2 2 2 2 2 2 2 23 3" xfId="17409" xr:uid="{00000000-0005-0000-0000-000029470000}"/>
    <cellStyle name="Normal 2 2 2 2 2 2 2 2 2 23 4" xfId="17410" xr:uid="{00000000-0005-0000-0000-00002A470000}"/>
    <cellStyle name="Normal 2 2 2 2 2 2 2 2 2 23 5" xfId="17411" xr:uid="{00000000-0005-0000-0000-00002B470000}"/>
    <cellStyle name="Normal 2 2 2 2 2 2 2 2 2 23 6" xfId="17412" xr:uid="{00000000-0005-0000-0000-00002C470000}"/>
    <cellStyle name="Normal 2 2 2 2 2 2 2 2 2 24" xfId="17413" xr:uid="{00000000-0005-0000-0000-00002D470000}"/>
    <cellStyle name="Normal 2 2 2 2 2 2 2 2 2 24 2" xfId="17414" xr:uid="{00000000-0005-0000-0000-00002E470000}"/>
    <cellStyle name="Normal 2 2 2 2 2 2 2 2 2 24 3" xfId="17415" xr:uid="{00000000-0005-0000-0000-00002F470000}"/>
    <cellStyle name="Normal 2 2 2 2 2 2 2 2 2 24 4" xfId="17416" xr:uid="{00000000-0005-0000-0000-000030470000}"/>
    <cellStyle name="Normal 2 2 2 2 2 2 2 2 2 24 5" xfId="17417" xr:uid="{00000000-0005-0000-0000-000031470000}"/>
    <cellStyle name="Normal 2 2 2 2 2 2 2 2 2 24 6" xfId="17418" xr:uid="{00000000-0005-0000-0000-000032470000}"/>
    <cellStyle name="Normal 2 2 2 2 2 2 2 2 2 25" xfId="17419" xr:uid="{00000000-0005-0000-0000-000033470000}"/>
    <cellStyle name="Normal 2 2 2 2 2 2 2 2 2 25 2" xfId="17420" xr:uid="{00000000-0005-0000-0000-000034470000}"/>
    <cellStyle name="Normal 2 2 2 2 2 2 2 2 2 25 3" xfId="17421" xr:uid="{00000000-0005-0000-0000-000035470000}"/>
    <cellStyle name="Normal 2 2 2 2 2 2 2 2 2 25 4" xfId="17422" xr:uid="{00000000-0005-0000-0000-000036470000}"/>
    <cellStyle name="Normal 2 2 2 2 2 2 2 2 2 25 5" xfId="17423" xr:uid="{00000000-0005-0000-0000-000037470000}"/>
    <cellStyle name="Normal 2 2 2 2 2 2 2 2 2 25 6" xfId="17424" xr:uid="{00000000-0005-0000-0000-000038470000}"/>
    <cellStyle name="Normal 2 2 2 2 2 2 2 2 2 26" xfId="17425" xr:uid="{00000000-0005-0000-0000-000039470000}"/>
    <cellStyle name="Normal 2 2 2 2 2 2 2 2 2 26 2" xfId="17426" xr:uid="{00000000-0005-0000-0000-00003A470000}"/>
    <cellStyle name="Normal 2 2 2 2 2 2 2 2 2 26 3" xfId="17427" xr:uid="{00000000-0005-0000-0000-00003B470000}"/>
    <cellStyle name="Normal 2 2 2 2 2 2 2 2 2 26 4" xfId="17428" xr:uid="{00000000-0005-0000-0000-00003C470000}"/>
    <cellStyle name="Normal 2 2 2 2 2 2 2 2 2 26 5" xfId="17429" xr:uid="{00000000-0005-0000-0000-00003D470000}"/>
    <cellStyle name="Normal 2 2 2 2 2 2 2 2 2 26 6" xfId="17430" xr:uid="{00000000-0005-0000-0000-00003E470000}"/>
    <cellStyle name="Normal 2 2 2 2 2 2 2 2 2 27" xfId="17431" xr:uid="{00000000-0005-0000-0000-00003F470000}"/>
    <cellStyle name="Normal 2 2 2 2 2 2 2 2 2 27 2" xfId="17432" xr:uid="{00000000-0005-0000-0000-000040470000}"/>
    <cellStyle name="Normal 2 2 2 2 2 2 2 2 2 27 3" xfId="17433" xr:uid="{00000000-0005-0000-0000-000041470000}"/>
    <cellStyle name="Normal 2 2 2 2 2 2 2 2 2 27 4" xfId="17434" xr:uid="{00000000-0005-0000-0000-000042470000}"/>
    <cellStyle name="Normal 2 2 2 2 2 2 2 2 2 27 5" xfId="17435" xr:uid="{00000000-0005-0000-0000-000043470000}"/>
    <cellStyle name="Normal 2 2 2 2 2 2 2 2 2 27 6" xfId="17436" xr:uid="{00000000-0005-0000-0000-000044470000}"/>
    <cellStyle name="Normal 2 2 2 2 2 2 2 2 2 28" xfId="17437" xr:uid="{00000000-0005-0000-0000-000045470000}"/>
    <cellStyle name="Normal 2 2 2 2 2 2 2 2 2 28 2" xfId="17438" xr:uid="{00000000-0005-0000-0000-000046470000}"/>
    <cellStyle name="Normal 2 2 2 2 2 2 2 2 2 28 3" xfId="17439" xr:uid="{00000000-0005-0000-0000-000047470000}"/>
    <cellStyle name="Normal 2 2 2 2 2 2 2 2 2 28 4" xfId="17440" xr:uid="{00000000-0005-0000-0000-000048470000}"/>
    <cellStyle name="Normal 2 2 2 2 2 2 2 2 2 28 5" xfId="17441" xr:uid="{00000000-0005-0000-0000-000049470000}"/>
    <cellStyle name="Normal 2 2 2 2 2 2 2 2 2 28 6" xfId="17442" xr:uid="{00000000-0005-0000-0000-00004A470000}"/>
    <cellStyle name="Normal 2 2 2 2 2 2 2 2 2 29" xfId="17443" xr:uid="{00000000-0005-0000-0000-00004B470000}"/>
    <cellStyle name="Normal 2 2 2 2 2 2 2 2 2 29 2" xfId="17444" xr:uid="{00000000-0005-0000-0000-00004C470000}"/>
    <cellStyle name="Normal 2 2 2 2 2 2 2 2 2 29 3" xfId="17445" xr:uid="{00000000-0005-0000-0000-00004D470000}"/>
    <cellStyle name="Normal 2 2 2 2 2 2 2 2 2 29 4" xfId="17446" xr:uid="{00000000-0005-0000-0000-00004E470000}"/>
    <cellStyle name="Normal 2 2 2 2 2 2 2 2 2 29 5" xfId="17447" xr:uid="{00000000-0005-0000-0000-00004F470000}"/>
    <cellStyle name="Normal 2 2 2 2 2 2 2 2 2 29 6" xfId="17448" xr:uid="{00000000-0005-0000-0000-000050470000}"/>
    <cellStyle name="Normal 2 2 2 2 2 2 2 2 2 3" xfId="17449" xr:uid="{00000000-0005-0000-0000-000051470000}"/>
    <cellStyle name="Normal 2 2 2 2 2 2 2 2 2 3 2" xfId="17450" xr:uid="{00000000-0005-0000-0000-000052470000}"/>
    <cellStyle name="Normal 2 2 2 2 2 2 2 2 2 3 3" xfId="17451" xr:uid="{00000000-0005-0000-0000-000053470000}"/>
    <cellStyle name="Normal 2 2 2 2 2 2 2 2 2 3 4" xfId="17452" xr:uid="{00000000-0005-0000-0000-000054470000}"/>
    <cellStyle name="Normal 2 2 2 2 2 2 2 2 2 3 5" xfId="17453" xr:uid="{00000000-0005-0000-0000-000055470000}"/>
    <cellStyle name="Normal 2 2 2 2 2 2 2 2 2 3 6" xfId="17454" xr:uid="{00000000-0005-0000-0000-000056470000}"/>
    <cellStyle name="Normal 2 2 2 2 2 2 2 2 2 30" xfId="17455" xr:uid="{00000000-0005-0000-0000-000057470000}"/>
    <cellStyle name="Normal 2 2 2 2 2 2 2 2 2 30 2" xfId="17456" xr:uid="{00000000-0005-0000-0000-000058470000}"/>
    <cellStyle name="Normal 2 2 2 2 2 2 2 2 2 30 3" xfId="17457" xr:uid="{00000000-0005-0000-0000-000059470000}"/>
    <cellStyle name="Normal 2 2 2 2 2 2 2 2 2 30 4" xfId="17458" xr:uid="{00000000-0005-0000-0000-00005A470000}"/>
    <cellStyle name="Normal 2 2 2 2 2 2 2 2 2 30 5" xfId="17459" xr:uid="{00000000-0005-0000-0000-00005B470000}"/>
    <cellStyle name="Normal 2 2 2 2 2 2 2 2 2 30 6" xfId="17460" xr:uid="{00000000-0005-0000-0000-00005C470000}"/>
    <cellStyle name="Normal 2 2 2 2 2 2 2 2 2 31" xfId="17461" xr:uid="{00000000-0005-0000-0000-00005D470000}"/>
    <cellStyle name="Normal 2 2 2 2 2 2 2 2 2 31 2" xfId="17462" xr:uid="{00000000-0005-0000-0000-00005E470000}"/>
    <cellStyle name="Normal 2 2 2 2 2 2 2 2 2 31 3" xfId="17463" xr:uid="{00000000-0005-0000-0000-00005F470000}"/>
    <cellStyle name="Normal 2 2 2 2 2 2 2 2 2 31 4" xfId="17464" xr:uid="{00000000-0005-0000-0000-000060470000}"/>
    <cellStyle name="Normal 2 2 2 2 2 2 2 2 2 31 5" xfId="17465" xr:uid="{00000000-0005-0000-0000-000061470000}"/>
    <cellStyle name="Normal 2 2 2 2 2 2 2 2 2 31 6" xfId="17466" xr:uid="{00000000-0005-0000-0000-000062470000}"/>
    <cellStyle name="Normal 2 2 2 2 2 2 2 2 2 32" xfId="17467" xr:uid="{00000000-0005-0000-0000-000063470000}"/>
    <cellStyle name="Normal 2 2 2 2 2 2 2 2 2 32 2" xfId="17468" xr:uid="{00000000-0005-0000-0000-000064470000}"/>
    <cellStyle name="Normal 2 2 2 2 2 2 2 2 2 32 3" xfId="17469" xr:uid="{00000000-0005-0000-0000-000065470000}"/>
    <cellStyle name="Normal 2 2 2 2 2 2 2 2 2 32 4" xfId="17470" xr:uid="{00000000-0005-0000-0000-000066470000}"/>
    <cellStyle name="Normal 2 2 2 2 2 2 2 2 2 32 5" xfId="17471" xr:uid="{00000000-0005-0000-0000-000067470000}"/>
    <cellStyle name="Normal 2 2 2 2 2 2 2 2 2 32 6" xfId="17472" xr:uid="{00000000-0005-0000-0000-000068470000}"/>
    <cellStyle name="Normal 2 2 2 2 2 2 2 2 2 33" xfId="17473" xr:uid="{00000000-0005-0000-0000-000069470000}"/>
    <cellStyle name="Normal 2 2 2 2 2 2 2 2 2 33 2" xfId="17474" xr:uid="{00000000-0005-0000-0000-00006A470000}"/>
    <cellStyle name="Normal 2 2 2 2 2 2 2 2 2 33 3" xfId="17475" xr:uid="{00000000-0005-0000-0000-00006B470000}"/>
    <cellStyle name="Normal 2 2 2 2 2 2 2 2 2 33 4" xfId="17476" xr:uid="{00000000-0005-0000-0000-00006C470000}"/>
    <cellStyle name="Normal 2 2 2 2 2 2 2 2 2 33 5" xfId="17477" xr:uid="{00000000-0005-0000-0000-00006D470000}"/>
    <cellStyle name="Normal 2 2 2 2 2 2 2 2 2 33 6" xfId="17478" xr:uid="{00000000-0005-0000-0000-00006E470000}"/>
    <cellStyle name="Normal 2 2 2 2 2 2 2 2 2 34" xfId="17479" xr:uid="{00000000-0005-0000-0000-00006F470000}"/>
    <cellStyle name="Normal 2 2 2 2 2 2 2 2 2 34 2" xfId="17480" xr:uid="{00000000-0005-0000-0000-000070470000}"/>
    <cellStyle name="Normal 2 2 2 2 2 2 2 2 2 34 3" xfId="17481" xr:uid="{00000000-0005-0000-0000-000071470000}"/>
    <cellStyle name="Normal 2 2 2 2 2 2 2 2 2 34 4" xfId="17482" xr:uid="{00000000-0005-0000-0000-000072470000}"/>
    <cellStyle name="Normal 2 2 2 2 2 2 2 2 2 34 5" xfId="17483" xr:uid="{00000000-0005-0000-0000-000073470000}"/>
    <cellStyle name="Normal 2 2 2 2 2 2 2 2 2 34 6" xfId="17484" xr:uid="{00000000-0005-0000-0000-000074470000}"/>
    <cellStyle name="Normal 2 2 2 2 2 2 2 2 2 35" xfId="17485" xr:uid="{00000000-0005-0000-0000-000075470000}"/>
    <cellStyle name="Normal 2 2 2 2 2 2 2 2 2 35 2" xfId="17486" xr:uid="{00000000-0005-0000-0000-000076470000}"/>
    <cellStyle name="Normal 2 2 2 2 2 2 2 2 2 35 3" xfId="17487" xr:uid="{00000000-0005-0000-0000-000077470000}"/>
    <cellStyle name="Normal 2 2 2 2 2 2 2 2 2 35 4" xfId="17488" xr:uid="{00000000-0005-0000-0000-000078470000}"/>
    <cellStyle name="Normal 2 2 2 2 2 2 2 2 2 35 5" xfId="17489" xr:uid="{00000000-0005-0000-0000-000079470000}"/>
    <cellStyle name="Normal 2 2 2 2 2 2 2 2 2 35 6" xfId="17490" xr:uid="{00000000-0005-0000-0000-00007A470000}"/>
    <cellStyle name="Normal 2 2 2 2 2 2 2 2 2 36" xfId="17491" xr:uid="{00000000-0005-0000-0000-00007B470000}"/>
    <cellStyle name="Normal 2 2 2 2 2 2 2 2 2 36 2" xfId="17492" xr:uid="{00000000-0005-0000-0000-00007C470000}"/>
    <cellStyle name="Normal 2 2 2 2 2 2 2 2 2 36 3" xfId="17493" xr:uid="{00000000-0005-0000-0000-00007D470000}"/>
    <cellStyle name="Normal 2 2 2 2 2 2 2 2 2 36 4" xfId="17494" xr:uid="{00000000-0005-0000-0000-00007E470000}"/>
    <cellStyle name="Normal 2 2 2 2 2 2 2 2 2 36 5" xfId="17495" xr:uid="{00000000-0005-0000-0000-00007F470000}"/>
    <cellStyle name="Normal 2 2 2 2 2 2 2 2 2 36 6" xfId="17496" xr:uid="{00000000-0005-0000-0000-000080470000}"/>
    <cellStyle name="Normal 2 2 2 2 2 2 2 2 2 37" xfId="17497" xr:uid="{00000000-0005-0000-0000-000081470000}"/>
    <cellStyle name="Normal 2 2 2 2 2 2 2 2 2 37 2" xfId="17498" xr:uid="{00000000-0005-0000-0000-000082470000}"/>
    <cellStyle name="Normal 2 2 2 2 2 2 2 2 2 37 3" xfId="17499" xr:uid="{00000000-0005-0000-0000-000083470000}"/>
    <cellStyle name="Normal 2 2 2 2 2 2 2 2 2 37 4" xfId="17500" xr:uid="{00000000-0005-0000-0000-000084470000}"/>
    <cellStyle name="Normal 2 2 2 2 2 2 2 2 2 37 5" xfId="17501" xr:uid="{00000000-0005-0000-0000-000085470000}"/>
    <cellStyle name="Normal 2 2 2 2 2 2 2 2 2 37 6" xfId="17502" xr:uid="{00000000-0005-0000-0000-000086470000}"/>
    <cellStyle name="Normal 2 2 2 2 2 2 2 2 2 38" xfId="17503" xr:uid="{00000000-0005-0000-0000-000087470000}"/>
    <cellStyle name="Normal 2 2 2 2 2 2 2 2 2 38 2" xfId="17504" xr:uid="{00000000-0005-0000-0000-000088470000}"/>
    <cellStyle name="Normal 2 2 2 2 2 2 2 2 2 38 3" xfId="17505" xr:uid="{00000000-0005-0000-0000-000089470000}"/>
    <cellStyle name="Normal 2 2 2 2 2 2 2 2 2 38 4" xfId="17506" xr:uid="{00000000-0005-0000-0000-00008A470000}"/>
    <cellStyle name="Normal 2 2 2 2 2 2 2 2 2 38 5" xfId="17507" xr:uid="{00000000-0005-0000-0000-00008B470000}"/>
    <cellStyle name="Normal 2 2 2 2 2 2 2 2 2 38 6" xfId="17508" xr:uid="{00000000-0005-0000-0000-00008C470000}"/>
    <cellStyle name="Normal 2 2 2 2 2 2 2 2 2 39" xfId="17509" xr:uid="{00000000-0005-0000-0000-00008D470000}"/>
    <cellStyle name="Normal 2 2 2 2 2 2 2 2 2 39 2" xfId="17510" xr:uid="{00000000-0005-0000-0000-00008E470000}"/>
    <cellStyle name="Normal 2 2 2 2 2 2 2 2 2 39 3" xfId="17511" xr:uid="{00000000-0005-0000-0000-00008F470000}"/>
    <cellStyle name="Normal 2 2 2 2 2 2 2 2 2 39 4" xfId="17512" xr:uid="{00000000-0005-0000-0000-000090470000}"/>
    <cellStyle name="Normal 2 2 2 2 2 2 2 2 2 39 5" xfId="17513" xr:uid="{00000000-0005-0000-0000-000091470000}"/>
    <cellStyle name="Normal 2 2 2 2 2 2 2 2 2 39 6" xfId="17514" xr:uid="{00000000-0005-0000-0000-000092470000}"/>
    <cellStyle name="Normal 2 2 2 2 2 2 2 2 2 4" xfId="17515" xr:uid="{00000000-0005-0000-0000-000093470000}"/>
    <cellStyle name="Normal 2 2 2 2 2 2 2 2 2 4 2" xfId="17516" xr:uid="{00000000-0005-0000-0000-000094470000}"/>
    <cellStyle name="Normal 2 2 2 2 2 2 2 2 2 4 3" xfId="17517" xr:uid="{00000000-0005-0000-0000-000095470000}"/>
    <cellStyle name="Normal 2 2 2 2 2 2 2 2 2 4 4" xfId="17518" xr:uid="{00000000-0005-0000-0000-000096470000}"/>
    <cellStyle name="Normal 2 2 2 2 2 2 2 2 2 4 5" xfId="17519" xr:uid="{00000000-0005-0000-0000-000097470000}"/>
    <cellStyle name="Normal 2 2 2 2 2 2 2 2 2 4 6" xfId="17520" xr:uid="{00000000-0005-0000-0000-000098470000}"/>
    <cellStyle name="Normal 2 2 2 2 2 2 2 2 2 40" xfId="17521" xr:uid="{00000000-0005-0000-0000-000099470000}"/>
    <cellStyle name="Normal 2 2 2 2 2 2 2 2 2 40 2" xfId="17522" xr:uid="{00000000-0005-0000-0000-00009A470000}"/>
    <cellStyle name="Normal 2 2 2 2 2 2 2 2 2 40 3" xfId="17523" xr:uid="{00000000-0005-0000-0000-00009B470000}"/>
    <cellStyle name="Normal 2 2 2 2 2 2 2 2 2 40 4" xfId="17524" xr:uid="{00000000-0005-0000-0000-00009C470000}"/>
    <cellStyle name="Normal 2 2 2 2 2 2 2 2 2 40 5" xfId="17525" xr:uid="{00000000-0005-0000-0000-00009D470000}"/>
    <cellStyle name="Normal 2 2 2 2 2 2 2 2 2 40 6" xfId="17526" xr:uid="{00000000-0005-0000-0000-00009E470000}"/>
    <cellStyle name="Normal 2 2 2 2 2 2 2 2 2 41" xfId="17527" xr:uid="{00000000-0005-0000-0000-00009F470000}"/>
    <cellStyle name="Normal 2 2 2 2 2 2 2 2 2 41 2" xfId="17528" xr:uid="{00000000-0005-0000-0000-0000A0470000}"/>
    <cellStyle name="Normal 2 2 2 2 2 2 2 2 2 41 3" xfId="17529" xr:uid="{00000000-0005-0000-0000-0000A1470000}"/>
    <cellStyle name="Normal 2 2 2 2 2 2 2 2 2 41 4" xfId="17530" xr:uid="{00000000-0005-0000-0000-0000A2470000}"/>
    <cellStyle name="Normal 2 2 2 2 2 2 2 2 2 41 5" xfId="17531" xr:uid="{00000000-0005-0000-0000-0000A3470000}"/>
    <cellStyle name="Normal 2 2 2 2 2 2 2 2 2 41 6" xfId="17532" xr:uid="{00000000-0005-0000-0000-0000A4470000}"/>
    <cellStyle name="Normal 2 2 2 2 2 2 2 2 2 42" xfId="17533" xr:uid="{00000000-0005-0000-0000-0000A5470000}"/>
    <cellStyle name="Normal 2 2 2 2 2 2 2 2 2 42 2" xfId="17534" xr:uid="{00000000-0005-0000-0000-0000A6470000}"/>
    <cellStyle name="Normal 2 2 2 2 2 2 2 2 2 42 2 2" xfId="17535" xr:uid="{00000000-0005-0000-0000-0000A7470000}"/>
    <cellStyle name="Normal 2 2 2 2 2 2 2 2 2 42 2 3" xfId="17536" xr:uid="{00000000-0005-0000-0000-0000A8470000}"/>
    <cellStyle name="Normal 2 2 2 2 2 2 2 2 2 42 2 4" xfId="17537" xr:uid="{00000000-0005-0000-0000-0000A9470000}"/>
    <cellStyle name="Normal 2 2 2 2 2 2 2 2 2 42 2 5" xfId="17538" xr:uid="{00000000-0005-0000-0000-0000AA470000}"/>
    <cellStyle name="Normal 2 2 2 2 2 2 2 2 2 42 2 6" xfId="17539" xr:uid="{00000000-0005-0000-0000-0000AB470000}"/>
    <cellStyle name="Normal 2 2 2 2 2 2 2 2 2 43" xfId="17540" xr:uid="{00000000-0005-0000-0000-0000AC470000}"/>
    <cellStyle name="Normal 2 2 2 2 2 2 2 2 2 43 10" xfId="17541" xr:uid="{00000000-0005-0000-0000-0000AD470000}"/>
    <cellStyle name="Normal 2 2 2 2 2 2 2 2 2 43 11" xfId="17542" xr:uid="{00000000-0005-0000-0000-0000AE470000}"/>
    <cellStyle name="Normal 2 2 2 2 2 2 2 2 2 43 2" xfId="17543" xr:uid="{00000000-0005-0000-0000-0000AF470000}"/>
    <cellStyle name="Normal 2 2 2 2 2 2 2 2 2 43 2 2" xfId="17544" xr:uid="{00000000-0005-0000-0000-0000B0470000}"/>
    <cellStyle name="Normal 2 2 2 2 2 2 2 2 2 43 2 2 2" xfId="17545" xr:uid="{00000000-0005-0000-0000-0000B1470000}"/>
    <cellStyle name="Normal 2 2 2 2 2 2 2 2 2 43 2 2 3" xfId="17546" xr:uid="{00000000-0005-0000-0000-0000B2470000}"/>
    <cellStyle name="Normal 2 2 2 2 2 2 2 2 2 43 2 3" xfId="17547" xr:uid="{00000000-0005-0000-0000-0000B3470000}"/>
    <cellStyle name="Normal 2 2 2 2 2 2 2 2 2 43 2 4" xfId="17548" xr:uid="{00000000-0005-0000-0000-0000B4470000}"/>
    <cellStyle name="Normal 2 2 2 2 2 2 2 2 2 43 2 5" xfId="17549" xr:uid="{00000000-0005-0000-0000-0000B5470000}"/>
    <cellStyle name="Normal 2 2 2 2 2 2 2 2 2 43 2 6" xfId="17550" xr:uid="{00000000-0005-0000-0000-0000B6470000}"/>
    <cellStyle name="Normal 2 2 2 2 2 2 2 2 2 43 2 7" xfId="17551" xr:uid="{00000000-0005-0000-0000-0000B7470000}"/>
    <cellStyle name="Normal 2 2 2 2 2 2 2 2 2 43 2 8" xfId="17552" xr:uid="{00000000-0005-0000-0000-0000B8470000}"/>
    <cellStyle name="Normal 2 2 2 2 2 2 2 2 2 43 2 9" xfId="17553" xr:uid="{00000000-0005-0000-0000-0000B9470000}"/>
    <cellStyle name="Normal 2 2 2 2 2 2 2 2 2 43 3" xfId="17554" xr:uid="{00000000-0005-0000-0000-0000BA470000}"/>
    <cellStyle name="Normal 2 2 2 2 2 2 2 2 2 43 4" xfId="17555" xr:uid="{00000000-0005-0000-0000-0000BB470000}"/>
    <cellStyle name="Normal 2 2 2 2 2 2 2 2 2 43 5" xfId="17556" xr:uid="{00000000-0005-0000-0000-0000BC470000}"/>
    <cellStyle name="Normal 2 2 2 2 2 2 2 2 2 43 5 2" xfId="17557" xr:uid="{00000000-0005-0000-0000-0000BD470000}"/>
    <cellStyle name="Normal 2 2 2 2 2 2 2 2 2 43 5 3" xfId="17558" xr:uid="{00000000-0005-0000-0000-0000BE470000}"/>
    <cellStyle name="Normal 2 2 2 2 2 2 2 2 2 43 6" xfId="17559" xr:uid="{00000000-0005-0000-0000-0000BF470000}"/>
    <cellStyle name="Normal 2 2 2 2 2 2 2 2 2 43 7" xfId="17560" xr:uid="{00000000-0005-0000-0000-0000C0470000}"/>
    <cellStyle name="Normal 2 2 2 2 2 2 2 2 2 43 8" xfId="17561" xr:uid="{00000000-0005-0000-0000-0000C1470000}"/>
    <cellStyle name="Normal 2 2 2 2 2 2 2 2 2 43 9" xfId="17562" xr:uid="{00000000-0005-0000-0000-0000C2470000}"/>
    <cellStyle name="Normal 2 2 2 2 2 2 2 2 2 44" xfId="17563" xr:uid="{00000000-0005-0000-0000-0000C3470000}"/>
    <cellStyle name="Normal 2 2 2 2 2 2 2 2 2 45" xfId="17564" xr:uid="{00000000-0005-0000-0000-0000C4470000}"/>
    <cellStyle name="Normal 2 2 2 2 2 2 2 2 2 46" xfId="17565" xr:uid="{00000000-0005-0000-0000-0000C5470000}"/>
    <cellStyle name="Normal 2 2 2 2 2 2 2 2 2 46 2" xfId="17566" xr:uid="{00000000-0005-0000-0000-0000C6470000}"/>
    <cellStyle name="Normal 2 2 2 2 2 2 2 2 2 46 2 2" xfId="17567" xr:uid="{00000000-0005-0000-0000-0000C7470000}"/>
    <cellStyle name="Normal 2 2 2 2 2 2 2 2 2 46 2 3" xfId="17568" xr:uid="{00000000-0005-0000-0000-0000C8470000}"/>
    <cellStyle name="Normal 2 2 2 2 2 2 2 2 2 46 3" xfId="17569" xr:uid="{00000000-0005-0000-0000-0000C9470000}"/>
    <cellStyle name="Normal 2 2 2 2 2 2 2 2 2 46 4" xfId="17570" xr:uid="{00000000-0005-0000-0000-0000CA470000}"/>
    <cellStyle name="Normal 2 2 2 2 2 2 2 2 2 46 5" xfId="17571" xr:uid="{00000000-0005-0000-0000-0000CB470000}"/>
    <cellStyle name="Normal 2 2 2 2 2 2 2 2 2 46 6" xfId="17572" xr:uid="{00000000-0005-0000-0000-0000CC470000}"/>
    <cellStyle name="Normal 2 2 2 2 2 2 2 2 2 46 7" xfId="17573" xr:uid="{00000000-0005-0000-0000-0000CD470000}"/>
    <cellStyle name="Normal 2 2 2 2 2 2 2 2 2 46 8" xfId="17574" xr:uid="{00000000-0005-0000-0000-0000CE470000}"/>
    <cellStyle name="Normal 2 2 2 2 2 2 2 2 2 46 9" xfId="17575" xr:uid="{00000000-0005-0000-0000-0000CF470000}"/>
    <cellStyle name="Normal 2 2 2 2 2 2 2 2 2 47" xfId="17576" xr:uid="{00000000-0005-0000-0000-0000D0470000}"/>
    <cellStyle name="Normal 2 2 2 2 2 2 2 2 2 48" xfId="17577" xr:uid="{00000000-0005-0000-0000-0000D1470000}"/>
    <cellStyle name="Normal 2 2 2 2 2 2 2 2 2 48 2" xfId="17578" xr:uid="{00000000-0005-0000-0000-0000D2470000}"/>
    <cellStyle name="Normal 2 2 2 2 2 2 2 2 2 48 3" xfId="17579" xr:uid="{00000000-0005-0000-0000-0000D3470000}"/>
    <cellStyle name="Normal 2 2 2 2 2 2 2 2 2 49" xfId="17580" xr:uid="{00000000-0005-0000-0000-0000D4470000}"/>
    <cellStyle name="Normal 2 2 2 2 2 2 2 2 2 5" xfId="17581" xr:uid="{00000000-0005-0000-0000-0000D5470000}"/>
    <cellStyle name="Normal 2 2 2 2 2 2 2 2 2 5 2" xfId="17582" xr:uid="{00000000-0005-0000-0000-0000D6470000}"/>
    <cellStyle name="Normal 2 2 2 2 2 2 2 2 2 5 3" xfId="17583" xr:uid="{00000000-0005-0000-0000-0000D7470000}"/>
    <cellStyle name="Normal 2 2 2 2 2 2 2 2 2 5 4" xfId="17584" xr:uid="{00000000-0005-0000-0000-0000D8470000}"/>
    <cellStyle name="Normal 2 2 2 2 2 2 2 2 2 5 5" xfId="17585" xr:uid="{00000000-0005-0000-0000-0000D9470000}"/>
    <cellStyle name="Normal 2 2 2 2 2 2 2 2 2 5 6" xfId="17586" xr:uid="{00000000-0005-0000-0000-0000DA470000}"/>
    <cellStyle name="Normal 2 2 2 2 2 2 2 2 2 50" xfId="17587" xr:uid="{00000000-0005-0000-0000-0000DB470000}"/>
    <cellStyle name="Normal 2 2 2 2 2 2 2 2 2 51" xfId="17588" xr:uid="{00000000-0005-0000-0000-0000DC470000}"/>
    <cellStyle name="Normal 2 2 2 2 2 2 2 2 2 52" xfId="17589" xr:uid="{00000000-0005-0000-0000-0000DD470000}"/>
    <cellStyle name="Normal 2 2 2 2 2 2 2 2 2 53" xfId="17590" xr:uid="{00000000-0005-0000-0000-0000DE470000}"/>
    <cellStyle name="Normal 2 2 2 2 2 2 2 2 2 54" xfId="17591" xr:uid="{00000000-0005-0000-0000-0000DF470000}"/>
    <cellStyle name="Normal 2 2 2 2 2 2 2 2 2 6" xfId="17592" xr:uid="{00000000-0005-0000-0000-0000E0470000}"/>
    <cellStyle name="Normal 2 2 2 2 2 2 2 2 2 6 2" xfId="17593" xr:uid="{00000000-0005-0000-0000-0000E1470000}"/>
    <cellStyle name="Normal 2 2 2 2 2 2 2 2 2 6 3" xfId="17594" xr:uid="{00000000-0005-0000-0000-0000E2470000}"/>
    <cellStyle name="Normal 2 2 2 2 2 2 2 2 2 6 4" xfId="17595" xr:uid="{00000000-0005-0000-0000-0000E3470000}"/>
    <cellStyle name="Normal 2 2 2 2 2 2 2 2 2 6 5" xfId="17596" xr:uid="{00000000-0005-0000-0000-0000E4470000}"/>
    <cellStyle name="Normal 2 2 2 2 2 2 2 2 2 6 6" xfId="17597" xr:uid="{00000000-0005-0000-0000-0000E5470000}"/>
    <cellStyle name="Normal 2 2 2 2 2 2 2 2 2 7" xfId="17598" xr:uid="{00000000-0005-0000-0000-0000E6470000}"/>
    <cellStyle name="Normal 2 2 2 2 2 2 2 2 2 7 2" xfId="17599" xr:uid="{00000000-0005-0000-0000-0000E7470000}"/>
    <cellStyle name="Normal 2 2 2 2 2 2 2 2 2 7 3" xfId="17600" xr:uid="{00000000-0005-0000-0000-0000E8470000}"/>
    <cellStyle name="Normal 2 2 2 2 2 2 2 2 2 7 4" xfId="17601" xr:uid="{00000000-0005-0000-0000-0000E9470000}"/>
    <cellStyle name="Normal 2 2 2 2 2 2 2 2 2 7 5" xfId="17602" xr:uid="{00000000-0005-0000-0000-0000EA470000}"/>
    <cellStyle name="Normal 2 2 2 2 2 2 2 2 2 7 6" xfId="17603" xr:uid="{00000000-0005-0000-0000-0000EB470000}"/>
    <cellStyle name="Normal 2 2 2 2 2 2 2 2 2 8" xfId="17604" xr:uid="{00000000-0005-0000-0000-0000EC470000}"/>
    <cellStyle name="Normal 2 2 2 2 2 2 2 2 2 8 2" xfId="17605" xr:uid="{00000000-0005-0000-0000-0000ED470000}"/>
    <cellStyle name="Normal 2 2 2 2 2 2 2 2 2 8 3" xfId="17606" xr:uid="{00000000-0005-0000-0000-0000EE470000}"/>
    <cellStyle name="Normal 2 2 2 2 2 2 2 2 2 8 4" xfId="17607" xr:uid="{00000000-0005-0000-0000-0000EF470000}"/>
    <cellStyle name="Normal 2 2 2 2 2 2 2 2 2 8 5" xfId="17608" xr:uid="{00000000-0005-0000-0000-0000F0470000}"/>
    <cellStyle name="Normal 2 2 2 2 2 2 2 2 2 8 6" xfId="17609" xr:uid="{00000000-0005-0000-0000-0000F1470000}"/>
    <cellStyle name="Normal 2 2 2 2 2 2 2 2 2 9" xfId="17610" xr:uid="{00000000-0005-0000-0000-0000F2470000}"/>
    <cellStyle name="Normal 2 2 2 2 2 2 2 2 2 9 2" xfId="17611" xr:uid="{00000000-0005-0000-0000-0000F3470000}"/>
    <cellStyle name="Normal 2 2 2 2 2 2 2 2 2 9 3" xfId="17612" xr:uid="{00000000-0005-0000-0000-0000F4470000}"/>
    <cellStyle name="Normal 2 2 2 2 2 2 2 2 2 9 4" xfId="17613" xr:uid="{00000000-0005-0000-0000-0000F5470000}"/>
    <cellStyle name="Normal 2 2 2 2 2 2 2 2 2 9 5" xfId="17614" xr:uid="{00000000-0005-0000-0000-0000F6470000}"/>
    <cellStyle name="Normal 2 2 2 2 2 2 2 2 2 9 6" xfId="17615" xr:uid="{00000000-0005-0000-0000-0000F7470000}"/>
    <cellStyle name="Normal 2 2 2 2 2 2 2 2 20" xfId="17616" xr:uid="{00000000-0005-0000-0000-0000F8470000}"/>
    <cellStyle name="Normal 2 2 2 2 2 2 2 2 21" xfId="17617" xr:uid="{00000000-0005-0000-0000-0000F9470000}"/>
    <cellStyle name="Normal 2 2 2 2 2 2 2 2 22" xfId="17618" xr:uid="{00000000-0005-0000-0000-0000FA470000}"/>
    <cellStyle name="Normal 2 2 2 2 2 2 2 2 23" xfId="17619" xr:uid="{00000000-0005-0000-0000-0000FB470000}"/>
    <cellStyle name="Normal 2 2 2 2 2 2 2 2 24" xfId="17620" xr:uid="{00000000-0005-0000-0000-0000FC470000}"/>
    <cellStyle name="Normal 2 2 2 2 2 2 2 2 25" xfId="17621" xr:uid="{00000000-0005-0000-0000-0000FD470000}"/>
    <cellStyle name="Normal 2 2 2 2 2 2 2 2 26" xfId="17622" xr:uid="{00000000-0005-0000-0000-0000FE470000}"/>
    <cellStyle name="Normal 2 2 2 2 2 2 2 2 27" xfId="17623" xr:uid="{00000000-0005-0000-0000-0000FF470000}"/>
    <cellStyle name="Normal 2 2 2 2 2 2 2 2 27 2" xfId="17624" xr:uid="{00000000-0005-0000-0000-000000480000}"/>
    <cellStyle name="Normal 2 2 2 2 2 2 2 2 27 3" xfId="17625" xr:uid="{00000000-0005-0000-0000-000001480000}"/>
    <cellStyle name="Normal 2 2 2 2 2 2 2 2 27 4" xfId="17626" xr:uid="{00000000-0005-0000-0000-000002480000}"/>
    <cellStyle name="Normal 2 2 2 2 2 2 2 2 27 5" xfId="17627" xr:uid="{00000000-0005-0000-0000-000003480000}"/>
    <cellStyle name="Normal 2 2 2 2 2 2 2 2 27 6" xfId="17628" xr:uid="{00000000-0005-0000-0000-000004480000}"/>
    <cellStyle name="Normal 2 2 2 2 2 2 2 2 28" xfId="17629" xr:uid="{00000000-0005-0000-0000-000005480000}"/>
    <cellStyle name="Normal 2 2 2 2 2 2 2 2 28 2" xfId="17630" xr:uid="{00000000-0005-0000-0000-000006480000}"/>
    <cellStyle name="Normal 2 2 2 2 2 2 2 2 28 3" xfId="17631" xr:uid="{00000000-0005-0000-0000-000007480000}"/>
    <cellStyle name="Normal 2 2 2 2 2 2 2 2 28 4" xfId="17632" xr:uid="{00000000-0005-0000-0000-000008480000}"/>
    <cellStyle name="Normal 2 2 2 2 2 2 2 2 28 5" xfId="17633" xr:uid="{00000000-0005-0000-0000-000009480000}"/>
    <cellStyle name="Normal 2 2 2 2 2 2 2 2 28 6" xfId="17634" xr:uid="{00000000-0005-0000-0000-00000A480000}"/>
    <cellStyle name="Normal 2 2 2 2 2 2 2 2 29" xfId="17635" xr:uid="{00000000-0005-0000-0000-00000B480000}"/>
    <cellStyle name="Normal 2 2 2 2 2 2 2 2 29 2" xfId="17636" xr:uid="{00000000-0005-0000-0000-00000C480000}"/>
    <cellStyle name="Normal 2 2 2 2 2 2 2 2 29 3" xfId="17637" xr:uid="{00000000-0005-0000-0000-00000D480000}"/>
    <cellStyle name="Normal 2 2 2 2 2 2 2 2 29 4" xfId="17638" xr:uid="{00000000-0005-0000-0000-00000E480000}"/>
    <cellStyle name="Normal 2 2 2 2 2 2 2 2 29 5" xfId="17639" xr:uid="{00000000-0005-0000-0000-00000F480000}"/>
    <cellStyle name="Normal 2 2 2 2 2 2 2 2 29 6" xfId="17640" xr:uid="{00000000-0005-0000-0000-000010480000}"/>
    <cellStyle name="Normal 2 2 2 2 2 2 2 2 3" xfId="17641" xr:uid="{00000000-0005-0000-0000-000011480000}"/>
    <cellStyle name="Normal 2 2 2 2 2 2 2 2 3 10" xfId="17642" xr:uid="{00000000-0005-0000-0000-000012480000}"/>
    <cellStyle name="Normal 2 2 2 2 2 2 2 2 3 11" xfId="17643" xr:uid="{00000000-0005-0000-0000-000013480000}"/>
    <cellStyle name="Normal 2 2 2 2 2 2 2 2 3 12" xfId="17644" xr:uid="{00000000-0005-0000-0000-000014480000}"/>
    <cellStyle name="Normal 2 2 2 2 2 2 2 2 3 13" xfId="17645" xr:uid="{00000000-0005-0000-0000-000015480000}"/>
    <cellStyle name="Normal 2 2 2 2 2 2 2 2 3 2" xfId="17646" xr:uid="{00000000-0005-0000-0000-000016480000}"/>
    <cellStyle name="Normal 2 2 2 2 2 2 2 2 3 2 2" xfId="17647" xr:uid="{00000000-0005-0000-0000-000017480000}"/>
    <cellStyle name="Normal 2 2 2 2 2 2 2 2 3 2 3" xfId="17648" xr:uid="{00000000-0005-0000-0000-000018480000}"/>
    <cellStyle name="Normal 2 2 2 2 2 2 2 2 3 2 4" xfId="17649" xr:uid="{00000000-0005-0000-0000-000019480000}"/>
    <cellStyle name="Normal 2 2 2 2 2 2 2 2 3 2 5" xfId="17650" xr:uid="{00000000-0005-0000-0000-00001A480000}"/>
    <cellStyle name="Normal 2 2 2 2 2 2 2 2 3 2 6" xfId="17651" xr:uid="{00000000-0005-0000-0000-00001B480000}"/>
    <cellStyle name="Normal 2 2 2 2 2 2 2 2 3 3" xfId="17652" xr:uid="{00000000-0005-0000-0000-00001C480000}"/>
    <cellStyle name="Normal 2 2 2 2 2 2 2 2 3 3 2" xfId="17653" xr:uid="{00000000-0005-0000-0000-00001D480000}"/>
    <cellStyle name="Normal 2 2 2 2 2 2 2 2 3 3 3" xfId="17654" xr:uid="{00000000-0005-0000-0000-00001E480000}"/>
    <cellStyle name="Normal 2 2 2 2 2 2 2 2 3 3 4" xfId="17655" xr:uid="{00000000-0005-0000-0000-00001F480000}"/>
    <cellStyle name="Normal 2 2 2 2 2 2 2 2 3 3 5" xfId="17656" xr:uid="{00000000-0005-0000-0000-000020480000}"/>
    <cellStyle name="Normal 2 2 2 2 2 2 2 2 3 3 6" xfId="17657" xr:uid="{00000000-0005-0000-0000-000021480000}"/>
    <cellStyle name="Normal 2 2 2 2 2 2 2 2 3 4" xfId="17658" xr:uid="{00000000-0005-0000-0000-000022480000}"/>
    <cellStyle name="Normal 2 2 2 2 2 2 2 2 3 4 2" xfId="17659" xr:uid="{00000000-0005-0000-0000-000023480000}"/>
    <cellStyle name="Normal 2 2 2 2 2 2 2 2 3 4 3" xfId="17660" xr:uid="{00000000-0005-0000-0000-000024480000}"/>
    <cellStyle name="Normal 2 2 2 2 2 2 2 2 3 4 4" xfId="17661" xr:uid="{00000000-0005-0000-0000-000025480000}"/>
    <cellStyle name="Normal 2 2 2 2 2 2 2 2 3 4 5" xfId="17662" xr:uid="{00000000-0005-0000-0000-000026480000}"/>
    <cellStyle name="Normal 2 2 2 2 2 2 2 2 3 4 6" xfId="17663" xr:uid="{00000000-0005-0000-0000-000027480000}"/>
    <cellStyle name="Normal 2 2 2 2 2 2 2 2 3 5" xfId="17664" xr:uid="{00000000-0005-0000-0000-000028480000}"/>
    <cellStyle name="Normal 2 2 2 2 2 2 2 2 3 5 2" xfId="17665" xr:uid="{00000000-0005-0000-0000-000029480000}"/>
    <cellStyle name="Normal 2 2 2 2 2 2 2 2 3 5 3" xfId="17666" xr:uid="{00000000-0005-0000-0000-00002A480000}"/>
    <cellStyle name="Normal 2 2 2 2 2 2 2 2 3 5 4" xfId="17667" xr:uid="{00000000-0005-0000-0000-00002B480000}"/>
    <cellStyle name="Normal 2 2 2 2 2 2 2 2 3 5 5" xfId="17668" xr:uid="{00000000-0005-0000-0000-00002C480000}"/>
    <cellStyle name="Normal 2 2 2 2 2 2 2 2 3 5 6" xfId="17669" xr:uid="{00000000-0005-0000-0000-00002D480000}"/>
    <cellStyle name="Normal 2 2 2 2 2 2 2 2 3 6" xfId="17670" xr:uid="{00000000-0005-0000-0000-00002E480000}"/>
    <cellStyle name="Normal 2 2 2 2 2 2 2 2 3 6 2" xfId="17671" xr:uid="{00000000-0005-0000-0000-00002F480000}"/>
    <cellStyle name="Normal 2 2 2 2 2 2 2 2 3 6 3" xfId="17672" xr:uid="{00000000-0005-0000-0000-000030480000}"/>
    <cellStyle name="Normal 2 2 2 2 2 2 2 2 3 6 4" xfId="17673" xr:uid="{00000000-0005-0000-0000-000031480000}"/>
    <cellStyle name="Normal 2 2 2 2 2 2 2 2 3 6 5" xfId="17674" xr:uid="{00000000-0005-0000-0000-000032480000}"/>
    <cellStyle name="Normal 2 2 2 2 2 2 2 2 3 6 6" xfId="17675" xr:uid="{00000000-0005-0000-0000-000033480000}"/>
    <cellStyle name="Normal 2 2 2 2 2 2 2 2 3 7" xfId="17676" xr:uid="{00000000-0005-0000-0000-000034480000}"/>
    <cellStyle name="Normal 2 2 2 2 2 2 2 2 3 7 2" xfId="17677" xr:uid="{00000000-0005-0000-0000-000035480000}"/>
    <cellStyle name="Normal 2 2 2 2 2 2 2 2 3 7 3" xfId="17678" xr:uid="{00000000-0005-0000-0000-000036480000}"/>
    <cellStyle name="Normal 2 2 2 2 2 2 2 2 3 7 4" xfId="17679" xr:uid="{00000000-0005-0000-0000-000037480000}"/>
    <cellStyle name="Normal 2 2 2 2 2 2 2 2 3 7 5" xfId="17680" xr:uid="{00000000-0005-0000-0000-000038480000}"/>
    <cellStyle name="Normal 2 2 2 2 2 2 2 2 3 7 6" xfId="17681" xr:uid="{00000000-0005-0000-0000-000039480000}"/>
    <cellStyle name="Normal 2 2 2 2 2 2 2 2 3 8" xfId="17682" xr:uid="{00000000-0005-0000-0000-00003A480000}"/>
    <cellStyle name="Normal 2 2 2 2 2 2 2 2 3 8 2" xfId="17683" xr:uid="{00000000-0005-0000-0000-00003B480000}"/>
    <cellStyle name="Normal 2 2 2 2 2 2 2 2 3 8 3" xfId="17684" xr:uid="{00000000-0005-0000-0000-00003C480000}"/>
    <cellStyle name="Normal 2 2 2 2 2 2 2 2 3 8 4" xfId="17685" xr:uid="{00000000-0005-0000-0000-00003D480000}"/>
    <cellStyle name="Normal 2 2 2 2 2 2 2 2 3 8 5" xfId="17686" xr:uid="{00000000-0005-0000-0000-00003E480000}"/>
    <cellStyle name="Normal 2 2 2 2 2 2 2 2 3 8 6" xfId="17687" xr:uid="{00000000-0005-0000-0000-00003F480000}"/>
    <cellStyle name="Normal 2 2 2 2 2 2 2 2 3 9" xfId="17688" xr:uid="{00000000-0005-0000-0000-000040480000}"/>
    <cellStyle name="Normal 2 2 2 2 2 2 2 2 30" xfId="17689" xr:uid="{00000000-0005-0000-0000-000041480000}"/>
    <cellStyle name="Normal 2 2 2 2 2 2 2 2 30 2" xfId="17690" xr:uid="{00000000-0005-0000-0000-000042480000}"/>
    <cellStyle name="Normal 2 2 2 2 2 2 2 2 30 3" xfId="17691" xr:uid="{00000000-0005-0000-0000-000043480000}"/>
    <cellStyle name="Normal 2 2 2 2 2 2 2 2 30 4" xfId="17692" xr:uid="{00000000-0005-0000-0000-000044480000}"/>
    <cellStyle name="Normal 2 2 2 2 2 2 2 2 30 5" xfId="17693" xr:uid="{00000000-0005-0000-0000-000045480000}"/>
    <cellStyle name="Normal 2 2 2 2 2 2 2 2 30 6" xfId="17694" xr:uid="{00000000-0005-0000-0000-000046480000}"/>
    <cellStyle name="Normal 2 2 2 2 2 2 2 2 31" xfId="17695" xr:uid="{00000000-0005-0000-0000-000047480000}"/>
    <cellStyle name="Normal 2 2 2 2 2 2 2 2 31 2" xfId="17696" xr:uid="{00000000-0005-0000-0000-000048480000}"/>
    <cellStyle name="Normal 2 2 2 2 2 2 2 2 31 2 2" xfId="17697" xr:uid="{00000000-0005-0000-0000-000049480000}"/>
    <cellStyle name="Normal 2 2 2 2 2 2 2 2 31 2 2 2" xfId="17698" xr:uid="{00000000-0005-0000-0000-00004A480000}"/>
    <cellStyle name="Normal 2 2 2 2 2 2 2 2 31 2 2 3" xfId="17699" xr:uid="{00000000-0005-0000-0000-00004B480000}"/>
    <cellStyle name="Normal 2 2 2 2 2 2 2 2 31 2 2 4" xfId="17700" xr:uid="{00000000-0005-0000-0000-00004C480000}"/>
    <cellStyle name="Normal 2 2 2 2 2 2 2 2 31 2 2 5" xfId="17701" xr:uid="{00000000-0005-0000-0000-00004D480000}"/>
    <cellStyle name="Normal 2 2 2 2 2 2 2 2 31 2 2 6" xfId="17702" xr:uid="{00000000-0005-0000-0000-00004E480000}"/>
    <cellStyle name="Normal 2 2 2 2 2 2 2 2 31 2 2 7" xfId="17703" xr:uid="{00000000-0005-0000-0000-00004F480000}"/>
    <cellStyle name="Normal 2 2 2 2 2 2 2 2 31 3" xfId="17704" xr:uid="{00000000-0005-0000-0000-000050480000}"/>
    <cellStyle name="Normal 2 2 2 2 2 2 2 2 31 4" xfId="17705" xr:uid="{00000000-0005-0000-0000-000051480000}"/>
    <cellStyle name="Normal 2 2 2 2 2 2 2 2 31 5" xfId="17706" xr:uid="{00000000-0005-0000-0000-000052480000}"/>
    <cellStyle name="Normal 2 2 2 2 2 2 2 2 31 6" xfId="17707" xr:uid="{00000000-0005-0000-0000-000053480000}"/>
    <cellStyle name="Normal 2 2 2 2 2 2 2 2 31 7" xfId="17708" xr:uid="{00000000-0005-0000-0000-000054480000}"/>
    <cellStyle name="Normal 2 2 2 2 2 2 2 2 31 8" xfId="17709" xr:uid="{00000000-0005-0000-0000-000055480000}"/>
    <cellStyle name="Normal 2 2 2 2 2 2 2 2 32" xfId="17710" xr:uid="{00000000-0005-0000-0000-000056480000}"/>
    <cellStyle name="Normal 2 2 2 2 2 2 2 2 33" xfId="17711" xr:uid="{00000000-0005-0000-0000-000057480000}"/>
    <cellStyle name="Normal 2 2 2 2 2 2 2 2 34" xfId="17712" xr:uid="{00000000-0005-0000-0000-000058480000}"/>
    <cellStyle name="Normal 2 2 2 2 2 2 2 2 35" xfId="17713" xr:uid="{00000000-0005-0000-0000-000059480000}"/>
    <cellStyle name="Normal 2 2 2 2 2 2 2 2 36" xfId="17714" xr:uid="{00000000-0005-0000-0000-00005A480000}"/>
    <cellStyle name="Normal 2 2 2 2 2 2 2 2 37" xfId="17715" xr:uid="{00000000-0005-0000-0000-00005B480000}"/>
    <cellStyle name="Normal 2 2 2 2 2 2 2 2 38" xfId="17716" xr:uid="{00000000-0005-0000-0000-00005C480000}"/>
    <cellStyle name="Normal 2 2 2 2 2 2 2 2 39" xfId="17717" xr:uid="{00000000-0005-0000-0000-00005D480000}"/>
    <cellStyle name="Normal 2 2 2 2 2 2 2 2 4" xfId="17718" xr:uid="{00000000-0005-0000-0000-00005E480000}"/>
    <cellStyle name="Normal 2 2 2 2 2 2 2 2 4 10" xfId="17719" xr:uid="{00000000-0005-0000-0000-00005F480000}"/>
    <cellStyle name="Normal 2 2 2 2 2 2 2 2 4 11" xfId="17720" xr:uid="{00000000-0005-0000-0000-000060480000}"/>
    <cellStyle name="Normal 2 2 2 2 2 2 2 2 4 12" xfId="17721" xr:uid="{00000000-0005-0000-0000-000061480000}"/>
    <cellStyle name="Normal 2 2 2 2 2 2 2 2 4 13" xfId="17722" xr:uid="{00000000-0005-0000-0000-000062480000}"/>
    <cellStyle name="Normal 2 2 2 2 2 2 2 2 4 2" xfId="17723" xr:uid="{00000000-0005-0000-0000-000063480000}"/>
    <cellStyle name="Normal 2 2 2 2 2 2 2 2 4 2 2" xfId="17724" xr:uid="{00000000-0005-0000-0000-000064480000}"/>
    <cellStyle name="Normal 2 2 2 2 2 2 2 2 4 2 3" xfId="17725" xr:uid="{00000000-0005-0000-0000-000065480000}"/>
    <cellStyle name="Normal 2 2 2 2 2 2 2 2 4 2 4" xfId="17726" xr:uid="{00000000-0005-0000-0000-000066480000}"/>
    <cellStyle name="Normal 2 2 2 2 2 2 2 2 4 2 5" xfId="17727" xr:uid="{00000000-0005-0000-0000-000067480000}"/>
    <cellStyle name="Normal 2 2 2 2 2 2 2 2 4 2 6" xfId="17728" xr:uid="{00000000-0005-0000-0000-000068480000}"/>
    <cellStyle name="Normal 2 2 2 2 2 2 2 2 4 3" xfId="17729" xr:uid="{00000000-0005-0000-0000-000069480000}"/>
    <cellStyle name="Normal 2 2 2 2 2 2 2 2 4 3 2" xfId="17730" xr:uid="{00000000-0005-0000-0000-00006A480000}"/>
    <cellStyle name="Normal 2 2 2 2 2 2 2 2 4 3 3" xfId="17731" xr:uid="{00000000-0005-0000-0000-00006B480000}"/>
    <cellStyle name="Normal 2 2 2 2 2 2 2 2 4 3 4" xfId="17732" xr:uid="{00000000-0005-0000-0000-00006C480000}"/>
    <cellStyle name="Normal 2 2 2 2 2 2 2 2 4 3 5" xfId="17733" xr:uid="{00000000-0005-0000-0000-00006D480000}"/>
    <cellStyle name="Normal 2 2 2 2 2 2 2 2 4 3 6" xfId="17734" xr:uid="{00000000-0005-0000-0000-00006E480000}"/>
    <cellStyle name="Normal 2 2 2 2 2 2 2 2 4 4" xfId="17735" xr:uid="{00000000-0005-0000-0000-00006F480000}"/>
    <cellStyle name="Normal 2 2 2 2 2 2 2 2 4 4 2" xfId="17736" xr:uid="{00000000-0005-0000-0000-000070480000}"/>
    <cellStyle name="Normal 2 2 2 2 2 2 2 2 4 4 3" xfId="17737" xr:uid="{00000000-0005-0000-0000-000071480000}"/>
    <cellStyle name="Normal 2 2 2 2 2 2 2 2 4 4 4" xfId="17738" xr:uid="{00000000-0005-0000-0000-000072480000}"/>
    <cellStyle name="Normal 2 2 2 2 2 2 2 2 4 4 5" xfId="17739" xr:uid="{00000000-0005-0000-0000-000073480000}"/>
    <cellStyle name="Normal 2 2 2 2 2 2 2 2 4 4 6" xfId="17740" xr:uid="{00000000-0005-0000-0000-000074480000}"/>
    <cellStyle name="Normal 2 2 2 2 2 2 2 2 4 5" xfId="17741" xr:uid="{00000000-0005-0000-0000-000075480000}"/>
    <cellStyle name="Normal 2 2 2 2 2 2 2 2 4 5 2" xfId="17742" xr:uid="{00000000-0005-0000-0000-000076480000}"/>
    <cellStyle name="Normal 2 2 2 2 2 2 2 2 4 5 3" xfId="17743" xr:uid="{00000000-0005-0000-0000-000077480000}"/>
    <cellStyle name="Normal 2 2 2 2 2 2 2 2 4 5 4" xfId="17744" xr:uid="{00000000-0005-0000-0000-000078480000}"/>
    <cellStyle name="Normal 2 2 2 2 2 2 2 2 4 5 5" xfId="17745" xr:uid="{00000000-0005-0000-0000-000079480000}"/>
    <cellStyle name="Normal 2 2 2 2 2 2 2 2 4 5 6" xfId="17746" xr:uid="{00000000-0005-0000-0000-00007A480000}"/>
    <cellStyle name="Normal 2 2 2 2 2 2 2 2 4 6" xfId="17747" xr:uid="{00000000-0005-0000-0000-00007B480000}"/>
    <cellStyle name="Normal 2 2 2 2 2 2 2 2 4 6 2" xfId="17748" xr:uid="{00000000-0005-0000-0000-00007C480000}"/>
    <cellStyle name="Normal 2 2 2 2 2 2 2 2 4 6 3" xfId="17749" xr:uid="{00000000-0005-0000-0000-00007D480000}"/>
    <cellStyle name="Normal 2 2 2 2 2 2 2 2 4 6 4" xfId="17750" xr:uid="{00000000-0005-0000-0000-00007E480000}"/>
    <cellStyle name="Normal 2 2 2 2 2 2 2 2 4 6 5" xfId="17751" xr:uid="{00000000-0005-0000-0000-00007F480000}"/>
    <cellStyle name="Normal 2 2 2 2 2 2 2 2 4 6 6" xfId="17752" xr:uid="{00000000-0005-0000-0000-000080480000}"/>
    <cellStyle name="Normal 2 2 2 2 2 2 2 2 4 7" xfId="17753" xr:uid="{00000000-0005-0000-0000-000081480000}"/>
    <cellStyle name="Normal 2 2 2 2 2 2 2 2 4 7 2" xfId="17754" xr:uid="{00000000-0005-0000-0000-000082480000}"/>
    <cellStyle name="Normal 2 2 2 2 2 2 2 2 4 7 3" xfId="17755" xr:uid="{00000000-0005-0000-0000-000083480000}"/>
    <cellStyle name="Normal 2 2 2 2 2 2 2 2 4 7 4" xfId="17756" xr:uid="{00000000-0005-0000-0000-000084480000}"/>
    <cellStyle name="Normal 2 2 2 2 2 2 2 2 4 7 5" xfId="17757" xr:uid="{00000000-0005-0000-0000-000085480000}"/>
    <cellStyle name="Normal 2 2 2 2 2 2 2 2 4 7 6" xfId="17758" xr:uid="{00000000-0005-0000-0000-000086480000}"/>
    <cellStyle name="Normal 2 2 2 2 2 2 2 2 4 8" xfId="17759" xr:uid="{00000000-0005-0000-0000-000087480000}"/>
    <cellStyle name="Normal 2 2 2 2 2 2 2 2 4 8 2" xfId="17760" xr:uid="{00000000-0005-0000-0000-000088480000}"/>
    <cellStyle name="Normal 2 2 2 2 2 2 2 2 4 8 3" xfId="17761" xr:uid="{00000000-0005-0000-0000-000089480000}"/>
    <cellStyle name="Normal 2 2 2 2 2 2 2 2 4 8 4" xfId="17762" xr:uid="{00000000-0005-0000-0000-00008A480000}"/>
    <cellStyle name="Normal 2 2 2 2 2 2 2 2 4 8 5" xfId="17763" xr:uid="{00000000-0005-0000-0000-00008B480000}"/>
    <cellStyle name="Normal 2 2 2 2 2 2 2 2 4 8 6" xfId="17764" xr:uid="{00000000-0005-0000-0000-00008C480000}"/>
    <cellStyle name="Normal 2 2 2 2 2 2 2 2 4 9" xfId="17765" xr:uid="{00000000-0005-0000-0000-00008D480000}"/>
    <cellStyle name="Normal 2 2 2 2 2 2 2 2 40" xfId="17766" xr:uid="{00000000-0005-0000-0000-00008E480000}"/>
    <cellStyle name="Normal 2 2 2 2 2 2 2 2 41" xfId="17767" xr:uid="{00000000-0005-0000-0000-00008F480000}"/>
    <cellStyle name="Normal 2 2 2 2 2 2 2 2 42" xfId="17768" xr:uid="{00000000-0005-0000-0000-000090480000}"/>
    <cellStyle name="Normal 2 2 2 2 2 2 2 2 43" xfId="17769" xr:uid="{00000000-0005-0000-0000-000091480000}"/>
    <cellStyle name="Normal 2 2 2 2 2 2 2 2 44" xfId="17770" xr:uid="{00000000-0005-0000-0000-000092480000}"/>
    <cellStyle name="Normal 2 2 2 2 2 2 2 2 45" xfId="17771" xr:uid="{00000000-0005-0000-0000-000093480000}"/>
    <cellStyle name="Normal 2 2 2 2 2 2 2 2 46" xfId="17772" xr:uid="{00000000-0005-0000-0000-000094480000}"/>
    <cellStyle name="Normal 2 2 2 2 2 2 2 2 47" xfId="17773" xr:uid="{00000000-0005-0000-0000-000095480000}"/>
    <cellStyle name="Normal 2 2 2 2 2 2 2 2 48" xfId="17774" xr:uid="{00000000-0005-0000-0000-000096480000}"/>
    <cellStyle name="Normal 2 2 2 2 2 2 2 2 49" xfId="17775" xr:uid="{00000000-0005-0000-0000-000097480000}"/>
    <cellStyle name="Normal 2 2 2 2 2 2 2 2 5" xfId="17776" xr:uid="{00000000-0005-0000-0000-000098480000}"/>
    <cellStyle name="Normal 2 2 2 2 2 2 2 2 5 10" xfId="17777" xr:uid="{00000000-0005-0000-0000-000099480000}"/>
    <cellStyle name="Normal 2 2 2 2 2 2 2 2 5 11" xfId="17778" xr:uid="{00000000-0005-0000-0000-00009A480000}"/>
    <cellStyle name="Normal 2 2 2 2 2 2 2 2 5 12" xfId="17779" xr:uid="{00000000-0005-0000-0000-00009B480000}"/>
    <cellStyle name="Normal 2 2 2 2 2 2 2 2 5 13" xfId="17780" xr:uid="{00000000-0005-0000-0000-00009C480000}"/>
    <cellStyle name="Normal 2 2 2 2 2 2 2 2 5 2" xfId="17781" xr:uid="{00000000-0005-0000-0000-00009D480000}"/>
    <cellStyle name="Normal 2 2 2 2 2 2 2 2 5 2 2" xfId="17782" xr:uid="{00000000-0005-0000-0000-00009E480000}"/>
    <cellStyle name="Normal 2 2 2 2 2 2 2 2 5 2 3" xfId="17783" xr:uid="{00000000-0005-0000-0000-00009F480000}"/>
    <cellStyle name="Normal 2 2 2 2 2 2 2 2 5 2 4" xfId="17784" xr:uid="{00000000-0005-0000-0000-0000A0480000}"/>
    <cellStyle name="Normal 2 2 2 2 2 2 2 2 5 2 5" xfId="17785" xr:uid="{00000000-0005-0000-0000-0000A1480000}"/>
    <cellStyle name="Normal 2 2 2 2 2 2 2 2 5 2 6" xfId="17786" xr:uid="{00000000-0005-0000-0000-0000A2480000}"/>
    <cellStyle name="Normal 2 2 2 2 2 2 2 2 5 3" xfId="17787" xr:uid="{00000000-0005-0000-0000-0000A3480000}"/>
    <cellStyle name="Normal 2 2 2 2 2 2 2 2 5 3 2" xfId="17788" xr:uid="{00000000-0005-0000-0000-0000A4480000}"/>
    <cellStyle name="Normal 2 2 2 2 2 2 2 2 5 3 3" xfId="17789" xr:uid="{00000000-0005-0000-0000-0000A5480000}"/>
    <cellStyle name="Normal 2 2 2 2 2 2 2 2 5 3 4" xfId="17790" xr:uid="{00000000-0005-0000-0000-0000A6480000}"/>
    <cellStyle name="Normal 2 2 2 2 2 2 2 2 5 3 5" xfId="17791" xr:uid="{00000000-0005-0000-0000-0000A7480000}"/>
    <cellStyle name="Normal 2 2 2 2 2 2 2 2 5 3 6" xfId="17792" xr:uid="{00000000-0005-0000-0000-0000A8480000}"/>
    <cellStyle name="Normal 2 2 2 2 2 2 2 2 5 4" xfId="17793" xr:uid="{00000000-0005-0000-0000-0000A9480000}"/>
    <cellStyle name="Normal 2 2 2 2 2 2 2 2 5 4 2" xfId="17794" xr:uid="{00000000-0005-0000-0000-0000AA480000}"/>
    <cellStyle name="Normal 2 2 2 2 2 2 2 2 5 4 3" xfId="17795" xr:uid="{00000000-0005-0000-0000-0000AB480000}"/>
    <cellStyle name="Normal 2 2 2 2 2 2 2 2 5 4 4" xfId="17796" xr:uid="{00000000-0005-0000-0000-0000AC480000}"/>
    <cellStyle name="Normal 2 2 2 2 2 2 2 2 5 4 5" xfId="17797" xr:uid="{00000000-0005-0000-0000-0000AD480000}"/>
    <cellStyle name="Normal 2 2 2 2 2 2 2 2 5 4 6" xfId="17798" xr:uid="{00000000-0005-0000-0000-0000AE480000}"/>
    <cellStyle name="Normal 2 2 2 2 2 2 2 2 5 5" xfId="17799" xr:uid="{00000000-0005-0000-0000-0000AF480000}"/>
    <cellStyle name="Normal 2 2 2 2 2 2 2 2 5 5 2" xfId="17800" xr:uid="{00000000-0005-0000-0000-0000B0480000}"/>
    <cellStyle name="Normal 2 2 2 2 2 2 2 2 5 5 3" xfId="17801" xr:uid="{00000000-0005-0000-0000-0000B1480000}"/>
    <cellStyle name="Normal 2 2 2 2 2 2 2 2 5 5 4" xfId="17802" xr:uid="{00000000-0005-0000-0000-0000B2480000}"/>
    <cellStyle name="Normal 2 2 2 2 2 2 2 2 5 5 5" xfId="17803" xr:uid="{00000000-0005-0000-0000-0000B3480000}"/>
    <cellStyle name="Normal 2 2 2 2 2 2 2 2 5 5 6" xfId="17804" xr:uid="{00000000-0005-0000-0000-0000B4480000}"/>
    <cellStyle name="Normal 2 2 2 2 2 2 2 2 5 6" xfId="17805" xr:uid="{00000000-0005-0000-0000-0000B5480000}"/>
    <cellStyle name="Normal 2 2 2 2 2 2 2 2 5 6 2" xfId="17806" xr:uid="{00000000-0005-0000-0000-0000B6480000}"/>
    <cellStyle name="Normal 2 2 2 2 2 2 2 2 5 6 3" xfId="17807" xr:uid="{00000000-0005-0000-0000-0000B7480000}"/>
    <cellStyle name="Normal 2 2 2 2 2 2 2 2 5 6 4" xfId="17808" xr:uid="{00000000-0005-0000-0000-0000B8480000}"/>
    <cellStyle name="Normal 2 2 2 2 2 2 2 2 5 6 5" xfId="17809" xr:uid="{00000000-0005-0000-0000-0000B9480000}"/>
    <cellStyle name="Normal 2 2 2 2 2 2 2 2 5 6 6" xfId="17810" xr:uid="{00000000-0005-0000-0000-0000BA480000}"/>
    <cellStyle name="Normal 2 2 2 2 2 2 2 2 5 7" xfId="17811" xr:uid="{00000000-0005-0000-0000-0000BB480000}"/>
    <cellStyle name="Normal 2 2 2 2 2 2 2 2 5 7 2" xfId="17812" xr:uid="{00000000-0005-0000-0000-0000BC480000}"/>
    <cellStyle name="Normal 2 2 2 2 2 2 2 2 5 7 3" xfId="17813" xr:uid="{00000000-0005-0000-0000-0000BD480000}"/>
    <cellStyle name="Normal 2 2 2 2 2 2 2 2 5 7 4" xfId="17814" xr:uid="{00000000-0005-0000-0000-0000BE480000}"/>
    <cellStyle name="Normal 2 2 2 2 2 2 2 2 5 7 5" xfId="17815" xr:uid="{00000000-0005-0000-0000-0000BF480000}"/>
    <cellStyle name="Normal 2 2 2 2 2 2 2 2 5 7 6" xfId="17816" xr:uid="{00000000-0005-0000-0000-0000C0480000}"/>
    <cellStyle name="Normal 2 2 2 2 2 2 2 2 5 8" xfId="17817" xr:uid="{00000000-0005-0000-0000-0000C1480000}"/>
    <cellStyle name="Normal 2 2 2 2 2 2 2 2 5 8 2" xfId="17818" xr:uid="{00000000-0005-0000-0000-0000C2480000}"/>
    <cellStyle name="Normal 2 2 2 2 2 2 2 2 5 8 3" xfId="17819" xr:uid="{00000000-0005-0000-0000-0000C3480000}"/>
    <cellStyle name="Normal 2 2 2 2 2 2 2 2 5 8 4" xfId="17820" xr:uid="{00000000-0005-0000-0000-0000C4480000}"/>
    <cellStyle name="Normal 2 2 2 2 2 2 2 2 5 8 5" xfId="17821" xr:uid="{00000000-0005-0000-0000-0000C5480000}"/>
    <cellStyle name="Normal 2 2 2 2 2 2 2 2 5 8 6" xfId="17822" xr:uid="{00000000-0005-0000-0000-0000C6480000}"/>
    <cellStyle name="Normal 2 2 2 2 2 2 2 2 5 9" xfId="17823" xr:uid="{00000000-0005-0000-0000-0000C7480000}"/>
    <cellStyle name="Normal 2 2 2 2 2 2 2 2 50" xfId="17824" xr:uid="{00000000-0005-0000-0000-0000C8480000}"/>
    <cellStyle name="Normal 2 2 2 2 2 2 2 2 51" xfId="17825" xr:uid="{00000000-0005-0000-0000-0000C9480000}"/>
    <cellStyle name="Normal 2 2 2 2 2 2 2 2 51 2" xfId="17826" xr:uid="{00000000-0005-0000-0000-0000CA480000}"/>
    <cellStyle name="Normal 2 2 2 2 2 2 2 2 51 3" xfId="17827" xr:uid="{00000000-0005-0000-0000-0000CB480000}"/>
    <cellStyle name="Normal 2 2 2 2 2 2 2 2 51 4" xfId="17828" xr:uid="{00000000-0005-0000-0000-0000CC480000}"/>
    <cellStyle name="Normal 2 2 2 2 2 2 2 2 51 5" xfId="17829" xr:uid="{00000000-0005-0000-0000-0000CD480000}"/>
    <cellStyle name="Normal 2 2 2 2 2 2 2 2 51 6" xfId="17830" xr:uid="{00000000-0005-0000-0000-0000CE480000}"/>
    <cellStyle name="Normal 2 2 2 2 2 2 2 2 51 7" xfId="17831" xr:uid="{00000000-0005-0000-0000-0000CF480000}"/>
    <cellStyle name="Normal 2 2 2 2 2 2 2 2 52" xfId="17832" xr:uid="{00000000-0005-0000-0000-0000D0480000}"/>
    <cellStyle name="Normal 2 2 2 2 2 2 2 2 52 10" xfId="17833" xr:uid="{00000000-0005-0000-0000-0000D1480000}"/>
    <cellStyle name="Normal 2 2 2 2 2 2 2 2 52 11" xfId="17834" xr:uid="{00000000-0005-0000-0000-0000D2480000}"/>
    <cellStyle name="Normal 2 2 2 2 2 2 2 2 52 2" xfId="17835" xr:uid="{00000000-0005-0000-0000-0000D3480000}"/>
    <cellStyle name="Normal 2 2 2 2 2 2 2 2 52 2 2" xfId="17836" xr:uid="{00000000-0005-0000-0000-0000D4480000}"/>
    <cellStyle name="Normal 2 2 2 2 2 2 2 2 52 2 2 2" xfId="17837" xr:uid="{00000000-0005-0000-0000-0000D5480000}"/>
    <cellStyle name="Normal 2 2 2 2 2 2 2 2 52 2 2 3" xfId="17838" xr:uid="{00000000-0005-0000-0000-0000D6480000}"/>
    <cellStyle name="Normal 2 2 2 2 2 2 2 2 52 2 3" xfId="17839" xr:uid="{00000000-0005-0000-0000-0000D7480000}"/>
    <cellStyle name="Normal 2 2 2 2 2 2 2 2 52 2 4" xfId="17840" xr:uid="{00000000-0005-0000-0000-0000D8480000}"/>
    <cellStyle name="Normal 2 2 2 2 2 2 2 2 52 2 5" xfId="17841" xr:uid="{00000000-0005-0000-0000-0000D9480000}"/>
    <cellStyle name="Normal 2 2 2 2 2 2 2 2 52 2 6" xfId="17842" xr:uid="{00000000-0005-0000-0000-0000DA480000}"/>
    <cellStyle name="Normal 2 2 2 2 2 2 2 2 52 2 7" xfId="17843" xr:uid="{00000000-0005-0000-0000-0000DB480000}"/>
    <cellStyle name="Normal 2 2 2 2 2 2 2 2 52 2 8" xfId="17844" xr:uid="{00000000-0005-0000-0000-0000DC480000}"/>
    <cellStyle name="Normal 2 2 2 2 2 2 2 2 52 2 9" xfId="17845" xr:uid="{00000000-0005-0000-0000-0000DD480000}"/>
    <cellStyle name="Normal 2 2 2 2 2 2 2 2 52 3" xfId="17846" xr:uid="{00000000-0005-0000-0000-0000DE480000}"/>
    <cellStyle name="Normal 2 2 2 2 2 2 2 2 52 4" xfId="17847" xr:uid="{00000000-0005-0000-0000-0000DF480000}"/>
    <cellStyle name="Normal 2 2 2 2 2 2 2 2 52 5" xfId="17848" xr:uid="{00000000-0005-0000-0000-0000E0480000}"/>
    <cellStyle name="Normal 2 2 2 2 2 2 2 2 52 5 2" xfId="17849" xr:uid="{00000000-0005-0000-0000-0000E1480000}"/>
    <cellStyle name="Normal 2 2 2 2 2 2 2 2 52 5 3" xfId="17850" xr:uid="{00000000-0005-0000-0000-0000E2480000}"/>
    <cellStyle name="Normal 2 2 2 2 2 2 2 2 52 6" xfId="17851" xr:uid="{00000000-0005-0000-0000-0000E3480000}"/>
    <cellStyle name="Normal 2 2 2 2 2 2 2 2 52 7" xfId="17852" xr:uid="{00000000-0005-0000-0000-0000E4480000}"/>
    <cellStyle name="Normal 2 2 2 2 2 2 2 2 52 8" xfId="17853" xr:uid="{00000000-0005-0000-0000-0000E5480000}"/>
    <cellStyle name="Normal 2 2 2 2 2 2 2 2 52 9" xfId="17854" xr:uid="{00000000-0005-0000-0000-0000E6480000}"/>
    <cellStyle name="Normal 2 2 2 2 2 2 2 2 53" xfId="17855" xr:uid="{00000000-0005-0000-0000-0000E7480000}"/>
    <cellStyle name="Normal 2 2 2 2 2 2 2 2 54" xfId="17856" xr:uid="{00000000-0005-0000-0000-0000E8480000}"/>
    <cellStyle name="Normal 2 2 2 2 2 2 2 2 55" xfId="17857" xr:uid="{00000000-0005-0000-0000-0000E9480000}"/>
    <cellStyle name="Normal 2 2 2 2 2 2 2 2 55 2" xfId="17858" xr:uid="{00000000-0005-0000-0000-0000EA480000}"/>
    <cellStyle name="Normal 2 2 2 2 2 2 2 2 55 2 2" xfId="17859" xr:uid="{00000000-0005-0000-0000-0000EB480000}"/>
    <cellStyle name="Normal 2 2 2 2 2 2 2 2 55 2 3" xfId="17860" xr:uid="{00000000-0005-0000-0000-0000EC480000}"/>
    <cellStyle name="Normal 2 2 2 2 2 2 2 2 55 3" xfId="17861" xr:uid="{00000000-0005-0000-0000-0000ED480000}"/>
    <cellStyle name="Normal 2 2 2 2 2 2 2 2 55 4" xfId="17862" xr:uid="{00000000-0005-0000-0000-0000EE480000}"/>
    <cellStyle name="Normal 2 2 2 2 2 2 2 2 55 5" xfId="17863" xr:uid="{00000000-0005-0000-0000-0000EF480000}"/>
    <cellStyle name="Normal 2 2 2 2 2 2 2 2 55 6" xfId="17864" xr:uid="{00000000-0005-0000-0000-0000F0480000}"/>
    <cellStyle name="Normal 2 2 2 2 2 2 2 2 55 7" xfId="17865" xr:uid="{00000000-0005-0000-0000-0000F1480000}"/>
    <cellStyle name="Normal 2 2 2 2 2 2 2 2 55 8" xfId="17866" xr:uid="{00000000-0005-0000-0000-0000F2480000}"/>
    <cellStyle name="Normal 2 2 2 2 2 2 2 2 55 9" xfId="17867" xr:uid="{00000000-0005-0000-0000-0000F3480000}"/>
    <cellStyle name="Normal 2 2 2 2 2 2 2 2 56" xfId="17868" xr:uid="{00000000-0005-0000-0000-0000F4480000}"/>
    <cellStyle name="Normal 2 2 2 2 2 2 2 2 57" xfId="17869" xr:uid="{00000000-0005-0000-0000-0000F5480000}"/>
    <cellStyle name="Normal 2 2 2 2 2 2 2 2 57 2" xfId="17870" xr:uid="{00000000-0005-0000-0000-0000F6480000}"/>
    <cellStyle name="Normal 2 2 2 2 2 2 2 2 57 3" xfId="17871" xr:uid="{00000000-0005-0000-0000-0000F7480000}"/>
    <cellStyle name="Normal 2 2 2 2 2 2 2 2 58" xfId="17872" xr:uid="{00000000-0005-0000-0000-0000F8480000}"/>
    <cellStyle name="Normal 2 2 2 2 2 2 2 2 59" xfId="17873" xr:uid="{00000000-0005-0000-0000-0000F9480000}"/>
    <cellStyle name="Normal 2 2 2 2 2 2 2 2 6" xfId="17874" xr:uid="{00000000-0005-0000-0000-0000FA480000}"/>
    <cellStyle name="Normal 2 2 2 2 2 2 2 2 6 10" xfId="17875" xr:uid="{00000000-0005-0000-0000-0000FB480000}"/>
    <cellStyle name="Normal 2 2 2 2 2 2 2 2 6 11" xfId="17876" xr:uid="{00000000-0005-0000-0000-0000FC480000}"/>
    <cellStyle name="Normal 2 2 2 2 2 2 2 2 6 12" xfId="17877" xr:uid="{00000000-0005-0000-0000-0000FD480000}"/>
    <cellStyle name="Normal 2 2 2 2 2 2 2 2 6 13" xfId="17878" xr:uid="{00000000-0005-0000-0000-0000FE480000}"/>
    <cellStyle name="Normal 2 2 2 2 2 2 2 2 6 2" xfId="17879" xr:uid="{00000000-0005-0000-0000-0000FF480000}"/>
    <cellStyle name="Normal 2 2 2 2 2 2 2 2 6 2 2" xfId="17880" xr:uid="{00000000-0005-0000-0000-000000490000}"/>
    <cellStyle name="Normal 2 2 2 2 2 2 2 2 6 2 3" xfId="17881" xr:uid="{00000000-0005-0000-0000-000001490000}"/>
    <cellStyle name="Normal 2 2 2 2 2 2 2 2 6 2 4" xfId="17882" xr:uid="{00000000-0005-0000-0000-000002490000}"/>
    <cellStyle name="Normal 2 2 2 2 2 2 2 2 6 2 5" xfId="17883" xr:uid="{00000000-0005-0000-0000-000003490000}"/>
    <cellStyle name="Normal 2 2 2 2 2 2 2 2 6 2 6" xfId="17884" xr:uid="{00000000-0005-0000-0000-000004490000}"/>
    <cellStyle name="Normal 2 2 2 2 2 2 2 2 6 3" xfId="17885" xr:uid="{00000000-0005-0000-0000-000005490000}"/>
    <cellStyle name="Normal 2 2 2 2 2 2 2 2 6 3 2" xfId="17886" xr:uid="{00000000-0005-0000-0000-000006490000}"/>
    <cellStyle name="Normal 2 2 2 2 2 2 2 2 6 3 3" xfId="17887" xr:uid="{00000000-0005-0000-0000-000007490000}"/>
    <cellStyle name="Normal 2 2 2 2 2 2 2 2 6 3 4" xfId="17888" xr:uid="{00000000-0005-0000-0000-000008490000}"/>
    <cellStyle name="Normal 2 2 2 2 2 2 2 2 6 3 5" xfId="17889" xr:uid="{00000000-0005-0000-0000-000009490000}"/>
    <cellStyle name="Normal 2 2 2 2 2 2 2 2 6 3 6" xfId="17890" xr:uid="{00000000-0005-0000-0000-00000A490000}"/>
    <cellStyle name="Normal 2 2 2 2 2 2 2 2 6 4" xfId="17891" xr:uid="{00000000-0005-0000-0000-00000B490000}"/>
    <cellStyle name="Normal 2 2 2 2 2 2 2 2 6 4 2" xfId="17892" xr:uid="{00000000-0005-0000-0000-00000C490000}"/>
    <cellStyle name="Normal 2 2 2 2 2 2 2 2 6 4 3" xfId="17893" xr:uid="{00000000-0005-0000-0000-00000D490000}"/>
    <cellStyle name="Normal 2 2 2 2 2 2 2 2 6 4 4" xfId="17894" xr:uid="{00000000-0005-0000-0000-00000E490000}"/>
    <cellStyle name="Normal 2 2 2 2 2 2 2 2 6 4 5" xfId="17895" xr:uid="{00000000-0005-0000-0000-00000F490000}"/>
    <cellStyle name="Normal 2 2 2 2 2 2 2 2 6 4 6" xfId="17896" xr:uid="{00000000-0005-0000-0000-000010490000}"/>
    <cellStyle name="Normal 2 2 2 2 2 2 2 2 6 5" xfId="17897" xr:uid="{00000000-0005-0000-0000-000011490000}"/>
    <cellStyle name="Normal 2 2 2 2 2 2 2 2 6 5 2" xfId="17898" xr:uid="{00000000-0005-0000-0000-000012490000}"/>
    <cellStyle name="Normal 2 2 2 2 2 2 2 2 6 5 3" xfId="17899" xr:uid="{00000000-0005-0000-0000-000013490000}"/>
    <cellStyle name="Normal 2 2 2 2 2 2 2 2 6 5 4" xfId="17900" xr:uid="{00000000-0005-0000-0000-000014490000}"/>
    <cellStyle name="Normal 2 2 2 2 2 2 2 2 6 5 5" xfId="17901" xr:uid="{00000000-0005-0000-0000-000015490000}"/>
    <cellStyle name="Normal 2 2 2 2 2 2 2 2 6 5 6" xfId="17902" xr:uid="{00000000-0005-0000-0000-000016490000}"/>
    <cellStyle name="Normal 2 2 2 2 2 2 2 2 6 6" xfId="17903" xr:uid="{00000000-0005-0000-0000-000017490000}"/>
    <cellStyle name="Normal 2 2 2 2 2 2 2 2 6 6 2" xfId="17904" xr:uid="{00000000-0005-0000-0000-000018490000}"/>
    <cellStyle name="Normal 2 2 2 2 2 2 2 2 6 6 3" xfId="17905" xr:uid="{00000000-0005-0000-0000-000019490000}"/>
    <cellStyle name="Normal 2 2 2 2 2 2 2 2 6 6 4" xfId="17906" xr:uid="{00000000-0005-0000-0000-00001A490000}"/>
    <cellStyle name="Normal 2 2 2 2 2 2 2 2 6 6 5" xfId="17907" xr:uid="{00000000-0005-0000-0000-00001B490000}"/>
    <cellStyle name="Normal 2 2 2 2 2 2 2 2 6 6 6" xfId="17908" xr:uid="{00000000-0005-0000-0000-00001C490000}"/>
    <cellStyle name="Normal 2 2 2 2 2 2 2 2 6 7" xfId="17909" xr:uid="{00000000-0005-0000-0000-00001D490000}"/>
    <cellStyle name="Normal 2 2 2 2 2 2 2 2 6 7 2" xfId="17910" xr:uid="{00000000-0005-0000-0000-00001E490000}"/>
    <cellStyle name="Normal 2 2 2 2 2 2 2 2 6 7 3" xfId="17911" xr:uid="{00000000-0005-0000-0000-00001F490000}"/>
    <cellStyle name="Normal 2 2 2 2 2 2 2 2 6 7 4" xfId="17912" xr:uid="{00000000-0005-0000-0000-000020490000}"/>
    <cellStyle name="Normal 2 2 2 2 2 2 2 2 6 7 5" xfId="17913" xr:uid="{00000000-0005-0000-0000-000021490000}"/>
    <cellStyle name="Normal 2 2 2 2 2 2 2 2 6 7 6" xfId="17914" xr:uid="{00000000-0005-0000-0000-000022490000}"/>
    <cellStyle name="Normal 2 2 2 2 2 2 2 2 6 8" xfId="17915" xr:uid="{00000000-0005-0000-0000-000023490000}"/>
    <cellStyle name="Normal 2 2 2 2 2 2 2 2 6 8 2" xfId="17916" xr:uid="{00000000-0005-0000-0000-000024490000}"/>
    <cellStyle name="Normal 2 2 2 2 2 2 2 2 6 8 3" xfId="17917" xr:uid="{00000000-0005-0000-0000-000025490000}"/>
    <cellStyle name="Normal 2 2 2 2 2 2 2 2 6 8 4" xfId="17918" xr:uid="{00000000-0005-0000-0000-000026490000}"/>
    <cellStyle name="Normal 2 2 2 2 2 2 2 2 6 8 5" xfId="17919" xr:uid="{00000000-0005-0000-0000-000027490000}"/>
    <cellStyle name="Normal 2 2 2 2 2 2 2 2 6 8 6" xfId="17920" xr:uid="{00000000-0005-0000-0000-000028490000}"/>
    <cellStyle name="Normal 2 2 2 2 2 2 2 2 6 9" xfId="17921" xr:uid="{00000000-0005-0000-0000-000029490000}"/>
    <cellStyle name="Normal 2 2 2 2 2 2 2 2 60" xfId="17922" xr:uid="{00000000-0005-0000-0000-00002A490000}"/>
    <cellStyle name="Normal 2 2 2 2 2 2 2 2 61" xfId="17923" xr:uid="{00000000-0005-0000-0000-00002B490000}"/>
    <cellStyle name="Normal 2 2 2 2 2 2 2 2 62" xfId="17924" xr:uid="{00000000-0005-0000-0000-00002C490000}"/>
    <cellStyle name="Normal 2 2 2 2 2 2 2 2 63" xfId="17925" xr:uid="{00000000-0005-0000-0000-00002D490000}"/>
    <cellStyle name="Normal 2 2 2 2 2 2 2 2 7" xfId="17926" xr:uid="{00000000-0005-0000-0000-00002E490000}"/>
    <cellStyle name="Normal 2 2 2 2 2 2 2 2 7 10" xfId="17927" xr:uid="{00000000-0005-0000-0000-00002F490000}"/>
    <cellStyle name="Normal 2 2 2 2 2 2 2 2 7 11" xfId="17928" xr:uid="{00000000-0005-0000-0000-000030490000}"/>
    <cellStyle name="Normal 2 2 2 2 2 2 2 2 7 12" xfId="17929" xr:uid="{00000000-0005-0000-0000-000031490000}"/>
    <cellStyle name="Normal 2 2 2 2 2 2 2 2 7 13" xfId="17930" xr:uid="{00000000-0005-0000-0000-000032490000}"/>
    <cellStyle name="Normal 2 2 2 2 2 2 2 2 7 2" xfId="17931" xr:uid="{00000000-0005-0000-0000-000033490000}"/>
    <cellStyle name="Normal 2 2 2 2 2 2 2 2 7 2 2" xfId="17932" xr:uid="{00000000-0005-0000-0000-000034490000}"/>
    <cellStyle name="Normal 2 2 2 2 2 2 2 2 7 2 3" xfId="17933" xr:uid="{00000000-0005-0000-0000-000035490000}"/>
    <cellStyle name="Normal 2 2 2 2 2 2 2 2 7 2 4" xfId="17934" xr:uid="{00000000-0005-0000-0000-000036490000}"/>
    <cellStyle name="Normal 2 2 2 2 2 2 2 2 7 2 5" xfId="17935" xr:uid="{00000000-0005-0000-0000-000037490000}"/>
    <cellStyle name="Normal 2 2 2 2 2 2 2 2 7 2 6" xfId="17936" xr:uid="{00000000-0005-0000-0000-000038490000}"/>
    <cellStyle name="Normal 2 2 2 2 2 2 2 2 7 3" xfId="17937" xr:uid="{00000000-0005-0000-0000-000039490000}"/>
    <cellStyle name="Normal 2 2 2 2 2 2 2 2 7 3 2" xfId="17938" xr:uid="{00000000-0005-0000-0000-00003A490000}"/>
    <cellStyle name="Normal 2 2 2 2 2 2 2 2 7 3 3" xfId="17939" xr:uid="{00000000-0005-0000-0000-00003B490000}"/>
    <cellStyle name="Normal 2 2 2 2 2 2 2 2 7 3 4" xfId="17940" xr:uid="{00000000-0005-0000-0000-00003C490000}"/>
    <cellStyle name="Normal 2 2 2 2 2 2 2 2 7 3 5" xfId="17941" xr:uid="{00000000-0005-0000-0000-00003D490000}"/>
    <cellStyle name="Normal 2 2 2 2 2 2 2 2 7 3 6" xfId="17942" xr:uid="{00000000-0005-0000-0000-00003E490000}"/>
    <cellStyle name="Normal 2 2 2 2 2 2 2 2 7 4" xfId="17943" xr:uid="{00000000-0005-0000-0000-00003F490000}"/>
    <cellStyle name="Normal 2 2 2 2 2 2 2 2 7 4 2" xfId="17944" xr:uid="{00000000-0005-0000-0000-000040490000}"/>
    <cellStyle name="Normal 2 2 2 2 2 2 2 2 7 4 3" xfId="17945" xr:uid="{00000000-0005-0000-0000-000041490000}"/>
    <cellStyle name="Normal 2 2 2 2 2 2 2 2 7 4 4" xfId="17946" xr:uid="{00000000-0005-0000-0000-000042490000}"/>
    <cellStyle name="Normal 2 2 2 2 2 2 2 2 7 4 5" xfId="17947" xr:uid="{00000000-0005-0000-0000-000043490000}"/>
    <cellStyle name="Normal 2 2 2 2 2 2 2 2 7 4 6" xfId="17948" xr:uid="{00000000-0005-0000-0000-000044490000}"/>
    <cellStyle name="Normal 2 2 2 2 2 2 2 2 7 5" xfId="17949" xr:uid="{00000000-0005-0000-0000-000045490000}"/>
    <cellStyle name="Normal 2 2 2 2 2 2 2 2 7 5 2" xfId="17950" xr:uid="{00000000-0005-0000-0000-000046490000}"/>
    <cellStyle name="Normal 2 2 2 2 2 2 2 2 7 5 3" xfId="17951" xr:uid="{00000000-0005-0000-0000-000047490000}"/>
    <cellStyle name="Normal 2 2 2 2 2 2 2 2 7 5 4" xfId="17952" xr:uid="{00000000-0005-0000-0000-000048490000}"/>
    <cellStyle name="Normal 2 2 2 2 2 2 2 2 7 5 5" xfId="17953" xr:uid="{00000000-0005-0000-0000-000049490000}"/>
    <cellStyle name="Normal 2 2 2 2 2 2 2 2 7 5 6" xfId="17954" xr:uid="{00000000-0005-0000-0000-00004A490000}"/>
    <cellStyle name="Normal 2 2 2 2 2 2 2 2 7 6" xfId="17955" xr:uid="{00000000-0005-0000-0000-00004B490000}"/>
    <cellStyle name="Normal 2 2 2 2 2 2 2 2 7 6 2" xfId="17956" xr:uid="{00000000-0005-0000-0000-00004C490000}"/>
    <cellStyle name="Normal 2 2 2 2 2 2 2 2 7 6 3" xfId="17957" xr:uid="{00000000-0005-0000-0000-00004D490000}"/>
    <cellStyle name="Normal 2 2 2 2 2 2 2 2 7 6 4" xfId="17958" xr:uid="{00000000-0005-0000-0000-00004E490000}"/>
    <cellStyle name="Normal 2 2 2 2 2 2 2 2 7 6 5" xfId="17959" xr:uid="{00000000-0005-0000-0000-00004F490000}"/>
    <cellStyle name="Normal 2 2 2 2 2 2 2 2 7 6 6" xfId="17960" xr:uid="{00000000-0005-0000-0000-000050490000}"/>
    <cellStyle name="Normal 2 2 2 2 2 2 2 2 7 7" xfId="17961" xr:uid="{00000000-0005-0000-0000-000051490000}"/>
    <cellStyle name="Normal 2 2 2 2 2 2 2 2 7 7 2" xfId="17962" xr:uid="{00000000-0005-0000-0000-000052490000}"/>
    <cellStyle name="Normal 2 2 2 2 2 2 2 2 7 7 3" xfId="17963" xr:uid="{00000000-0005-0000-0000-000053490000}"/>
    <cellStyle name="Normal 2 2 2 2 2 2 2 2 7 7 4" xfId="17964" xr:uid="{00000000-0005-0000-0000-000054490000}"/>
    <cellStyle name="Normal 2 2 2 2 2 2 2 2 7 7 5" xfId="17965" xr:uid="{00000000-0005-0000-0000-000055490000}"/>
    <cellStyle name="Normal 2 2 2 2 2 2 2 2 7 7 6" xfId="17966" xr:uid="{00000000-0005-0000-0000-000056490000}"/>
    <cellStyle name="Normal 2 2 2 2 2 2 2 2 7 8" xfId="17967" xr:uid="{00000000-0005-0000-0000-000057490000}"/>
    <cellStyle name="Normal 2 2 2 2 2 2 2 2 7 8 2" xfId="17968" xr:uid="{00000000-0005-0000-0000-000058490000}"/>
    <cellStyle name="Normal 2 2 2 2 2 2 2 2 7 8 3" xfId="17969" xr:uid="{00000000-0005-0000-0000-000059490000}"/>
    <cellStyle name="Normal 2 2 2 2 2 2 2 2 7 8 4" xfId="17970" xr:uid="{00000000-0005-0000-0000-00005A490000}"/>
    <cellStyle name="Normal 2 2 2 2 2 2 2 2 7 8 5" xfId="17971" xr:uid="{00000000-0005-0000-0000-00005B490000}"/>
    <cellStyle name="Normal 2 2 2 2 2 2 2 2 7 8 6" xfId="17972" xr:uid="{00000000-0005-0000-0000-00005C490000}"/>
    <cellStyle name="Normal 2 2 2 2 2 2 2 2 7 9" xfId="17973" xr:uid="{00000000-0005-0000-0000-00005D490000}"/>
    <cellStyle name="Normal 2 2 2 2 2 2 2 2 8" xfId="17974" xr:uid="{00000000-0005-0000-0000-00005E490000}"/>
    <cellStyle name="Normal 2 2 2 2 2 2 2 2 8 10" xfId="17975" xr:uid="{00000000-0005-0000-0000-00005F490000}"/>
    <cellStyle name="Normal 2 2 2 2 2 2 2 2 8 11" xfId="17976" xr:uid="{00000000-0005-0000-0000-000060490000}"/>
    <cellStyle name="Normal 2 2 2 2 2 2 2 2 8 12" xfId="17977" xr:uid="{00000000-0005-0000-0000-000061490000}"/>
    <cellStyle name="Normal 2 2 2 2 2 2 2 2 8 13" xfId="17978" xr:uid="{00000000-0005-0000-0000-000062490000}"/>
    <cellStyle name="Normal 2 2 2 2 2 2 2 2 8 2" xfId="17979" xr:uid="{00000000-0005-0000-0000-000063490000}"/>
    <cellStyle name="Normal 2 2 2 2 2 2 2 2 8 2 2" xfId="17980" xr:uid="{00000000-0005-0000-0000-000064490000}"/>
    <cellStyle name="Normal 2 2 2 2 2 2 2 2 8 2 3" xfId="17981" xr:uid="{00000000-0005-0000-0000-000065490000}"/>
    <cellStyle name="Normal 2 2 2 2 2 2 2 2 8 2 4" xfId="17982" xr:uid="{00000000-0005-0000-0000-000066490000}"/>
    <cellStyle name="Normal 2 2 2 2 2 2 2 2 8 2 5" xfId="17983" xr:uid="{00000000-0005-0000-0000-000067490000}"/>
    <cellStyle name="Normal 2 2 2 2 2 2 2 2 8 2 6" xfId="17984" xr:uid="{00000000-0005-0000-0000-000068490000}"/>
    <cellStyle name="Normal 2 2 2 2 2 2 2 2 8 3" xfId="17985" xr:uid="{00000000-0005-0000-0000-000069490000}"/>
    <cellStyle name="Normal 2 2 2 2 2 2 2 2 8 3 2" xfId="17986" xr:uid="{00000000-0005-0000-0000-00006A490000}"/>
    <cellStyle name="Normal 2 2 2 2 2 2 2 2 8 3 3" xfId="17987" xr:uid="{00000000-0005-0000-0000-00006B490000}"/>
    <cellStyle name="Normal 2 2 2 2 2 2 2 2 8 3 4" xfId="17988" xr:uid="{00000000-0005-0000-0000-00006C490000}"/>
    <cellStyle name="Normal 2 2 2 2 2 2 2 2 8 3 5" xfId="17989" xr:uid="{00000000-0005-0000-0000-00006D490000}"/>
    <cellStyle name="Normal 2 2 2 2 2 2 2 2 8 3 6" xfId="17990" xr:uid="{00000000-0005-0000-0000-00006E490000}"/>
    <cellStyle name="Normal 2 2 2 2 2 2 2 2 8 4" xfId="17991" xr:uid="{00000000-0005-0000-0000-00006F490000}"/>
    <cellStyle name="Normal 2 2 2 2 2 2 2 2 8 4 2" xfId="17992" xr:uid="{00000000-0005-0000-0000-000070490000}"/>
    <cellStyle name="Normal 2 2 2 2 2 2 2 2 8 4 3" xfId="17993" xr:uid="{00000000-0005-0000-0000-000071490000}"/>
    <cellStyle name="Normal 2 2 2 2 2 2 2 2 8 4 4" xfId="17994" xr:uid="{00000000-0005-0000-0000-000072490000}"/>
    <cellStyle name="Normal 2 2 2 2 2 2 2 2 8 4 5" xfId="17995" xr:uid="{00000000-0005-0000-0000-000073490000}"/>
    <cellStyle name="Normal 2 2 2 2 2 2 2 2 8 4 6" xfId="17996" xr:uid="{00000000-0005-0000-0000-000074490000}"/>
    <cellStyle name="Normal 2 2 2 2 2 2 2 2 8 5" xfId="17997" xr:uid="{00000000-0005-0000-0000-000075490000}"/>
    <cellStyle name="Normal 2 2 2 2 2 2 2 2 8 5 2" xfId="17998" xr:uid="{00000000-0005-0000-0000-000076490000}"/>
    <cellStyle name="Normal 2 2 2 2 2 2 2 2 8 5 3" xfId="17999" xr:uid="{00000000-0005-0000-0000-000077490000}"/>
    <cellStyle name="Normal 2 2 2 2 2 2 2 2 8 5 4" xfId="18000" xr:uid="{00000000-0005-0000-0000-000078490000}"/>
    <cellStyle name="Normal 2 2 2 2 2 2 2 2 8 5 5" xfId="18001" xr:uid="{00000000-0005-0000-0000-000079490000}"/>
    <cellStyle name="Normal 2 2 2 2 2 2 2 2 8 5 6" xfId="18002" xr:uid="{00000000-0005-0000-0000-00007A490000}"/>
    <cellStyle name="Normal 2 2 2 2 2 2 2 2 8 6" xfId="18003" xr:uid="{00000000-0005-0000-0000-00007B490000}"/>
    <cellStyle name="Normal 2 2 2 2 2 2 2 2 8 6 2" xfId="18004" xr:uid="{00000000-0005-0000-0000-00007C490000}"/>
    <cellStyle name="Normal 2 2 2 2 2 2 2 2 8 6 3" xfId="18005" xr:uid="{00000000-0005-0000-0000-00007D490000}"/>
    <cellStyle name="Normal 2 2 2 2 2 2 2 2 8 6 4" xfId="18006" xr:uid="{00000000-0005-0000-0000-00007E490000}"/>
    <cellStyle name="Normal 2 2 2 2 2 2 2 2 8 6 5" xfId="18007" xr:uid="{00000000-0005-0000-0000-00007F490000}"/>
    <cellStyle name="Normal 2 2 2 2 2 2 2 2 8 6 6" xfId="18008" xr:uid="{00000000-0005-0000-0000-000080490000}"/>
    <cellStyle name="Normal 2 2 2 2 2 2 2 2 8 7" xfId="18009" xr:uid="{00000000-0005-0000-0000-000081490000}"/>
    <cellStyle name="Normal 2 2 2 2 2 2 2 2 8 7 2" xfId="18010" xr:uid="{00000000-0005-0000-0000-000082490000}"/>
    <cellStyle name="Normal 2 2 2 2 2 2 2 2 8 7 3" xfId="18011" xr:uid="{00000000-0005-0000-0000-000083490000}"/>
    <cellStyle name="Normal 2 2 2 2 2 2 2 2 8 7 4" xfId="18012" xr:uid="{00000000-0005-0000-0000-000084490000}"/>
    <cellStyle name="Normal 2 2 2 2 2 2 2 2 8 7 5" xfId="18013" xr:uid="{00000000-0005-0000-0000-000085490000}"/>
    <cellStyle name="Normal 2 2 2 2 2 2 2 2 8 7 6" xfId="18014" xr:uid="{00000000-0005-0000-0000-000086490000}"/>
    <cellStyle name="Normal 2 2 2 2 2 2 2 2 8 8" xfId="18015" xr:uid="{00000000-0005-0000-0000-000087490000}"/>
    <cellStyle name="Normal 2 2 2 2 2 2 2 2 8 8 2" xfId="18016" xr:uid="{00000000-0005-0000-0000-000088490000}"/>
    <cellStyle name="Normal 2 2 2 2 2 2 2 2 8 8 3" xfId="18017" xr:uid="{00000000-0005-0000-0000-000089490000}"/>
    <cellStyle name="Normal 2 2 2 2 2 2 2 2 8 8 4" xfId="18018" xr:uid="{00000000-0005-0000-0000-00008A490000}"/>
    <cellStyle name="Normal 2 2 2 2 2 2 2 2 8 8 5" xfId="18019" xr:uid="{00000000-0005-0000-0000-00008B490000}"/>
    <cellStyle name="Normal 2 2 2 2 2 2 2 2 8 8 6" xfId="18020" xr:uid="{00000000-0005-0000-0000-00008C490000}"/>
    <cellStyle name="Normal 2 2 2 2 2 2 2 2 8 9" xfId="18021" xr:uid="{00000000-0005-0000-0000-00008D490000}"/>
    <cellStyle name="Normal 2 2 2 2 2 2 2 2 9" xfId="18022" xr:uid="{00000000-0005-0000-0000-00008E490000}"/>
    <cellStyle name="Normal 2 2 2 2 2 2 2 2 9 10" xfId="18023" xr:uid="{00000000-0005-0000-0000-00008F490000}"/>
    <cellStyle name="Normal 2 2 2 2 2 2 2 2 9 11" xfId="18024" xr:uid="{00000000-0005-0000-0000-000090490000}"/>
    <cellStyle name="Normal 2 2 2 2 2 2 2 2 9 12" xfId="18025" xr:uid="{00000000-0005-0000-0000-000091490000}"/>
    <cellStyle name="Normal 2 2 2 2 2 2 2 2 9 13" xfId="18026" xr:uid="{00000000-0005-0000-0000-000092490000}"/>
    <cellStyle name="Normal 2 2 2 2 2 2 2 2 9 2" xfId="18027" xr:uid="{00000000-0005-0000-0000-000093490000}"/>
    <cellStyle name="Normal 2 2 2 2 2 2 2 2 9 2 2" xfId="18028" xr:uid="{00000000-0005-0000-0000-000094490000}"/>
    <cellStyle name="Normal 2 2 2 2 2 2 2 2 9 2 3" xfId="18029" xr:uid="{00000000-0005-0000-0000-000095490000}"/>
    <cellStyle name="Normal 2 2 2 2 2 2 2 2 9 2 4" xfId="18030" xr:uid="{00000000-0005-0000-0000-000096490000}"/>
    <cellStyle name="Normal 2 2 2 2 2 2 2 2 9 2 5" xfId="18031" xr:uid="{00000000-0005-0000-0000-000097490000}"/>
    <cellStyle name="Normal 2 2 2 2 2 2 2 2 9 2 6" xfId="18032" xr:uid="{00000000-0005-0000-0000-000098490000}"/>
    <cellStyle name="Normal 2 2 2 2 2 2 2 2 9 3" xfId="18033" xr:uid="{00000000-0005-0000-0000-000099490000}"/>
    <cellStyle name="Normal 2 2 2 2 2 2 2 2 9 3 2" xfId="18034" xr:uid="{00000000-0005-0000-0000-00009A490000}"/>
    <cellStyle name="Normal 2 2 2 2 2 2 2 2 9 3 3" xfId="18035" xr:uid="{00000000-0005-0000-0000-00009B490000}"/>
    <cellStyle name="Normal 2 2 2 2 2 2 2 2 9 3 4" xfId="18036" xr:uid="{00000000-0005-0000-0000-00009C490000}"/>
    <cellStyle name="Normal 2 2 2 2 2 2 2 2 9 3 5" xfId="18037" xr:uid="{00000000-0005-0000-0000-00009D490000}"/>
    <cellStyle name="Normal 2 2 2 2 2 2 2 2 9 3 6" xfId="18038" xr:uid="{00000000-0005-0000-0000-00009E490000}"/>
    <cellStyle name="Normal 2 2 2 2 2 2 2 2 9 4" xfId="18039" xr:uid="{00000000-0005-0000-0000-00009F490000}"/>
    <cellStyle name="Normal 2 2 2 2 2 2 2 2 9 4 2" xfId="18040" xr:uid="{00000000-0005-0000-0000-0000A0490000}"/>
    <cellStyle name="Normal 2 2 2 2 2 2 2 2 9 4 3" xfId="18041" xr:uid="{00000000-0005-0000-0000-0000A1490000}"/>
    <cellStyle name="Normal 2 2 2 2 2 2 2 2 9 4 4" xfId="18042" xr:uid="{00000000-0005-0000-0000-0000A2490000}"/>
    <cellStyle name="Normal 2 2 2 2 2 2 2 2 9 4 5" xfId="18043" xr:uid="{00000000-0005-0000-0000-0000A3490000}"/>
    <cellStyle name="Normal 2 2 2 2 2 2 2 2 9 4 6" xfId="18044" xr:uid="{00000000-0005-0000-0000-0000A4490000}"/>
    <cellStyle name="Normal 2 2 2 2 2 2 2 2 9 5" xfId="18045" xr:uid="{00000000-0005-0000-0000-0000A5490000}"/>
    <cellStyle name="Normal 2 2 2 2 2 2 2 2 9 5 2" xfId="18046" xr:uid="{00000000-0005-0000-0000-0000A6490000}"/>
    <cellStyle name="Normal 2 2 2 2 2 2 2 2 9 5 3" xfId="18047" xr:uid="{00000000-0005-0000-0000-0000A7490000}"/>
    <cellStyle name="Normal 2 2 2 2 2 2 2 2 9 5 4" xfId="18048" xr:uid="{00000000-0005-0000-0000-0000A8490000}"/>
    <cellStyle name="Normal 2 2 2 2 2 2 2 2 9 5 5" xfId="18049" xr:uid="{00000000-0005-0000-0000-0000A9490000}"/>
    <cellStyle name="Normal 2 2 2 2 2 2 2 2 9 5 6" xfId="18050" xr:uid="{00000000-0005-0000-0000-0000AA490000}"/>
    <cellStyle name="Normal 2 2 2 2 2 2 2 2 9 6" xfId="18051" xr:uid="{00000000-0005-0000-0000-0000AB490000}"/>
    <cellStyle name="Normal 2 2 2 2 2 2 2 2 9 6 2" xfId="18052" xr:uid="{00000000-0005-0000-0000-0000AC490000}"/>
    <cellStyle name="Normal 2 2 2 2 2 2 2 2 9 6 3" xfId="18053" xr:uid="{00000000-0005-0000-0000-0000AD490000}"/>
    <cellStyle name="Normal 2 2 2 2 2 2 2 2 9 6 4" xfId="18054" xr:uid="{00000000-0005-0000-0000-0000AE490000}"/>
    <cellStyle name="Normal 2 2 2 2 2 2 2 2 9 6 5" xfId="18055" xr:uid="{00000000-0005-0000-0000-0000AF490000}"/>
    <cellStyle name="Normal 2 2 2 2 2 2 2 2 9 6 6" xfId="18056" xr:uid="{00000000-0005-0000-0000-0000B0490000}"/>
    <cellStyle name="Normal 2 2 2 2 2 2 2 2 9 7" xfId="18057" xr:uid="{00000000-0005-0000-0000-0000B1490000}"/>
    <cellStyle name="Normal 2 2 2 2 2 2 2 2 9 7 2" xfId="18058" xr:uid="{00000000-0005-0000-0000-0000B2490000}"/>
    <cellStyle name="Normal 2 2 2 2 2 2 2 2 9 7 3" xfId="18059" xr:uid="{00000000-0005-0000-0000-0000B3490000}"/>
    <cellStyle name="Normal 2 2 2 2 2 2 2 2 9 7 4" xfId="18060" xr:uid="{00000000-0005-0000-0000-0000B4490000}"/>
    <cellStyle name="Normal 2 2 2 2 2 2 2 2 9 7 5" xfId="18061" xr:uid="{00000000-0005-0000-0000-0000B5490000}"/>
    <cellStyle name="Normal 2 2 2 2 2 2 2 2 9 7 6" xfId="18062" xr:uid="{00000000-0005-0000-0000-0000B6490000}"/>
    <cellStyle name="Normal 2 2 2 2 2 2 2 2 9 8" xfId="18063" xr:uid="{00000000-0005-0000-0000-0000B7490000}"/>
    <cellStyle name="Normal 2 2 2 2 2 2 2 2 9 8 2" xfId="18064" xr:uid="{00000000-0005-0000-0000-0000B8490000}"/>
    <cellStyle name="Normal 2 2 2 2 2 2 2 2 9 8 3" xfId="18065" xr:uid="{00000000-0005-0000-0000-0000B9490000}"/>
    <cellStyle name="Normal 2 2 2 2 2 2 2 2 9 8 4" xfId="18066" xr:uid="{00000000-0005-0000-0000-0000BA490000}"/>
    <cellStyle name="Normal 2 2 2 2 2 2 2 2 9 8 5" xfId="18067" xr:uid="{00000000-0005-0000-0000-0000BB490000}"/>
    <cellStyle name="Normal 2 2 2 2 2 2 2 2 9 8 6" xfId="18068" xr:uid="{00000000-0005-0000-0000-0000BC490000}"/>
    <cellStyle name="Normal 2 2 2 2 2 2 2 2 9 9" xfId="18069" xr:uid="{00000000-0005-0000-0000-0000BD490000}"/>
    <cellStyle name="Normal 2 2 2 2 2 2 2 20" xfId="18070" xr:uid="{00000000-0005-0000-0000-0000BE490000}"/>
    <cellStyle name="Normal 2 2 2 2 2 2 2 21" xfId="18071" xr:uid="{00000000-0005-0000-0000-0000BF490000}"/>
    <cellStyle name="Normal 2 2 2 2 2 2 2 22" xfId="18072" xr:uid="{00000000-0005-0000-0000-0000C0490000}"/>
    <cellStyle name="Normal 2 2 2 2 2 2 2 23" xfId="18073" xr:uid="{00000000-0005-0000-0000-0000C1490000}"/>
    <cellStyle name="Normal 2 2 2 2 2 2 2 23 2" xfId="18074" xr:uid="{00000000-0005-0000-0000-0000C2490000}"/>
    <cellStyle name="Normal 2 2 2 2 2 2 2 23 2 2" xfId="18075" xr:uid="{00000000-0005-0000-0000-0000C3490000}"/>
    <cellStyle name="Normal 2 2 2 2 2 2 2 23 2 3" xfId="18076" xr:uid="{00000000-0005-0000-0000-0000C4490000}"/>
    <cellStyle name="Normal 2 2 2 2 2 2 2 23 2 4" xfId="18077" xr:uid="{00000000-0005-0000-0000-0000C5490000}"/>
    <cellStyle name="Normal 2 2 2 2 2 2 2 23 2 5" xfId="18078" xr:uid="{00000000-0005-0000-0000-0000C6490000}"/>
    <cellStyle name="Normal 2 2 2 2 2 2 2 23 2 6" xfId="18079" xr:uid="{00000000-0005-0000-0000-0000C7490000}"/>
    <cellStyle name="Normal 2 2 2 2 2 2 2 23 3" xfId="18080" xr:uid="{00000000-0005-0000-0000-0000C8490000}"/>
    <cellStyle name="Normal 2 2 2 2 2 2 2 23 3 2" xfId="18081" xr:uid="{00000000-0005-0000-0000-0000C9490000}"/>
    <cellStyle name="Normal 2 2 2 2 2 2 2 23 3 3" xfId="18082" xr:uid="{00000000-0005-0000-0000-0000CA490000}"/>
    <cellStyle name="Normal 2 2 2 2 2 2 2 23 3 4" xfId="18083" xr:uid="{00000000-0005-0000-0000-0000CB490000}"/>
    <cellStyle name="Normal 2 2 2 2 2 2 2 23 3 5" xfId="18084" xr:uid="{00000000-0005-0000-0000-0000CC490000}"/>
    <cellStyle name="Normal 2 2 2 2 2 2 2 23 3 6" xfId="18085" xr:uid="{00000000-0005-0000-0000-0000CD490000}"/>
    <cellStyle name="Normal 2 2 2 2 2 2 2 23 4" xfId="18086" xr:uid="{00000000-0005-0000-0000-0000CE490000}"/>
    <cellStyle name="Normal 2 2 2 2 2 2 2 23 4 2" xfId="18087" xr:uid="{00000000-0005-0000-0000-0000CF490000}"/>
    <cellStyle name="Normal 2 2 2 2 2 2 2 23 4 3" xfId="18088" xr:uid="{00000000-0005-0000-0000-0000D0490000}"/>
    <cellStyle name="Normal 2 2 2 2 2 2 2 23 4 4" xfId="18089" xr:uid="{00000000-0005-0000-0000-0000D1490000}"/>
    <cellStyle name="Normal 2 2 2 2 2 2 2 23 4 5" xfId="18090" xr:uid="{00000000-0005-0000-0000-0000D2490000}"/>
    <cellStyle name="Normal 2 2 2 2 2 2 2 23 4 6" xfId="18091" xr:uid="{00000000-0005-0000-0000-0000D3490000}"/>
    <cellStyle name="Normal 2 2 2 2 2 2 2 23 5" xfId="18092" xr:uid="{00000000-0005-0000-0000-0000D4490000}"/>
    <cellStyle name="Normal 2 2 2 2 2 2 2 23 5 2" xfId="18093" xr:uid="{00000000-0005-0000-0000-0000D5490000}"/>
    <cellStyle name="Normal 2 2 2 2 2 2 2 23 5 3" xfId="18094" xr:uid="{00000000-0005-0000-0000-0000D6490000}"/>
    <cellStyle name="Normal 2 2 2 2 2 2 2 23 5 4" xfId="18095" xr:uid="{00000000-0005-0000-0000-0000D7490000}"/>
    <cellStyle name="Normal 2 2 2 2 2 2 2 23 5 5" xfId="18096" xr:uid="{00000000-0005-0000-0000-0000D8490000}"/>
    <cellStyle name="Normal 2 2 2 2 2 2 2 23 5 6" xfId="18097" xr:uid="{00000000-0005-0000-0000-0000D9490000}"/>
    <cellStyle name="Normal 2 2 2 2 2 2 2 23 6" xfId="18098" xr:uid="{00000000-0005-0000-0000-0000DA490000}"/>
    <cellStyle name="Normal 2 2 2 2 2 2 2 23 6 2" xfId="18099" xr:uid="{00000000-0005-0000-0000-0000DB490000}"/>
    <cellStyle name="Normal 2 2 2 2 2 2 2 23 6 3" xfId="18100" xr:uid="{00000000-0005-0000-0000-0000DC490000}"/>
    <cellStyle name="Normal 2 2 2 2 2 2 2 23 6 4" xfId="18101" xr:uid="{00000000-0005-0000-0000-0000DD490000}"/>
    <cellStyle name="Normal 2 2 2 2 2 2 2 23 6 5" xfId="18102" xr:uid="{00000000-0005-0000-0000-0000DE490000}"/>
    <cellStyle name="Normal 2 2 2 2 2 2 2 23 6 6" xfId="18103" xr:uid="{00000000-0005-0000-0000-0000DF490000}"/>
    <cellStyle name="Normal 2 2 2 2 2 2 2 24" xfId="18104" xr:uid="{00000000-0005-0000-0000-0000E0490000}"/>
    <cellStyle name="Normal 2 2 2 2 2 2 2 24 2" xfId="18105" xr:uid="{00000000-0005-0000-0000-0000E1490000}"/>
    <cellStyle name="Normal 2 2 2 2 2 2 2 24 3" xfId="18106" xr:uid="{00000000-0005-0000-0000-0000E2490000}"/>
    <cellStyle name="Normal 2 2 2 2 2 2 2 24 4" xfId="18107" xr:uid="{00000000-0005-0000-0000-0000E3490000}"/>
    <cellStyle name="Normal 2 2 2 2 2 2 2 24 5" xfId="18108" xr:uid="{00000000-0005-0000-0000-0000E4490000}"/>
    <cellStyle name="Normal 2 2 2 2 2 2 2 24 6" xfId="18109" xr:uid="{00000000-0005-0000-0000-0000E5490000}"/>
    <cellStyle name="Normal 2 2 2 2 2 2 2 25" xfId="18110" xr:uid="{00000000-0005-0000-0000-0000E6490000}"/>
    <cellStyle name="Normal 2 2 2 2 2 2 2 25 2" xfId="18111" xr:uid="{00000000-0005-0000-0000-0000E7490000}"/>
    <cellStyle name="Normal 2 2 2 2 2 2 2 25 3" xfId="18112" xr:uid="{00000000-0005-0000-0000-0000E8490000}"/>
    <cellStyle name="Normal 2 2 2 2 2 2 2 25 4" xfId="18113" xr:uid="{00000000-0005-0000-0000-0000E9490000}"/>
    <cellStyle name="Normal 2 2 2 2 2 2 2 25 5" xfId="18114" xr:uid="{00000000-0005-0000-0000-0000EA490000}"/>
    <cellStyle name="Normal 2 2 2 2 2 2 2 25 6" xfId="18115" xr:uid="{00000000-0005-0000-0000-0000EB490000}"/>
    <cellStyle name="Normal 2 2 2 2 2 2 2 26" xfId="18116" xr:uid="{00000000-0005-0000-0000-0000EC490000}"/>
    <cellStyle name="Normal 2 2 2 2 2 2 2 26 2" xfId="18117" xr:uid="{00000000-0005-0000-0000-0000ED490000}"/>
    <cellStyle name="Normal 2 2 2 2 2 2 2 26 3" xfId="18118" xr:uid="{00000000-0005-0000-0000-0000EE490000}"/>
    <cellStyle name="Normal 2 2 2 2 2 2 2 26 4" xfId="18119" xr:uid="{00000000-0005-0000-0000-0000EF490000}"/>
    <cellStyle name="Normal 2 2 2 2 2 2 2 26 5" xfId="18120" xr:uid="{00000000-0005-0000-0000-0000F0490000}"/>
    <cellStyle name="Normal 2 2 2 2 2 2 2 26 6" xfId="18121" xr:uid="{00000000-0005-0000-0000-0000F1490000}"/>
    <cellStyle name="Normal 2 2 2 2 2 2 2 27" xfId="18122" xr:uid="{00000000-0005-0000-0000-0000F2490000}"/>
    <cellStyle name="Normal 2 2 2 2 2 2 2 27 2" xfId="18123" xr:uid="{00000000-0005-0000-0000-0000F3490000}"/>
    <cellStyle name="Normal 2 2 2 2 2 2 2 27 3" xfId="18124" xr:uid="{00000000-0005-0000-0000-0000F4490000}"/>
    <cellStyle name="Normal 2 2 2 2 2 2 2 27 4" xfId="18125" xr:uid="{00000000-0005-0000-0000-0000F5490000}"/>
    <cellStyle name="Normal 2 2 2 2 2 2 2 27 5" xfId="18126" xr:uid="{00000000-0005-0000-0000-0000F6490000}"/>
    <cellStyle name="Normal 2 2 2 2 2 2 2 27 6" xfId="18127" xr:uid="{00000000-0005-0000-0000-0000F7490000}"/>
    <cellStyle name="Normal 2 2 2 2 2 2 2 28" xfId="18128" xr:uid="{00000000-0005-0000-0000-0000F8490000}"/>
    <cellStyle name="Normal 2 2 2 2 2 2 2 28 2" xfId="18129" xr:uid="{00000000-0005-0000-0000-0000F9490000}"/>
    <cellStyle name="Normal 2 2 2 2 2 2 2 28 3" xfId="18130" xr:uid="{00000000-0005-0000-0000-0000FA490000}"/>
    <cellStyle name="Normal 2 2 2 2 2 2 2 28 4" xfId="18131" xr:uid="{00000000-0005-0000-0000-0000FB490000}"/>
    <cellStyle name="Normal 2 2 2 2 2 2 2 28 5" xfId="18132" xr:uid="{00000000-0005-0000-0000-0000FC490000}"/>
    <cellStyle name="Normal 2 2 2 2 2 2 2 28 6" xfId="18133" xr:uid="{00000000-0005-0000-0000-0000FD490000}"/>
    <cellStyle name="Normal 2 2 2 2 2 2 2 29" xfId="18134" xr:uid="{00000000-0005-0000-0000-0000FE490000}"/>
    <cellStyle name="Normal 2 2 2 2 2 2 2 29 2" xfId="18135" xr:uid="{00000000-0005-0000-0000-0000FF490000}"/>
    <cellStyle name="Normal 2 2 2 2 2 2 2 29 3" xfId="18136" xr:uid="{00000000-0005-0000-0000-0000004A0000}"/>
    <cellStyle name="Normal 2 2 2 2 2 2 2 29 4" xfId="18137" xr:uid="{00000000-0005-0000-0000-0000014A0000}"/>
    <cellStyle name="Normal 2 2 2 2 2 2 2 29 5" xfId="18138" xr:uid="{00000000-0005-0000-0000-0000024A0000}"/>
    <cellStyle name="Normal 2 2 2 2 2 2 2 29 6" xfId="18139" xr:uid="{00000000-0005-0000-0000-0000034A0000}"/>
    <cellStyle name="Normal 2 2 2 2 2 2 2 3" xfId="18140" xr:uid="{00000000-0005-0000-0000-0000044A0000}"/>
    <cellStyle name="Normal 2 2 2 2 2 2 2 3 10" xfId="18141" xr:uid="{00000000-0005-0000-0000-0000054A0000}"/>
    <cellStyle name="Normal 2 2 2 2 2 2 2 3 11" xfId="18142" xr:uid="{00000000-0005-0000-0000-0000064A0000}"/>
    <cellStyle name="Normal 2 2 2 2 2 2 2 3 12" xfId="18143" xr:uid="{00000000-0005-0000-0000-0000074A0000}"/>
    <cellStyle name="Normal 2 2 2 2 2 2 2 3 13" xfId="18144" xr:uid="{00000000-0005-0000-0000-0000084A0000}"/>
    <cellStyle name="Normal 2 2 2 2 2 2 2 3 2" xfId="18145" xr:uid="{00000000-0005-0000-0000-0000094A0000}"/>
    <cellStyle name="Normal 2 2 2 2 2 2 2 3 2 2" xfId="18146" xr:uid="{00000000-0005-0000-0000-00000A4A0000}"/>
    <cellStyle name="Normal 2 2 2 2 2 2 2 3 2 3" xfId="18147" xr:uid="{00000000-0005-0000-0000-00000B4A0000}"/>
    <cellStyle name="Normal 2 2 2 2 2 2 2 3 2 4" xfId="18148" xr:uid="{00000000-0005-0000-0000-00000C4A0000}"/>
    <cellStyle name="Normal 2 2 2 2 2 2 2 3 2 5" xfId="18149" xr:uid="{00000000-0005-0000-0000-00000D4A0000}"/>
    <cellStyle name="Normal 2 2 2 2 2 2 2 3 2 6" xfId="18150" xr:uid="{00000000-0005-0000-0000-00000E4A0000}"/>
    <cellStyle name="Normal 2 2 2 2 2 2 2 3 3" xfId="18151" xr:uid="{00000000-0005-0000-0000-00000F4A0000}"/>
    <cellStyle name="Normal 2 2 2 2 2 2 2 3 3 2" xfId="18152" xr:uid="{00000000-0005-0000-0000-0000104A0000}"/>
    <cellStyle name="Normal 2 2 2 2 2 2 2 3 3 3" xfId="18153" xr:uid="{00000000-0005-0000-0000-0000114A0000}"/>
    <cellStyle name="Normal 2 2 2 2 2 2 2 3 3 4" xfId="18154" xr:uid="{00000000-0005-0000-0000-0000124A0000}"/>
    <cellStyle name="Normal 2 2 2 2 2 2 2 3 3 5" xfId="18155" xr:uid="{00000000-0005-0000-0000-0000134A0000}"/>
    <cellStyle name="Normal 2 2 2 2 2 2 2 3 3 6" xfId="18156" xr:uid="{00000000-0005-0000-0000-0000144A0000}"/>
    <cellStyle name="Normal 2 2 2 2 2 2 2 3 4" xfId="18157" xr:uid="{00000000-0005-0000-0000-0000154A0000}"/>
    <cellStyle name="Normal 2 2 2 2 2 2 2 3 4 2" xfId="18158" xr:uid="{00000000-0005-0000-0000-0000164A0000}"/>
    <cellStyle name="Normal 2 2 2 2 2 2 2 3 4 3" xfId="18159" xr:uid="{00000000-0005-0000-0000-0000174A0000}"/>
    <cellStyle name="Normal 2 2 2 2 2 2 2 3 4 4" xfId="18160" xr:uid="{00000000-0005-0000-0000-0000184A0000}"/>
    <cellStyle name="Normal 2 2 2 2 2 2 2 3 4 5" xfId="18161" xr:uid="{00000000-0005-0000-0000-0000194A0000}"/>
    <cellStyle name="Normal 2 2 2 2 2 2 2 3 4 6" xfId="18162" xr:uid="{00000000-0005-0000-0000-00001A4A0000}"/>
    <cellStyle name="Normal 2 2 2 2 2 2 2 3 5" xfId="18163" xr:uid="{00000000-0005-0000-0000-00001B4A0000}"/>
    <cellStyle name="Normal 2 2 2 2 2 2 2 3 5 2" xfId="18164" xr:uid="{00000000-0005-0000-0000-00001C4A0000}"/>
    <cellStyle name="Normal 2 2 2 2 2 2 2 3 5 3" xfId="18165" xr:uid="{00000000-0005-0000-0000-00001D4A0000}"/>
    <cellStyle name="Normal 2 2 2 2 2 2 2 3 5 4" xfId="18166" xr:uid="{00000000-0005-0000-0000-00001E4A0000}"/>
    <cellStyle name="Normal 2 2 2 2 2 2 2 3 5 5" xfId="18167" xr:uid="{00000000-0005-0000-0000-00001F4A0000}"/>
    <cellStyle name="Normal 2 2 2 2 2 2 2 3 5 6" xfId="18168" xr:uid="{00000000-0005-0000-0000-0000204A0000}"/>
    <cellStyle name="Normal 2 2 2 2 2 2 2 3 6" xfId="18169" xr:uid="{00000000-0005-0000-0000-0000214A0000}"/>
    <cellStyle name="Normal 2 2 2 2 2 2 2 3 6 2" xfId="18170" xr:uid="{00000000-0005-0000-0000-0000224A0000}"/>
    <cellStyle name="Normal 2 2 2 2 2 2 2 3 6 3" xfId="18171" xr:uid="{00000000-0005-0000-0000-0000234A0000}"/>
    <cellStyle name="Normal 2 2 2 2 2 2 2 3 6 4" xfId="18172" xr:uid="{00000000-0005-0000-0000-0000244A0000}"/>
    <cellStyle name="Normal 2 2 2 2 2 2 2 3 6 5" xfId="18173" xr:uid="{00000000-0005-0000-0000-0000254A0000}"/>
    <cellStyle name="Normal 2 2 2 2 2 2 2 3 6 6" xfId="18174" xr:uid="{00000000-0005-0000-0000-0000264A0000}"/>
    <cellStyle name="Normal 2 2 2 2 2 2 2 3 7" xfId="18175" xr:uid="{00000000-0005-0000-0000-0000274A0000}"/>
    <cellStyle name="Normal 2 2 2 2 2 2 2 3 7 2" xfId="18176" xr:uid="{00000000-0005-0000-0000-0000284A0000}"/>
    <cellStyle name="Normal 2 2 2 2 2 2 2 3 7 3" xfId="18177" xr:uid="{00000000-0005-0000-0000-0000294A0000}"/>
    <cellStyle name="Normal 2 2 2 2 2 2 2 3 7 4" xfId="18178" xr:uid="{00000000-0005-0000-0000-00002A4A0000}"/>
    <cellStyle name="Normal 2 2 2 2 2 2 2 3 7 5" xfId="18179" xr:uid="{00000000-0005-0000-0000-00002B4A0000}"/>
    <cellStyle name="Normal 2 2 2 2 2 2 2 3 7 6" xfId="18180" xr:uid="{00000000-0005-0000-0000-00002C4A0000}"/>
    <cellStyle name="Normal 2 2 2 2 2 2 2 3 8" xfId="18181" xr:uid="{00000000-0005-0000-0000-00002D4A0000}"/>
    <cellStyle name="Normal 2 2 2 2 2 2 2 3 8 2" xfId="18182" xr:uid="{00000000-0005-0000-0000-00002E4A0000}"/>
    <cellStyle name="Normal 2 2 2 2 2 2 2 3 8 3" xfId="18183" xr:uid="{00000000-0005-0000-0000-00002F4A0000}"/>
    <cellStyle name="Normal 2 2 2 2 2 2 2 3 8 4" xfId="18184" xr:uid="{00000000-0005-0000-0000-0000304A0000}"/>
    <cellStyle name="Normal 2 2 2 2 2 2 2 3 8 5" xfId="18185" xr:uid="{00000000-0005-0000-0000-0000314A0000}"/>
    <cellStyle name="Normal 2 2 2 2 2 2 2 3 8 6" xfId="18186" xr:uid="{00000000-0005-0000-0000-0000324A0000}"/>
    <cellStyle name="Normal 2 2 2 2 2 2 2 3 9" xfId="18187" xr:uid="{00000000-0005-0000-0000-0000334A0000}"/>
    <cellStyle name="Normal 2 2 2 2 2 2 2 30" xfId="18188" xr:uid="{00000000-0005-0000-0000-0000344A0000}"/>
    <cellStyle name="Normal 2 2 2 2 2 2 2 30 2" xfId="18189" xr:uid="{00000000-0005-0000-0000-0000354A0000}"/>
    <cellStyle name="Normal 2 2 2 2 2 2 2 30 3" xfId="18190" xr:uid="{00000000-0005-0000-0000-0000364A0000}"/>
    <cellStyle name="Normal 2 2 2 2 2 2 2 30 4" xfId="18191" xr:uid="{00000000-0005-0000-0000-0000374A0000}"/>
    <cellStyle name="Normal 2 2 2 2 2 2 2 30 5" xfId="18192" xr:uid="{00000000-0005-0000-0000-0000384A0000}"/>
    <cellStyle name="Normal 2 2 2 2 2 2 2 30 6" xfId="18193" xr:uid="{00000000-0005-0000-0000-0000394A0000}"/>
    <cellStyle name="Normal 2 2 2 2 2 2 2 31" xfId="18194" xr:uid="{00000000-0005-0000-0000-00003A4A0000}"/>
    <cellStyle name="Normal 2 2 2 2 2 2 2 31 2" xfId="18195" xr:uid="{00000000-0005-0000-0000-00003B4A0000}"/>
    <cellStyle name="Normal 2 2 2 2 2 2 2 31 3" xfId="18196" xr:uid="{00000000-0005-0000-0000-00003C4A0000}"/>
    <cellStyle name="Normal 2 2 2 2 2 2 2 31 4" xfId="18197" xr:uid="{00000000-0005-0000-0000-00003D4A0000}"/>
    <cellStyle name="Normal 2 2 2 2 2 2 2 31 5" xfId="18198" xr:uid="{00000000-0005-0000-0000-00003E4A0000}"/>
    <cellStyle name="Normal 2 2 2 2 2 2 2 31 6" xfId="18199" xr:uid="{00000000-0005-0000-0000-00003F4A0000}"/>
    <cellStyle name="Normal 2 2 2 2 2 2 2 32" xfId="18200" xr:uid="{00000000-0005-0000-0000-0000404A0000}"/>
    <cellStyle name="Normal 2 2 2 2 2 2 2 32 2" xfId="18201" xr:uid="{00000000-0005-0000-0000-0000414A0000}"/>
    <cellStyle name="Normal 2 2 2 2 2 2 2 32 3" xfId="18202" xr:uid="{00000000-0005-0000-0000-0000424A0000}"/>
    <cellStyle name="Normal 2 2 2 2 2 2 2 32 4" xfId="18203" xr:uid="{00000000-0005-0000-0000-0000434A0000}"/>
    <cellStyle name="Normal 2 2 2 2 2 2 2 32 5" xfId="18204" xr:uid="{00000000-0005-0000-0000-0000444A0000}"/>
    <cellStyle name="Normal 2 2 2 2 2 2 2 32 6" xfId="18205" xr:uid="{00000000-0005-0000-0000-0000454A0000}"/>
    <cellStyle name="Normal 2 2 2 2 2 2 2 33" xfId="18206" xr:uid="{00000000-0005-0000-0000-0000464A0000}"/>
    <cellStyle name="Normal 2 2 2 2 2 2 2 33 2" xfId="18207" xr:uid="{00000000-0005-0000-0000-0000474A0000}"/>
    <cellStyle name="Normal 2 2 2 2 2 2 2 33 3" xfId="18208" xr:uid="{00000000-0005-0000-0000-0000484A0000}"/>
    <cellStyle name="Normal 2 2 2 2 2 2 2 33 4" xfId="18209" xr:uid="{00000000-0005-0000-0000-0000494A0000}"/>
    <cellStyle name="Normal 2 2 2 2 2 2 2 33 5" xfId="18210" xr:uid="{00000000-0005-0000-0000-00004A4A0000}"/>
    <cellStyle name="Normal 2 2 2 2 2 2 2 33 6" xfId="18211" xr:uid="{00000000-0005-0000-0000-00004B4A0000}"/>
    <cellStyle name="Normal 2 2 2 2 2 2 2 34" xfId="18212" xr:uid="{00000000-0005-0000-0000-00004C4A0000}"/>
    <cellStyle name="Normal 2 2 2 2 2 2 2 34 2" xfId="18213" xr:uid="{00000000-0005-0000-0000-00004D4A0000}"/>
    <cellStyle name="Normal 2 2 2 2 2 2 2 34 3" xfId="18214" xr:uid="{00000000-0005-0000-0000-00004E4A0000}"/>
    <cellStyle name="Normal 2 2 2 2 2 2 2 34 4" xfId="18215" xr:uid="{00000000-0005-0000-0000-00004F4A0000}"/>
    <cellStyle name="Normal 2 2 2 2 2 2 2 34 5" xfId="18216" xr:uid="{00000000-0005-0000-0000-0000504A0000}"/>
    <cellStyle name="Normal 2 2 2 2 2 2 2 34 6" xfId="18217" xr:uid="{00000000-0005-0000-0000-0000514A0000}"/>
    <cellStyle name="Normal 2 2 2 2 2 2 2 35" xfId="18218" xr:uid="{00000000-0005-0000-0000-0000524A0000}"/>
    <cellStyle name="Normal 2 2 2 2 2 2 2 35 2" xfId="18219" xr:uid="{00000000-0005-0000-0000-0000534A0000}"/>
    <cellStyle name="Normal 2 2 2 2 2 2 2 35 3" xfId="18220" xr:uid="{00000000-0005-0000-0000-0000544A0000}"/>
    <cellStyle name="Normal 2 2 2 2 2 2 2 35 4" xfId="18221" xr:uid="{00000000-0005-0000-0000-0000554A0000}"/>
    <cellStyle name="Normal 2 2 2 2 2 2 2 35 5" xfId="18222" xr:uid="{00000000-0005-0000-0000-0000564A0000}"/>
    <cellStyle name="Normal 2 2 2 2 2 2 2 35 6" xfId="18223" xr:uid="{00000000-0005-0000-0000-0000574A0000}"/>
    <cellStyle name="Normal 2 2 2 2 2 2 2 36" xfId="18224" xr:uid="{00000000-0005-0000-0000-0000584A0000}"/>
    <cellStyle name="Normal 2 2 2 2 2 2 2 36 2" xfId="18225" xr:uid="{00000000-0005-0000-0000-0000594A0000}"/>
    <cellStyle name="Normal 2 2 2 2 2 2 2 36 3" xfId="18226" xr:uid="{00000000-0005-0000-0000-00005A4A0000}"/>
    <cellStyle name="Normal 2 2 2 2 2 2 2 36 4" xfId="18227" xr:uid="{00000000-0005-0000-0000-00005B4A0000}"/>
    <cellStyle name="Normal 2 2 2 2 2 2 2 36 5" xfId="18228" xr:uid="{00000000-0005-0000-0000-00005C4A0000}"/>
    <cellStyle name="Normal 2 2 2 2 2 2 2 36 6" xfId="18229" xr:uid="{00000000-0005-0000-0000-00005D4A0000}"/>
    <cellStyle name="Normal 2 2 2 2 2 2 2 37" xfId="18230" xr:uid="{00000000-0005-0000-0000-00005E4A0000}"/>
    <cellStyle name="Normal 2 2 2 2 2 2 2 37 2" xfId="18231" xr:uid="{00000000-0005-0000-0000-00005F4A0000}"/>
    <cellStyle name="Normal 2 2 2 2 2 2 2 37 3" xfId="18232" xr:uid="{00000000-0005-0000-0000-0000604A0000}"/>
    <cellStyle name="Normal 2 2 2 2 2 2 2 37 4" xfId="18233" xr:uid="{00000000-0005-0000-0000-0000614A0000}"/>
    <cellStyle name="Normal 2 2 2 2 2 2 2 37 5" xfId="18234" xr:uid="{00000000-0005-0000-0000-0000624A0000}"/>
    <cellStyle name="Normal 2 2 2 2 2 2 2 37 6" xfId="18235" xr:uid="{00000000-0005-0000-0000-0000634A0000}"/>
    <cellStyle name="Normal 2 2 2 2 2 2 2 38" xfId="18236" xr:uid="{00000000-0005-0000-0000-0000644A0000}"/>
    <cellStyle name="Normal 2 2 2 2 2 2 2 39" xfId="18237" xr:uid="{00000000-0005-0000-0000-0000654A0000}"/>
    <cellStyle name="Normal 2 2 2 2 2 2 2 4" xfId="18238" xr:uid="{00000000-0005-0000-0000-0000664A0000}"/>
    <cellStyle name="Normal 2 2 2 2 2 2 2 4 10" xfId="18239" xr:uid="{00000000-0005-0000-0000-0000674A0000}"/>
    <cellStyle name="Normal 2 2 2 2 2 2 2 4 11" xfId="18240" xr:uid="{00000000-0005-0000-0000-0000684A0000}"/>
    <cellStyle name="Normal 2 2 2 2 2 2 2 4 12" xfId="18241" xr:uid="{00000000-0005-0000-0000-0000694A0000}"/>
    <cellStyle name="Normal 2 2 2 2 2 2 2 4 13" xfId="18242" xr:uid="{00000000-0005-0000-0000-00006A4A0000}"/>
    <cellStyle name="Normal 2 2 2 2 2 2 2 4 2" xfId="18243" xr:uid="{00000000-0005-0000-0000-00006B4A0000}"/>
    <cellStyle name="Normal 2 2 2 2 2 2 2 4 2 2" xfId="18244" xr:uid="{00000000-0005-0000-0000-00006C4A0000}"/>
    <cellStyle name="Normal 2 2 2 2 2 2 2 4 2 3" xfId="18245" xr:uid="{00000000-0005-0000-0000-00006D4A0000}"/>
    <cellStyle name="Normal 2 2 2 2 2 2 2 4 2 4" xfId="18246" xr:uid="{00000000-0005-0000-0000-00006E4A0000}"/>
    <cellStyle name="Normal 2 2 2 2 2 2 2 4 2 5" xfId="18247" xr:uid="{00000000-0005-0000-0000-00006F4A0000}"/>
    <cellStyle name="Normal 2 2 2 2 2 2 2 4 2 6" xfId="18248" xr:uid="{00000000-0005-0000-0000-0000704A0000}"/>
    <cellStyle name="Normal 2 2 2 2 2 2 2 4 3" xfId="18249" xr:uid="{00000000-0005-0000-0000-0000714A0000}"/>
    <cellStyle name="Normal 2 2 2 2 2 2 2 4 3 2" xfId="18250" xr:uid="{00000000-0005-0000-0000-0000724A0000}"/>
    <cellStyle name="Normal 2 2 2 2 2 2 2 4 3 3" xfId="18251" xr:uid="{00000000-0005-0000-0000-0000734A0000}"/>
    <cellStyle name="Normal 2 2 2 2 2 2 2 4 3 4" xfId="18252" xr:uid="{00000000-0005-0000-0000-0000744A0000}"/>
    <cellStyle name="Normal 2 2 2 2 2 2 2 4 3 5" xfId="18253" xr:uid="{00000000-0005-0000-0000-0000754A0000}"/>
    <cellStyle name="Normal 2 2 2 2 2 2 2 4 3 6" xfId="18254" xr:uid="{00000000-0005-0000-0000-0000764A0000}"/>
    <cellStyle name="Normal 2 2 2 2 2 2 2 4 4" xfId="18255" xr:uid="{00000000-0005-0000-0000-0000774A0000}"/>
    <cellStyle name="Normal 2 2 2 2 2 2 2 4 4 2" xfId="18256" xr:uid="{00000000-0005-0000-0000-0000784A0000}"/>
    <cellStyle name="Normal 2 2 2 2 2 2 2 4 4 3" xfId="18257" xr:uid="{00000000-0005-0000-0000-0000794A0000}"/>
    <cellStyle name="Normal 2 2 2 2 2 2 2 4 4 4" xfId="18258" xr:uid="{00000000-0005-0000-0000-00007A4A0000}"/>
    <cellStyle name="Normal 2 2 2 2 2 2 2 4 4 5" xfId="18259" xr:uid="{00000000-0005-0000-0000-00007B4A0000}"/>
    <cellStyle name="Normal 2 2 2 2 2 2 2 4 4 6" xfId="18260" xr:uid="{00000000-0005-0000-0000-00007C4A0000}"/>
    <cellStyle name="Normal 2 2 2 2 2 2 2 4 5" xfId="18261" xr:uid="{00000000-0005-0000-0000-00007D4A0000}"/>
    <cellStyle name="Normal 2 2 2 2 2 2 2 4 5 2" xfId="18262" xr:uid="{00000000-0005-0000-0000-00007E4A0000}"/>
    <cellStyle name="Normal 2 2 2 2 2 2 2 4 5 3" xfId="18263" xr:uid="{00000000-0005-0000-0000-00007F4A0000}"/>
    <cellStyle name="Normal 2 2 2 2 2 2 2 4 5 4" xfId="18264" xr:uid="{00000000-0005-0000-0000-0000804A0000}"/>
    <cellStyle name="Normal 2 2 2 2 2 2 2 4 5 5" xfId="18265" xr:uid="{00000000-0005-0000-0000-0000814A0000}"/>
    <cellStyle name="Normal 2 2 2 2 2 2 2 4 5 6" xfId="18266" xr:uid="{00000000-0005-0000-0000-0000824A0000}"/>
    <cellStyle name="Normal 2 2 2 2 2 2 2 4 6" xfId="18267" xr:uid="{00000000-0005-0000-0000-0000834A0000}"/>
    <cellStyle name="Normal 2 2 2 2 2 2 2 4 6 2" xfId="18268" xr:uid="{00000000-0005-0000-0000-0000844A0000}"/>
    <cellStyle name="Normal 2 2 2 2 2 2 2 4 6 3" xfId="18269" xr:uid="{00000000-0005-0000-0000-0000854A0000}"/>
    <cellStyle name="Normal 2 2 2 2 2 2 2 4 6 4" xfId="18270" xr:uid="{00000000-0005-0000-0000-0000864A0000}"/>
    <cellStyle name="Normal 2 2 2 2 2 2 2 4 6 5" xfId="18271" xr:uid="{00000000-0005-0000-0000-0000874A0000}"/>
    <cellStyle name="Normal 2 2 2 2 2 2 2 4 6 6" xfId="18272" xr:uid="{00000000-0005-0000-0000-0000884A0000}"/>
    <cellStyle name="Normal 2 2 2 2 2 2 2 4 7" xfId="18273" xr:uid="{00000000-0005-0000-0000-0000894A0000}"/>
    <cellStyle name="Normal 2 2 2 2 2 2 2 4 7 2" xfId="18274" xr:uid="{00000000-0005-0000-0000-00008A4A0000}"/>
    <cellStyle name="Normal 2 2 2 2 2 2 2 4 7 3" xfId="18275" xr:uid="{00000000-0005-0000-0000-00008B4A0000}"/>
    <cellStyle name="Normal 2 2 2 2 2 2 2 4 7 4" xfId="18276" xr:uid="{00000000-0005-0000-0000-00008C4A0000}"/>
    <cellStyle name="Normal 2 2 2 2 2 2 2 4 7 5" xfId="18277" xr:uid="{00000000-0005-0000-0000-00008D4A0000}"/>
    <cellStyle name="Normal 2 2 2 2 2 2 2 4 7 6" xfId="18278" xr:uid="{00000000-0005-0000-0000-00008E4A0000}"/>
    <cellStyle name="Normal 2 2 2 2 2 2 2 4 8" xfId="18279" xr:uid="{00000000-0005-0000-0000-00008F4A0000}"/>
    <cellStyle name="Normal 2 2 2 2 2 2 2 4 8 2" xfId="18280" xr:uid="{00000000-0005-0000-0000-0000904A0000}"/>
    <cellStyle name="Normal 2 2 2 2 2 2 2 4 8 3" xfId="18281" xr:uid="{00000000-0005-0000-0000-0000914A0000}"/>
    <cellStyle name="Normal 2 2 2 2 2 2 2 4 8 4" xfId="18282" xr:uid="{00000000-0005-0000-0000-0000924A0000}"/>
    <cellStyle name="Normal 2 2 2 2 2 2 2 4 8 5" xfId="18283" xr:uid="{00000000-0005-0000-0000-0000934A0000}"/>
    <cellStyle name="Normal 2 2 2 2 2 2 2 4 8 6" xfId="18284" xr:uid="{00000000-0005-0000-0000-0000944A0000}"/>
    <cellStyle name="Normal 2 2 2 2 2 2 2 4 9" xfId="18285" xr:uid="{00000000-0005-0000-0000-0000954A0000}"/>
    <cellStyle name="Normal 2 2 2 2 2 2 2 40" xfId="18286" xr:uid="{00000000-0005-0000-0000-0000964A0000}"/>
    <cellStyle name="Normal 2 2 2 2 2 2 2 41" xfId="18287" xr:uid="{00000000-0005-0000-0000-0000974A0000}"/>
    <cellStyle name="Normal 2 2 2 2 2 2 2 42" xfId="18288" xr:uid="{00000000-0005-0000-0000-0000984A0000}"/>
    <cellStyle name="Normal 2 2 2 2 2 2 2 42 2" xfId="18289" xr:uid="{00000000-0005-0000-0000-0000994A0000}"/>
    <cellStyle name="Normal 2 2 2 2 2 2 2 42 2 2" xfId="18290" xr:uid="{00000000-0005-0000-0000-00009A4A0000}"/>
    <cellStyle name="Normal 2 2 2 2 2 2 2 42 2 2 2" xfId="18291" xr:uid="{00000000-0005-0000-0000-00009B4A0000}"/>
    <cellStyle name="Normal 2 2 2 2 2 2 2 42 2 2 2 2" xfId="18292" xr:uid="{00000000-0005-0000-0000-00009C4A0000}"/>
    <cellStyle name="Normal 2 2 2 2 2 2 2 42 2 2 2 3" xfId="18293" xr:uid="{00000000-0005-0000-0000-00009D4A0000}"/>
    <cellStyle name="Normal 2 2 2 2 2 2 2 42 2 2 2 4" xfId="18294" xr:uid="{00000000-0005-0000-0000-00009E4A0000}"/>
    <cellStyle name="Normal 2 2 2 2 2 2 2 42 2 2 2 5" xfId="18295" xr:uid="{00000000-0005-0000-0000-00009F4A0000}"/>
    <cellStyle name="Normal 2 2 2 2 2 2 2 42 2 2 2 6" xfId="18296" xr:uid="{00000000-0005-0000-0000-0000A04A0000}"/>
    <cellStyle name="Normal 2 2 2 2 2 2 2 42 2 3" xfId="18297" xr:uid="{00000000-0005-0000-0000-0000A14A0000}"/>
    <cellStyle name="Normal 2 2 2 2 2 2 2 42 2 4" xfId="18298" xr:uid="{00000000-0005-0000-0000-0000A24A0000}"/>
    <cellStyle name="Normal 2 2 2 2 2 2 2 42 2 5" xfId="18299" xr:uid="{00000000-0005-0000-0000-0000A34A0000}"/>
    <cellStyle name="Normal 2 2 2 2 2 2 2 42 2 6" xfId="18300" xr:uid="{00000000-0005-0000-0000-0000A44A0000}"/>
    <cellStyle name="Normal 2 2 2 2 2 2 2 42 2 7" xfId="18301" xr:uid="{00000000-0005-0000-0000-0000A54A0000}"/>
    <cellStyle name="Normal 2 2 2 2 2 2 2 42 3" xfId="18302" xr:uid="{00000000-0005-0000-0000-0000A64A0000}"/>
    <cellStyle name="Normal 2 2 2 2 2 2 2 42 3 2" xfId="18303" xr:uid="{00000000-0005-0000-0000-0000A74A0000}"/>
    <cellStyle name="Normal 2 2 2 2 2 2 2 42 3 3" xfId="18304" xr:uid="{00000000-0005-0000-0000-0000A84A0000}"/>
    <cellStyle name="Normal 2 2 2 2 2 2 2 42 3 4" xfId="18305" xr:uid="{00000000-0005-0000-0000-0000A94A0000}"/>
    <cellStyle name="Normal 2 2 2 2 2 2 2 42 3 5" xfId="18306" xr:uid="{00000000-0005-0000-0000-0000AA4A0000}"/>
    <cellStyle name="Normal 2 2 2 2 2 2 2 42 3 6" xfId="18307" xr:uid="{00000000-0005-0000-0000-0000AB4A0000}"/>
    <cellStyle name="Normal 2 2 2 2 2 2 2 43" xfId="18308" xr:uid="{00000000-0005-0000-0000-0000AC4A0000}"/>
    <cellStyle name="Normal 2 2 2 2 2 2 2 43 2" xfId="18309" xr:uid="{00000000-0005-0000-0000-0000AD4A0000}"/>
    <cellStyle name="Normal 2 2 2 2 2 2 2 43 3" xfId="18310" xr:uid="{00000000-0005-0000-0000-0000AE4A0000}"/>
    <cellStyle name="Normal 2 2 2 2 2 2 2 43 4" xfId="18311" xr:uid="{00000000-0005-0000-0000-0000AF4A0000}"/>
    <cellStyle name="Normal 2 2 2 2 2 2 2 43 5" xfId="18312" xr:uid="{00000000-0005-0000-0000-0000B04A0000}"/>
    <cellStyle name="Normal 2 2 2 2 2 2 2 43 6" xfId="18313" xr:uid="{00000000-0005-0000-0000-0000B14A0000}"/>
    <cellStyle name="Normal 2 2 2 2 2 2 2 44" xfId="18314" xr:uid="{00000000-0005-0000-0000-0000B24A0000}"/>
    <cellStyle name="Normal 2 2 2 2 2 2 2 44 2" xfId="18315" xr:uid="{00000000-0005-0000-0000-0000B34A0000}"/>
    <cellStyle name="Normal 2 2 2 2 2 2 2 44 3" xfId="18316" xr:uid="{00000000-0005-0000-0000-0000B44A0000}"/>
    <cellStyle name="Normal 2 2 2 2 2 2 2 44 4" xfId="18317" xr:uid="{00000000-0005-0000-0000-0000B54A0000}"/>
    <cellStyle name="Normal 2 2 2 2 2 2 2 44 5" xfId="18318" xr:uid="{00000000-0005-0000-0000-0000B64A0000}"/>
    <cellStyle name="Normal 2 2 2 2 2 2 2 44 6" xfId="18319" xr:uid="{00000000-0005-0000-0000-0000B74A0000}"/>
    <cellStyle name="Normal 2 2 2 2 2 2 2 45" xfId="18320" xr:uid="{00000000-0005-0000-0000-0000B84A0000}"/>
    <cellStyle name="Normal 2 2 2 2 2 2 2 45 2" xfId="18321" xr:uid="{00000000-0005-0000-0000-0000B94A0000}"/>
    <cellStyle name="Normal 2 2 2 2 2 2 2 45 3" xfId="18322" xr:uid="{00000000-0005-0000-0000-0000BA4A0000}"/>
    <cellStyle name="Normal 2 2 2 2 2 2 2 45 4" xfId="18323" xr:uid="{00000000-0005-0000-0000-0000BB4A0000}"/>
    <cellStyle name="Normal 2 2 2 2 2 2 2 45 5" xfId="18324" xr:uid="{00000000-0005-0000-0000-0000BC4A0000}"/>
    <cellStyle name="Normal 2 2 2 2 2 2 2 45 6" xfId="18325" xr:uid="{00000000-0005-0000-0000-0000BD4A0000}"/>
    <cellStyle name="Normal 2 2 2 2 2 2 2 46" xfId="18326" xr:uid="{00000000-0005-0000-0000-0000BE4A0000}"/>
    <cellStyle name="Normal 2 2 2 2 2 2 2 46 2" xfId="18327" xr:uid="{00000000-0005-0000-0000-0000BF4A0000}"/>
    <cellStyle name="Normal 2 2 2 2 2 2 2 46 3" xfId="18328" xr:uid="{00000000-0005-0000-0000-0000C04A0000}"/>
    <cellStyle name="Normal 2 2 2 2 2 2 2 46 4" xfId="18329" xr:uid="{00000000-0005-0000-0000-0000C14A0000}"/>
    <cellStyle name="Normal 2 2 2 2 2 2 2 46 5" xfId="18330" xr:uid="{00000000-0005-0000-0000-0000C24A0000}"/>
    <cellStyle name="Normal 2 2 2 2 2 2 2 46 6" xfId="18331" xr:uid="{00000000-0005-0000-0000-0000C34A0000}"/>
    <cellStyle name="Normal 2 2 2 2 2 2 2 47" xfId="18332" xr:uid="{00000000-0005-0000-0000-0000C44A0000}"/>
    <cellStyle name="Normal 2 2 2 2 2 2 2 47 2" xfId="18333" xr:uid="{00000000-0005-0000-0000-0000C54A0000}"/>
    <cellStyle name="Normal 2 2 2 2 2 2 2 47 3" xfId="18334" xr:uid="{00000000-0005-0000-0000-0000C64A0000}"/>
    <cellStyle name="Normal 2 2 2 2 2 2 2 47 4" xfId="18335" xr:uid="{00000000-0005-0000-0000-0000C74A0000}"/>
    <cellStyle name="Normal 2 2 2 2 2 2 2 47 5" xfId="18336" xr:uid="{00000000-0005-0000-0000-0000C84A0000}"/>
    <cellStyle name="Normal 2 2 2 2 2 2 2 47 6" xfId="18337" xr:uid="{00000000-0005-0000-0000-0000C94A0000}"/>
    <cellStyle name="Normal 2 2 2 2 2 2 2 48" xfId="18338" xr:uid="{00000000-0005-0000-0000-0000CA4A0000}"/>
    <cellStyle name="Normal 2 2 2 2 2 2 2 48 2" xfId="18339" xr:uid="{00000000-0005-0000-0000-0000CB4A0000}"/>
    <cellStyle name="Normal 2 2 2 2 2 2 2 48 3" xfId="18340" xr:uid="{00000000-0005-0000-0000-0000CC4A0000}"/>
    <cellStyle name="Normal 2 2 2 2 2 2 2 48 4" xfId="18341" xr:uid="{00000000-0005-0000-0000-0000CD4A0000}"/>
    <cellStyle name="Normal 2 2 2 2 2 2 2 48 5" xfId="18342" xr:uid="{00000000-0005-0000-0000-0000CE4A0000}"/>
    <cellStyle name="Normal 2 2 2 2 2 2 2 48 6" xfId="18343" xr:uid="{00000000-0005-0000-0000-0000CF4A0000}"/>
    <cellStyle name="Normal 2 2 2 2 2 2 2 49" xfId="18344" xr:uid="{00000000-0005-0000-0000-0000D04A0000}"/>
    <cellStyle name="Normal 2 2 2 2 2 2 2 49 2" xfId="18345" xr:uid="{00000000-0005-0000-0000-0000D14A0000}"/>
    <cellStyle name="Normal 2 2 2 2 2 2 2 49 3" xfId="18346" xr:uid="{00000000-0005-0000-0000-0000D24A0000}"/>
    <cellStyle name="Normal 2 2 2 2 2 2 2 49 4" xfId="18347" xr:uid="{00000000-0005-0000-0000-0000D34A0000}"/>
    <cellStyle name="Normal 2 2 2 2 2 2 2 49 5" xfId="18348" xr:uid="{00000000-0005-0000-0000-0000D44A0000}"/>
    <cellStyle name="Normal 2 2 2 2 2 2 2 49 6" xfId="18349" xr:uid="{00000000-0005-0000-0000-0000D54A0000}"/>
    <cellStyle name="Normal 2 2 2 2 2 2 2 5" xfId="18350" xr:uid="{00000000-0005-0000-0000-0000D64A0000}"/>
    <cellStyle name="Normal 2 2 2 2 2 2 2 5 10" xfId="18351" xr:uid="{00000000-0005-0000-0000-0000D74A0000}"/>
    <cellStyle name="Normal 2 2 2 2 2 2 2 5 11" xfId="18352" xr:uid="{00000000-0005-0000-0000-0000D84A0000}"/>
    <cellStyle name="Normal 2 2 2 2 2 2 2 5 12" xfId="18353" xr:uid="{00000000-0005-0000-0000-0000D94A0000}"/>
    <cellStyle name="Normal 2 2 2 2 2 2 2 5 13" xfId="18354" xr:uid="{00000000-0005-0000-0000-0000DA4A0000}"/>
    <cellStyle name="Normal 2 2 2 2 2 2 2 5 2" xfId="18355" xr:uid="{00000000-0005-0000-0000-0000DB4A0000}"/>
    <cellStyle name="Normal 2 2 2 2 2 2 2 5 2 2" xfId="18356" xr:uid="{00000000-0005-0000-0000-0000DC4A0000}"/>
    <cellStyle name="Normal 2 2 2 2 2 2 2 5 2 3" xfId="18357" xr:uid="{00000000-0005-0000-0000-0000DD4A0000}"/>
    <cellStyle name="Normal 2 2 2 2 2 2 2 5 2 4" xfId="18358" xr:uid="{00000000-0005-0000-0000-0000DE4A0000}"/>
    <cellStyle name="Normal 2 2 2 2 2 2 2 5 2 5" xfId="18359" xr:uid="{00000000-0005-0000-0000-0000DF4A0000}"/>
    <cellStyle name="Normal 2 2 2 2 2 2 2 5 2 6" xfId="18360" xr:uid="{00000000-0005-0000-0000-0000E04A0000}"/>
    <cellStyle name="Normal 2 2 2 2 2 2 2 5 3" xfId="18361" xr:uid="{00000000-0005-0000-0000-0000E14A0000}"/>
    <cellStyle name="Normal 2 2 2 2 2 2 2 5 3 2" xfId="18362" xr:uid="{00000000-0005-0000-0000-0000E24A0000}"/>
    <cellStyle name="Normal 2 2 2 2 2 2 2 5 3 3" xfId="18363" xr:uid="{00000000-0005-0000-0000-0000E34A0000}"/>
    <cellStyle name="Normal 2 2 2 2 2 2 2 5 3 4" xfId="18364" xr:uid="{00000000-0005-0000-0000-0000E44A0000}"/>
    <cellStyle name="Normal 2 2 2 2 2 2 2 5 3 5" xfId="18365" xr:uid="{00000000-0005-0000-0000-0000E54A0000}"/>
    <cellStyle name="Normal 2 2 2 2 2 2 2 5 3 6" xfId="18366" xr:uid="{00000000-0005-0000-0000-0000E64A0000}"/>
    <cellStyle name="Normal 2 2 2 2 2 2 2 5 4" xfId="18367" xr:uid="{00000000-0005-0000-0000-0000E74A0000}"/>
    <cellStyle name="Normal 2 2 2 2 2 2 2 5 4 2" xfId="18368" xr:uid="{00000000-0005-0000-0000-0000E84A0000}"/>
    <cellStyle name="Normal 2 2 2 2 2 2 2 5 4 3" xfId="18369" xr:uid="{00000000-0005-0000-0000-0000E94A0000}"/>
    <cellStyle name="Normal 2 2 2 2 2 2 2 5 4 4" xfId="18370" xr:uid="{00000000-0005-0000-0000-0000EA4A0000}"/>
    <cellStyle name="Normal 2 2 2 2 2 2 2 5 4 5" xfId="18371" xr:uid="{00000000-0005-0000-0000-0000EB4A0000}"/>
    <cellStyle name="Normal 2 2 2 2 2 2 2 5 4 6" xfId="18372" xr:uid="{00000000-0005-0000-0000-0000EC4A0000}"/>
    <cellStyle name="Normal 2 2 2 2 2 2 2 5 5" xfId="18373" xr:uid="{00000000-0005-0000-0000-0000ED4A0000}"/>
    <cellStyle name="Normal 2 2 2 2 2 2 2 5 5 2" xfId="18374" xr:uid="{00000000-0005-0000-0000-0000EE4A0000}"/>
    <cellStyle name="Normal 2 2 2 2 2 2 2 5 5 3" xfId="18375" xr:uid="{00000000-0005-0000-0000-0000EF4A0000}"/>
    <cellStyle name="Normal 2 2 2 2 2 2 2 5 5 4" xfId="18376" xr:uid="{00000000-0005-0000-0000-0000F04A0000}"/>
    <cellStyle name="Normal 2 2 2 2 2 2 2 5 5 5" xfId="18377" xr:uid="{00000000-0005-0000-0000-0000F14A0000}"/>
    <cellStyle name="Normal 2 2 2 2 2 2 2 5 5 6" xfId="18378" xr:uid="{00000000-0005-0000-0000-0000F24A0000}"/>
    <cellStyle name="Normal 2 2 2 2 2 2 2 5 6" xfId="18379" xr:uid="{00000000-0005-0000-0000-0000F34A0000}"/>
    <cellStyle name="Normal 2 2 2 2 2 2 2 5 6 2" xfId="18380" xr:uid="{00000000-0005-0000-0000-0000F44A0000}"/>
    <cellStyle name="Normal 2 2 2 2 2 2 2 5 6 3" xfId="18381" xr:uid="{00000000-0005-0000-0000-0000F54A0000}"/>
    <cellStyle name="Normal 2 2 2 2 2 2 2 5 6 4" xfId="18382" xr:uid="{00000000-0005-0000-0000-0000F64A0000}"/>
    <cellStyle name="Normal 2 2 2 2 2 2 2 5 6 5" xfId="18383" xr:uid="{00000000-0005-0000-0000-0000F74A0000}"/>
    <cellStyle name="Normal 2 2 2 2 2 2 2 5 6 6" xfId="18384" xr:uid="{00000000-0005-0000-0000-0000F84A0000}"/>
    <cellStyle name="Normal 2 2 2 2 2 2 2 5 7" xfId="18385" xr:uid="{00000000-0005-0000-0000-0000F94A0000}"/>
    <cellStyle name="Normal 2 2 2 2 2 2 2 5 7 2" xfId="18386" xr:uid="{00000000-0005-0000-0000-0000FA4A0000}"/>
    <cellStyle name="Normal 2 2 2 2 2 2 2 5 7 3" xfId="18387" xr:uid="{00000000-0005-0000-0000-0000FB4A0000}"/>
    <cellStyle name="Normal 2 2 2 2 2 2 2 5 7 4" xfId="18388" xr:uid="{00000000-0005-0000-0000-0000FC4A0000}"/>
    <cellStyle name="Normal 2 2 2 2 2 2 2 5 7 5" xfId="18389" xr:uid="{00000000-0005-0000-0000-0000FD4A0000}"/>
    <cellStyle name="Normal 2 2 2 2 2 2 2 5 7 6" xfId="18390" xr:uid="{00000000-0005-0000-0000-0000FE4A0000}"/>
    <cellStyle name="Normal 2 2 2 2 2 2 2 5 8" xfId="18391" xr:uid="{00000000-0005-0000-0000-0000FF4A0000}"/>
    <cellStyle name="Normal 2 2 2 2 2 2 2 5 8 2" xfId="18392" xr:uid="{00000000-0005-0000-0000-0000004B0000}"/>
    <cellStyle name="Normal 2 2 2 2 2 2 2 5 8 3" xfId="18393" xr:uid="{00000000-0005-0000-0000-0000014B0000}"/>
    <cellStyle name="Normal 2 2 2 2 2 2 2 5 8 4" xfId="18394" xr:uid="{00000000-0005-0000-0000-0000024B0000}"/>
    <cellStyle name="Normal 2 2 2 2 2 2 2 5 8 5" xfId="18395" xr:uid="{00000000-0005-0000-0000-0000034B0000}"/>
    <cellStyle name="Normal 2 2 2 2 2 2 2 5 8 6" xfId="18396" xr:uid="{00000000-0005-0000-0000-0000044B0000}"/>
    <cellStyle name="Normal 2 2 2 2 2 2 2 5 9" xfId="18397" xr:uid="{00000000-0005-0000-0000-0000054B0000}"/>
    <cellStyle name="Normal 2 2 2 2 2 2 2 50" xfId="18398" xr:uid="{00000000-0005-0000-0000-0000064B0000}"/>
    <cellStyle name="Normal 2 2 2 2 2 2 2 50 2" xfId="18399" xr:uid="{00000000-0005-0000-0000-0000074B0000}"/>
    <cellStyle name="Normal 2 2 2 2 2 2 2 50 3" xfId="18400" xr:uid="{00000000-0005-0000-0000-0000084B0000}"/>
    <cellStyle name="Normal 2 2 2 2 2 2 2 50 4" xfId="18401" xr:uid="{00000000-0005-0000-0000-0000094B0000}"/>
    <cellStyle name="Normal 2 2 2 2 2 2 2 50 5" xfId="18402" xr:uid="{00000000-0005-0000-0000-00000A4B0000}"/>
    <cellStyle name="Normal 2 2 2 2 2 2 2 50 6" xfId="18403" xr:uid="{00000000-0005-0000-0000-00000B4B0000}"/>
    <cellStyle name="Normal 2 2 2 2 2 2 2 51" xfId="18404" xr:uid="{00000000-0005-0000-0000-00000C4B0000}"/>
    <cellStyle name="Normal 2 2 2 2 2 2 2 51 2" xfId="18405" xr:uid="{00000000-0005-0000-0000-00000D4B0000}"/>
    <cellStyle name="Normal 2 2 2 2 2 2 2 51 3" xfId="18406" xr:uid="{00000000-0005-0000-0000-00000E4B0000}"/>
    <cellStyle name="Normal 2 2 2 2 2 2 2 51 4" xfId="18407" xr:uid="{00000000-0005-0000-0000-00000F4B0000}"/>
    <cellStyle name="Normal 2 2 2 2 2 2 2 51 5" xfId="18408" xr:uid="{00000000-0005-0000-0000-0000104B0000}"/>
    <cellStyle name="Normal 2 2 2 2 2 2 2 51 6" xfId="18409" xr:uid="{00000000-0005-0000-0000-0000114B0000}"/>
    <cellStyle name="Normal 2 2 2 2 2 2 2 52" xfId="18410" xr:uid="{00000000-0005-0000-0000-0000124B0000}"/>
    <cellStyle name="Normal 2 2 2 2 2 2 2 52 2" xfId="18411" xr:uid="{00000000-0005-0000-0000-0000134B0000}"/>
    <cellStyle name="Normal 2 2 2 2 2 2 2 52 3" xfId="18412" xr:uid="{00000000-0005-0000-0000-0000144B0000}"/>
    <cellStyle name="Normal 2 2 2 2 2 2 2 52 4" xfId="18413" xr:uid="{00000000-0005-0000-0000-0000154B0000}"/>
    <cellStyle name="Normal 2 2 2 2 2 2 2 52 5" xfId="18414" xr:uid="{00000000-0005-0000-0000-0000164B0000}"/>
    <cellStyle name="Normal 2 2 2 2 2 2 2 52 6" xfId="18415" xr:uid="{00000000-0005-0000-0000-0000174B0000}"/>
    <cellStyle name="Normal 2 2 2 2 2 2 2 53" xfId="18416" xr:uid="{00000000-0005-0000-0000-0000184B0000}"/>
    <cellStyle name="Normal 2 2 2 2 2 2 2 53 2" xfId="18417" xr:uid="{00000000-0005-0000-0000-0000194B0000}"/>
    <cellStyle name="Normal 2 2 2 2 2 2 2 53 3" xfId="18418" xr:uid="{00000000-0005-0000-0000-00001A4B0000}"/>
    <cellStyle name="Normal 2 2 2 2 2 2 2 53 4" xfId="18419" xr:uid="{00000000-0005-0000-0000-00001B4B0000}"/>
    <cellStyle name="Normal 2 2 2 2 2 2 2 53 5" xfId="18420" xr:uid="{00000000-0005-0000-0000-00001C4B0000}"/>
    <cellStyle name="Normal 2 2 2 2 2 2 2 53 6" xfId="18421" xr:uid="{00000000-0005-0000-0000-00001D4B0000}"/>
    <cellStyle name="Normal 2 2 2 2 2 2 2 54" xfId="18422" xr:uid="{00000000-0005-0000-0000-00001E4B0000}"/>
    <cellStyle name="Normal 2 2 2 2 2 2 2 54 2" xfId="18423" xr:uid="{00000000-0005-0000-0000-00001F4B0000}"/>
    <cellStyle name="Normal 2 2 2 2 2 2 2 54 3" xfId="18424" xr:uid="{00000000-0005-0000-0000-0000204B0000}"/>
    <cellStyle name="Normal 2 2 2 2 2 2 2 54 4" xfId="18425" xr:uid="{00000000-0005-0000-0000-0000214B0000}"/>
    <cellStyle name="Normal 2 2 2 2 2 2 2 54 5" xfId="18426" xr:uid="{00000000-0005-0000-0000-0000224B0000}"/>
    <cellStyle name="Normal 2 2 2 2 2 2 2 54 6" xfId="18427" xr:uid="{00000000-0005-0000-0000-0000234B0000}"/>
    <cellStyle name="Normal 2 2 2 2 2 2 2 55" xfId="18428" xr:uid="{00000000-0005-0000-0000-0000244B0000}"/>
    <cellStyle name="Normal 2 2 2 2 2 2 2 55 2" xfId="18429" xr:uid="{00000000-0005-0000-0000-0000254B0000}"/>
    <cellStyle name="Normal 2 2 2 2 2 2 2 55 3" xfId="18430" xr:uid="{00000000-0005-0000-0000-0000264B0000}"/>
    <cellStyle name="Normal 2 2 2 2 2 2 2 55 4" xfId="18431" xr:uid="{00000000-0005-0000-0000-0000274B0000}"/>
    <cellStyle name="Normal 2 2 2 2 2 2 2 55 5" xfId="18432" xr:uid="{00000000-0005-0000-0000-0000284B0000}"/>
    <cellStyle name="Normal 2 2 2 2 2 2 2 55 6" xfId="18433" xr:uid="{00000000-0005-0000-0000-0000294B0000}"/>
    <cellStyle name="Normal 2 2 2 2 2 2 2 56" xfId="18434" xr:uid="{00000000-0005-0000-0000-00002A4B0000}"/>
    <cellStyle name="Normal 2 2 2 2 2 2 2 56 2" xfId="18435" xr:uid="{00000000-0005-0000-0000-00002B4B0000}"/>
    <cellStyle name="Normal 2 2 2 2 2 2 2 56 3" xfId="18436" xr:uid="{00000000-0005-0000-0000-00002C4B0000}"/>
    <cellStyle name="Normal 2 2 2 2 2 2 2 56 4" xfId="18437" xr:uid="{00000000-0005-0000-0000-00002D4B0000}"/>
    <cellStyle name="Normal 2 2 2 2 2 2 2 56 5" xfId="18438" xr:uid="{00000000-0005-0000-0000-00002E4B0000}"/>
    <cellStyle name="Normal 2 2 2 2 2 2 2 56 6" xfId="18439" xr:uid="{00000000-0005-0000-0000-00002F4B0000}"/>
    <cellStyle name="Normal 2 2 2 2 2 2 2 57" xfId="18440" xr:uid="{00000000-0005-0000-0000-0000304B0000}"/>
    <cellStyle name="Normal 2 2 2 2 2 2 2 57 2" xfId="18441" xr:uid="{00000000-0005-0000-0000-0000314B0000}"/>
    <cellStyle name="Normal 2 2 2 2 2 2 2 57 3" xfId="18442" xr:uid="{00000000-0005-0000-0000-0000324B0000}"/>
    <cellStyle name="Normal 2 2 2 2 2 2 2 57 4" xfId="18443" xr:uid="{00000000-0005-0000-0000-0000334B0000}"/>
    <cellStyle name="Normal 2 2 2 2 2 2 2 57 5" xfId="18444" xr:uid="{00000000-0005-0000-0000-0000344B0000}"/>
    <cellStyle name="Normal 2 2 2 2 2 2 2 57 6" xfId="18445" xr:uid="{00000000-0005-0000-0000-0000354B0000}"/>
    <cellStyle name="Normal 2 2 2 2 2 2 2 58" xfId="18446" xr:uid="{00000000-0005-0000-0000-0000364B0000}"/>
    <cellStyle name="Normal 2 2 2 2 2 2 2 58 2" xfId="18447" xr:uid="{00000000-0005-0000-0000-0000374B0000}"/>
    <cellStyle name="Normal 2 2 2 2 2 2 2 58 3" xfId="18448" xr:uid="{00000000-0005-0000-0000-0000384B0000}"/>
    <cellStyle name="Normal 2 2 2 2 2 2 2 58 4" xfId="18449" xr:uid="{00000000-0005-0000-0000-0000394B0000}"/>
    <cellStyle name="Normal 2 2 2 2 2 2 2 58 5" xfId="18450" xr:uid="{00000000-0005-0000-0000-00003A4B0000}"/>
    <cellStyle name="Normal 2 2 2 2 2 2 2 58 6" xfId="18451" xr:uid="{00000000-0005-0000-0000-00003B4B0000}"/>
    <cellStyle name="Normal 2 2 2 2 2 2 2 59" xfId="18452" xr:uid="{00000000-0005-0000-0000-00003C4B0000}"/>
    <cellStyle name="Normal 2 2 2 2 2 2 2 59 2" xfId="18453" xr:uid="{00000000-0005-0000-0000-00003D4B0000}"/>
    <cellStyle name="Normal 2 2 2 2 2 2 2 59 3" xfId="18454" xr:uid="{00000000-0005-0000-0000-00003E4B0000}"/>
    <cellStyle name="Normal 2 2 2 2 2 2 2 59 4" xfId="18455" xr:uid="{00000000-0005-0000-0000-00003F4B0000}"/>
    <cellStyle name="Normal 2 2 2 2 2 2 2 59 5" xfId="18456" xr:uid="{00000000-0005-0000-0000-0000404B0000}"/>
    <cellStyle name="Normal 2 2 2 2 2 2 2 59 6" xfId="18457" xr:uid="{00000000-0005-0000-0000-0000414B0000}"/>
    <cellStyle name="Normal 2 2 2 2 2 2 2 6" xfId="18458" xr:uid="{00000000-0005-0000-0000-0000424B0000}"/>
    <cellStyle name="Normal 2 2 2 2 2 2 2 6 10" xfId="18459" xr:uid="{00000000-0005-0000-0000-0000434B0000}"/>
    <cellStyle name="Normal 2 2 2 2 2 2 2 6 11" xfId="18460" xr:uid="{00000000-0005-0000-0000-0000444B0000}"/>
    <cellStyle name="Normal 2 2 2 2 2 2 2 6 12" xfId="18461" xr:uid="{00000000-0005-0000-0000-0000454B0000}"/>
    <cellStyle name="Normal 2 2 2 2 2 2 2 6 13" xfId="18462" xr:uid="{00000000-0005-0000-0000-0000464B0000}"/>
    <cellStyle name="Normal 2 2 2 2 2 2 2 6 2" xfId="18463" xr:uid="{00000000-0005-0000-0000-0000474B0000}"/>
    <cellStyle name="Normal 2 2 2 2 2 2 2 6 2 2" xfId="18464" xr:uid="{00000000-0005-0000-0000-0000484B0000}"/>
    <cellStyle name="Normal 2 2 2 2 2 2 2 6 2 3" xfId="18465" xr:uid="{00000000-0005-0000-0000-0000494B0000}"/>
    <cellStyle name="Normal 2 2 2 2 2 2 2 6 2 4" xfId="18466" xr:uid="{00000000-0005-0000-0000-00004A4B0000}"/>
    <cellStyle name="Normal 2 2 2 2 2 2 2 6 2 5" xfId="18467" xr:uid="{00000000-0005-0000-0000-00004B4B0000}"/>
    <cellStyle name="Normal 2 2 2 2 2 2 2 6 2 6" xfId="18468" xr:uid="{00000000-0005-0000-0000-00004C4B0000}"/>
    <cellStyle name="Normal 2 2 2 2 2 2 2 6 3" xfId="18469" xr:uid="{00000000-0005-0000-0000-00004D4B0000}"/>
    <cellStyle name="Normal 2 2 2 2 2 2 2 6 3 2" xfId="18470" xr:uid="{00000000-0005-0000-0000-00004E4B0000}"/>
    <cellStyle name="Normal 2 2 2 2 2 2 2 6 3 3" xfId="18471" xr:uid="{00000000-0005-0000-0000-00004F4B0000}"/>
    <cellStyle name="Normal 2 2 2 2 2 2 2 6 3 4" xfId="18472" xr:uid="{00000000-0005-0000-0000-0000504B0000}"/>
    <cellStyle name="Normal 2 2 2 2 2 2 2 6 3 5" xfId="18473" xr:uid="{00000000-0005-0000-0000-0000514B0000}"/>
    <cellStyle name="Normal 2 2 2 2 2 2 2 6 3 6" xfId="18474" xr:uid="{00000000-0005-0000-0000-0000524B0000}"/>
    <cellStyle name="Normal 2 2 2 2 2 2 2 6 4" xfId="18475" xr:uid="{00000000-0005-0000-0000-0000534B0000}"/>
    <cellStyle name="Normal 2 2 2 2 2 2 2 6 4 2" xfId="18476" xr:uid="{00000000-0005-0000-0000-0000544B0000}"/>
    <cellStyle name="Normal 2 2 2 2 2 2 2 6 4 3" xfId="18477" xr:uid="{00000000-0005-0000-0000-0000554B0000}"/>
    <cellStyle name="Normal 2 2 2 2 2 2 2 6 4 4" xfId="18478" xr:uid="{00000000-0005-0000-0000-0000564B0000}"/>
    <cellStyle name="Normal 2 2 2 2 2 2 2 6 4 5" xfId="18479" xr:uid="{00000000-0005-0000-0000-0000574B0000}"/>
    <cellStyle name="Normal 2 2 2 2 2 2 2 6 4 6" xfId="18480" xr:uid="{00000000-0005-0000-0000-0000584B0000}"/>
    <cellStyle name="Normal 2 2 2 2 2 2 2 6 5" xfId="18481" xr:uid="{00000000-0005-0000-0000-0000594B0000}"/>
    <cellStyle name="Normal 2 2 2 2 2 2 2 6 5 2" xfId="18482" xr:uid="{00000000-0005-0000-0000-00005A4B0000}"/>
    <cellStyle name="Normal 2 2 2 2 2 2 2 6 5 3" xfId="18483" xr:uid="{00000000-0005-0000-0000-00005B4B0000}"/>
    <cellStyle name="Normal 2 2 2 2 2 2 2 6 5 4" xfId="18484" xr:uid="{00000000-0005-0000-0000-00005C4B0000}"/>
    <cellStyle name="Normal 2 2 2 2 2 2 2 6 5 5" xfId="18485" xr:uid="{00000000-0005-0000-0000-00005D4B0000}"/>
    <cellStyle name="Normal 2 2 2 2 2 2 2 6 5 6" xfId="18486" xr:uid="{00000000-0005-0000-0000-00005E4B0000}"/>
    <cellStyle name="Normal 2 2 2 2 2 2 2 6 6" xfId="18487" xr:uid="{00000000-0005-0000-0000-00005F4B0000}"/>
    <cellStyle name="Normal 2 2 2 2 2 2 2 6 6 2" xfId="18488" xr:uid="{00000000-0005-0000-0000-0000604B0000}"/>
    <cellStyle name="Normal 2 2 2 2 2 2 2 6 6 3" xfId="18489" xr:uid="{00000000-0005-0000-0000-0000614B0000}"/>
    <cellStyle name="Normal 2 2 2 2 2 2 2 6 6 4" xfId="18490" xr:uid="{00000000-0005-0000-0000-0000624B0000}"/>
    <cellStyle name="Normal 2 2 2 2 2 2 2 6 6 5" xfId="18491" xr:uid="{00000000-0005-0000-0000-0000634B0000}"/>
    <cellStyle name="Normal 2 2 2 2 2 2 2 6 6 6" xfId="18492" xr:uid="{00000000-0005-0000-0000-0000644B0000}"/>
    <cellStyle name="Normal 2 2 2 2 2 2 2 6 7" xfId="18493" xr:uid="{00000000-0005-0000-0000-0000654B0000}"/>
    <cellStyle name="Normal 2 2 2 2 2 2 2 6 7 2" xfId="18494" xr:uid="{00000000-0005-0000-0000-0000664B0000}"/>
    <cellStyle name="Normal 2 2 2 2 2 2 2 6 7 3" xfId="18495" xr:uid="{00000000-0005-0000-0000-0000674B0000}"/>
    <cellStyle name="Normal 2 2 2 2 2 2 2 6 7 4" xfId="18496" xr:uid="{00000000-0005-0000-0000-0000684B0000}"/>
    <cellStyle name="Normal 2 2 2 2 2 2 2 6 7 5" xfId="18497" xr:uid="{00000000-0005-0000-0000-0000694B0000}"/>
    <cellStyle name="Normal 2 2 2 2 2 2 2 6 7 6" xfId="18498" xr:uid="{00000000-0005-0000-0000-00006A4B0000}"/>
    <cellStyle name="Normal 2 2 2 2 2 2 2 6 8" xfId="18499" xr:uid="{00000000-0005-0000-0000-00006B4B0000}"/>
    <cellStyle name="Normal 2 2 2 2 2 2 2 6 8 2" xfId="18500" xr:uid="{00000000-0005-0000-0000-00006C4B0000}"/>
    <cellStyle name="Normal 2 2 2 2 2 2 2 6 8 3" xfId="18501" xr:uid="{00000000-0005-0000-0000-00006D4B0000}"/>
    <cellStyle name="Normal 2 2 2 2 2 2 2 6 8 4" xfId="18502" xr:uid="{00000000-0005-0000-0000-00006E4B0000}"/>
    <cellStyle name="Normal 2 2 2 2 2 2 2 6 8 5" xfId="18503" xr:uid="{00000000-0005-0000-0000-00006F4B0000}"/>
    <cellStyle name="Normal 2 2 2 2 2 2 2 6 8 6" xfId="18504" xr:uid="{00000000-0005-0000-0000-0000704B0000}"/>
    <cellStyle name="Normal 2 2 2 2 2 2 2 6 9" xfId="18505" xr:uid="{00000000-0005-0000-0000-0000714B0000}"/>
    <cellStyle name="Normal 2 2 2 2 2 2 2 60" xfId="18506" xr:uid="{00000000-0005-0000-0000-0000724B0000}"/>
    <cellStyle name="Normal 2 2 2 2 2 2 2 60 2" xfId="18507" xr:uid="{00000000-0005-0000-0000-0000734B0000}"/>
    <cellStyle name="Normal 2 2 2 2 2 2 2 60 3" xfId="18508" xr:uid="{00000000-0005-0000-0000-0000744B0000}"/>
    <cellStyle name="Normal 2 2 2 2 2 2 2 60 4" xfId="18509" xr:uid="{00000000-0005-0000-0000-0000754B0000}"/>
    <cellStyle name="Normal 2 2 2 2 2 2 2 60 5" xfId="18510" xr:uid="{00000000-0005-0000-0000-0000764B0000}"/>
    <cellStyle name="Normal 2 2 2 2 2 2 2 60 6" xfId="18511" xr:uid="{00000000-0005-0000-0000-0000774B0000}"/>
    <cellStyle name="Normal 2 2 2 2 2 2 2 61" xfId="18512" xr:uid="{00000000-0005-0000-0000-0000784B0000}"/>
    <cellStyle name="Normal 2 2 2 2 2 2 2 61 2" xfId="18513" xr:uid="{00000000-0005-0000-0000-0000794B0000}"/>
    <cellStyle name="Normal 2 2 2 2 2 2 2 61 3" xfId="18514" xr:uid="{00000000-0005-0000-0000-00007A4B0000}"/>
    <cellStyle name="Normal 2 2 2 2 2 2 2 61 4" xfId="18515" xr:uid="{00000000-0005-0000-0000-00007B4B0000}"/>
    <cellStyle name="Normal 2 2 2 2 2 2 2 61 5" xfId="18516" xr:uid="{00000000-0005-0000-0000-00007C4B0000}"/>
    <cellStyle name="Normal 2 2 2 2 2 2 2 61 6" xfId="18517" xr:uid="{00000000-0005-0000-0000-00007D4B0000}"/>
    <cellStyle name="Normal 2 2 2 2 2 2 2 62" xfId="18518" xr:uid="{00000000-0005-0000-0000-00007E4B0000}"/>
    <cellStyle name="Normal 2 2 2 2 2 2 2 62 2" xfId="18519" xr:uid="{00000000-0005-0000-0000-00007F4B0000}"/>
    <cellStyle name="Normal 2 2 2 2 2 2 2 62 2 2" xfId="18520" xr:uid="{00000000-0005-0000-0000-0000804B0000}"/>
    <cellStyle name="Normal 2 2 2 2 2 2 2 62 2 3" xfId="18521" xr:uid="{00000000-0005-0000-0000-0000814B0000}"/>
    <cellStyle name="Normal 2 2 2 2 2 2 2 62 2 4" xfId="18522" xr:uid="{00000000-0005-0000-0000-0000824B0000}"/>
    <cellStyle name="Normal 2 2 2 2 2 2 2 62 2 5" xfId="18523" xr:uid="{00000000-0005-0000-0000-0000834B0000}"/>
    <cellStyle name="Normal 2 2 2 2 2 2 2 62 2 6" xfId="18524" xr:uid="{00000000-0005-0000-0000-0000844B0000}"/>
    <cellStyle name="Normal 2 2 2 2 2 2 2 63" xfId="18525" xr:uid="{00000000-0005-0000-0000-0000854B0000}"/>
    <cellStyle name="Normal 2 2 2 2 2 2 2 63 10" xfId="18526" xr:uid="{00000000-0005-0000-0000-0000864B0000}"/>
    <cellStyle name="Normal 2 2 2 2 2 2 2 63 11" xfId="18527" xr:uid="{00000000-0005-0000-0000-0000874B0000}"/>
    <cellStyle name="Normal 2 2 2 2 2 2 2 63 2" xfId="18528" xr:uid="{00000000-0005-0000-0000-0000884B0000}"/>
    <cellStyle name="Normal 2 2 2 2 2 2 2 63 2 2" xfId="18529" xr:uid="{00000000-0005-0000-0000-0000894B0000}"/>
    <cellStyle name="Normal 2 2 2 2 2 2 2 63 2 2 2" xfId="18530" xr:uid="{00000000-0005-0000-0000-00008A4B0000}"/>
    <cellStyle name="Normal 2 2 2 2 2 2 2 63 2 2 3" xfId="18531" xr:uid="{00000000-0005-0000-0000-00008B4B0000}"/>
    <cellStyle name="Normal 2 2 2 2 2 2 2 63 2 3" xfId="18532" xr:uid="{00000000-0005-0000-0000-00008C4B0000}"/>
    <cellStyle name="Normal 2 2 2 2 2 2 2 63 2 4" xfId="18533" xr:uid="{00000000-0005-0000-0000-00008D4B0000}"/>
    <cellStyle name="Normal 2 2 2 2 2 2 2 63 2 5" xfId="18534" xr:uid="{00000000-0005-0000-0000-00008E4B0000}"/>
    <cellStyle name="Normal 2 2 2 2 2 2 2 63 2 6" xfId="18535" xr:uid="{00000000-0005-0000-0000-00008F4B0000}"/>
    <cellStyle name="Normal 2 2 2 2 2 2 2 63 2 7" xfId="18536" xr:uid="{00000000-0005-0000-0000-0000904B0000}"/>
    <cellStyle name="Normal 2 2 2 2 2 2 2 63 2 8" xfId="18537" xr:uid="{00000000-0005-0000-0000-0000914B0000}"/>
    <cellStyle name="Normal 2 2 2 2 2 2 2 63 2 9" xfId="18538" xr:uid="{00000000-0005-0000-0000-0000924B0000}"/>
    <cellStyle name="Normal 2 2 2 2 2 2 2 63 3" xfId="18539" xr:uid="{00000000-0005-0000-0000-0000934B0000}"/>
    <cellStyle name="Normal 2 2 2 2 2 2 2 63 4" xfId="18540" xr:uid="{00000000-0005-0000-0000-0000944B0000}"/>
    <cellStyle name="Normal 2 2 2 2 2 2 2 63 5" xfId="18541" xr:uid="{00000000-0005-0000-0000-0000954B0000}"/>
    <cellStyle name="Normal 2 2 2 2 2 2 2 63 5 2" xfId="18542" xr:uid="{00000000-0005-0000-0000-0000964B0000}"/>
    <cellStyle name="Normal 2 2 2 2 2 2 2 63 5 3" xfId="18543" xr:uid="{00000000-0005-0000-0000-0000974B0000}"/>
    <cellStyle name="Normal 2 2 2 2 2 2 2 63 6" xfId="18544" xr:uid="{00000000-0005-0000-0000-0000984B0000}"/>
    <cellStyle name="Normal 2 2 2 2 2 2 2 63 7" xfId="18545" xr:uid="{00000000-0005-0000-0000-0000994B0000}"/>
    <cellStyle name="Normal 2 2 2 2 2 2 2 63 8" xfId="18546" xr:uid="{00000000-0005-0000-0000-00009A4B0000}"/>
    <cellStyle name="Normal 2 2 2 2 2 2 2 63 9" xfId="18547" xr:uid="{00000000-0005-0000-0000-00009B4B0000}"/>
    <cellStyle name="Normal 2 2 2 2 2 2 2 64" xfId="18548" xr:uid="{00000000-0005-0000-0000-00009C4B0000}"/>
    <cellStyle name="Normal 2 2 2 2 2 2 2 65" xfId="18549" xr:uid="{00000000-0005-0000-0000-00009D4B0000}"/>
    <cellStyle name="Normal 2 2 2 2 2 2 2 66" xfId="18550" xr:uid="{00000000-0005-0000-0000-00009E4B0000}"/>
    <cellStyle name="Normal 2 2 2 2 2 2 2 66 2" xfId="18551" xr:uid="{00000000-0005-0000-0000-00009F4B0000}"/>
    <cellStyle name="Normal 2 2 2 2 2 2 2 66 2 2" xfId="18552" xr:uid="{00000000-0005-0000-0000-0000A04B0000}"/>
    <cellStyle name="Normal 2 2 2 2 2 2 2 66 2 3" xfId="18553" xr:uid="{00000000-0005-0000-0000-0000A14B0000}"/>
    <cellStyle name="Normal 2 2 2 2 2 2 2 66 3" xfId="18554" xr:uid="{00000000-0005-0000-0000-0000A24B0000}"/>
    <cellStyle name="Normal 2 2 2 2 2 2 2 66 4" xfId="18555" xr:uid="{00000000-0005-0000-0000-0000A34B0000}"/>
    <cellStyle name="Normal 2 2 2 2 2 2 2 66 5" xfId="18556" xr:uid="{00000000-0005-0000-0000-0000A44B0000}"/>
    <cellStyle name="Normal 2 2 2 2 2 2 2 66 6" xfId="18557" xr:uid="{00000000-0005-0000-0000-0000A54B0000}"/>
    <cellStyle name="Normal 2 2 2 2 2 2 2 66 7" xfId="18558" xr:uid="{00000000-0005-0000-0000-0000A64B0000}"/>
    <cellStyle name="Normal 2 2 2 2 2 2 2 66 8" xfId="18559" xr:uid="{00000000-0005-0000-0000-0000A74B0000}"/>
    <cellStyle name="Normal 2 2 2 2 2 2 2 66 9" xfId="18560" xr:uid="{00000000-0005-0000-0000-0000A84B0000}"/>
    <cellStyle name="Normal 2 2 2 2 2 2 2 67" xfId="18561" xr:uid="{00000000-0005-0000-0000-0000A94B0000}"/>
    <cellStyle name="Normal 2 2 2 2 2 2 2 68" xfId="18562" xr:uid="{00000000-0005-0000-0000-0000AA4B0000}"/>
    <cellStyle name="Normal 2 2 2 2 2 2 2 68 2" xfId="18563" xr:uid="{00000000-0005-0000-0000-0000AB4B0000}"/>
    <cellStyle name="Normal 2 2 2 2 2 2 2 68 3" xfId="18564" xr:uid="{00000000-0005-0000-0000-0000AC4B0000}"/>
    <cellStyle name="Normal 2 2 2 2 2 2 2 69" xfId="18565" xr:uid="{00000000-0005-0000-0000-0000AD4B0000}"/>
    <cellStyle name="Normal 2 2 2 2 2 2 2 7" xfId="18566" xr:uid="{00000000-0005-0000-0000-0000AE4B0000}"/>
    <cellStyle name="Normal 2 2 2 2 2 2 2 7 10" xfId="18567" xr:uid="{00000000-0005-0000-0000-0000AF4B0000}"/>
    <cellStyle name="Normal 2 2 2 2 2 2 2 7 11" xfId="18568" xr:uid="{00000000-0005-0000-0000-0000B04B0000}"/>
    <cellStyle name="Normal 2 2 2 2 2 2 2 7 12" xfId="18569" xr:uid="{00000000-0005-0000-0000-0000B14B0000}"/>
    <cellStyle name="Normal 2 2 2 2 2 2 2 7 13" xfId="18570" xr:uid="{00000000-0005-0000-0000-0000B24B0000}"/>
    <cellStyle name="Normal 2 2 2 2 2 2 2 7 2" xfId="18571" xr:uid="{00000000-0005-0000-0000-0000B34B0000}"/>
    <cellStyle name="Normal 2 2 2 2 2 2 2 7 2 2" xfId="18572" xr:uid="{00000000-0005-0000-0000-0000B44B0000}"/>
    <cellStyle name="Normal 2 2 2 2 2 2 2 7 2 3" xfId="18573" xr:uid="{00000000-0005-0000-0000-0000B54B0000}"/>
    <cellStyle name="Normal 2 2 2 2 2 2 2 7 2 4" xfId="18574" xr:uid="{00000000-0005-0000-0000-0000B64B0000}"/>
    <cellStyle name="Normal 2 2 2 2 2 2 2 7 2 5" xfId="18575" xr:uid="{00000000-0005-0000-0000-0000B74B0000}"/>
    <cellStyle name="Normal 2 2 2 2 2 2 2 7 2 6" xfId="18576" xr:uid="{00000000-0005-0000-0000-0000B84B0000}"/>
    <cellStyle name="Normal 2 2 2 2 2 2 2 7 3" xfId="18577" xr:uid="{00000000-0005-0000-0000-0000B94B0000}"/>
    <cellStyle name="Normal 2 2 2 2 2 2 2 7 3 2" xfId="18578" xr:uid="{00000000-0005-0000-0000-0000BA4B0000}"/>
    <cellStyle name="Normal 2 2 2 2 2 2 2 7 3 3" xfId="18579" xr:uid="{00000000-0005-0000-0000-0000BB4B0000}"/>
    <cellStyle name="Normal 2 2 2 2 2 2 2 7 3 4" xfId="18580" xr:uid="{00000000-0005-0000-0000-0000BC4B0000}"/>
    <cellStyle name="Normal 2 2 2 2 2 2 2 7 3 5" xfId="18581" xr:uid="{00000000-0005-0000-0000-0000BD4B0000}"/>
    <cellStyle name="Normal 2 2 2 2 2 2 2 7 3 6" xfId="18582" xr:uid="{00000000-0005-0000-0000-0000BE4B0000}"/>
    <cellStyle name="Normal 2 2 2 2 2 2 2 7 4" xfId="18583" xr:uid="{00000000-0005-0000-0000-0000BF4B0000}"/>
    <cellStyle name="Normal 2 2 2 2 2 2 2 7 4 2" xfId="18584" xr:uid="{00000000-0005-0000-0000-0000C04B0000}"/>
    <cellStyle name="Normal 2 2 2 2 2 2 2 7 4 3" xfId="18585" xr:uid="{00000000-0005-0000-0000-0000C14B0000}"/>
    <cellStyle name="Normal 2 2 2 2 2 2 2 7 4 4" xfId="18586" xr:uid="{00000000-0005-0000-0000-0000C24B0000}"/>
    <cellStyle name="Normal 2 2 2 2 2 2 2 7 4 5" xfId="18587" xr:uid="{00000000-0005-0000-0000-0000C34B0000}"/>
    <cellStyle name="Normal 2 2 2 2 2 2 2 7 4 6" xfId="18588" xr:uid="{00000000-0005-0000-0000-0000C44B0000}"/>
    <cellStyle name="Normal 2 2 2 2 2 2 2 7 5" xfId="18589" xr:uid="{00000000-0005-0000-0000-0000C54B0000}"/>
    <cellStyle name="Normal 2 2 2 2 2 2 2 7 5 2" xfId="18590" xr:uid="{00000000-0005-0000-0000-0000C64B0000}"/>
    <cellStyle name="Normal 2 2 2 2 2 2 2 7 5 3" xfId="18591" xr:uid="{00000000-0005-0000-0000-0000C74B0000}"/>
    <cellStyle name="Normal 2 2 2 2 2 2 2 7 5 4" xfId="18592" xr:uid="{00000000-0005-0000-0000-0000C84B0000}"/>
    <cellStyle name="Normal 2 2 2 2 2 2 2 7 5 5" xfId="18593" xr:uid="{00000000-0005-0000-0000-0000C94B0000}"/>
    <cellStyle name="Normal 2 2 2 2 2 2 2 7 5 6" xfId="18594" xr:uid="{00000000-0005-0000-0000-0000CA4B0000}"/>
    <cellStyle name="Normal 2 2 2 2 2 2 2 7 6" xfId="18595" xr:uid="{00000000-0005-0000-0000-0000CB4B0000}"/>
    <cellStyle name="Normal 2 2 2 2 2 2 2 7 6 2" xfId="18596" xr:uid="{00000000-0005-0000-0000-0000CC4B0000}"/>
    <cellStyle name="Normal 2 2 2 2 2 2 2 7 6 3" xfId="18597" xr:uid="{00000000-0005-0000-0000-0000CD4B0000}"/>
    <cellStyle name="Normal 2 2 2 2 2 2 2 7 6 4" xfId="18598" xr:uid="{00000000-0005-0000-0000-0000CE4B0000}"/>
    <cellStyle name="Normal 2 2 2 2 2 2 2 7 6 5" xfId="18599" xr:uid="{00000000-0005-0000-0000-0000CF4B0000}"/>
    <cellStyle name="Normal 2 2 2 2 2 2 2 7 6 6" xfId="18600" xr:uid="{00000000-0005-0000-0000-0000D04B0000}"/>
    <cellStyle name="Normal 2 2 2 2 2 2 2 7 7" xfId="18601" xr:uid="{00000000-0005-0000-0000-0000D14B0000}"/>
    <cellStyle name="Normal 2 2 2 2 2 2 2 7 7 2" xfId="18602" xr:uid="{00000000-0005-0000-0000-0000D24B0000}"/>
    <cellStyle name="Normal 2 2 2 2 2 2 2 7 7 3" xfId="18603" xr:uid="{00000000-0005-0000-0000-0000D34B0000}"/>
    <cellStyle name="Normal 2 2 2 2 2 2 2 7 7 4" xfId="18604" xr:uid="{00000000-0005-0000-0000-0000D44B0000}"/>
    <cellStyle name="Normal 2 2 2 2 2 2 2 7 7 5" xfId="18605" xr:uid="{00000000-0005-0000-0000-0000D54B0000}"/>
    <cellStyle name="Normal 2 2 2 2 2 2 2 7 7 6" xfId="18606" xr:uid="{00000000-0005-0000-0000-0000D64B0000}"/>
    <cellStyle name="Normal 2 2 2 2 2 2 2 7 8" xfId="18607" xr:uid="{00000000-0005-0000-0000-0000D74B0000}"/>
    <cellStyle name="Normal 2 2 2 2 2 2 2 7 8 2" xfId="18608" xr:uid="{00000000-0005-0000-0000-0000D84B0000}"/>
    <cellStyle name="Normal 2 2 2 2 2 2 2 7 8 3" xfId="18609" xr:uid="{00000000-0005-0000-0000-0000D94B0000}"/>
    <cellStyle name="Normal 2 2 2 2 2 2 2 7 8 4" xfId="18610" xr:uid="{00000000-0005-0000-0000-0000DA4B0000}"/>
    <cellStyle name="Normal 2 2 2 2 2 2 2 7 8 5" xfId="18611" xr:uid="{00000000-0005-0000-0000-0000DB4B0000}"/>
    <cellStyle name="Normal 2 2 2 2 2 2 2 7 8 6" xfId="18612" xr:uid="{00000000-0005-0000-0000-0000DC4B0000}"/>
    <cellStyle name="Normal 2 2 2 2 2 2 2 7 9" xfId="18613" xr:uid="{00000000-0005-0000-0000-0000DD4B0000}"/>
    <cellStyle name="Normal 2 2 2 2 2 2 2 70" xfId="18614" xr:uid="{00000000-0005-0000-0000-0000DE4B0000}"/>
    <cellStyle name="Normal 2 2 2 2 2 2 2 71" xfId="18615" xr:uid="{00000000-0005-0000-0000-0000DF4B0000}"/>
    <cellStyle name="Normal 2 2 2 2 2 2 2 72" xfId="18616" xr:uid="{00000000-0005-0000-0000-0000E04B0000}"/>
    <cellStyle name="Normal 2 2 2 2 2 2 2 73" xfId="18617" xr:uid="{00000000-0005-0000-0000-0000E14B0000}"/>
    <cellStyle name="Normal 2 2 2 2 2 2 2 74" xfId="18618" xr:uid="{00000000-0005-0000-0000-0000E24B0000}"/>
    <cellStyle name="Normal 2 2 2 2 2 2 2 75" xfId="18619" xr:uid="{00000000-0005-0000-0000-0000E34B0000}"/>
    <cellStyle name="Normal 2 2 2 2 2 2 2 8" xfId="18620" xr:uid="{00000000-0005-0000-0000-0000E44B0000}"/>
    <cellStyle name="Normal 2 2 2 2 2 2 2 8 10" xfId="18621" xr:uid="{00000000-0005-0000-0000-0000E54B0000}"/>
    <cellStyle name="Normal 2 2 2 2 2 2 2 8 11" xfId="18622" xr:uid="{00000000-0005-0000-0000-0000E64B0000}"/>
    <cellStyle name="Normal 2 2 2 2 2 2 2 8 12" xfId="18623" xr:uid="{00000000-0005-0000-0000-0000E74B0000}"/>
    <cellStyle name="Normal 2 2 2 2 2 2 2 8 13" xfId="18624" xr:uid="{00000000-0005-0000-0000-0000E84B0000}"/>
    <cellStyle name="Normal 2 2 2 2 2 2 2 8 2" xfId="18625" xr:uid="{00000000-0005-0000-0000-0000E94B0000}"/>
    <cellStyle name="Normal 2 2 2 2 2 2 2 8 2 2" xfId="18626" xr:uid="{00000000-0005-0000-0000-0000EA4B0000}"/>
    <cellStyle name="Normal 2 2 2 2 2 2 2 8 2 3" xfId="18627" xr:uid="{00000000-0005-0000-0000-0000EB4B0000}"/>
    <cellStyle name="Normal 2 2 2 2 2 2 2 8 2 4" xfId="18628" xr:uid="{00000000-0005-0000-0000-0000EC4B0000}"/>
    <cellStyle name="Normal 2 2 2 2 2 2 2 8 2 5" xfId="18629" xr:uid="{00000000-0005-0000-0000-0000ED4B0000}"/>
    <cellStyle name="Normal 2 2 2 2 2 2 2 8 2 6" xfId="18630" xr:uid="{00000000-0005-0000-0000-0000EE4B0000}"/>
    <cellStyle name="Normal 2 2 2 2 2 2 2 8 3" xfId="18631" xr:uid="{00000000-0005-0000-0000-0000EF4B0000}"/>
    <cellStyle name="Normal 2 2 2 2 2 2 2 8 3 2" xfId="18632" xr:uid="{00000000-0005-0000-0000-0000F04B0000}"/>
    <cellStyle name="Normal 2 2 2 2 2 2 2 8 3 3" xfId="18633" xr:uid="{00000000-0005-0000-0000-0000F14B0000}"/>
    <cellStyle name="Normal 2 2 2 2 2 2 2 8 3 4" xfId="18634" xr:uid="{00000000-0005-0000-0000-0000F24B0000}"/>
    <cellStyle name="Normal 2 2 2 2 2 2 2 8 3 5" xfId="18635" xr:uid="{00000000-0005-0000-0000-0000F34B0000}"/>
    <cellStyle name="Normal 2 2 2 2 2 2 2 8 3 6" xfId="18636" xr:uid="{00000000-0005-0000-0000-0000F44B0000}"/>
    <cellStyle name="Normal 2 2 2 2 2 2 2 8 4" xfId="18637" xr:uid="{00000000-0005-0000-0000-0000F54B0000}"/>
    <cellStyle name="Normal 2 2 2 2 2 2 2 8 4 2" xfId="18638" xr:uid="{00000000-0005-0000-0000-0000F64B0000}"/>
    <cellStyle name="Normal 2 2 2 2 2 2 2 8 4 3" xfId="18639" xr:uid="{00000000-0005-0000-0000-0000F74B0000}"/>
    <cellStyle name="Normal 2 2 2 2 2 2 2 8 4 4" xfId="18640" xr:uid="{00000000-0005-0000-0000-0000F84B0000}"/>
    <cellStyle name="Normal 2 2 2 2 2 2 2 8 4 5" xfId="18641" xr:uid="{00000000-0005-0000-0000-0000F94B0000}"/>
    <cellStyle name="Normal 2 2 2 2 2 2 2 8 4 6" xfId="18642" xr:uid="{00000000-0005-0000-0000-0000FA4B0000}"/>
    <cellStyle name="Normal 2 2 2 2 2 2 2 8 5" xfId="18643" xr:uid="{00000000-0005-0000-0000-0000FB4B0000}"/>
    <cellStyle name="Normal 2 2 2 2 2 2 2 8 5 2" xfId="18644" xr:uid="{00000000-0005-0000-0000-0000FC4B0000}"/>
    <cellStyle name="Normal 2 2 2 2 2 2 2 8 5 3" xfId="18645" xr:uid="{00000000-0005-0000-0000-0000FD4B0000}"/>
    <cellStyle name="Normal 2 2 2 2 2 2 2 8 5 4" xfId="18646" xr:uid="{00000000-0005-0000-0000-0000FE4B0000}"/>
    <cellStyle name="Normal 2 2 2 2 2 2 2 8 5 5" xfId="18647" xr:uid="{00000000-0005-0000-0000-0000FF4B0000}"/>
    <cellStyle name="Normal 2 2 2 2 2 2 2 8 5 6" xfId="18648" xr:uid="{00000000-0005-0000-0000-0000004C0000}"/>
    <cellStyle name="Normal 2 2 2 2 2 2 2 8 6" xfId="18649" xr:uid="{00000000-0005-0000-0000-0000014C0000}"/>
    <cellStyle name="Normal 2 2 2 2 2 2 2 8 6 2" xfId="18650" xr:uid="{00000000-0005-0000-0000-0000024C0000}"/>
    <cellStyle name="Normal 2 2 2 2 2 2 2 8 6 3" xfId="18651" xr:uid="{00000000-0005-0000-0000-0000034C0000}"/>
    <cellStyle name="Normal 2 2 2 2 2 2 2 8 6 4" xfId="18652" xr:uid="{00000000-0005-0000-0000-0000044C0000}"/>
    <cellStyle name="Normal 2 2 2 2 2 2 2 8 6 5" xfId="18653" xr:uid="{00000000-0005-0000-0000-0000054C0000}"/>
    <cellStyle name="Normal 2 2 2 2 2 2 2 8 6 6" xfId="18654" xr:uid="{00000000-0005-0000-0000-0000064C0000}"/>
    <cellStyle name="Normal 2 2 2 2 2 2 2 8 7" xfId="18655" xr:uid="{00000000-0005-0000-0000-0000074C0000}"/>
    <cellStyle name="Normal 2 2 2 2 2 2 2 8 7 2" xfId="18656" xr:uid="{00000000-0005-0000-0000-0000084C0000}"/>
    <cellStyle name="Normal 2 2 2 2 2 2 2 8 7 3" xfId="18657" xr:uid="{00000000-0005-0000-0000-0000094C0000}"/>
    <cellStyle name="Normal 2 2 2 2 2 2 2 8 7 4" xfId="18658" xr:uid="{00000000-0005-0000-0000-00000A4C0000}"/>
    <cellStyle name="Normal 2 2 2 2 2 2 2 8 7 5" xfId="18659" xr:uid="{00000000-0005-0000-0000-00000B4C0000}"/>
    <cellStyle name="Normal 2 2 2 2 2 2 2 8 7 6" xfId="18660" xr:uid="{00000000-0005-0000-0000-00000C4C0000}"/>
    <cellStyle name="Normal 2 2 2 2 2 2 2 8 8" xfId="18661" xr:uid="{00000000-0005-0000-0000-00000D4C0000}"/>
    <cellStyle name="Normal 2 2 2 2 2 2 2 8 8 2" xfId="18662" xr:uid="{00000000-0005-0000-0000-00000E4C0000}"/>
    <cellStyle name="Normal 2 2 2 2 2 2 2 8 8 3" xfId="18663" xr:uid="{00000000-0005-0000-0000-00000F4C0000}"/>
    <cellStyle name="Normal 2 2 2 2 2 2 2 8 8 4" xfId="18664" xr:uid="{00000000-0005-0000-0000-0000104C0000}"/>
    <cellStyle name="Normal 2 2 2 2 2 2 2 8 8 5" xfId="18665" xr:uid="{00000000-0005-0000-0000-0000114C0000}"/>
    <cellStyle name="Normal 2 2 2 2 2 2 2 8 8 6" xfId="18666" xr:uid="{00000000-0005-0000-0000-0000124C0000}"/>
    <cellStyle name="Normal 2 2 2 2 2 2 2 8 9" xfId="18667" xr:uid="{00000000-0005-0000-0000-0000134C0000}"/>
    <cellStyle name="Normal 2 2 2 2 2 2 2 9" xfId="18668" xr:uid="{00000000-0005-0000-0000-0000144C0000}"/>
    <cellStyle name="Normal 2 2 2 2 2 2 2 9 10" xfId="18669" xr:uid="{00000000-0005-0000-0000-0000154C0000}"/>
    <cellStyle name="Normal 2 2 2 2 2 2 2 9 11" xfId="18670" xr:uid="{00000000-0005-0000-0000-0000164C0000}"/>
    <cellStyle name="Normal 2 2 2 2 2 2 2 9 12" xfId="18671" xr:uid="{00000000-0005-0000-0000-0000174C0000}"/>
    <cellStyle name="Normal 2 2 2 2 2 2 2 9 13" xfId="18672" xr:uid="{00000000-0005-0000-0000-0000184C0000}"/>
    <cellStyle name="Normal 2 2 2 2 2 2 2 9 2" xfId="18673" xr:uid="{00000000-0005-0000-0000-0000194C0000}"/>
    <cellStyle name="Normal 2 2 2 2 2 2 2 9 2 2" xfId="18674" xr:uid="{00000000-0005-0000-0000-00001A4C0000}"/>
    <cellStyle name="Normal 2 2 2 2 2 2 2 9 2 3" xfId="18675" xr:uid="{00000000-0005-0000-0000-00001B4C0000}"/>
    <cellStyle name="Normal 2 2 2 2 2 2 2 9 2 4" xfId="18676" xr:uid="{00000000-0005-0000-0000-00001C4C0000}"/>
    <cellStyle name="Normal 2 2 2 2 2 2 2 9 2 5" xfId="18677" xr:uid="{00000000-0005-0000-0000-00001D4C0000}"/>
    <cellStyle name="Normal 2 2 2 2 2 2 2 9 2 6" xfId="18678" xr:uid="{00000000-0005-0000-0000-00001E4C0000}"/>
    <cellStyle name="Normal 2 2 2 2 2 2 2 9 3" xfId="18679" xr:uid="{00000000-0005-0000-0000-00001F4C0000}"/>
    <cellStyle name="Normal 2 2 2 2 2 2 2 9 3 2" xfId="18680" xr:uid="{00000000-0005-0000-0000-0000204C0000}"/>
    <cellStyle name="Normal 2 2 2 2 2 2 2 9 3 3" xfId="18681" xr:uid="{00000000-0005-0000-0000-0000214C0000}"/>
    <cellStyle name="Normal 2 2 2 2 2 2 2 9 3 4" xfId="18682" xr:uid="{00000000-0005-0000-0000-0000224C0000}"/>
    <cellStyle name="Normal 2 2 2 2 2 2 2 9 3 5" xfId="18683" xr:uid="{00000000-0005-0000-0000-0000234C0000}"/>
    <cellStyle name="Normal 2 2 2 2 2 2 2 9 3 6" xfId="18684" xr:uid="{00000000-0005-0000-0000-0000244C0000}"/>
    <cellStyle name="Normal 2 2 2 2 2 2 2 9 4" xfId="18685" xr:uid="{00000000-0005-0000-0000-0000254C0000}"/>
    <cellStyle name="Normal 2 2 2 2 2 2 2 9 4 2" xfId="18686" xr:uid="{00000000-0005-0000-0000-0000264C0000}"/>
    <cellStyle name="Normal 2 2 2 2 2 2 2 9 4 3" xfId="18687" xr:uid="{00000000-0005-0000-0000-0000274C0000}"/>
    <cellStyle name="Normal 2 2 2 2 2 2 2 9 4 4" xfId="18688" xr:uid="{00000000-0005-0000-0000-0000284C0000}"/>
    <cellStyle name="Normal 2 2 2 2 2 2 2 9 4 5" xfId="18689" xr:uid="{00000000-0005-0000-0000-0000294C0000}"/>
    <cellStyle name="Normal 2 2 2 2 2 2 2 9 4 6" xfId="18690" xr:uid="{00000000-0005-0000-0000-00002A4C0000}"/>
    <cellStyle name="Normal 2 2 2 2 2 2 2 9 5" xfId="18691" xr:uid="{00000000-0005-0000-0000-00002B4C0000}"/>
    <cellStyle name="Normal 2 2 2 2 2 2 2 9 5 2" xfId="18692" xr:uid="{00000000-0005-0000-0000-00002C4C0000}"/>
    <cellStyle name="Normal 2 2 2 2 2 2 2 9 5 3" xfId="18693" xr:uid="{00000000-0005-0000-0000-00002D4C0000}"/>
    <cellStyle name="Normal 2 2 2 2 2 2 2 9 5 4" xfId="18694" xr:uid="{00000000-0005-0000-0000-00002E4C0000}"/>
    <cellStyle name="Normal 2 2 2 2 2 2 2 9 5 5" xfId="18695" xr:uid="{00000000-0005-0000-0000-00002F4C0000}"/>
    <cellStyle name="Normal 2 2 2 2 2 2 2 9 5 6" xfId="18696" xr:uid="{00000000-0005-0000-0000-0000304C0000}"/>
    <cellStyle name="Normal 2 2 2 2 2 2 2 9 6" xfId="18697" xr:uid="{00000000-0005-0000-0000-0000314C0000}"/>
    <cellStyle name="Normal 2 2 2 2 2 2 2 9 6 2" xfId="18698" xr:uid="{00000000-0005-0000-0000-0000324C0000}"/>
    <cellStyle name="Normal 2 2 2 2 2 2 2 9 6 3" xfId="18699" xr:uid="{00000000-0005-0000-0000-0000334C0000}"/>
    <cellStyle name="Normal 2 2 2 2 2 2 2 9 6 4" xfId="18700" xr:uid="{00000000-0005-0000-0000-0000344C0000}"/>
    <cellStyle name="Normal 2 2 2 2 2 2 2 9 6 5" xfId="18701" xr:uid="{00000000-0005-0000-0000-0000354C0000}"/>
    <cellStyle name="Normal 2 2 2 2 2 2 2 9 6 6" xfId="18702" xr:uid="{00000000-0005-0000-0000-0000364C0000}"/>
    <cellStyle name="Normal 2 2 2 2 2 2 2 9 7" xfId="18703" xr:uid="{00000000-0005-0000-0000-0000374C0000}"/>
    <cellStyle name="Normal 2 2 2 2 2 2 2 9 7 2" xfId="18704" xr:uid="{00000000-0005-0000-0000-0000384C0000}"/>
    <cellStyle name="Normal 2 2 2 2 2 2 2 9 7 3" xfId="18705" xr:uid="{00000000-0005-0000-0000-0000394C0000}"/>
    <cellStyle name="Normal 2 2 2 2 2 2 2 9 7 4" xfId="18706" xr:uid="{00000000-0005-0000-0000-00003A4C0000}"/>
    <cellStyle name="Normal 2 2 2 2 2 2 2 9 7 5" xfId="18707" xr:uid="{00000000-0005-0000-0000-00003B4C0000}"/>
    <cellStyle name="Normal 2 2 2 2 2 2 2 9 7 6" xfId="18708" xr:uid="{00000000-0005-0000-0000-00003C4C0000}"/>
    <cellStyle name="Normal 2 2 2 2 2 2 2 9 8" xfId="18709" xr:uid="{00000000-0005-0000-0000-00003D4C0000}"/>
    <cellStyle name="Normal 2 2 2 2 2 2 2 9 8 2" xfId="18710" xr:uid="{00000000-0005-0000-0000-00003E4C0000}"/>
    <cellStyle name="Normal 2 2 2 2 2 2 2 9 8 3" xfId="18711" xr:uid="{00000000-0005-0000-0000-00003F4C0000}"/>
    <cellStyle name="Normal 2 2 2 2 2 2 2 9 8 4" xfId="18712" xr:uid="{00000000-0005-0000-0000-0000404C0000}"/>
    <cellStyle name="Normal 2 2 2 2 2 2 2 9 8 5" xfId="18713" xr:uid="{00000000-0005-0000-0000-0000414C0000}"/>
    <cellStyle name="Normal 2 2 2 2 2 2 2 9 8 6" xfId="18714" xr:uid="{00000000-0005-0000-0000-0000424C0000}"/>
    <cellStyle name="Normal 2 2 2 2 2 2 2 9 9" xfId="18715" xr:uid="{00000000-0005-0000-0000-0000434C0000}"/>
    <cellStyle name="Normal 2 2 2 2 2 2 20" xfId="18716" xr:uid="{00000000-0005-0000-0000-0000444C0000}"/>
    <cellStyle name="Normal 2 2 2 2 2 2 20 10" xfId="18717" xr:uid="{00000000-0005-0000-0000-0000454C0000}"/>
    <cellStyle name="Normal 2 2 2 2 2 2 20 11" xfId="18718" xr:uid="{00000000-0005-0000-0000-0000464C0000}"/>
    <cellStyle name="Normal 2 2 2 2 2 2 20 12" xfId="18719" xr:uid="{00000000-0005-0000-0000-0000474C0000}"/>
    <cellStyle name="Normal 2 2 2 2 2 2 20 13" xfId="18720" xr:uid="{00000000-0005-0000-0000-0000484C0000}"/>
    <cellStyle name="Normal 2 2 2 2 2 2 20 2" xfId="18721" xr:uid="{00000000-0005-0000-0000-0000494C0000}"/>
    <cellStyle name="Normal 2 2 2 2 2 2 20 2 2" xfId="18722" xr:uid="{00000000-0005-0000-0000-00004A4C0000}"/>
    <cellStyle name="Normal 2 2 2 2 2 2 20 2 3" xfId="18723" xr:uid="{00000000-0005-0000-0000-00004B4C0000}"/>
    <cellStyle name="Normal 2 2 2 2 2 2 20 2 4" xfId="18724" xr:uid="{00000000-0005-0000-0000-00004C4C0000}"/>
    <cellStyle name="Normal 2 2 2 2 2 2 20 2 5" xfId="18725" xr:uid="{00000000-0005-0000-0000-00004D4C0000}"/>
    <cellStyle name="Normal 2 2 2 2 2 2 20 2 6" xfId="18726" xr:uid="{00000000-0005-0000-0000-00004E4C0000}"/>
    <cellStyle name="Normal 2 2 2 2 2 2 20 3" xfId="18727" xr:uid="{00000000-0005-0000-0000-00004F4C0000}"/>
    <cellStyle name="Normal 2 2 2 2 2 2 20 3 2" xfId="18728" xr:uid="{00000000-0005-0000-0000-0000504C0000}"/>
    <cellStyle name="Normal 2 2 2 2 2 2 20 3 3" xfId="18729" xr:uid="{00000000-0005-0000-0000-0000514C0000}"/>
    <cellStyle name="Normal 2 2 2 2 2 2 20 3 4" xfId="18730" xr:uid="{00000000-0005-0000-0000-0000524C0000}"/>
    <cellStyle name="Normal 2 2 2 2 2 2 20 3 5" xfId="18731" xr:uid="{00000000-0005-0000-0000-0000534C0000}"/>
    <cellStyle name="Normal 2 2 2 2 2 2 20 3 6" xfId="18732" xr:uid="{00000000-0005-0000-0000-0000544C0000}"/>
    <cellStyle name="Normal 2 2 2 2 2 2 20 4" xfId="18733" xr:uid="{00000000-0005-0000-0000-0000554C0000}"/>
    <cellStyle name="Normal 2 2 2 2 2 2 20 4 2" xfId="18734" xr:uid="{00000000-0005-0000-0000-0000564C0000}"/>
    <cellStyle name="Normal 2 2 2 2 2 2 20 4 3" xfId="18735" xr:uid="{00000000-0005-0000-0000-0000574C0000}"/>
    <cellStyle name="Normal 2 2 2 2 2 2 20 4 4" xfId="18736" xr:uid="{00000000-0005-0000-0000-0000584C0000}"/>
    <cellStyle name="Normal 2 2 2 2 2 2 20 4 5" xfId="18737" xr:uid="{00000000-0005-0000-0000-0000594C0000}"/>
    <cellStyle name="Normal 2 2 2 2 2 2 20 4 6" xfId="18738" xr:uid="{00000000-0005-0000-0000-00005A4C0000}"/>
    <cellStyle name="Normal 2 2 2 2 2 2 20 5" xfId="18739" xr:uid="{00000000-0005-0000-0000-00005B4C0000}"/>
    <cellStyle name="Normal 2 2 2 2 2 2 20 5 2" xfId="18740" xr:uid="{00000000-0005-0000-0000-00005C4C0000}"/>
    <cellStyle name="Normal 2 2 2 2 2 2 20 5 3" xfId="18741" xr:uid="{00000000-0005-0000-0000-00005D4C0000}"/>
    <cellStyle name="Normal 2 2 2 2 2 2 20 5 4" xfId="18742" xr:uid="{00000000-0005-0000-0000-00005E4C0000}"/>
    <cellStyle name="Normal 2 2 2 2 2 2 20 5 5" xfId="18743" xr:uid="{00000000-0005-0000-0000-00005F4C0000}"/>
    <cellStyle name="Normal 2 2 2 2 2 2 20 5 6" xfId="18744" xr:uid="{00000000-0005-0000-0000-0000604C0000}"/>
    <cellStyle name="Normal 2 2 2 2 2 2 20 6" xfId="18745" xr:uid="{00000000-0005-0000-0000-0000614C0000}"/>
    <cellStyle name="Normal 2 2 2 2 2 2 20 6 2" xfId="18746" xr:uid="{00000000-0005-0000-0000-0000624C0000}"/>
    <cellStyle name="Normal 2 2 2 2 2 2 20 6 3" xfId="18747" xr:uid="{00000000-0005-0000-0000-0000634C0000}"/>
    <cellStyle name="Normal 2 2 2 2 2 2 20 6 4" xfId="18748" xr:uid="{00000000-0005-0000-0000-0000644C0000}"/>
    <cellStyle name="Normal 2 2 2 2 2 2 20 6 5" xfId="18749" xr:uid="{00000000-0005-0000-0000-0000654C0000}"/>
    <cellStyle name="Normal 2 2 2 2 2 2 20 6 6" xfId="18750" xr:uid="{00000000-0005-0000-0000-0000664C0000}"/>
    <cellStyle name="Normal 2 2 2 2 2 2 20 7" xfId="18751" xr:uid="{00000000-0005-0000-0000-0000674C0000}"/>
    <cellStyle name="Normal 2 2 2 2 2 2 20 7 2" xfId="18752" xr:uid="{00000000-0005-0000-0000-0000684C0000}"/>
    <cellStyle name="Normal 2 2 2 2 2 2 20 7 3" xfId="18753" xr:uid="{00000000-0005-0000-0000-0000694C0000}"/>
    <cellStyle name="Normal 2 2 2 2 2 2 20 7 4" xfId="18754" xr:uid="{00000000-0005-0000-0000-00006A4C0000}"/>
    <cellStyle name="Normal 2 2 2 2 2 2 20 7 5" xfId="18755" xr:uid="{00000000-0005-0000-0000-00006B4C0000}"/>
    <cellStyle name="Normal 2 2 2 2 2 2 20 7 6" xfId="18756" xr:uid="{00000000-0005-0000-0000-00006C4C0000}"/>
    <cellStyle name="Normal 2 2 2 2 2 2 20 8" xfId="18757" xr:uid="{00000000-0005-0000-0000-00006D4C0000}"/>
    <cellStyle name="Normal 2 2 2 2 2 2 20 8 2" xfId="18758" xr:uid="{00000000-0005-0000-0000-00006E4C0000}"/>
    <cellStyle name="Normal 2 2 2 2 2 2 20 8 3" xfId="18759" xr:uid="{00000000-0005-0000-0000-00006F4C0000}"/>
    <cellStyle name="Normal 2 2 2 2 2 2 20 8 4" xfId="18760" xr:uid="{00000000-0005-0000-0000-0000704C0000}"/>
    <cellStyle name="Normal 2 2 2 2 2 2 20 8 5" xfId="18761" xr:uid="{00000000-0005-0000-0000-0000714C0000}"/>
    <cellStyle name="Normal 2 2 2 2 2 2 20 8 6" xfId="18762" xr:uid="{00000000-0005-0000-0000-0000724C0000}"/>
    <cellStyle name="Normal 2 2 2 2 2 2 20 9" xfId="18763" xr:uid="{00000000-0005-0000-0000-0000734C0000}"/>
    <cellStyle name="Normal 2 2 2 2 2 2 21" xfId="18764" xr:uid="{00000000-0005-0000-0000-0000744C0000}"/>
    <cellStyle name="Normal 2 2 2 2 2 2 21 10" xfId="18765" xr:uid="{00000000-0005-0000-0000-0000754C0000}"/>
    <cellStyle name="Normal 2 2 2 2 2 2 21 11" xfId="18766" xr:uid="{00000000-0005-0000-0000-0000764C0000}"/>
    <cellStyle name="Normal 2 2 2 2 2 2 21 12" xfId="18767" xr:uid="{00000000-0005-0000-0000-0000774C0000}"/>
    <cellStyle name="Normal 2 2 2 2 2 2 21 13" xfId="18768" xr:uid="{00000000-0005-0000-0000-0000784C0000}"/>
    <cellStyle name="Normal 2 2 2 2 2 2 21 2" xfId="18769" xr:uid="{00000000-0005-0000-0000-0000794C0000}"/>
    <cellStyle name="Normal 2 2 2 2 2 2 21 2 2" xfId="18770" xr:uid="{00000000-0005-0000-0000-00007A4C0000}"/>
    <cellStyle name="Normal 2 2 2 2 2 2 21 2 3" xfId="18771" xr:uid="{00000000-0005-0000-0000-00007B4C0000}"/>
    <cellStyle name="Normal 2 2 2 2 2 2 21 2 4" xfId="18772" xr:uid="{00000000-0005-0000-0000-00007C4C0000}"/>
    <cellStyle name="Normal 2 2 2 2 2 2 21 2 5" xfId="18773" xr:uid="{00000000-0005-0000-0000-00007D4C0000}"/>
    <cellStyle name="Normal 2 2 2 2 2 2 21 2 6" xfId="18774" xr:uid="{00000000-0005-0000-0000-00007E4C0000}"/>
    <cellStyle name="Normal 2 2 2 2 2 2 21 3" xfId="18775" xr:uid="{00000000-0005-0000-0000-00007F4C0000}"/>
    <cellStyle name="Normal 2 2 2 2 2 2 21 3 2" xfId="18776" xr:uid="{00000000-0005-0000-0000-0000804C0000}"/>
    <cellStyle name="Normal 2 2 2 2 2 2 21 3 3" xfId="18777" xr:uid="{00000000-0005-0000-0000-0000814C0000}"/>
    <cellStyle name="Normal 2 2 2 2 2 2 21 3 4" xfId="18778" xr:uid="{00000000-0005-0000-0000-0000824C0000}"/>
    <cellStyle name="Normal 2 2 2 2 2 2 21 3 5" xfId="18779" xr:uid="{00000000-0005-0000-0000-0000834C0000}"/>
    <cellStyle name="Normal 2 2 2 2 2 2 21 3 6" xfId="18780" xr:uid="{00000000-0005-0000-0000-0000844C0000}"/>
    <cellStyle name="Normal 2 2 2 2 2 2 21 4" xfId="18781" xr:uid="{00000000-0005-0000-0000-0000854C0000}"/>
    <cellStyle name="Normal 2 2 2 2 2 2 21 4 2" xfId="18782" xr:uid="{00000000-0005-0000-0000-0000864C0000}"/>
    <cellStyle name="Normal 2 2 2 2 2 2 21 4 3" xfId="18783" xr:uid="{00000000-0005-0000-0000-0000874C0000}"/>
    <cellStyle name="Normal 2 2 2 2 2 2 21 4 4" xfId="18784" xr:uid="{00000000-0005-0000-0000-0000884C0000}"/>
    <cellStyle name="Normal 2 2 2 2 2 2 21 4 5" xfId="18785" xr:uid="{00000000-0005-0000-0000-0000894C0000}"/>
    <cellStyle name="Normal 2 2 2 2 2 2 21 4 6" xfId="18786" xr:uid="{00000000-0005-0000-0000-00008A4C0000}"/>
    <cellStyle name="Normal 2 2 2 2 2 2 21 5" xfId="18787" xr:uid="{00000000-0005-0000-0000-00008B4C0000}"/>
    <cellStyle name="Normal 2 2 2 2 2 2 21 5 2" xfId="18788" xr:uid="{00000000-0005-0000-0000-00008C4C0000}"/>
    <cellStyle name="Normal 2 2 2 2 2 2 21 5 3" xfId="18789" xr:uid="{00000000-0005-0000-0000-00008D4C0000}"/>
    <cellStyle name="Normal 2 2 2 2 2 2 21 5 4" xfId="18790" xr:uid="{00000000-0005-0000-0000-00008E4C0000}"/>
    <cellStyle name="Normal 2 2 2 2 2 2 21 5 5" xfId="18791" xr:uid="{00000000-0005-0000-0000-00008F4C0000}"/>
    <cellStyle name="Normal 2 2 2 2 2 2 21 5 6" xfId="18792" xr:uid="{00000000-0005-0000-0000-0000904C0000}"/>
    <cellStyle name="Normal 2 2 2 2 2 2 21 6" xfId="18793" xr:uid="{00000000-0005-0000-0000-0000914C0000}"/>
    <cellStyle name="Normal 2 2 2 2 2 2 21 6 2" xfId="18794" xr:uid="{00000000-0005-0000-0000-0000924C0000}"/>
    <cellStyle name="Normal 2 2 2 2 2 2 21 6 3" xfId="18795" xr:uid="{00000000-0005-0000-0000-0000934C0000}"/>
    <cellStyle name="Normal 2 2 2 2 2 2 21 6 4" xfId="18796" xr:uid="{00000000-0005-0000-0000-0000944C0000}"/>
    <cellStyle name="Normal 2 2 2 2 2 2 21 6 5" xfId="18797" xr:uid="{00000000-0005-0000-0000-0000954C0000}"/>
    <cellStyle name="Normal 2 2 2 2 2 2 21 6 6" xfId="18798" xr:uid="{00000000-0005-0000-0000-0000964C0000}"/>
    <cellStyle name="Normal 2 2 2 2 2 2 21 7" xfId="18799" xr:uid="{00000000-0005-0000-0000-0000974C0000}"/>
    <cellStyle name="Normal 2 2 2 2 2 2 21 7 2" xfId="18800" xr:uid="{00000000-0005-0000-0000-0000984C0000}"/>
    <cellStyle name="Normal 2 2 2 2 2 2 21 7 3" xfId="18801" xr:uid="{00000000-0005-0000-0000-0000994C0000}"/>
    <cellStyle name="Normal 2 2 2 2 2 2 21 7 4" xfId="18802" xr:uid="{00000000-0005-0000-0000-00009A4C0000}"/>
    <cellStyle name="Normal 2 2 2 2 2 2 21 7 5" xfId="18803" xr:uid="{00000000-0005-0000-0000-00009B4C0000}"/>
    <cellStyle name="Normal 2 2 2 2 2 2 21 7 6" xfId="18804" xr:uid="{00000000-0005-0000-0000-00009C4C0000}"/>
    <cellStyle name="Normal 2 2 2 2 2 2 21 8" xfId="18805" xr:uid="{00000000-0005-0000-0000-00009D4C0000}"/>
    <cellStyle name="Normal 2 2 2 2 2 2 21 8 2" xfId="18806" xr:uid="{00000000-0005-0000-0000-00009E4C0000}"/>
    <cellStyle name="Normal 2 2 2 2 2 2 21 8 3" xfId="18807" xr:uid="{00000000-0005-0000-0000-00009F4C0000}"/>
    <cellStyle name="Normal 2 2 2 2 2 2 21 8 4" xfId="18808" xr:uid="{00000000-0005-0000-0000-0000A04C0000}"/>
    <cellStyle name="Normal 2 2 2 2 2 2 21 8 5" xfId="18809" xr:uid="{00000000-0005-0000-0000-0000A14C0000}"/>
    <cellStyle name="Normal 2 2 2 2 2 2 21 8 6" xfId="18810" xr:uid="{00000000-0005-0000-0000-0000A24C0000}"/>
    <cellStyle name="Normal 2 2 2 2 2 2 21 9" xfId="18811" xr:uid="{00000000-0005-0000-0000-0000A34C0000}"/>
    <cellStyle name="Normal 2 2 2 2 2 2 22" xfId="18812" xr:uid="{00000000-0005-0000-0000-0000A44C0000}"/>
    <cellStyle name="Normal 2 2 2 2 2 2 22 10" xfId="18813" xr:uid="{00000000-0005-0000-0000-0000A54C0000}"/>
    <cellStyle name="Normal 2 2 2 2 2 2 22 11" xfId="18814" xr:uid="{00000000-0005-0000-0000-0000A64C0000}"/>
    <cellStyle name="Normal 2 2 2 2 2 2 22 12" xfId="18815" xr:uid="{00000000-0005-0000-0000-0000A74C0000}"/>
    <cellStyle name="Normal 2 2 2 2 2 2 22 13" xfId="18816" xr:uid="{00000000-0005-0000-0000-0000A84C0000}"/>
    <cellStyle name="Normal 2 2 2 2 2 2 22 2" xfId="18817" xr:uid="{00000000-0005-0000-0000-0000A94C0000}"/>
    <cellStyle name="Normal 2 2 2 2 2 2 22 2 2" xfId="18818" xr:uid="{00000000-0005-0000-0000-0000AA4C0000}"/>
    <cellStyle name="Normal 2 2 2 2 2 2 22 2 3" xfId="18819" xr:uid="{00000000-0005-0000-0000-0000AB4C0000}"/>
    <cellStyle name="Normal 2 2 2 2 2 2 22 2 4" xfId="18820" xr:uid="{00000000-0005-0000-0000-0000AC4C0000}"/>
    <cellStyle name="Normal 2 2 2 2 2 2 22 2 5" xfId="18821" xr:uid="{00000000-0005-0000-0000-0000AD4C0000}"/>
    <cellStyle name="Normal 2 2 2 2 2 2 22 2 6" xfId="18822" xr:uid="{00000000-0005-0000-0000-0000AE4C0000}"/>
    <cellStyle name="Normal 2 2 2 2 2 2 22 3" xfId="18823" xr:uid="{00000000-0005-0000-0000-0000AF4C0000}"/>
    <cellStyle name="Normal 2 2 2 2 2 2 22 3 2" xfId="18824" xr:uid="{00000000-0005-0000-0000-0000B04C0000}"/>
    <cellStyle name="Normal 2 2 2 2 2 2 22 3 3" xfId="18825" xr:uid="{00000000-0005-0000-0000-0000B14C0000}"/>
    <cellStyle name="Normal 2 2 2 2 2 2 22 3 4" xfId="18826" xr:uid="{00000000-0005-0000-0000-0000B24C0000}"/>
    <cellStyle name="Normal 2 2 2 2 2 2 22 3 5" xfId="18827" xr:uid="{00000000-0005-0000-0000-0000B34C0000}"/>
    <cellStyle name="Normal 2 2 2 2 2 2 22 3 6" xfId="18828" xr:uid="{00000000-0005-0000-0000-0000B44C0000}"/>
    <cellStyle name="Normal 2 2 2 2 2 2 22 4" xfId="18829" xr:uid="{00000000-0005-0000-0000-0000B54C0000}"/>
    <cellStyle name="Normal 2 2 2 2 2 2 22 4 2" xfId="18830" xr:uid="{00000000-0005-0000-0000-0000B64C0000}"/>
    <cellStyle name="Normal 2 2 2 2 2 2 22 4 3" xfId="18831" xr:uid="{00000000-0005-0000-0000-0000B74C0000}"/>
    <cellStyle name="Normal 2 2 2 2 2 2 22 4 4" xfId="18832" xr:uid="{00000000-0005-0000-0000-0000B84C0000}"/>
    <cellStyle name="Normal 2 2 2 2 2 2 22 4 5" xfId="18833" xr:uid="{00000000-0005-0000-0000-0000B94C0000}"/>
    <cellStyle name="Normal 2 2 2 2 2 2 22 4 6" xfId="18834" xr:uid="{00000000-0005-0000-0000-0000BA4C0000}"/>
    <cellStyle name="Normal 2 2 2 2 2 2 22 5" xfId="18835" xr:uid="{00000000-0005-0000-0000-0000BB4C0000}"/>
    <cellStyle name="Normal 2 2 2 2 2 2 22 5 2" xfId="18836" xr:uid="{00000000-0005-0000-0000-0000BC4C0000}"/>
    <cellStyle name="Normal 2 2 2 2 2 2 22 5 3" xfId="18837" xr:uid="{00000000-0005-0000-0000-0000BD4C0000}"/>
    <cellStyle name="Normal 2 2 2 2 2 2 22 5 4" xfId="18838" xr:uid="{00000000-0005-0000-0000-0000BE4C0000}"/>
    <cellStyle name="Normal 2 2 2 2 2 2 22 5 5" xfId="18839" xr:uid="{00000000-0005-0000-0000-0000BF4C0000}"/>
    <cellStyle name="Normal 2 2 2 2 2 2 22 5 6" xfId="18840" xr:uid="{00000000-0005-0000-0000-0000C04C0000}"/>
    <cellStyle name="Normal 2 2 2 2 2 2 22 6" xfId="18841" xr:uid="{00000000-0005-0000-0000-0000C14C0000}"/>
    <cellStyle name="Normal 2 2 2 2 2 2 22 6 2" xfId="18842" xr:uid="{00000000-0005-0000-0000-0000C24C0000}"/>
    <cellStyle name="Normal 2 2 2 2 2 2 22 6 3" xfId="18843" xr:uid="{00000000-0005-0000-0000-0000C34C0000}"/>
    <cellStyle name="Normal 2 2 2 2 2 2 22 6 4" xfId="18844" xr:uid="{00000000-0005-0000-0000-0000C44C0000}"/>
    <cellStyle name="Normal 2 2 2 2 2 2 22 6 5" xfId="18845" xr:uid="{00000000-0005-0000-0000-0000C54C0000}"/>
    <cellStyle name="Normal 2 2 2 2 2 2 22 6 6" xfId="18846" xr:uid="{00000000-0005-0000-0000-0000C64C0000}"/>
    <cellStyle name="Normal 2 2 2 2 2 2 22 7" xfId="18847" xr:uid="{00000000-0005-0000-0000-0000C74C0000}"/>
    <cellStyle name="Normal 2 2 2 2 2 2 22 7 2" xfId="18848" xr:uid="{00000000-0005-0000-0000-0000C84C0000}"/>
    <cellStyle name="Normal 2 2 2 2 2 2 22 7 3" xfId="18849" xr:uid="{00000000-0005-0000-0000-0000C94C0000}"/>
    <cellStyle name="Normal 2 2 2 2 2 2 22 7 4" xfId="18850" xr:uid="{00000000-0005-0000-0000-0000CA4C0000}"/>
    <cellStyle name="Normal 2 2 2 2 2 2 22 7 5" xfId="18851" xr:uid="{00000000-0005-0000-0000-0000CB4C0000}"/>
    <cellStyle name="Normal 2 2 2 2 2 2 22 7 6" xfId="18852" xr:uid="{00000000-0005-0000-0000-0000CC4C0000}"/>
    <cellStyle name="Normal 2 2 2 2 2 2 22 8" xfId="18853" xr:uid="{00000000-0005-0000-0000-0000CD4C0000}"/>
    <cellStyle name="Normal 2 2 2 2 2 2 22 8 2" xfId="18854" xr:uid="{00000000-0005-0000-0000-0000CE4C0000}"/>
    <cellStyle name="Normal 2 2 2 2 2 2 22 8 3" xfId="18855" xr:uid="{00000000-0005-0000-0000-0000CF4C0000}"/>
    <cellStyle name="Normal 2 2 2 2 2 2 22 8 4" xfId="18856" xr:uid="{00000000-0005-0000-0000-0000D04C0000}"/>
    <cellStyle name="Normal 2 2 2 2 2 2 22 8 5" xfId="18857" xr:uid="{00000000-0005-0000-0000-0000D14C0000}"/>
    <cellStyle name="Normal 2 2 2 2 2 2 22 8 6" xfId="18858" xr:uid="{00000000-0005-0000-0000-0000D24C0000}"/>
    <cellStyle name="Normal 2 2 2 2 2 2 22 9" xfId="18859" xr:uid="{00000000-0005-0000-0000-0000D34C0000}"/>
    <cellStyle name="Normal 2 2 2 2 2 2 23" xfId="18860" xr:uid="{00000000-0005-0000-0000-0000D44C0000}"/>
    <cellStyle name="Normal 2 2 2 2 2 2 23 10" xfId="18861" xr:uid="{00000000-0005-0000-0000-0000D54C0000}"/>
    <cellStyle name="Normal 2 2 2 2 2 2 23 11" xfId="18862" xr:uid="{00000000-0005-0000-0000-0000D64C0000}"/>
    <cellStyle name="Normal 2 2 2 2 2 2 23 12" xfId="18863" xr:uid="{00000000-0005-0000-0000-0000D74C0000}"/>
    <cellStyle name="Normal 2 2 2 2 2 2 23 13" xfId="18864" xr:uid="{00000000-0005-0000-0000-0000D84C0000}"/>
    <cellStyle name="Normal 2 2 2 2 2 2 23 2" xfId="18865" xr:uid="{00000000-0005-0000-0000-0000D94C0000}"/>
    <cellStyle name="Normal 2 2 2 2 2 2 23 2 2" xfId="18866" xr:uid="{00000000-0005-0000-0000-0000DA4C0000}"/>
    <cellStyle name="Normal 2 2 2 2 2 2 23 2 3" xfId="18867" xr:uid="{00000000-0005-0000-0000-0000DB4C0000}"/>
    <cellStyle name="Normal 2 2 2 2 2 2 23 2 4" xfId="18868" xr:uid="{00000000-0005-0000-0000-0000DC4C0000}"/>
    <cellStyle name="Normal 2 2 2 2 2 2 23 2 5" xfId="18869" xr:uid="{00000000-0005-0000-0000-0000DD4C0000}"/>
    <cellStyle name="Normal 2 2 2 2 2 2 23 2 6" xfId="18870" xr:uid="{00000000-0005-0000-0000-0000DE4C0000}"/>
    <cellStyle name="Normal 2 2 2 2 2 2 23 3" xfId="18871" xr:uid="{00000000-0005-0000-0000-0000DF4C0000}"/>
    <cellStyle name="Normal 2 2 2 2 2 2 23 3 2" xfId="18872" xr:uid="{00000000-0005-0000-0000-0000E04C0000}"/>
    <cellStyle name="Normal 2 2 2 2 2 2 23 3 3" xfId="18873" xr:uid="{00000000-0005-0000-0000-0000E14C0000}"/>
    <cellStyle name="Normal 2 2 2 2 2 2 23 3 4" xfId="18874" xr:uid="{00000000-0005-0000-0000-0000E24C0000}"/>
    <cellStyle name="Normal 2 2 2 2 2 2 23 3 5" xfId="18875" xr:uid="{00000000-0005-0000-0000-0000E34C0000}"/>
    <cellStyle name="Normal 2 2 2 2 2 2 23 3 6" xfId="18876" xr:uid="{00000000-0005-0000-0000-0000E44C0000}"/>
    <cellStyle name="Normal 2 2 2 2 2 2 23 4" xfId="18877" xr:uid="{00000000-0005-0000-0000-0000E54C0000}"/>
    <cellStyle name="Normal 2 2 2 2 2 2 23 4 2" xfId="18878" xr:uid="{00000000-0005-0000-0000-0000E64C0000}"/>
    <cellStyle name="Normal 2 2 2 2 2 2 23 4 3" xfId="18879" xr:uid="{00000000-0005-0000-0000-0000E74C0000}"/>
    <cellStyle name="Normal 2 2 2 2 2 2 23 4 4" xfId="18880" xr:uid="{00000000-0005-0000-0000-0000E84C0000}"/>
    <cellStyle name="Normal 2 2 2 2 2 2 23 4 5" xfId="18881" xr:uid="{00000000-0005-0000-0000-0000E94C0000}"/>
    <cellStyle name="Normal 2 2 2 2 2 2 23 4 6" xfId="18882" xr:uid="{00000000-0005-0000-0000-0000EA4C0000}"/>
    <cellStyle name="Normal 2 2 2 2 2 2 23 5" xfId="18883" xr:uid="{00000000-0005-0000-0000-0000EB4C0000}"/>
    <cellStyle name="Normal 2 2 2 2 2 2 23 5 2" xfId="18884" xr:uid="{00000000-0005-0000-0000-0000EC4C0000}"/>
    <cellStyle name="Normal 2 2 2 2 2 2 23 5 3" xfId="18885" xr:uid="{00000000-0005-0000-0000-0000ED4C0000}"/>
    <cellStyle name="Normal 2 2 2 2 2 2 23 5 4" xfId="18886" xr:uid="{00000000-0005-0000-0000-0000EE4C0000}"/>
    <cellStyle name="Normal 2 2 2 2 2 2 23 5 5" xfId="18887" xr:uid="{00000000-0005-0000-0000-0000EF4C0000}"/>
    <cellStyle name="Normal 2 2 2 2 2 2 23 5 6" xfId="18888" xr:uid="{00000000-0005-0000-0000-0000F04C0000}"/>
    <cellStyle name="Normal 2 2 2 2 2 2 23 6" xfId="18889" xr:uid="{00000000-0005-0000-0000-0000F14C0000}"/>
    <cellStyle name="Normal 2 2 2 2 2 2 23 6 2" xfId="18890" xr:uid="{00000000-0005-0000-0000-0000F24C0000}"/>
    <cellStyle name="Normal 2 2 2 2 2 2 23 6 3" xfId="18891" xr:uid="{00000000-0005-0000-0000-0000F34C0000}"/>
    <cellStyle name="Normal 2 2 2 2 2 2 23 6 4" xfId="18892" xr:uid="{00000000-0005-0000-0000-0000F44C0000}"/>
    <cellStyle name="Normal 2 2 2 2 2 2 23 6 5" xfId="18893" xr:uid="{00000000-0005-0000-0000-0000F54C0000}"/>
    <cellStyle name="Normal 2 2 2 2 2 2 23 6 6" xfId="18894" xr:uid="{00000000-0005-0000-0000-0000F64C0000}"/>
    <cellStyle name="Normal 2 2 2 2 2 2 23 7" xfId="18895" xr:uid="{00000000-0005-0000-0000-0000F74C0000}"/>
    <cellStyle name="Normal 2 2 2 2 2 2 23 7 2" xfId="18896" xr:uid="{00000000-0005-0000-0000-0000F84C0000}"/>
    <cellStyle name="Normal 2 2 2 2 2 2 23 7 3" xfId="18897" xr:uid="{00000000-0005-0000-0000-0000F94C0000}"/>
    <cellStyle name="Normal 2 2 2 2 2 2 23 7 4" xfId="18898" xr:uid="{00000000-0005-0000-0000-0000FA4C0000}"/>
    <cellStyle name="Normal 2 2 2 2 2 2 23 7 5" xfId="18899" xr:uid="{00000000-0005-0000-0000-0000FB4C0000}"/>
    <cellStyle name="Normal 2 2 2 2 2 2 23 7 6" xfId="18900" xr:uid="{00000000-0005-0000-0000-0000FC4C0000}"/>
    <cellStyle name="Normal 2 2 2 2 2 2 23 8" xfId="18901" xr:uid="{00000000-0005-0000-0000-0000FD4C0000}"/>
    <cellStyle name="Normal 2 2 2 2 2 2 23 8 2" xfId="18902" xr:uid="{00000000-0005-0000-0000-0000FE4C0000}"/>
    <cellStyle name="Normal 2 2 2 2 2 2 23 8 3" xfId="18903" xr:uid="{00000000-0005-0000-0000-0000FF4C0000}"/>
    <cellStyle name="Normal 2 2 2 2 2 2 23 8 4" xfId="18904" xr:uid="{00000000-0005-0000-0000-0000004D0000}"/>
    <cellStyle name="Normal 2 2 2 2 2 2 23 8 5" xfId="18905" xr:uid="{00000000-0005-0000-0000-0000014D0000}"/>
    <cellStyle name="Normal 2 2 2 2 2 2 23 8 6" xfId="18906" xr:uid="{00000000-0005-0000-0000-0000024D0000}"/>
    <cellStyle name="Normal 2 2 2 2 2 2 23 9" xfId="18907" xr:uid="{00000000-0005-0000-0000-0000034D0000}"/>
    <cellStyle name="Normal 2 2 2 2 2 2 24" xfId="18908" xr:uid="{00000000-0005-0000-0000-0000044D0000}"/>
    <cellStyle name="Normal 2 2 2 2 2 2 24 10" xfId="18909" xr:uid="{00000000-0005-0000-0000-0000054D0000}"/>
    <cellStyle name="Normal 2 2 2 2 2 2 24 11" xfId="18910" xr:uid="{00000000-0005-0000-0000-0000064D0000}"/>
    <cellStyle name="Normal 2 2 2 2 2 2 24 12" xfId="18911" xr:uid="{00000000-0005-0000-0000-0000074D0000}"/>
    <cellStyle name="Normal 2 2 2 2 2 2 24 13" xfId="18912" xr:uid="{00000000-0005-0000-0000-0000084D0000}"/>
    <cellStyle name="Normal 2 2 2 2 2 2 24 2" xfId="18913" xr:uid="{00000000-0005-0000-0000-0000094D0000}"/>
    <cellStyle name="Normal 2 2 2 2 2 2 24 2 2" xfId="18914" xr:uid="{00000000-0005-0000-0000-00000A4D0000}"/>
    <cellStyle name="Normal 2 2 2 2 2 2 24 2 3" xfId="18915" xr:uid="{00000000-0005-0000-0000-00000B4D0000}"/>
    <cellStyle name="Normal 2 2 2 2 2 2 24 2 4" xfId="18916" xr:uid="{00000000-0005-0000-0000-00000C4D0000}"/>
    <cellStyle name="Normal 2 2 2 2 2 2 24 2 5" xfId="18917" xr:uid="{00000000-0005-0000-0000-00000D4D0000}"/>
    <cellStyle name="Normal 2 2 2 2 2 2 24 2 6" xfId="18918" xr:uid="{00000000-0005-0000-0000-00000E4D0000}"/>
    <cellStyle name="Normal 2 2 2 2 2 2 24 3" xfId="18919" xr:uid="{00000000-0005-0000-0000-00000F4D0000}"/>
    <cellStyle name="Normal 2 2 2 2 2 2 24 3 2" xfId="18920" xr:uid="{00000000-0005-0000-0000-0000104D0000}"/>
    <cellStyle name="Normal 2 2 2 2 2 2 24 3 3" xfId="18921" xr:uid="{00000000-0005-0000-0000-0000114D0000}"/>
    <cellStyle name="Normal 2 2 2 2 2 2 24 3 4" xfId="18922" xr:uid="{00000000-0005-0000-0000-0000124D0000}"/>
    <cellStyle name="Normal 2 2 2 2 2 2 24 3 5" xfId="18923" xr:uid="{00000000-0005-0000-0000-0000134D0000}"/>
    <cellStyle name="Normal 2 2 2 2 2 2 24 3 6" xfId="18924" xr:uid="{00000000-0005-0000-0000-0000144D0000}"/>
    <cellStyle name="Normal 2 2 2 2 2 2 24 4" xfId="18925" xr:uid="{00000000-0005-0000-0000-0000154D0000}"/>
    <cellStyle name="Normal 2 2 2 2 2 2 24 4 2" xfId="18926" xr:uid="{00000000-0005-0000-0000-0000164D0000}"/>
    <cellStyle name="Normal 2 2 2 2 2 2 24 4 3" xfId="18927" xr:uid="{00000000-0005-0000-0000-0000174D0000}"/>
    <cellStyle name="Normal 2 2 2 2 2 2 24 4 4" xfId="18928" xr:uid="{00000000-0005-0000-0000-0000184D0000}"/>
    <cellStyle name="Normal 2 2 2 2 2 2 24 4 5" xfId="18929" xr:uid="{00000000-0005-0000-0000-0000194D0000}"/>
    <cellStyle name="Normal 2 2 2 2 2 2 24 4 6" xfId="18930" xr:uid="{00000000-0005-0000-0000-00001A4D0000}"/>
    <cellStyle name="Normal 2 2 2 2 2 2 24 5" xfId="18931" xr:uid="{00000000-0005-0000-0000-00001B4D0000}"/>
    <cellStyle name="Normal 2 2 2 2 2 2 24 5 2" xfId="18932" xr:uid="{00000000-0005-0000-0000-00001C4D0000}"/>
    <cellStyle name="Normal 2 2 2 2 2 2 24 5 3" xfId="18933" xr:uid="{00000000-0005-0000-0000-00001D4D0000}"/>
    <cellStyle name="Normal 2 2 2 2 2 2 24 5 4" xfId="18934" xr:uid="{00000000-0005-0000-0000-00001E4D0000}"/>
    <cellStyle name="Normal 2 2 2 2 2 2 24 5 5" xfId="18935" xr:uid="{00000000-0005-0000-0000-00001F4D0000}"/>
    <cellStyle name="Normal 2 2 2 2 2 2 24 5 6" xfId="18936" xr:uid="{00000000-0005-0000-0000-0000204D0000}"/>
    <cellStyle name="Normal 2 2 2 2 2 2 24 6" xfId="18937" xr:uid="{00000000-0005-0000-0000-0000214D0000}"/>
    <cellStyle name="Normal 2 2 2 2 2 2 24 6 2" xfId="18938" xr:uid="{00000000-0005-0000-0000-0000224D0000}"/>
    <cellStyle name="Normal 2 2 2 2 2 2 24 6 3" xfId="18939" xr:uid="{00000000-0005-0000-0000-0000234D0000}"/>
    <cellStyle name="Normal 2 2 2 2 2 2 24 6 4" xfId="18940" xr:uid="{00000000-0005-0000-0000-0000244D0000}"/>
    <cellStyle name="Normal 2 2 2 2 2 2 24 6 5" xfId="18941" xr:uid="{00000000-0005-0000-0000-0000254D0000}"/>
    <cellStyle name="Normal 2 2 2 2 2 2 24 6 6" xfId="18942" xr:uid="{00000000-0005-0000-0000-0000264D0000}"/>
    <cellStyle name="Normal 2 2 2 2 2 2 24 7" xfId="18943" xr:uid="{00000000-0005-0000-0000-0000274D0000}"/>
    <cellStyle name="Normal 2 2 2 2 2 2 24 7 2" xfId="18944" xr:uid="{00000000-0005-0000-0000-0000284D0000}"/>
    <cellStyle name="Normal 2 2 2 2 2 2 24 7 3" xfId="18945" xr:uid="{00000000-0005-0000-0000-0000294D0000}"/>
    <cellStyle name="Normal 2 2 2 2 2 2 24 7 4" xfId="18946" xr:uid="{00000000-0005-0000-0000-00002A4D0000}"/>
    <cellStyle name="Normal 2 2 2 2 2 2 24 7 5" xfId="18947" xr:uid="{00000000-0005-0000-0000-00002B4D0000}"/>
    <cellStyle name="Normal 2 2 2 2 2 2 24 7 6" xfId="18948" xr:uid="{00000000-0005-0000-0000-00002C4D0000}"/>
    <cellStyle name="Normal 2 2 2 2 2 2 24 8" xfId="18949" xr:uid="{00000000-0005-0000-0000-00002D4D0000}"/>
    <cellStyle name="Normal 2 2 2 2 2 2 24 8 2" xfId="18950" xr:uid="{00000000-0005-0000-0000-00002E4D0000}"/>
    <cellStyle name="Normal 2 2 2 2 2 2 24 8 3" xfId="18951" xr:uid="{00000000-0005-0000-0000-00002F4D0000}"/>
    <cellStyle name="Normal 2 2 2 2 2 2 24 8 4" xfId="18952" xr:uid="{00000000-0005-0000-0000-0000304D0000}"/>
    <cellStyle name="Normal 2 2 2 2 2 2 24 8 5" xfId="18953" xr:uid="{00000000-0005-0000-0000-0000314D0000}"/>
    <cellStyle name="Normal 2 2 2 2 2 2 24 8 6" xfId="18954" xr:uid="{00000000-0005-0000-0000-0000324D0000}"/>
    <cellStyle name="Normal 2 2 2 2 2 2 24 9" xfId="18955" xr:uid="{00000000-0005-0000-0000-0000334D0000}"/>
    <cellStyle name="Normal 2 2 2 2 2 2 25" xfId="18956" xr:uid="{00000000-0005-0000-0000-0000344D0000}"/>
    <cellStyle name="Normal 2 2 2 2 2 2 25 10" xfId="18957" xr:uid="{00000000-0005-0000-0000-0000354D0000}"/>
    <cellStyle name="Normal 2 2 2 2 2 2 25 11" xfId="18958" xr:uid="{00000000-0005-0000-0000-0000364D0000}"/>
    <cellStyle name="Normal 2 2 2 2 2 2 25 12" xfId="18959" xr:uid="{00000000-0005-0000-0000-0000374D0000}"/>
    <cellStyle name="Normal 2 2 2 2 2 2 25 13" xfId="18960" xr:uid="{00000000-0005-0000-0000-0000384D0000}"/>
    <cellStyle name="Normal 2 2 2 2 2 2 25 2" xfId="18961" xr:uid="{00000000-0005-0000-0000-0000394D0000}"/>
    <cellStyle name="Normal 2 2 2 2 2 2 25 2 2" xfId="18962" xr:uid="{00000000-0005-0000-0000-00003A4D0000}"/>
    <cellStyle name="Normal 2 2 2 2 2 2 25 2 3" xfId="18963" xr:uid="{00000000-0005-0000-0000-00003B4D0000}"/>
    <cellStyle name="Normal 2 2 2 2 2 2 25 2 4" xfId="18964" xr:uid="{00000000-0005-0000-0000-00003C4D0000}"/>
    <cellStyle name="Normal 2 2 2 2 2 2 25 2 5" xfId="18965" xr:uid="{00000000-0005-0000-0000-00003D4D0000}"/>
    <cellStyle name="Normal 2 2 2 2 2 2 25 2 6" xfId="18966" xr:uid="{00000000-0005-0000-0000-00003E4D0000}"/>
    <cellStyle name="Normal 2 2 2 2 2 2 25 3" xfId="18967" xr:uid="{00000000-0005-0000-0000-00003F4D0000}"/>
    <cellStyle name="Normal 2 2 2 2 2 2 25 3 2" xfId="18968" xr:uid="{00000000-0005-0000-0000-0000404D0000}"/>
    <cellStyle name="Normal 2 2 2 2 2 2 25 3 3" xfId="18969" xr:uid="{00000000-0005-0000-0000-0000414D0000}"/>
    <cellStyle name="Normal 2 2 2 2 2 2 25 3 4" xfId="18970" xr:uid="{00000000-0005-0000-0000-0000424D0000}"/>
    <cellStyle name="Normal 2 2 2 2 2 2 25 3 5" xfId="18971" xr:uid="{00000000-0005-0000-0000-0000434D0000}"/>
    <cellStyle name="Normal 2 2 2 2 2 2 25 3 6" xfId="18972" xr:uid="{00000000-0005-0000-0000-0000444D0000}"/>
    <cellStyle name="Normal 2 2 2 2 2 2 25 4" xfId="18973" xr:uid="{00000000-0005-0000-0000-0000454D0000}"/>
    <cellStyle name="Normal 2 2 2 2 2 2 25 4 2" xfId="18974" xr:uid="{00000000-0005-0000-0000-0000464D0000}"/>
    <cellStyle name="Normal 2 2 2 2 2 2 25 4 3" xfId="18975" xr:uid="{00000000-0005-0000-0000-0000474D0000}"/>
    <cellStyle name="Normal 2 2 2 2 2 2 25 4 4" xfId="18976" xr:uid="{00000000-0005-0000-0000-0000484D0000}"/>
    <cellStyle name="Normal 2 2 2 2 2 2 25 4 5" xfId="18977" xr:uid="{00000000-0005-0000-0000-0000494D0000}"/>
    <cellStyle name="Normal 2 2 2 2 2 2 25 4 6" xfId="18978" xr:uid="{00000000-0005-0000-0000-00004A4D0000}"/>
    <cellStyle name="Normal 2 2 2 2 2 2 25 5" xfId="18979" xr:uid="{00000000-0005-0000-0000-00004B4D0000}"/>
    <cellStyle name="Normal 2 2 2 2 2 2 25 5 2" xfId="18980" xr:uid="{00000000-0005-0000-0000-00004C4D0000}"/>
    <cellStyle name="Normal 2 2 2 2 2 2 25 5 3" xfId="18981" xr:uid="{00000000-0005-0000-0000-00004D4D0000}"/>
    <cellStyle name="Normal 2 2 2 2 2 2 25 5 4" xfId="18982" xr:uid="{00000000-0005-0000-0000-00004E4D0000}"/>
    <cellStyle name="Normal 2 2 2 2 2 2 25 5 5" xfId="18983" xr:uid="{00000000-0005-0000-0000-00004F4D0000}"/>
    <cellStyle name="Normal 2 2 2 2 2 2 25 5 6" xfId="18984" xr:uid="{00000000-0005-0000-0000-0000504D0000}"/>
    <cellStyle name="Normal 2 2 2 2 2 2 25 6" xfId="18985" xr:uid="{00000000-0005-0000-0000-0000514D0000}"/>
    <cellStyle name="Normal 2 2 2 2 2 2 25 6 2" xfId="18986" xr:uid="{00000000-0005-0000-0000-0000524D0000}"/>
    <cellStyle name="Normal 2 2 2 2 2 2 25 6 3" xfId="18987" xr:uid="{00000000-0005-0000-0000-0000534D0000}"/>
    <cellStyle name="Normal 2 2 2 2 2 2 25 6 4" xfId="18988" xr:uid="{00000000-0005-0000-0000-0000544D0000}"/>
    <cellStyle name="Normal 2 2 2 2 2 2 25 6 5" xfId="18989" xr:uid="{00000000-0005-0000-0000-0000554D0000}"/>
    <cellStyle name="Normal 2 2 2 2 2 2 25 6 6" xfId="18990" xr:uid="{00000000-0005-0000-0000-0000564D0000}"/>
    <cellStyle name="Normal 2 2 2 2 2 2 25 7" xfId="18991" xr:uid="{00000000-0005-0000-0000-0000574D0000}"/>
    <cellStyle name="Normal 2 2 2 2 2 2 25 7 2" xfId="18992" xr:uid="{00000000-0005-0000-0000-0000584D0000}"/>
    <cellStyle name="Normal 2 2 2 2 2 2 25 7 3" xfId="18993" xr:uid="{00000000-0005-0000-0000-0000594D0000}"/>
    <cellStyle name="Normal 2 2 2 2 2 2 25 7 4" xfId="18994" xr:uid="{00000000-0005-0000-0000-00005A4D0000}"/>
    <cellStyle name="Normal 2 2 2 2 2 2 25 7 5" xfId="18995" xr:uid="{00000000-0005-0000-0000-00005B4D0000}"/>
    <cellStyle name="Normal 2 2 2 2 2 2 25 7 6" xfId="18996" xr:uid="{00000000-0005-0000-0000-00005C4D0000}"/>
    <cellStyle name="Normal 2 2 2 2 2 2 25 8" xfId="18997" xr:uid="{00000000-0005-0000-0000-00005D4D0000}"/>
    <cellStyle name="Normal 2 2 2 2 2 2 25 8 2" xfId="18998" xr:uid="{00000000-0005-0000-0000-00005E4D0000}"/>
    <cellStyle name="Normal 2 2 2 2 2 2 25 8 3" xfId="18999" xr:uid="{00000000-0005-0000-0000-00005F4D0000}"/>
    <cellStyle name="Normal 2 2 2 2 2 2 25 8 4" xfId="19000" xr:uid="{00000000-0005-0000-0000-0000604D0000}"/>
    <cellStyle name="Normal 2 2 2 2 2 2 25 8 5" xfId="19001" xr:uid="{00000000-0005-0000-0000-0000614D0000}"/>
    <cellStyle name="Normal 2 2 2 2 2 2 25 8 6" xfId="19002" xr:uid="{00000000-0005-0000-0000-0000624D0000}"/>
    <cellStyle name="Normal 2 2 2 2 2 2 25 9" xfId="19003" xr:uid="{00000000-0005-0000-0000-0000634D0000}"/>
    <cellStyle name="Normal 2 2 2 2 2 2 26" xfId="19004" xr:uid="{00000000-0005-0000-0000-0000644D0000}"/>
    <cellStyle name="Normal 2 2 2 2 2 2 26 10" xfId="19005" xr:uid="{00000000-0005-0000-0000-0000654D0000}"/>
    <cellStyle name="Normal 2 2 2 2 2 2 26 11" xfId="19006" xr:uid="{00000000-0005-0000-0000-0000664D0000}"/>
    <cellStyle name="Normal 2 2 2 2 2 2 26 12" xfId="19007" xr:uid="{00000000-0005-0000-0000-0000674D0000}"/>
    <cellStyle name="Normal 2 2 2 2 2 2 26 13" xfId="19008" xr:uid="{00000000-0005-0000-0000-0000684D0000}"/>
    <cellStyle name="Normal 2 2 2 2 2 2 26 2" xfId="19009" xr:uid="{00000000-0005-0000-0000-0000694D0000}"/>
    <cellStyle name="Normal 2 2 2 2 2 2 26 2 2" xfId="19010" xr:uid="{00000000-0005-0000-0000-00006A4D0000}"/>
    <cellStyle name="Normal 2 2 2 2 2 2 26 2 3" xfId="19011" xr:uid="{00000000-0005-0000-0000-00006B4D0000}"/>
    <cellStyle name="Normal 2 2 2 2 2 2 26 2 4" xfId="19012" xr:uid="{00000000-0005-0000-0000-00006C4D0000}"/>
    <cellStyle name="Normal 2 2 2 2 2 2 26 2 5" xfId="19013" xr:uid="{00000000-0005-0000-0000-00006D4D0000}"/>
    <cellStyle name="Normal 2 2 2 2 2 2 26 2 6" xfId="19014" xr:uid="{00000000-0005-0000-0000-00006E4D0000}"/>
    <cellStyle name="Normal 2 2 2 2 2 2 26 3" xfId="19015" xr:uid="{00000000-0005-0000-0000-00006F4D0000}"/>
    <cellStyle name="Normal 2 2 2 2 2 2 26 3 2" xfId="19016" xr:uid="{00000000-0005-0000-0000-0000704D0000}"/>
    <cellStyle name="Normal 2 2 2 2 2 2 26 3 3" xfId="19017" xr:uid="{00000000-0005-0000-0000-0000714D0000}"/>
    <cellStyle name="Normal 2 2 2 2 2 2 26 3 4" xfId="19018" xr:uid="{00000000-0005-0000-0000-0000724D0000}"/>
    <cellStyle name="Normal 2 2 2 2 2 2 26 3 5" xfId="19019" xr:uid="{00000000-0005-0000-0000-0000734D0000}"/>
    <cellStyle name="Normal 2 2 2 2 2 2 26 3 6" xfId="19020" xr:uid="{00000000-0005-0000-0000-0000744D0000}"/>
    <cellStyle name="Normal 2 2 2 2 2 2 26 4" xfId="19021" xr:uid="{00000000-0005-0000-0000-0000754D0000}"/>
    <cellStyle name="Normal 2 2 2 2 2 2 26 4 2" xfId="19022" xr:uid="{00000000-0005-0000-0000-0000764D0000}"/>
    <cellStyle name="Normal 2 2 2 2 2 2 26 4 3" xfId="19023" xr:uid="{00000000-0005-0000-0000-0000774D0000}"/>
    <cellStyle name="Normal 2 2 2 2 2 2 26 4 4" xfId="19024" xr:uid="{00000000-0005-0000-0000-0000784D0000}"/>
    <cellStyle name="Normal 2 2 2 2 2 2 26 4 5" xfId="19025" xr:uid="{00000000-0005-0000-0000-0000794D0000}"/>
    <cellStyle name="Normal 2 2 2 2 2 2 26 4 6" xfId="19026" xr:uid="{00000000-0005-0000-0000-00007A4D0000}"/>
    <cellStyle name="Normal 2 2 2 2 2 2 26 5" xfId="19027" xr:uid="{00000000-0005-0000-0000-00007B4D0000}"/>
    <cellStyle name="Normal 2 2 2 2 2 2 26 5 2" xfId="19028" xr:uid="{00000000-0005-0000-0000-00007C4D0000}"/>
    <cellStyle name="Normal 2 2 2 2 2 2 26 5 3" xfId="19029" xr:uid="{00000000-0005-0000-0000-00007D4D0000}"/>
    <cellStyle name="Normal 2 2 2 2 2 2 26 5 4" xfId="19030" xr:uid="{00000000-0005-0000-0000-00007E4D0000}"/>
    <cellStyle name="Normal 2 2 2 2 2 2 26 5 5" xfId="19031" xr:uid="{00000000-0005-0000-0000-00007F4D0000}"/>
    <cellStyle name="Normal 2 2 2 2 2 2 26 5 6" xfId="19032" xr:uid="{00000000-0005-0000-0000-0000804D0000}"/>
    <cellStyle name="Normal 2 2 2 2 2 2 26 6" xfId="19033" xr:uid="{00000000-0005-0000-0000-0000814D0000}"/>
    <cellStyle name="Normal 2 2 2 2 2 2 26 6 2" xfId="19034" xr:uid="{00000000-0005-0000-0000-0000824D0000}"/>
    <cellStyle name="Normal 2 2 2 2 2 2 26 6 3" xfId="19035" xr:uid="{00000000-0005-0000-0000-0000834D0000}"/>
    <cellStyle name="Normal 2 2 2 2 2 2 26 6 4" xfId="19036" xr:uid="{00000000-0005-0000-0000-0000844D0000}"/>
    <cellStyle name="Normal 2 2 2 2 2 2 26 6 5" xfId="19037" xr:uid="{00000000-0005-0000-0000-0000854D0000}"/>
    <cellStyle name="Normal 2 2 2 2 2 2 26 6 6" xfId="19038" xr:uid="{00000000-0005-0000-0000-0000864D0000}"/>
    <cellStyle name="Normal 2 2 2 2 2 2 26 7" xfId="19039" xr:uid="{00000000-0005-0000-0000-0000874D0000}"/>
    <cellStyle name="Normal 2 2 2 2 2 2 26 7 2" xfId="19040" xr:uid="{00000000-0005-0000-0000-0000884D0000}"/>
    <cellStyle name="Normal 2 2 2 2 2 2 26 7 3" xfId="19041" xr:uid="{00000000-0005-0000-0000-0000894D0000}"/>
    <cellStyle name="Normal 2 2 2 2 2 2 26 7 4" xfId="19042" xr:uid="{00000000-0005-0000-0000-00008A4D0000}"/>
    <cellStyle name="Normal 2 2 2 2 2 2 26 7 5" xfId="19043" xr:uid="{00000000-0005-0000-0000-00008B4D0000}"/>
    <cellStyle name="Normal 2 2 2 2 2 2 26 7 6" xfId="19044" xr:uid="{00000000-0005-0000-0000-00008C4D0000}"/>
    <cellStyle name="Normal 2 2 2 2 2 2 26 8" xfId="19045" xr:uid="{00000000-0005-0000-0000-00008D4D0000}"/>
    <cellStyle name="Normal 2 2 2 2 2 2 26 8 2" xfId="19046" xr:uid="{00000000-0005-0000-0000-00008E4D0000}"/>
    <cellStyle name="Normal 2 2 2 2 2 2 26 8 3" xfId="19047" xr:uid="{00000000-0005-0000-0000-00008F4D0000}"/>
    <cellStyle name="Normal 2 2 2 2 2 2 26 8 4" xfId="19048" xr:uid="{00000000-0005-0000-0000-0000904D0000}"/>
    <cellStyle name="Normal 2 2 2 2 2 2 26 8 5" xfId="19049" xr:uid="{00000000-0005-0000-0000-0000914D0000}"/>
    <cellStyle name="Normal 2 2 2 2 2 2 26 8 6" xfId="19050" xr:uid="{00000000-0005-0000-0000-0000924D0000}"/>
    <cellStyle name="Normal 2 2 2 2 2 2 26 9" xfId="19051" xr:uid="{00000000-0005-0000-0000-0000934D0000}"/>
    <cellStyle name="Normal 2 2 2 2 2 2 27" xfId="19052" xr:uid="{00000000-0005-0000-0000-0000944D0000}"/>
    <cellStyle name="Normal 2 2 2 2 2 2 27 10" xfId="19053" xr:uid="{00000000-0005-0000-0000-0000954D0000}"/>
    <cellStyle name="Normal 2 2 2 2 2 2 27 11" xfId="19054" xr:uid="{00000000-0005-0000-0000-0000964D0000}"/>
    <cellStyle name="Normal 2 2 2 2 2 2 27 12" xfId="19055" xr:uid="{00000000-0005-0000-0000-0000974D0000}"/>
    <cellStyle name="Normal 2 2 2 2 2 2 27 13" xfId="19056" xr:uid="{00000000-0005-0000-0000-0000984D0000}"/>
    <cellStyle name="Normal 2 2 2 2 2 2 27 2" xfId="19057" xr:uid="{00000000-0005-0000-0000-0000994D0000}"/>
    <cellStyle name="Normal 2 2 2 2 2 2 27 2 2" xfId="19058" xr:uid="{00000000-0005-0000-0000-00009A4D0000}"/>
    <cellStyle name="Normal 2 2 2 2 2 2 27 2 3" xfId="19059" xr:uid="{00000000-0005-0000-0000-00009B4D0000}"/>
    <cellStyle name="Normal 2 2 2 2 2 2 27 2 4" xfId="19060" xr:uid="{00000000-0005-0000-0000-00009C4D0000}"/>
    <cellStyle name="Normal 2 2 2 2 2 2 27 2 5" xfId="19061" xr:uid="{00000000-0005-0000-0000-00009D4D0000}"/>
    <cellStyle name="Normal 2 2 2 2 2 2 27 2 6" xfId="19062" xr:uid="{00000000-0005-0000-0000-00009E4D0000}"/>
    <cellStyle name="Normal 2 2 2 2 2 2 27 3" xfId="19063" xr:uid="{00000000-0005-0000-0000-00009F4D0000}"/>
    <cellStyle name="Normal 2 2 2 2 2 2 27 3 2" xfId="19064" xr:uid="{00000000-0005-0000-0000-0000A04D0000}"/>
    <cellStyle name="Normal 2 2 2 2 2 2 27 3 3" xfId="19065" xr:uid="{00000000-0005-0000-0000-0000A14D0000}"/>
    <cellStyle name="Normal 2 2 2 2 2 2 27 3 4" xfId="19066" xr:uid="{00000000-0005-0000-0000-0000A24D0000}"/>
    <cellStyle name="Normal 2 2 2 2 2 2 27 3 5" xfId="19067" xr:uid="{00000000-0005-0000-0000-0000A34D0000}"/>
    <cellStyle name="Normal 2 2 2 2 2 2 27 3 6" xfId="19068" xr:uid="{00000000-0005-0000-0000-0000A44D0000}"/>
    <cellStyle name="Normal 2 2 2 2 2 2 27 4" xfId="19069" xr:uid="{00000000-0005-0000-0000-0000A54D0000}"/>
    <cellStyle name="Normal 2 2 2 2 2 2 27 4 2" xfId="19070" xr:uid="{00000000-0005-0000-0000-0000A64D0000}"/>
    <cellStyle name="Normal 2 2 2 2 2 2 27 4 3" xfId="19071" xr:uid="{00000000-0005-0000-0000-0000A74D0000}"/>
    <cellStyle name="Normal 2 2 2 2 2 2 27 4 4" xfId="19072" xr:uid="{00000000-0005-0000-0000-0000A84D0000}"/>
    <cellStyle name="Normal 2 2 2 2 2 2 27 4 5" xfId="19073" xr:uid="{00000000-0005-0000-0000-0000A94D0000}"/>
    <cellStyle name="Normal 2 2 2 2 2 2 27 4 6" xfId="19074" xr:uid="{00000000-0005-0000-0000-0000AA4D0000}"/>
    <cellStyle name="Normal 2 2 2 2 2 2 27 5" xfId="19075" xr:uid="{00000000-0005-0000-0000-0000AB4D0000}"/>
    <cellStyle name="Normal 2 2 2 2 2 2 27 5 2" xfId="19076" xr:uid="{00000000-0005-0000-0000-0000AC4D0000}"/>
    <cellStyle name="Normal 2 2 2 2 2 2 27 5 3" xfId="19077" xr:uid="{00000000-0005-0000-0000-0000AD4D0000}"/>
    <cellStyle name="Normal 2 2 2 2 2 2 27 5 4" xfId="19078" xr:uid="{00000000-0005-0000-0000-0000AE4D0000}"/>
    <cellStyle name="Normal 2 2 2 2 2 2 27 5 5" xfId="19079" xr:uid="{00000000-0005-0000-0000-0000AF4D0000}"/>
    <cellStyle name="Normal 2 2 2 2 2 2 27 5 6" xfId="19080" xr:uid="{00000000-0005-0000-0000-0000B04D0000}"/>
    <cellStyle name="Normal 2 2 2 2 2 2 27 6" xfId="19081" xr:uid="{00000000-0005-0000-0000-0000B14D0000}"/>
    <cellStyle name="Normal 2 2 2 2 2 2 27 6 2" xfId="19082" xr:uid="{00000000-0005-0000-0000-0000B24D0000}"/>
    <cellStyle name="Normal 2 2 2 2 2 2 27 6 3" xfId="19083" xr:uid="{00000000-0005-0000-0000-0000B34D0000}"/>
    <cellStyle name="Normal 2 2 2 2 2 2 27 6 4" xfId="19084" xr:uid="{00000000-0005-0000-0000-0000B44D0000}"/>
    <cellStyle name="Normal 2 2 2 2 2 2 27 6 5" xfId="19085" xr:uid="{00000000-0005-0000-0000-0000B54D0000}"/>
    <cellStyle name="Normal 2 2 2 2 2 2 27 6 6" xfId="19086" xr:uid="{00000000-0005-0000-0000-0000B64D0000}"/>
    <cellStyle name="Normal 2 2 2 2 2 2 27 7" xfId="19087" xr:uid="{00000000-0005-0000-0000-0000B74D0000}"/>
    <cellStyle name="Normal 2 2 2 2 2 2 27 7 2" xfId="19088" xr:uid="{00000000-0005-0000-0000-0000B84D0000}"/>
    <cellStyle name="Normal 2 2 2 2 2 2 27 7 3" xfId="19089" xr:uid="{00000000-0005-0000-0000-0000B94D0000}"/>
    <cellStyle name="Normal 2 2 2 2 2 2 27 7 4" xfId="19090" xr:uid="{00000000-0005-0000-0000-0000BA4D0000}"/>
    <cellStyle name="Normal 2 2 2 2 2 2 27 7 5" xfId="19091" xr:uid="{00000000-0005-0000-0000-0000BB4D0000}"/>
    <cellStyle name="Normal 2 2 2 2 2 2 27 7 6" xfId="19092" xr:uid="{00000000-0005-0000-0000-0000BC4D0000}"/>
    <cellStyle name="Normal 2 2 2 2 2 2 27 8" xfId="19093" xr:uid="{00000000-0005-0000-0000-0000BD4D0000}"/>
    <cellStyle name="Normal 2 2 2 2 2 2 27 8 2" xfId="19094" xr:uid="{00000000-0005-0000-0000-0000BE4D0000}"/>
    <cellStyle name="Normal 2 2 2 2 2 2 27 8 3" xfId="19095" xr:uid="{00000000-0005-0000-0000-0000BF4D0000}"/>
    <cellStyle name="Normal 2 2 2 2 2 2 27 8 4" xfId="19096" xr:uid="{00000000-0005-0000-0000-0000C04D0000}"/>
    <cellStyle name="Normal 2 2 2 2 2 2 27 8 5" xfId="19097" xr:uid="{00000000-0005-0000-0000-0000C14D0000}"/>
    <cellStyle name="Normal 2 2 2 2 2 2 27 8 6" xfId="19098" xr:uid="{00000000-0005-0000-0000-0000C24D0000}"/>
    <cellStyle name="Normal 2 2 2 2 2 2 27 9" xfId="19099" xr:uid="{00000000-0005-0000-0000-0000C34D0000}"/>
    <cellStyle name="Normal 2 2 2 2 2 2 28" xfId="19100" xr:uid="{00000000-0005-0000-0000-0000C44D0000}"/>
    <cellStyle name="Normal 2 2 2 2 2 2 28 10" xfId="19101" xr:uid="{00000000-0005-0000-0000-0000C54D0000}"/>
    <cellStyle name="Normal 2 2 2 2 2 2 28 11" xfId="19102" xr:uid="{00000000-0005-0000-0000-0000C64D0000}"/>
    <cellStyle name="Normal 2 2 2 2 2 2 28 2" xfId="19103" xr:uid="{00000000-0005-0000-0000-0000C74D0000}"/>
    <cellStyle name="Normal 2 2 2 2 2 2 28 3" xfId="19104" xr:uid="{00000000-0005-0000-0000-0000C84D0000}"/>
    <cellStyle name="Normal 2 2 2 2 2 2 28 4" xfId="19105" xr:uid="{00000000-0005-0000-0000-0000C94D0000}"/>
    <cellStyle name="Normal 2 2 2 2 2 2 28 5" xfId="19106" xr:uid="{00000000-0005-0000-0000-0000CA4D0000}"/>
    <cellStyle name="Normal 2 2 2 2 2 2 28 6" xfId="19107" xr:uid="{00000000-0005-0000-0000-0000CB4D0000}"/>
    <cellStyle name="Normal 2 2 2 2 2 2 28 7" xfId="19108" xr:uid="{00000000-0005-0000-0000-0000CC4D0000}"/>
    <cellStyle name="Normal 2 2 2 2 2 2 28 8" xfId="19109" xr:uid="{00000000-0005-0000-0000-0000CD4D0000}"/>
    <cellStyle name="Normal 2 2 2 2 2 2 28 9" xfId="19110" xr:uid="{00000000-0005-0000-0000-0000CE4D0000}"/>
    <cellStyle name="Normal 2 2 2 2 2 2 29" xfId="19111" xr:uid="{00000000-0005-0000-0000-0000CF4D0000}"/>
    <cellStyle name="Normal 2 2 2 2 2 2 3" xfId="19112" xr:uid="{00000000-0005-0000-0000-0000D04D0000}"/>
    <cellStyle name="Normal 2 2 2 2 2 2 3 10" xfId="19113" xr:uid="{00000000-0005-0000-0000-0000D14D0000}"/>
    <cellStyle name="Normal 2 2 2 2 2 2 3 11" xfId="19114" xr:uid="{00000000-0005-0000-0000-0000D24D0000}"/>
    <cellStyle name="Normal 2 2 2 2 2 2 3 12" xfId="19115" xr:uid="{00000000-0005-0000-0000-0000D34D0000}"/>
    <cellStyle name="Normal 2 2 2 2 2 2 3 13" xfId="19116" xr:uid="{00000000-0005-0000-0000-0000D44D0000}"/>
    <cellStyle name="Normal 2 2 2 2 2 2 3 14" xfId="19117" xr:uid="{00000000-0005-0000-0000-0000D54D0000}"/>
    <cellStyle name="Normal 2 2 2 2 2 2 3 2" xfId="19118" xr:uid="{00000000-0005-0000-0000-0000D64D0000}"/>
    <cellStyle name="Normal 2 2 2 2 2 2 3 2 2" xfId="19119" xr:uid="{00000000-0005-0000-0000-0000D74D0000}"/>
    <cellStyle name="Normal 2 2 2 2 2 2 3 2 3" xfId="19120" xr:uid="{00000000-0005-0000-0000-0000D84D0000}"/>
    <cellStyle name="Normal 2 2 2 2 2 2 3 2 4" xfId="19121" xr:uid="{00000000-0005-0000-0000-0000D94D0000}"/>
    <cellStyle name="Normal 2 2 2 2 2 2 3 2 5" xfId="19122" xr:uid="{00000000-0005-0000-0000-0000DA4D0000}"/>
    <cellStyle name="Normal 2 2 2 2 2 2 3 2 6" xfId="19123" xr:uid="{00000000-0005-0000-0000-0000DB4D0000}"/>
    <cellStyle name="Normal 2 2 2 2 2 2 3 3" xfId="19124" xr:uid="{00000000-0005-0000-0000-0000DC4D0000}"/>
    <cellStyle name="Normal 2 2 2 2 2 2 3 3 2" xfId="19125" xr:uid="{00000000-0005-0000-0000-0000DD4D0000}"/>
    <cellStyle name="Normal 2 2 2 2 2 2 3 3 3" xfId="19126" xr:uid="{00000000-0005-0000-0000-0000DE4D0000}"/>
    <cellStyle name="Normal 2 2 2 2 2 2 3 3 4" xfId="19127" xr:uid="{00000000-0005-0000-0000-0000DF4D0000}"/>
    <cellStyle name="Normal 2 2 2 2 2 2 3 3 5" xfId="19128" xr:uid="{00000000-0005-0000-0000-0000E04D0000}"/>
    <cellStyle name="Normal 2 2 2 2 2 2 3 3 6" xfId="19129" xr:uid="{00000000-0005-0000-0000-0000E14D0000}"/>
    <cellStyle name="Normal 2 2 2 2 2 2 3 4" xfId="19130" xr:uid="{00000000-0005-0000-0000-0000E24D0000}"/>
    <cellStyle name="Normal 2 2 2 2 2 2 3 4 2" xfId="19131" xr:uid="{00000000-0005-0000-0000-0000E34D0000}"/>
    <cellStyle name="Normal 2 2 2 2 2 2 3 4 3" xfId="19132" xr:uid="{00000000-0005-0000-0000-0000E44D0000}"/>
    <cellStyle name="Normal 2 2 2 2 2 2 3 4 4" xfId="19133" xr:uid="{00000000-0005-0000-0000-0000E54D0000}"/>
    <cellStyle name="Normal 2 2 2 2 2 2 3 4 5" xfId="19134" xr:uid="{00000000-0005-0000-0000-0000E64D0000}"/>
    <cellStyle name="Normal 2 2 2 2 2 2 3 4 6" xfId="19135" xr:uid="{00000000-0005-0000-0000-0000E74D0000}"/>
    <cellStyle name="Normal 2 2 2 2 2 2 3 5" xfId="19136" xr:uid="{00000000-0005-0000-0000-0000E84D0000}"/>
    <cellStyle name="Normal 2 2 2 2 2 2 3 5 2" xfId="19137" xr:uid="{00000000-0005-0000-0000-0000E94D0000}"/>
    <cellStyle name="Normal 2 2 2 2 2 2 3 5 3" xfId="19138" xr:uid="{00000000-0005-0000-0000-0000EA4D0000}"/>
    <cellStyle name="Normal 2 2 2 2 2 2 3 5 4" xfId="19139" xr:uid="{00000000-0005-0000-0000-0000EB4D0000}"/>
    <cellStyle name="Normal 2 2 2 2 2 2 3 5 5" xfId="19140" xr:uid="{00000000-0005-0000-0000-0000EC4D0000}"/>
    <cellStyle name="Normal 2 2 2 2 2 2 3 5 6" xfId="19141" xr:uid="{00000000-0005-0000-0000-0000ED4D0000}"/>
    <cellStyle name="Normal 2 2 2 2 2 2 3 6" xfId="19142" xr:uid="{00000000-0005-0000-0000-0000EE4D0000}"/>
    <cellStyle name="Normal 2 2 2 2 2 2 3 6 2" xfId="19143" xr:uid="{00000000-0005-0000-0000-0000EF4D0000}"/>
    <cellStyle name="Normal 2 2 2 2 2 2 3 6 3" xfId="19144" xr:uid="{00000000-0005-0000-0000-0000F04D0000}"/>
    <cellStyle name="Normal 2 2 2 2 2 2 3 6 4" xfId="19145" xr:uid="{00000000-0005-0000-0000-0000F14D0000}"/>
    <cellStyle name="Normal 2 2 2 2 2 2 3 6 5" xfId="19146" xr:uid="{00000000-0005-0000-0000-0000F24D0000}"/>
    <cellStyle name="Normal 2 2 2 2 2 2 3 6 6" xfId="19147" xr:uid="{00000000-0005-0000-0000-0000F34D0000}"/>
    <cellStyle name="Normal 2 2 2 2 2 2 3 7" xfId="19148" xr:uid="{00000000-0005-0000-0000-0000F44D0000}"/>
    <cellStyle name="Normal 2 2 2 2 2 2 3 7 2" xfId="19149" xr:uid="{00000000-0005-0000-0000-0000F54D0000}"/>
    <cellStyle name="Normal 2 2 2 2 2 2 3 7 3" xfId="19150" xr:uid="{00000000-0005-0000-0000-0000F64D0000}"/>
    <cellStyle name="Normal 2 2 2 2 2 2 3 7 4" xfId="19151" xr:uid="{00000000-0005-0000-0000-0000F74D0000}"/>
    <cellStyle name="Normal 2 2 2 2 2 2 3 7 5" xfId="19152" xr:uid="{00000000-0005-0000-0000-0000F84D0000}"/>
    <cellStyle name="Normal 2 2 2 2 2 2 3 7 6" xfId="19153" xr:uid="{00000000-0005-0000-0000-0000F94D0000}"/>
    <cellStyle name="Normal 2 2 2 2 2 2 3 8" xfId="19154" xr:uid="{00000000-0005-0000-0000-0000FA4D0000}"/>
    <cellStyle name="Normal 2 2 2 2 2 2 3 8 2" xfId="19155" xr:uid="{00000000-0005-0000-0000-0000FB4D0000}"/>
    <cellStyle name="Normal 2 2 2 2 2 2 3 8 3" xfId="19156" xr:uid="{00000000-0005-0000-0000-0000FC4D0000}"/>
    <cellStyle name="Normal 2 2 2 2 2 2 3 8 4" xfId="19157" xr:uid="{00000000-0005-0000-0000-0000FD4D0000}"/>
    <cellStyle name="Normal 2 2 2 2 2 2 3 8 5" xfId="19158" xr:uid="{00000000-0005-0000-0000-0000FE4D0000}"/>
    <cellStyle name="Normal 2 2 2 2 2 2 3 8 6" xfId="19159" xr:uid="{00000000-0005-0000-0000-0000FF4D0000}"/>
    <cellStyle name="Normal 2 2 2 2 2 2 3 9" xfId="19160" xr:uid="{00000000-0005-0000-0000-0000004E0000}"/>
    <cellStyle name="Normal 2 2 2 2 2 2 30" xfId="19161" xr:uid="{00000000-0005-0000-0000-0000014E0000}"/>
    <cellStyle name="Normal 2 2 2 2 2 2 31" xfId="19162" xr:uid="{00000000-0005-0000-0000-0000024E0000}"/>
    <cellStyle name="Normal 2 2 2 2 2 2 32" xfId="19163" xr:uid="{00000000-0005-0000-0000-0000034E0000}"/>
    <cellStyle name="Normal 2 2 2 2 2 2 33" xfId="19164" xr:uid="{00000000-0005-0000-0000-0000044E0000}"/>
    <cellStyle name="Normal 2 2 2 2 2 2 34" xfId="19165" xr:uid="{00000000-0005-0000-0000-0000054E0000}"/>
    <cellStyle name="Normal 2 2 2 2 2 2 35" xfId="19166" xr:uid="{00000000-0005-0000-0000-0000064E0000}"/>
    <cellStyle name="Normal 2 2 2 2 2 2 36" xfId="19167" xr:uid="{00000000-0005-0000-0000-0000074E0000}"/>
    <cellStyle name="Normal 2 2 2 2 2 2 37" xfId="19168" xr:uid="{00000000-0005-0000-0000-0000084E0000}"/>
    <cellStyle name="Normal 2 2 2 2 2 2 38" xfId="19169" xr:uid="{00000000-0005-0000-0000-0000094E0000}"/>
    <cellStyle name="Normal 2 2 2 2 2 2 39" xfId="19170" xr:uid="{00000000-0005-0000-0000-00000A4E0000}"/>
    <cellStyle name="Normal 2 2 2 2 2 2 4" xfId="19171" xr:uid="{00000000-0005-0000-0000-00000B4E0000}"/>
    <cellStyle name="Normal 2 2 2 2 2 2 4 10" xfId="19172" xr:uid="{00000000-0005-0000-0000-00000C4E0000}"/>
    <cellStyle name="Normal 2 2 2 2 2 2 4 11" xfId="19173" xr:uid="{00000000-0005-0000-0000-00000D4E0000}"/>
    <cellStyle name="Normal 2 2 2 2 2 2 4 12" xfId="19174" xr:uid="{00000000-0005-0000-0000-00000E4E0000}"/>
    <cellStyle name="Normal 2 2 2 2 2 2 4 13" xfId="19175" xr:uid="{00000000-0005-0000-0000-00000F4E0000}"/>
    <cellStyle name="Normal 2 2 2 2 2 2 4 14" xfId="19176" xr:uid="{00000000-0005-0000-0000-0000104E0000}"/>
    <cellStyle name="Normal 2 2 2 2 2 2 4 2" xfId="19177" xr:uid="{00000000-0005-0000-0000-0000114E0000}"/>
    <cellStyle name="Normal 2 2 2 2 2 2 4 2 2" xfId="19178" xr:uid="{00000000-0005-0000-0000-0000124E0000}"/>
    <cellStyle name="Normal 2 2 2 2 2 2 4 2 3" xfId="19179" xr:uid="{00000000-0005-0000-0000-0000134E0000}"/>
    <cellStyle name="Normal 2 2 2 2 2 2 4 2 4" xfId="19180" xr:uid="{00000000-0005-0000-0000-0000144E0000}"/>
    <cellStyle name="Normal 2 2 2 2 2 2 4 2 5" xfId="19181" xr:uid="{00000000-0005-0000-0000-0000154E0000}"/>
    <cellStyle name="Normal 2 2 2 2 2 2 4 2 6" xfId="19182" xr:uid="{00000000-0005-0000-0000-0000164E0000}"/>
    <cellStyle name="Normal 2 2 2 2 2 2 4 3" xfId="19183" xr:uid="{00000000-0005-0000-0000-0000174E0000}"/>
    <cellStyle name="Normal 2 2 2 2 2 2 4 3 2" xfId="19184" xr:uid="{00000000-0005-0000-0000-0000184E0000}"/>
    <cellStyle name="Normal 2 2 2 2 2 2 4 3 3" xfId="19185" xr:uid="{00000000-0005-0000-0000-0000194E0000}"/>
    <cellStyle name="Normal 2 2 2 2 2 2 4 3 4" xfId="19186" xr:uid="{00000000-0005-0000-0000-00001A4E0000}"/>
    <cellStyle name="Normal 2 2 2 2 2 2 4 3 5" xfId="19187" xr:uid="{00000000-0005-0000-0000-00001B4E0000}"/>
    <cellStyle name="Normal 2 2 2 2 2 2 4 3 6" xfId="19188" xr:uid="{00000000-0005-0000-0000-00001C4E0000}"/>
    <cellStyle name="Normal 2 2 2 2 2 2 4 4" xfId="19189" xr:uid="{00000000-0005-0000-0000-00001D4E0000}"/>
    <cellStyle name="Normal 2 2 2 2 2 2 4 4 2" xfId="19190" xr:uid="{00000000-0005-0000-0000-00001E4E0000}"/>
    <cellStyle name="Normal 2 2 2 2 2 2 4 4 3" xfId="19191" xr:uid="{00000000-0005-0000-0000-00001F4E0000}"/>
    <cellStyle name="Normal 2 2 2 2 2 2 4 4 4" xfId="19192" xr:uid="{00000000-0005-0000-0000-0000204E0000}"/>
    <cellStyle name="Normal 2 2 2 2 2 2 4 4 5" xfId="19193" xr:uid="{00000000-0005-0000-0000-0000214E0000}"/>
    <cellStyle name="Normal 2 2 2 2 2 2 4 4 6" xfId="19194" xr:uid="{00000000-0005-0000-0000-0000224E0000}"/>
    <cellStyle name="Normal 2 2 2 2 2 2 4 5" xfId="19195" xr:uid="{00000000-0005-0000-0000-0000234E0000}"/>
    <cellStyle name="Normal 2 2 2 2 2 2 4 5 2" xfId="19196" xr:uid="{00000000-0005-0000-0000-0000244E0000}"/>
    <cellStyle name="Normal 2 2 2 2 2 2 4 5 3" xfId="19197" xr:uid="{00000000-0005-0000-0000-0000254E0000}"/>
    <cellStyle name="Normal 2 2 2 2 2 2 4 5 4" xfId="19198" xr:uid="{00000000-0005-0000-0000-0000264E0000}"/>
    <cellStyle name="Normal 2 2 2 2 2 2 4 5 5" xfId="19199" xr:uid="{00000000-0005-0000-0000-0000274E0000}"/>
    <cellStyle name="Normal 2 2 2 2 2 2 4 5 6" xfId="19200" xr:uid="{00000000-0005-0000-0000-0000284E0000}"/>
    <cellStyle name="Normal 2 2 2 2 2 2 4 6" xfId="19201" xr:uid="{00000000-0005-0000-0000-0000294E0000}"/>
    <cellStyle name="Normal 2 2 2 2 2 2 4 6 2" xfId="19202" xr:uid="{00000000-0005-0000-0000-00002A4E0000}"/>
    <cellStyle name="Normal 2 2 2 2 2 2 4 6 3" xfId="19203" xr:uid="{00000000-0005-0000-0000-00002B4E0000}"/>
    <cellStyle name="Normal 2 2 2 2 2 2 4 6 4" xfId="19204" xr:uid="{00000000-0005-0000-0000-00002C4E0000}"/>
    <cellStyle name="Normal 2 2 2 2 2 2 4 6 5" xfId="19205" xr:uid="{00000000-0005-0000-0000-00002D4E0000}"/>
    <cellStyle name="Normal 2 2 2 2 2 2 4 6 6" xfId="19206" xr:uid="{00000000-0005-0000-0000-00002E4E0000}"/>
    <cellStyle name="Normal 2 2 2 2 2 2 4 7" xfId="19207" xr:uid="{00000000-0005-0000-0000-00002F4E0000}"/>
    <cellStyle name="Normal 2 2 2 2 2 2 4 7 2" xfId="19208" xr:uid="{00000000-0005-0000-0000-0000304E0000}"/>
    <cellStyle name="Normal 2 2 2 2 2 2 4 7 3" xfId="19209" xr:uid="{00000000-0005-0000-0000-0000314E0000}"/>
    <cellStyle name="Normal 2 2 2 2 2 2 4 7 4" xfId="19210" xr:uid="{00000000-0005-0000-0000-0000324E0000}"/>
    <cellStyle name="Normal 2 2 2 2 2 2 4 7 5" xfId="19211" xr:uid="{00000000-0005-0000-0000-0000334E0000}"/>
    <cellStyle name="Normal 2 2 2 2 2 2 4 7 6" xfId="19212" xr:uid="{00000000-0005-0000-0000-0000344E0000}"/>
    <cellStyle name="Normal 2 2 2 2 2 2 4 8" xfId="19213" xr:uid="{00000000-0005-0000-0000-0000354E0000}"/>
    <cellStyle name="Normal 2 2 2 2 2 2 4 8 2" xfId="19214" xr:uid="{00000000-0005-0000-0000-0000364E0000}"/>
    <cellStyle name="Normal 2 2 2 2 2 2 4 8 3" xfId="19215" xr:uid="{00000000-0005-0000-0000-0000374E0000}"/>
    <cellStyle name="Normal 2 2 2 2 2 2 4 8 4" xfId="19216" xr:uid="{00000000-0005-0000-0000-0000384E0000}"/>
    <cellStyle name="Normal 2 2 2 2 2 2 4 8 5" xfId="19217" xr:uid="{00000000-0005-0000-0000-0000394E0000}"/>
    <cellStyle name="Normal 2 2 2 2 2 2 4 8 6" xfId="19218" xr:uid="{00000000-0005-0000-0000-00003A4E0000}"/>
    <cellStyle name="Normal 2 2 2 2 2 2 4 9" xfId="19219" xr:uid="{00000000-0005-0000-0000-00003B4E0000}"/>
    <cellStyle name="Normal 2 2 2 2 2 2 40" xfId="19220" xr:uid="{00000000-0005-0000-0000-00003C4E0000}"/>
    <cellStyle name="Normal 2 2 2 2 2 2 41" xfId="19221" xr:uid="{00000000-0005-0000-0000-00003D4E0000}"/>
    <cellStyle name="Normal 2 2 2 2 2 2 42" xfId="19222" xr:uid="{00000000-0005-0000-0000-00003E4E0000}"/>
    <cellStyle name="Normal 2 2 2 2 2 2 43" xfId="19223" xr:uid="{00000000-0005-0000-0000-00003F4E0000}"/>
    <cellStyle name="Normal 2 2 2 2 2 2 43 2" xfId="19224" xr:uid="{00000000-0005-0000-0000-0000404E0000}"/>
    <cellStyle name="Normal 2 2 2 2 2 2 43 3" xfId="19225" xr:uid="{00000000-0005-0000-0000-0000414E0000}"/>
    <cellStyle name="Normal 2 2 2 2 2 2 43 4" xfId="19226" xr:uid="{00000000-0005-0000-0000-0000424E0000}"/>
    <cellStyle name="Normal 2 2 2 2 2 2 43 5" xfId="19227" xr:uid="{00000000-0005-0000-0000-0000434E0000}"/>
    <cellStyle name="Normal 2 2 2 2 2 2 43 6" xfId="19228" xr:uid="{00000000-0005-0000-0000-0000444E0000}"/>
    <cellStyle name="Normal 2 2 2 2 2 2 44" xfId="19229" xr:uid="{00000000-0005-0000-0000-0000454E0000}"/>
    <cellStyle name="Normal 2 2 2 2 2 2 44 2" xfId="19230" xr:uid="{00000000-0005-0000-0000-0000464E0000}"/>
    <cellStyle name="Normal 2 2 2 2 2 2 44 3" xfId="19231" xr:uid="{00000000-0005-0000-0000-0000474E0000}"/>
    <cellStyle name="Normal 2 2 2 2 2 2 44 4" xfId="19232" xr:uid="{00000000-0005-0000-0000-0000484E0000}"/>
    <cellStyle name="Normal 2 2 2 2 2 2 44 5" xfId="19233" xr:uid="{00000000-0005-0000-0000-0000494E0000}"/>
    <cellStyle name="Normal 2 2 2 2 2 2 44 6" xfId="19234" xr:uid="{00000000-0005-0000-0000-00004A4E0000}"/>
    <cellStyle name="Normal 2 2 2 2 2 2 45" xfId="19235" xr:uid="{00000000-0005-0000-0000-00004B4E0000}"/>
    <cellStyle name="Normal 2 2 2 2 2 2 45 2" xfId="19236" xr:uid="{00000000-0005-0000-0000-00004C4E0000}"/>
    <cellStyle name="Normal 2 2 2 2 2 2 45 3" xfId="19237" xr:uid="{00000000-0005-0000-0000-00004D4E0000}"/>
    <cellStyle name="Normal 2 2 2 2 2 2 45 4" xfId="19238" xr:uid="{00000000-0005-0000-0000-00004E4E0000}"/>
    <cellStyle name="Normal 2 2 2 2 2 2 45 5" xfId="19239" xr:uid="{00000000-0005-0000-0000-00004F4E0000}"/>
    <cellStyle name="Normal 2 2 2 2 2 2 45 6" xfId="19240" xr:uid="{00000000-0005-0000-0000-0000504E0000}"/>
    <cellStyle name="Normal 2 2 2 2 2 2 46" xfId="19241" xr:uid="{00000000-0005-0000-0000-0000514E0000}"/>
    <cellStyle name="Normal 2 2 2 2 2 2 46 2" xfId="19242" xr:uid="{00000000-0005-0000-0000-0000524E0000}"/>
    <cellStyle name="Normal 2 2 2 2 2 2 46 3" xfId="19243" xr:uid="{00000000-0005-0000-0000-0000534E0000}"/>
    <cellStyle name="Normal 2 2 2 2 2 2 46 4" xfId="19244" xr:uid="{00000000-0005-0000-0000-0000544E0000}"/>
    <cellStyle name="Normal 2 2 2 2 2 2 46 5" xfId="19245" xr:uid="{00000000-0005-0000-0000-0000554E0000}"/>
    <cellStyle name="Normal 2 2 2 2 2 2 46 6" xfId="19246" xr:uid="{00000000-0005-0000-0000-0000564E0000}"/>
    <cellStyle name="Normal 2 2 2 2 2 2 47" xfId="19247" xr:uid="{00000000-0005-0000-0000-0000574E0000}"/>
    <cellStyle name="Normal 2 2 2 2 2 2 47 2" xfId="19248" xr:uid="{00000000-0005-0000-0000-0000584E0000}"/>
    <cellStyle name="Normal 2 2 2 2 2 2 47 2 2" xfId="19249" xr:uid="{00000000-0005-0000-0000-0000594E0000}"/>
    <cellStyle name="Normal 2 2 2 2 2 2 47 2 2 2" xfId="19250" xr:uid="{00000000-0005-0000-0000-00005A4E0000}"/>
    <cellStyle name="Normal 2 2 2 2 2 2 47 2 2 3" xfId="19251" xr:uid="{00000000-0005-0000-0000-00005B4E0000}"/>
    <cellStyle name="Normal 2 2 2 2 2 2 47 2 2 4" xfId="19252" xr:uid="{00000000-0005-0000-0000-00005C4E0000}"/>
    <cellStyle name="Normal 2 2 2 2 2 2 47 2 2 5" xfId="19253" xr:uid="{00000000-0005-0000-0000-00005D4E0000}"/>
    <cellStyle name="Normal 2 2 2 2 2 2 47 2 2 6" xfId="19254" xr:uid="{00000000-0005-0000-0000-00005E4E0000}"/>
    <cellStyle name="Normal 2 2 2 2 2 2 47 2 2 7" xfId="19255" xr:uid="{00000000-0005-0000-0000-00005F4E0000}"/>
    <cellStyle name="Normal 2 2 2 2 2 2 47 3" xfId="19256" xr:uid="{00000000-0005-0000-0000-0000604E0000}"/>
    <cellStyle name="Normal 2 2 2 2 2 2 47 4" xfId="19257" xr:uid="{00000000-0005-0000-0000-0000614E0000}"/>
    <cellStyle name="Normal 2 2 2 2 2 2 47 5" xfId="19258" xr:uid="{00000000-0005-0000-0000-0000624E0000}"/>
    <cellStyle name="Normal 2 2 2 2 2 2 47 6" xfId="19259" xr:uid="{00000000-0005-0000-0000-0000634E0000}"/>
    <cellStyle name="Normal 2 2 2 2 2 2 47 7" xfId="19260" xr:uid="{00000000-0005-0000-0000-0000644E0000}"/>
    <cellStyle name="Normal 2 2 2 2 2 2 47 8" xfId="19261" xr:uid="{00000000-0005-0000-0000-0000654E0000}"/>
    <cellStyle name="Normal 2 2 2 2 2 2 48" xfId="19262" xr:uid="{00000000-0005-0000-0000-0000664E0000}"/>
    <cellStyle name="Normal 2 2 2 2 2 2 49" xfId="19263" xr:uid="{00000000-0005-0000-0000-0000674E0000}"/>
    <cellStyle name="Normal 2 2 2 2 2 2 5" xfId="19264" xr:uid="{00000000-0005-0000-0000-0000684E0000}"/>
    <cellStyle name="Normal 2 2 2 2 2 2 5 10" xfId="19265" xr:uid="{00000000-0005-0000-0000-0000694E0000}"/>
    <cellStyle name="Normal 2 2 2 2 2 2 5 11" xfId="19266" xr:uid="{00000000-0005-0000-0000-00006A4E0000}"/>
    <cellStyle name="Normal 2 2 2 2 2 2 5 12" xfId="19267" xr:uid="{00000000-0005-0000-0000-00006B4E0000}"/>
    <cellStyle name="Normal 2 2 2 2 2 2 5 13" xfId="19268" xr:uid="{00000000-0005-0000-0000-00006C4E0000}"/>
    <cellStyle name="Normal 2 2 2 2 2 2 5 2" xfId="19269" xr:uid="{00000000-0005-0000-0000-00006D4E0000}"/>
    <cellStyle name="Normal 2 2 2 2 2 2 5 2 2" xfId="19270" xr:uid="{00000000-0005-0000-0000-00006E4E0000}"/>
    <cellStyle name="Normal 2 2 2 2 2 2 5 2 3" xfId="19271" xr:uid="{00000000-0005-0000-0000-00006F4E0000}"/>
    <cellStyle name="Normal 2 2 2 2 2 2 5 2 4" xfId="19272" xr:uid="{00000000-0005-0000-0000-0000704E0000}"/>
    <cellStyle name="Normal 2 2 2 2 2 2 5 2 5" xfId="19273" xr:uid="{00000000-0005-0000-0000-0000714E0000}"/>
    <cellStyle name="Normal 2 2 2 2 2 2 5 2 6" xfId="19274" xr:uid="{00000000-0005-0000-0000-0000724E0000}"/>
    <cellStyle name="Normal 2 2 2 2 2 2 5 3" xfId="19275" xr:uid="{00000000-0005-0000-0000-0000734E0000}"/>
    <cellStyle name="Normal 2 2 2 2 2 2 5 3 2" xfId="19276" xr:uid="{00000000-0005-0000-0000-0000744E0000}"/>
    <cellStyle name="Normal 2 2 2 2 2 2 5 3 3" xfId="19277" xr:uid="{00000000-0005-0000-0000-0000754E0000}"/>
    <cellStyle name="Normal 2 2 2 2 2 2 5 3 4" xfId="19278" xr:uid="{00000000-0005-0000-0000-0000764E0000}"/>
    <cellStyle name="Normal 2 2 2 2 2 2 5 3 5" xfId="19279" xr:uid="{00000000-0005-0000-0000-0000774E0000}"/>
    <cellStyle name="Normal 2 2 2 2 2 2 5 3 6" xfId="19280" xr:uid="{00000000-0005-0000-0000-0000784E0000}"/>
    <cellStyle name="Normal 2 2 2 2 2 2 5 4" xfId="19281" xr:uid="{00000000-0005-0000-0000-0000794E0000}"/>
    <cellStyle name="Normal 2 2 2 2 2 2 5 4 2" xfId="19282" xr:uid="{00000000-0005-0000-0000-00007A4E0000}"/>
    <cellStyle name="Normal 2 2 2 2 2 2 5 4 3" xfId="19283" xr:uid="{00000000-0005-0000-0000-00007B4E0000}"/>
    <cellStyle name="Normal 2 2 2 2 2 2 5 4 4" xfId="19284" xr:uid="{00000000-0005-0000-0000-00007C4E0000}"/>
    <cellStyle name="Normal 2 2 2 2 2 2 5 4 5" xfId="19285" xr:uid="{00000000-0005-0000-0000-00007D4E0000}"/>
    <cellStyle name="Normal 2 2 2 2 2 2 5 4 6" xfId="19286" xr:uid="{00000000-0005-0000-0000-00007E4E0000}"/>
    <cellStyle name="Normal 2 2 2 2 2 2 5 5" xfId="19287" xr:uid="{00000000-0005-0000-0000-00007F4E0000}"/>
    <cellStyle name="Normal 2 2 2 2 2 2 5 5 2" xfId="19288" xr:uid="{00000000-0005-0000-0000-0000804E0000}"/>
    <cellStyle name="Normal 2 2 2 2 2 2 5 5 3" xfId="19289" xr:uid="{00000000-0005-0000-0000-0000814E0000}"/>
    <cellStyle name="Normal 2 2 2 2 2 2 5 5 4" xfId="19290" xr:uid="{00000000-0005-0000-0000-0000824E0000}"/>
    <cellStyle name="Normal 2 2 2 2 2 2 5 5 5" xfId="19291" xr:uid="{00000000-0005-0000-0000-0000834E0000}"/>
    <cellStyle name="Normal 2 2 2 2 2 2 5 5 6" xfId="19292" xr:uid="{00000000-0005-0000-0000-0000844E0000}"/>
    <cellStyle name="Normal 2 2 2 2 2 2 5 6" xfId="19293" xr:uid="{00000000-0005-0000-0000-0000854E0000}"/>
    <cellStyle name="Normal 2 2 2 2 2 2 5 6 2" xfId="19294" xr:uid="{00000000-0005-0000-0000-0000864E0000}"/>
    <cellStyle name="Normal 2 2 2 2 2 2 5 6 3" xfId="19295" xr:uid="{00000000-0005-0000-0000-0000874E0000}"/>
    <cellStyle name="Normal 2 2 2 2 2 2 5 6 4" xfId="19296" xr:uid="{00000000-0005-0000-0000-0000884E0000}"/>
    <cellStyle name="Normal 2 2 2 2 2 2 5 6 5" xfId="19297" xr:uid="{00000000-0005-0000-0000-0000894E0000}"/>
    <cellStyle name="Normal 2 2 2 2 2 2 5 6 6" xfId="19298" xr:uid="{00000000-0005-0000-0000-00008A4E0000}"/>
    <cellStyle name="Normal 2 2 2 2 2 2 5 7" xfId="19299" xr:uid="{00000000-0005-0000-0000-00008B4E0000}"/>
    <cellStyle name="Normal 2 2 2 2 2 2 5 7 2" xfId="19300" xr:uid="{00000000-0005-0000-0000-00008C4E0000}"/>
    <cellStyle name="Normal 2 2 2 2 2 2 5 7 3" xfId="19301" xr:uid="{00000000-0005-0000-0000-00008D4E0000}"/>
    <cellStyle name="Normal 2 2 2 2 2 2 5 7 4" xfId="19302" xr:uid="{00000000-0005-0000-0000-00008E4E0000}"/>
    <cellStyle name="Normal 2 2 2 2 2 2 5 7 5" xfId="19303" xr:uid="{00000000-0005-0000-0000-00008F4E0000}"/>
    <cellStyle name="Normal 2 2 2 2 2 2 5 7 6" xfId="19304" xr:uid="{00000000-0005-0000-0000-0000904E0000}"/>
    <cellStyle name="Normal 2 2 2 2 2 2 5 8" xfId="19305" xr:uid="{00000000-0005-0000-0000-0000914E0000}"/>
    <cellStyle name="Normal 2 2 2 2 2 2 5 8 2" xfId="19306" xr:uid="{00000000-0005-0000-0000-0000924E0000}"/>
    <cellStyle name="Normal 2 2 2 2 2 2 5 8 3" xfId="19307" xr:uid="{00000000-0005-0000-0000-0000934E0000}"/>
    <cellStyle name="Normal 2 2 2 2 2 2 5 8 4" xfId="19308" xr:uid="{00000000-0005-0000-0000-0000944E0000}"/>
    <cellStyle name="Normal 2 2 2 2 2 2 5 8 5" xfId="19309" xr:uid="{00000000-0005-0000-0000-0000954E0000}"/>
    <cellStyle name="Normal 2 2 2 2 2 2 5 8 6" xfId="19310" xr:uid="{00000000-0005-0000-0000-0000964E0000}"/>
    <cellStyle name="Normal 2 2 2 2 2 2 5 9" xfId="19311" xr:uid="{00000000-0005-0000-0000-0000974E0000}"/>
    <cellStyle name="Normal 2 2 2 2 2 2 50" xfId="19312" xr:uid="{00000000-0005-0000-0000-0000984E0000}"/>
    <cellStyle name="Normal 2 2 2 2 2 2 51" xfId="19313" xr:uid="{00000000-0005-0000-0000-0000994E0000}"/>
    <cellStyle name="Normal 2 2 2 2 2 2 52" xfId="19314" xr:uid="{00000000-0005-0000-0000-00009A4E0000}"/>
    <cellStyle name="Normal 2 2 2 2 2 2 53" xfId="19315" xr:uid="{00000000-0005-0000-0000-00009B4E0000}"/>
    <cellStyle name="Normal 2 2 2 2 2 2 54" xfId="19316" xr:uid="{00000000-0005-0000-0000-00009C4E0000}"/>
    <cellStyle name="Normal 2 2 2 2 2 2 55" xfId="19317" xr:uid="{00000000-0005-0000-0000-00009D4E0000}"/>
    <cellStyle name="Normal 2 2 2 2 2 2 56" xfId="19318" xr:uid="{00000000-0005-0000-0000-00009E4E0000}"/>
    <cellStyle name="Normal 2 2 2 2 2 2 57" xfId="19319" xr:uid="{00000000-0005-0000-0000-00009F4E0000}"/>
    <cellStyle name="Normal 2 2 2 2 2 2 58" xfId="19320" xr:uid="{00000000-0005-0000-0000-0000A04E0000}"/>
    <cellStyle name="Normal 2 2 2 2 2 2 59" xfId="19321" xr:uid="{00000000-0005-0000-0000-0000A14E0000}"/>
    <cellStyle name="Normal 2 2 2 2 2 2 6" xfId="19322" xr:uid="{00000000-0005-0000-0000-0000A24E0000}"/>
    <cellStyle name="Normal 2 2 2 2 2 2 6 10" xfId="19323" xr:uid="{00000000-0005-0000-0000-0000A34E0000}"/>
    <cellStyle name="Normal 2 2 2 2 2 2 6 11" xfId="19324" xr:uid="{00000000-0005-0000-0000-0000A44E0000}"/>
    <cellStyle name="Normal 2 2 2 2 2 2 6 12" xfId="19325" xr:uid="{00000000-0005-0000-0000-0000A54E0000}"/>
    <cellStyle name="Normal 2 2 2 2 2 2 6 13" xfId="19326" xr:uid="{00000000-0005-0000-0000-0000A64E0000}"/>
    <cellStyle name="Normal 2 2 2 2 2 2 6 2" xfId="19327" xr:uid="{00000000-0005-0000-0000-0000A74E0000}"/>
    <cellStyle name="Normal 2 2 2 2 2 2 6 2 2" xfId="19328" xr:uid="{00000000-0005-0000-0000-0000A84E0000}"/>
    <cellStyle name="Normal 2 2 2 2 2 2 6 2 3" xfId="19329" xr:uid="{00000000-0005-0000-0000-0000A94E0000}"/>
    <cellStyle name="Normal 2 2 2 2 2 2 6 2 4" xfId="19330" xr:uid="{00000000-0005-0000-0000-0000AA4E0000}"/>
    <cellStyle name="Normal 2 2 2 2 2 2 6 2 5" xfId="19331" xr:uid="{00000000-0005-0000-0000-0000AB4E0000}"/>
    <cellStyle name="Normal 2 2 2 2 2 2 6 2 6" xfId="19332" xr:uid="{00000000-0005-0000-0000-0000AC4E0000}"/>
    <cellStyle name="Normal 2 2 2 2 2 2 6 3" xfId="19333" xr:uid="{00000000-0005-0000-0000-0000AD4E0000}"/>
    <cellStyle name="Normal 2 2 2 2 2 2 6 3 2" xfId="19334" xr:uid="{00000000-0005-0000-0000-0000AE4E0000}"/>
    <cellStyle name="Normal 2 2 2 2 2 2 6 3 3" xfId="19335" xr:uid="{00000000-0005-0000-0000-0000AF4E0000}"/>
    <cellStyle name="Normal 2 2 2 2 2 2 6 3 4" xfId="19336" xr:uid="{00000000-0005-0000-0000-0000B04E0000}"/>
    <cellStyle name="Normal 2 2 2 2 2 2 6 3 5" xfId="19337" xr:uid="{00000000-0005-0000-0000-0000B14E0000}"/>
    <cellStyle name="Normal 2 2 2 2 2 2 6 3 6" xfId="19338" xr:uid="{00000000-0005-0000-0000-0000B24E0000}"/>
    <cellStyle name="Normal 2 2 2 2 2 2 6 4" xfId="19339" xr:uid="{00000000-0005-0000-0000-0000B34E0000}"/>
    <cellStyle name="Normal 2 2 2 2 2 2 6 4 2" xfId="19340" xr:uid="{00000000-0005-0000-0000-0000B44E0000}"/>
    <cellStyle name="Normal 2 2 2 2 2 2 6 4 3" xfId="19341" xr:uid="{00000000-0005-0000-0000-0000B54E0000}"/>
    <cellStyle name="Normal 2 2 2 2 2 2 6 4 4" xfId="19342" xr:uid="{00000000-0005-0000-0000-0000B64E0000}"/>
    <cellStyle name="Normal 2 2 2 2 2 2 6 4 5" xfId="19343" xr:uid="{00000000-0005-0000-0000-0000B74E0000}"/>
    <cellStyle name="Normal 2 2 2 2 2 2 6 4 6" xfId="19344" xr:uid="{00000000-0005-0000-0000-0000B84E0000}"/>
    <cellStyle name="Normal 2 2 2 2 2 2 6 5" xfId="19345" xr:uid="{00000000-0005-0000-0000-0000B94E0000}"/>
    <cellStyle name="Normal 2 2 2 2 2 2 6 5 2" xfId="19346" xr:uid="{00000000-0005-0000-0000-0000BA4E0000}"/>
    <cellStyle name="Normal 2 2 2 2 2 2 6 5 3" xfId="19347" xr:uid="{00000000-0005-0000-0000-0000BB4E0000}"/>
    <cellStyle name="Normal 2 2 2 2 2 2 6 5 4" xfId="19348" xr:uid="{00000000-0005-0000-0000-0000BC4E0000}"/>
    <cellStyle name="Normal 2 2 2 2 2 2 6 5 5" xfId="19349" xr:uid="{00000000-0005-0000-0000-0000BD4E0000}"/>
    <cellStyle name="Normal 2 2 2 2 2 2 6 5 6" xfId="19350" xr:uid="{00000000-0005-0000-0000-0000BE4E0000}"/>
    <cellStyle name="Normal 2 2 2 2 2 2 6 6" xfId="19351" xr:uid="{00000000-0005-0000-0000-0000BF4E0000}"/>
    <cellStyle name="Normal 2 2 2 2 2 2 6 6 2" xfId="19352" xr:uid="{00000000-0005-0000-0000-0000C04E0000}"/>
    <cellStyle name="Normal 2 2 2 2 2 2 6 6 3" xfId="19353" xr:uid="{00000000-0005-0000-0000-0000C14E0000}"/>
    <cellStyle name="Normal 2 2 2 2 2 2 6 6 4" xfId="19354" xr:uid="{00000000-0005-0000-0000-0000C24E0000}"/>
    <cellStyle name="Normal 2 2 2 2 2 2 6 6 5" xfId="19355" xr:uid="{00000000-0005-0000-0000-0000C34E0000}"/>
    <cellStyle name="Normal 2 2 2 2 2 2 6 6 6" xfId="19356" xr:uid="{00000000-0005-0000-0000-0000C44E0000}"/>
    <cellStyle name="Normal 2 2 2 2 2 2 6 7" xfId="19357" xr:uid="{00000000-0005-0000-0000-0000C54E0000}"/>
    <cellStyle name="Normal 2 2 2 2 2 2 6 7 2" xfId="19358" xr:uid="{00000000-0005-0000-0000-0000C64E0000}"/>
    <cellStyle name="Normal 2 2 2 2 2 2 6 7 3" xfId="19359" xr:uid="{00000000-0005-0000-0000-0000C74E0000}"/>
    <cellStyle name="Normal 2 2 2 2 2 2 6 7 4" xfId="19360" xr:uid="{00000000-0005-0000-0000-0000C84E0000}"/>
    <cellStyle name="Normal 2 2 2 2 2 2 6 7 5" xfId="19361" xr:uid="{00000000-0005-0000-0000-0000C94E0000}"/>
    <cellStyle name="Normal 2 2 2 2 2 2 6 7 6" xfId="19362" xr:uid="{00000000-0005-0000-0000-0000CA4E0000}"/>
    <cellStyle name="Normal 2 2 2 2 2 2 6 8" xfId="19363" xr:uid="{00000000-0005-0000-0000-0000CB4E0000}"/>
    <cellStyle name="Normal 2 2 2 2 2 2 6 8 2" xfId="19364" xr:uid="{00000000-0005-0000-0000-0000CC4E0000}"/>
    <cellStyle name="Normal 2 2 2 2 2 2 6 8 3" xfId="19365" xr:uid="{00000000-0005-0000-0000-0000CD4E0000}"/>
    <cellStyle name="Normal 2 2 2 2 2 2 6 8 4" xfId="19366" xr:uid="{00000000-0005-0000-0000-0000CE4E0000}"/>
    <cellStyle name="Normal 2 2 2 2 2 2 6 8 5" xfId="19367" xr:uid="{00000000-0005-0000-0000-0000CF4E0000}"/>
    <cellStyle name="Normal 2 2 2 2 2 2 6 8 6" xfId="19368" xr:uid="{00000000-0005-0000-0000-0000D04E0000}"/>
    <cellStyle name="Normal 2 2 2 2 2 2 6 9" xfId="19369" xr:uid="{00000000-0005-0000-0000-0000D14E0000}"/>
    <cellStyle name="Normal 2 2 2 2 2 2 60" xfId="19370" xr:uid="{00000000-0005-0000-0000-0000D24E0000}"/>
    <cellStyle name="Normal 2 2 2 2 2 2 61" xfId="19371" xr:uid="{00000000-0005-0000-0000-0000D34E0000}"/>
    <cellStyle name="Normal 2 2 2 2 2 2 62" xfId="19372" xr:uid="{00000000-0005-0000-0000-0000D44E0000}"/>
    <cellStyle name="Normal 2 2 2 2 2 2 63" xfId="19373" xr:uid="{00000000-0005-0000-0000-0000D54E0000}"/>
    <cellStyle name="Normal 2 2 2 2 2 2 64" xfId="19374" xr:uid="{00000000-0005-0000-0000-0000D64E0000}"/>
    <cellStyle name="Normal 2 2 2 2 2 2 65" xfId="19375" xr:uid="{00000000-0005-0000-0000-0000D74E0000}"/>
    <cellStyle name="Normal 2 2 2 2 2 2 66" xfId="19376" xr:uid="{00000000-0005-0000-0000-0000D84E0000}"/>
    <cellStyle name="Normal 2 2 2 2 2 2 67" xfId="19377" xr:uid="{00000000-0005-0000-0000-0000D94E0000}"/>
    <cellStyle name="Normal 2 2 2 2 2 2 67 2" xfId="19378" xr:uid="{00000000-0005-0000-0000-0000DA4E0000}"/>
    <cellStyle name="Normal 2 2 2 2 2 2 67 3" xfId="19379" xr:uid="{00000000-0005-0000-0000-0000DB4E0000}"/>
    <cellStyle name="Normal 2 2 2 2 2 2 67 4" xfId="19380" xr:uid="{00000000-0005-0000-0000-0000DC4E0000}"/>
    <cellStyle name="Normal 2 2 2 2 2 2 67 5" xfId="19381" xr:uid="{00000000-0005-0000-0000-0000DD4E0000}"/>
    <cellStyle name="Normal 2 2 2 2 2 2 67 6" xfId="19382" xr:uid="{00000000-0005-0000-0000-0000DE4E0000}"/>
    <cellStyle name="Normal 2 2 2 2 2 2 67 7" xfId="19383" xr:uid="{00000000-0005-0000-0000-0000DF4E0000}"/>
    <cellStyle name="Normal 2 2 2 2 2 2 68" xfId="19384" xr:uid="{00000000-0005-0000-0000-0000E04E0000}"/>
    <cellStyle name="Normal 2 2 2 2 2 2 68 10" xfId="19385" xr:uid="{00000000-0005-0000-0000-0000E14E0000}"/>
    <cellStyle name="Normal 2 2 2 2 2 2 68 11" xfId="19386" xr:uid="{00000000-0005-0000-0000-0000E24E0000}"/>
    <cellStyle name="Normal 2 2 2 2 2 2 68 2" xfId="19387" xr:uid="{00000000-0005-0000-0000-0000E34E0000}"/>
    <cellStyle name="Normal 2 2 2 2 2 2 68 2 2" xfId="19388" xr:uid="{00000000-0005-0000-0000-0000E44E0000}"/>
    <cellStyle name="Normal 2 2 2 2 2 2 68 2 2 2" xfId="19389" xr:uid="{00000000-0005-0000-0000-0000E54E0000}"/>
    <cellStyle name="Normal 2 2 2 2 2 2 68 2 2 3" xfId="19390" xr:uid="{00000000-0005-0000-0000-0000E64E0000}"/>
    <cellStyle name="Normal 2 2 2 2 2 2 68 2 3" xfId="19391" xr:uid="{00000000-0005-0000-0000-0000E74E0000}"/>
    <cellStyle name="Normal 2 2 2 2 2 2 68 2 4" xfId="19392" xr:uid="{00000000-0005-0000-0000-0000E84E0000}"/>
    <cellStyle name="Normal 2 2 2 2 2 2 68 2 5" xfId="19393" xr:uid="{00000000-0005-0000-0000-0000E94E0000}"/>
    <cellStyle name="Normal 2 2 2 2 2 2 68 2 6" xfId="19394" xr:uid="{00000000-0005-0000-0000-0000EA4E0000}"/>
    <cellStyle name="Normal 2 2 2 2 2 2 68 2 7" xfId="19395" xr:uid="{00000000-0005-0000-0000-0000EB4E0000}"/>
    <cellStyle name="Normal 2 2 2 2 2 2 68 2 8" xfId="19396" xr:uid="{00000000-0005-0000-0000-0000EC4E0000}"/>
    <cellStyle name="Normal 2 2 2 2 2 2 68 2 9" xfId="19397" xr:uid="{00000000-0005-0000-0000-0000ED4E0000}"/>
    <cellStyle name="Normal 2 2 2 2 2 2 68 3" xfId="19398" xr:uid="{00000000-0005-0000-0000-0000EE4E0000}"/>
    <cellStyle name="Normal 2 2 2 2 2 2 68 4" xfId="19399" xr:uid="{00000000-0005-0000-0000-0000EF4E0000}"/>
    <cellStyle name="Normal 2 2 2 2 2 2 68 5" xfId="19400" xr:uid="{00000000-0005-0000-0000-0000F04E0000}"/>
    <cellStyle name="Normal 2 2 2 2 2 2 68 5 2" xfId="19401" xr:uid="{00000000-0005-0000-0000-0000F14E0000}"/>
    <cellStyle name="Normal 2 2 2 2 2 2 68 5 3" xfId="19402" xr:uid="{00000000-0005-0000-0000-0000F24E0000}"/>
    <cellStyle name="Normal 2 2 2 2 2 2 68 6" xfId="19403" xr:uid="{00000000-0005-0000-0000-0000F34E0000}"/>
    <cellStyle name="Normal 2 2 2 2 2 2 68 7" xfId="19404" xr:uid="{00000000-0005-0000-0000-0000F44E0000}"/>
    <cellStyle name="Normal 2 2 2 2 2 2 68 8" xfId="19405" xr:uid="{00000000-0005-0000-0000-0000F54E0000}"/>
    <cellStyle name="Normal 2 2 2 2 2 2 68 9" xfId="19406" xr:uid="{00000000-0005-0000-0000-0000F64E0000}"/>
    <cellStyle name="Normal 2 2 2 2 2 2 69" xfId="19407" xr:uid="{00000000-0005-0000-0000-0000F74E0000}"/>
    <cellStyle name="Normal 2 2 2 2 2 2 7" xfId="19408" xr:uid="{00000000-0005-0000-0000-0000F84E0000}"/>
    <cellStyle name="Normal 2 2 2 2 2 2 7 10" xfId="19409" xr:uid="{00000000-0005-0000-0000-0000F94E0000}"/>
    <cellStyle name="Normal 2 2 2 2 2 2 7 11" xfId="19410" xr:uid="{00000000-0005-0000-0000-0000FA4E0000}"/>
    <cellStyle name="Normal 2 2 2 2 2 2 7 12" xfId="19411" xr:uid="{00000000-0005-0000-0000-0000FB4E0000}"/>
    <cellStyle name="Normal 2 2 2 2 2 2 7 13" xfId="19412" xr:uid="{00000000-0005-0000-0000-0000FC4E0000}"/>
    <cellStyle name="Normal 2 2 2 2 2 2 7 2" xfId="19413" xr:uid="{00000000-0005-0000-0000-0000FD4E0000}"/>
    <cellStyle name="Normal 2 2 2 2 2 2 7 2 2" xfId="19414" xr:uid="{00000000-0005-0000-0000-0000FE4E0000}"/>
    <cellStyle name="Normal 2 2 2 2 2 2 7 2 3" xfId="19415" xr:uid="{00000000-0005-0000-0000-0000FF4E0000}"/>
    <cellStyle name="Normal 2 2 2 2 2 2 7 2 4" xfId="19416" xr:uid="{00000000-0005-0000-0000-0000004F0000}"/>
    <cellStyle name="Normal 2 2 2 2 2 2 7 2 5" xfId="19417" xr:uid="{00000000-0005-0000-0000-0000014F0000}"/>
    <cellStyle name="Normal 2 2 2 2 2 2 7 2 6" xfId="19418" xr:uid="{00000000-0005-0000-0000-0000024F0000}"/>
    <cellStyle name="Normal 2 2 2 2 2 2 7 3" xfId="19419" xr:uid="{00000000-0005-0000-0000-0000034F0000}"/>
    <cellStyle name="Normal 2 2 2 2 2 2 7 3 2" xfId="19420" xr:uid="{00000000-0005-0000-0000-0000044F0000}"/>
    <cellStyle name="Normal 2 2 2 2 2 2 7 3 3" xfId="19421" xr:uid="{00000000-0005-0000-0000-0000054F0000}"/>
    <cellStyle name="Normal 2 2 2 2 2 2 7 3 4" xfId="19422" xr:uid="{00000000-0005-0000-0000-0000064F0000}"/>
    <cellStyle name="Normal 2 2 2 2 2 2 7 3 5" xfId="19423" xr:uid="{00000000-0005-0000-0000-0000074F0000}"/>
    <cellStyle name="Normal 2 2 2 2 2 2 7 3 6" xfId="19424" xr:uid="{00000000-0005-0000-0000-0000084F0000}"/>
    <cellStyle name="Normal 2 2 2 2 2 2 7 4" xfId="19425" xr:uid="{00000000-0005-0000-0000-0000094F0000}"/>
    <cellStyle name="Normal 2 2 2 2 2 2 7 4 2" xfId="19426" xr:uid="{00000000-0005-0000-0000-00000A4F0000}"/>
    <cellStyle name="Normal 2 2 2 2 2 2 7 4 3" xfId="19427" xr:uid="{00000000-0005-0000-0000-00000B4F0000}"/>
    <cellStyle name="Normal 2 2 2 2 2 2 7 4 4" xfId="19428" xr:uid="{00000000-0005-0000-0000-00000C4F0000}"/>
    <cellStyle name="Normal 2 2 2 2 2 2 7 4 5" xfId="19429" xr:uid="{00000000-0005-0000-0000-00000D4F0000}"/>
    <cellStyle name="Normal 2 2 2 2 2 2 7 4 6" xfId="19430" xr:uid="{00000000-0005-0000-0000-00000E4F0000}"/>
    <cellStyle name="Normal 2 2 2 2 2 2 7 5" xfId="19431" xr:uid="{00000000-0005-0000-0000-00000F4F0000}"/>
    <cellStyle name="Normal 2 2 2 2 2 2 7 5 2" xfId="19432" xr:uid="{00000000-0005-0000-0000-0000104F0000}"/>
    <cellStyle name="Normal 2 2 2 2 2 2 7 5 3" xfId="19433" xr:uid="{00000000-0005-0000-0000-0000114F0000}"/>
    <cellStyle name="Normal 2 2 2 2 2 2 7 5 4" xfId="19434" xr:uid="{00000000-0005-0000-0000-0000124F0000}"/>
    <cellStyle name="Normal 2 2 2 2 2 2 7 5 5" xfId="19435" xr:uid="{00000000-0005-0000-0000-0000134F0000}"/>
    <cellStyle name="Normal 2 2 2 2 2 2 7 5 6" xfId="19436" xr:uid="{00000000-0005-0000-0000-0000144F0000}"/>
    <cellStyle name="Normal 2 2 2 2 2 2 7 6" xfId="19437" xr:uid="{00000000-0005-0000-0000-0000154F0000}"/>
    <cellStyle name="Normal 2 2 2 2 2 2 7 6 2" xfId="19438" xr:uid="{00000000-0005-0000-0000-0000164F0000}"/>
    <cellStyle name="Normal 2 2 2 2 2 2 7 6 3" xfId="19439" xr:uid="{00000000-0005-0000-0000-0000174F0000}"/>
    <cellStyle name="Normal 2 2 2 2 2 2 7 6 4" xfId="19440" xr:uid="{00000000-0005-0000-0000-0000184F0000}"/>
    <cellStyle name="Normal 2 2 2 2 2 2 7 6 5" xfId="19441" xr:uid="{00000000-0005-0000-0000-0000194F0000}"/>
    <cellStyle name="Normal 2 2 2 2 2 2 7 6 6" xfId="19442" xr:uid="{00000000-0005-0000-0000-00001A4F0000}"/>
    <cellStyle name="Normal 2 2 2 2 2 2 7 7" xfId="19443" xr:uid="{00000000-0005-0000-0000-00001B4F0000}"/>
    <cellStyle name="Normal 2 2 2 2 2 2 7 7 2" xfId="19444" xr:uid="{00000000-0005-0000-0000-00001C4F0000}"/>
    <cellStyle name="Normal 2 2 2 2 2 2 7 7 3" xfId="19445" xr:uid="{00000000-0005-0000-0000-00001D4F0000}"/>
    <cellStyle name="Normal 2 2 2 2 2 2 7 7 4" xfId="19446" xr:uid="{00000000-0005-0000-0000-00001E4F0000}"/>
    <cellStyle name="Normal 2 2 2 2 2 2 7 7 5" xfId="19447" xr:uid="{00000000-0005-0000-0000-00001F4F0000}"/>
    <cellStyle name="Normal 2 2 2 2 2 2 7 7 6" xfId="19448" xr:uid="{00000000-0005-0000-0000-0000204F0000}"/>
    <cellStyle name="Normal 2 2 2 2 2 2 7 8" xfId="19449" xr:uid="{00000000-0005-0000-0000-0000214F0000}"/>
    <cellStyle name="Normal 2 2 2 2 2 2 7 8 2" xfId="19450" xr:uid="{00000000-0005-0000-0000-0000224F0000}"/>
    <cellStyle name="Normal 2 2 2 2 2 2 7 8 3" xfId="19451" xr:uid="{00000000-0005-0000-0000-0000234F0000}"/>
    <cellStyle name="Normal 2 2 2 2 2 2 7 8 4" xfId="19452" xr:uid="{00000000-0005-0000-0000-0000244F0000}"/>
    <cellStyle name="Normal 2 2 2 2 2 2 7 8 5" xfId="19453" xr:uid="{00000000-0005-0000-0000-0000254F0000}"/>
    <cellStyle name="Normal 2 2 2 2 2 2 7 8 6" xfId="19454" xr:uid="{00000000-0005-0000-0000-0000264F0000}"/>
    <cellStyle name="Normal 2 2 2 2 2 2 7 9" xfId="19455" xr:uid="{00000000-0005-0000-0000-0000274F0000}"/>
    <cellStyle name="Normal 2 2 2 2 2 2 70" xfId="19456" xr:uid="{00000000-0005-0000-0000-0000284F0000}"/>
    <cellStyle name="Normal 2 2 2 2 2 2 71" xfId="19457" xr:uid="{00000000-0005-0000-0000-0000294F0000}"/>
    <cellStyle name="Normal 2 2 2 2 2 2 71 2" xfId="19458" xr:uid="{00000000-0005-0000-0000-00002A4F0000}"/>
    <cellStyle name="Normal 2 2 2 2 2 2 71 2 2" xfId="19459" xr:uid="{00000000-0005-0000-0000-00002B4F0000}"/>
    <cellStyle name="Normal 2 2 2 2 2 2 71 2 3" xfId="19460" xr:uid="{00000000-0005-0000-0000-00002C4F0000}"/>
    <cellStyle name="Normal 2 2 2 2 2 2 71 3" xfId="19461" xr:uid="{00000000-0005-0000-0000-00002D4F0000}"/>
    <cellStyle name="Normal 2 2 2 2 2 2 71 4" xfId="19462" xr:uid="{00000000-0005-0000-0000-00002E4F0000}"/>
    <cellStyle name="Normal 2 2 2 2 2 2 71 5" xfId="19463" xr:uid="{00000000-0005-0000-0000-00002F4F0000}"/>
    <cellStyle name="Normal 2 2 2 2 2 2 71 6" xfId="19464" xr:uid="{00000000-0005-0000-0000-0000304F0000}"/>
    <cellStyle name="Normal 2 2 2 2 2 2 71 7" xfId="19465" xr:uid="{00000000-0005-0000-0000-0000314F0000}"/>
    <cellStyle name="Normal 2 2 2 2 2 2 71 8" xfId="19466" xr:uid="{00000000-0005-0000-0000-0000324F0000}"/>
    <cellStyle name="Normal 2 2 2 2 2 2 71 9" xfId="19467" xr:uid="{00000000-0005-0000-0000-0000334F0000}"/>
    <cellStyle name="Normal 2 2 2 2 2 2 72" xfId="19468" xr:uid="{00000000-0005-0000-0000-0000344F0000}"/>
    <cellStyle name="Normal 2 2 2 2 2 2 73" xfId="19469" xr:uid="{00000000-0005-0000-0000-0000354F0000}"/>
    <cellStyle name="Normal 2 2 2 2 2 2 73 2" xfId="19470" xr:uid="{00000000-0005-0000-0000-0000364F0000}"/>
    <cellStyle name="Normal 2 2 2 2 2 2 73 3" xfId="19471" xr:uid="{00000000-0005-0000-0000-0000374F0000}"/>
    <cellStyle name="Normal 2 2 2 2 2 2 74" xfId="19472" xr:uid="{00000000-0005-0000-0000-0000384F0000}"/>
    <cellStyle name="Normal 2 2 2 2 2 2 75" xfId="19473" xr:uid="{00000000-0005-0000-0000-0000394F0000}"/>
    <cellStyle name="Normal 2 2 2 2 2 2 76" xfId="19474" xr:uid="{00000000-0005-0000-0000-00003A4F0000}"/>
    <cellStyle name="Normal 2 2 2 2 2 2 77" xfId="19475" xr:uid="{00000000-0005-0000-0000-00003B4F0000}"/>
    <cellStyle name="Normal 2 2 2 2 2 2 78" xfId="19476" xr:uid="{00000000-0005-0000-0000-00003C4F0000}"/>
    <cellStyle name="Normal 2 2 2 2 2 2 79" xfId="19477" xr:uid="{00000000-0005-0000-0000-00003D4F0000}"/>
    <cellStyle name="Normal 2 2 2 2 2 2 8" xfId="19478" xr:uid="{00000000-0005-0000-0000-00003E4F0000}"/>
    <cellStyle name="Normal 2 2 2 2 2 2 8 10" xfId="19479" xr:uid="{00000000-0005-0000-0000-00003F4F0000}"/>
    <cellStyle name="Normal 2 2 2 2 2 2 8 11" xfId="19480" xr:uid="{00000000-0005-0000-0000-0000404F0000}"/>
    <cellStyle name="Normal 2 2 2 2 2 2 8 12" xfId="19481" xr:uid="{00000000-0005-0000-0000-0000414F0000}"/>
    <cellStyle name="Normal 2 2 2 2 2 2 8 12 2" xfId="19482" xr:uid="{00000000-0005-0000-0000-0000424F0000}"/>
    <cellStyle name="Normal 2 2 2 2 2 2 8 12 3" xfId="19483" xr:uid="{00000000-0005-0000-0000-0000434F0000}"/>
    <cellStyle name="Normal 2 2 2 2 2 2 8 12 4" xfId="19484" xr:uid="{00000000-0005-0000-0000-0000444F0000}"/>
    <cellStyle name="Normal 2 2 2 2 2 2 8 12 5" xfId="19485" xr:uid="{00000000-0005-0000-0000-0000454F0000}"/>
    <cellStyle name="Normal 2 2 2 2 2 2 8 12 6" xfId="19486" xr:uid="{00000000-0005-0000-0000-0000464F0000}"/>
    <cellStyle name="Normal 2 2 2 2 2 2 8 13" xfId="19487" xr:uid="{00000000-0005-0000-0000-0000474F0000}"/>
    <cellStyle name="Normal 2 2 2 2 2 2 8 13 2" xfId="19488" xr:uid="{00000000-0005-0000-0000-0000484F0000}"/>
    <cellStyle name="Normal 2 2 2 2 2 2 8 13 3" xfId="19489" xr:uid="{00000000-0005-0000-0000-0000494F0000}"/>
    <cellStyle name="Normal 2 2 2 2 2 2 8 13 4" xfId="19490" xr:uid="{00000000-0005-0000-0000-00004A4F0000}"/>
    <cellStyle name="Normal 2 2 2 2 2 2 8 13 5" xfId="19491" xr:uid="{00000000-0005-0000-0000-00004B4F0000}"/>
    <cellStyle name="Normal 2 2 2 2 2 2 8 13 6" xfId="19492" xr:uid="{00000000-0005-0000-0000-00004C4F0000}"/>
    <cellStyle name="Normal 2 2 2 2 2 2 8 14" xfId="19493" xr:uid="{00000000-0005-0000-0000-00004D4F0000}"/>
    <cellStyle name="Normal 2 2 2 2 2 2 8 14 2" xfId="19494" xr:uid="{00000000-0005-0000-0000-00004E4F0000}"/>
    <cellStyle name="Normal 2 2 2 2 2 2 8 14 3" xfId="19495" xr:uid="{00000000-0005-0000-0000-00004F4F0000}"/>
    <cellStyle name="Normal 2 2 2 2 2 2 8 14 4" xfId="19496" xr:uid="{00000000-0005-0000-0000-0000504F0000}"/>
    <cellStyle name="Normal 2 2 2 2 2 2 8 14 5" xfId="19497" xr:uid="{00000000-0005-0000-0000-0000514F0000}"/>
    <cellStyle name="Normal 2 2 2 2 2 2 8 14 6" xfId="19498" xr:uid="{00000000-0005-0000-0000-0000524F0000}"/>
    <cellStyle name="Normal 2 2 2 2 2 2 8 15" xfId="19499" xr:uid="{00000000-0005-0000-0000-0000534F0000}"/>
    <cellStyle name="Normal 2 2 2 2 2 2 8 15 2" xfId="19500" xr:uid="{00000000-0005-0000-0000-0000544F0000}"/>
    <cellStyle name="Normal 2 2 2 2 2 2 8 15 3" xfId="19501" xr:uid="{00000000-0005-0000-0000-0000554F0000}"/>
    <cellStyle name="Normal 2 2 2 2 2 2 8 15 4" xfId="19502" xr:uid="{00000000-0005-0000-0000-0000564F0000}"/>
    <cellStyle name="Normal 2 2 2 2 2 2 8 15 5" xfId="19503" xr:uid="{00000000-0005-0000-0000-0000574F0000}"/>
    <cellStyle name="Normal 2 2 2 2 2 2 8 15 6" xfId="19504" xr:uid="{00000000-0005-0000-0000-0000584F0000}"/>
    <cellStyle name="Normal 2 2 2 2 2 2 8 16" xfId="19505" xr:uid="{00000000-0005-0000-0000-0000594F0000}"/>
    <cellStyle name="Normal 2 2 2 2 2 2 8 16 2" xfId="19506" xr:uid="{00000000-0005-0000-0000-00005A4F0000}"/>
    <cellStyle name="Normal 2 2 2 2 2 2 8 16 3" xfId="19507" xr:uid="{00000000-0005-0000-0000-00005B4F0000}"/>
    <cellStyle name="Normal 2 2 2 2 2 2 8 16 4" xfId="19508" xr:uid="{00000000-0005-0000-0000-00005C4F0000}"/>
    <cellStyle name="Normal 2 2 2 2 2 2 8 16 5" xfId="19509" xr:uid="{00000000-0005-0000-0000-00005D4F0000}"/>
    <cellStyle name="Normal 2 2 2 2 2 2 8 16 6" xfId="19510" xr:uid="{00000000-0005-0000-0000-00005E4F0000}"/>
    <cellStyle name="Normal 2 2 2 2 2 2 8 17" xfId="19511" xr:uid="{00000000-0005-0000-0000-00005F4F0000}"/>
    <cellStyle name="Normal 2 2 2 2 2 2 8 17 2" xfId="19512" xr:uid="{00000000-0005-0000-0000-0000604F0000}"/>
    <cellStyle name="Normal 2 2 2 2 2 2 8 17 3" xfId="19513" xr:uid="{00000000-0005-0000-0000-0000614F0000}"/>
    <cellStyle name="Normal 2 2 2 2 2 2 8 17 4" xfId="19514" xr:uid="{00000000-0005-0000-0000-0000624F0000}"/>
    <cellStyle name="Normal 2 2 2 2 2 2 8 17 5" xfId="19515" xr:uid="{00000000-0005-0000-0000-0000634F0000}"/>
    <cellStyle name="Normal 2 2 2 2 2 2 8 17 6" xfId="19516" xr:uid="{00000000-0005-0000-0000-0000644F0000}"/>
    <cellStyle name="Normal 2 2 2 2 2 2 8 18" xfId="19517" xr:uid="{00000000-0005-0000-0000-0000654F0000}"/>
    <cellStyle name="Normal 2 2 2 2 2 2 8 18 2" xfId="19518" xr:uid="{00000000-0005-0000-0000-0000664F0000}"/>
    <cellStyle name="Normal 2 2 2 2 2 2 8 18 3" xfId="19519" xr:uid="{00000000-0005-0000-0000-0000674F0000}"/>
    <cellStyle name="Normal 2 2 2 2 2 2 8 18 4" xfId="19520" xr:uid="{00000000-0005-0000-0000-0000684F0000}"/>
    <cellStyle name="Normal 2 2 2 2 2 2 8 18 5" xfId="19521" xr:uid="{00000000-0005-0000-0000-0000694F0000}"/>
    <cellStyle name="Normal 2 2 2 2 2 2 8 18 6" xfId="19522" xr:uid="{00000000-0005-0000-0000-00006A4F0000}"/>
    <cellStyle name="Normal 2 2 2 2 2 2 8 19" xfId="19523" xr:uid="{00000000-0005-0000-0000-00006B4F0000}"/>
    <cellStyle name="Normal 2 2 2 2 2 2 8 2" xfId="19524" xr:uid="{00000000-0005-0000-0000-00006C4F0000}"/>
    <cellStyle name="Normal 2 2 2 2 2 2 8 20" xfId="19525" xr:uid="{00000000-0005-0000-0000-00006D4F0000}"/>
    <cellStyle name="Normal 2 2 2 2 2 2 8 21" xfId="19526" xr:uid="{00000000-0005-0000-0000-00006E4F0000}"/>
    <cellStyle name="Normal 2 2 2 2 2 2 8 22" xfId="19527" xr:uid="{00000000-0005-0000-0000-00006F4F0000}"/>
    <cellStyle name="Normal 2 2 2 2 2 2 8 23" xfId="19528" xr:uid="{00000000-0005-0000-0000-0000704F0000}"/>
    <cellStyle name="Normal 2 2 2 2 2 2 8 3" xfId="19529" xr:uid="{00000000-0005-0000-0000-0000714F0000}"/>
    <cellStyle name="Normal 2 2 2 2 2 2 8 4" xfId="19530" xr:uid="{00000000-0005-0000-0000-0000724F0000}"/>
    <cellStyle name="Normal 2 2 2 2 2 2 8 5" xfId="19531" xr:uid="{00000000-0005-0000-0000-0000734F0000}"/>
    <cellStyle name="Normal 2 2 2 2 2 2 8 6" xfId="19532" xr:uid="{00000000-0005-0000-0000-0000744F0000}"/>
    <cellStyle name="Normal 2 2 2 2 2 2 8 7" xfId="19533" xr:uid="{00000000-0005-0000-0000-0000754F0000}"/>
    <cellStyle name="Normal 2 2 2 2 2 2 8 8" xfId="19534" xr:uid="{00000000-0005-0000-0000-0000764F0000}"/>
    <cellStyle name="Normal 2 2 2 2 2 2 8 9" xfId="19535" xr:uid="{00000000-0005-0000-0000-0000774F0000}"/>
    <cellStyle name="Normal 2 2 2 2 2 2 80" xfId="19536" xr:uid="{00000000-0005-0000-0000-0000784F0000}"/>
    <cellStyle name="Normal 2 2 2 2 2 2 9" xfId="19537" xr:uid="{00000000-0005-0000-0000-0000794F0000}"/>
    <cellStyle name="Normal 2 2 2 2 2 20" xfId="19538" xr:uid="{00000000-0005-0000-0000-00007A4F0000}"/>
    <cellStyle name="Normal 2 2 2 2 2 20 10" xfId="19539" xr:uid="{00000000-0005-0000-0000-00007B4F0000}"/>
    <cellStyle name="Normal 2 2 2 2 2 20 11" xfId="19540" xr:uid="{00000000-0005-0000-0000-00007C4F0000}"/>
    <cellStyle name="Normal 2 2 2 2 2 20 12" xfId="19541" xr:uid="{00000000-0005-0000-0000-00007D4F0000}"/>
    <cellStyle name="Normal 2 2 2 2 2 20 13" xfId="19542" xr:uid="{00000000-0005-0000-0000-00007E4F0000}"/>
    <cellStyle name="Normal 2 2 2 2 2 20 2" xfId="19543" xr:uid="{00000000-0005-0000-0000-00007F4F0000}"/>
    <cellStyle name="Normal 2 2 2 2 2 20 2 2" xfId="19544" xr:uid="{00000000-0005-0000-0000-0000804F0000}"/>
    <cellStyle name="Normal 2 2 2 2 2 20 2 3" xfId="19545" xr:uid="{00000000-0005-0000-0000-0000814F0000}"/>
    <cellStyle name="Normal 2 2 2 2 2 20 2 4" xfId="19546" xr:uid="{00000000-0005-0000-0000-0000824F0000}"/>
    <cellStyle name="Normal 2 2 2 2 2 20 2 5" xfId="19547" xr:uid="{00000000-0005-0000-0000-0000834F0000}"/>
    <cellStyle name="Normal 2 2 2 2 2 20 2 6" xfId="19548" xr:uid="{00000000-0005-0000-0000-0000844F0000}"/>
    <cellStyle name="Normal 2 2 2 2 2 20 3" xfId="19549" xr:uid="{00000000-0005-0000-0000-0000854F0000}"/>
    <cellStyle name="Normal 2 2 2 2 2 20 3 2" xfId="19550" xr:uid="{00000000-0005-0000-0000-0000864F0000}"/>
    <cellStyle name="Normal 2 2 2 2 2 20 3 3" xfId="19551" xr:uid="{00000000-0005-0000-0000-0000874F0000}"/>
    <cellStyle name="Normal 2 2 2 2 2 20 3 4" xfId="19552" xr:uid="{00000000-0005-0000-0000-0000884F0000}"/>
    <cellStyle name="Normal 2 2 2 2 2 20 3 5" xfId="19553" xr:uid="{00000000-0005-0000-0000-0000894F0000}"/>
    <cellStyle name="Normal 2 2 2 2 2 20 3 6" xfId="19554" xr:uid="{00000000-0005-0000-0000-00008A4F0000}"/>
    <cellStyle name="Normal 2 2 2 2 2 20 4" xfId="19555" xr:uid="{00000000-0005-0000-0000-00008B4F0000}"/>
    <cellStyle name="Normal 2 2 2 2 2 20 4 2" xfId="19556" xr:uid="{00000000-0005-0000-0000-00008C4F0000}"/>
    <cellStyle name="Normal 2 2 2 2 2 20 4 3" xfId="19557" xr:uid="{00000000-0005-0000-0000-00008D4F0000}"/>
    <cellStyle name="Normal 2 2 2 2 2 20 4 4" xfId="19558" xr:uid="{00000000-0005-0000-0000-00008E4F0000}"/>
    <cellStyle name="Normal 2 2 2 2 2 20 4 5" xfId="19559" xr:uid="{00000000-0005-0000-0000-00008F4F0000}"/>
    <cellStyle name="Normal 2 2 2 2 2 20 4 6" xfId="19560" xr:uid="{00000000-0005-0000-0000-0000904F0000}"/>
    <cellStyle name="Normal 2 2 2 2 2 20 5" xfId="19561" xr:uid="{00000000-0005-0000-0000-0000914F0000}"/>
    <cellStyle name="Normal 2 2 2 2 2 20 5 2" xfId="19562" xr:uid="{00000000-0005-0000-0000-0000924F0000}"/>
    <cellStyle name="Normal 2 2 2 2 2 20 5 3" xfId="19563" xr:uid="{00000000-0005-0000-0000-0000934F0000}"/>
    <cellStyle name="Normal 2 2 2 2 2 20 5 4" xfId="19564" xr:uid="{00000000-0005-0000-0000-0000944F0000}"/>
    <cellStyle name="Normal 2 2 2 2 2 20 5 5" xfId="19565" xr:uid="{00000000-0005-0000-0000-0000954F0000}"/>
    <cellStyle name="Normal 2 2 2 2 2 20 5 6" xfId="19566" xr:uid="{00000000-0005-0000-0000-0000964F0000}"/>
    <cellStyle name="Normal 2 2 2 2 2 20 6" xfId="19567" xr:uid="{00000000-0005-0000-0000-0000974F0000}"/>
    <cellStyle name="Normal 2 2 2 2 2 20 6 2" xfId="19568" xr:uid="{00000000-0005-0000-0000-0000984F0000}"/>
    <cellStyle name="Normal 2 2 2 2 2 20 6 3" xfId="19569" xr:uid="{00000000-0005-0000-0000-0000994F0000}"/>
    <cellStyle name="Normal 2 2 2 2 2 20 6 4" xfId="19570" xr:uid="{00000000-0005-0000-0000-00009A4F0000}"/>
    <cellStyle name="Normal 2 2 2 2 2 20 6 5" xfId="19571" xr:uid="{00000000-0005-0000-0000-00009B4F0000}"/>
    <cellStyle name="Normal 2 2 2 2 2 20 6 6" xfId="19572" xr:uid="{00000000-0005-0000-0000-00009C4F0000}"/>
    <cellStyle name="Normal 2 2 2 2 2 20 7" xfId="19573" xr:uid="{00000000-0005-0000-0000-00009D4F0000}"/>
    <cellStyle name="Normal 2 2 2 2 2 20 7 2" xfId="19574" xr:uid="{00000000-0005-0000-0000-00009E4F0000}"/>
    <cellStyle name="Normal 2 2 2 2 2 20 7 3" xfId="19575" xr:uid="{00000000-0005-0000-0000-00009F4F0000}"/>
    <cellStyle name="Normal 2 2 2 2 2 20 7 4" xfId="19576" xr:uid="{00000000-0005-0000-0000-0000A04F0000}"/>
    <cellStyle name="Normal 2 2 2 2 2 20 7 5" xfId="19577" xr:uid="{00000000-0005-0000-0000-0000A14F0000}"/>
    <cellStyle name="Normal 2 2 2 2 2 20 7 6" xfId="19578" xr:uid="{00000000-0005-0000-0000-0000A24F0000}"/>
    <cellStyle name="Normal 2 2 2 2 2 20 8" xfId="19579" xr:uid="{00000000-0005-0000-0000-0000A34F0000}"/>
    <cellStyle name="Normal 2 2 2 2 2 20 8 2" xfId="19580" xr:uid="{00000000-0005-0000-0000-0000A44F0000}"/>
    <cellStyle name="Normal 2 2 2 2 2 20 8 3" xfId="19581" xr:uid="{00000000-0005-0000-0000-0000A54F0000}"/>
    <cellStyle name="Normal 2 2 2 2 2 20 8 4" xfId="19582" xr:uid="{00000000-0005-0000-0000-0000A64F0000}"/>
    <cellStyle name="Normal 2 2 2 2 2 20 8 5" xfId="19583" xr:uid="{00000000-0005-0000-0000-0000A74F0000}"/>
    <cellStyle name="Normal 2 2 2 2 2 20 8 6" xfId="19584" xr:uid="{00000000-0005-0000-0000-0000A84F0000}"/>
    <cellStyle name="Normal 2 2 2 2 2 20 9" xfId="19585" xr:uid="{00000000-0005-0000-0000-0000A94F0000}"/>
    <cellStyle name="Normal 2 2 2 2 2 21" xfId="19586" xr:uid="{00000000-0005-0000-0000-0000AA4F0000}"/>
    <cellStyle name="Normal 2 2 2 2 2 21 10" xfId="19587" xr:uid="{00000000-0005-0000-0000-0000AB4F0000}"/>
    <cellStyle name="Normal 2 2 2 2 2 21 11" xfId="19588" xr:uid="{00000000-0005-0000-0000-0000AC4F0000}"/>
    <cellStyle name="Normal 2 2 2 2 2 21 12" xfId="19589" xr:uid="{00000000-0005-0000-0000-0000AD4F0000}"/>
    <cellStyle name="Normal 2 2 2 2 2 21 13" xfId="19590" xr:uid="{00000000-0005-0000-0000-0000AE4F0000}"/>
    <cellStyle name="Normal 2 2 2 2 2 21 2" xfId="19591" xr:uid="{00000000-0005-0000-0000-0000AF4F0000}"/>
    <cellStyle name="Normal 2 2 2 2 2 21 2 2" xfId="19592" xr:uid="{00000000-0005-0000-0000-0000B04F0000}"/>
    <cellStyle name="Normal 2 2 2 2 2 21 2 3" xfId="19593" xr:uid="{00000000-0005-0000-0000-0000B14F0000}"/>
    <cellStyle name="Normal 2 2 2 2 2 21 2 4" xfId="19594" xr:uid="{00000000-0005-0000-0000-0000B24F0000}"/>
    <cellStyle name="Normal 2 2 2 2 2 21 2 5" xfId="19595" xr:uid="{00000000-0005-0000-0000-0000B34F0000}"/>
    <cellStyle name="Normal 2 2 2 2 2 21 2 6" xfId="19596" xr:uid="{00000000-0005-0000-0000-0000B44F0000}"/>
    <cellStyle name="Normal 2 2 2 2 2 21 3" xfId="19597" xr:uid="{00000000-0005-0000-0000-0000B54F0000}"/>
    <cellStyle name="Normal 2 2 2 2 2 21 3 2" xfId="19598" xr:uid="{00000000-0005-0000-0000-0000B64F0000}"/>
    <cellStyle name="Normal 2 2 2 2 2 21 3 3" xfId="19599" xr:uid="{00000000-0005-0000-0000-0000B74F0000}"/>
    <cellStyle name="Normal 2 2 2 2 2 21 3 4" xfId="19600" xr:uid="{00000000-0005-0000-0000-0000B84F0000}"/>
    <cellStyle name="Normal 2 2 2 2 2 21 3 5" xfId="19601" xr:uid="{00000000-0005-0000-0000-0000B94F0000}"/>
    <cellStyle name="Normal 2 2 2 2 2 21 3 6" xfId="19602" xr:uid="{00000000-0005-0000-0000-0000BA4F0000}"/>
    <cellStyle name="Normal 2 2 2 2 2 21 4" xfId="19603" xr:uid="{00000000-0005-0000-0000-0000BB4F0000}"/>
    <cellStyle name="Normal 2 2 2 2 2 21 4 2" xfId="19604" xr:uid="{00000000-0005-0000-0000-0000BC4F0000}"/>
    <cellStyle name="Normal 2 2 2 2 2 21 4 3" xfId="19605" xr:uid="{00000000-0005-0000-0000-0000BD4F0000}"/>
    <cellStyle name="Normal 2 2 2 2 2 21 4 4" xfId="19606" xr:uid="{00000000-0005-0000-0000-0000BE4F0000}"/>
    <cellStyle name="Normal 2 2 2 2 2 21 4 5" xfId="19607" xr:uid="{00000000-0005-0000-0000-0000BF4F0000}"/>
    <cellStyle name="Normal 2 2 2 2 2 21 4 6" xfId="19608" xr:uid="{00000000-0005-0000-0000-0000C04F0000}"/>
    <cellStyle name="Normal 2 2 2 2 2 21 5" xfId="19609" xr:uid="{00000000-0005-0000-0000-0000C14F0000}"/>
    <cellStyle name="Normal 2 2 2 2 2 21 5 2" xfId="19610" xr:uid="{00000000-0005-0000-0000-0000C24F0000}"/>
    <cellStyle name="Normal 2 2 2 2 2 21 5 3" xfId="19611" xr:uid="{00000000-0005-0000-0000-0000C34F0000}"/>
    <cellStyle name="Normal 2 2 2 2 2 21 5 4" xfId="19612" xr:uid="{00000000-0005-0000-0000-0000C44F0000}"/>
    <cellStyle name="Normal 2 2 2 2 2 21 5 5" xfId="19613" xr:uid="{00000000-0005-0000-0000-0000C54F0000}"/>
    <cellStyle name="Normal 2 2 2 2 2 21 5 6" xfId="19614" xr:uid="{00000000-0005-0000-0000-0000C64F0000}"/>
    <cellStyle name="Normal 2 2 2 2 2 21 6" xfId="19615" xr:uid="{00000000-0005-0000-0000-0000C74F0000}"/>
    <cellStyle name="Normal 2 2 2 2 2 21 6 2" xfId="19616" xr:uid="{00000000-0005-0000-0000-0000C84F0000}"/>
    <cellStyle name="Normal 2 2 2 2 2 21 6 3" xfId="19617" xr:uid="{00000000-0005-0000-0000-0000C94F0000}"/>
    <cellStyle name="Normal 2 2 2 2 2 21 6 4" xfId="19618" xr:uid="{00000000-0005-0000-0000-0000CA4F0000}"/>
    <cellStyle name="Normal 2 2 2 2 2 21 6 5" xfId="19619" xr:uid="{00000000-0005-0000-0000-0000CB4F0000}"/>
    <cellStyle name="Normal 2 2 2 2 2 21 6 6" xfId="19620" xr:uid="{00000000-0005-0000-0000-0000CC4F0000}"/>
    <cellStyle name="Normal 2 2 2 2 2 21 7" xfId="19621" xr:uid="{00000000-0005-0000-0000-0000CD4F0000}"/>
    <cellStyle name="Normal 2 2 2 2 2 21 7 2" xfId="19622" xr:uid="{00000000-0005-0000-0000-0000CE4F0000}"/>
    <cellStyle name="Normal 2 2 2 2 2 21 7 3" xfId="19623" xr:uid="{00000000-0005-0000-0000-0000CF4F0000}"/>
    <cellStyle name="Normal 2 2 2 2 2 21 7 4" xfId="19624" xr:uid="{00000000-0005-0000-0000-0000D04F0000}"/>
    <cellStyle name="Normal 2 2 2 2 2 21 7 5" xfId="19625" xr:uid="{00000000-0005-0000-0000-0000D14F0000}"/>
    <cellStyle name="Normal 2 2 2 2 2 21 7 6" xfId="19626" xr:uid="{00000000-0005-0000-0000-0000D24F0000}"/>
    <cellStyle name="Normal 2 2 2 2 2 21 8" xfId="19627" xr:uid="{00000000-0005-0000-0000-0000D34F0000}"/>
    <cellStyle name="Normal 2 2 2 2 2 21 8 2" xfId="19628" xr:uid="{00000000-0005-0000-0000-0000D44F0000}"/>
    <cellStyle name="Normal 2 2 2 2 2 21 8 3" xfId="19629" xr:uid="{00000000-0005-0000-0000-0000D54F0000}"/>
    <cellStyle name="Normal 2 2 2 2 2 21 8 4" xfId="19630" xr:uid="{00000000-0005-0000-0000-0000D64F0000}"/>
    <cellStyle name="Normal 2 2 2 2 2 21 8 5" xfId="19631" xr:uid="{00000000-0005-0000-0000-0000D74F0000}"/>
    <cellStyle name="Normal 2 2 2 2 2 21 8 6" xfId="19632" xr:uid="{00000000-0005-0000-0000-0000D84F0000}"/>
    <cellStyle name="Normal 2 2 2 2 2 21 9" xfId="19633" xr:uid="{00000000-0005-0000-0000-0000D94F0000}"/>
    <cellStyle name="Normal 2 2 2 2 2 22" xfId="19634" xr:uid="{00000000-0005-0000-0000-0000DA4F0000}"/>
    <cellStyle name="Normal 2 2 2 2 2 22 2" xfId="19635" xr:uid="{00000000-0005-0000-0000-0000DB4F0000}"/>
    <cellStyle name="Normal 2 2 2 2 2 22 3" xfId="19636" xr:uid="{00000000-0005-0000-0000-0000DC4F0000}"/>
    <cellStyle name="Normal 2 2 2 2 2 22 4" xfId="19637" xr:uid="{00000000-0005-0000-0000-0000DD4F0000}"/>
    <cellStyle name="Normal 2 2 2 2 2 23" xfId="19638" xr:uid="{00000000-0005-0000-0000-0000DE4F0000}"/>
    <cellStyle name="Normal 2 2 2 2 2 24" xfId="19639" xr:uid="{00000000-0005-0000-0000-0000DF4F0000}"/>
    <cellStyle name="Normal 2 2 2 2 2 25" xfId="19640" xr:uid="{00000000-0005-0000-0000-0000E04F0000}"/>
    <cellStyle name="Normal 2 2 2 2 2 26" xfId="19641" xr:uid="{00000000-0005-0000-0000-0000E14F0000}"/>
    <cellStyle name="Normal 2 2 2 2 2 27" xfId="19642" xr:uid="{00000000-0005-0000-0000-0000E24F0000}"/>
    <cellStyle name="Normal 2 2 2 2 2 28" xfId="19643" xr:uid="{00000000-0005-0000-0000-0000E34F0000}"/>
    <cellStyle name="Normal 2 2 2 2 2 29" xfId="19644" xr:uid="{00000000-0005-0000-0000-0000E44F0000}"/>
    <cellStyle name="Normal 2 2 2 2 2 3" xfId="19645" xr:uid="{00000000-0005-0000-0000-0000E54F0000}"/>
    <cellStyle name="Normal 2 2 2 2 2 3 10" xfId="19646" xr:uid="{00000000-0005-0000-0000-0000E64F0000}"/>
    <cellStyle name="Normal 2 2 2 2 2 3 11" xfId="19647" xr:uid="{00000000-0005-0000-0000-0000E74F0000}"/>
    <cellStyle name="Normal 2 2 2 2 2 3 12" xfId="19648" xr:uid="{00000000-0005-0000-0000-0000E84F0000}"/>
    <cellStyle name="Normal 2 2 2 2 2 3 13" xfId="19649" xr:uid="{00000000-0005-0000-0000-0000E94F0000}"/>
    <cellStyle name="Normal 2 2 2 2 2 3 14" xfId="19650" xr:uid="{00000000-0005-0000-0000-0000EA4F0000}"/>
    <cellStyle name="Normal 2 2 2 2 2 3 2" xfId="19651" xr:uid="{00000000-0005-0000-0000-0000EB4F0000}"/>
    <cellStyle name="Normal 2 2 2 2 2 3 2 2" xfId="19652" xr:uid="{00000000-0005-0000-0000-0000EC4F0000}"/>
    <cellStyle name="Normal 2 2 2 2 2 3 2 3" xfId="19653" xr:uid="{00000000-0005-0000-0000-0000ED4F0000}"/>
    <cellStyle name="Normal 2 2 2 2 2 3 2 4" xfId="19654" xr:uid="{00000000-0005-0000-0000-0000EE4F0000}"/>
    <cellStyle name="Normal 2 2 2 2 2 3 2 5" xfId="19655" xr:uid="{00000000-0005-0000-0000-0000EF4F0000}"/>
    <cellStyle name="Normal 2 2 2 2 2 3 2 6" xfId="19656" xr:uid="{00000000-0005-0000-0000-0000F04F0000}"/>
    <cellStyle name="Normal 2 2 2 2 2 3 3" xfId="19657" xr:uid="{00000000-0005-0000-0000-0000F14F0000}"/>
    <cellStyle name="Normal 2 2 2 2 2 3 3 2" xfId="19658" xr:uid="{00000000-0005-0000-0000-0000F24F0000}"/>
    <cellStyle name="Normal 2 2 2 2 2 3 3 3" xfId="19659" xr:uid="{00000000-0005-0000-0000-0000F34F0000}"/>
    <cellStyle name="Normal 2 2 2 2 2 3 3 4" xfId="19660" xr:uid="{00000000-0005-0000-0000-0000F44F0000}"/>
    <cellStyle name="Normal 2 2 2 2 2 3 3 5" xfId="19661" xr:uid="{00000000-0005-0000-0000-0000F54F0000}"/>
    <cellStyle name="Normal 2 2 2 2 2 3 3 6" xfId="19662" xr:uid="{00000000-0005-0000-0000-0000F64F0000}"/>
    <cellStyle name="Normal 2 2 2 2 2 3 4" xfId="19663" xr:uid="{00000000-0005-0000-0000-0000F74F0000}"/>
    <cellStyle name="Normal 2 2 2 2 2 3 4 2" xfId="19664" xr:uid="{00000000-0005-0000-0000-0000F84F0000}"/>
    <cellStyle name="Normal 2 2 2 2 2 3 4 3" xfId="19665" xr:uid="{00000000-0005-0000-0000-0000F94F0000}"/>
    <cellStyle name="Normal 2 2 2 2 2 3 4 4" xfId="19666" xr:uid="{00000000-0005-0000-0000-0000FA4F0000}"/>
    <cellStyle name="Normal 2 2 2 2 2 3 4 5" xfId="19667" xr:uid="{00000000-0005-0000-0000-0000FB4F0000}"/>
    <cellStyle name="Normal 2 2 2 2 2 3 4 6" xfId="19668" xr:uid="{00000000-0005-0000-0000-0000FC4F0000}"/>
    <cellStyle name="Normal 2 2 2 2 2 3 5" xfId="19669" xr:uid="{00000000-0005-0000-0000-0000FD4F0000}"/>
    <cellStyle name="Normal 2 2 2 2 2 3 5 2" xfId="19670" xr:uid="{00000000-0005-0000-0000-0000FE4F0000}"/>
    <cellStyle name="Normal 2 2 2 2 2 3 5 3" xfId="19671" xr:uid="{00000000-0005-0000-0000-0000FF4F0000}"/>
    <cellStyle name="Normal 2 2 2 2 2 3 5 4" xfId="19672" xr:uid="{00000000-0005-0000-0000-000000500000}"/>
    <cellStyle name="Normal 2 2 2 2 2 3 5 5" xfId="19673" xr:uid="{00000000-0005-0000-0000-000001500000}"/>
    <cellStyle name="Normal 2 2 2 2 2 3 5 6" xfId="19674" xr:uid="{00000000-0005-0000-0000-000002500000}"/>
    <cellStyle name="Normal 2 2 2 2 2 3 6" xfId="19675" xr:uid="{00000000-0005-0000-0000-000003500000}"/>
    <cellStyle name="Normal 2 2 2 2 2 3 6 2" xfId="19676" xr:uid="{00000000-0005-0000-0000-000004500000}"/>
    <cellStyle name="Normal 2 2 2 2 2 3 6 3" xfId="19677" xr:uid="{00000000-0005-0000-0000-000005500000}"/>
    <cellStyle name="Normal 2 2 2 2 2 3 6 4" xfId="19678" xr:uid="{00000000-0005-0000-0000-000006500000}"/>
    <cellStyle name="Normal 2 2 2 2 2 3 6 5" xfId="19679" xr:uid="{00000000-0005-0000-0000-000007500000}"/>
    <cellStyle name="Normal 2 2 2 2 2 3 6 6" xfId="19680" xr:uid="{00000000-0005-0000-0000-000008500000}"/>
    <cellStyle name="Normal 2 2 2 2 2 3 7" xfId="19681" xr:uid="{00000000-0005-0000-0000-000009500000}"/>
    <cellStyle name="Normal 2 2 2 2 2 3 7 2" xfId="19682" xr:uid="{00000000-0005-0000-0000-00000A500000}"/>
    <cellStyle name="Normal 2 2 2 2 2 3 7 3" xfId="19683" xr:uid="{00000000-0005-0000-0000-00000B500000}"/>
    <cellStyle name="Normal 2 2 2 2 2 3 7 4" xfId="19684" xr:uid="{00000000-0005-0000-0000-00000C500000}"/>
    <cellStyle name="Normal 2 2 2 2 2 3 7 5" xfId="19685" xr:uid="{00000000-0005-0000-0000-00000D500000}"/>
    <cellStyle name="Normal 2 2 2 2 2 3 7 6" xfId="19686" xr:uid="{00000000-0005-0000-0000-00000E500000}"/>
    <cellStyle name="Normal 2 2 2 2 2 3 8" xfId="19687" xr:uid="{00000000-0005-0000-0000-00000F500000}"/>
    <cellStyle name="Normal 2 2 2 2 2 3 8 2" xfId="19688" xr:uid="{00000000-0005-0000-0000-000010500000}"/>
    <cellStyle name="Normal 2 2 2 2 2 3 8 3" xfId="19689" xr:uid="{00000000-0005-0000-0000-000011500000}"/>
    <cellStyle name="Normal 2 2 2 2 2 3 8 4" xfId="19690" xr:uid="{00000000-0005-0000-0000-000012500000}"/>
    <cellStyle name="Normal 2 2 2 2 2 3 8 5" xfId="19691" xr:uid="{00000000-0005-0000-0000-000013500000}"/>
    <cellStyle name="Normal 2 2 2 2 2 3 8 6" xfId="19692" xr:uid="{00000000-0005-0000-0000-000014500000}"/>
    <cellStyle name="Normal 2 2 2 2 2 3 9" xfId="19693" xr:uid="{00000000-0005-0000-0000-000015500000}"/>
    <cellStyle name="Normal 2 2 2 2 2 30" xfId="19694" xr:uid="{00000000-0005-0000-0000-000016500000}"/>
    <cellStyle name="Normal 2 2 2 2 2 31" xfId="19695" xr:uid="{00000000-0005-0000-0000-000017500000}"/>
    <cellStyle name="Normal 2 2 2 2 2 31 2" xfId="19696" xr:uid="{00000000-0005-0000-0000-000018500000}"/>
    <cellStyle name="Normal 2 2 2 2 2 31 2 2" xfId="19697" xr:uid="{00000000-0005-0000-0000-000019500000}"/>
    <cellStyle name="Normal 2 2 2 2 2 31 2 3" xfId="19698" xr:uid="{00000000-0005-0000-0000-00001A500000}"/>
    <cellStyle name="Normal 2 2 2 2 2 31 2 4" xfId="19699" xr:uid="{00000000-0005-0000-0000-00001B500000}"/>
    <cellStyle name="Normal 2 2 2 2 2 31 2 5" xfId="19700" xr:uid="{00000000-0005-0000-0000-00001C500000}"/>
    <cellStyle name="Normal 2 2 2 2 2 31 2 6" xfId="19701" xr:uid="{00000000-0005-0000-0000-00001D500000}"/>
    <cellStyle name="Normal 2 2 2 2 2 31 3" xfId="19702" xr:uid="{00000000-0005-0000-0000-00001E500000}"/>
    <cellStyle name="Normal 2 2 2 2 2 31 3 2" xfId="19703" xr:uid="{00000000-0005-0000-0000-00001F500000}"/>
    <cellStyle name="Normal 2 2 2 2 2 31 3 3" xfId="19704" xr:uid="{00000000-0005-0000-0000-000020500000}"/>
    <cellStyle name="Normal 2 2 2 2 2 31 3 4" xfId="19705" xr:uid="{00000000-0005-0000-0000-000021500000}"/>
    <cellStyle name="Normal 2 2 2 2 2 31 3 5" xfId="19706" xr:uid="{00000000-0005-0000-0000-000022500000}"/>
    <cellStyle name="Normal 2 2 2 2 2 31 3 6" xfId="19707" xr:uid="{00000000-0005-0000-0000-000023500000}"/>
    <cellStyle name="Normal 2 2 2 2 2 31 4" xfId="19708" xr:uid="{00000000-0005-0000-0000-000024500000}"/>
    <cellStyle name="Normal 2 2 2 2 2 31 4 2" xfId="19709" xr:uid="{00000000-0005-0000-0000-000025500000}"/>
    <cellStyle name="Normal 2 2 2 2 2 31 4 3" xfId="19710" xr:uid="{00000000-0005-0000-0000-000026500000}"/>
    <cellStyle name="Normal 2 2 2 2 2 31 4 4" xfId="19711" xr:uid="{00000000-0005-0000-0000-000027500000}"/>
    <cellStyle name="Normal 2 2 2 2 2 31 4 5" xfId="19712" xr:uid="{00000000-0005-0000-0000-000028500000}"/>
    <cellStyle name="Normal 2 2 2 2 2 31 4 6" xfId="19713" xr:uid="{00000000-0005-0000-0000-000029500000}"/>
    <cellStyle name="Normal 2 2 2 2 2 31 5" xfId="19714" xr:uid="{00000000-0005-0000-0000-00002A500000}"/>
    <cellStyle name="Normal 2 2 2 2 2 31 5 2" xfId="19715" xr:uid="{00000000-0005-0000-0000-00002B500000}"/>
    <cellStyle name="Normal 2 2 2 2 2 31 5 3" xfId="19716" xr:uid="{00000000-0005-0000-0000-00002C500000}"/>
    <cellStyle name="Normal 2 2 2 2 2 31 5 4" xfId="19717" xr:uid="{00000000-0005-0000-0000-00002D500000}"/>
    <cellStyle name="Normal 2 2 2 2 2 31 5 5" xfId="19718" xr:uid="{00000000-0005-0000-0000-00002E500000}"/>
    <cellStyle name="Normal 2 2 2 2 2 31 5 6" xfId="19719" xr:uid="{00000000-0005-0000-0000-00002F500000}"/>
    <cellStyle name="Normal 2 2 2 2 2 31 6" xfId="19720" xr:uid="{00000000-0005-0000-0000-000030500000}"/>
    <cellStyle name="Normal 2 2 2 2 2 31 6 2" xfId="19721" xr:uid="{00000000-0005-0000-0000-000031500000}"/>
    <cellStyle name="Normal 2 2 2 2 2 31 6 3" xfId="19722" xr:uid="{00000000-0005-0000-0000-000032500000}"/>
    <cellStyle name="Normal 2 2 2 2 2 31 6 4" xfId="19723" xr:uid="{00000000-0005-0000-0000-000033500000}"/>
    <cellStyle name="Normal 2 2 2 2 2 31 6 5" xfId="19724" xr:uid="{00000000-0005-0000-0000-000034500000}"/>
    <cellStyle name="Normal 2 2 2 2 2 31 6 6" xfId="19725" xr:uid="{00000000-0005-0000-0000-000035500000}"/>
    <cellStyle name="Normal 2 2 2 2 2 32" xfId="19726" xr:uid="{00000000-0005-0000-0000-000036500000}"/>
    <cellStyle name="Normal 2 2 2 2 2 32 2" xfId="19727" xr:uid="{00000000-0005-0000-0000-000037500000}"/>
    <cellStyle name="Normal 2 2 2 2 2 32 3" xfId="19728" xr:uid="{00000000-0005-0000-0000-000038500000}"/>
    <cellStyle name="Normal 2 2 2 2 2 32 4" xfId="19729" xr:uid="{00000000-0005-0000-0000-000039500000}"/>
    <cellStyle name="Normal 2 2 2 2 2 32 5" xfId="19730" xr:uid="{00000000-0005-0000-0000-00003A500000}"/>
    <cellStyle name="Normal 2 2 2 2 2 32 6" xfId="19731" xr:uid="{00000000-0005-0000-0000-00003B500000}"/>
    <cellStyle name="Normal 2 2 2 2 2 33" xfId="19732" xr:uid="{00000000-0005-0000-0000-00003C500000}"/>
    <cellStyle name="Normal 2 2 2 2 2 33 2" xfId="19733" xr:uid="{00000000-0005-0000-0000-00003D500000}"/>
    <cellStyle name="Normal 2 2 2 2 2 33 3" xfId="19734" xr:uid="{00000000-0005-0000-0000-00003E500000}"/>
    <cellStyle name="Normal 2 2 2 2 2 33 4" xfId="19735" xr:uid="{00000000-0005-0000-0000-00003F500000}"/>
    <cellStyle name="Normal 2 2 2 2 2 33 5" xfId="19736" xr:uid="{00000000-0005-0000-0000-000040500000}"/>
    <cellStyle name="Normal 2 2 2 2 2 33 6" xfId="19737" xr:uid="{00000000-0005-0000-0000-000041500000}"/>
    <cellStyle name="Normal 2 2 2 2 2 34" xfId="19738" xr:uid="{00000000-0005-0000-0000-000042500000}"/>
    <cellStyle name="Normal 2 2 2 2 2 34 2" xfId="19739" xr:uid="{00000000-0005-0000-0000-000043500000}"/>
    <cellStyle name="Normal 2 2 2 2 2 34 3" xfId="19740" xr:uid="{00000000-0005-0000-0000-000044500000}"/>
    <cellStyle name="Normal 2 2 2 2 2 34 4" xfId="19741" xr:uid="{00000000-0005-0000-0000-000045500000}"/>
    <cellStyle name="Normal 2 2 2 2 2 34 5" xfId="19742" xr:uid="{00000000-0005-0000-0000-000046500000}"/>
    <cellStyle name="Normal 2 2 2 2 2 34 6" xfId="19743" xr:uid="{00000000-0005-0000-0000-000047500000}"/>
    <cellStyle name="Normal 2 2 2 2 2 35" xfId="19744" xr:uid="{00000000-0005-0000-0000-000048500000}"/>
    <cellStyle name="Normal 2 2 2 2 2 35 2" xfId="19745" xr:uid="{00000000-0005-0000-0000-000049500000}"/>
    <cellStyle name="Normal 2 2 2 2 2 35 3" xfId="19746" xr:uid="{00000000-0005-0000-0000-00004A500000}"/>
    <cellStyle name="Normal 2 2 2 2 2 35 4" xfId="19747" xr:uid="{00000000-0005-0000-0000-00004B500000}"/>
    <cellStyle name="Normal 2 2 2 2 2 35 5" xfId="19748" xr:uid="{00000000-0005-0000-0000-00004C500000}"/>
    <cellStyle name="Normal 2 2 2 2 2 35 6" xfId="19749" xr:uid="{00000000-0005-0000-0000-00004D500000}"/>
    <cellStyle name="Normal 2 2 2 2 2 36" xfId="19750" xr:uid="{00000000-0005-0000-0000-00004E500000}"/>
    <cellStyle name="Normal 2 2 2 2 2 36 2" xfId="19751" xr:uid="{00000000-0005-0000-0000-00004F500000}"/>
    <cellStyle name="Normal 2 2 2 2 2 36 3" xfId="19752" xr:uid="{00000000-0005-0000-0000-000050500000}"/>
    <cellStyle name="Normal 2 2 2 2 2 36 4" xfId="19753" xr:uid="{00000000-0005-0000-0000-000051500000}"/>
    <cellStyle name="Normal 2 2 2 2 2 36 5" xfId="19754" xr:uid="{00000000-0005-0000-0000-000052500000}"/>
    <cellStyle name="Normal 2 2 2 2 2 36 6" xfId="19755" xr:uid="{00000000-0005-0000-0000-000053500000}"/>
    <cellStyle name="Normal 2 2 2 2 2 37" xfId="19756" xr:uid="{00000000-0005-0000-0000-000054500000}"/>
    <cellStyle name="Normal 2 2 2 2 2 37 2" xfId="19757" xr:uid="{00000000-0005-0000-0000-000055500000}"/>
    <cellStyle name="Normal 2 2 2 2 2 37 3" xfId="19758" xr:uid="{00000000-0005-0000-0000-000056500000}"/>
    <cellStyle name="Normal 2 2 2 2 2 37 4" xfId="19759" xr:uid="{00000000-0005-0000-0000-000057500000}"/>
    <cellStyle name="Normal 2 2 2 2 2 37 5" xfId="19760" xr:uid="{00000000-0005-0000-0000-000058500000}"/>
    <cellStyle name="Normal 2 2 2 2 2 37 6" xfId="19761" xr:uid="{00000000-0005-0000-0000-000059500000}"/>
    <cellStyle name="Normal 2 2 2 2 2 38" xfId="19762" xr:uid="{00000000-0005-0000-0000-00005A500000}"/>
    <cellStyle name="Normal 2 2 2 2 2 38 2" xfId="19763" xr:uid="{00000000-0005-0000-0000-00005B500000}"/>
    <cellStyle name="Normal 2 2 2 2 2 38 3" xfId="19764" xr:uid="{00000000-0005-0000-0000-00005C500000}"/>
    <cellStyle name="Normal 2 2 2 2 2 38 4" xfId="19765" xr:uid="{00000000-0005-0000-0000-00005D500000}"/>
    <cellStyle name="Normal 2 2 2 2 2 38 5" xfId="19766" xr:uid="{00000000-0005-0000-0000-00005E500000}"/>
    <cellStyle name="Normal 2 2 2 2 2 38 6" xfId="19767" xr:uid="{00000000-0005-0000-0000-00005F500000}"/>
    <cellStyle name="Normal 2 2 2 2 2 39" xfId="19768" xr:uid="{00000000-0005-0000-0000-000060500000}"/>
    <cellStyle name="Normal 2 2 2 2 2 39 2" xfId="19769" xr:uid="{00000000-0005-0000-0000-000061500000}"/>
    <cellStyle name="Normal 2 2 2 2 2 39 3" xfId="19770" xr:uid="{00000000-0005-0000-0000-000062500000}"/>
    <cellStyle name="Normal 2 2 2 2 2 39 4" xfId="19771" xr:uid="{00000000-0005-0000-0000-000063500000}"/>
    <cellStyle name="Normal 2 2 2 2 2 39 5" xfId="19772" xr:uid="{00000000-0005-0000-0000-000064500000}"/>
    <cellStyle name="Normal 2 2 2 2 2 39 6" xfId="19773" xr:uid="{00000000-0005-0000-0000-000065500000}"/>
    <cellStyle name="Normal 2 2 2 2 2 4" xfId="19774" xr:uid="{00000000-0005-0000-0000-000066500000}"/>
    <cellStyle name="Normal 2 2 2 2 2 4 10" xfId="19775" xr:uid="{00000000-0005-0000-0000-000067500000}"/>
    <cellStyle name="Normal 2 2 2 2 2 4 11" xfId="19776" xr:uid="{00000000-0005-0000-0000-000068500000}"/>
    <cellStyle name="Normal 2 2 2 2 2 4 12" xfId="19777" xr:uid="{00000000-0005-0000-0000-000069500000}"/>
    <cellStyle name="Normal 2 2 2 2 2 4 13" xfId="19778" xr:uid="{00000000-0005-0000-0000-00006A500000}"/>
    <cellStyle name="Normal 2 2 2 2 2 4 14" xfId="19779" xr:uid="{00000000-0005-0000-0000-00006B500000}"/>
    <cellStyle name="Normal 2 2 2 2 2 4 2" xfId="19780" xr:uid="{00000000-0005-0000-0000-00006C500000}"/>
    <cellStyle name="Normal 2 2 2 2 2 4 2 2" xfId="19781" xr:uid="{00000000-0005-0000-0000-00006D500000}"/>
    <cellStyle name="Normal 2 2 2 2 2 4 2 3" xfId="19782" xr:uid="{00000000-0005-0000-0000-00006E500000}"/>
    <cellStyle name="Normal 2 2 2 2 2 4 2 4" xfId="19783" xr:uid="{00000000-0005-0000-0000-00006F500000}"/>
    <cellStyle name="Normal 2 2 2 2 2 4 2 5" xfId="19784" xr:uid="{00000000-0005-0000-0000-000070500000}"/>
    <cellStyle name="Normal 2 2 2 2 2 4 2 6" xfId="19785" xr:uid="{00000000-0005-0000-0000-000071500000}"/>
    <cellStyle name="Normal 2 2 2 2 2 4 3" xfId="19786" xr:uid="{00000000-0005-0000-0000-000072500000}"/>
    <cellStyle name="Normal 2 2 2 2 2 4 3 2" xfId="19787" xr:uid="{00000000-0005-0000-0000-000073500000}"/>
    <cellStyle name="Normal 2 2 2 2 2 4 3 3" xfId="19788" xr:uid="{00000000-0005-0000-0000-000074500000}"/>
    <cellStyle name="Normal 2 2 2 2 2 4 3 4" xfId="19789" xr:uid="{00000000-0005-0000-0000-000075500000}"/>
    <cellStyle name="Normal 2 2 2 2 2 4 3 5" xfId="19790" xr:uid="{00000000-0005-0000-0000-000076500000}"/>
    <cellStyle name="Normal 2 2 2 2 2 4 3 6" xfId="19791" xr:uid="{00000000-0005-0000-0000-000077500000}"/>
    <cellStyle name="Normal 2 2 2 2 2 4 4" xfId="19792" xr:uid="{00000000-0005-0000-0000-000078500000}"/>
    <cellStyle name="Normal 2 2 2 2 2 4 4 2" xfId="19793" xr:uid="{00000000-0005-0000-0000-000079500000}"/>
    <cellStyle name="Normal 2 2 2 2 2 4 4 3" xfId="19794" xr:uid="{00000000-0005-0000-0000-00007A500000}"/>
    <cellStyle name="Normal 2 2 2 2 2 4 4 4" xfId="19795" xr:uid="{00000000-0005-0000-0000-00007B500000}"/>
    <cellStyle name="Normal 2 2 2 2 2 4 4 5" xfId="19796" xr:uid="{00000000-0005-0000-0000-00007C500000}"/>
    <cellStyle name="Normal 2 2 2 2 2 4 4 6" xfId="19797" xr:uid="{00000000-0005-0000-0000-00007D500000}"/>
    <cellStyle name="Normal 2 2 2 2 2 4 5" xfId="19798" xr:uid="{00000000-0005-0000-0000-00007E500000}"/>
    <cellStyle name="Normal 2 2 2 2 2 4 5 2" xfId="19799" xr:uid="{00000000-0005-0000-0000-00007F500000}"/>
    <cellStyle name="Normal 2 2 2 2 2 4 5 3" xfId="19800" xr:uid="{00000000-0005-0000-0000-000080500000}"/>
    <cellStyle name="Normal 2 2 2 2 2 4 5 4" xfId="19801" xr:uid="{00000000-0005-0000-0000-000081500000}"/>
    <cellStyle name="Normal 2 2 2 2 2 4 5 5" xfId="19802" xr:uid="{00000000-0005-0000-0000-000082500000}"/>
    <cellStyle name="Normal 2 2 2 2 2 4 5 6" xfId="19803" xr:uid="{00000000-0005-0000-0000-000083500000}"/>
    <cellStyle name="Normal 2 2 2 2 2 4 6" xfId="19804" xr:uid="{00000000-0005-0000-0000-000084500000}"/>
    <cellStyle name="Normal 2 2 2 2 2 4 6 2" xfId="19805" xr:uid="{00000000-0005-0000-0000-000085500000}"/>
    <cellStyle name="Normal 2 2 2 2 2 4 6 3" xfId="19806" xr:uid="{00000000-0005-0000-0000-000086500000}"/>
    <cellStyle name="Normal 2 2 2 2 2 4 6 4" xfId="19807" xr:uid="{00000000-0005-0000-0000-000087500000}"/>
    <cellStyle name="Normal 2 2 2 2 2 4 6 5" xfId="19808" xr:uid="{00000000-0005-0000-0000-000088500000}"/>
    <cellStyle name="Normal 2 2 2 2 2 4 6 6" xfId="19809" xr:uid="{00000000-0005-0000-0000-000089500000}"/>
    <cellStyle name="Normal 2 2 2 2 2 4 7" xfId="19810" xr:uid="{00000000-0005-0000-0000-00008A500000}"/>
    <cellStyle name="Normal 2 2 2 2 2 4 7 2" xfId="19811" xr:uid="{00000000-0005-0000-0000-00008B500000}"/>
    <cellStyle name="Normal 2 2 2 2 2 4 7 3" xfId="19812" xr:uid="{00000000-0005-0000-0000-00008C500000}"/>
    <cellStyle name="Normal 2 2 2 2 2 4 7 4" xfId="19813" xr:uid="{00000000-0005-0000-0000-00008D500000}"/>
    <cellStyle name="Normal 2 2 2 2 2 4 7 5" xfId="19814" xr:uid="{00000000-0005-0000-0000-00008E500000}"/>
    <cellStyle name="Normal 2 2 2 2 2 4 7 6" xfId="19815" xr:uid="{00000000-0005-0000-0000-00008F500000}"/>
    <cellStyle name="Normal 2 2 2 2 2 4 8" xfId="19816" xr:uid="{00000000-0005-0000-0000-000090500000}"/>
    <cellStyle name="Normal 2 2 2 2 2 4 8 2" xfId="19817" xr:uid="{00000000-0005-0000-0000-000091500000}"/>
    <cellStyle name="Normal 2 2 2 2 2 4 8 3" xfId="19818" xr:uid="{00000000-0005-0000-0000-000092500000}"/>
    <cellStyle name="Normal 2 2 2 2 2 4 8 4" xfId="19819" xr:uid="{00000000-0005-0000-0000-000093500000}"/>
    <cellStyle name="Normal 2 2 2 2 2 4 8 5" xfId="19820" xr:uid="{00000000-0005-0000-0000-000094500000}"/>
    <cellStyle name="Normal 2 2 2 2 2 4 8 6" xfId="19821" xr:uid="{00000000-0005-0000-0000-000095500000}"/>
    <cellStyle name="Normal 2 2 2 2 2 4 9" xfId="19822" xr:uid="{00000000-0005-0000-0000-000096500000}"/>
    <cellStyle name="Normal 2 2 2 2 2 40" xfId="19823" xr:uid="{00000000-0005-0000-0000-000097500000}"/>
    <cellStyle name="Normal 2 2 2 2 2 40 2" xfId="19824" xr:uid="{00000000-0005-0000-0000-000098500000}"/>
    <cellStyle name="Normal 2 2 2 2 2 40 3" xfId="19825" xr:uid="{00000000-0005-0000-0000-000099500000}"/>
    <cellStyle name="Normal 2 2 2 2 2 40 4" xfId="19826" xr:uid="{00000000-0005-0000-0000-00009A500000}"/>
    <cellStyle name="Normal 2 2 2 2 2 40 5" xfId="19827" xr:uid="{00000000-0005-0000-0000-00009B500000}"/>
    <cellStyle name="Normal 2 2 2 2 2 40 6" xfId="19828" xr:uid="{00000000-0005-0000-0000-00009C500000}"/>
    <cellStyle name="Normal 2 2 2 2 2 41" xfId="19829" xr:uid="{00000000-0005-0000-0000-00009D500000}"/>
    <cellStyle name="Normal 2 2 2 2 2 41 2" xfId="19830" xr:uid="{00000000-0005-0000-0000-00009E500000}"/>
    <cellStyle name="Normal 2 2 2 2 2 41 3" xfId="19831" xr:uid="{00000000-0005-0000-0000-00009F500000}"/>
    <cellStyle name="Normal 2 2 2 2 2 41 4" xfId="19832" xr:uid="{00000000-0005-0000-0000-0000A0500000}"/>
    <cellStyle name="Normal 2 2 2 2 2 41 5" xfId="19833" xr:uid="{00000000-0005-0000-0000-0000A1500000}"/>
    <cellStyle name="Normal 2 2 2 2 2 41 6" xfId="19834" xr:uid="{00000000-0005-0000-0000-0000A2500000}"/>
    <cellStyle name="Normal 2 2 2 2 2 42" xfId="19835" xr:uid="{00000000-0005-0000-0000-0000A3500000}"/>
    <cellStyle name="Normal 2 2 2 2 2 42 2" xfId="19836" xr:uid="{00000000-0005-0000-0000-0000A4500000}"/>
    <cellStyle name="Normal 2 2 2 2 2 42 3" xfId="19837" xr:uid="{00000000-0005-0000-0000-0000A5500000}"/>
    <cellStyle name="Normal 2 2 2 2 2 42 4" xfId="19838" xr:uid="{00000000-0005-0000-0000-0000A6500000}"/>
    <cellStyle name="Normal 2 2 2 2 2 42 5" xfId="19839" xr:uid="{00000000-0005-0000-0000-0000A7500000}"/>
    <cellStyle name="Normal 2 2 2 2 2 42 6" xfId="19840" xr:uid="{00000000-0005-0000-0000-0000A8500000}"/>
    <cellStyle name="Normal 2 2 2 2 2 43" xfId="19841" xr:uid="{00000000-0005-0000-0000-0000A9500000}"/>
    <cellStyle name="Normal 2 2 2 2 2 43 2" xfId="19842" xr:uid="{00000000-0005-0000-0000-0000AA500000}"/>
    <cellStyle name="Normal 2 2 2 2 2 43 3" xfId="19843" xr:uid="{00000000-0005-0000-0000-0000AB500000}"/>
    <cellStyle name="Normal 2 2 2 2 2 43 4" xfId="19844" xr:uid="{00000000-0005-0000-0000-0000AC500000}"/>
    <cellStyle name="Normal 2 2 2 2 2 43 5" xfId="19845" xr:uid="{00000000-0005-0000-0000-0000AD500000}"/>
    <cellStyle name="Normal 2 2 2 2 2 43 6" xfId="19846" xr:uid="{00000000-0005-0000-0000-0000AE500000}"/>
    <cellStyle name="Normal 2 2 2 2 2 44" xfId="19847" xr:uid="{00000000-0005-0000-0000-0000AF500000}"/>
    <cellStyle name="Normal 2 2 2 2 2 44 2" xfId="19848" xr:uid="{00000000-0005-0000-0000-0000B0500000}"/>
    <cellStyle name="Normal 2 2 2 2 2 44 3" xfId="19849" xr:uid="{00000000-0005-0000-0000-0000B1500000}"/>
    <cellStyle name="Normal 2 2 2 2 2 44 4" xfId="19850" xr:uid="{00000000-0005-0000-0000-0000B2500000}"/>
    <cellStyle name="Normal 2 2 2 2 2 44 5" xfId="19851" xr:uid="{00000000-0005-0000-0000-0000B3500000}"/>
    <cellStyle name="Normal 2 2 2 2 2 44 6" xfId="19852" xr:uid="{00000000-0005-0000-0000-0000B4500000}"/>
    <cellStyle name="Normal 2 2 2 2 2 45" xfId="19853" xr:uid="{00000000-0005-0000-0000-0000B5500000}"/>
    <cellStyle name="Normal 2 2 2 2 2 45 2" xfId="19854" xr:uid="{00000000-0005-0000-0000-0000B6500000}"/>
    <cellStyle name="Normal 2 2 2 2 2 45 3" xfId="19855" xr:uid="{00000000-0005-0000-0000-0000B7500000}"/>
    <cellStyle name="Normal 2 2 2 2 2 45 4" xfId="19856" xr:uid="{00000000-0005-0000-0000-0000B8500000}"/>
    <cellStyle name="Normal 2 2 2 2 2 45 5" xfId="19857" xr:uid="{00000000-0005-0000-0000-0000B9500000}"/>
    <cellStyle name="Normal 2 2 2 2 2 45 6" xfId="19858" xr:uid="{00000000-0005-0000-0000-0000BA500000}"/>
    <cellStyle name="Normal 2 2 2 2 2 46" xfId="19859" xr:uid="{00000000-0005-0000-0000-0000BB500000}"/>
    <cellStyle name="Normal 2 2 2 2 2 47" xfId="19860" xr:uid="{00000000-0005-0000-0000-0000BC500000}"/>
    <cellStyle name="Normal 2 2 2 2 2 48" xfId="19861" xr:uid="{00000000-0005-0000-0000-0000BD500000}"/>
    <cellStyle name="Normal 2 2 2 2 2 49" xfId="19862" xr:uid="{00000000-0005-0000-0000-0000BE500000}"/>
    <cellStyle name="Normal 2 2 2 2 2 5" xfId="19863" xr:uid="{00000000-0005-0000-0000-0000BF500000}"/>
    <cellStyle name="Normal 2 2 2 2 2 5 10" xfId="19864" xr:uid="{00000000-0005-0000-0000-0000C0500000}"/>
    <cellStyle name="Normal 2 2 2 2 2 5 11" xfId="19865" xr:uid="{00000000-0005-0000-0000-0000C1500000}"/>
    <cellStyle name="Normal 2 2 2 2 2 5 12" xfId="19866" xr:uid="{00000000-0005-0000-0000-0000C2500000}"/>
    <cellStyle name="Normal 2 2 2 2 2 5 13" xfId="19867" xr:uid="{00000000-0005-0000-0000-0000C3500000}"/>
    <cellStyle name="Normal 2 2 2 2 2 5 2" xfId="19868" xr:uid="{00000000-0005-0000-0000-0000C4500000}"/>
    <cellStyle name="Normal 2 2 2 2 2 5 2 2" xfId="19869" xr:uid="{00000000-0005-0000-0000-0000C5500000}"/>
    <cellStyle name="Normal 2 2 2 2 2 5 2 3" xfId="19870" xr:uid="{00000000-0005-0000-0000-0000C6500000}"/>
    <cellStyle name="Normal 2 2 2 2 2 5 2 4" xfId="19871" xr:uid="{00000000-0005-0000-0000-0000C7500000}"/>
    <cellStyle name="Normal 2 2 2 2 2 5 2 5" xfId="19872" xr:uid="{00000000-0005-0000-0000-0000C8500000}"/>
    <cellStyle name="Normal 2 2 2 2 2 5 2 6" xfId="19873" xr:uid="{00000000-0005-0000-0000-0000C9500000}"/>
    <cellStyle name="Normal 2 2 2 2 2 5 3" xfId="19874" xr:uid="{00000000-0005-0000-0000-0000CA500000}"/>
    <cellStyle name="Normal 2 2 2 2 2 5 3 2" xfId="19875" xr:uid="{00000000-0005-0000-0000-0000CB500000}"/>
    <cellStyle name="Normal 2 2 2 2 2 5 3 3" xfId="19876" xr:uid="{00000000-0005-0000-0000-0000CC500000}"/>
    <cellStyle name="Normal 2 2 2 2 2 5 3 4" xfId="19877" xr:uid="{00000000-0005-0000-0000-0000CD500000}"/>
    <cellStyle name="Normal 2 2 2 2 2 5 3 5" xfId="19878" xr:uid="{00000000-0005-0000-0000-0000CE500000}"/>
    <cellStyle name="Normal 2 2 2 2 2 5 3 6" xfId="19879" xr:uid="{00000000-0005-0000-0000-0000CF500000}"/>
    <cellStyle name="Normal 2 2 2 2 2 5 4" xfId="19880" xr:uid="{00000000-0005-0000-0000-0000D0500000}"/>
    <cellStyle name="Normal 2 2 2 2 2 5 4 2" xfId="19881" xr:uid="{00000000-0005-0000-0000-0000D1500000}"/>
    <cellStyle name="Normal 2 2 2 2 2 5 4 3" xfId="19882" xr:uid="{00000000-0005-0000-0000-0000D2500000}"/>
    <cellStyle name="Normal 2 2 2 2 2 5 4 4" xfId="19883" xr:uid="{00000000-0005-0000-0000-0000D3500000}"/>
    <cellStyle name="Normal 2 2 2 2 2 5 4 5" xfId="19884" xr:uid="{00000000-0005-0000-0000-0000D4500000}"/>
    <cellStyle name="Normal 2 2 2 2 2 5 4 6" xfId="19885" xr:uid="{00000000-0005-0000-0000-0000D5500000}"/>
    <cellStyle name="Normal 2 2 2 2 2 5 5" xfId="19886" xr:uid="{00000000-0005-0000-0000-0000D6500000}"/>
    <cellStyle name="Normal 2 2 2 2 2 5 5 2" xfId="19887" xr:uid="{00000000-0005-0000-0000-0000D7500000}"/>
    <cellStyle name="Normal 2 2 2 2 2 5 5 3" xfId="19888" xr:uid="{00000000-0005-0000-0000-0000D8500000}"/>
    <cellStyle name="Normal 2 2 2 2 2 5 5 4" xfId="19889" xr:uid="{00000000-0005-0000-0000-0000D9500000}"/>
    <cellStyle name="Normal 2 2 2 2 2 5 5 5" xfId="19890" xr:uid="{00000000-0005-0000-0000-0000DA500000}"/>
    <cellStyle name="Normal 2 2 2 2 2 5 5 6" xfId="19891" xr:uid="{00000000-0005-0000-0000-0000DB500000}"/>
    <cellStyle name="Normal 2 2 2 2 2 5 6" xfId="19892" xr:uid="{00000000-0005-0000-0000-0000DC500000}"/>
    <cellStyle name="Normal 2 2 2 2 2 5 6 2" xfId="19893" xr:uid="{00000000-0005-0000-0000-0000DD500000}"/>
    <cellStyle name="Normal 2 2 2 2 2 5 6 3" xfId="19894" xr:uid="{00000000-0005-0000-0000-0000DE500000}"/>
    <cellStyle name="Normal 2 2 2 2 2 5 6 4" xfId="19895" xr:uid="{00000000-0005-0000-0000-0000DF500000}"/>
    <cellStyle name="Normal 2 2 2 2 2 5 6 5" xfId="19896" xr:uid="{00000000-0005-0000-0000-0000E0500000}"/>
    <cellStyle name="Normal 2 2 2 2 2 5 6 6" xfId="19897" xr:uid="{00000000-0005-0000-0000-0000E1500000}"/>
    <cellStyle name="Normal 2 2 2 2 2 5 7" xfId="19898" xr:uid="{00000000-0005-0000-0000-0000E2500000}"/>
    <cellStyle name="Normal 2 2 2 2 2 5 7 2" xfId="19899" xr:uid="{00000000-0005-0000-0000-0000E3500000}"/>
    <cellStyle name="Normal 2 2 2 2 2 5 7 3" xfId="19900" xr:uid="{00000000-0005-0000-0000-0000E4500000}"/>
    <cellStyle name="Normal 2 2 2 2 2 5 7 4" xfId="19901" xr:uid="{00000000-0005-0000-0000-0000E5500000}"/>
    <cellStyle name="Normal 2 2 2 2 2 5 7 5" xfId="19902" xr:uid="{00000000-0005-0000-0000-0000E6500000}"/>
    <cellStyle name="Normal 2 2 2 2 2 5 7 6" xfId="19903" xr:uid="{00000000-0005-0000-0000-0000E7500000}"/>
    <cellStyle name="Normal 2 2 2 2 2 5 8" xfId="19904" xr:uid="{00000000-0005-0000-0000-0000E8500000}"/>
    <cellStyle name="Normal 2 2 2 2 2 5 8 2" xfId="19905" xr:uid="{00000000-0005-0000-0000-0000E9500000}"/>
    <cellStyle name="Normal 2 2 2 2 2 5 8 3" xfId="19906" xr:uid="{00000000-0005-0000-0000-0000EA500000}"/>
    <cellStyle name="Normal 2 2 2 2 2 5 8 4" xfId="19907" xr:uid="{00000000-0005-0000-0000-0000EB500000}"/>
    <cellStyle name="Normal 2 2 2 2 2 5 8 5" xfId="19908" xr:uid="{00000000-0005-0000-0000-0000EC500000}"/>
    <cellStyle name="Normal 2 2 2 2 2 5 8 6" xfId="19909" xr:uid="{00000000-0005-0000-0000-0000ED500000}"/>
    <cellStyle name="Normal 2 2 2 2 2 5 9" xfId="19910" xr:uid="{00000000-0005-0000-0000-0000EE500000}"/>
    <cellStyle name="Normal 2 2 2 2 2 50" xfId="19911" xr:uid="{00000000-0005-0000-0000-0000EF500000}"/>
    <cellStyle name="Normal 2 2 2 2 2 50 2" xfId="19912" xr:uid="{00000000-0005-0000-0000-0000F0500000}"/>
    <cellStyle name="Normal 2 2 2 2 2 50 2 2" xfId="19913" xr:uid="{00000000-0005-0000-0000-0000F1500000}"/>
    <cellStyle name="Normal 2 2 2 2 2 50 2 2 2" xfId="19914" xr:uid="{00000000-0005-0000-0000-0000F2500000}"/>
    <cellStyle name="Normal 2 2 2 2 2 50 2 2 2 2" xfId="19915" xr:uid="{00000000-0005-0000-0000-0000F3500000}"/>
    <cellStyle name="Normal 2 2 2 2 2 50 2 2 2 3" xfId="19916" xr:uid="{00000000-0005-0000-0000-0000F4500000}"/>
    <cellStyle name="Normal 2 2 2 2 2 50 2 2 2 4" xfId="19917" xr:uid="{00000000-0005-0000-0000-0000F5500000}"/>
    <cellStyle name="Normal 2 2 2 2 2 50 2 2 2 5" xfId="19918" xr:uid="{00000000-0005-0000-0000-0000F6500000}"/>
    <cellStyle name="Normal 2 2 2 2 2 50 2 2 2 6" xfId="19919" xr:uid="{00000000-0005-0000-0000-0000F7500000}"/>
    <cellStyle name="Normal 2 2 2 2 2 50 2 3" xfId="19920" xr:uid="{00000000-0005-0000-0000-0000F8500000}"/>
    <cellStyle name="Normal 2 2 2 2 2 50 2 4" xfId="19921" xr:uid="{00000000-0005-0000-0000-0000F9500000}"/>
    <cellStyle name="Normal 2 2 2 2 2 50 2 5" xfId="19922" xr:uid="{00000000-0005-0000-0000-0000FA500000}"/>
    <cellStyle name="Normal 2 2 2 2 2 50 2 6" xfId="19923" xr:uid="{00000000-0005-0000-0000-0000FB500000}"/>
    <cellStyle name="Normal 2 2 2 2 2 50 2 7" xfId="19924" xr:uid="{00000000-0005-0000-0000-0000FC500000}"/>
    <cellStyle name="Normal 2 2 2 2 2 50 3" xfId="19925" xr:uid="{00000000-0005-0000-0000-0000FD500000}"/>
    <cellStyle name="Normal 2 2 2 2 2 50 3 2" xfId="19926" xr:uid="{00000000-0005-0000-0000-0000FE500000}"/>
    <cellStyle name="Normal 2 2 2 2 2 50 3 3" xfId="19927" xr:uid="{00000000-0005-0000-0000-0000FF500000}"/>
    <cellStyle name="Normal 2 2 2 2 2 50 3 4" xfId="19928" xr:uid="{00000000-0005-0000-0000-000000510000}"/>
    <cellStyle name="Normal 2 2 2 2 2 50 3 5" xfId="19929" xr:uid="{00000000-0005-0000-0000-000001510000}"/>
    <cellStyle name="Normal 2 2 2 2 2 50 3 6" xfId="19930" xr:uid="{00000000-0005-0000-0000-000002510000}"/>
    <cellStyle name="Normal 2 2 2 2 2 51" xfId="19931" xr:uid="{00000000-0005-0000-0000-000003510000}"/>
    <cellStyle name="Normal 2 2 2 2 2 51 2" xfId="19932" xr:uid="{00000000-0005-0000-0000-000004510000}"/>
    <cellStyle name="Normal 2 2 2 2 2 51 3" xfId="19933" xr:uid="{00000000-0005-0000-0000-000005510000}"/>
    <cellStyle name="Normal 2 2 2 2 2 51 4" xfId="19934" xr:uid="{00000000-0005-0000-0000-000006510000}"/>
    <cellStyle name="Normal 2 2 2 2 2 51 5" xfId="19935" xr:uid="{00000000-0005-0000-0000-000007510000}"/>
    <cellStyle name="Normal 2 2 2 2 2 51 6" xfId="19936" xr:uid="{00000000-0005-0000-0000-000008510000}"/>
    <cellStyle name="Normal 2 2 2 2 2 52" xfId="19937" xr:uid="{00000000-0005-0000-0000-000009510000}"/>
    <cellStyle name="Normal 2 2 2 2 2 52 2" xfId="19938" xr:uid="{00000000-0005-0000-0000-00000A510000}"/>
    <cellStyle name="Normal 2 2 2 2 2 52 3" xfId="19939" xr:uid="{00000000-0005-0000-0000-00000B510000}"/>
    <cellStyle name="Normal 2 2 2 2 2 52 4" xfId="19940" xr:uid="{00000000-0005-0000-0000-00000C510000}"/>
    <cellStyle name="Normal 2 2 2 2 2 52 5" xfId="19941" xr:uid="{00000000-0005-0000-0000-00000D510000}"/>
    <cellStyle name="Normal 2 2 2 2 2 52 6" xfId="19942" xr:uid="{00000000-0005-0000-0000-00000E510000}"/>
    <cellStyle name="Normal 2 2 2 2 2 53" xfId="19943" xr:uid="{00000000-0005-0000-0000-00000F510000}"/>
    <cellStyle name="Normal 2 2 2 2 2 53 2" xfId="19944" xr:uid="{00000000-0005-0000-0000-000010510000}"/>
    <cellStyle name="Normal 2 2 2 2 2 53 3" xfId="19945" xr:uid="{00000000-0005-0000-0000-000011510000}"/>
    <cellStyle name="Normal 2 2 2 2 2 53 4" xfId="19946" xr:uid="{00000000-0005-0000-0000-000012510000}"/>
    <cellStyle name="Normal 2 2 2 2 2 53 5" xfId="19947" xr:uid="{00000000-0005-0000-0000-000013510000}"/>
    <cellStyle name="Normal 2 2 2 2 2 53 6" xfId="19948" xr:uid="{00000000-0005-0000-0000-000014510000}"/>
    <cellStyle name="Normal 2 2 2 2 2 54" xfId="19949" xr:uid="{00000000-0005-0000-0000-000015510000}"/>
    <cellStyle name="Normal 2 2 2 2 2 54 2" xfId="19950" xr:uid="{00000000-0005-0000-0000-000016510000}"/>
    <cellStyle name="Normal 2 2 2 2 2 54 3" xfId="19951" xr:uid="{00000000-0005-0000-0000-000017510000}"/>
    <cellStyle name="Normal 2 2 2 2 2 54 4" xfId="19952" xr:uid="{00000000-0005-0000-0000-000018510000}"/>
    <cellStyle name="Normal 2 2 2 2 2 54 5" xfId="19953" xr:uid="{00000000-0005-0000-0000-000019510000}"/>
    <cellStyle name="Normal 2 2 2 2 2 54 6" xfId="19954" xr:uid="{00000000-0005-0000-0000-00001A510000}"/>
    <cellStyle name="Normal 2 2 2 2 2 55" xfId="19955" xr:uid="{00000000-0005-0000-0000-00001B510000}"/>
    <cellStyle name="Normal 2 2 2 2 2 55 2" xfId="19956" xr:uid="{00000000-0005-0000-0000-00001C510000}"/>
    <cellStyle name="Normal 2 2 2 2 2 55 3" xfId="19957" xr:uid="{00000000-0005-0000-0000-00001D510000}"/>
    <cellStyle name="Normal 2 2 2 2 2 55 4" xfId="19958" xr:uid="{00000000-0005-0000-0000-00001E510000}"/>
    <cellStyle name="Normal 2 2 2 2 2 55 5" xfId="19959" xr:uid="{00000000-0005-0000-0000-00001F510000}"/>
    <cellStyle name="Normal 2 2 2 2 2 55 6" xfId="19960" xr:uid="{00000000-0005-0000-0000-000020510000}"/>
    <cellStyle name="Normal 2 2 2 2 2 56" xfId="19961" xr:uid="{00000000-0005-0000-0000-000021510000}"/>
    <cellStyle name="Normal 2 2 2 2 2 56 2" xfId="19962" xr:uid="{00000000-0005-0000-0000-000022510000}"/>
    <cellStyle name="Normal 2 2 2 2 2 56 3" xfId="19963" xr:uid="{00000000-0005-0000-0000-000023510000}"/>
    <cellStyle name="Normal 2 2 2 2 2 56 4" xfId="19964" xr:uid="{00000000-0005-0000-0000-000024510000}"/>
    <cellStyle name="Normal 2 2 2 2 2 56 5" xfId="19965" xr:uid="{00000000-0005-0000-0000-000025510000}"/>
    <cellStyle name="Normal 2 2 2 2 2 56 6" xfId="19966" xr:uid="{00000000-0005-0000-0000-000026510000}"/>
    <cellStyle name="Normal 2 2 2 2 2 57" xfId="19967" xr:uid="{00000000-0005-0000-0000-000027510000}"/>
    <cellStyle name="Normal 2 2 2 2 2 57 2" xfId="19968" xr:uid="{00000000-0005-0000-0000-000028510000}"/>
    <cellStyle name="Normal 2 2 2 2 2 57 3" xfId="19969" xr:uid="{00000000-0005-0000-0000-000029510000}"/>
    <cellStyle name="Normal 2 2 2 2 2 57 4" xfId="19970" xr:uid="{00000000-0005-0000-0000-00002A510000}"/>
    <cellStyle name="Normal 2 2 2 2 2 57 5" xfId="19971" xr:uid="{00000000-0005-0000-0000-00002B510000}"/>
    <cellStyle name="Normal 2 2 2 2 2 57 6" xfId="19972" xr:uid="{00000000-0005-0000-0000-00002C510000}"/>
    <cellStyle name="Normal 2 2 2 2 2 58" xfId="19973" xr:uid="{00000000-0005-0000-0000-00002D510000}"/>
    <cellStyle name="Normal 2 2 2 2 2 58 2" xfId="19974" xr:uid="{00000000-0005-0000-0000-00002E510000}"/>
    <cellStyle name="Normal 2 2 2 2 2 58 3" xfId="19975" xr:uid="{00000000-0005-0000-0000-00002F510000}"/>
    <cellStyle name="Normal 2 2 2 2 2 58 4" xfId="19976" xr:uid="{00000000-0005-0000-0000-000030510000}"/>
    <cellStyle name="Normal 2 2 2 2 2 58 5" xfId="19977" xr:uid="{00000000-0005-0000-0000-000031510000}"/>
    <cellStyle name="Normal 2 2 2 2 2 58 6" xfId="19978" xr:uid="{00000000-0005-0000-0000-000032510000}"/>
    <cellStyle name="Normal 2 2 2 2 2 59" xfId="19979" xr:uid="{00000000-0005-0000-0000-000033510000}"/>
    <cellStyle name="Normal 2 2 2 2 2 59 2" xfId="19980" xr:uid="{00000000-0005-0000-0000-000034510000}"/>
    <cellStyle name="Normal 2 2 2 2 2 59 3" xfId="19981" xr:uid="{00000000-0005-0000-0000-000035510000}"/>
    <cellStyle name="Normal 2 2 2 2 2 59 4" xfId="19982" xr:uid="{00000000-0005-0000-0000-000036510000}"/>
    <cellStyle name="Normal 2 2 2 2 2 59 5" xfId="19983" xr:uid="{00000000-0005-0000-0000-000037510000}"/>
    <cellStyle name="Normal 2 2 2 2 2 59 6" xfId="19984" xr:uid="{00000000-0005-0000-0000-000038510000}"/>
    <cellStyle name="Normal 2 2 2 2 2 6" xfId="19985" xr:uid="{00000000-0005-0000-0000-000039510000}"/>
    <cellStyle name="Normal 2 2 2 2 2 60" xfId="19986" xr:uid="{00000000-0005-0000-0000-00003A510000}"/>
    <cellStyle name="Normal 2 2 2 2 2 60 2" xfId="19987" xr:uid="{00000000-0005-0000-0000-00003B510000}"/>
    <cellStyle name="Normal 2 2 2 2 2 60 3" xfId="19988" xr:uid="{00000000-0005-0000-0000-00003C510000}"/>
    <cellStyle name="Normal 2 2 2 2 2 60 4" xfId="19989" xr:uid="{00000000-0005-0000-0000-00003D510000}"/>
    <cellStyle name="Normal 2 2 2 2 2 60 5" xfId="19990" xr:uid="{00000000-0005-0000-0000-00003E510000}"/>
    <cellStyle name="Normal 2 2 2 2 2 60 6" xfId="19991" xr:uid="{00000000-0005-0000-0000-00003F510000}"/>
    <cellStyle name="Normal 2 2 2 2 2 61" xfId="19992" xr:uid="{00000000-0005-0000-0000-000040510000}"/>
    <cellStyle name="Normal 2 2 2 2 2 61 2" xfId="19993" xr:uid="{00000000-0005-0000-0000-000041510000}"/>
    <cellStyle name="Normal 2 2 2 2 2 61 3" xfId="19994" xr:uid="{00000000-0005-0000-0000-000042510000}"/>
    <cellStyle name="Normal 2 2 2 2 2 61 4" xfId="19995" xr:uid="{00000000-0005-0000-0000-000043510000}"/>
    <cellStyle name="Normal 2 2 2 2 2 61 5" xfId="19996" xr:uid="{00000000-0005-0000-0000-000044510000}"/>
    <cellStyle name="Normal 2 2 2 2 2 61 6" xfId="19997" xr:uid="{00000000-0005-0000-0000-000045510000}"/>
    <cellStyle name="Normal 2 2 2 2 2 62" xfId="19998" xr:uid="{00000000-0005-0000-0000-000046510000}"/>
    <cellStyle name="Normal 2 2 2 2 2 62 2" xfId="19999" xr:uid="{00000000-0005-0000-0000-000047510000}"/>
    <cellStyle name="Normal 2 2 2 2 2 62 3" xfId="20000" xr:uid="{00000000-0005-0000-0000-000048510000}"/>
    <cellStyle name="Normal 2 2 2 2 2 62 4" xfId="20001" xr:uid="{00000000-0005-0000-0000-000049510000}"/>
    <cellStyle name="Normal 2 2 2 2 2 62 5" xfId="20002" xr:uid="{00000000-0005-0000-0000-00004A510000}"/>
    <cellStyle name="Normal 2 2 2 2 2 62 6" xfId="20003" xr:uid="{00000000-0005-0000-0000-00004B510000}"/>
    <cellStyle name="Normal 2 2 2 2 2 63" xfId="20004" xr:uid="{00000000-0005-0000-0000-00004C510000}"/>
    <cellStyle name="Normal 2 2 2 2 2 63 2" xfId="20005" xr:uid="{00000000-0005-0000-0000-00004D510000}"/>
    <cellStyle name="Normal 2 2 2 2 2 63 3" xfId="20006" xr:uid="{00000000-0005-0000-0000-00004E510000}"/>
    <cellStyle name="Normal 2 2 2 2 2 63 4" xfId="20007" xr:uid="{00000000-0005-0000-0000-00004F510000}"/>
    <cellStyle name="Normal 2 2 2 2 2 63 5" xfId="20008" xr:uid="{00000000-0005-0000-0000-000050510000}"/>
    <cellStyle name="Normal 2 2 2 2 2 63 6" xfId="20009" xr:uid="{00000000-0005-0000-0000-000051510000}"/>
    <cellStyle name="Normal 2 2 2 2 2 64" xfId="20010" xr:uid="{00000000-0005-0000-0000-000052510000}"/>
    <cellStyle name="Normal 2 2 2 2 2 64 2" xfId="20011" xr:uid="{00000000-0005-0000-0000-000053510000}"/>
    <cellStyle name="Normal 2 2 2 2 2 64 3" xfId="20012" xr:uid="{00000000-0005-0000-0000-000054510000}"/>
    <cellStyle name="Normal 2 2 2 2 2 64 4" xfId="20013" xr:uid="{00000000-0005-0000-0000-000055510000}"/>
    <cellStyle name="Normal 2 2 2 2 2 64 5" xfId="20014" xr:uid="{00000000-0005-0000-0000-000056510000}"/>
    <cellStyle name="Normal 2 2 2 2 2 64 6" xfId="20015" xr:uid="{00000000-0005-0000-0000-000057510000}"/>
    <cellStyle name="Normal 2 2 2 2 2 65" xfId="20016" xr:uid="{00000000-0005-0000-0000-000058510000}"/>
    <cellStyle name="Normal 2 2 2 2 2 65 2" xfId="20017" xr:uid="{00000000-0005-0000-0000-000059510000}"/>
    <cellStyle name="Normal 2 2 2 2 2 65 3" xfId="20018" xr:uid="{00000000-0005-0000-0000-00005A510000}"/>
    <cellStyle name="Normal 2 2 2 2 2 65 4" xfId="20019" xr:uid="{00000000-0005-0000-0000-00005B510000}"/>
    <cellStyle name="Normal 2 2 2 2 2 65 5" xfId="20020" xr:uid="{00000000-0005-0000-0000-00005C510000}"/>
    <cellStyle name="Normal 2 2 2 2 2 65 6" xfId="20021" xr:uid="{00000000-0005-0000-0000-00005D510000}"/>
    <cellStyle name="Normal 2 2 2 2 2 66" xfId="20022" xr:uid="{00000000-0005-0000-0000-00005E510000}"/>
    <cellStyle name="Normal 2 2 2 2 2 66 2" xfId="20023" xr:uid="{00000000-0005-0000-0000-00005F510000}"/>
    <cellStyle name="Normal 2 2 2 2 2 66 3" xfId="20024" xr:uid="{00000000-0005-0000-0000-000060510000}"/>
    <cellStyle name="Normal 2 2 2 2 2 66 4" xfId="20025" xr:uid="{00000000-0005-0000-0000-000061510000}"/>
    <cellStyle name="Normal 2 2 2 2 2 66 5" xfId="20026" xr:uid="{00000000-0005-0000-0000-000062510000}"/>
    <cellStyle name="Normal 2 2 2 2 2 66 6" xfId="20027" xr:uid="{00000000-0005-0000-0000-000063510000}"/>
    <cellStyle name="Normal 2 2 2 2 2 67" xfId="20028" xr:uid="{00000000-0005-0000-0000-000064510000}"/>
    <cellStyle name="Normal 2 2 2 2 2 67 2" xfId="20029" xr:uid="{00000000-0005-0000-0000-000065510000}"/>
    <cellStyle name="Normal 2 2 2 2 2 67 3" xfId="20030" xr:uid="{00000000-0005-0000-0000-000066510000}"/>
    <cellStyle name="Normal 2 2 2 2 2 67 4" xfId="20031" xr:uid="{00000000-0005-0000-0000-000067510000}"/>
    <cellStyle name="Normal 2 2 2 2 2 67 5" xfId="20032" xr:uid="{00000000-0005-0000-0000-000068510000}"/>
    <cellStyle name="Normal 2 2 2 2 2 67 6" xfId="20033" xr:uid="{00000000-0005-0000-0000-000069510000}"/>
    <cellStyle name="Normal 2 2 2 2 2 68" xfId="20034" xr:uid="{00000000-0005-0000-0000-00006A510000}"/>
    <cellStyle name="Normal 2 2 2 2 2 68 2" xfId="20035" xr:uid="{00000000-0005-0000-0000-00006B510000}"/>
    <cellStyle name="Normal 2 2 2 2 2 68 3" xfId="20036" xr:uid="{00000000-0005-0000-0000-00006C510000}"/>
    <cellStyle name="Normal 2 2 2 2 2 68 4" xfId="20037" xr:uid="{00000000-0005-0000-0000-00006D510000}"/>
    <cellStyle name="Normal 2 2 2 2 2 68 5" xfId="20038" xr:uid="{00000000-0005-0000-0000-00006E510000}"/>
    <cellStyle name="Normal 2 2 2 2 2 68 6" xfId="20039" xr:uid="{00000000-0005-0000-0000-00006F510000}"/>
    <cellStyle name="Normal 2 2 2 2 2 69" xfId="20040" xr:uid="{00000000-0005-0000-0000-000070510000}"/>
    <cellStyle name="Normal 2 2 2 2 2 69 2" xfId="20041" xr:uid="{00000000-0005-0000-0000-000071510000}"/>
    <cellStyle name="Normal 2 2 2 2 2 69 3" xfId="20042" xr:uid="{00000000-0005-0000-0000-000072510000}"/>
    <cellStyle name="Normal 2 2 2 2 2 69 4" xfId="20043" xr:uid="{00000000-0005-0000-0000-000073510000}"/>
    <cellStyle name="Normal 2 2 2 2 2 69 5" xfId="20044" xr:uid="{00000000-0005-0000-0000-000074510000}"/>
    <cellStyle name="Normal 2 2 2 2 2 69 6" xfId="20045" xr:uid="{00000000-0005-0000-0000-000075510000}"/>
    <cellStyle name="Normal 2 2 2 2 2 7" xfId="20046" xr:uid="{00000000-0005-0000-0000-000076510000}"/>
    <cellStyle name="Normal 2 2 2 2 2 70" xfId="20047" xr:uid="{00000000-0005-0000-0000-000077510000}"/>
    <cellStyle name="Normal 2 2 2 2 2 70 2" xfId="20048" xr:uid="{00000000-0005-0000-0000-000078510000}"/>
    <cellStyle name="Normal 2 2 2 2 2 70 2 2" xfId="20049" xr:uid="{00000000-0005-0000-0000-000079510000}"/>
    <cellStyle name="Normal 2 2 2 2 2 70 2 3" xfId="20050" xr:uid="{00000000-0005-0000-0000-00007A510000}"/>
    <cellStyle name="Normal 2 2 2 2 2 70 2 4" xfId="20051" xr:uid="{00000000-0005-0000-0000-00007B510000}"/>
    <cellStyle name="Normal 2 2 2 2 2 70 2 5" xfId="20052" xr:uid="{00000000-0005-0000-0000-00007C510000}"/>
    <cellStyle name="Normal 2 2 2 2 2 70 2 6" xfId="20053" xr:uid="{00000000-0005-0000-0000-00007D510000}"/>
    <cellStyle name="Normal 2 2 2 2 2 71" xfId="20054" xr:uid="{00000000-0005-0000-0000-00007E510000}"/>
    <cellStyle name="Normal 2 2 2 2 2 71 10" xfId="20055" xr:uid="{00000000-0005-0000-0000-00007F510000}"/>
    <cellStyle name="Normal 2 2 2 2 2 71 11" xfId="20056" xr:uid="{00000000-0005-0000-0000-000080510000}"/>
    <cellStyle name="Normal 2 2 2 2 2 71 2" xfId="20057" xr:uid="{00000000-0005-0000-0000-000081510000}"/>
    <cellStyle name="Normal 2 2 2 2 2 71 2 2" xfId="20058" xr:uid="{00000000-0005-0000-0000-000082510000}"/>
    <cellStyle name="Normal 2 2 2 2 2 71 2 2 2" xfId="20059" xr:uid="{00000000-0005-0000-0000-000083510000}"/>
    <cellStyle name="Normal 2 2 2 2 2 71 2 2 3" xfId="20060" xr:uid="{00000000-0005-0000-0000-000084510000}"/>
    <cellStyle name="Normal 2 2 2 2 2 71 2 3" xfId="20061" xr:uid="{00000000-0005-0000-0000-000085510000}"/>
    <cellStyle name="Normal 2 2 2 2 2 71 2 4" xfId="20062" xr:uid="{00000000-0005-0000-0000-000086510000}"/>
    <cellStyle name="Normal 2 2 2 2 2 71 2 5" xfId="20063" xr:uid="{00000000-0005-0000-0000-000087510000}"/>
    <cellStyle name="Normal 2 2 2 2 2 71 2 6" xfId="20064" xr:uid="{00000000-0005-0000-0000-000088510000}"/>
    <cellStyle name="Normal 2 2 2 2 2 71 2 7" xfId="20065" xr:uid="{00000000-0005-0000-0000-000089510000}"/>
    <cellStyle name="Normal 2 2 2 2 2 71 2 8" xfId="20066" xr:uid="{00000000-0005-0000-0000-00008A510000}"/>
    <cellStyle name="Normal 2 2 2 2 2 71 2 9" xfId="20067" xr:uid="{00000000-0005-0000-0000-00008B510000}"/>
    <cellStyle name="Normal 2 2 2 2 2 71 3" xfId="20068" xr:uid="{00000000-0005-0000-0000-00008C510000}"/>
    <cellStyle name="Normal 2 2 2 2 2 71 4" xfId="20069" xr:uid="{00000000-0005-0000-0000-00008D510000}"/>
    <cellStyle name="Normal 2 2 2 2 2 71 5" xfId="20070" xr:uid="{00000000-0005-0000-0000-00008E510000}"/>
    <cellStyle name="Normal 2 2 2 2 2 71 5 2" xfId="20071" xr:uid="{00000000-0005-0000-0000-00008F510000}"/>
    <cellStyle name="Normal 2 2 2 2 2 71 5 3" xfId="20072" xr:uid="{00000000-0005-0000-0000-000090510000}"/>
    <cellStyle name="Normal 2 2 2 2 2 71 6" xfId="20073" xr:uid="{00000000-0005-0000-0000-000091510000}"/>
    <cellStyle name="Normal 2 2 2 2 2 71 7" xfId="20074" xr:uid="{00000000-0005-0000-0000-000092510000}"/>
    <cellStyle name="Normal 2 2 2 2 2 71 8" xfId="20075" xr:uid="{00000000-0005-0000-0000-000093510000}"/>
    <cellStyle name="Normal 2 2 2 2 2 71 9" xfId="20076" xr:uid="{00000000-0005-0000-0000-000094510000}"/>
    <cellStyle name="Normal 2 2 2 2 2 72" xfId="20077" xr:uid="{00000000-0005-0000-0000-000095510000}"/>
    <cellStyle name="Normal 2 2 2 2 2 73" xfId="20078" xr:uid="{00000000-0005-0000-0000-000096510000}"/>
    <cellStyle name="Normal 2 2 2 2 2 74" xfId="20079" xr:uid="{00000000-0005-0000-0000-000097510000}"/>
    <cellStyle name="Normal 2 2 2 2 2 74 2" xfId="20080" xr:uid="{00000000-0005-0000-0000-000098510000}"/>
    <cellStyle name="Normal 2 2 2 2 2 74 2 2" xfId="20081" xr:uid="{00000000-0005-0000-0000-000099510000}"/>
    <cellStyle name="Normal 2 2 2 2 2 74 2 3" xfId="20082" xr:uid="{00000000-0005-0000-0000-00009A510000}"/>
    <cellStyle name="Normal 2 2 2 2 2 74 3" xfId="20083" xr:uid="{00000000-0005-0000-0000-00009B510000}"/>
    <cellStyle name="Normal 2 2 2 2 2 74 4" xfId="20084" xr:uid="{00000000-0005-0000-0000-00009C510000}"/>
    <cellStyle name="Normal 2 2 2 2 2 74 5" xfId="20085" xr:uid="{00000000-0005-0000-0000-00009D510000}"/>
    <cellStyle name="Normal 2 2 2 2 2 74 6" xfId="20086" xr:uid="{00000000-0005-0000-0000-00009E510000}"/>
    <cellStyle name="Normal 2 2 2 2 2 74 7" xfId="20087" xr:uid="{00000000-0005-0000-0000-00009F510000}"/>
    <cellStyle name="Normal 2 2 2 2 2 74 8" xfId="20088" xr:uid="{00000000-0005-0000-0000-0000A0510000}"/>
    <cellStyle name="Normal 2 2 2 2 2 74 9" xfId="20089" xr:uid="{00000000-0005-0000-0000-0000A1510000}"/>
    <cellStyle name="Normal 2 2 2 2 2 75" xfId="20090" xr:uid="{00000000-0005-0000-0000-0000A2510000}"/>
    <cellStyle name="Normal 2 2 2 2 2 76" xfId="20091" xr:uid="{00000000-0005-0000-0000-0000A3510000}"/>
    <cellStyle name="Normal 2 2 2 2 2 76 2" xfId="20092" xr:uid="{00000000-0005-0000-0000-0000A4510000}"/>
    <cellStyle name="Normal 2 2 2 2 2 76 3" xfId="20093" xr:uid="{00000000-0005-0000-0000-0000A5510000}"/>
    <cellStyle name="Normal 2 2 2 2 2 77" xfId="20094" xr:uid="{00000000-0005-0000-0000-0000A6510000}"/>
    <cellStyle name="Normal 2 2 2 2 2 78" xfId="20095" xr:uid="{00000000-0005-0000-0000-0000A7510000}"/>
    <cellStyle name="Normal 2 2 2 2 2 79" xfId="20096" xr:uid="{00000000-0005-0000-0000-0000A8510000}"/>
    <cellStyle name="Normal 2 2 2 2 2 8" xfId="20097" xr:uid="{00000000-0005-0000-0000-0000A9510000}"/>
    <cellStyle name="Normal 2 2 2 2 2 80" xfId="20098" xr:uid="{00000000-0005-0000-0000-0000AA510000}"/>
    <cellStyle name="Normal 2 2 2 2 2 81" xfId="20099" xr:uid="{00000000-0005-0000-0000-0000AB510000}"/>
    <cellStyle name="Normal 2 2 2 2 2 82" xfId="20100" xr:uid="{00000000-0005-0000-0000-0000AC510000}"/>
    <cellStyle name="Normal 2 2 2 2 2 83" xfId="20101" xr:uid="{00000000-0005-0000-0000-0000AD510000}"/>
    <cellStyle name="Normal 2 2 2 2 2 9" xfId="20102" xr:uid="{00000000-0005-0000-0000-0000AE510000}"/>
    <cellStyle name="Normal 2 2 2 2 20" xfId="20103" xr:uid="{00000000-0005-0000-0000-0000AF510000}"/>
    <cellStyle name="Normal 2 2 2 2 21" xfId="20104" xr:uid="{00000000-0005-0000-0000-0000B0510000}"/>
    <cellStyle name="Normal 2 2 2 2 22" xfId="20105" xr:uid="{00000000-0005-0000-0000-0000B1510000}"/>
    <cellStyle name="Normal 2 2 2 2 22 2" xfId="20106" xr:uid="{00000000-0005-0000-0000-0000B2510000}"/>
    <cellStyle name="Normal 2 2 2 2 22 3" xfId="20107" xr:uid="{00000000-0005-0000-0000-0000B3510000}"/>
    <cellStyle name="Normal 2 2 2 2 22 4" xfId="20108" xr:uid="{00000000-0005-0000-0000-0000B4510000}"/>
    <cellStyle name="Normal 2 2 2 2 23" xfId="20109" xr:uid="{00000000-0005-0000-0000-0000B5510000}"/>
    <cellStyle name="Normal 2 2 2 2 24" xfId="20110" xr:uid="{00000000-0005-0000-0000-0000B6510000}"/>
    <cellStyle name="Normal 2 2 2 2 25" xfId="20111" xr:uid="{00000000-0005-0000-0000-0000B7510000}"/>
    <cellStyle name="Normal 2 2 2 2 26" xfId="20112" xr:uid="{00000000-0005-0000-0000-0000B8510000}"/>
    <cellStyle name="Normal 2 2 2 2 27" xfId="20113" xr:uid="{00000000-0005-0000-0000-0000B9510000}"/>
    <cellStyle name="Normal 2 2 2 2 28" xfId="20114" xr:uid="{00000000-0005-0000-0000-0000BA510000}"/>
    <cellStyle name="Normal 2 2 2 2 28 10" xfId="20115" xr:uid="{00000000-0005-0000-0000-0000BB510000}"/>
    <cellStyle name="Normal 2 2 2 2 28 11" xfId="20116" xr:uid="{00000000-0005-0000-0000-0000BC510000}"/>
    <cellStyle name="Normal 2 2 2 2 28 12" xfId="20117" xr:uid="{00000000-0005-0000-0000-0000BD510000}"/>
    <cellStyle name="Normal 2 2 2 2 28 13" xfId="20118" xr:uid="{00000000-0005-0000-0000-0000BE510000}"/>
    <cellStyle name="Normal 2 2 2 2 28 2" xfId="20119" xr:uid="{00000000-0005-0000-0000-0000BF510000}"/>
    <cellStyle name="Normal 2 2 2 2 28 2 2" xfId="20120" xr:uid="{00000000-0005-0000-0000-0000C0510000}"/>
    <cellStyle name="Normal 2 2 2 2 28 2 3" xfId="20121" xr:uid="{00000000-0005-0000-0000-0000C1510000}"/>
    <cellStyle name="Normal 2 2 2 2 28 2 4" xfId="20122" xr:uid="{00000000-0005-0000-0000-0000C2510000}"/>
    <cellStyle name="Normal 2 2 2 2 28 2 5" xfId="20123" xr:uid="{00000000-0005-0000-0000-0000C3510000}"/>
    <cellStyle name="Normal 2 2 2 2 28 2 6" xfId="20124" xr:uid="{00000000-0005-0000-0000-0000C4510000}"/>
    <cellStyle name="Normal 2 2 2 2 28 3" xfId="20125" xr:uid="{00000000-0005-0000-0000-0000C5510000}"/>
    <cellStyle name="Normal 2 2 2 2 28 3 2" xfId="20126" xr:uid="{00000000-0005-0000-0000-0000C6510000}"/>
    <cellStyle name="Normal 2 2 2 2 28 3 3" xfId="20127" xr:uid="{00000000-0005-0000-0000-0000C7510000}"/>
    <cellStyle name="Normal 2 2 2 2 28 3 4" xfId="20128" xr:uid="{00000000-0005-0000-0000-0000C8510000}"/>
    <cellStyle name="Normal 2 2 2 2 28 3 5" xfId="20129" xr:uid="{00000000-0005-0000-0000-0000C9510000}"/>
    <cellStyle name="Normal 2 2 2 2 28 3 6" xfId="20130" xr:uid="{00000000-0005-0000-0000-0000CA510000}"/>
    <cellStyle name="Normal 2 2 2 2 28 4" xfId="20131" xr:uid="{00000000-0005-0000-0000-0000CB510000}"/>
    <cellStyle name="Normal 2 2 2 2 28 4 2" xfId="20132" xr:uid="{00000000-0005-0000-0000-0000CC510000}"/>
    <cellStyle name="Normal 2 2 2 2 28 4 3" xfId="20133" xr:uid="{00000000-0005-0000-0000-0000CD510000}"/>
    <cellStyle name="Normal 2 2 2 2 28 4 4" xfId="20134" xr:uid="{00000000-0005-0000-0000-0000CE510000}"/>
    <cellStyle name="Normal 2 2 2 2 28 4 5" xfId="20135" xr:uid="{00000000-0005-0000-0000-0000CF510000}"/>
    <cellStyle name="Normal 2 2 2 2 28 4 6" xfId="20136" xr:uid="{00000000-0005-0000-0000-0000D0510000}"/>
    <cellStyle name="Normal 2 2 2 2 28 5" xfId="20137" xr:uid="{00000000-0005-0000-0000-0000D1510000}"/>
    <cellStyle name="Normal 2 2 2 2 28 5 2" xfId="20138" xr:uid="{00000000-0005-0000-0000-0000D2510000}"/>
    <cellStyle name="Normal 2 2 2 2 28 5 3" xfId="20139" xr:uid="{00000000-0005-0000-0000-0000D3510000}"/>
    <cellStyle name="Normal 2 2 2 2 28 5 4" xfId="20140" xr:uid="{00000000-0005-0000-0000-0000D4510000}"/>
    <cellStyle name="Normal 2 2 2 2 28 5 5" xfId="20141" xr:uid="{00000000-0005-0000-0000-0000D5510000}"/>
    <cellStyle name="Normal 2 2 2 2 28 5 6" xfId="20142" xr:uid="{00000000-0005-0000-0000-0000D6510000}"/>
    <cellStyle name="Normal 2 2 2 2 28 6" xfId="20143" xr:uid="{00000000-0005-0000-0000-0000D7510000}"/>
    <cellStyle name="Normal 2 2 2 2 28 6 2" xfId="20144" xr:uid="{00000000-0005-0000-0000-0000D8510000}"/>
    <cellStyle name="Normal 2 2 2 2 28 6 3" xfId="20145" xr:uid="{00000000-0005-0000-0000-0000D9510000}"/>
    <cellStyle name="Normal 2 2 2 2 28 6 4" xfId="20146" xr:uid="{00000000-0005-0000-0000-0000DA510000}"/>
    <cellStyle name="Normal 2 2 2 2 28 6 5" xfId="20147" xr:uid="{00000000-0005-0000-0000-0000DB510000}"/>
    <cellStyle name="Normal 2 2 2 2 28 6 6" xfId="20148" xr:uid="{00000000-0005-0000-0000-0000DC510000}"/>
    <cellStyle name="Normal 2 2 2 2 28 7" xfId="20149" xr:uid="{00000000-0005-0000-0000-0000DD510000}"/>
    <cellStyle name="Normal 2 2 2 2 28 7 2" xfId="20150" xr:uid="{00000000-0005-0000-0000-0000DE510000}"/>
    <cellStyle name="Normal 2 2 2 2 28 7 3" xfId="20151" xr:uid="{00000000-0005-0000-0000-0000DF510000}"/>
    <cellStyle name="Normal 2 2 2 2 28 7 4" xfId="20152" xr:uid="{00000000-0005-0000-0000-0000E0510000}"/>
    <cellStyle name="Normal 2 2 2 2 28 7 5" xfId="20153" xr:uid="{00000000-0005-0000-0000-0000E1510000}"/>
    <cellStyle name="Normal 2 2 2 2 28 7 6" xfId="20154" xr:uid="{00000000-0005-0000-0000-0000E2510000}"/>
    <cellStyle name="Normal 2 2 2 2 28 8" xfId="20155" xr:uid="{00000000-0005-0000-0000-0000E3510000}"/>
    <cellStyle name="Normal 2 2 2 2 28 8 2" xfId="20156" xr:uid="{00000000-0005-0000-0000-0000E4510000}"/>
    <cellStyle name="Normal 2 2 2 2 28 8 3" xfId="20157" xr:uid="{00000000-0005-0000-0000-0000E5510000}"/>
    <cellStyle name="Normal 2 2 2 2 28 8 4" xfId="20158" xr:uid="{00000000-0005-0000-0000-0000E6510000}"/>
    <cellStyle name="Normal 2 2 2 2 28 8 5" xfId="20159" xr:uid="{00000000-0005-0000-0000-0000E7510000}"/>
    <cellStyle name="Normal 2 2 2 2 28 8 6" xfId="20160" xr:uid="{00000000-0005-0000-0000-0000E8510000}"/>
    <cellStyle name="Normal 2 2 2 2 28 9" xfId="20161" xr:uid="{00000000-0005-0000-0000-0000E9510000}"/>
    <cellStyle name="Normal 2 2 2 2 29" xfId="20162" xr:uid="{00000000-0005-0000-0000-0000EA510000}"/>
    <cellStyle name="Normal 2 2 2 2 29 10" xfId="20163" xr:uid="{00000000-0005-0000-0000-0000EB510000}"/>
    <cellStyle name="Normal 2 2 2 2 29 11" xfId="20164" xr:uid="{00000000-0005-0000-0000-0000EC510000}"/>
    <cellStyle name="Normal 2 2 2 2 29 12" xfId="20165" xr:uid="{00000000-0005-0000-0000-0000ED510000}"/>
    <cellStyle name="Normal 2 2 2 2 29 13" xfId="20166" xr:uid="{00000000-0005-0000-0000-0000EE510000}"/>
    <cellStyle name="Normal 2 2 2 2 29 2" xfId="20167" xr:uid="{00000000-0005-0000-0000-0000EF510000}"/>
    <cellStyle name="Normal 2 2 2 2 29 2 2" xfId="20168" xr:uid="{00000000-0005-0000-0000-0000F0510000}"/>
    <cellStyle name="Normal 2 2 2 2 29 2 3" xfId="20169" xr:uid="{00000000-0005-0000-0000-0000F1510000}"/>
    <cellStyle name="Normal 2 2 2 2 29 2 4" xfId="20170" xr:uid="{00000000-0005-0000-0000-0000F2510000}"/>
    <cellStyle name="Normal 2 2 2 2 29 2 5" xfId="20171" xr:uid="{00000000-0005-0000-0000-0000F3510000}"/>
    <cellStyle name="Normal 2 2 2 2 29 2 6" xfId="20172" xr:uid="{00000000-0005-0000-0000-0000F4510000}"/>
    <cellStyle name="Normal 2 2 2 2 29 3" xfId="20173" xr:uid="{00000000-0005-0000-0000-0000F5510000}"/>
    <cellStyle name="Normal 2 2 2 2 29 3 2" xfId="20174" xr:uid="{00000000-0005-0000-0000-0000F6510000}"/>
    <cellStyle name="Normal 2 2 2 2 29 3 3" xfId="20175" xr:uid="{00000000-0005-0000-0000-0000F7510000}"/>
    <cellStyle name="Normal 2 2 2 2 29 3 4" xfId="20176" xr:uid="{00000000-0005-0000-0000-0000F8510000}"/>
    <cellStyle name="Normal 2 2 2 2 29 3 5" xfId="20177" xr:uid="{00000000-0005-0000-0000-0000F9510000}"/>
    <cellStyle name="Normal 2 2 2 2 29 3 6" xfId="20178" xr:uid="{00000000-0005-0000-0000-0000FA510000}"/>
    <cellStyle name="Normal 2 2 2 2 29 4" xfId="20179" xr:uid="{00000000-0005-0000-0000-0000FB510000}"/>
    <cellStyle name="Normal 2 2 2 2 29 4 2" xfId="20180" xr:uid="{00000000-0005-0000-0000-0000FC510000}"/>
    <cellStyle name="Normal 2 2 2 2 29 4 3" xfId="20181" xr:uid="{00000000-0005-0000-0000-0000FD510000}"/>
    <cellStyle name="Normal 2 2 2 2 29 4 4" xfId="20182" xr:uid="{00000000-0005-0000-0000-0000FE510000}"/>
    <cellStyle name="Normal 2 2 2 2 29 4 5" xfId="20183" xr:uid="{00000000-0005-0000-0000-0000FF510000}"/>
    <cellStyle name="Normal 2 2 2 2 29 4 6" xfId="20184" xr:uid="{00000000-0005-0000-0000-000000520000}"/>
    <cellStyle name="Normal 2 2 2 2 29 5" xfId="20185" xr:uid="{00000000-0005-0000-0000-000001520000}"/>
    <cellStyle name="Normal 2 2 2 2 29 5 2" xfId="20186" xr:uid="{00000000-0005-0000-0000-000002520000}"/>
    <cellStyle name="Normal 2 2 2 2 29 5 3" xfId="20187" xr:uid="{00000000-0005-0000-0000-000003520000}"/>
    <cellStyle name="Normal 2 2 2 2 29 5 4" xfId="20188" xr:uid="{00000000-0005-0000-0000-000004520000}"/>
    <cellStyle name="Normal 2 2 2 2 29 5 5" xfId="20189" xr:uid="{00000000-0005-0000-0000-000005520000}"/>
    <cellStyle name="Normal 2 2 2 2 29 5 6" xfId="20190" xr:uid="{00000000-0005-0000-0000-000006520000}"/>
    <cellStyle name="Normal 2 2 2 2 29 6" xfId="20191" xr:uid="{00000000-0005-0000-0000-000007520000}"/>
    <cellStyle name="Normal 2 2 2 2 29 6 2" xfId="20192" xr:uid="{00000000-0005-0000-0000-000008520000}"/>
    <cellStyle name="Normal 2 2 2 2 29 6 3" xfId="20193" xr:uid="{00000000-0005-0000-0000-000009520000}"/>
    <cellStyle name="Normal 2 2 2 2 29 6 4" xfId="20194" xr:uid="{00000000-0005-0000-0000-00000A520000}"/>
    <cellStyle name="Normal 2 2 2 2 29 6 5" xfId="20195" xr:uid="{00000000-0005-0000-0000-00000B520000}"/>
    <cellStyle name="Normal 2 2 2 2 29 6 6" xfId="20196" xr:uid="{00000000-0005-0000-0000-00000C520000}"/>
    <cellStyle name="Normal 2 2 2 2 29 7" xfId="20197" xr:uid="{00000000-0005-0000-0000-00000D520000}"/>
    <cellStyle name="Normal 2 2 2 2 29 7 2" xfId="20198" xr:uid="{00000000-0005-0000-0000-00000E520000}"/>
    <cellStyle name="Normal 2 2 2 2 29 7 3" xfId="20199" xr:uid="{00000000-0005-0000-0000-00000F520000}"/>
    <cellStyle name="Normal 2 2 2 2 29 7 4" xfId="20200" xr:uid="{00000000-0005-0000-0000-000010520000}"/>
    <cellStyle name="Normal 2 2 2 2 29 7 5" xfId="20201" xr:uid="{00000000-0005-0000-0000-000011520000}"/>
    <cellStyle name="Normal 2 2 2 2 29 7 6" xfId="20202" xr:uid="{00000000-0005-0000-0000-000012520000}"/>
    <cellStyle name="Normal 2 2 2 2 29 8" xfId="20203" xr:uid="{00000000-0005-0000-0000-000013520000}"/>
    <cellStyle name="Normal 2 2 2 2 29 8 2" xfId="20204" xr:uid="{00000000-0005-0000-0000-000014520000}"/>
    <cellStyle name="Normal 2 2 2 2 29 8 3" xfId="20205" xr:uid="{00000000-0005-0000-0000-000015520000}"/>
    <cellStyle name="Normal 2 2 2 2 29 8 4" xfId="20206" xr:uid="{00000000-0005-0000-0000-000016520000}"/>
    <cellStyle name="Normal 2 2 2 2 29 8 5" xfId="20207" xr:uid="{00000000-0005-0000-0000-000017520000}"/>
    <cellStyle name="Normal 2 2 2 2 29 8 6" xfId="20208" xr:uid="{00000000-0005-0000-0000-000018520000}"/>
    <cellStyle name="Normal 2 2 2 2 29 9" xfId="20209" xr:uid="{00000000-0005-0000-0000-000019520000}"/>
    <cellStyle name="Normal 2 2 2 2 3" xfId="20210" xr:uid="{00000000-0005-0000-0000-00001A520000}"/>
    <cellStyle name="Normal 2 2 2 2 3 10" xfId="20211" xr:uid="{00000000-0005-0000-0000-00001B520000}"/>
    <cellStyle name="Normal 2 2 2 2 3 11" xfId="20212" xr:uid="{00000000-0005-0000-0000-00001C520000}"/>
    <cellStyle name="Normal 2 2 2 2 3 12" xfId="20213" xr:uid="{00000000-0005-0000-0000-00001D520000}"/>
    <cellStyle name="Normal 2 2 2 2 3 13" xfId="20214" xr:uid="{00000000-0005-0000-0000-00001E520000}"/>
    <cellStyle name="Normal 2 2 2 2 3 14" xfId="20215" xr:uid="{00000000-0005-0000-0000-00001F520000}"/>
    <cellStyle name="Normal 2 2 2 2 3 2" xfId="20216" xr:uid="{00000000-0005-0000-0000-000020520000}"/>
    <cellStyle name="Normal 2 2 2 2 3 2 2" xfId="20217" xr:uid="{00000000-0005-0000-0000-000021520000}"/>
    <cellStyle name="Normal 2 2 2 2 3 2 2 2" xfId="20218" xr:uid="{00000000-0005-0000-0000-000022520000}"/>
    <cellStyle name="Normal 2 2 2 2 3 2 2 2 2" xfId="20219" xr:uid="{00000000-0005-0000-0000-000023520000}"/>
    <cellStyle name="Normal 2 2 2 2 3 2 2 3" xfId="20220" xr:uid="{00000000-0005-0000-0000-000024520000}"/>
    <cellStyle name="Normal 2 2 2 2 3 2 3" xfId="20221" xr:uid="{00000000-0005-0000-0000-000025520000}"/>
    <cellStyle name="Normal 2 2 2 2 3 2 3 2" xfId="20222" xr:uid="{00000000-0005-0000-0000-000026520000}"/>
    <cellStyle name="Normal 2 2 2 2 3 2 4" xfId="20223" xr:uid="{00000000-0005-0000-0000-000027520000}"/>
    <cellStyle name="Normal 2 2 2 2 3 2 5" xfId="20224" xr:uid="{00000000-0005-0000-0000-000028520000}"/>
    <cellStyle name="Normal 2 2 2 2 3 2 6" xfId="20225" xr:uid="{00000000-0005-0000-0000-000029520000}"/>
    <cellStyle name="Normal 2 2 2 2 3 3" xfId="20226" xr:uid="{00000000-0005-0000-0000-00002A520000}"/>
    <cellStyle name="Normal 2 2 2 2 3 3 2" xfId="20227" xr:uid="{00000000-0005-0000-0000-00002B520000}"/>
    <cellStyle name="Normal 2 2 2 2 3 3 3" xfId="20228" xr:uid="{00000000-0005-0000-0000-00002C520000}"/>
    <cellStyle name="Normal 2 2 2 2 3 3 4" xfId="20229" xr:uid="{00000000-0005-0000-0000-00002D520000}"/>
    <cellStyle name="Normal 2 2 2 2 3 3 5" xfId="20230" xr:uid="{00000000-0005-0000-0000-00002E520000}"/>
    <cellStyle name="Normal 2 2 2 2 3 3 6" xfId="20231" xr:uid="{00000000-0005-0000-0000-00002F520000}"/>
    <cellStyle name="Normal 2 2 2 2 3 4" xfId="20232" xr:uid="{00000000-0005-0000-0000-000030520000}"/>
    <cellStyle name="Normal 2 2 2 2 3 4 2" xfId="20233" xr:uid="{00000000-0005-0000-0000-000031520000}"/>
    <cellStyle name="Normal 2 2 2 2 3 4 3" xfId="20234" xr:uid="{00000000-0005-0000-0000-000032520000}"/>
    <cellStyle name="Normal 2 2 2 2 3 4 4" xfId="20235" xr:uid="{00000000-0005-0000-0000-000033520000}"/>
    <cellStyle name="Normal 2 2 2 2 3 4 5" xfId="20236" xr:uid="{00000000-0005-0000-0000-000034520000}"/>
    <cellStyle name="Normal 2 2 2 2 3 4 6" xfId="20237" xr:uid="{00000000-0005-0000-0000-000035520000}"/>
    <cellStyle name="Normal 2 2 2 2 3 5" xfId="20238" xr:uid="{00000000-0005-0000-0000-000036520000}"/>
    <cellStyle name="Normal 2 2 2 2 3 5 2" xfId="20239" xr:uid="{00000000-0005-0000-0000-000037520000}"/>
    <cellStyle name="Normal 2 2 2 2 3 5 3" xfId="20240" xr:uid="{00000000-0005-0000-0000-000038520000}"/>
    <cellStyle name="Normal 2 2 2 2 3 5 4" xfId="20241" xr:uid="{00000000-0005-0000-0000-000039520000}"/>
    <cellStyle name="Normal 2 2 2 2 3 5 5" xfId="20242" xr:uid="{00000000-0005-0000-0000-00003A520000}"/>
    <cellStyle name="Normal 2 2 2 2 3 5 6" xfId="20243" xr:uid="{00000000-0005-0000-0000-00003B520000}"/>
    <cellStyle name="Normal 2 2 2 2 3 6" xfId="20244" xr:uid="{00000000-0005-0000-0000-00003C520000}"/>
    <cellStyle name="Normal 2 2 2 2 3 6 2" xfId="20245" xr:uid="{00000000-0005-0000-0000-00003D520000}"/>
    <cellStyle name="Normal 2 2 2 2 3 6 3" xfId="20246" xr:uid="{00000000-0005-0000-0000-00003E520000}"/>
    <cellStyle name="Normal 2 2 2 2 3 6 4" xfId="20247" xr:uid="{00000000-0005-0000-0000-00003F520000}"/>
    <cellStyle name="Normal 2 2 2 2 3 6 5" xfId="20248" xr:uid="{00000000-0005-0000-0000-000040520000}"/>
    <cellStyle name="Normal 2 2 2 2 3 6 6" xfId="20249" xr:uid="{00000000-0005-0000-0000-000041520000}"/>
    <cellStyle name="Normal 2 2 2 2 3 7" xfId="20250" xr:uid="{00000000-0005-0000-0000-000042520000}"/>
    <cellStyle name="Normal 2 2 2 2 3 7 2" xfId="20251" xr:uid="{00000000-0005-0000-0000-000043520000}"/>
    <cellStyle name="Normal 2 2 2 2 3 7 3" xfId="20252" xr:uid="{00000000-0005-0000-0000-000044520000}"/>
    <cellStyle name="Normal 2 2 2 2 3 7 4" xfId="20253" xr:uid="{00000000-0005-0000-0000-000045520000}"/>
    <cellStyle name="Normal 2 2 2 2 3 7 5" xfId="20254" xr:uid="{00000000-0005-0000-0000-000046520000}"/>
    <cellStyle name="Normal 2 2 2 2 3 7 6" xfId="20255" xr:uid="{00000000-0005-0000-0000-000047520000}"/>
    <cellStyle name="Normal 2 2 2 2 3 8" xfId="20256" xr:uid="{00000000-0005-0000-0000-000048520000}"/>
    <cellStyle name="Normal 2 2 2 2 3 8 2" xfId="20257" xr:uid="{00000000-0005-0000-0000-000049520000}"/>
    <cellStyle name="Normal 2 2 2 2 3 8 3" xfId="20258" xr:uid="{00000000-0005-0000-0000-00004A520000}"/>
    <cellStyle name="Normal 2 2 2 2 3 8 4" xfId="20259" xr:uid="{00000000-0005-0000-0000-00004B520000}"/>
    <cellStyle name="Normal 2 2 2 2 3 8 5" xfId="20260" xr:uid="{00000000-0005-0000-0000-00004C520000}"/>
    <cellStyle name="Normal 2 2 2 2 3 8 6" xfId="20261" xr:uid="{00000000-0005-0000-0000-00004D520000}"/>
    <cellStyle name="Normal 2 2 2 2 3 9" xfId="20262" xr:uid="{00000000-0005-0000-0000-00004E520000}"/>
    <cellStyle name="Normal 2 2 2 2 30" xfId="20263" xr:uid="{00000000-0005-0000-0000-00004F520000}"/>
    <cellStyle name="Normal 2 2 2 2 30 10" xfId="20264" xr:uid="{00000000-0005-0000-0000-000050520000}"/>
    <cellStyle name="Normal 2 2 2 2 30 11" xfId="20265" xr:uid="{00000000-0005-0000-0000-000051520000}"/>
    <cellStyle name="Normal 2 2 2 2 30 12" xfId="20266" xr:uid="{00000000-0005-0000-0000-000052520000}"/>
    <cellStyle name="Normal 2 2 2 2 30 13" xfId="20267" xr:uid="{00000000-0005-0000-0000-000053520000}"/>
    <cellStyle name="Normal 2 2 2 2 30 2" xfId="20268" xr:uid="{00000000-0005-0000-0000-000054520000}"/>
    <cellStyle name="Normal 2 2 2 2 30 2 2" xfId="20269" xr:uid="{00000000-0005-0000-0000-000055520000}"/>
    <cellStyle name="Normal 2 2 2 2 30 2 3" xfId="20270" xr:uid="{00000000-0005-0000-0000-000056520000}"/>
    <cellStyle name="Normal 2 2 2 2 30 2 4" xfId="20271" xr:uid="{00000000-0005-0000-0000-000057520000}"/>
    <cellStyle name="Normal 2 2 2 2 30 2 5" xfId="20272" xr:uid="{00000000-0005-0000-0000-000058520000}"/>
    <cellStyle name="Normal 2 2 2 2 30 2 6" xfId="20273" xr:uid="{00000000-0005-0000-0000-000059520000}"/>
    <cellStyle name="Normal 2 2 2 2 30 3" xfId="20274" xr:uid="{00000000-0005-0000-0000-00005A520000}"/>
    <cellStyle name="Normal 2 2 2 2 30 3 2" xfId="20275" xr:uid="{00000000-0005-0000-0000-00005B520000}"/>
    <cellStyle name="Normal 2 2 2 2 30 3 3" xfId="20276" xr:uid="{00000000-0005-0000-0000-00005C520000}"/>
    <cellStyle name="Normal 2 2 2 2 30 3 4" xfId="20277" xr:uid="{00000000-0005-0000-0000-00005D520000}"/>
    <cellStyle name="Normal 2 2 2 2 30 3 5" xfId="20278" xr:uid="{00000000-0005-0000-0000-00005E520000}"/>
    <cellStyle name="Normal 2 2 2 2 30 3 6" xfId="20279" xr:uid="{00000000-0005-0000-0000-00005F520000}"/>
    <cellStyle name="Normal 2 2 2 2 30 4" xfId="20280" xr:uid="{00000000-0005-0000-0000-000060520000}"/>
    <cellStyle name="Normal 2 2 2 2 30 4 2" xfId="20281" xr:uid="{00000000-0005-0000-0000-000061520000}"/>
    <cellStyle name="Normal 2 2 2 2 30 4 3" xfId="20282" xr:uid="{00000000-0005-0000-0000-000062520000}"/>
    <cellStyle name="Normal 2 2 2 2 30 4 4" xfId="20283" xr:uid="{00000000-0005-0000-0000-000063520000}"/>
    <cellStyle name="Normal 2 2 2 2 30 4 5" xfId="20284" xr:uid="{00000000-0005-0000-0000-000064520000}"/>
    <cellStyle name="Normal 2 2 2 2 30 4 6" xfId="20285" xr:uid="{00000000-0005-0000-0000-000065520000}"/>
    <cellStyle name="Normal 2 2 2 2 30 5" xfId="20286" xr:uid="{00000000-0005-0000-0000-000066520000}"/>
    <cellStyle name="Normal 2 2 2 2 30 5 2" xfId="20287" xr:uid="{00000000-0005-0000-0000-000067520000}"/>
    <cellStyle name="Normal 2 2 2 2 30 5 3" xfId="20288" xr:uid="{00000000-0005-0000-0000-000068520000}"/>
    <cellStyle name="Normal 2 2 2 2 30 5 4" xfId="20289" xr:uid="{00000000-0005-0000-0000-000069520000}"/>
    <cellStyle name="Normal 2 2 2 2 30 5 5" xfId="20290" xr:uid="{00000000-0005-0000-0000-00006A520000}"/>
    <cellStyle name="Normal 2 2 2 2 30 5 6" xfId="20291" xr:uid="{00000000-0005-0000-0000-00006B520000}"/>
    <cellStyle name="Normal 2 2 2 2 30 6" xfId="20292" xr:uid="{00000000-0005-0000-0000-00006C520000}"/>
    <cellStyle name="Normal 2 2 2 2 30 6 2" xfId="20293" xr:uid="{00000000-0005-0000-0000-00006D520000}"/>
    <cellStyle name="Normal 2 2 2 2 30 6 3" xfId="20294" xr:uid="{00000000-0005-0000-0000-00006E520000}"/>
    <cellStyle name="Normal 2 2 2 2 30 6 4" xfId="20295" xr:uid="{00000000-0005-0000-0000-00006F520000}"/>
    <cellStyle name="Normal 2 2 2 2 30 6 5" xfId="20296" xr:uid="{00000000-0005-0000-0000-000070520000}"/>
    <cellStyle name="Normal 2 2 2 2 30 6 6" xfId="20297" xr:uid="{00000000-0005-0000-0000-000071520000}"/>
    <cellStyle name="Normal 2 2 2 2 30 7" xfId="20298" xr:uid="{00000000-0005-0000-0000-000072520000}"/>
    <cellStyle name="Normal 2 2 2 2 30 7 2" xfId="20299" xr:uid="{00000000-0005-0000-0000-000073520000}"/>
    <cellStyle name="Normal 2 2 2 2 30 7 3" xfId="20300" xr:uid="{00000000-0005-0000-0000-000074520000}"/>
    <cellStyle name="Normal 2 2 2 2 30 7 4" xfId="20301" xr:uid="{00000000-0005-0000-0000-000075520000}"/>
    <cellStyle name="Normal 2 2 2 2 30 7 5" xfId="20302" xr:uid="{00000000-0005-0000-0000-000076520000}"/>
    <cellStyle name="Normal 2 2 2 2 30 7 6" xfId="20303" xr:uid="{00000000-0005-0000-0000-000077520000}"/>
    <cellStyle name="Normal 2 2 2 2 30 8" xfId="20304" xr:uid="{00000000-0005-0000-0000-000078520000}"/>
    <cellStyle name="Normal 2 2 2 2 30 8 2" xfId="20305" xr:uid="{00000000-0005-0000-0000-000079520000}"/>
    <cellStyle name="Normal 2 2 2 2 30 8 3" xfId="20306" xr:uid="{00000000-0005-0000-0000-00007A520000}"/>
    <cellStyle name="Normal 2 2 2 2 30 8 4" xfId="20307" xr:uid="{00000000-0005-0000-0000-00007B520000}"/>
    <cellStyle name="Normal 2 2 2 2 30 8 5" xfId="20308" xr:uid="{00000000-0005-0000-0000-00007C520000}"/>
    <cellStyle name="Normal 2 2 2 2 30 8 6" xfId="20309" xr:uid="{00000000-0005-0000-0000-00007D520000}"/>
    <cellStyle name="Normal 2 2 2 2 30 9" xfId="20310" xr:uid="{00000000-0005-0000-0000-00007E520000}"/>
    <cellStyle name="Normal 2 2 2 2 31" xfId="20311" xr:uid="{00000000-0005-0000-0000-00007F520000}"/>
    <cellStyle name="Normal 2 2 2 2 31 10" xfId="20312" xr:uid="{00000000-0005-0000-0000-000080520000}"/>
    <cellStyle name="Normal 2 2 2 2 31 11" xfId="20313" xr:uid="{00000000-0005-0000-0000-000081520000}"/>
    <cellStyle name="Normal 2 2 2 2 31 12" xfId="20314" xr:uid="{00000000-0005-0000-0000-000082520000}"/>
    <cellStyle name="Normal 2 2 2 2 31 13" xfId="20315" xr:uid="{00000000-0005-0000-0000-000083520000}"/>
    <cellStyle name="Normal 2 2 2 2 31 2" xfId="20316" xr:uid="{00000000-0005-0000-0000-000084520000}"/>
    <cellStyle name="Normal 2 2 2 2 31 2 2" xfId="20317" xr:uid="{00000000-0005-0000-0000-000085520000}"/>
    <cellStyle name="Normal 2 2 2 2 31 2 3" xfId="20318" xr:uid="{00000000-0005-0000-0000-000086520000}"/>
    <cellStyle name="Normal 2 2 2 2 31 2 4" xfId="20319" xr:uid="{00000000-0005-0000-0000-000087520000}"/>
    <cellStyle name="Normal 2 2 2 2 31 2 5" xfId="20320" xr:uid="{00000000-0005-0000-0000-000088520000}"/>
    <cellStyle name="Normal 2 2 2 2 31 2 6" xfId="20321" xr:uid="{00000000-0005-0000-0000-000089520000}"/>
    <cellStyle name="Normal 2 2 2 2 31 3" xfId="20322" xr:uid="{00000000-0005-0000-0000-00008A520000}"/>
    <cellStyle name="Normal 2 2 2 2 31 3 2" xfId="20323" xr:uid="{00000000-0005-0000-0000-00008B520000}"/>
    <cellStyle name="Normal 2 2 2 2 31 3 3" xfId="20324" xr:uid="{00000000-0005-0000-0000-00008C520000}"/>
    <cellStyle name="Normal 2 2 2 2 31 3 4" xfId="20325" xr:uid="{00000000-0005-0000-0000-00008D520000}"/>
    <cellStyle name="Normal 2 2 2 2 31 3 5" xfId="20326" xr:uid="{00000000-0005-0000-0000-00008E520000}"/>
    <cellStyle name="Normal 2 2 2 2 31 3 6" xfId="20327" xr:uid="{00000000-0005-0000-0000-00008F520000}"/>
    <cellStyle name="Normal 2 2 2 2 31 4" xfId="20328" xr:uid="{00000000-0005-0000-0000-000090520000}"/>
    <cellStyle name="Normal 2 2 2 2 31 4 2" xfId="20329" xr:uid="{00000000-0005-0000-0000-000091520000}"/>
    <cellStyle name="Normal 2 2 2 2 31 4 3" xfId="20330" xr:uid="{00000000-0005-0000-0000-000092520000}"/>
    <cellStyle name="Normal 2 2 2 2 31 4 4" xfId="20331" xr:uid="{00000000-0005-0000-0000-000093520000}"/>
    <cellStyle name="Normal 2 2 2 2 31 4 5" xfId="20332" xr:uid="{00000000-0005-0000-0000-000094520000}"/>
    <cellStyle name="Normal 2 2 2 2 31 4 6" xfId="20333" xr:uid="{00000000-0005-0000-0000-000095520000}"/>
    <cellStyle name="Normal 2 2 2 2 31 5" xfId="20334" xr:uid="{00000000-0005-0000-0000-000096520000}"/>
    <cellStyle name="Normal 2 2 2 2 31 5 2" xfId="20335" xr:uid="{00000000-0005-0000-0000-000097520000}"/>
    <cellStyle name="Normal 2 2 2 2 31 5 3" xfId="20336" xr:uid="{00000000-0005-0000-0000-000098520000}"/>
    <cellStyle name="Normal 2 2 2 2 31 5 4" xfId="20337" xr:uid="{00000000-0005-0000-0000-000099520000}"/>
    <cellStyle name="Normal 2 2 2 2 31 5 5" xfId="20338" xr:uid="{00000000-0005-0000-0000-00009A520000}"/>
    <cellStyle name="Normal 2 2 2 2 31 5 6" xfId="20339" xr:uid="{00000000-0005-0000-0000-00009B520000}"/>
    <cellStyle name="Normal 2 2 2 2 31 6" xfId="20340" xr:uid="{00000000-0005-0000-0000-00009C520000}"/>
    <cellStyle name="Normal 2 2 2 2 31 6 2" xfId="20341" xr:uid="{00000000-0005-0000-0000-00009D520000}"/>
    <cellStyle name="Normal 2 2 2 2 31 6 3" xfId="20342" xr:uid="{00000000-0005-0000-0000-00009E520000}"/>
    <cellStyle name="Normal 2 2 2 2 31 6 4" xfId="20343" xr:uid="{00000000-0005-0000-0000-00009F520000}"/>
    <cellStyle name="Normal 2 2 2 2 31 6 5" xfId="20344" xr:uid="{00000000-0005-0000-0000-0000A0520000}"/>
    <cellStyle name="Normal 2 2 2 2 31 6 6" xfId="20345" xr:uid="{00000000-0005-0000-0000-0000A1520000}"/>
    <cellStyle name="Normal 2 2 2 2 31 7" xfId="20346" xr:uid="{00000000-0005-0000-0000-0000A2520000}"/>
    <cellStyle name="Normal 2 2 2 2 31 7 2" xfId="20347" xr:uid="{00000000-0005-0000-0000-0000A3520000}"/>
    <cellStyle name="Normal 2 2 2 2 31 7 3" xfId="20348" xr:uid="{00000000-0005-0000-0000-0000A4520000}"/>
    <cellStyle name="Normal 2 2 2 2 31 7 4" xfId="20349" xr:uid="{00000000-0005-0000-0000-0000A5520000}"/>
    <cellStyle name="Normal 2 2 2 2 31 7 5" xfId="20350" xr:uid="{00000000-0005-0000-0000-0000A6520000}"/>
    <cellStyle name="Normal 2 2 2 2 31 7 6" xfId="20351" xr:uid="{00000000-0005-0000-0000-0000A7520000}"/>
    <cellStyle name="Normal 2 2 2 2 31 8" xfId="20352" xr:uid="{00000000-0005-0000-0000-0000A8520000}"/>
    <cellStyle name="Normal 2 2 2 2 31 8 2" xfId="20353" xr:uid="{00000000-0005-0000-0000-0000A9520000}"/>
    <cellStyle name="Normal 2 2 2 2 31 8 3" xfId="20354" xr:uid="{00000000-0005-0000-0000-0000AA520000}"/>
    <cellStyle name="Normal 2 2 2 2 31 8 4" xfId="20355" xr:uid="{00000000-0005-0000-0000-0000AB520000}"/>
    <cellStyle name="Normal 2 2 2 2 31 8 5" xfId="20356" xr:uid="{00000000-0005-0000-0000-0000AC520000}"/>
    <cellStyle name="Normal 2 2 2 2 31 8 6" xfId="20357" xr:uid="{00000000-0005-0000-0000-0000AD520000}"/>
    <cellStyle name="Normal 2 2 2 2 31 9" xfId="20358" xr:uid="{00000000-0005-0000-0000-0000AE520000}"/>
    <cellStyle name="Normal 2 2 2 2 32" xfId="20359" xr:uid="{00000000-0005-0000-0000-0000AF520000}"/>
    <cellStyle name="Normal 2 2 2 2 32 10" xfId="20360" xr:uid="{00000000-0005-0000-0000-0000B0520000}"/>
    <cellStyle name="Normal 2 2 2 2 32 11" xfId="20361" xr:uid="{00000000-0005-0000-0000-0000B1520000}"/>
    <cellStyle name="Normal 2 2 2 2 32 12" xfId="20362" xr:uid="{00000000-0005-0000-0000-0000B2520000}"/>
    <cellStyle name="Normal 2 2 2 2 32 13" xfId="20363" xr:uid="{00000000-0005-0000-0000-0000B3520000}"/>
    <cellStyle name="Normal 2 2 2 2 32 2" xfId="20364" xr:uid="{00000000-0005-0000-0000-0000B4520000}"/>
    <cellStyle name="Normal 2 2 2 2 32 2 2" xfId="20365" xr:uid="{00000000-0005-0000-0000-0000B5520000}"/>
    <cellStyle name="Normal 2 2 2 2 32 2 3" xfId="20366" xr:uid="{00000000-0005-0000-0000-0000B6520000}"/>
    <cellStyle name="Normal 2 2 2 2 32 2 4" xfId="20367" xr:uid="{00000000-0005-0000-0000-0000B7520000}"/>
    <cellStyle name="Normal 2 2 2 2 32 2 5" xfId="20368" xr:uid="{00000000-0005-0000-0000-0000B8520000}"/>
    <cellStyle name="Normal 2 2 2 2 32 2 6" xfId="20369" xr:uid="{00000000-0005-0000-0000-0000B9520000}"/>
    <cellStyle name="Normal 2 2 2 2 32 3" xfId="20370" xr:uid="{00000000-0005-0000-0000-0000BA520000}"/>
    <cellStyle name="Normal 2 2 2 2 32 3 2" xfId="20371" xr:uid="{00000000-0005-0000-0000-0000BB520000}"/>
    <cellStyle name="Normal 2 2 2 2 32 3 3" xfId="20372" xr:uid="{00000000-0005-0000-0000-0000BC520000}"/>
    <cellStyle name="Normal 2 2 2 2 32 3 4" xfId="20373" xr:uid="{00000000-0005-0000-0000-0000BD520000}"/>
    <cellStyle name="Normal 2 2 2 2 32 3 5" xfId="20374" xr:uid="{00000000-0005-0000-0000-0000BE520000}"/>
    <cellStyle name="Normal 2 2 2 2 32 3 6" xfId="20375" xr:uid="{00000000-0005-0000-0000-0000BF520000}"/>
    <cellStyle name="Normal 2 2 2 2 32 4" xfId="20376" xr:uid="{00000000-0005-0000-0000-0000C0520000}"/>
    <cellStyle name="Normal 2 2 2 2 32 4 2" xfId="20377" xr:uid="{00000000-0005-0000-0000-0000C1520000}"/>
    <cellStyle name="Normal 2 2 2 2 32 4 3" xfId="20378" xr:uid="{00000000-0005-0000-0000-0000C2520000}"/>
    <cellStyle name="Normal 2 2 2 2 32 4 4" xfId="20379" xr:uid="{00000000-0005-0000-0000-0000C3520000}"/>
    <cellStyle name="Normal 2 2 2 2 32 4 5" xfId="20380" xr:uid="{00000000-0005-0000-0000-0000C4520000}"/>
    <cellStyle name="Normal 2 2 2 2 32 4 6" xfId="20381" xr:uid="{00000000-0005-0000-0000-0000C5520000}"/>
    <cellStyle name="Normal 2 2 2 2 32 5" xfId="20382" xr:uid="{00000000-0005-0000-0000-0000C6520000}"/>
    <cellStyle name="Normal 2 2 2 2 32 5 2" xfId="20383" xr:uid="{00000000-0005-0000-0000-0000C7520000}"/>
    <cellStyle name="Normal 2 2 2 2 32 5 3" xfId="20384" xr:uid="{00000000-0005-0000-0000-0000C8520000}"/>
    <cellStyle name="Normal 2 2 2 2 32 5 4" xfId="20385" xr:uid="{00000000-0005-0000-0000-0000C9520000}"/>
    <cellStyle name="Normal 2 2 2 2 32 5 5" xfId="20386" xr:uid="{00000000-0005-0000-0000-0000CA520000}"/>
    <cellStyle name="Normal 2 2 2 2 32 5 6" xfId="20387" xr:uid="{00000000-0005-0000-0000-0000CB520000}"/>
    <cellStyle name="Normal 2 2 2 2 32 6" xfId="20388" xr:uid="{00000000-0005-0000-0000-0000CC520000}"/>
    <cellStyle name="Normal 2 2 2 2 32 6 2" xfId="20389" xr:uid="{00000000-0005-0000-0000-0000CD520000}"/>
    <cellStyle name="Normal 2 2 2 2 32 6 3" xfId="20390" xr:uid="{00000000-0005-0000-0000-0000CE520000}"/>
    <cellStyle name="Normal 2 2 2 2 32 6 4" xfId="20391" xr:uid="{00000000-0005-0000-0000-0000CF520000}"/>
    <cellStyle name="Normal 2 2 2 2 32 6 5" xfId="20392" xr:uid="{00000000-0005-0000-0000-0000D0520000}"/>
    <cellStyle name="Normal 2 2 2 2 32 6 6" xfId="20393" xr:uid="{00000000-0005-0000-0000-0000D1520000}"/>
    <cellStyle name="Normal 2 2 2 2 32 7" xfId="20394" xr:uid="{00000000-0005-0000-0000-0000D2520000}"/>
    <cellStyle name="Normal 2 2 2 2 32 7 2" xfId="20395" xr:uid="{00000000-0005-0000-0000-0000D3520000}"/>
    <cellStyle name="Normal 2 2 2 2 32 7 3" xfId="20396" xr:uid="{00000000-0005-0000-0000-0000D4520000}"/>
    <cellStyle name="Normal 2 2 2 2 32 7 4" xfId="20397" xr:uid="{00000000-0005-0000-0000-0000D5520000}"/>
    <cellStyle name="Normal 2 2 2 2 32 7 5" xfId="20398" xr:uid="{00000000-0005-0000-0000-0000D6520000}"/>
    <cellStyle name="Normal 2 2 2 2 32 7 6" xfId="20399" xr:uid="{00000000-0005-0000-0000-0000D7520000}"/>
    <cellStyle name="Normal 2 2 2 2 32 8" xfId="20400" xr:uid="{00000000-0005-0000-0000-0000D8520000}"/>
    <cellStyle name="Normal 2 2 2 2 32 8 2" xfId="20401" xr:uid="{00000000-0005-0000-0000-0000D9520000}"/>
    <cellStyle name="Normal 2 2 2 2 32 8 3" xfId="20402" xr:uid="{00000000-0005-0000-0000-0000DA520000}"/>
    <cellStyle name="Normal 2 2 2 2 32 8 4" xfId="20403" xr:uid="{00000000-0005-0000-0000-0000DB520000}"/>
    <cellStyle name="Normal 2 2 2 2 32 8 5" xfId="20404" xr:uid="{00000000-0005-0000-0000-0000DC520000}"/>
    <cellStyle name="Normal 2 2 2 2 32 8 6" xfId="20405" xr:uid="{00000000-0005-0000-0000-0000DD520000}"/>
    <cellStyle name="Normal 2 2 2 2 32 9" xfId="20406" xr:uid="{00000000-0005-0000-0000-0000DE520000}"/>
    <cellStyle name="Normal 2 2 2 2 33" xfId="20407" xr:uid="{00000000-0005-0000-0000-0000DF520000}"/>
    <cellStyle name="Normal 2 2 2 2 33 10" xfId="20408" xr:uid="{00000000-0005-0000-0000-0000E0520000}"/>
    <cellStyle name="Normal 2 2 2 2 33 11" xfId="20409" xr:uid="{00000000-0005-0000-0000-0000E1520000}"/>
    <cellStyle name="Normal 2 2 2 2 33 12" xfId="20410" xr:uid="{00000000-0005-0000-0000-0000E2520000}"/>
    <cellStyle name="Normal 2 2 2 2 33 13" xfId="20411" xr:uid="{00000000-0005-0000-0000-0000E3520000}"/>
    <cellStyle name="Normal 2 2 2 2 33 2" xfId="20412" xr:uid="{00000000-0005-0000-0000-0000E4520000}"/>
    <cellStyle name="Normal 2 2 2 2 33 2 2" xfId="20413" xr:uid="{00000000-0005-0000-0000-0000E5520000}"/>
    <cellStyle name="Normal 2 2 2 2 33 2 3" xfId="20414" xr:uid="{00000000-0005-0000-0000-0000E6520000}"/>
    <cellStyle name="Normal 2 2 2 2 33 2 4" xfId="20415" xr:uid="{00000000-0005-0000-0000-0000E7520000}"/>
    <cellStyle name="Normal 2 2 2 2 33 2 5" xfId="20416" xr:uid="{00000000-0005-0000-0000-0000E8520000}"/>
    <cellStyle name="Normal 2 2 2 2 33 2 6" xfId="20417" xr:uid="{00000000-0005-0000-0000-0000E9520000}"/>
    <cellStyle name="Normal 2 2 2 2 33 3" xfId="20418" xr:uid="{00000000-0005-0000-0000-0000EA520000}"/>
    <cellStyle name="Normal 2 2 2 2 33 3 2" xfId="20419" xr:uid="{00000000-0005-0000-0000-0000EB520000}"/>
    <cellStyle name="Normal 2 2 2 2 33 3 3" xfId="20420" xr:uid="{00000000-0005-0000-0000-0000EC520000}"/>
    <cellStyle name="Normal 2 2 2 2 33 3 4" xfId="20421" xr:uid="{00000000-0005-0000-0000-0000ED520000}"/>
    <cellStyle name="Normal 2 2 2 2 33 3 5" xfId="20422" xr:uid="{00000000-0005-0000-0000-0000EE520000}"/>
    <cellStyle name="Normal 2 2 2 2 33 3 6" xfId="20423" xr:uid="{00000000-0005-0000-0000-0000EF520000}"/>
    <cellStyle name="Normal 2 2 2 2 33 4" xfId="20424" xr:uid="{00000000-0005-0000-0000-0000F0520000}"/>
    <cellStyle name="Normal 2 2 2 2 33 4 2" xfId="20425" xr:uid="{00000000-0005-0000-0000-0000F1520000}"/>
    <cellStyle name="Normal 2 2 2 2 33 4 3" xfId="20426" xr:uid="{00000000-0005-0000-0000-0000F2520000}"/>
    <cellStyle name="Normal 2 2 2 2 33 4 4" xfId="20427" xr:uid="{00000000-0005-0000-0000-0000F3520000}"/>
    <cellStyle name="Normal 2 2 2 2 33 4 5" xfId="20428" xr:uid="{00000000-0005-0000-0000-0000F4520000}"/>
    <cellStyle name="Normal 2 2 2 2 33 4 6" xfId="20429" xr:uid="{00000000-0005-0000-0000-0000F5520000}"/>
    <cellStyle name="Normal 2 2 2 2 33 5" xfId="20430" xr:uid="{00000000-0005-0000-0000-0000F6520000}"/>
    <cellStyle name="Normal 2 2 2 2 33 5 2" xfId="20431" xr:uid="{00000000-0005-0000-0000-0000F7520000}"/>
    <cellStyle name="Normal 2 2 2 2 33 5 3" xfId="20432" xr:uid="{00000000-0005-0000-0000-0000F8520000}"/>
    <cellStyle name="Normal 2 2 2 2 33 5 4" xfId="20433" xr:uid="{00000000-0005-0000-0000-0000F9520000}"/>
    <cellStyle name="Normal 2 2 2 2 33 5 5" xfId="20434" xr:uid="{00000000-0005-0000-0000-0000FA520000}"/>
    <cellStyle name="Normal 2 2 2 2 33 5 6" xfId="20435" xr:uid="{00000000-0005-0000-0000-0000FB520000}"/>
    <cellStyle name="Normal 2 2 2 2 33 6" xfId="20436" xr:uid="{00000000-0005-0000-0000-0000FC520000}"/>
    <cellStyle name="Normal 2 2 2 2 33 6 2" xfId="20437" xr:uid="{00000000-0005-0000-0000-0000FD520000}"/>
    <cellStyle name="Normal 2 2 2 2 33 6 3" xfId="20438" xr:uid="{00000000-0005-0000-0000-0000FE520000}"/>
    <cellStyle name="Normal 2 2 2 2 33 6 4" xfId="20439" xr:uid="{00000000-0005-0000-0000-0000FF520000}"/>
    <cellStyle name="Normal 2 2 2 2 33 6 5" xfId="20440" xr:uid="{00000000-0005-0000-0000-000000530000}"/>
    <cellStyle name="Normal 2 2 2 2 33 6 6" xfId="20441" xr:uid="{00000000-0005-0000-0000-000001530000}"/>
    <cellStyle name="Normal 2 2 2 2 33 7" xfId="20442" xr:uid="{00000000-0005-0000-0000-000002530000}"/>
    <cellStyle name="Normal 2 2 2 2 33 7 2" xfId="20443" xr:uid="{00000000-0005-0000-0000-000003530000}"/>
    <cellStyle name="Normal 2 2 2 2 33 7 3" xfId="20444" xr:uid="{00000000-0005-0000-0000-000004530000}"/>
    <cellStyle name="Normal 2 2 2 2 33 7 4" xfId="20445" xr:uid="{00000000-0005-0000-0000-000005530000}"/>
    <cellStyle name="Normal 2 2 2 2 33 7 5" xfId="20446" xr:uid="{00000000-0005-0000-0000-000006530000}"/>
    <cellStyle name="Normal 2 2 2 2 33 7 6" xfId="20447" xr:uid="{00000000-0005-0000-0000-000007530000}"/>
    <cellStyle name="Normal 2 2 2 2 33 8" xfId="20448" xr:uid="{00000000-0005-0000-0000-000008530000}"/>
    <cellStyle name="Normal 2 2 2 2 33 8 2" xfId="20449" xr:uid="{00000000-0005-0000-0000-000009530000}"/>
    <cellStyle name="Normal 2 2 2 2 33 8 3" xfId="20450" xr:uid="{00000000-0005-0000-0000-00000A530000}"/>
    <cellStyle name="Normal 2 2 2 2 33 8 4" xfId="20451" xr:uid="{00000000-0005-0000-0000-00000B530000}"/>
    <cellStyle name="Normal 2 2 2 2 33 8 5" xfId="20452" xr:uid="{00000000-0005-0000-0000-00000C530000}"/>
    <cellStyle name="Normal 2 2 2 2 33 8 6" xfId="20453" xr:uid="{00000000-0005-0000-0000-00000D530000}"/>
    <cellStyle name="Normal 2 2 2 2 33 9" xfId="20454" xr:uid="{00000000-0005-0000-0000-00000E530000}"/>
    <cellStyle name="Normal 2 2 2 2 34" xfId="20455" xr:uid="{00000000-0005-0000-0000-00000F530000}"/>
    <cellStyle name="Normal 2 2 2 2 34 10" xfId="20456" xr:uid="{00000000-0005-0000-0000-000010530000}"/>
    <cellStyle name="Normal 2 2 2 2 34 11" xfId="20457" xr:uid="{00000000-0005-0000-0000-000011530000}"/>
    <cellStyle name="Normal 2 2 2 2 34 12" xfId="20458" xr:uid="{00000000-0005-0000-0000-000012530000}"/>
    <cellStyle name="Normal 2 2 2 2 34 13" xfId="20459" xr:uid="{00000000-0005-0000-0000-000013530000}"/>
    <cellStyle name="Normal 2 2 2 2 34 2" xfId="20460" xr:uid="{00000000-0005-0000-0000-000014530000}"/>
    <cellStyle name="Normal 2 2 2 2 34 2 2" xfId="20461" xr:uid="{00000000-0005-0000-0000-000015530000}"/>
    <cellStyle name="Normal 2 2 2 2 34 2 3" xfId="20462" xr:uid="{00000000-0005-0000-0000-000016530000}"/>
    <cellStyle name="Normal 2 2 2 2 34 2 4" xfId="20463" xr:uid="{00000000-0005-0000-0000-000017530000}"/>
    <cellStyle name="Normal 2 2 2 2 34 2 5" xfId="20464" xr:uid="{00000000-0005-0000-0000-000018530000}"/>
    <cellStyle name="Normal 2 2 2 2 34 2 6" xfId="20465" xr:uid="{00000000-0005-0000-0000-000019530000}"/>
    <cellStyle name="Normal 2 2 2 2 34 3" xfId="20466" xr:uid="{00000000-0005-0000-0000-00001A530000}"/>
    <cellStyle name="Normal 2 2 2 2 34 3 2" xfId="20467" xr:uid="{00000000-0005-0000-0000-00001B530000}"/>
    <cellStyle name="Normal 2 2 2 2 34 3 3" xfId="20468" xr:uid="{00000000-0005-0000-0000-00001C530000}"/>
    <cellStyle name="Normal 2 2 2 2 34 3 4" xfId="20469" xr:uid="{00000000-0005-0000-0000-00001D530000}"/>
    <cellStyle name="Normal 2 2 2 2 34 3 5" xfId="20470" xr:uid="{00000000-0005-0000-0000-00001E530000}"/>
    <cellStyle name="Normal 2 2 2 2 34 3 6" xfId="20471" xr:uid="{00000000-0005-0000-0000-00001F530000}"/>
    <cellStyle name="Normal 2 2 2 2 34 4" xfId="20472" xr:uid="{00000000-0005-0000-0000-000020530000}"/>
    <cellStyle name="Normal 2 2 2 2 34 4 2" xfId="20473" xr:uid="{00000000-0005-0000-0000-000021530000}"/>
    <cellStyle name="Normal 2 2 2 2 34 4 3" xfId="20474" xr:uid="{00000000-0005-0000-0000-000022530000}"/>
    <cellStyle name="Normal 2 2 2 2 34 4 4" xfId="20475" xr:uid="{00000000-0005-0000-0000-000023530000}"/>
    <cellStyle name="Normal 2 2 2 2 34 4 5" xfId="20476" xr:uid="{00000000-0005-0000-0000-000024530000}"/>
    <cellStyle name="Normal 2 2 2 2 34 4 6" xfId="20477" xr:uid="{00000000-0005-0000-0000-000025530000}"/>
    <cellStyle name="Normal 2 2 2 2 34 5" xfId="20478" xr:uid="{00000000-0005-0000-0000-000026530000}"/>
    <cellStyle name="Normal 2 2 2 2 34 5 2" xfId="20479" xr:uid="{00000000-0005-0000-0000-000027530000}"/>
    <cellStyle name="Normal 2 2 2 2 34 5 3" xfId="20480" xr:uid="{00000000-0005-0000-0000-000028530000}"/>
    <cellStyle name="Normal 2 2 2 2 34 5 4" xfId="20481" xr:uid="{00000000-0005-0000-0000-000029530000}"/>
    <cellStyle name="Normal 2 2 2 2 34 5 5" xfId="20482" xr:uid="{00000000-0005-0000-0000-00002A530000}"/>
    <cellStyle name="Normal 2 2 2 2 34 5 6" xfId="20483" xr:uid="{00000000-0005-0000-0000-00002B530000}"/>
    <cellStyle name="Normal 2 2 2 2 34 6" xfId="20484" xr:uid="{00000000-0005-0000-0000-00002C530000}"/>
    <cellStyle name="Normal 2 2 2 2 34 6 2" xfId="20485" xr:uid="{00000000-0005-0000-0000-00002D530000}"/>
    <cellStyle name="Normal 2 2 2 2 34 6 3" xfId="20486" xr:uid="{00000000-0005-0000-0000-00002E530000}"/>
    <cellStyle name="Normal 2 2 2 2 34 6 4" xfId="20487" xr:uid="{00000000-0005-0000-0000-00002F530000}"/>
    <cellStyle name="Normal 2 2 2 2 34 6 5" xfId="20488" xr:uid="{00000000-0005-0000-0000-000030530000}"/>
    <cellStyle name="Normal 2 2 2 2 34 6 6" xfId="20489" xr:uid="{00000000-0005-0000-0000-000031530000}"/>
    <cellStyle name="Normal 2 2 2 2 34 7" xfId="20490" xr:uid="{00000000-0005-0000-0000-000032530000}"/>
    <cellStyle name="Normal 2 2 2 2 34 7 2" xfId="20491" xr:uid="{00000000-0005-0000-0000-000033530000}"/>
    <cellStyle name="Normal 2 2 2 2 34 7 3" xfId="20492" xr:uid="{00000000-0005-0000-0000-000034530000}"/>
    <cellStyle name="Normal 2 2 2 2 34 7 4" xfId="20493" xr:uid="{00000000-0005-0000-0000-000035530000}"/>
    <cellStyle name="Normal 2 2 2 2 34 7 5" xfId="20494" xr:uid="{00000000-0005-0000-0000-000036530000}"/>
    <cellStyle name="Normal 2 2 2 2 34 7 6" xfId="20495" xr:uid="{00000000-0005-0000-0000-000037530000}"/>
    <cellStyle name="Normal 2 2 2 2 34 8" xfId="20496" xr:uid="{00000000-0005-0000-0000-000038530000}"/>
    <cellStyle name="Normal 2 2 2 2 34 8 2" xfId="20497" xr:uid="{00000000-0005-0000-0000-000039530000}"/>
    <cellStyle name="Normal 2 2 2 2 34 8 3" xfId="20498" xr:uid="{00000000-0005-0000-0000-00003A530000}"/>
    <cellStyle name="Normal 2 2 2 2 34 8 4" xfId="20499" xr:uid="{00000000-0005-0000-0000-00003B530000}"/>
    <cellStyle name="Normal 2 2 2 2 34 8 5" xfId="20500" xr:uid="{00000000-0005-0000-0000-00003C530000}"/>
    <cellStyle name="Normal 2 2 2 2 34 8 6" xfId="20501" xr:uid="{00000000-0005-0000-0000-00003D530000}"/>
    <cellStyle name="Normal 2 2 2 2 34 9" xfId="20502" xr:uid="{00000000-0005-0000-0000-00003E530000}"/>
    <cellStyle name="Normal 2 2 2 2 35" xfId="20503" xr:uid="{00000000-0005-0000-0000-00003F530000}"/>
    <cellStyle name="Normal 2 2 2 2 35 10" xfId="20504" xr:uid="{00000000-0005-0000-0000-000040530000}"/>
    <cellStyle name="Normal 2 2 2 2 35 11" xfId="20505" xr:uid="{00000000-0005-0000-0000-000041530000}"/>
    <cellStyle name="Normal 2 2 2 2 35 12" xfId="20506" xr:uid="{00000000-0005-0000-0000-000042530000}"/>
    <cellStyle name="Normal 2 2 2 2 35 13" xfId="20507" xr:uid="{00000000-0005-0000-0000-000043530000}"/>
    <cellStyle name="Normal 2 2 2 2 35 2" xfId="20508" xr:uid="{00000000-0005-0000-0000-000044530000}"/>
    <cellStyle name="Normal 2 2 2 2 35 2 2" xfId="20509" xr:uid="{00000000-0005-0000-0000-000045530000}"/>
    <cellStyle name="Normal 2 2 2 2 35 2 3" xfId="20510" xr:uid="{00000000-0005-0000-0000-000046530000}"/>
    <cellStyle name="Normal 2 2 2 2 35 2 4" xfId="20511" xr:uid="{00000000-0005-0000-0000-000047530000}"/>
    <cellStyle name="Normal 2 2 2 2 35 2 5" xfId="20512" xr:uid="{00000000-0005-0000-0000-000048530000}"/>
    <cellStyle name="Normal 2 2 2 2 35 2 6" xfId="20513" xr:uid="{00000000-0005-0000-0000-000049530000}"/>
    <cellStyle name="Normal 2 2 2 2 35 3" xfId="20514" xr:uid="{00000000-0005-0000-0000-00004A530000}"/>
    <cellStyle name="Normal 2 2 2 2 35 3 2" xfId="20515" xr:uid="{00000000-0005-0000-0000-00004B530000}"/>
    <cellStyle name="Normal 2 2 2 2 35 3 3" xfId="20516" xr:uid="{00000000-0005-0000-0000-00004C530000}"/>
    <cellStyle name="Normal 2 2 2 2 35 3 4" xfId="20517" xr:uid="{00000000-0005-0000-0000-00004D530000}"/>
    <cellStyle name="Normal 2 2 2 2 35 3 5" xfId="20518" xr:uid="{00000000-0005-0000-0000-00004E530000}"/>
    <cellStyle name="Normal 2 2 2 2 35 3 6" xfId="20519" xr:uid="{00000000-0005-0000-0000-00004F530000}"/>
    <cellStyle name="Normal 2 2 2 2 35 4" xfId="20520" xr:uid="{00000000-0005-0000-0000-000050530000}"/>
    <cellStyle name="Normal 2 2 2 2 35 4 2" xfId="20521" xr:uid="{00000000-0005-0000-0000-000051530000}"/>
    <cellStyle name="Normal 2 2 2 2 35 4 3" xfId="20522" xr:uid="{00000000-0005-0000-0000-000052530000}"/>
    <cellStyle name="Normal 2 2 2 2 35 4 4" xfId="20523" xr:uid="{00000000-0005-0000-0000-000053530000}"/>
    <cellStyle name="Normal 2 2 2 2 35 4 5" xfId="20524" xr:uid="{00000000-0005-0000-0000-000054530000}"/>
    <cellStyle name="Normal 2 2 2 2 35 4 6" xfId="20525" xr:uid="{00000000-0005-0000-0000-000055530000}"/>
    <cellStyle name="Normal 2 2 2 2 35 5" xfId="20526" xr:uid="{00000000-0005-0000-0000-000056530000}"/>
    <cellStyle name="Normal 2 2 2 2 35 5 2" xfId="20527" xr:uid="{00000000-0005-0000-0000-000057530000}"/>
    <cellStyle name="Normal 2 2 2 2 35 5 3" xfId="20528" xr:uid="{00000000-0005-0000-0000-000058530000}"/>
    <cellStyle name="Normal 2 2 2 2 35 5 4" xfId="20529" xr:uid="{00000000-0005-0000-0000-000059530000}"/>
    <cellStyle name="Normal 2 2 2 2 35 5 5" xfId="20530" xr:uid="{00000000-0005-0000-0000-00005A530000}"/>
    <cellStyle name="Normal 2 2 2 2 35 5 6" xfId="20531" xr:uid="{00000000-0005-0000-0000-00005B530000}"/>
    <cellStyle name="Normal 2 2 2 2 35 6" xfId="20532" xr:uid="{00000000-0005-0000-0000-00005C530000}"/>
    <cellStyle name="Normal 2 2 2 2 35 6 2" xfId="20533" xr:uid="{00000000-0005-0000-0000-00005D530000}"/>
    <cellStyle name="Normal 2 2 2 2 35 6 3" xfId="20534" xr:uid="{00000000-0005-0000-0000-00005E530000}"/>
    <cellStyle name="Normal 2 2 2 2 35 6 4" xfId="20535" xr:uid="{00000000-0005-0000-0000-00005F530000}"/>
    <cellStyle name="Normal 2 2 2 2 35 6 5" xfId="20536" xr:uid="{00000000-0005-0000-0000-000060530000}"/>
    <cellStyle name="Normal 2 2 2 2 35 6 6" xfId="20537" xr:uid="{00000000-0005-0000-0000-000061530000}"/>
    <cellStyle name="Normal 2 2 2 2 35 7" xfId="20538" xr:uid="{00000000-0005-0000-0000-000062530000}"/>
    <cellStyle name="Normal 2 2 2 2 35 7 2" xfId="20539" xr:uid="{00000000-0005-0000-0000-000063530000}"/>
    <cellStyle name="Normal 2 2 2 2 35 7 3" xfId="20540" xr:uid="{00000000-0005-0000-0000-000064530000}"/>
    <cellStyle name="Normal 2 2 2 2 35 7 4" xfId="20541" xr:uid="{00000000-0005-0000-0000-000065530000}"/>
    <cellStyle name="Normal 2 2 2 2 35 7 5" xfId="20542" xr:uid="{00000000-0005-0000-0000-000066530000}"/>
    <cellStyle name="Normal 2 2 2 2 35 7 6" xfId="20543" xr:uid="{00000000-0005-0000-0000-000067530000}"/>
    <cellStyle name="Normal 2 2 2 2 35 8" xfId="20544" xr:uid="{00000000-0005-0000-0000-000068530000}"/>
    <cellStyle name="Normal 2 2 2 2 35 8 2" xfId="20545" xr:uid="{00000000-0005-0000-0000-000069530000}"/>
    <cellStyle name="Normal 2 2 2 2 35 8 3" xfId="20546" xr:uid="{00000000-0005-0000-0000-00006A530000}"/>
    <cellStyle name="Normal 2 2 2 2 35 8 4" xfId="20547" xr:uid="{00000000-0005-0000-0000-00006B530000}"/>
    <cellStyle name="Normal 2 2 2 2 35 8 5" xfId="20548" xr:uid="{00000000-0005-0000-0000-00006C530000}"/>
    <cellStyle name="Normal 2 2 2 2 35 8 6" xfId="20549" xr:uid="{00000000-0005-0000-0000-00006D530000}"/>
    <cellStyle name="Normal 2 2 2 2 35 9" xfId="20550" xr:uid="{00000000-0005-0000-0000-00006E530000}"/>
    <cellStyle name="Normal 2 2 2 2 36" xfId="20551" xr:uid="{00000000-0005-0000-0000-00006F530000}"/>
    <cellStyle name="Normal 2 2 2 2 36 10" xfId="20552" xr:uid="{00000000-0005-0000-0000-000070530000}"/>
    <cellStyle name="Normal 2 2 2 2 36 11" xfId="20553" xr:uid="{00000000-0005-0000-0000-000071530000}"/>
    <cellStyle name="Normal 2 2 2 2 36 12" xfId="20554" xr:uid="{00000000-0005-0000-0000-000072530000}"/>
    <cellStyle name="Normal 2 2 2 2 36 13" xfId="20555" xr:uid="{00000000-0005-0000-0000-000073530000}"/>
    <cellStyle name="Normal 2 2 2 2 36 2" xfId="20556" xr:uid="{00000000-0005-0000-0000-000074530000}"/>
    <cellStyle name="Normal 2 2 2 2 36 2 2" xfId="20557" xr:uid="{00000000-0005-0000-0000-000075530000}"/>
    <cellStyle name="Normal 2 2 2 2 36 2 3" xfId="20558" xr:uid="{00000000-0005-0000-0000-000076530000}"/>
    <cellStyle name="Normal 2 2 2 2 36 2 4" xfId="20559" xr:uid="{00000000-0005-0000-0000-000077530000}"/>
    <cellStyle name="Normal 2 2 2 2 36 2 5" xfId="20560" xr:uid="{00000000-0005-0000-0000-000078530000}"/>
    <cellStyle name="Normal 2 2 2 2 36 2 6" xfId="20561" xr:uid="{00000000-0005-0000-0000-000079530000}"/>
    <cellStyle name="Normal 2 2 2 2 36 3" xfId="20562" xr:uid="{00000000-0005-0000-0000-00007A530000}"/>
    <cellStyle name="Normal 2 2 2 2 36 3 2" xfId="20563" xr:uid="{00000000-0005-0000-0000-00007B530000}"/>
    <cellStyle name="Normal 2 2 2 2 36 3 3" xfId="20564" xr:uid="{00000000-0005-0000-0000-00007C530000}"/>
    <cellStyle name="Normal 2 2 2 2 36 3 4" xfId="20565" xr:uid="{00000000-0005-0000-0000-00007D530000}"/>
    <cellStyle name="Normal 2 2 2 2 36 3 5" xfId="20566" xr:uid="{00000000-0005-0000-0000-00007E530000}"/>
    <cellStyle name="Normal 2 2 2 2 36 3 6" xfId="20567" xr:uid="{00000000-0005-0000-0000-00007F530000}"/>
    <cellStyle name="Normal 2 2 2 2 36 4" xfId="20568" xr:uid="{00000000-0005-0000-0000-000080530000}"/>
    <cellStyle name="Normal 2 2 2 2 36 4 2" xfId="20569" xr:uid="{00000000-0005-0000-0000-000081530000}"/>
    <cellStyle name="Normal 2 2 2 2 36 4 3" xfId="20570" xr:uid="{00000000-0005-0000-0000-000082530000}"/>
    <cellStyle name="Normal 2 2 2 2 36 4 4" xfId="20571" xr:uid="{00000000-0005-0000-0000-000083530000}"/>
    <cellStyle name="Normal 2 2 2 2 36 4 5" xfId="20572" xr:uid="{00000000-0005-0000-0000-000084530000}"/>
    <cellStyle name="Normal 2 2 2 2 36 4 6" xfId="20573" xr:uid="{00000000-0005-0000-0000-000085530000}"/>
    <cellStyle name="Normal 2 2 2 2 36 5" xfId="20574" xr:uid="{00000000-0005-0000-0000-000086530000}"/>
    <cellStyle name="Normal 2 2 2 2 36 5 2" xfId="20575" xr:uid="{00000000-0005-0000-0000-000087530000}"/>
    <cellStyle name="Normal 2 2 2 2 36 5 3" xfId="20576" xr:uid="{00000000-0005-0000-0000-000088530000}"/>
    <cellStyle name="Normal 2 2 2 2 36 5 4" xfId="20577" xr:uid="{00000000-0005-0000-0000-000089530000}"/>
    <cellStyle name="Normal 2 2 2 2 36 5 5" xfId="20578" xr:uid="{00000000-0005-0000-0000-00008A530000}"/>
    <cellStyle name="Normal 2 2 2 2 36 5 6" xfId="20579" xr:uid="{00000000-0005-0000-0000-00008B530000}"/>
    <cellStyle name="Normal 2 2 2 2 36 6" xfId="20580" xr:uid="{00000000-0005-0000-0000-00008C530000}"/>
    <cellStyle name="Normal 2 2 2 2 36 6 2" xfId="20581" xr:uid="{00000000-0005-0000-0000-00008D530000}"/>
    <cellStyle name="Normal 2 2 2 2 36 6 3" xfId="20582" xr:uid="{00000000-0005-0000-0000-00008E530000}"/>
    <cellStyle name="Normal 2 2 2 2 36 6 4" xfId="20583" xr:uid="{00000000-0005-0000-0000-00008F530000}"/>
    <cellStyle name="Normal 2 2 2 2 36 6 5" xfId="20584" xr:uid="{00000000-0005-0000-0000-000090530000}"/>
    <cellStyle name="Normal 2 2 2 2 36 6 6" xfId="20585" xr:uid="{00000000-0005-0000-0000-000091530000}"/>
    <cellStyle name="Normal 2 2 2 2 36 7" xfId="20586" xr:uid="{00000000-0005-0000-0000-000092530000}"/>
    <cellStyle name="Normal 2 2 2 2 36 7 2" xfId="20587" xr:uid="{00000000-0005-0000-0000-000093530000}"/>
    <cellStyle name="Normal 2 2 2 2 36 7 3" xfId="20588" xr:uid="{00000000-0005-0000-0000-000094530000}"/>
    <cellStyle name="Normal 2 2 2 2 36 7 4" xfId="20589" xr:uid="{00000000-0005-0000-0000-000095530000}"/>
    <cellStyle name="Normal 2 2 2 2 36 7 5" xfId="20590" xr:uid="{00000000-0005-0000-0000-000096530000}"/>
    <cellStyle name="Normal 2 2 2 2 36 7 6" xfId="20591" xr:uid="{00000000-0005-0000-0000-000097530000}"/>
    <cellStyle name="Normal 2 2 2 2 36 8" xfId="20592" xr:uid="{00000000-0005-0000-0000-000098530000}"/>
    <cellStyle name="Normal 2 2 2 2 36 8 2" xfId="20593" xr:uid="{00000000-0005-0000-0000-000099530000}"/>
    <cellStyle name="Normal 2 2 2 2 36 8 3" xfId="20594" xr:uid="{00000000-0005-0000-0000-00009A530000}"/>
    <cellStyle name="Normal 2 2 2 2 36 8 4" xfId="20595" xr:uid="{00000000-0005-0000-0000-00009B530000}"/>
    <cellStyle name="Normal 2 2 2 2 36 8 5" xfId="20596" xr:uid="{00000000-0005-0000-0000-00009C530000}"/>
    <cellStyle name="Normal 2 2 2 2 36 8 6" xfId="20597" xr:uid="{00000000-0005-0000-0000-00009D530000}"/>
    <cellStyle name="Normal 2 2 2 2 36 9" xfId="20598" xr:uid="{00000000-0005-0000-0000-00009E530000}"/>
    <cellStyle name="Normal 2 2 2 2 37" xfId="20599" xr:uid="{00000000-0005-0000-0000-00009F530000}"/>
    <cellStyle name="Normal 2 2 2 2 37 10" xfId="20600" xr:uid="{00000000-0005-0000-0000-0000A0530000}"/>
    <cellStyle name="Normal 2 2 2 2 37 11" xfId="20601" xr:uid="{00000000-0005-0000-0000-0000A1530000}"/>
    <cellStyle name="Normal 2 2 2 2 37 2" xfId="20602" xr:uid="{00000000-0005-0000-0000-0000A2530000}"/>
    <cellStyle name="Normal 2 2 2 2 37 3" xfId="20603" xr:uid="{00000000-0005-0000-0000-0000A3530000}"/>
    <cellStyle name="Normal 2 2 2 2 37 4" xfId="20604" xr:uid="{00000000-0005-0000-0000-0000A4530000}"/>
    <cellStyle name="Normal 2 2 2 2 37 5" xfId="20605" xr:uid="{00000000-0005-0000-0000-0000A5530000}"/>
    <cellStyle name="Normal 2 2 2 2 37 6" xfId="20606" xr:uid="{00000000-0005-0000-0000-0000A6530000}"/>
    <cellStyle name="Normal 2 2 2 2 37 7" xfId="20607" xr:uid="{00000000-0005-0000-0000-0000A7530000}"/>
    <cellStyle name="Normal 2 2 2 2 37 8" xfId="20608" xr:uid="{00000000-0005-0000-0000-0000A8530000}"/>
    <cellStyle name="Normal 2 2 2 2 37 9" xfId="20609" xr:uid="{00000000-0005-0000-0000-0000A9530000}"/>
    <cellStyle name="Normal 2 2 2 2 38" xfId="20610" xr:uid="{00000000-0005-0000-0000-0000AA530000}"/>
    <cellStyle name="Normal 2 2 2 2 39" xfId="20611" xr:uid="{00000000-0005-0000-0000-0000AB530000}"/>
    <cellStyle name="Normal 2 2 2 2 4" xfId="20612" xr:uid="{00000000-0005-0000-0000-0000AC530000}"/>
    <cellStyle name="Normal 2 2 2 2 4 10" xfId="20613" xr:uid="{00000000-0005-0000-0000-0000AD530000}"/>
    <cellStyle name="Normal 2 2 2 2 4 11" xfId="20614" xr:uid="{00000000-0005-0000-0000-0000AE530000}"/>
    <cellStyle name="Normal 2 2 2 2 4 12" xfId="20615" xr:uid="{00000000-0005-0000-0000-0000AF530000}"/>
    <cellStyle name="Normal 2 2 2 2 4 13" xfId="20616" xr:uid="{00000000-0005-0000-0000-0000B0530000}"/>
    <cellStyle name="Normal 2 2 2 2 4 14" xfId="20617" xr:uid="{00000000-0005-0000-0000-0000B1530000}"/>
    <cellStyle name="Normal 2 2 2 2 4 2" xfId="20618" xr:uid="{00000000-0005-0000-0000-0000B2530000}"/>
    <cellStyle name="Normal 2 2 2 2 4 2 2" xfId="20619" xr:uid="{00000000-0005-0000-0000-0000B3530000}"/>
    <cellStyle name="Normal 2 2 2 2 4 2 3" xfId="20620" xr:uid="{00000000-0005-0000-0000-0000B4530000}"/>
    <cellStyle name="Normal 2 2 2 2 4 2 4" xfId="20621" xr:uid="{00000000-0005-0000-0000-0000B5530000}"/>
    <cellStyle name="Normal 2 2 2 2 4 2 5" xfId="20622" xr:uid="{00000000-0005-0000-0000-0000B6530000}"/>
    <cellStyle name="Normal 2 2 2 2 4 2 6" xfId="20623" xr:uid="{00000000-0005-0000-0000-0000B7530000}"/>
    <cellStyle name="Normal 2 2 2 2 4 3" xfId="20624" xr:uid="{00000000-0005-0000-0000-0000B8530000}"/>
    <cellStyle name="Normal 2 2 2 2 4 3 2" xfId="20625" xr:uid="{00000000-0005-0000-0000-0000B9530000}"/>
    <cellStyle name="Normal 2 2 2 2 4 3 3" xfId="20626" xr:uid="{00000000-0005-0000-0000-0000BA530000}"/>
    <cellStyle name="Normal 2 2 2 2 4 3 4" xfId="20627" xr:uid="{00000000-0005-0000-0000-0000BB530000}"/>
    <cellStyle name="Normal 2 2 2 2 4 3 5" xfId="20628" xr:uid="{00000000-0005-0000-0000-0000BC530000}"/>
    <cellStyle name="Normal 2 2 2 2 4 3 6" xfId="20629" xr:uid="{00000000-0005-0000-0000-0000BD530000}"/>
    <cellStyle name="Normal 2 2 2 2 4 4" xfId="20630" xr:uid="{00000000-0005-0000-0000-0000BE530000}"/>
    <cellStyle name="Normal 2 2 2 2 4 4 2" xfId="20631" xr:uid="{00000000-0005-0000-0000-0000BF530000}"/>
    <cellStyle name="Normal 2 2 2 2 4 4 3" xfId="20632" xr:uid="{00000000-0005-0000-0000-0000C0530000}"/>
    <cellStyle name="Normal 2 2 2 2 4 4 4" xfId="20633" xr:uid="{00000000-0005-0000-0000-0000C1530000}"/>
    <cellStyle name="Normal 2 2 2 2 4 4 5" xfId="20634" xr:uid="{00000000-0005-0000-0000-0000C2530000}"/>
    <cellStyle name="Normal 2 2 2 2 4 4 6" xfId="20635" xr:uid="{00000000-0005-0000-0000-0000C3530000}"/>
    <cellStyle name="Normal 2 2 2 2 4 5" xfId="20636" xr:uid="{00000000-0005-0000-0000-0000C4530000}"/>
    <cellStyle name="Normal 2 2 2 2 4 5 2" xfId="20637" xr:uid="{00000000-0005-0000-0000-0000C5530000}"/>
    <cellStyle name="Normal 2 2 2 2 4 5 3" xfId="20638" xr:uid="{00000000-0005-0000-0000-0000C6530000}"/>
    <cellStyle name="Normal 2 2 2 2 4 5 4" xfId="20639" xr:uid="{00000000-0005-0000-0000-0000C7530000}"/>
    <cellStyle name="Normal 2 2 2 2 4 5 5" xfId="20640" xr:uid="{00000000-0005-0000-0000-0000C8530000}"/>
    <cellStyle name="Normal 2 2 2 2 4 5 6" xfId="20641" xr:uid="{00000000-0005-0000-0000-0000C9530000}"/>
    <cellStyle name="Normal 2 2 2 2 4 6" xfId="20642" xr:uid="{00000000-0005-0000-0000-0000CA530000}"/>
    <cellStyle name="Normal 2 2 2 2 4 6 2" xfId="20643" xr:uid="{00000000-0005-0000-0000-0000CB530000}"/>
    <cellStyle name="Normal 2 2 2 2 4 6 3" xfId="20644" xr:uid="{00000000-0005-0000-0000-0000CC530000}"/>
    <cellStyle name="Normal 2 2 2 2 4 6 4" xfId="20645" xr:uid="{00000000-0005-0000-0000-0000CD530000}"/>
    <cellStyle name="Normal 2 2 2 2 4 6 5" xfId="20646" xr:uid="{00000000-0005-0000-0000-0000CE530000}"/>
    <cellStyle name="Normal 2 2 2 2 4 6 6" xfId="20647" xr:uid="{00000000-0005-0000-0000-0000CF530000}"/>
    <cellStyle name="Normal 2 2 2 2 4 7" xfId="20648" xr:uid="{00000000-0005-0000-0000-0000D0530000}"/>
    <cellStyle name="Normal 2 2 2 2 4 7 2" xfId="20649" xr:uid="{00000000-0005-0000-0000-0000D1530000}"/>
    <cellStyle name="Normal 2 2 2 2 4 7 3" xfId="20650" xr:uid="{00000000-0005-0000-0000-0000D2530000}"/>
    <cellStyle name="Normal 2 2 2 2 4 7 4" xfId="20651" xr:uid="{00000000-0005-0000-0000-0000D3530000}"/>
    <cellStyle name="Normal 2 2 2 2 4 7 5" xfId="20652" xr:uid="{00000000-0005-0000-0000-0000D4530000}"/>
    <cellStyle name="Normal 2 2 2 2 4 7 6" xfId="20653" xr:uid="{00000000-0005-0000-0000-0000D5530000}"/>
    <cellStyle name="Normal 2 2 2 2 4 8" xfId="20654" xr:uid="{00000000-0005-0000-0000-0000D6530000}"/>
    <cellStyle name="Normal 2 2 2 2 4 8 2" xfId="20655" xr:uid="{00000000-0005-0000-0000-0000D7530000}"/>
    <cellStyle name="Normal 2 2 2 2 4 8 3" xfId="20656" xr:uid="{00000000-0005-0000-0000-0000D8530000}"/>
    <cellStyle name="Normal 2 2 2 2 4 8 4" xfId="20657" xr:uid="{00000000-0005-0000-0000-0000D9530000}"/>
    <cellStyle name="Normal 2 2 2 2 4 8 5" xfId="20658" xr:uid="{00000000-0005-0000-0000-0000DA530000}"/>
    <cellStyle name="Normal 2 2 2 2 4 8 6" xfId="20659" xr:uid="{00000000-0005-0000-0000-0000DB530000}"/>
    <cellStyle name="Normal 2 2 2 2 4 9" xfId="20660" xr:uid="{00000000-0005-0000-0000-0000DC530000}"/>
    <cellStyle name="Normal 2 2 2 2 40" xfId="20661" xr:uid="{00000000-0005-0000-0000-0000DD530000}"/>
    <cellStyle name="Normal 2 2 2 2 41" xfId="20662" xr:uid="{00000000-0005-0000-0000-0000DE530000}"/>
    <cellStyle name="Normal 2 2 2 2 42" xfId="20663" xr:uid="{00000000-0005-0000-0000-0000DF530000}"/>
    <cellStyle name="Normal 2 2 2 2 43" xfId="20664" xr:uid="{00000000-0005-0000-0000-0000E0530000}"/>
    <cellStyle name="Normal 2 2 2 2 44" xfId="20665" xr:uid="{00000000-0005-0000-0000-0000E1530000}"/>
    <cellStyle name="Normal 2 2 2 2 45" xfId="20666" xr:uid="{00000000-0005-0000-0000-0000E2530000}"/>
    <cellStyle name="Normal 2 2 2 2 46" xfId="20667" xr:uid="{00000000-0005-0000-0000-0000E3530000}"/>
    <cellStyle name="Normal 2 2 2 2 47" xfId="20668" xr:uid="{00000000-0005-0000-0000-0000E4530000}"/>
    <cellStyle name="Normal 2 2 2 2 48" xfId="20669" xr:uid="{00000000-0005-0000-0000-0000E5530000}"/>
    <cellStyle name="Normal 2 2 2 2 49" xfId="20670" xr:uid="{00000000-0005-0000-0000-0000E6530000}"/>
    <cellStyle name="Normal 2 2 2 2 5" xfId="20671" xr:uid="{00000000-0005-0000-0000-0000E7530000}"/>
    <cellStyle name="Normal 2 2 2 2 5 10" xfId="20672" xr:uid="{00000000-0005-0000-0000-0000E8530000}"/>
    <cellStyle name="Normal 2 2 2 2 5 11" xfId="20673" xr:uid="{00000000-0005-0000-0000-0000E9530000}"/>
    <cellStyle name="Normal 2 2 2 2 5 12" xfId="20674" xr:uid="{00000000-0005-0000-0000-0000EA530000}"/>
    <cellStyle name="Normal 2 2 2 2 5 13" xfId="20675" xr:uid="{00000000-0005-0000-0000-0000EB530000}"/>
    <cellStyle name="Normal 2 2 2 2 5 2" xfId="20676" xr:uid="{00000000-0005-0000-0000-0000EC530000}"/>
    <cellStyle name="Normal 2 2 2 2 5 2 2" xfId="20677" xr:uid="{00000000-0005-0000-0000-0000ED530000}"/>
    <cellStyle name="Normal 2 2 2 2 5 2 3" xfId="20678" xr:uid="{00000000-0005-0000-0000-0000EE530000}"/>
    <cellStyle name="Normal 2 2 2 2 5 2 4" xfId="20679" xr:uid="{00000000-0005-0000-0000-0000EF530000}"/>
    <cellStyle name="Normal 2 2 2 2 5 2 5" xfId="20680" xr:uid="{00000000-0005-0000-0000-0000F0530000}"/>
    <cellStyle name="Normal 2 2 2 2 5 2 6" xfId="20681" xr:uid="{00000000-0005-0000-0000-0000F1530000}"/>
    <cellStyle name="Normal 2 2 2 2 5 3" xfId="20682" xr:uid="{00000000-0005-0000-0000-0000F2530000}"/>
    <cellStyle name="Normal 2 2 2 2 5 3 2" xfId="20683" xr:uid="{00000000-0005-0000-0000-0000F3530000}"/>
    <cellStyle name="Normal 2 2 2 2 5 3 3" xfId="20684" xr:uid="{00000000-0005-0000-0000-0000F4530000}"/>
    <cellStyle name="Normal 2 2 2 2 5 3 4" xfId="20685" xr:uid="{00000000-0005-0000-0000-0000F5530000}"/>
    <cellStyle name="Normal 2 2 2 2 5 3 5" xfId="20686" xr:uid="{00000000-0005-0000-0000-0000F6530000}"/>
    <cellStyle name="Normal 2 2 2 2 5 3 6" xfId="20687" xr:uid="{00000000-0005-0000-0000-0000F7530000}"/>
    <cellStyle name="Normal 2 2 2 2 5 4" xfId="20688" xr:uid="{00000000-0005-0000-0000-0000F8530000}"/>
    <cellStyle name="Normal 2 2 2 2 5 4 2" xfId="20689" xr:uid="{00000000-0005-0000-0000-0000F9530000}"/>
    <cellStyle name="Normal 2 2 2 2 5 4 3" xfId="20690" xr:uid="{00000000-0005-0000-0000-0000FA530000}"/>
    <cellStyle name="Normal 2 2 2 2 5 4 4" xfId="20691" xr:uid="{00000000-0005-0000-0000-0000FB530000}"/>
    <cellStyle name="Normal 2 2 2 2 5 4 5" xfId="20692" xr:uid="{00000000-0005-0000-0000-0000FC530000}"/>
    <cellStyle name="Normal 2 2 2 2 5 4 6" xfId="20693" xr:uid="{00000000-0005-0000-0000-0000FD530000}"/>
    <cellStyle name="Normal 2 2 2 2 5 5" xfId="20694" xr:uid="{00000000-0005-0000-0000-0000FE530000}"/>
    <cellStyle name="Normal 2 2 2 2 5 5 2" xfId="20695" xr:uid="{00000000-0005-0000-0000-0000FF530000}"/>
    <cellStyle name="Normal 2 2 2 2 5 5 3" xfId="20696" xr:uid="{00000000-0005-0000-0000-000000540000}"/>
    <cellStyle name="Normal 2 2 2 2 5 5 4" xfId="20697" xr:uid="{00000000-0005-0000-0000-000001540000}"/>
    <cellStyle name="Normal 2 2 2 2 5 5 5" xfId="20698" xr:uid="{00000000-0005-0000-0000-000002540000}"/>
    <cellStyle name="Normal 2 2 2 2 5 5 6" xfId="20699" xr:uid="{00000000-0005-0000-0000-000003540000}"/>
    <cellStyle name="Normal 2 2 2 2 5 6" xfId="20700" xr:uid="{00000000-0005-0000-0000-000004540000}"/>
    <cellStyle name="Normal 2 2 2 2 5 6 2" xfId="20701" xr:uid="{00000000-0005-0000-0000-000005540000}"/>
    <cellStyle name="Normal 2 2 2 2 5 6 3" xfId="20702" xr:uid="{00000000-0005-0000-0000-000006540000}"/>
    <cellStyle name="Normal 2 2 2 2 5 6 4" xfId="20703" xr:uid="{00000000-0005-0000-0000-000007540000}"/>
    <cellStyle name="Normal 2 2 2 2 5 6 5" xfId="20704" xr:uid="{00000000-0005-0000-0000-000008540000}"/>
    <cellStyle name="Normal 2 2 2 2 5 6 6" xfId="20705" xr:uid="{00000000-0005-0000-0000-000009540000}"/>
    <cellStyle name="Normal 2 2 2 2 5 7" xfId="20706" xr:uid="{00000000-0005-0000-0000-00000A540000}"/>
    <cellStyle name="Normal 2 2 2 2 5 7 2" xfId="20707" xr:uid="{00000000-0005-0000-0000-00000B540000}"/>
    <cellStyle name="Normal 2 2 2 2 5 7 3" xfId="20708" xr:uid="{00000000-0005-0000-0000-00000C540000}"/>
    <cellStyle name="Normal 2 2 2 2 5 7 4" xfId="20709" xr:uid="{00000000-0005-0000-0000-00000D540000}"/>
    <cellStyle name="Normal 2 2 2 2 5 7 5" xfId="20710" xr:uid="{00000000-0005-0000-0000-00000E540000}"/>
    <cellStyle name="Normal 2 2 2 2 5 7 6" xfId="20711" xr:uid="{00000000-0005-0000-0000-00000F540000}"/>
    <cellStyle name="Normal 2 2 2 2 5 8" xfId="20712" xr:uid="{00000000-0005-0000-0000-000010540000}"/>
    <cellStyle name="Normal 2 2 2 2 5 8 2" xfId="20713" xr:uid="{00000000-0005-0000-0000-000011540000}"/>
    <cellStyle name="Normal 2 2 2 2 5 8 3" xfId="20714" xr:uid="{00000000-0005-0000-0000-000012540000}"/>
    <cellStyle name="Normal 2 2 2 2 5 8 4" xfId="20715" xr:uid="{00000000-0005-0000-0000-000013540000}"/>
    <cellStyle name="Normal 2 2 2 2 5 8 5" xfId="20716" xr:uid="{00000000-0005-0000-0000-000014540000}"/>
    <cellStyle name="Normal 2 2 2 2 5 8 6" xfId="20717" xr:uid="{00000000-0005-0000-0000-000015540000}"/>
    <cellStyle name="Normal 2 2 2 2 5 9" xfId="20718" xr:uid="{00000000-0005-0000-0000-000016540000}"/>
    <cellStyle name="Normal 2 2 2 2 50" xfId="20719" xr:uid="{00000000-0005-0000-0000-000017540000}"/>
    <cellStyle name="Normal 2 2 2 2 51" xfId="20720" xr:uid="{00000000-0005-0000-0000-000018540000}"/>
    <cellStyle name="Normal 2 2 2 2 52" xfId="20721" xr:uid="{00000000-0005-0000-0000-000019540000}"/>
    <cellStyle name="Normal 2 2 2 2 52 2" xfId="20722" xr:uid="{00000000-0005-0000-0000-00001A540000}"/>
    <cellStyle name="Normal 2 2 2 2 52 3" xfId="20723" xr:uid="{00000000-0005-0000-0000-00001B540000}"/>
    <cellStyle name="Normal 2 2 2 2 52 4" xfId="20724" xr:uid="{00000000-0005-0000-0000-00001C540000}"/>
    <cellStyle name="Normal 2 2 2 2 52 5" xfId="20725" xr:uid="{00000000-0005-0000-0000-00001D540000}"/>
    <cellStyle name="Normal 2 2 2 2 52 6" xfId="20726" xr:uid="{00000000-0005-0000-0000-00001E540000}"/>
    <cellStyle name="Normal 2 2 2 2 53" xfId="20727" xr:uid="{00000000-0005-0000-0000-00001F540000}"/>
    <cellStyle name="Normal 2 2 2 2 53 2" xfId="20728" xr:uid="{00000000-0005-0000-0000-000020540000}"/>
    <cellStyle name="Normal 2 2 2 2 53 3" xfId="20729" xr:uid="{00000000-0005-0000-0000-000021540000}"/>
    <cellStyle name="Normal 2 2 2 2 53 4" xfId="20730" xr:uid="{00000000-0005-0000-0000-000022540000}"/>
    <cellStyle name="Normal 2 2 2 2 53 5" xfId="20731" xr:uid="{00000000-0005-0000-0000-000023540000}"/>
    <cellStyle name="Normal 2 2 2 2 53 6" xfId="20732" xr:uid="{00000000-0005-0000-0000-000024540000}"/>
    <cellStyle name="Normal 2 2 2 2 54" xfId="20733" xr:uid="{00000000-0005-0000-0000-000025540000}"/>
    <cellStyle name="Normal 2 2 2 2 54 2" xfId="20734" xr:uid="{00000000-0005-0000-0000-000026540000}"/>
    <cellStyle name="Normal 2 2 2 2 54 3" xfId="20735" xr:uid="{00000000-0005-0000-0000-000027540000}"/>
    <cellStyle name="Normal 2 2 2 2 54 4" xfId="20736" xr:uid="{00000000-0005-0000-0000-000028540000}"/>
    <cellStyle name="Normal 2 2 2 2 54 5" xfId="20737" xr:uid="{00000000-0005-0000-0000-000029540000}"/>
    <cellStyle name="Normal 2 2 2 2 54 6" xfId="20738" xr:uid="{00000000-0005-0000-0000-00002A540000}"/>
    <cellStyle name="Normal 2 2 2 2 55" xfId="20739" xr:uid="{00000000-0005-0000-0000-00002B540000}"/>
    <cellStyle name="Normal 2 2 2 2 55 2" xfId="20740" xr:uid="{00000000-0005-0000-0000-00002C540000}"/>
    <cellStyle name="Normal 2 2 2 2 55 3" xfId="20741" xr:uid="{00000000-0005-0000-0000-00002D540000}"/>
    <cellStyle name="Normal 2 2 2 2 55 4" xfId="20742" xr:uid="{00000000-0005-0000-0000-00002E540000}"/>
    <cellStyle name="Normal 2 2 2 2 55 5" xfId="20743" xr:uid="{00000000-0005-0000-0000-00002F540000}"/>
    <cellStyle name="Normal 2 2 2 2 55 6" xfId="20744" xr:uid="{00000000-0005-0000-0000-000030540000}"/>
    <cellStyle name="Normal 2 2 2 2 56" xfId="20745" xr:uid="{00000000-0005-0000-0000-000031540000}"/>
    <cellStyle name="Normal 2 2 2 2 56 2" xfId="20746" xr:uid="{00000000-0005-0000-0000-000032540000}"/>
    <cellStyle name="Normal 2 2 2 2 56 2 2" xfId="20747" xr:uid="{00000000-0005-0000-0000-000033540000}"/>
    <cellStyle name="Normal 2 2 2 2 56 2 2 2" xfId="20748" xr:uid="{00000000-0005-0000-0000-000034540000}"/>
    <cellStyle name="Normal 2 2 2 2 56 2 2 3" xfId="20749" xr:uid="{00000000-0005-0000-0000-000035540000}"/>
    <cellStyle name="Normal 2 2 2 2 56 2 2 4" xfId="20750" xr:uid="{00000000-0005-0000-0000-000036540000}"/>
    <cellStyle name="Normal 2 2 2 2 56 2 2 5" xfId="20751" xr:uid="{00000000-0005-0000-0000-000037540000}"/>
    <cellStyle name="Normal 2 2 2 2 56 2 2 6" xfId="20752" xr:uid="{00000000-0005-0000-0000-000038540000}"/>
    <cellStyle name="Normal 2 2 2 2 56 2 2 7" xfId="20753" xr:uid="{00000000-0005-0000-0000-000039540000}"/>
    <cellStyle name="Normal 2 2 2 2 56 3" xfId="20754" xr:uid="{00000000-0005-0000-0000-00003A540000}"/>
    <cellStyle name="Normal 2 2 2 2 56 4" xfId="20755" xr:uid="{00000000-0005-0000-0000-00003B540000}"/>
    <cellStyle name="Normal 2 2 2 2 56 5" xfId="20756" xr:uid="{00000000-0005-0000-0000-00003C540000}"/>
    <cellStyle name="Normal 2 2 2 2 56 6" xfId="20757" xr:uid="{00000000-0005-0000-0000-00003D540000}"/>
    <cellStyle name="Normal 2 2 2 2 56 7" xfId="20758" xr:uid="{00000000-0005-0000-0000-00003E540000}"/>
    <cellStyle name="Normal 2 2 2 2 56 8" xfId="20759" xr:uid="{00000000-0005-0000-0000-00003F540000}"/>
    <cellStyle name="Normal 2 2 2 2 57" xfId="20760" xr:uid="{00000000-0005-0000-0000-000040540000}"/>
    <cellStyle name="Normal 2 2 2 2 58" xfId="20761" xr:uid="{00000000-0005-0000-0000-000041540000}"/>
    <cellStyle name="Normal 2 2 2 2 59" xfId="20762" xr:uid="{00000000-0005-0000-0000-000042540000}"/>
    <cellStyle name="Normal 2 2 2 2 6" xfId="20763" xr:uid="{00000000-0005-0000-0000-000043540000}"/>
    <cellStyle name="Normal 2 2 2 2 6 10" xfId="20764" xr:uid="{00000000-0005-0000-0000-000044540000}"/>
    <cellStyle name="Normal 2 2 2 2 6 11" xfId="20765" xr:uid="{00000000-0005-0000-0000-000045540000}"/>
    <cellStyle name="Normal 2 2 2 2 6 12" xfId="20766" xr:uid="{00000000-0005-0000-0000-000046540000}"/>
    <cellStyle name="Normal 2 2 2 2 6 13" xfId="20767" xr:uid="{00000000-0005-0000-0000-000047540000}"/>
    <cellStyle name="Normal 2 2 2 2 6 2" xfId="20768" xr:uid="{00000000-0005-0000-0000-000048540000}"/>
    <cellStyle name="Normal 2 2 2 2 6 2 2" xfId="20769" xr:uid="{00000000-0005-0000-0000-000049540000}"/>
    <cellStyle name="Normal 2 2 2 2 6 2 3" xfId="20770" xr:uid="{00000000-0005-0000-0000-00004A540000}"/>
    <cellStyle name="Normal 2 2 2 2 6 2 4" xfId="20771" xr:uid="{00000000-0005-0000-0000-00004B540000}"/>
    <cellStyle name="Normal 2 2 2 2 6 2 5" xfId="20772" xr:uid="{00000000-0005-0000-0000-00004C540000}"/>
    <cellStyle name="Normal 2 2 2 2 6 2 6" xfId="20773" xr:uid="{00000000-0005-0000-0000-00004D540000}"/>
    <cellStyle name="Normal 2 2 2 2 6 3" xfId="20774" xr:uid="{00000000-0005-0000-0000-00004E540000}"/>
    <cellStyle name="Normal 2 2 2 2 6 3 2" xfId="20775" xr:uid="{00000000-0005-0000-0000-00004F540000}"/>
    <cellStyle name="Normal 2 2 2 2 6 3 3" xfId="20776" xr:uid="{00000000-0005-0000-0000-000050540000}"/>
    <cellStyle name="Normal 2 2 2 2 6 3 4" xfId="20777" xr:uid="{00000000-0005-0000-0000-000051540000}"/>
    <cellStyle name="Normal 2 2 2 2 6 3 5" xfId="20778" xr:uid="{00000000-0005-0000-0000-000052540000}"/>
    <cellStyle name="Normal 2 2 2 2 6 3 6" xfId="20779" xr:uid="{00000000-0005-0000-0000-000053540000}"/>
    <cellStyle name="Normal 2 2 2 2 6 4" xfId="20780" xr:uid="{00000000-0005-0000-0000-000054540000}"/>
    <cellStyle name="Normal 2 2 2 2 6 4 2" xfId="20781" xr:uid="{00000000-0005-0000-0000-000055540000}"/>
    <cellStyle name="Normal 2 2 2 2 6 4 3" xfId="20782" xr:uid="{00000000-0005-0000-0000-000056540000}"/>
    <cellStyle name="Normal 2 2 2 2 6 4 4" xfId="20783" xr:uid="{00000000-0005-0000-0000-000057540000}"/>
    <cellStyle name="Normal 2 2 2 2 6 4 5" xfId="20784" xr:uid="{00000000-0005-0000-0000-000058540000}"/>
    <cellStyle name="Normal 2 2 2 2 6 4 6" xfId="20785" xr:uid="{00000000-0005-0000-0000-000059540000}"/>
    <cellStyle name="Normal 2 2 2 2 6 5" xfId="20786" xr:uid="{00000000-0005-0000-0000-00005A540000}"/>
    <cellStyle name="Normal 2 2 2 2 6 5 2" xfId="20787" xr:uid="{00000000-0005-0000-0000-00005B540000}"/>
    <cellStyle name="Normal 2 2 2 2 6 5 3" xfId="20788" xr:uid="{00000000-0005-0000-0000-00005C540000}"/>
    <cellStyle name="Normal 2 2 2 2 6 5 4" xfId="20789" xr:uid="{00000000-0005-0000-0000-00005D540000}"/>
    <cellStyle name="Normal 2 2 2 2 6 5 5" xfId="20790" xr:uid="{00000000-0005-0000-0000-00005E540000}"/>
    <cellStyle name="Normal 2 2 2 2 6 5 6" xfId="20791" xr:uid="{00000000-0005-0000-0000-00005F540000}"/>
    <cellStyle name="Normal 2 2 2 2 6 6" xfId="20792" xr:uid="{00000000-0005-0000-0000-000060540000}"/>
    <cellStyle name="Normal 2 2 2 2 6 6 2" xfId="20793" xr:uid="{00000000-0005-0000-0000-000061540000}"/>
    <cellStyle name="Normal 2 2 2 2 6 6 3" xfId="20794" xr:uid="{00000000-0005-0000-0000-000062540000}"/>
    <cellStyle name="Normal 2 2 2 2 6 6 4" xfId="20795" xr:uid="{00000000-0005-0000-0000-000063540000}"/>
    <cellStyle name="Normal 2 2 2 2 6 6 5" xfId="20796" xr:uid="{00000000-0005-0000-0000-000064540000}"/>
    <cellStyle name="Normal 2 2 2 2 6 6 6" xfId="20797" xr:uid="{00000000-0005-0000-0000-000065540000}"/>
    <cellStyle name="Normal 2 2 2 2 6 7" xfId="20798" xr:uid="{00000000-0005-0000-0000-000066540000}"/>
    <cellStyle name="Normal 2 2 2 2 6 7 2" xfId="20799" xr:uid="{00000000-0005-0000-0000-000067540000}"/>
    <cellStyle name="Normal 2 2 2 2 6 7 3" xfId="20800" xr:uid="{00000000-0005-0000-0000-000068540000}"/>
    <cellStyle name="Normal 2 2 2 2 6 7 4" xfId="20801" xr:uid="{00000000-0005-0000-0000-000069540000}"/>
    <cellStyle name="Normal 2 2 2 2 6 7 5" xfId="20802" xr:uid="{00000000-0005-0000-0000-00006A540000}"/>
    <cellStyle name="Normal 2 2 2 2 6 7 6" xfId="20803" xr:uid="{00000000-0005-0000-0000-00006B540000}"/>
    <cellStyle name="Normal 2 2 2 2 6 8" xfId="20804" xr:uid="{00000000-0005-0000-0000-00006C540000}"/>
    <cellStyle name="Normal 2 2 2 2 6 8 2" xfId="20805" xr:uid="{00000000-0005-0000-0000-00006D540000}"/>
    <cellStyle name="Normal 2 2 2 2 6 8 3" xfId="20806" xr:uid="{00000000-0005-0000-0000-00006E540000}"/>
    <cellStyle name="Normal 2 2 2 2 6 8 4" xfId="20807" xr:uid="{00000000-0005-0000-0000-00006F540000}"/>
    <cellStyle name="Normal 2 2 2 2 6 8 5" xfId="20808" xr:uid="{00000000-0005-0000-0000-000070540000}"/>
    <cellStyle name="Normal 2 2 2 2 6 8 6" xfId="20809" xr:uid="{00000000-0005-0000-0000-000071540000}"/>
    <cellStyle name="Normal 2 2 2 2 6 9" xfId="20810" xr:uid="{00000000-0005-0000-0000-000072540000}"/>
    <cellStyle name="Normal 2 2 2 2 60" xfId="20811" xr:uid="{00000000-0005-0000-0000-000073540000}"/>
    <cellStyle name="Normal 2 2 2 2 61" xfId="20812" xr:uid="{00000000-0005-0000-0000-000074540000}"/>
    <cellStyle name="Normal 2 2 2 2 62" xfId="20813" xr:uid="{00000000-0005-0000-0000-000075540000}"/>
    <cellStyle name="Normal 2 2 2 2 63" xfId="20814" xr:uid="{00000000-0005-0000-0000-000076540000}"/>
    <cellStyle name="Normal 2 2 2 2 64" xfId="20815" xr:uid="{00000000-0005-0000-0000-000077540000}"/>
    <cellStyle name="Normal 2 2 2 2 65" xfId="20816" xr:uid="{00000000-0005-0000-0000-000078540000}"/>
    <cellStyle name="Normal 2 2 2 2 66" xfId="20817" xr:uid="{00000000-0005-0000-0000-000079540000}"/>
    <cellStyle name="Normal 2 2 2 2 67" xfId="20818" xr:uid="{00000000-0005-0000-0000-00007A540000}"/>
    <cellStyle name="Normal 2 2 2 2 68" xfId="20819" xr:uid="{00000000-0005-0000-0000-00007B540000}"/>
    <cellStyle name="Normal 2 2 2 2 69" xfId="20820" xr:uid="{00000000-0005-0000-0000-00007C540000}"/>
    <cellStyle name="Normal 2 2 2 2 7" xfId="20821" xr:uid="{00000000-0005-0000-0000-00007D540000}"/>
    <cellStyle name="Normal 2 2 2 2 7 10" xfId="20822" xr:uid="{00000000-0005-0000-0000-00007E540000}"/>
    <cellStyle name="Normal 2 2 2 2 7 11" xfId="20823" xr:uid="{00000000-0005-0000-0000-00007F540000}"/>
    <cellStyle name="Normal 2 2 2 2 7 12" xfId="20824" xr:uid="{00000000-0005-0000-0000-000080540000}"/>
    <cellStyle name="Normal 2 2 2 2 7 13" xfId="20825" xr:uid="{00000000-0005-0000-0000-000081540000}"/>
    <cellStyle name="Normal 2 2 2 2 7 2" xfId="20826" xr:uid="{00000000-0005-0000-0000-000082540000}"/>
    <cellStyle name="Normal 2 2 2 2 7 2 2" xfId="20827" xr:uid="{00000000-0005-0000-0000-000083540000}"/>
    <cellStyle name="Normal 2 2 2 2 7 2 3" xfId="20828" xr:uid="{00000000-0005-0000-0000-000084540000}"/>
    <cellStyle name="Normal 2 2 2 2 7 2 4" xfId="20829" xr:uid="{00000000-0005-0000-0000-000085540000}"/>
    <cellStyle name="Normal 2 2 2 2 7 2 5" xfId="20830" xr:uid="{00000000-0005-0000-0000-000086540000}"/>
    <cellStyle name="Normal 2 2 2 2 7 2 6" xfId="20831" xr:uid="{00000000-0005-0000-0000-000087540000}"/>
    <cellStyle name="Normal 2 2 2 2 7 3" xfId="20832" xr:uid="{00000000-0005-0000-0000-000088540000}"/>
    <cellStyle name="Normal 2 2 2 2 7 3 2" xfId="20833" xr:uid="{00000000-0005-0000-0000-000089540000}"/>
    <cellStyle name="Normal 2 2 2 2 7 3 3" xfId="20834" xr:uid="{00000000-0005-0000-0000-00008A540000}"/>
    <cellStyle name="Normal 2 2 2 2 7 3 4" xfId="20835" xr:uid="{00000000-0005-0000-0000-00008B540000}"/>
    <cellStyle name="Normal 2 2 2 2 7 3 5" xfId="20836" xr:uid="{00000000-0005-0000-0000-00008C540000}"/>
    <cellStyle name="Normal 2 2 2 2 7 3 6" xfId="20837" xr:uid="{00000000-0005-0000-0000-00008D540000}"/>
    <cellStyle name="Normal 2 2 2 2 7 4" xfId="20838" xr:uid="{00000000-0005-0000-0000-00008E540000}"/>
    <cellStyle name="Normal 2 2 2 2 7 4 2" xfId="20839" xr:uid="{00000000-0005-0000-0000-00008F540000}"/>
    <cellStyle name="Normal 2 2 2 2 7 4 3" xfId="20840" xr:uid="{00000000-0005-0000-0000-000090540000}"/>
    <cellStyle name="Normal 2 2 2 2 7 4 4" xfId="20841" xr:uid="{00000000-0005-0000-0000-000091540000}"/>
    <cellStyle name="Normal 2 2 2 2 7 4 5" xfId="20842" xr:uid="{00000000-0005-0000-0000-000092540000}"/>
    <cellStyle name="Normal 2 2 2 2 7 4 6" xfId="20843" xr:uid="{00000000-0005-0000-0000-000093540000}"/>
    <cellStyle name="Normal 2 2 2 2 7 5" xfId="20844" xr:uid="{00000000-0005-0000-0000-000094540000}"/>
    <cellStyle name="Normal 2 2 2 2 7 5 2" xfId="20845" xr:uid="{00000000-0005-0000-0000-000095540000}"/>
    <cellStyle name="Normal 2 2 2 2 7 5 3" xfId="20846" xr:uid="{00000000-0005-0000-0000-000096540000}"/>
    <cellStyle name="Normal 2 2 2 2 7 5 4" xfId="20847" xr:uid="{00000000-0005-0000-0000-000097540000}"/>
    <cellStyle name="Normal 2 2 2 2 7 5 5" xfId="20848" xr:uid="{00000000-0005-0000-0000-000098540000}"/>
    <cellStyle name="Normal 2 2 2 2 7 5 6" xfId="20849" xr:uid="{00000000-0005-0000-0000-000099540000}"/>
    <cellStyle name="Normal 2 2 2 2 7 6" xfId="20850" xr:uid="{00000000-0005-0000-0000-00009A540000}"/>
    <cellStyle name="Normal 2 2 2 2 7 6 2" xfId="20851" xr:uid="{00000000-0005-0000-0000-00009B540000}"/>
    <cellStyle name="Normal 2 2 2 2 7 6 3" xfId="20852" xr:uid="{00000000-0005-0000-0000-00009C540000}"/>
    <cellStyle name="Normal 2 2 2 2 7 6 4" xfId="20853" xr:uid="{00000000-0005-0000-0000-00009D540000}"/>
    <cellStyle name="Normal 2 2 2 2 7 6 5" xfId="20854" xr:uid="{00000000-0005-0000-0000-00009E540000}"/>
    <cellStyle name="Normal 2 2 2 2 7 6 6" xfId="20855" xr:uid="{00000000-0005-0000-0000-00009F540000}"/>
    <cellStyle name="Normal 2 2 2 2 7 7" xfId="20856" xr:uid="{00000000-0005-0000-0000-0000A0540000}"/>
    <cellStyle name="Normal 2 2 2 2 7 7 2" xfId="20857" xr:uid="{00000000-0005-0000-0000-0000A1540000}"/>
    <cellStyle name="Normal 2 2 2 2 7 7 3" xfId="20858" xr:uid="{00000000-0005-0000-0000-0000A2540000}"/>
    <cellStyle name="Normal 2 2 2 2 7 7 4" xfId="20859" xr:uid="{00000000-0005-0000-0000-0000A3540000}"/>
    <cellStyle name="Normal 2 2 2 2 7 7 5" xfId="20860" xr:uid="{00000000-0005-0000-0000-0000A4540000}"/>
    <cellStyle name="Normal 2 2 2 2 7 7 6" xfId="20861" xr:uid="{00000000-0005-0000-0000-0000A5540000}"/>
    <cellStyle name="Normal 2 2 2 2 7 8" xfId="20862" xr:uid="{00000000-0005-0000-0000-0000A6540000}"/>
    <cellStyle name="Normal 2 2 2 2 7 8 2" xfId="20863" xr:uid="{00000000-0005-0000-0000-0000A7540000}"/>
    <cellStyle name="Normal 2 2 2 2 7 8 3" xfId="20864" xr:uid="{00000000-0005-0000-0000-0000A8540000}"/>
    <cellStyle name="Normal 2 2 2 2 7 8 4" xfId="20865" xr:uid="{00000000-0005-0000-0000-0000A9540000}"/>
    <cellStyle name="Normal 2 2 2 2 7 8 5" xfId="20866" xr:uid="{00000000-0005-0000-0000-0000AA540000}"/>
    <cellStyle name="Normal 2 2 2 2 7 8 6" xfId="20867" xr:uid="{00000000-0005-0000-0000-0000AB540000}"/>
    <cellStyle name="Normal 2 2 2 2 7 9" xfId="20868" xr:uid="{00000000-0005-0000-0000-0000AC540000}"/>
    <cellStyle name="Normal 2 2 2 2 70" xfId="20869" xr:uid="{00000000-0005-0000-0000-0000AD540000}"/>
    <cellStyle name="Normal 2 2 2 2 71" xfId="20870" xr:uid="{00000000-0005-0000-0000-0000AE540000}"/>
    <cellStyle name="Normal 2 2 2 2 72" xfId="20871" xr:uid="{00000000-0005-0000-0000-0000AF540000}"/>
    <cellStyle name="Normal 2 2 2 2 73" xfId="20872" xr:uid="{00000000-0005-0000-0000-0000B0540000}"/>
    <cellStyle name="Normal 2 2 2 2 74" xfId="20873" xr:uid="{00000000-0005-0000-0000-0000B1540000}"/>
    <cellStyle name="Normal 2 2 2 2 75" xfId="20874" xr:uid="{00000000-0005-0000-0000-0000B2540000}"/>
    <cellStyle name="Normal 2 2 2 2 76" xfId="20875" xr:uid="{00000000-0005-0000-0000-0000B3540000}"/>
    <cellStyle name="Normal 2 2 2 2 76 2" xfId="20876" xr:uid="{00000000-0005-0000-0000-0000B4540000}"/>
    <cellStyle name="Normal 2 2 2 2 76 3" xfId="20877" xr:uid="{00000000-0005-0000-0000-0000B5540000}"/>
    <cellStyle name="Normal 2 2 2 2 76 4" xfId="20878" xr:uid="{00000000-0005-0000-0000-0000B6540000}"/>
    <cellStyle name="Normal 2 2 2 2 76 5" xfId="20879" xr:uid="{00000000-0005-0000-0000-0000B7540000}"/>
    <cellStyle name="Normal 2 2 2 2 76 6" xfId="20880" xr:uid="{00000000-0005-0000-0000-0000B8540000}"/>
    <cellStyle name="Normal 2 2 2 2 76 7" xfId="20881" xr:uid="{00000000-0005-0000-0000-0000B9540000}"/>
    <cellStyle name="Normal 2 2 2 2 77" xfId="20882" xr:uid="{00000000-0005-0000-0000-0000BA540000}"/>
    <cellStyle name="Normal 2 2 2 2 77 10" xfId="20883" xr:uid="{00000000-0005-0000-0000-0000BB540000}"/>
    <cellStyle name="Normal 2 2 2 2 77 11" xfId="20884" xr:uid="{00000000-0005-0000-0000-0000BC540000}"/>
    <cellStyle name="Normal 2 2 2 2 77 2" xfId="20885" xr:uid="{00000000-0005-0000-0000-0000BD540000}"/>
    <cellStyle name="Normal 2 2 2 2 77 2 2" xfId="20886" xr:uid="{00000000-0005-0000-0000-0000BE540000}"/>
    <cellStyle name="Normal 2 2 2 2 77 2 2 2" xfId="20887" xr:uid="{00000000-0005-0000-0000-0000BF540000}"/>
    <cellStyle name="Normal 2 2 2 2 77 2 2 3" xfId="20888" xr:uid="{00000000-0005-0000-0000-0000C0540000}"/>
    <cellStyle name="Normal 2 2 2 2 77 2 3" xfId="20889" xr:uid="{00000000-0005-0000-0000-0000C1540000}"/>
    <cellStyle name="Normal 2 2 2 2 77 2 4" xfId="20890" xr:uid="{00000000-0005-0000-0000-0000C2540000}"/>
    <cellStyle name="Normal 2 2 2 2 77 2 5" xfId="20891" xr:uid="{00000000-0005-0000-0000-0000C3540000}"/>
    <cellStyle name="Normal 2 2 2 2 77 2 6" xfId="20892" xr:uid="{00000000-0005-0000-0000-0000C4540000}"/>
    <cellStyle name="Normal 2 2 2 2 77 2 7" xfId="20893" xr:uid="{00000000-0005-0000-0000-0000C5540000}"/>
    <cellStyle name="Normal 2 2 2 2 77 2 8" xfId="20894" xr:uid="{00000000-0005-0000-0000-0000C6540000}"/>
    <cellStyle name="Normal 2 2 2 2 77 2 9" xfId="20895" xr:uid="{00000000-0005-0000-0000-0000C7540000}"/>
    <cellStyle name="Normal 2 2 2 2 77 3" xfId="20896" xr:uid="{00000000-0005-0000-0000-0000C8540000}"/>
    <cellStyle name="Normal 2 2 2 2 77 4" xfId="20897" xr:uid="{00000000-0005-0000-0000-0000C9540000}"/>
    <cellStyle name="Normal 2 2 2 2 77 5" xfId="20898" xr:uid="{00000000-0005-0000-0000-0000CA540000}"/>
    <cellStyle name="Normal 2 2 2 2 77 5 2" xfId="20899" xr:uid="{00000000-0005-0000-0000-0000CB540000}"/>
    <cellStyle name="Normal 2 2 2 2 77 5 3" xfId="20900" xr:uid="{00000000-0005-0000-0000-0000CC540000}"/>
    <cellStyle name="Normal 2 2 2 2 77 6" xfId="20901" xr:uid="{00000000-0005-0000-0000-0000CD540000}"/>
    <cellStyle name="Normal 2 2 2 2 77 7" xfId="20902" xr:uid="{00000000-0005-0000-0000-0000CE540000}"/>
    <cellStyle name="Normal 2 2 2 2 77 8" xfId="20903" xr:uid="{00000000-0005-0000-0000-0000CF540000}"/>
    <cellStyle name="Normal 2 2 2 2 77 9" xfId="20904" xr:uid="{00000000-0005-0000-0000-0000D0540000}"/>
    <cellStyle name="Normal 2 2 2 2 78" xfId="20905" xr:uid="{00000000-0005-0000-0000-0000D1540000}"/>
    <cellStyle name="Normal 2 2 2 2 79" xfId="20906" xr:uid="{00000000-0005-0000-0000-0000D2540000}"/>
    <cellStyle name="Normal 2 2 2 2 8" xfId="20907" xr:uid="{00000000-0005-0000-0000-0000D3540000}"/>
    <cellStyle name="Normal 2 2 2 2 8 10" xfId="20908" xr:uid="{00000000-0005-0000-0000-0000D4540000}"/>
    <cellStyle name="Normal 2 2 2 2 8 11" xfId="20909" xr:uid="{00000000-0005-0000-0000-0000D5540000}"/>
    <cellStyle name="Normal 2 2 2 2 8 12" xfId="20910" xr:uid="{00000000-0005-0000-0000-0000D6540000}"/>
    <cellStyle name="Normal 2 2 2 2 8 13" xfId="20911" xr:uid="{00000000-0005-0000-0000-0000D7540000}"/>
    <cellStyle name="Normal 2 2 2 2 8 2" xfId="20912" xr:uid="{00000000-0005-0000-0000-0000D8540000}"/>
    <cellStyle name="Normal 2 2 2 2 8 2 2" xfId="20913" xr:uid="{00000000-0005-0000-0000-0000D9540000}"/>
    <cellStyle name="Normal 2 2 2 2 8 2 3" xfId="20914" xr:uid="{00000000-0005-0000-0000-0000DA540000}"/>
    <cellStyle name="Normal 2 2 2 2 8 2 4" xfId="20915" xr:uid="{00000000-0005-0000-0000-0000DB540000}"/>
    <cellStyle name="Normal 2 2 2 2 8 2 5" xfId="20916" xr:uid="{00000000-0005-0000-0000-0000DC540000}"/>
    <cellStyle name="Normal 2 2 2 2 8 2 6" xfId="20917" xr:uid="{00000000-0005-0000-0000-0000DD540000}"/>
    <cellStyle name="Normal 2 2 2 2 8 3" xfId="20918" xr:uid="{00000000-0005-0000-0000-0000DE540000}"/>
    <cellStyle name="Normal 2 2 2 2 8 3 2" xfId="20919" xr:uid="{00000000-0005-0000-0000-0000DF540000}"/>
    <cellStyle name="Normal 2 2 2 2 8 3 3" xfId="20920" xr:uid="{00000000-0005-0000-0000-0000E0540000}"/>
    <cellStyle name="Normal 2 2 2 2 8 3 4" xfId="20921" xr:uid="{00000000-0005-0000-0000-0000E1540000}"/>
    <cellStyle name="Normal 2 2 2 2 8 3 5" xfId="20922" xr:uid="{00000000-0005-0000-0000-0000E2540000}"/>
    <cellStyle name="Normal 2 2 2 2 8 3 6" xfId="20923" xr:uid="{00000000-0005-0000-0000-0000E3540000}"/>
    <cellStyle name="Normal 2 2 2 2 8 4" xfId="20924" xr:uid="{00000000-0005-0000-0000-0000E4540000}"/>
    <cellStyle name="Normal 2 2 2 2 8 4 2" xfId="20925" xr:uid="{00000000-0005-0000-0000-0000E5540000}"/>
    <cellStyle name="Normal 2 2 2 2 8 4 3" xfId="20926" xr:uid="{00000000-0005-0000-0000-0000E6540000}"/>
    <cellStyle name="Normal 2 2 2 2 8 4 4" xfId="20927" xr:uid="{00000000-0005-0000-0000-0000E7540000}"/>
    <cellStyle name="Normal 2 2 2 2 8 4 5" xfId="20928" xr:uid="{00000000-0005-0000-0000-0000E8540000}"/>
    <cellStyle name="Normal 2 2 2 2 8 4 6" xfId="20929" xr:uid="{00000000-0005-0000-0000-0000E9540000}"/>
    <cellStyle name="Normal 2 2 2 2 8 5" xfId="20930" xr:uid="{00000000-0005-0000-0000-0000EA540000}"/>
    <cellStyle name="Normal 2 2 2 2 8 5 2" xfId="20931" xr:uid="{00000000-0005-0000-0000-0000EB540000}"/>
    <cellStyle name="Normal 2 2 2 2 8 5 3" xfId="20932" xr:uid="{00000000-0005-0000-0000-0000EC540000}"/>
    <cellStyle name="Normal 2 2 2 2 8 5 4" xfId="20933" xr:uid="{00000000-0005-0000-0000-0000ED540000}"/>
    <cellStyle name="Normal 2 2 2 2 8 5 5" xfId="20934" xr:uid="{00000000-0005-0000-0000-0000EE540000}"/>
    <cellStyle name="Normal 2 2 2 2 8 5 6" xfId="20935" xr:uid="{00000000-0005-0000-0000-0000EF540000}"/>
    <cellStyle name="Normal 2 2 2 2 8 6" xfId="20936" xr:uid="{00000000-0005-0000-0000-0000F0540000}"/>
    <cellStyle name="Normal 2 2 2 2 8 6 2" xfId="20937" xr:uid="{00000000-0005-0000-0000-0000F1540000}"/>
    <cellStyle name="Normal 2 2 2 2 8 6 3" xfId="20938" xr:uid="{00000000-0005-0000-0000-0000F2540000}"/>
    <cellStyle name="Normal 2 2 2 2 8 6 4" xfId="20939" xr:uid="{00000000-0005-0000-0000-0000F3540000}"/>
    <cellStyle name="Normal 2 2 2 2 8 6 5" xfId="20940" xr:uid="{00000000-0005-0000-0000-0000F4540000}"/>
    <cellStyle name="Normal 2 2 2 2 8 6 6" xfId="20941" xr:uid="{00000000-0005-0000-0000-0000F5540000}"/>
    <cellStyle name="Normal 2 2 2 2 8 7" xfId="20942" xr:uid="{00000000-0005-0000-0000-0000F6540000}"/>
    <cellStyle name="Normal 2 2 2 2 8 7 2" xfId="20943" xr:uid="{00000000-0005-0000-0000-0000F7540000}"/>
    <cellStyle name="Normal 2 2 2 2 8 7 3" xfId="20944" xr:uid="{00000000-0005-0000-0000-0000F8540000}"/>
    <cellStyle name="Normal 2 2 2 2 8 7 4" xfId="20945" xr:uid="{00000000-0005-0000-0000-0000F9540000}"/>
    <cellStyle name="Normal 2 2 2 2 8 7 5" xfId="20946" xr:uid="{00000000-0005-0000-0000-0000FA540000}"/>
    <cellStyle name="Normal 2 2 2 2 8 7 6" xfId="20947" xr:uid="{00000000-0005-0000-0000-0000FB540000}"/>
    <cellStyle name="Normal 2 2 2 2 8 8" xfId="20948" xr:uid="{00000000-0005-0000-0000-0000FC540000}"/>
    <cellStyle name="Normal 2 2 2 2 8 8 2" xfId="20949" xr:uid="{00000000-0005-0000-0000-0000FD540000}"/>
    <cellStyle name="Normal 2 2 2 2 8 8 3" xfId="20950" xr:uid="{00000000-0005-0000-0000-0000FE540000}"/>
    <cellStyle name="Normal 2 2 2 2 8 8 4" xfId="20951" xr:uid="{00000000-0005-0000-0000-0000FF540000}"/>
    <cellStyle name="Normal 2 2 2 2 8 8 5" xfId="20952" xr:uid="{00000000-0005-0000-0000-000000550000}"/>
    <cellStyle name="Normal 2 2 2 2 8 8 6" xfId="20953" xr:uid="{00000000-0005-0000-0000-000001550000}"/>
    <cellStyle name="Normal 2 2 2 2 8 9" xfId="20954" xr:uid="{00000000-0005-0000-0000-000002550000}"/>
    <cellStyle name="Normal 2 2 2 2 80" xfId="20955" xr:uid="{00000000-0005-0000-0000-000003550000}"/>
    <cellStyle name="Normal 2 2 2 2 80 2" xfId="20956" xr:uid="{00000000-0005-0000-0000-000004550000}"/>
    <cellStyle name="Normal 2 2 2 2 80 2 2" xfId="20957" xr:uid="{00000000-0005-0000-0000-000005550000}"/>
    <cellStyle name="Normal 2 2 2 2 80 2 3" xfId="20958" xr:uid="{00000000-0005-0000-0000-000006550000}"/>
    <cellStyle name="Normal 2 2 2 2 80 3" xfId="20959" xr:uid="{00000000-0005-0000-0000-000007550000}"/>
    <cellStyle name="Normal 2 2 2 2 80 4" xfId="20960" xr:uid="{00000000-0005-0000-0000-000008550000}"/>
    <cellStyle name="Normal 2 2 2 2 80 5" xfId="20961" xr:uid="{00000000-0005-0000-0000-000009550000}"/>
    <cellStyle name="Normal 2 2 2 2 80 6" xfId="20962" xr:uid="{00000000-0005-0000-0000-00000A550000}"/>
    <cellStyle name="Normal 2 2 2 2 80 7" xfId="20963" xr:uid="{00000000-0005-0000-0000-00000B550000}"/>
    <cellStyle name="Normal 2 2 2 2 80 8" xfId="20964" xr:uid="{00000000-0005-0000-0000-00000C550000}"/>
    <cellStyle name="Normal 2 2 2 2 80 9" xfId="20965" xr:uid="{00000000-0005-0000-0000-00000D550000}"/>
    <cellStyle name="Normal 2 2 2 2 81" xfId="20966" xr:uid="{00000000-0005-0000-0000-00000E550000}"/>
    <cellStyle name="Normal 2 2 2 2 82" xfId="20967" xr:uid="{00000000-0005-0000-0000-00000F550000}"/>
    <cellStyle name="Normal 2 2 2 2 82 2" xfId="20968" xr:uid="{00000000-0005-0000-0000-000010550000}"/>
    <cellStyle name="Normal 2 2 2 2 82 3" xfId="20969" xr:uid="{00000000-0005-0000-0000-000011550000}"/>
    <cellStyle name="Normal 2 2 2 2 83" xfId="20970" xr:uid="{00000000-0005-0000-0000-000012550000}"/>
    <cellStyle name="Normal 2 2 2 2 84" xfId="20971" xr:uid="{00000000-0005-0000-0000-000013550000}"/>
    <cellStyle name="Normal 2 2 2 2 85" xfId="20972" xr:uid="{00000000-0005-0000-0000-000014550000}"/>
    <cellStyle name="Normal 2 2 2 2 86" xfId="20973" xr:uid="{00000000-0005-0000-0000-000015550000}"/>
    <cellStyle name="Normal 2 2 2 2 87" xfId="20974" xr:uid="{00000000-0005-0000-0000-000016550000}"/>
    <cellStyle name="Normal 2 2 2 2 88" xfId="20975" xr:uid="{00000000-0005-0000-0000-000017550000}"/>
    <cellStyle name="Normal 2 2 2 2 89" xfId="20976" xr:uid="{00000000-0005-0000-0000-000018550000}"/>
    <cellStyle name="Normal 2 2 2 2 9" xfId="20977" xr:uid="{00000000-0005-0000-0000-000019550000}"/>
    <cellStyle name="Normal 2 2 2 2 9 10" xfId="20978" xr:uid="{00000000-0005-0000-0000-00001A550000}"/>
    <cellStyle name="Normal 2 2 2 2 9 10 2" xfId="20979" xr:uid="{00000000-0005-0000-0000-00001B550000}"/>
    <cellStyle name="Normal 2 2 2 2 9 10 3" xfId="20980" xr:uid="{00000000-0005-0000-0000-00001C550000}"/>
    <cellStyle name="Normal 2 2 2 2 9 10 4" xfId="20981" xr:uid="{00000000-0005-0000-0000-00001D550000}"/>
    <cellStyle name="Normal 2 2 2 2 9 10 5" xfId="20982" xr:uid="{00000000-0005-0000-0000-00001E550000}"/>
    <cellStyle name="Normal 2 2 2 2 9 10 6" xfId="20983" xr:uid="{00000000-0005-0000-0000-00001F550000}"/>
    <cellStyle name="Normal 2 2 2 2 9 11" xfId="20984" xr:uid="{00000000-0005-0000-0000-000020550000}"/>
    <cellStyle name="Normal 2 2 2 2 9 11 2" xfId="20985" xr:uid="{00000000-0005-0000-0000-000021550000}"/>
    <cellStyle name="Normal 2 2 2 2 9 11 3" xfId="20986" xr:uid="{00000000-0005-0000-0000-000022550000}"/>
    <cellStyle name="Normal 2 2 2 2 9 11 4" xfId="20987" xr:uid="{00000000-0005-0000-0000-000023550000}"/>
    <cellStyle name="Normal 2 2 2 2 9 11 5" xfId="20988" xr:uid="{00000000-0005-0000-0000-000024550000}"/>
    <cellStyle name="Normal 2 2 2 2 9 11 6" xfId="20989" xr:uid="{00000000-0005-0000-0000-000025550000}"/>
    <cellStyle name="Normal 2 2 2 2 9 12" xfId="20990" xr:uid="{00000000-0005-0000-0000-000026550000}"/>
    <cellStyle name="Normal 2 2 2 2 9 12 2" xfId="20991" xr:uid="{00000000-0005-0000-0000-000027550000}"/>
    <cellStyle name="Normal 2 2 2 2 9 12 3" xfId="20992" xr:uid="{00000000-0005-0000-0000-000028550000}"/>
    <cellStyle name="Normal 2 2 2 2 9 12 4" xfId="20993" xr:uid="{00000000-0005-0000-0000-000029550000}"/>
    <cellStyle name="Normal 2 2 2 2 9 12 5" xfId="20994" xr:uid="{00000000-0005-0000-0000-00002A550000}"/>
    <cellStyle name="Normal 2 2 2 2 9 12 6" xfId="20995" xr:uid="{00000000-0005-0000-0000-00002B550000}"/>
    <cellStyle name="Normal 2 2 2 2 9 13" xfId="20996" xr:uid="{00000000-0005-0000-0000-00002C550000}"/>
    <cellStyle name="Normal 2 2 2 2 9 13 2" xfId="20997" xr:uid="{00000000-0005-0000-0000-00002D550000}"/>
    <cellStyle name="Normal 2 2 2 2 9 13 3" xfId="20998" xr:uid="{00000000-0005-0000-0000-00002E550000}"/>
    <cellStyle name="Normal 2 2 2 2 9 13 4" xfId="20999" xr:uid="{00000000-0005-0000-0000-00002F550000}"/>
    <cellStyle name="Normal 2 2 2 2 9 13 5" xfId="21000" xr:uid="{00000000-0005-0000-0000-000030550000}"/>
    <cellStyle name="Normal 2 2 2 2 9 13 6" xfId="21001" xr:uid="{00000000-0005-0000-0000-000031550000}"/>
    <cellStyle name="Normal 2 2 2 2 9 14" xfId="21002" xr:uid="{00000000-0005-0000-0000-000032550000}"/>
    <cellStyle name="Normal 2 2 2 2 9 14 2" xfId="21003" xr:uid="{00000000-0005-0000-0000-000033550000}"/>
    <cellStyle name="Normal 2 2 2 2 9 14 3" xfId="21004" xr:uid="{00000000-0005-0000-0000-000034550000}"/>
    <cellStyle name="Normal 2 2 2 2 9 14 4" xfId="21005" xr:uid="{00000000-0005-0000-0000-000035550000}"/>
    <cellStyle name="Normal 2 2 2 2 9 14 5" xfId="21006" xr:uid="{00000000-0005-0000-0000-000036550000}"/>
    <cellStyle name="Normal 2 2 2 2 9 14 6" xfId="21007" xr:uid="{00000000-0005-0000-0000-000037550000}"/>
    <cellStyle name="Normal 2 2 2 2 9 15" xfId="21008" xr:uid="{00000000-0005-0000-0000-000038550000}"/>
    <cellStyle name="Normal 2 2 2 2 9 16" xfId="21009" xr:uid="{00000000-0005-0000-0000-000039550000}"/>
    <cellStyle name="Normal 2 2 2 2 9 17" xfId="21010" xr:uid="{00000000-0005-0000-0000-00003A550000}"/>
    <cellStyle name="Normal 2 2 2 2 9 18" xfId="21011" xr:uid="{00000000-0005-0000-0000-00003B550000}"/>
    <cellStyle name="Normal 2 2 2 2 9 19" xfId="21012" xr:uid="{00000000-0005-0000-0000-00003C550000}"/>
    <cellStyle name="Normal 2 2 2 2 9 2" xfId="21013" xr:uid="{00000000-0005-0000-0000-00003D550000}"/>
    <cellStyle name="Normal 2 2 2 2 9 3" xfId="21014" xr:uid="{00000000-0005-0000-0000-00003E550000}"/>
    <cellStyle name="Normal 2 2 2 2 9 4" xfId="21015" xr:uid="{00000000-0005-0000-0000-00003F550000}"/>
    <cellStyle name="Normal 2 2 2 2 9 5" xfId="21016" xr:uid="{00000000-0005-0000-0000-000040550000}"/>
    <cellStyle name="Normal 2 2 2 2 9 6" xfId="21017" xr:uid="{00000000-0005-0000-0000-000041550000}"/>
    <cellStyle name="Normal 2 2 2 2 9 7" xfId="21018" xr:uid="{00000000-0005-0000-0000-000042550000}"/>
    <cellStyle name="Normal 2 2 2 2 9 8" xfId="21019" xr:uid="{00000000-0005-0000-0000-000043550000}"/>
    <cellStyle name="Normal 2 2 2 2 9 8 2" xfId="21020" xr:uid="{00000000-0005-0000-0000-000044550000}"/>
    <cellStyle name="Normal 2 2 2 2 9 8 3" xfId="21021" xr:uid="{00000000-0005-0000-0000-000045550000}"/>
    <cellStyle name="Normal 2 2 2 2 9 8 4" xfId="21022" xr:uid="{00000000-0005-0000-0000-000046550000}"/>
    <cellStyle name="Normal 2 2 2 2 9 8 5" xfId="21023" xr:uid="{00000000-0005-0000-0000-000047550000}"/>
    <cellStyle name="Normal 2 2 2 2 9 8 6" xfId="21024" xr:uid="{00000000-0005-0000-0000-000048550000}"/>
    <cellStyle name="Normal 2 2 2 2 9 9" xfId="21025" xr:uid="{00000000-0005-0000-0000-000049550000}"/>
    <cellStyle name="Normal 2 2 2 2 9 9 2" xfId="21026" xr:uid="{00000000-0005-0000-0000-00004A550000}"/>
    <cellStyle name="Normal 2 2 2 2 9 9 3" xfId="21027" xr:uid="{00000000-0005-0000-0000-00004B550000}"/>
    <cellStyle name="Normal 2 2 2 2 9 9 4" xfId="21028" xr:uid="{00000000-0005-0000-0000-00004C550000}"/>
    <cellStyle name="Normal 2 2 2 2 9 9 5" xfId="21029" xr:uid="{00000000-0005-0000-0000-00004D550000}"/>
    <cellStyle name="Normal 2 2 2 2 9 9 6" xfId="21030" xr:uid="{00000000-0005-0000-0000-00004E550000}"/>
    <cellStyle name="Normal 2 2 2 20" xfId="21031" xr:uid="{00000000-0005-0000-0000-00004F550000}"/>
    <cellStyle name="Normal 2 2 2 20 10" xfId="21032" xr:uid="{00000000-0005-0000-0000-000050550000}"/>
    <cellStyle name="Normal 2 2 2 20 11" xfId="21033" xr:uid="{00000000-0005-0000-0000-000051550000}"/>
    <cellStyle name="Normal 2 2 2 20 12" xfId="21034" xr:uid="{00000000-0005-0000-0000-000052550000}"/>
    <cellStyle name="Normal 2 2 2 20 13" xfId="21035" xr:uid="{00000000-0005-0000-0000-000053550000}"/>
    <cellStyle name="Normal 2 2 2 20 14" xfId="21036" xr:uid="{00000000-0005-0000-0000-000054550000}"/>
    <cellStyle name="Normal 2 2 2 20 2" xfId="21037" xr:uid="{00000000-0005-0000-0000-000055550000}"/>
    <cellStyle name="Normal 2 2 2 20 2 2" xfId="21038" xr:uid="{00000000-0005-0000-0000-000056550000}"/>
    <cellStyle name="Normal 2 2 2 20 2 2 2" xfId="21039" xr:uid="{00000000-0005-0000-0000-000057550000}"/>
    <cellStyle name="Normal 2 2 2 20 2 3" xfId="21040" xr:uid="{00000000-0005-0000-0000-000058550000}"/>
    <cellStyle name="Normal 2 2 2 20 2 4" xfId="21041" xr:uid="{00000000-0005-0000-0000-000059550000}"/>
    <cellStyle name="Normal 2 2 2 20 2 5" xfId="21042" xr:uid="{00000000-0005-0000-0000-00005A550000}"/>
    <cellStyle name="Normal 2 2 2 20 2 6" xfId="21043" xr:uid="{00000000-0005-0000-0000-00005B550000}"/>
    <cellStyle name="Normal 2 2 2 20 3" xfId="21044" xr:uid="{00000000-0005-0000-0000-00005C550000}"/>
    <cellStyle name="Normal 2 2 2 20 3 2" xfId="21045" xr:uid="{00000000-0005-0000-0000-00005D550000}"/>
    <cellStyle name="Normal 2 2 2 20 3 3" xfId="21046" xr:uid="{00000000-0005-0000-0000-00005E550000}"/>
    <cellStyle name="Normal 2 2 2 20 3 4" xfId="21047" xr:uid="{00000000-0005-0000-0000-00005F550000}"/>
    <cellStyle name="Normal 2 2 2 20 3 5" xfId="21048" xr:uid="{00000000-0005-0000-0000-000060550000}"/>
    <cellStyle name="Normal 2 2 2 20 3 6" xfId="21049" xr:uid="{00000000-0005-0000-0000-000061550000}"/>
    <cellStyle name="Normal 2 2 2 20 4" xfId="21050" xr:uid="{00000000-0005-0000-0000-000062550000}"/>
    <cellStyle name="Normal 2 2 2 20 4 2" xfId="21051" xr:uid="{00000000-0005-0000-0000-000063550000}"/>
    <cellStyle name="Normal 2 2 2 20 4 3" xfId="21052" xr:uid="{00000000-0005-0000-0000-000064550000}"/>
    <cellStyle name="Normal 2 2 2 20 4 4" xfId="21053" xr:uid="{00000000-0005-0000-0000-000065550000}"/>
    <cellStyle name="Normal 2 2 2 20 4 5" xfId="21054" xr:uid="{00000000-0005-0000-0000-000066550000}"/>
    <cellStyle name="Normal 2 2 2 20 4 6" xfId="21055" xr:uid="{00000000-0005-0000-0000-000067550000}"/>
    <cellStyle name="Normal 2 2 2 20 5" xfId="21056" xr:uid="{00000000-0005-0000-0000-000068550000}"/>
    <cellStyle name="Normal 2 2 2 20 5 2" xfId="21057" xr:uid="{00000000-0005-0000-0000-000069550000}"/>
    <cellStyle name="Normal 2 2 2 20 5 3" xfId="21058" xr:uid="{00000000-0005-0000-0000-00006A550000}"/>
    <cellStyle name="Normal 2 2 2 20 5 4" xfId="21059" xr:uid="{00000000-0005-0000-0000-00006B550000}"/>
    <cellStyle name="Normal 2 2 2 20 5 5" xfId="21060" xr:uid="{00000000-0005-0000-0000-00006C550000}"/>
    <cellStyle name="Normal 2 2 2 20 5 6" xfId="21061" xr:uid="{00000000-0005-0000-0000-00006D550000}"/>
    <cellStyle name="Normal 2 2 2 20 6" xfId="21062" xr:uid="{00000000-0005-0000-0000-00006E550000}"/>
    <cellStyle name="Normal 2 2 2 20 6 2" xfId="21063" xr:uid="{00000000-0005-0000-0000-00006F550000}"/>
    <cellStyle name="Normal 2 2 2 20 6 3" xfId="21064" xr:uid="{00000000-0005-0000-0000-000070550000}"/>
    <cellStyle name="Normal 2 2 2 20 6 4" xfId="21065" xr:uid="{00000000-0005-0000-0000-000071550000}"/>
    <cellStyle name="Normal 2 2 2 20 6 5" xfId="21066" xr:uid="{00000000-0005-0000-0000-000072550000}"/>
    <cellStyle name="Normal 2 2 2 20 6 6" xfId="21067" xr:uid="{00000000-0005-0000-0000-000073550000}"/>
    <cellStyle name="Normal 2 2 2 20 7" xfId="21068" xr:uid="{00000000-0005-0000-0000-000074550000}"/>
    <cellStyle name="Normal 2 2 2 20 7 2" xfId="21069" xr:uid="{00000000-0005-0000-0000-000075550000}"/>
    <cellStyle name="Normal 2 2 2 20 7 3" xfId="21070" xr:uid="{00000000-0005-0000-0000-000076550000}"/>
    <cellStyle name="Normal 2 2 2 20 7 4" xfId="21071" xr:uid="{00000000-0005-0000-0000-000077550000}"/>
    <cellStyle name="Normal 2 2 2 20 7 5" xfId="21072" xr:uid="{00000000-0005-0000-0000-000078550000}"/>
    <cellStyle name="Normal 2 2 2 20 7 6" xfId="21073" xr:uid="{00000000-0005-0000-0000-000079550000}"/>
    <cellStyle name="Normal 2 2 2 20 8" xfId="21074" xr:uid="{00000000-0005-0000-0000-00007A550000}"/>
    <cellStyle name="Normal 2 2 2 20 8 2" xfId="21075" xr:uid="{00000000-0005-0000-0000-00007B550000}"/>
    <cellStyle name="Normal 2 2 2 20 8 3" xfId="21076" xr:uid="{00000000-0005-0000-0000-00007C550000}"/>
    <cellStyle name="Normal 2 2 2 20 8 4" xfId="21077" xr:uid="{00000000-0005-0000-0000-00007D550000}"/>
    <cellStyle name="Normal 2 2 2 20 8 5" xfId="21078" xr:uid="{00000000-0005-0000-0000-00007E550000}"/>
    <cellStyle name="Normal 2 2 2 20 8 6" xfId="21079" xr:uid="{00000000-0005-0000-0000-00007F550000}"/>
    <cellStyle name="Normal 2 2 2 20 9" xfId="21080" xr:uid="{00000000-0005-0000-0000-000080550000}"/>
    <cellStyle name="Normal 2 2 2 21" xfId="21081" xr:uid="{00000000-0005-0000-0000-000081550000}"/>
    <cellStyle name="Normal 2 2 2 21 10" xfId="21082" xr:uid="{00000000-0005-0000-0000-000082550000}"/>
    <cellStyle name="Normal 2 2 2 21 11" xfId="21083" xr:uid="{00000000-0005-0000-0000-000083550000}"/>
    <cellStyle name="Normal 2 2 2 21 12" xfId="21084" xr:uid="{00000000-0005-0000-0000-000084550000}"/>
    <cellStyle name="Normal 2 2 2 21 13" xfId="21085" xr:uid="{00000000-0005-0000-0000-000085550000}"/>
    <cellStyle name="Normal 2 2 2 21 14" xfId="21086" xr:uid="{00000000-0005-0000-0000-000086550000}"/>
    <cellStyle name="Normal 2 2 2 21 2" xfId="21087" xr:uid="{00000000-0005-0000-0000-000087550000}"/>
    <cellStyle name="Normal 2 2 2 21 2 2" xfId="21088" xr:uid="{00000000-0005-0000-0000-000088550000}"/>
    <cellStyle name="Normal 2 2 2 21 2 3" xfId="21089" xr:uid="{00000000-0005-0000-0000-000089550000}"/>
    <cellStyle name="Normal 2 2 2 21 2 4" xfId="21090" xr:uid="{00000000-0005-0000-0000-00008A550000}"/>
    <cellStyle name="Normal 2 2 2 21 2 5" xfId="21091" xr:uid="{00000000-0005-0000-0000-00008B550000}"/>
    <cellStyle name="Normal 2 2 2 21 2 6" xfId="21092" xr:uid="{00000000-0005-0000-0000-00008C550000}"/>
    <cellStyle name="Normal 2 2 2 21 3" xfId="21093" xr:uid="{00000000-0005-0000-0000-00008D550000}"/>
    <cellStyle name="Normal 2 2 2 21 3 2" xfId="21094" xr:uid="{00000000-0005-0000-0000-00008E550000}"/>
    <cellStyle name="Normal 2 2 2 21 3 3" xfId="21095" xr:uid="{00000000-0005-0000-0000-00008F550000}"/>
    <cellStyle name="Normal 2 2 2 21 3 4" xfId="21096" xr:uid="{00000000-0005-0000-0000-000090550000}"/>
    <cellStyle name="Normal 2 2 2 21 3 5" xfId="21097" xr:uid="{00000000-0005-0000-0000-000091550000}"/>
    <cellStyle name="Normal 2 2 2 21 3 6" xfId="21098" xr:uid="{00000000-0005-0000-0000-000092550000}"/>
    <cellStyle name="Normal 2 2 2 21 4" xfId="21099" xr:uid="{00000000-0005-0000-0000-000093550000}"/>
    <cellStyle name="Normal 2 2 2 21 4 2" xfId="21100" xr:uid="{00000000-0005-0000-0000-000094550000}"/>
    <cellStyle name="Normal 2 2 2 21 4 3" xfId="21101" xr:uid="{00000000-0005-0000-0000-000095550000}"/>
    <cellStyle name="Normal 2 2 2 21 4 4" xfId="21102" xr:uid="{00000000-0005-0000-0000-000096550000}"/>
    <cellStyle name="Normal 2 2 2 21 4 5" xfId="21103" xr:uid="{00000000-0005-0000-0000-000097550000}"/>
    <cellStyle name="Normal 2 2 2 21 4 6" xfId="21104" xr:uid="{00000000-0005-0000-0000-000098550000}"/>
    <cellStyle name="Normal 2 2 2 21 5" xfId="21105" xr:uid="{00000000-0005-0000-0000-000099550000}"/>
    <cellStyle name="Normal 2 2 2 21 5 2" xfId="21106" xr:uid="{00000000-0005-0000-0000-00009A550000}"/>
    <cellStyle name="Normal 2 2 2 21 5 3" xfId="21107" xr:uid="{00000000-0005-0000-0000-00009B550000}"/>
    <cellStyle name="Normal 2 2 2 21 5 4" xfId="21108" xr:uid="{00000000-0005-0000-0000-00009C550000}"/>
    <cellStyle name="Normal 2 2 2 21 5 5" xfId="21109" xr:uid="{00000000-0005-0000-0000-00009D550000}"/>
    <cellStyle name="Normal 2 2 2 21 5 6" xfId="21110" xr:uid="{00000000-0005-0000-0000-00009E550000}"/>
    <cellStyle name="Normal 2 2 2 21 6" xfId="21111" xr:uid="{00000000-0005-0000-0000-00009F550000}"/>
    <cellStyle name="Normal 2 2 2 21 6 2" xfId="21112" xr:uid="{00000000-0005-0000-0000-0000A0550000}"/>
    <cellStyle name="Normal 2 2 2 21 6 3" xfId="21113" xr:uid="{00000000-0005-0000-0000-0000A1550000}"/>
    <cellStyle name="Normal 2 2 2 21 6 4" xfId="21114" xr:uid="{00000000-0005-0000-0000-0000A2550000}"/>
    <cellStyle name="Normal 2 2 2 21 6 5" xfId="21115" xr:uid="{00000000-0005-0000-0000-0000A3550000}"/>
    <cellStyle name="Normal 2 2 2 21 6 6" xfId="21116" xr:uid="{00000000-0005-0000-0000-0000A4550000}"/>
    <cellStyle name="Normal 2 2 2 21 7" xfId="21117" xr:uid="{00000000-0005-0000-0000-0000A5550000}"/>
    <cellStyle name="Normal 2 2 2 21 7 2" xfId="21118" xr:uid="{00000000-0005-0000-0000-0000A6550000}"/>
    <cellStyle name="Normal 2 2 2 21 7 3" xfId="21119" xr:uid="{00000000-0005-0000-0000-0000A7550000}"/>
    <cellStyle name="Normal 2 2 2 21 7 4" xfId="21120" xr:uid="{00000000-0005-0000-0000-0000A8550000}"/>
    <cellStyle name="Normal 2 2 2 21 7 5" xfId="21121" xr:uid="{00000000-0005-0000-0000-0000A9550000}"/>
    <cellStyle name="Normal 2 2 2 21 7 6" xfId="21122" xr:uid="{00000000-0005-0000-0000-0000AA550000}"/>
    <cellStyle name="Normal 2 2 2 21 8" xfId="21123" xr:uid="{00000000-0005-0000-0000-0000AB550000}"/>
    <cellStyle name="Normal 2 2 2 21 8 2" xfId="21124" xr:uid="{00000000-0005-0000-0000-0000AC550000}"/>
    <cellStyle name="Normal 2 2 2 21 8 3" xfId="21125" xr:uid="{00000000-0005-0000-0000-0000AD550000}"/>
    <cellStyle name="Normal 2 2 2 21 8 4" xfId="21126" xr:uid="{00000000-0005-0000-0000-0000AE550000}"/>
    <cellStyle name="Normal 2 2 2 21 8 5" xfId="21127" xr:uid="{00000000-0005-0000-0000-0000AF550000}"/>
    <cellStyle name="Normal 2 2 2 21 8 6" xfId="21128" xr:uid="{00000000-0005-0000-0000-0000B0550000}"/>
    <cellStyle name="Normal 2 2 2 21 9" xfId="21129" xr:uid="{00000000-0005-0000-0000-0000B1550000}"/>
    <cellStyle name="Normal 2 2 2 22" xfId="21130" xr:uid="{00000000-0005-0000-0000-0000B2550000}"/>
    <cellStyle name="Normal 2 2 2 22 10" xfId="21131" xr:uid="{00000000-0005-0000-0000-0000B3550000}"/>
    <cellStyle name="Normal 2 2 2 22 11" xfId="21132" xr:uid="{00000000-0005-0000-0000-0000B4550000}"/>
    <cellStyle name="Normal 2 2 2 22 12" xfId="21133" xr:uid="{00000000-0005-0000-0000-0000B5550000}"/>
    <cellStyle name="Normal 2 2 2 22 13" xfId="21134" xr:uid="{00000000-0005-0000-0000-0000B6550000}"/>
    <cellStyle name="Normal 2 2 2 22 14" xfId="21135" xr:uid="{00000000-0005-0000-0000-0000B7550000}"/>
    <cellStyle name="Normal 2 2 2 22 2" xfId="21136" xr:uid="{00000000-0005-0000-0000-0000B8550000}"/>
    <cellStyle name="Normal 2 2 2 22 2 2" xfId="21137" xr:uid="{00000000-0005-0000-0000-0000B9550000}"/>
    <cellStyle name="Normal 2 2 2 22 2 3" xfId="21138" xr:uid="{00000000-0005-0000-0000-0000BA550000}"/>
    <cellStyle name="Normal 2 2 2 22 2 4" xfId="21139" xr:uid="{00000000-0005-0000-0000-0000BB550000}"/>
    <cellStyle name="Normal 2 2 2 22 2 5" xfId="21140" xr:uid="{00000000-0005-0000-0000-0000BC550000}"/>
    <cellStyle name="Normal 2 2 2 22 2 6" xfId="21141" xr:uid="{00000000-0005-0000-0000-0000BD550000}"/>
    <cellStyle name="Normal 2 2 2 22 3" xfId="21142" xr:uid="{00000000-0005-0000-0000-0000BE550000}"/>
    <cellStyle name="Normal 2 2 2 22 3 2" xfId="21143" xr:uid="{00000000-0005-0000-0000-0000BF550000}"/>
    <cellStyle name="Normal 2 2 2 22 3 3" xfId="21144" xr:uid="{00000000-0005-0000-0000-0000C0550000}"/>
    <cellStyle name="Normal 2 2 2 22 3 4" xfId="21145" xr:uid="{00000000-0005-0000-0000-0000C1550000}"/>
    <cellStyle name="Normal 2 2 2 22 3 5" xfId="21146" xr:uid="{00000000-0005-0000-0000-0000C2550000}"/>
    <cellStyle name="Normal 2 2 2 22 3 6" xfId="21147" xr:uid="{00000000-0005-0000-0000-0000C3550000}"/>
    <cellStyle name="Normal 2 2 2 22 4" xfId="21148" xr:uid="{00000000-0005-0000-0000-0000C4550000}"/>
    <cellStyle name="Normal 2 2 2 22 4 2" xfId="21149" xr:uid="{00000000-0005-0000-0000-0000C5550000}"/>
    <cellStyle name="Normal 2 2 2 22 4 3" xfId="21150" xr:uid="{00000000-0005-0000-0000-0000C6550000}"/>
    <cellStyle name="Normal 2 2 2 22 4 4" xfId="21151" xr:uid="{00000000-0005-0000-0000-0000C7550000}"/>
    <cellStyle name="Normal 2 2 2 22 4 5" xfId="21152" xr:uid="{00000000-0005-0000-0000-0000C8550000}"/>
    <cellStyle name="Normal 2 2 2 22 4 6" xfId="21153" xr:uid="{00000000-0005-0000-0000-0000C9550000}"/>
    <cellStyle name="Normal 2 2 2 22 5" xfId="21154" xr:uid="{00000000-0005-0000-0000-0000CA550000}"/>
    <cellStyle name="Normal 2 2 2 22 5 2" xfId="21155" xr:uid="{00000000-0005-0000-0000-0000CB550000}"/>
    <cellStyle name="Normal 2 2 2 22 5 3" xfId="21156" xr:uid="{00000000-0005-0000-0000-0000CC550000}"/>
    <cellStyle name="Normal 2 2 2 22 5 4" xfId="21157" xr:uid="{00000000-0005-0000-0000-0000CD550000}"/>
    <cellStyle name="Normal 2 2 2 22 5 5" xfId="21158" xr:uid="{00000000-0005-0000-0000-0000CE550000}"/>
    <cellStyle name="Normal 2 2 2 22 5 6" xfId="21159" xr:uid="{00000000-0005-0000-0000-0000CF550000}"/>
    <cellStyle name="Normal 2 2 2 22 6" xfId="21160" xr:uid="{00000000-0005-0000-0000-0000D0550000}"/>
    <cellStyle name="Normal 2 2 2 22 6 2" xfId="21161" xr:uid="{00000000-0005-0000-0000-0000D1550000}"/>
    <cellStyle name="Normal 2 2 2 22 6 3" xfId="21162" xr:uid="{00000000-0005-0000-0000-0000D2550000}"/>
    <cellStyle name="Normal 2 2 2 22 6 4" xfId="21163" xr:uid="{00000000-0005-0000-0000-0000D3550000}"/>
    <cellStyle name="Normal 2 2 2 22 6 5" xfId="21164" xr:uid="{00000000-0005-0000-0000-0000D4550000}"/>
    <cellStyle name="Normal 2 2 2 22 6 6" xfId="21165" xr:uid="{00000000-0005-0000-0000-0000D5550000}"/>
    <cellStyle name="Normal 2 2 2 22 7" xfId="21166" xr:uid="{00000000-0005-0000-0000-0000D6550000}"/>
    <cellStyle name="Normal 2 2 2 22 7 2" xfId="21167" xr:uid="{00000000-0005-0000-0000-0000D7550000}"/>
    <cellStyle name="Normal 2 2 2 22 7 3" xfId="21168" xr:uid="{00000000-0005-0000-0000-0000D8550000}"/>
    <cellStyle name="Normal 2 2 2 22 7 4" xfId="21169" xr:uid="{00000000-0005-0000-0000-0000D9550000}"/>
    <cellStyle name="Normal 2 2 2 22 7 5" xfId="21170" xr:uid="{00000000-0005-0000-0000-0000DA550000}"/>
    <cellStyle name="Normal 2 2 2 22 7 6" xfId="21171" xr:uid="{00000000-0005-0000-0000-0000DB550000}"/>
    <cellStyle name="Normal 2 2 2 22 8" xfId="21172" xr:uid="{00000000-0005-0000-0000-0000DC550000}"/>
    <cellStyle name="Normal 2 2 2 22 8 2" xfId="21173" xr:uid="{00000000-0005-0000-0000-0000DD550000}"/>
    <cellStyle name="Normal 2 2 2 22 8 3" xfId="21174" xr:uid="{00000000-0005-0000-0000-0000DE550000}"/>
    <cellStyle name="Normal 2 2 2 22 8 4" xfId="21175" xr:uid="{00000000-0005-0000-0000-0000DF550000}"/>
    <cellStyle name="Normal 2 2 2 22 8 5" xfId="21176" xr:uid="{00000000-0005-0000-0000-0000E0550000}"/>
    <cellStyle name="Normal 2 2 2 22 8 6" xfId="21177" xr:uid="{00000000-0005-0000-0000-0000E1550000}"/>
    <cellStyle name="Normal 2 2 2 22 9" xfId="21178" xr:uid="{00000000-0005-0000-0000-0000E2550000}"/>
    <cellStyle name="Normal 2 2 2 23" xfId="21179" xr:uid="{00000000-0005-0000-0000-0000E3550000}"/>
    <cellStyle name="Normal 2 2 2 23 10" xfId="21180" xr:uid="{00000000-0005-0000-0000-0000E4550000}"/>
    <cellStyle name="Normal 2 2 2 23 11" xfId="21181" xr:uid="{00000000-0005-0000-0000-0000E5550000}"/>
    <cellStyle name="Normal 2 2 2 23 12" xfId="21182" xr:uid="{00000000-0005-0000-0000-0000E6550000}"/>
    <cellStyle name="Normal 2 2 2 23 13" xfId="21183" xr:uid="{00000000-0005-0000-0000-0000E7550000}"/>
    <cellStyle name="Normal 2 2 2 23 14" xfId="21184" xr:uid="{00000000-0005-0000-0000-0000E8550000}"/>
    <cellStyle name="Normal 2 2 2 23 2" xfId="21185" xr:uid="{00000000-0005-0000-0000-0000E9550000}"/>
    <cellStyle name="Normal 2 2 2 23 2 2" xfId="21186" xr:uid="{00000000-0005-0000-0000-0000EA550000}"/>
    <cellStyle name="Normal 2 2 2 23 2 3" xfId="21187" xr:uid="{00000000-0005-0000-0000-0000EB550000}"/>
    <cellStyle name="Normal 2 2 2 23 2 4" xfId="21188" xr:uid="{00000000-0005-0000-0000-0000EC550000}"/>
    <cellStyle name="Normal 2 2 2 23 2 5" xfId="21189" xr:uid="{00000000-0005-0000-0000-0000ED550000}"/>
    <cellStyle name="Normal 2 2 2 23 2 6" xfId="21190" xr:uid="{00000000-0005-0000-0000-0000EE550000}"/>
    <cellStyle name="Normal 2 2 2 23 3" xfId="21191" xr:uid="{00000000-0005-0000-0000-0000EF550000}"/>
    <cellStyle name="Normal 2 2 2 23 3 2" xfId="21192" xr:uid="{00000000-0005-0000-0000-0000F0550000}"/>
    <cellStyle name="Normal 2 2 2 23 3 3" xfId="21193" xr:uid="{00000000-0005-0000-0000-0000F1550000}"/>
    <cellStyle name="Normal 2 2 2 23 3 4" xfId="21194" xr:uid="{00000000-0005-0000-0000-0000F2550000}"/>
    <cellStyle name="Normal 2 2 2 23 3 5" xfId="21195" xr:uid="{00000000-0005-0000-0000-0000F3550000}"/>
    <cellStyle name="Normal 2 2 2 23 3 6" xfId="21196" xr:uid="{00000000-0005-0000-0000-0000F4550000}"/>
    <cellStyle name="Normal 2 2 2 23 4" xfId="21197" xr:uid="{00000000-0005-0000-0000-0000F5550000}"/>
    <cellStyle name="Normal 2 2 2 23 4 2" xfId="21198" xr:uid="{00000000-0005-0000-0000-0000F6550000}"/>
    <cellStyle name="Normal 2 2 2 23 4 3" xfId="21199" xr:uid="{00000000-0005-0000-0000-0000F7550000}"/>
    <cellStyle name="Normal 2 2 2 23 4 4" xfId="21200" xr:uid="{00000000-0005-0000-0000-0000F8550000}"/>
    <cellStyle name="Normal 2 2 2 23 4 5" xfId="21201" xr:uid="{00000000-0005-0000-0000-0000F9550000}"/>
    <cellStyle name="Normal 2 2 2 23 4 6" xfId="21202" xr:uid="{00000000-0005-0000-0000-0000FA550000}"/>
    <cellStyle name="Normal 2 2 2 23 5" xfId="21203" xr:uid="{00000000-0005-0000-0000-0000FB550000}"/>
    <cellStyle name="Normal 2 2 2 23 5 2" xfId="21204" xr:uid="{00000000-0005-0000-0000-0000FC550000}"/>
    <cellStyle name="Normal 2 2 2 23 5 3" xfId="21205" xr:uid="{00000000-0005-0000-0000-0000FD550000}"/>
    <cellStyle name="Normal 2 2 2 23 5 4" xfId="21206" xr:uid="{00000000-0005-0000-0000-0000FE550000}"/>
    <cellStyle name="Normal 2 2 2 23 5 5" xfId="21207" xr:uid="{00000000-0005-0000-0000-0000FF550000}"/>
    <cellStyle name="Normal 2 2 2 23 5 6" xfId="21208" xr:uid="{00000000-0005-0000-0000-000000560000}"/>
    <cellStyle name="Normal 2 2 2 23 6" xfId="21209" xr:uid="{00000000-0005-0000-0000-000001560000}"/>
    <cellStyle name="Normal 2 2 2 23 6 2" xfId="21210" xr:uid="{00000000-0005-0000-0000-000002560000}"/>
    <cellStyle name="Normal 2 2 2 23 6 3" xfId="21211" xr:uid="{00000000-0005-0000-0000-000003560000}"/>
    <cellStyle name="Normal 2 2 2 23 6 4" xfId="21212" xr:uid="{00000000-0005-0000-0000-000004560000}"/>
    <cellStyle name="Normal 2 2 2 23 6 5" xfId="21213" xr:uid="{00000000-0005-0000-0000-000005560000}"/>
    <cellStyle name="Normal 2 2 2 23 6 6" xfId="21214" xr:uid="{00000000-0005-0000-0000-000006560000}"/>
    <cellStyle name="Normal 2 2 2 23 7" xfId="21215" xr:uid="{00000000-0005-0000-0000-000007560000}"/>
    <cellStyle name="Normal 2 2 2 23 7 2" xfId="21216" xr:uid="{00000000-0005-0000-0000-000008560000}"/>
    <cellStyle name="Normal 2 2 2 23 7 3" xfId="21217" xr:uid="{00000000-0005-0000-0000-000009560000}"/>
    <cellStyle name="Normal 2 2 2 23 7 4" xfId="21218" xr:uid="{00000000-0005-0000-0000-00000A560000}"/>
    <cellStyle name="Normal 2 2 2 23 7 5" xfId="21219" xr:uid="{00000000-0005-0000-0000-00000B560000}"/>
    <cellStyle name="Normal 2 2 2 23 7 6" xfId="21220" xr:uid="{00000000-0005-0000-0000-00000C560000}"/>
    <cellStyle name="Normal 2 2 2 23 8" xfId="21221" xr:uid="{00000000-0005-0000-0000-00000D560000}"/>
    <cellStyle name="Normal 2 2 2 23 8 2" xfId="21222" xr:uid="{00000000-0005-0000-0000-00000E560000}"/>
    <cellStyle name="Normal 2 2 2 23 8 3" xfId="21223" xr:uid="{00000000-0005-0000-0000-00000F560000}"/>
    <cellStyle name="Normal 2 2 2 23 8 4" xfId="21224" xr:uid="{00000000-0005-0000-0000-000010560000}"/>
    <cellStyle name="Normal 2 2 2 23 8 5" xfId="21225" xr:uid="{00000000-0005-0000-0000-000011560000}"/>
    <cellStyle name="Normal 2 2 2 23 8 6" xfId="21226" xr:uid="{00000000-0005-0000-0000-000012560000}"/>
    <cellStyle name="Normal 2 2 2 23 9" xfId="21227" xr:uid="{00000000-0005-0000-0000-000013560000}"/>
    <cellStyle name="Normal 2 2 2 24" xfId="21228" xr:uid="{00000000-0005-0000-0000-000014560000}"/>
    <cellStyle name="Normal 2 2 2 24 10" xfId="21229" xr:uid="{00000000-0005-0000-0000-000015560000}"/>
    <cellStyle name="Normal 2 2 2 24 11" xfId="21230" xr:uid="{00000000-0005-0000-0000-000016560000}"/>
    <cellStyle name="Normal 2 2 2 24 12" xfId="21231" xr:uid="{00000000-0005-0000-0000-000017560000}"/>
    <cellStyle name="Normal 2 2 2 24 13" xfId="21232" xr:uid="{00000000-0005-0000-0000-000018560000}"/>
    <cellStyle name="Normal 2 2 2 24 14" xfId="21233" xr:uid="{00000000-0005-0000-0000-000019560000}"/>
    <cellStyle name="Normal 2 2 2 24 2" xfId="21234" xr:uid="{00000000-0005-0000-0000-00001A560000}"/>
    <cellStyle name="Normal 2 2 2 24 2 2" xfId="21235" xr:uid="{00000000-0005-0000-0000-00001B560000}"/>
    <cellStyle name="Normal 2 2 2 24 2 3" xfId="21236" xr:uid="{00000000-0005-0000-0000-00001C560000}"/>
    <cellStyle name="Normal 2 2 2 24 2 4" xfId="21237" xr:uid="{00000000-0005-0000-0000-00001D560000}"/>
    <cellStyle name="Normal 2 2 2 24 2 5" xfId="21238" xr:uid="{00000000-0005-0000-0000-00001E560000}"/>
    <cellStyle name="Normal 2 2 2 24 2 6" xfId="21239" xr:uid="{00000000-0005-0000-0000-00001F560000}"/>
    <cellStyle name="Normal 2 2 2 24 3" xfId="21240" xr:uid="{00000000-0005-0000-0000-000020560000}"/>
    <cellStyle name="Normal 2 2 2 24 3 2" xfId="21241" xr:uid="{00000000-0005-0000-0000-000021560000}"/>
    <cellStyle name="Normal 2 2 2 24 3 3" xfId="21242" xr:uid="{00000000-0005-0000-0000-000022560000}"/>
    <cellStyle name="Normal 2 2 2 24 3 4" xfId="21243" xr:uid="{00000000-0005-0000-0000-000023560000}"/>
    <cellStyle name="Normal 2 2 2 24 3 5" xfId="21244" xr:uid="{00000000-0005-0000-0000-000024560000}"/>
    <cellStyle name="Normal 2 2 2 24 3 6" xfId="21245" xr:uid="{00000000-0005-0000-0000-000025560000}"/>
    <cellStyle name="Normal 2 2 2 24 4" xfId="21246" xr:uid="{00000000-0005-0000-0000-000026560000}"/>
    <cellStyle name="Normal 2 2 2 24 4 2" xfId="21247" xr:uid="{00000000-0005-0000-0000-000027560000}"/>
    <cellStyle name="Normal 2 2 2 24 4 3" xfId="21248" xr:uid="{00000000-0005-0000-0000-000028560000}"/>
    <cellStyle name="Normal 2 2 2 24 4 4" xfId="21249" xr:uid="{00000000-0005-0000-0000-000029560000}"/>
    <cellStyle name="Normal 2 2 2 24 4 5" xfId="21250" xr:uid="{00000000-0005-0000-0000-00002A560000}"/>
    <cellStyle name="Normal 2 2 2 24 4 6" xfId="21251" xr:uid="{00000000-0005-0000-0000-00002B560000}"/>
    <cellStyle name="Normal 2 2 2 24 5" xfId="21252" xr:uid="{00000000-0005-0000-0000-00002C560000}"/>
    <cellStyle name="Normal 2 2 2 24 5 2" xfId="21253" xr:uid="{00000000-0005-0000-0000-00002D560000}"/>
    <cellStyle name="Normal 2 2 2 24 5 3" xfId="21254" xr:uid="{00000000-0005-0000-0000-00002E560000}"/>
    <cellStyle name="Normal 2 2 2 24 5 4" xfId="21255" xr:uid="{00000000-0005-0000-0000-00002F560000}"/>
    <cellStyle name="Normal 2 2 2 24 5 5" xfId="21256" xr:uid="{00000000-0005-0000-0000-000030560000}"/>
    <cellStyle name="Normal 2 2 2 24 5 6" xfId="21257" xr:uid="{00000000-0005-0000-0000-000031560000}"/>
    <cellStyle name="Normal 2 2 2 24 6" xfId="21258" xr:uid="{00000000-0005-0000-0000-000032560000}"/>
    <cellStyle name="Normal 2 2 2 24 6 2" xfId="21259" xr:uid="{00000000-0005-0000-0000-000033560000}"/>
    <cellStyle name="Normal 2 2 2 24 6 3" xfId="21260" xr:uid="{00000000-0005-0000-0000-000034560000}"/>
    <cellStyle name="Normal 2 2 2 24 6 4" xfId="21261" xr:uid="{00000000-0005-0000-0000-000035560000}"/>
    <cellStyle name="Normal 2 2 2 24 6 5" xfId="21262" xr:uid="{00000000-0005-0000-0000-000036560000}"/>
    <cellStyle name="Normal 2 2 2 24 6 6" xfId="21263" xr:uid="{00000000-0005-0000-0000-000037560000}"/>
    <cellStyle name="Normal 2 2 2 24 7" xfId="21264" xr:uid="{00000000-0005-0000-0000-000038560000}"/>
    <cellStyle name="Normal 2 2 2 24 7 2" xfId="21265" xr:uid="{00000000-0005-0000-0000-000039560000}"/>
    <cellStyle name="Normal 2 2 2 24 7 3" xfId="21266" xr:uid="{00000000-0005-0000-0000-00003A560000}"/>
    <cellStyle name="Normal 2 2 2 24 7 4" xfId="21267" xr:uid="{00000000-0005-0000-0000-00003B560000}"/>
    <cellStyle name="Normal 2 2 2 24 7 5" xfId="21268" xr:uid="{00000000-0005-0000-0000-00003C560000}"/>
    <cellStyle name="Normal 2 2 2 24 7 6" xfId="21269" xr:uid="{00000000-0005-0000-0000-00003D560000}"/>
    <cellStyle name="Normal 2 2 2 24 8" xfId="21270" xr:uid="{00000000-0005-0000-0000-00003E560000}"/>
    <cellStyle name="Normal 2 2 2 24 8 2" xfId="21271" xr:uid="{00000000-0005-0000-0000-00003F560000}"/>
    <cellStyle name="Normal 2 2 2 24 8 3" xfId="21272" xr:uid="{00000000-0005-0000-0000-000040560000}"/>
    <cellStyle name="Normal 2 2 2 24 8 4" xfId="21273" xr:uid="{00000000-0005-0000-0000-000041560000}"/>
    <cellStyle name="Normal 2 2 2 24 8 5" xfId="21274" xr:uid="{00000000-0005-0000-0000-000042560000}"/>
    <cellStyle name="Normal 2 2 2 24 8 6" xfId="21275" xr:uid="{00000000-0005-0000-0000-000043560000}"/>
    <cellStyle name="Normal 2 2 2 24 9" xfId="21276" xr:uid="{00000000-0005-0000-0000-000044560000}"/>
    <cellStyle name="Normal 2 2 2 25" xfId="21277" xr:uid="{00000000-0005-0000-0000-000045560000}"/>
    <cellStyle name="Normal 2 2 2 25 10" xfId="21278" xr:uid="{00000000-0005-0000-0000-000046560000}"/>
    <cellStyle name="Normal 2 2 2 25 11" xfId="21279" xr:uid="{00000000-0005-0000-0000-000047560000}"/>
    <cellStyle name="Normal 2 2 2 25 12" xfId="21280" xr:uid="{00000000-0005-0000-0000-000048560000}"/>
    <cellStyle name="Normal 2 2 2 25 13" xfId="21281" xr:uid="{00000000-0005-0000-0000-000049560000}"/>
    <cellStyle name="Normal 2 2 2 25 14" xfId="21282" xr:uid="{00000000-0005-0000-0000-00004A560000}"/>
    <cellStyle name="Normal 2 2 2 25 2" xfId="21283" xr:uid="{00000000-0005-0000-0000-00004B560000}"/>
    <cellStyle name="Normal 2 2 2 25 2 2" xfId="21284" xr:uid="{00000000-0005-0000-0000-00004C560000}"/>
    <cellStyle name="Normal 2 2 2 25 2 3" xfId="21285" xr:uid="{00000000-0005-0000-0000-00004D560000}"/>
    <cellStyle name="Normal 2 2 2 25 2 4" xfId="21286" xr:uid="{00000000-0005-0000-0000-00004E560000}"/>
    <cellStyle name="Normal 2 2 2 25 2 5" xfId="21287" xr:uid="{00000000-0005-0000-0000-00004F560000}"/>
    <cellStyle name="Normal 2 2 2 25 2 6" xfId="21288" xr:uid="{00000000-0005-0000-0000-000050560000}"/>
    <cellStyle name="Normal 2 2 2 25 3" xfId="21289" xr:uid="{00000000-0005-0000-0000-000051560000}"/>
    <cellStyle name="Normal 2 2 2 25 3 2" xfId="21290" xr:uid="{00000000-0005-0000-0000-000052560000}"/>
    <cellStyle name="Normal 2 2 2 25 3 3" xfId="21291" xr:uid="{00000000-0005-0000-0000-000053560000}"/>
    <cellStyle name="Normal 2 2 2 25 3 4" xfId="21292" xr:uid="{00000000-0005-0000-0000-000054560000}"/>
    <cellStyle name="Normal 2 2 2 25 3 5" xfId="21293" xr:uid="{00000000-0005-0000-0000-000055560000}"/>
    <cellStyle name="Normal 2 2 2 25 3 6" xfId="21294" xr:uid="{00000000-0005-0000-0000-000056560000}"/>
    <cellStyle name="Normal 2 2 2 25 4" xfId="21295" xr:uid="{00000000-0005-0000-0000-000057560000}"/>
    <cellStyle name="Normal 2 2 2 25 4 2" xfId="21296" xr:uid="{00000000-0005-0000-0000-000058560000}"/>
    <cellStyle name="Normal 2 2 2 25 4 3" xfId="21297" xr:uid="{00000000-0005-0000-0000-000059560000}"/>
    <cellStyle name="Normal 2 2 2 25 4 4" xfId="21298" xr:uid="{00000000-0005-0000-0000-00005A560000}"/>
    <cellStyle name="Normal 2 2 2 25 4 5" xfId="21299" xr:uid="{00000000-0005-0000-0000-00005B560000}"/>
    <cellStyle name="Normal 2 2 2 25 4 6" xfId="21300" xr:uid="{00000000-0005-0000-0000-00005C560000}"/>
    <cellStyle name="Normal 2 2 2 25 5" xfId="21301" xr:uid="{00000000-0005-0000-0000-00005D560000}"/>
    <cellStyle name="Normal 2 2 2 25 5 2" xfId="21302" xr:uid="{00000000-0005-0000-0000-00005E560000}"/>
    <cellStyle name="Normal 2 2 2 25 5 3" xfId="21303" xr:uid="{00000000-0005-0000-0000-00005F560000}"/>
    <cellStyle name="Normal 2 2 2 25 5 4" xfId="21304" xr:uid="{00000000-0005-0000-0000-000060560000}"/>
    <cellStyle name="Normal 2 2 2 25 5 5" xfId="21305" xr:uid="{00000000-0005-0000-0000-000061560000}"/>
    <cellStyle name="Normal 2 2 2 25 5 6" xfId="21306" xr:uid="{00000000-0005-0000-0000-000062560000}"/>
    <cellStyle name="Normal 2 2 2 25 6" xfId="21307" xr:uid="{00000000-0005-0000-0000-000063560000}"/>
    <cellStyle name="Normal 2 2 2 25 6 2" xfId="21308" xr:uid="{00000000-0005-0000-0000-000064560000}"/>
    <cellStyle name="Normal 2 2 2 25 6 3" xfId="21309" xr:uid="{00000000-0005-0000-0000-000065560000}"/>
    <cellStyle name="Normal 2 2 2 25 6 4" xfId="21310" xr:uid="{00000000-0005-0000-0000-000066560000}"/>
    <cellStyle name="Normal 2 2 2 25 6 5" xfId="21311" xr:uid="{00000000-0005-0000-0000-000067560000}"/>
    <cellStyle name="Normal 2 2 2 25 6 6" xfId="21312" xr:uid="{00000000-0005-0000-0000-000068560000}"/>
    <cellStyle name="Normal 2 2 2 25 7" xfId="21313" xr:uid="{00000000-0005-0000-0000-000069560000}"/>
    <cellStyle name="Normal 2 2 2 25 7 2" xfId="21314" xr:uid="{00000000-0005-0000-0000-00006A560000}"/>
    <cellStyle name="Normal 2 2 2 25 7 3" xfId="21315" xr:uid="{00000000-0005-0000-0000-00006B560000}"/>
    <cellStyle name="Normal 2 2 2 25 7 4" xfId="21316" xr:uid="{00000000-0005-0000-0000-00006C560000}"/>
    <cellStyle name="Normal 2 2 2 25 7 5" xfId="21317" xr:uid="{00000000-0005-0000-0000-00006D560000}"/>
    <cellStyle name="Normal 2 2 2 25 7 6" xfId="21318" xr:uid="{00000000-0005-0000-0000-00006E560000}"/>
    <cellStyle name="Normal 2 2 2 25 8" xfId="21319" xr:uid="{00000000-0005-0000-0000-00006F560000}"/>
    <cellStyle name="Normal 2 2 2 25 8 2" xfId="21320" xr:uid="{00000000-0005-0000-0000-000070560000}"/>
    <cellStyle name="Normal 2 2 2 25 8 3" xfId="21321" xr:uid="{00000000-0005-0000-0000-000071560000}"/>
    <cellStyle name="Normal 2 2 2 25 8 4" xfId="21322" xr:uid="{00000000-0005-0000-0000-000072560000}"/>
    <cellStyle name="Normal 2 2 2 25 8 5" xfId="21323" xr:uid="{00000000-0005-0000-0000-000073560000}"/>
    <cellStyle name="Normal 2 2 2 25 8 6" xfId="21324" xr:uid="{00000000-0005-0000-0000-000074560000}"/>
    <cellStyle name="Normal 2 2 2 25 9" xfId="21325" xr:uid="{00000000-0005-0000-0000-000075560000}"/>
    <cellStyle name="Normal 2 2 2 26" xfId="21326" xr:uid="{00000000-0005-0000-0000-000076560000}"/>
    <cellStyle name="Normal 2 2 2 26 10" xfId="21327" xr:uid="{00000000-0005-0000-0000-000077560000}"/>
    <cellStyle name="Normal 2 2 2 26 11" xfId="21328" xr:uid="{00000000-0005-0000-0000-000078560000}"/>
    <cellStyle name="Normal 2 2 2 26 12" xfId="21329" xr:uid="{00000000-0005-0000-0000-000079560000}"/>
    <cellStyle name="Normal 2 2 2 26 13" xfId="21330" xr:uid="{00000000-0005-0000-0000-00007A560000}"/>
    <cellStyle name="Normal 2 2 2 26 14" xfId="21331" xr:uid="{00000000-0005-0000-0000-00007B560000}"/>
    <cellStyle name="Normal 2 2 2 26 2" xfId="21332" xr:uid="{00000000-0005-0000-0000-00007C560000}"/>
    <cellStyle name="Normal 2 2 2 26 2 2" xfId="21333" xr:uid="{00000000-0005-0000-0000-00007D560000}"/>
    <cellStyle name="Normal 2 2 2 26 2 3" xfId="21334" xr:uid="{00000000-0005-0000-0000-00007E560000}"/>
    <cellStyle name="Normal 2 2 2 26 2 4" xfId="21335" xr:uid="{00000000-0005-0000-0000-00007F560000}"/>
    <cellStyle name="Normal 2 2 2 26 2 5" xfId="21336" xr:uid="{00000000-0005-0000-0000-000080560000}"/>
    <cellStyle name="Normal 2 2 2 26 2 6" xfId="21337" xr:uid="{00000000-0005-0000-0000-000081560000}"/>
    <cellStyle name="Normal 2 2 2 26 3" xfId="21338" xr:uid="{00000000-0005-0000-0000-000082560000}"/>
    <cellStyle name="Normal 2 2 2 26 3 2" xfId="21339" xr:uid="{00000000-0005-0000-0000-000083560000}"/>
    <cellStyle name="Normal 2 2 2 26 3 3" xfId="21340" xr:uid="{00000000-0005-0000-0000-000084560000}"/>
    <cellStyle name="Normal 2 2 2 26 3 4" xfId="21341" xr:uid="{00000000-0005-0000-0000-000085560000}"/>
    <cellStyle name="Normal 2 2 2 26 3 5" xfId="21342" xr:uid="{00000000-0005-0000-0000-000086560000}"/>
    <cellStyle name="Normal 2 2 2 26 3 6" xfId="21343" xr:uid="{00000000-0005-0000-0000-000087560000}"/>
    <cellStyle name="Normal 2 2 2 26 4" xfId="21344" xr:uid="{00000000-0005-0000-0000-000088560000}"/>
    <cellStyle name="Normal 2 2 2 26 4 2" xfId="21345" xr:uid="{00000000-0005-0000-0000-000089560000}"/>
    <cellStyle name="Normal 2 2 2 26 4 3" xfId="21346" xr:uid="{00000000-0005-0000-0000-00008A560000}"/>
    <cellStyle name="Normal 2 2 2 26 4 4" xfId="21347" xr:uid="{00000000-0005-0000-0000-00008B560000}"/>
    <cellStyle name="Normal 2 2 2 26 4 5" xfId="21348" xr:uid="{00000000-0005-0000-0000-00008C560000}"/>
    <cellStyle name="Normal 2 2 2 26 4 6" xfId="21349" xr:uid="{00000000-0005-0000-0000-00008D560000}"/>
    <cellStyle name="Normal 2 2 2 26 5" xfId="21350" xr:uid="{00000000-0005-0000-0000-00008E560000}"/>
    <cellStyle name="Normal 2 2 2 26 5 2" xfId="21351" xr:uid="{00000000-0005-0000-0000-00008F560000}"/>
    <cellStyle name="Normal 2 2 2 26 5 3" xfId="21352" xr:uid="{00000000-0005-0000-0000-000090560000}"/>
    <cellStyle name="Normal 2 2 2 26 5 4" xfId="21353" xr:uid="{00000000-0005-0000-0000-000091560000}"/>
    <cellStyle name="Normal 2 2 2 26 5 5" xfId="21354" xr:uid="{00000000-0005-0000-0000-000092560000}"/>
    <cellStyle name="Normal 2 2 2 26 5 6" xfId="21355" xr:uid="{00000000-0005-0000-0000-000093560000}"/>
    <cellStyle name="Normal 2 2 2 26 6" xfId="21356" xr:uid="{00000000-0005-0000-0000-000094560000}"/>
    <cellStyle name="Normal 2 2 2 26 6 2" xfId="21357" xr:uid="{00000000-0005-0000-0000-000095560000}"/>
    <cellStyle name="Normal 2 2 2 26 6 3" xfId="21358" xr:uid="{00000000-0005-0000-0000-000096560000}"/>
    <cellStyle name="Normal 2 2 2 26 6 4" xfId="21359" xr:uid="{00000000-0005-0000-0000-000097560000}"/>
    <cellStyle name="Normal 2 2 2 26 6 5" xfId="21360" xr:uid="{00000000-0005-0000-0000-000098560000}"/>
    <cellStyle name="Normal 2 2 2 26 6 6" xfId="21361" xr:uid="{00000000-0005-0000-0000-000099560000}"/>
    <cellStyle name="Normal 2 2 2 26 7" xfId="21362" xr:uid="{00000000-0005-0000-0000-00009A560000}"/>
    <cellStyle name="Normal 2 2 2 26 7 2" xfId="21363" xr:uid="{00000000-0005-0000-0000-00009B560000}"/>
    <cellStyle name="Normal 2 2 2 26 7 3" xfId="21364" xr:uid="{00000000-0005-0000-0000-00009C560000}"/>
    <cellStyle name="Normal 2 2 2 26 7 4" xfId="21365" xr:uid="{00000000-0005-0000-0000-00009D560000}"/>
    <cellStyle name="Normal 2 2 2 26 7 5" xfId="21366" xr:uid="{00000000-0005-0000-0000-00009E560000}"/>
    <cellStyle name="Normal 2 2 2 26 7 6" xfId="21367" xr:uid="{00000000-0005-0000-0000-00009F560000}"/>
    <cellStyle name="Normal 2 2 2 26 8" xfId="21368" xr:uid="{00000000-0005-0000-0000-0000A0560000}"/>
    <cellStyle name="Normal 2 2 2 26 8 2" xfId="21369" xr:uid="{00000000-0005-0000-0000-0000A1560000}"/>
    <cellStyle name="Normal 2 2 2 26 8 3" xfId="21370" xr:uid="{00000000-0005-0000-0000-0000A2560000}"/>
    <cellStyle name="Normal 2 2 2 26 8 4" xfId="21371" xr:uid="{00000000-0005-0000-0000-0000A3560000}"/>
    <cellStyle name="Normal 2 2 2 26 8 5" xfId="21372" xr:uid="{00000000-0005-0000-0000-0000A4560000}"/>
    <cellStyle name="Normal 2 2 2 26 8 6" xfId="21373" xr:uid="{00000000-0005-0000-0000-0000A5560000}"/>
    <cellStyle name="Normal 2 2 2 26 9" xfId="21374" xr:uid="{00000000-0005-0000-0000-0000A6560000}"/>
    <cellStyle name="Normal 2 2 2 27" xfId="21375" xr:uid="{00000000-0005-0000-0000-0000A7560000}"/>
    <cellStyle name="Normal 2 2 2 27 10" xfId="21376" xr:uid="{00000000-0005-0000-0000-0000A8560000}"/>
    <cellStyle name="Normal 2 2 2 27 11" xfId="21377" xr:uid="{00000000-0005-0000-0000-0000A9560000}"/>
    <cellStyle name="Normal 2 2 2 27 12" xfId="21378" xr:uid="{00000000-0005-0000-0000-0000AA560000}"/>
    <cellStyle name="Normal 2 2 2 27 13" xfId="21379" xr:uid="{00000000-0005-0000-0000-0000AB560000}"/>
    <cellStyle name="Normal 2 2 2 27 14" xfId="21380" xr:uid="{00000000-0005-0000-0000-0000AC560000}"/>
    <cellStyle name="Normal 2 2 2 27 2" xfId="21381" xr:uid="{00000000-0005-0000-0000-0000AD560000}"/>
    <cellStyle name="Normal 2 2 2 27 2 2" xfId="21382" xr:uid="{00000000-0005-0000-0000-0000AE560000}"/>
    <cellStyle name="Normal 2 2 2 27 2 3" xfId="21383" xr:uid="{00000000-0005-0000-0000-0000AF560000}"/>
    <cellStyle name="Normal 2 2 2 27 2 4" xfId="21384" xr:uid="{00000000-0005-0000-0000-0000B0560000}"/>
    <cellStyle name="Normal 2 2 2 27 2 5" xfId="21385" xr:uid="{00000000-0005-0000-0000-0000B1560000}"/>
    <cellStyle name="Normal 2 2 2 27 2 6" xfId="21386" xr:uid="{00000000-0005-0000-0000-0000B2560000}"/>
    <cellStyle name="Normal 2 2 2 27 3" xfId="21387" xr:uid="{00000000-0005-0000-0000-0000B3560000}"/>
    <cellStyle name="Normal 2 2 2 27 3 2" xfId="21388" xr:uid="{00000000-0005-0000-0000-0000B4560000}"/>
    <cellStyle name="Normal 2 2 2 27 3 3" xfId="21389" xr:uid="{00000000-0005-0000-0000-0000B5560000}"/>
    <cellStyle name="Normal 2 2 2 27 3 4" xfId="21390" xr:uid="{00000000-0005-0000-0000-0000B6560000}"/>
    <cellStyle name="Normal 2 2 2 27 3 5" xfId="21391" xr:uid="{00000000-0005-0000-0000-0000B7560000}"/>
    <cellStyle name="Normal 2 2 2 27 3 6" xfId="21392" xr:uid="{00000000-0005-0000-0000-0000B8560000}"/>
    <cellStyle name="Normal 2 2 2 27 4" xfId="21393" xr:uid="{00000000-0005-0000-0000-0000B9560000}"/>
    <cellStyle name="Normal 2 2 2 27 4 2" xfId="21394" xr:uid="{00000000-0005-0000-0000-0000BA560000}"/>
    <cellStyle name="Normal 2 2 2 27 4 3" xfId="21395" xr:uid="{00000000-0005-0000-0000-0000BB560000}"/>
    <cellStyle name="Normal 2 2 2 27 4 4" xfId="21396" xr:uid="{00000000-0005-0000-0000-0000BC560000}"/>
    <cellStyle name="Normal 2 2 2 27 4 5" xfId="21397" xr:uid="{00000000-0005-0000-0000-0000BD560000}"/>
    <cellStyle name="Normal 2 2 2 27 4 6" xfId="21398" xr:uid="{00000000-0005-0000-0000-0000BE560000}"/>
    <cellStyle name="Normal 2 2 2 27 5" xfId="21399" xr:uid="{00000000-0005-0000-0000-0000BF560000}"/>
    <cellStyle name="Normal 2 2 2 27 5 2" xfId="21400" xr:uid="{00000000-0005-0000-0000-0000C0560000}"/>
    <cellStyle name="Normal 2 2 2 27 5 3" xfId="21401" xr:uid="{00000000-0005-0000-0000-0000C1560000}"/>
    <cellStyle name="Normal 2 2 2 27 5 4" xfId="21402" xr:uid="{00000000-0005-0000-0000-0000C2560000}"/>
    <cellStyle name="Normal 2 2 2 27 5 5" xfId="21403" xr:uid="{00000000-0005-0000-0000-0000C3560000}"/>
    <cellStyle name="Normal 2 2 2 27 5 6" xfId="21404" xr:uid="{00000000-0005-0000-0000-0000C4560000}"/>
    <cellStyle name="Normal 2 2 2 27 6" xfId="21405" xr:uid="{00000000-0005-0000-0000-0000C5560000}"/>
    <cellStyle name="Normal 2 2 2 27 6 2" xfId="21406" xr:uid="{00000000-0005-0000-0000-0000C6560000}"/>
    <cellStyle name="Normal 2 2 2 27 6 3" xfId="21407" xr:uid="{00000000-0005-0000-0000-0000C7560000}"/>
    <cellStyle name="Normal 2 2 2 27 6 4" xfId="21408" xr:uid="{00000000-0005-0000-0000-0000C8560000}"/>
    <cellStyle name="Normal 2 2 2 27 6 5" xfId="21409" xr:uid="{00000000-0005-0000-0000-0000C9560000}"/>
    <cellStyle name="Normal 2 2 2 27 6 6" xfId="21410" xr:uid="{00000000-0005-0000-0000-0000CA560000}"/>
    <cellStyle name="Normal 2 2 2 27 7" xfId="21411" xr:uid="{00000000-0005-0000-0000-0000CB560000}"/>
    <cellStyle name="Normal 2 2 2 27 7 2" xfId="21412" xr:uid="{00000000-0005-0000-0000-0000CC560000}"/>
    <cellStyle name="Normal 2 2 2 27 7 3" xfId="21413" xr:uid="{00000000-0005-0000-0000-0000CD560000}"/>
    <cellStyle name="Normal 2 2 2 27 7 4" xfId="21414" xr:uid="{00000000-0005-0000-0000-0000CE560000}"/>
    <cellStyle name="Normal 2 2 2 27 7 5" xfId="21415" xr:uid="{00000000-0005-0000-0000-0000CF560000}"/>
    <cellStyle name="Normal 2 2 2 27 7 6" xfId="21416" xr:uid="{00000000-0005-0000-0000-0000D0560000}"/>
    <cellStyle name="Normal 2 2 2 27 8" xfId="21417" xr:uid="{00000000-0005-0000-0000-0000D1560000}"/>
    <cellStyle name="Normal 2 2 2 27 8 2" xfId="21418" xr:uid="{00000000-0005-0000-0000-0000D2560000}"/>
    <cellStyle name="Normal 2 2 2 27 8 3" xfId="21419" xr:uid="{00000000-0005-0000-0000-0000D3560000}"/>
    <cellStyle name="Normal 2 2 2 27 8 4" xfId="21420" xr:uid="{00000000-0005-0000-0000-0000D4560000}"/>
    <cellStyle name="Normal 2 2 2 27 8 5" xfId="21421" xr:uid="{00000000-0005-0000-0000-0000D5560000}"/>
    <cellStyle name="Normal 2 2 2 27 8 6" xfId="21422" xr:uid="{00000000-0005-0000-0000-0000D6560000}"/>
    <cellStyle name="Normal 2 2 2 27 9" xfId="21423" xr:uid="{00000000-0005-0000-0000-0000D7560000}"/>
    <cellStyle name="Normal 2 2 2 28" xfId="21424" xr:uid="{00000000-0005-0000-0000-0000D8560000}"/>
    <cellStyle name="Normal 2 2 2 28 10" xfId="21425" xr:uid="{00000000-0005-0000-0000-0000D9560000}"/>
    <cellStyle name="Normal 2 2 2 28 11" xfId="21426" xr:uid="{00000000-0005-0000-0000-0000DA560000}"/>
    <cellStyle name="Normal 2 2 2 28 12" xfId="21427" xr:uid="{00000000-0005-0000-0000-0000DB560000}"/>
    <cellStyle name="Normal 2 2 2 28 13" xfId="21428" xr:uid="{00000000-0005-0000-0000-0000DC560000}"/>
    <cellStyle name="Normal 2 2 2 28 14" xfId="21429" xr:uid="{00000000-0005-0000-0000-0000DD560000}"/>
    <cellStyle name="Normal 2 2 2 28 15" xfId="21430" xr:uid="{00000000-0005-0000-0000-0000DE560000}"/>
    <cellStyle name="Normal 2 2 2 28 16" xfId="21431" xr:uid="{00000000-0005-0000-0000-0000DF560000}"/>
    <cellStyle name="Normal 2 2 2 28 17" xfId="21432" xr:uid="{00000000-0005-0000-0000-0000E0560000}"/>
    <cellStyle name="Normal 2 2 2 28 18" xfId="21433" xr:uid="{00000000-0005-0000-0000-0000E1560000}"/>
    <cellStyle name="Normal 2 2 2 28 19" xfId="21434" xr:uid="{00000000-0005-0000-0000-0000E2560000}"/>
    <cellStyle name="Normal 2 2 2 28 2" xfId="21435" xr:uid="{00000000-0005-0000-0000-0000E3560000}"/>
    <cellStyle name="Normal 2 2 2 28 20" xfId="21436" xr:uid="{00000000-0005-0000-0000-0000E4560000}"/>
    <cellStyle name="Normal 2 2 2 28 21" xfId="21437" xr:uid="{00000000-0005-0000-0000-0000E5560000}"/>
    <cellStyle name="Normal 2 2 2 28 22" xfId="21438" xr:uid="{00000000-0005-0000-0000-0000E6560000}"/>
    <cellStyle name="Normal 2 2 2 28 23" xfId="21439" xr:uid="{00000000-0005-0000-0000-0000E7560000}"/>
    <cellStyle name="Normal 2 2 2 28 24" xfId="21440" xr:uid="{00000000-0005-0000-0000-0000E8560000}"/>
    <cellStyle name="Normal 2 2 2 28 25" xfId="21441" xr:uid="{00000000-0005-0000-0000-0000E9560000}"/>
    <cellStyle name="Normal 2 2 2 28 26" xfId="21442" xr:uid="{00000000-0005-0000-0000-0000EA560000}"/>
    <cellStyle name="Normal 2 2 2 28 27" xfId="21443" xr:uid="{00000000-0005-0000-0000-0000EB560000}"/>
    <cellStyle name="Normal 2 2 2 28 28" xfId="21444" xr:uid="{00000000-0005-0000-0000-0000EC560000}"/>
    <cellStyle name="Normal 2 2 2 28 29" xfId="21445" xr:uid="{00000000-0005-0000-0000-0000ED560000}"/>
    <cellStyle name="Normal 2 2 2 28 3" xfId="21446" xr:uid="{00000000-0005-0000-0000-0000EE560000}"/>
    <cellStyle name="Normal 2 2 2 28 30" xfId="21447" xr:uid="{00000000-0005-0000-0000-0000EF560000}"/>
    <cellStyle name="Normal 2 2 2 28 31" xfId="21448" xr:uid="{00000000-0005-0000-0000-0000F0560000}"/>
    <cellStyle name="Normal 2 2 2 28 32" xfId="21449" xr:uid="{00000000-0005-0000-0000-0000F1560000}"/>
    <cellStyle name="Normal 2 2 2 28 33" xfId="21450" xr:uid="{00000000-0005-0000-0000-0000F2560000}"/>
    <cellStyle name="Normal 2 2 2 28 34" xfId="21451" xr:uid="{00000000-0005-0000-0000-0000F3560000}"/>
    <cellStyle name="Normal 2 2 2 28 35" xfId="21452" xr:uid="{00000000-0005-0000-0000-0000F4560000}"/>
    <cellStyle name="Normal 2 2 2 28 36" xfId="21453" xr:uid="{00000000-0005-0000-0000-0000F5560000}"/>
    <cellStyle name="Normal 2 2 2 28 37" xfId="21454" xr:uid="{00000000-0005-0000-0000-0000F6560000}"/>
    <cellStyle name="Normal 2 2 2 28 38" xfId="21455" xr:uid="{00000000-0005-0000-0000-0000F7560000}"/>
    <cellStyle name="Normal 2 2 2 28 4" xfId="21456" xr:uid="{00000000-0005-0000-0000-0000F8560000}"/>
    <cellStyle name="Normal 2 2 2 28 5" xfId="21457" xr:uid="{00000000-0005-0000-0000-0000F9560000}"/>
    <cellStyle name="Normal 2 2 2 28 6" xfId="21458" xr:uid="{00000000-0005-0000-0000-0000FA560000}"/>
    <cellStyle name="Normal 2 2 2 28 7" xfId="21459" xr:uid="{00000000-0005-0000-0000-0000FB560000}"/>
    <cellStyle name="Normal 2 2 2 28 8" xfId="21460" xr:uid="{00000000-0005-0000-0000-0000FC560000}"/>
    <cellStyle name="Normal 2 2 2 28 9" xfId="21461" xr:uid="{00000000-0005-0000-0000-0000FD560000}"/>
    <cellStyle name="Normal 2 2 2 29" xfId="21462" xr:uid="{00000000-0005-0000-0000-0000FE560000}"/>
    <cellStyle name="Normal 2 2 2 29 10" xfId="21463" xr:uid="{00000000-0005-0000-0000-0000FF560000}"/>
    <cellStyle name="Normal 2 2 2 29 11" xfId="21464" xr:uid="{00000000-0005-0000-0000-000000570000}"/>
    <cellStyle name="Normal 2 2 2 29 12" xfId="21465" xr:uid="{00000000-0005-0000-0000-000001570000}"/>
    <cellStyle name="Normal 2 2 2 29 13" xfId="21466" xr:uid="{00000000-0005-0000-0000-000002570000}"/>
    <cellStyle name="Normal 2 2 2 29 14" xfId="21467" xr:uid="{00000000-0005-0000-0000-000003570000}"/>
    <cellStyle name="Normal 2 2 2 29 15" xfId="21468" xr:uid="{00000000-0005-0000-0000-000004570000}"/>
    <cellStyle name="Normal 2 2 2 29 16" xfId="21469" xr:uid="{00000000-0005-0000-0000-000005570000}"/>
    <cellStyle name="Normal 2 2 2 29 17" xfId="21470" xr:uid="{00000000-0005-0000-0000-000006570000}"/>
    <cellStyle name="Normal 2 2 2 29 18" xfId="21471" xr:uid="{00000000-0005-0000-0000-000007570000}"/>
    <cellStyle name="Normal 2 2 2 29 19" xfId="21472" xr:uid="{00000000-0005-0000-0000-000008570000}"/>
    <cellStyle name="Normal 2 2 2 29 2" xfId="21473" xr:uid="{00000000-0005-0000-0000-000009570000}"/>
    <cellStyle name="Normal 2 2 2 29 20" xfId="21474" xr:uid="{00000000-0005-0000-0000-00000A570000}"/>
    <cellStyle name="Normal 2 2 2 29 21" xfId="21475" xr:uid="{00000000-0005-0000-0000-00000B570000}"/>
    <cellStyle name="Normal 2 2 2 29 22" xfId="21476" xr:uid="{00000000-0005-0000-0000-00000C570000}"/>
    <cellStyle name="Normal 2 2 2 29 23" xfId="21477" xr:uid="{00000000-0005-0000-0000-00000D570000}"/>
    <cellStyle name="Normal 2 2 2 29 24" xfId="21478" xr:uid="{00000000-0005-0000-0000-00000E570000}"/>
    <cellStyle name="Normal 2 2 2 29 25" xfId="21479" xr:uid="{00000000-0005-0000-0000-00000F570000}"/>
    <cellStyle name="Normal 2 2 2 29 26" xfId="21480" xr:uid="{00000000-0005-0000-0000-000010570000}"/>
    <cellStyle name="Normal 2 2 2 29 27" xfId="21481" xr:uid="{00000000-0005-0000-0000-000011570000}"/>
    <cellStyle name="Normal 2 2 2 29 28" xfId="21482" xr:uid="{00000000-0005-0000-0000-000012570000}"/>
    <cellStyle name="Normal 2 2 2 29 29" xfId="21483" xr:uid="{00000000-0005-0000-0000-000013570000}"/>
    <cellStyle name="Normal 2 2 2 29 3" xfId="21484" xr:uid="{00000000-0005-0000-0000-000014570000}"/>
    <cellStyle name="Normal 2 2 2 29 30" xfId="21485" xr:uid="{00000000-0005-0000-0000-000015570000}"/>
    <cellStyle name="Normal 2 2 2 29 31" xfId="21486" xr:uid="{00000000-0005-0000-0000-000016570000}"/>
    <cellStyle name="Normal 2 2 2 29 32" xfId="21487" xr:uid="{00000000-0005-0000-0000-000017570000}"/>
    <cellStyle name="Normal 2 2 2 29 33" xfId="21488" xr:uid="{00000000-0005-0000-0000-000018570000}"/>
    <cellStyle name="Normal 2 2 2 29 34" xfId="21489" xr:uid="{00000000-0005-0000-0000-000019570000}"/>
    <cellStyle name="Normal 2 2 2 29 35" xfId="21490" xr:uid="{00000000-0005-0000-0000-00001A570000}"/>
    <cellStyle name="Normal 2 2 2 29 36" xfId="21491" xr:uid="{00000000-0005-0000-0000-00001B570000}"/>
    <cellStyle name="Normal 2 2 2 29 37" xfId="21492" xr:uid="{00000000-0005-0000-0000-00001C570000}"/>
    <cellStyle name="Normal 2 2 2 29 38" xfId="21493" xr:uid="{00000000-0005-0000-0000-00001D570000}"/>
    <cellStyle name="Normal 2 2 2 29 4" xfId="21494" xr:uid="{00000000-0005-0000-0000-00001E570000}"/>
    <cellStyle name="Normal 2 2 2 29 5" xfId="21495" xr:uid="{00000000-0005-0000-0000-00001F570000}"/>
    <cellStyle name="Normal 2 2 2 29 6" xfId="21496" xr:uid="{00000000-0005-0000-0000-000020570000}"/>
    <cellStyle name="Normal 2 2 2 29 7" xfId="21497" xr:uid="{00000000-0005-0000-0000-000021570000}"/>
    <cellStyle name="Normal 2 2 2 29 8" xfId="21498" xr:uid="{00000000-0005-0000-0000-000022570000}"/>
    <cellStyle name="Normal 2 2 2 29 9" xfId="21499" xr:uid="{00000000-0005-0000-0000-000023570000}"/>
    <cellStyle name="Normal 2 2 2 3" xfId="21500" xr:uid="{00000000-0005-0000-0000-000024570000}"/>
    <cellStyle name="Normal 2 2 2 3 2" xfId="21501" xr:uid="{00000000-0005-0000-0000-000025570000}"/>
    <cellStyle name="Normal 2 2 2 30" xfId="21502" xr:uid="{00000000-0005-0000-0000-000026570000}"/>
    <cellStyle name="Normal 2 2 2 30 10" xfId="21503" xr:uid="{00000000-0005-0000-0000-000027570000}"/>
    <cellStyle name="Normal 2 2 2 30 11" xfId="21504" xr:uid="{00000000-0005-0000-0000-000028570000}"/>
    <cellStyle name="Normal 2 2 2 30 12" xfId="21505" xr:uid="{00000000-0005-0000-0000-000029570000}"/>
    <cellStyle name="Normal 2 2 2 30 13" xfId="21506" xr:uid="{00000000-0005-0000-0000-00002A570000}"/>
    <cellStyle name="Normal 2 2 2 30 14" xfId="21507" xr:uid="{00000000-0005-0000-0000-00002B570000}"/>
    <cellStyle name="Normal 2 2 2 30 15" xfId="21508" xr:uid="{00000000-0005-0000-0000-00002C570000}"/>
    <cellStyle name="Normal 2 2 2 30 16" xfId="21509" xr:uid="{00000000-0005-0000-0000-00002D570000}"/>
    <cellStyle name="Normal 2 2 2 30 17" xfId="21510" xr:uid="{00000000-0005-0000-0000-00002E570000}"/>
    <cellStyle name="Normal 2 2 2 30 18" xfId="21511" xr:uid="{00000000-0005-0000-0000-00002F570000}"/>
    <cellStyle name="Normal 2 2 2 30 19" xfId="21512" xr:uid="{00000000-0005-0000-0000-000030570000}"/>
    <cellStyle name="Normal 2 2 2 30 2" xfId="21513" xr:uid="{00000000-0005-0000-0000-000031570000}"/>
    <cellStyle name="Normal 2 2 2 30 20" xfId="21514" xr:uid="{00000000-0005-0000-0000-000032570000}"/>
    <cellStyle name="Normal 2 2 2 30 21" xfId="21515" xr:uid="{00000000-0005-0000-0000-000033570000}"/>
    <cellStyle name="Normal 2 2 2 30 22" xfId="21516" xr:uid="{00000000-0005-0000-0000-000034570000}"/>
    <cellStyle name="Normal 2 2 2 30 23" xfId="21517" xr:uid="{00000000-0005-0000-0000-000035570000}"/>
    <cellStyle name="Normal 2 2 2 30 24" xfId="21518" xr:uid="{00000000-0005-0000-0000-000036570000}"/>
    <cellStyle name="Normal 2 2 2 30 25" xfId="21519" xr:uid="{00000000-0005-0000-0000-000037570000}"/>
    <cellStyle name="Normal 2 2 2 30 26" xfId="21520" xr:uid="{00000000-0005-0000-0000-000038570000}"/>
    <cellStyle name="Normal 2 2 2 30 27" xfId="21521" xr:uid="{00000000-0005-0000-0000-000039570000}"/>
    <cellStyle name="Normal 2 2 2 30 28" xfId="21522" xr:uid="{00000000-0005-0000-0000-00003A570000}"/>
    <cellStyle name="Normal 2 2 2 30 29" xfId="21523" xr:uid="{00000000-0005-0000-0000-00003B570000}"/>
    <cellStyle name="Normal 2 2 2 30 3" xfId="21524" xr:uid="{00000000-0005-0000-0000-00003C570000}"/>
    <cellStyle name="Normal 2 2 2 30 30" xfId="21525" xr:uid="{00000000-0005-0000-0000-00003D570000}"/>
    <cellStyle name="Normal 2 2 2 30 31" xfId="21526" xr:uid="{00000000-0005-0000-0000-00003E570000}"/>
    <cellStyle name="Normal 2 2 2 30 32" xfId="21527" xr:uid="{00000000-0005-0000-0000-00003F570000}"/>
    <cellStyle name="Normal 2 2 2 30 33" xfId="21528" xr:uid="{00000000-0005-0000-0000-000040570000}"/>
    <cellStyle name="Normal 2 2 2 30 34" xfId="21529" xr:uid="{00000000-0005-0000-0000-000041570000}"/>
    <cellStyle name="Normal 2 2 2 30 35" xfId="21530" xr:uid="{00000000-0005-0000-0000-000042570000}"/>
    <cellStyle name="Normal 2 2 2 30 36" xfId="21531" xr:uid="{00000000-0005-0000-0000-000043570000}"/>
    <cellStyle name="Normal 2 2 2 30 37" xfId="21532" xr:uid="{00000000-0005-0000-0000-000044570000}"/>
    <cellStyle name="Normal 2 2 2 30 38" xfId="21533" xr:uid="{00000000-0005-0000-0000-000045570000}"/>
    <cellStyle name="Normal 2 2 2 30 4" xfId="21534" xr:uid="{00000000-0005-0000-0000-000046570000}"/>
    <cellStyle name="Normal 2 2 2 30 5" xfId="21535" xr:uid="{00000000-0005-0000-0000-000047570000}"/>
    <cellStyle name="Normal 2 2 2 30 6" xfId="21536" xr:uid="{00000000-0005-0000-0000-000048570000}"/>
    <cellStyle name="Normal 2 2 2 30 7" xfId="21537" xr:uid="{00000000-0005-0000-0000-000049570000}"/>
    <cellStyle name="Normal 2 2 2 30 8" xfId="21538" xr:uid="{00000000-0005-0000-0000-00004A570000}"/>
    <cellStyle name="Normal 2 2 2 30 9" xfId="21539" xr:uid="{00000000-0005-0000-0000-00004B570000}"/>
    <cellStyle name="Normal 2 2 2 31" xfId="21540" xr:uid="{00000000-0005-0000-0000-00004C570000}"/>
    <cellStyle name="Normal 2 2 2 31 10" xfId="21541" xr:uid="{00000000-0005-0000-0000-00004D570000}"/>
    <cellStyle name="Normal 2 2 2 31 11" xfId="21542" xr:uid="{00000000-0005-0000-0000-00004E570000}"/>
    <cellStyle name="Normal 2 2 2 31 12" xfId="21543" xr:uid="{00000000-0005-0000-0000-00004F570000}"/>
    <cellStyle name="Normal 2 2 2 31 13" xfId="21544" xr:uid="{00000000-0005-0000-0000-000050570000}"/>
    <cellStyle name="Normal 2 2 2 31 14" xfId="21545" xr:uid="{00000000-0005-0000-0000-000051570000}"/>
    <cellStyle name="Normal 2 2 2 31 15" xfId="21546" xr:uid="{00000000-0005-0000-0000-000052570000}"/>
    <cellStyle name="Normal 2 2 2 31 16" xfId="21547" xr:uid="{00000000-0005-0000-0000-000053570000}"/>
    <cellStyle name="Normal 2 2 2 31 17" xfId="21548" xr:uid="{00000000-0005-0000-0000-000054570000}"/>
    <cellStyle name="Normal 2 2 2 31 18" xfId="21549" xr:uid="{00000000-0005-0000-0000-000055570000}"/>
    <cellStyle name="Normal 2 2 2 31 19" xfId="21550" xr:uid="{00000000-0005-0000-0000-000056570000}"/>
    <cellStyle name="Normal 2 2 2 31 2" xfId="21551" xr:uid="{00000000-0005-0000-0000-000057570000}"/>
    <cellStyle name="Normal 2 2 2 31 20" xfId="21552" xr:uid="{00000000-0005-0000-0000-000058570000}"/>
    <cellStyle name="Normal 2 2 2 31 21" xfId="21553" xr:uid="{00000000-0005-0000-0000-000059570000}"/>
    <cellStyle name="Normal 2 2 2 31 22" xfId="21554" xr:uid="{00000000-0005-0000-0000-00005A570000}"/>
    <cellStyle name="Normal 2 2 2 31 23" xfId="21555" xr:uid="{00000000-0005-0000-0000-00005B570000}"/>
    <cellStyle name="Normal 2 2 2 31 24" xfId="21556" xr:uid="{00000000-0005-0000-0000-00005C570000}"/>
    <cellStyle name="Normal 2 2 2 31 25" xfId="21557" xr:uid="{00000000-0005-0000-0000-00005D570000}"/>
    <cellStyle name="Normal 2 2 2 31 26" xfId="21558" xr:uid="{00000000-0005-0000-0000-00005E570000}"/>
    <cellStyle name="Normal 2 2 2 31 27" xfId="21559" xr:uid="{00000000-0005-0000-0000-00005F570000}"/>
    <cellStyle name="Normal 2 2 2 31 28" xfId="21560" xr:uid="{00000000-0005-0000-0000-000060570000}"/>
    <cellStyle name="Normal 2 2 2 31 29" xfId="21561" xr:uid="{00000000-0005-0000-0000-000061570000}"/>
    <cellStyle name="Normal 2 2 2 31 3" xfId="21562" xr:uid="{00000000-0005-0000-0000-000062570000}"/>
    <cellStyle name="Normal 2 2 2 31 30" xfId="21563" xr:uid="{00000000-0005-0000-0000-000063570000}"/>
    <cellStyle name="Normal 2 2 2 31 31" xfId="21564" xr:uid="{00000000-0005-0000-0000-000064570000}"/>
    <cellStyle name="Normal 2 2 2 31 32" xfId="21565" xr:uid="{00000000-0005-0000-0000-000065570000}"/>
    <cellStyle name="Normal 2 2 2 31 33" xfId="21566" xr:uid="{00000000-0005-0000-0000-000066570000}"/>
    <cellStyle name="Normal 2 2 2 31 34" xfId="21567" xr:uid="{00000000-0005-0000-0000-000067570000}"/>
    <cellStyle name="Normal 2 2 2 31 35" xfId="21568" xr:uid="{00000000-0005-0000-0000-000068570000}"/>
    <cellStyle name="Normal 2 2 2 31 36" xfId="21569" xr:uid="{00000000-0005-0000-0000-000069570000}"/>
    <cellStyle name="Normal 2 2 2 31 37" xfId="21570" xr:uid="{00000000-0005-0000-0000-00006A570000}"/>
    <cellStyle name="Normal 2 2 2 31 38" xfId="21571" xr:uid="{00000000-0005-0000-0000-00006B570000}"/>
    <cellStyle name="Normal 2 2 2 31 4" xfId="21572" xr:uid="{00000000-0005-0000-0000-00006C570000}"/>
    <cellStyle name="Normal 2 2 2 31 5" xfId="21573" xr:uid="{00000000-0005-0000-0000-00006D570000}"/>
    <cellStyle name="Normal 2 2 2 31 6" xfId="21574" xr:uid="{00000000-0005-0000-0000-00006E570000}"/>
    <cellStyle name="Normal 2 2 2 31 7" xfId="21575" xr:uid="{00000000-0005-0000-0000-00006F570000}"/>
    <cellStyle name="Normal 2 2 2 31 8" xfId="21576" xr:uid="{00000000-0005-0000-0000-000070570000}"/>
    <cellStyle name="Normal 2 2 2 31 9" xfId="21577" xr:uid="{00000000-0005-0000-0000-000071570000}"/>
    <cellStyle name="Normal 2 2 2 32" xfId="21578" xr:uid="{00000000-0005-0000-0000-000072570000}"/>
    <cellStyle name="Normal 2 2 2 32 10" xfId="21579" xr:uid="{00000000-0005-0000-0000-000073570000}"/>
    <cellStyle name="Normal 2 2 2 32 11" xfId="21580" xr:uid="{00000000-0005-0000-0000-000074570000}"/>
    <cellStyle name="Normal 2 2 2 32 12" xfId="21581" xr:uid="{00000000-0005-0000-0000-000075570000}"/>
    <cellStyle name="Normal 2 2 2 32 13" xfId="21582" xr:uid="{00000000-0005-0000-0000-000076570000}"/>
    <cellStyle name="Normal 2 2 2 32 14" xfId="21583" xr:uid="{00000000-0005-0000-0000-000077570000}"/>
    <cellStyle name="Normal 2 2 2 32 15" xfId="21584" xr:uid="{00000000-0005-0000-0000-000078570000}"/>
    <cellStyle name="Normal 2 2 2 32 16" xfId="21585" xr:uid="{00000000-0005-0000-0000-000079570000}"/>
    <cellStyle name="Normal 2 2 2 32 17" xfId="21586" xr:uid="{00000000-0005-0000-0000-00007A570000}"/>
    <cellStyle name="Normal 2 2 2 32 18" xfId="21587" xr:uid="{00000000-0005-0000-0000-00007B570000}"/>
    <cellStyle name="Normal 2 2 2 32 19" xfId="21588" xr:uid="{00000000-0005-0000-0000-00007C570000}"/>
    <cellStyle name="Normal 2 2 2 32 2" xfId="21589" xr:uid="{00000000-0005-0000-0000-00007D570000}"/>
    <cellStyle name="Normal 2 2 2 32 20" xfId="21590" xr:uid="{00000000-0005-0000-0000-00007E570000}"/>
    <cellStyle name="Normal 2 2 2 32 21" xfId="21591" xr:uid="{00000000-0005-0000-0000-00007F570000}"/>
    <cellStyle name="Normal 2 2 2 32 22" xfId="21592" xr:uid="{00000000-0005-0000-0000-000080570000}"/>
    <cellStyle name="Normal 2 2 2 32 23" xfId="21593" xr:uid="{00000000-0005-0000-0000-000081570000}"/>
    <cellStyle name="Normal 2 2 2 32 24" xfId="21594" xr:uid="{00000000-0005-0000-0000-000082570000}"/>
    <cellStyle name="Normal 2 2 2 32 25" xfId="21595" xr:uid="{00000000-0005-0000-0000-000083570000}"/>
    <cellStyle name="Normal 2 2 2 32 26" xfId="21596" xr:uid="{00000000-0005-0000-0000-000084570000}"/>
    <cellStyle name="Normal 2 2 2 32 27" xfId="21597" xr:uid="{00000000-0005-0000-0000-000085570000}"/>
    <cellStyle name="Normal 2 2 2 32 28" xfId="21598" xr:uid="{00000000-0005-0000-0000-000086570000}"/>
    <cellStyle name="Normal 2 2 2 32 29" xfId="21599" xr:uid="{00000000-0005-0000-0000-000087570000}"/>
    <cellStyle name="Normal 2 2 2 32 3" xfId="21600" xr:uid="{00000000-0005-0000-0000-000088570000}"/>
    <cellStyle name="Normal 2 2 2 32 30" xfId="21601" xr:uid="{00000000-0005-0000-0000-000089570000}"/>
    <cellStyle name="Normal 2 2 2 32 31" xfId="21602" xr:uid="{00000000-0005-0000-0000-00008A570000}"/>
    <cellStyle name="Normal 2 2 2 32 32" xfId="21603" xr:uid="{00000000-0005-0000-0000-00008B570000}"/>
    <cellStyle name="Normal 2 2 2 32 33" xfId="21604" xr:uid="{00000000-0005-0000-0000-00008C570000}"/>
    <cellStyle name="Normal 2 2 2 32 34" xfId="21605" xr:uid="{00000000-0005-0000-0000-00008D570000}"/>
    <cellStyle name="Normal 2 2 2 32 35" xfId="21606" xr:uid="{00000000-0005-0000-0000-00008E570000}"/>
    <cellStyle name="Normal 2 2 2 32 36" xfId="21607" xr:uid="{00000000-0005-0000-0000-00008F570000}"/>
    <cellStyle name="Normal 2 2 2 32 37" xfId="21608" xr:uid="{00000000-0005-0000-0000-000090570000}"/>
    <cellStyle name="Normal 2 2 2 32 38" xfId="21609" xr:uid="{00000000-0005-0000-0000-000091570000}"/>
    <cellStyle name="Normal 2 2 2 32 4" xfId="21610" xr:uid="{00000000-0005-0000-0000-000092570000}"/>
    <cellStyle name="Normal 2 2 2 32 5" xfId="21611" xr:uid="{00000000-0005-0000-0000-000093570000}"/>
    <cellStyle name="Normal 2 2 2 32 6" xfId="21612" xr:uid="{00000000-0005-0000-0000-000094570000}"/>
    <cellStyle name="Normal 2 2 2 32 7" xfId="21613" xr:uid="{00000000-0005-0000-0000-000095570000}"/>
    <cellStyle name="Normal 2 2 2 32 8" xfId="21614" xr:uid="{00000000-0005-0000-0000-000096570000}"/>
    <cellStyle name="Normal 2 2 2 32 9" xfId="21615" xr:uid="{00000000-0005-0000-0000-000097570000}"/>
    <cellStyle name="Normal 2 2 2 33" xfId="21616" xr:uid="{00000000-0005-0000-0000-000098570000}"/>
    <cellStyle name="Normal 2 2 2 33 10" xfId="21617" xr:uid="{00000000-0005-0000-0000-000099570000}"/>
    <cellStyle name="Normal 2 2 2 33 11" xfId="21618" xr:uid="{00000000-0005-0000-0000-00009A570000}"/>
    <cellStyle name="Normal 2 2 2 33 12" xfId="21619" xr:uid="{00000000-0005-0000-0000-00009B570000}"/>
    <cellStyle name="Normal 2 2 2 33 13" xfId="21620" xr:uid="{00000000-0005-0000-0000-00009C570000}"/>
    <cellStyle name="Normal 2 2 2 33 14" xfId="21621" xr:uid="{00000000-0005-0000-0000-00009D570000}"/>
    <cellStyle name="Normal 2 2 2 33 15" xfId="21622" xr:uid="{00000000-0005-0000-0000-00009E570000}"/>
    <cellStyle name="Normal 2 2 2 33 16" xfId="21623" xr:uid="{00000000-0005-0000-0000-00009F570000}"/>
    <cellStyle name="Normal 2 2 2 33 17" xfId="21624" xr:uid="{00000000-0005-0000-0000-0000A0570000}"/>
    <cellStyle name="Normal 2 2 2 33 18" xfId="21625" xr:uid="{00000000-0005-0000-0000-0000A1570000}"/>
    <cellStyle name="Normal 2 2 2 33 19" xfId="21626" xr:uid="{00000000-0005-0000-0000-0000A2570000}"/>
    <cellStyle name="Normal 2 2 2 33 2" xfId="21627" xr:uid="{00000000-0005-0000-0000-0000A3570000}"/>
    <cellStyle name="Normal 2 2 2 33 20" xfId="21628" xr:uid="{00000000-0005-0000-0000-0000A4570000}"/>
    <cellStyle name="Normal 2 2 2 33 21" xfId="21629" xr:uid="{00000000-0005-0000-0000-0000A5570000}"/>
    <cellStyle name="Normal 2 2 2 33 22" xfId="21630" xr:uid="{00000000-0005-0000-0000-0000A6570000}"/>
    <cellStyle name="Normal 2 2 2 33 23" xfId="21631" xr:uid="{00000000-0005-0000-0000-0000A7570000}"/>
    <cellStyle name="Normal 2 2 2 33 24" xfId="21632" xr:uid="{00000000-0005-0000-0000-0000A8570000}"/>
    <cellStyle name="Normal 2 2 2 33 25" xfId="21633" xr:uid="{00000000-0005-0000-0000-0000A9570000}"/>
    <cellStyle name="Normal 2 2 2 33 26" xfId="21634" xr:uid="{00000000-0005-0000-0000-0000AA570000}"/>
    <cellStyle name="Normal 2 2 2 33 27" xfId="21635" xr:uid="{00000000-0005-0000-0000-0000AB570000}"/>
    <cellStyle name="Normal 2 2 2 33 28" xfId="21636" xr:uid="{00000000-0005-0000-0000-0000AC570000}"/>
    <cellStyle name="Normal 2 2 2 33 29" xfId="21637" xr:uid="{00000000-0005-0000-0000-0000AD570000}"/>
    <cellStyle name="Normal 2 2 2 33 3" xfId="21638" xr:uid="{00000000-0005-0000-0000-0000AE570000}"/>
    <cellStyle name="Normal 2 2 2 33 30" xfId="21639" xr:uid="{00000000-0005-0000-0000-0000AF570000}"/>
    <cellStyle name="Normal 2 2 2 33 31" xfId="21640" xr:uid="{00000000-0005-0000-0000-0000B0570000}"/>
    <cellStyle name="Normal 2 2 2 33 32" xfId="21641" xr:uid="{00000000-0005-0000-0000-0000B1570000}"/>
    <cellStyle name="Normal 2 2 2 33 33" xfId="21642" xr:uid="{00000000-0005-0000-0000-0000B2570000}"/>
    <cellStyle name="Normal 2 2 2 33 34" xfId="21643" xr:uid="{00000000-0005-0000-0000-0000B3570000}"/>
    <cellStyle name="Normal 2 2 2 33 35" xfId="21644" xr:uid="{00000000-0005-0000-0000-0000B4570000}"/>
    <cellStyle name="Normal 2 2 2 33 36" xfId="21645" xr:uid="{00000000-0005-0000-0000-0000B5570000}"/>
    <cellStyle name="Normal 2 2 2 33 37" xfId="21646" xr:uid="{00000000-0005-0000-0000-0000B6570000}"/>
    <cellStyle name="Normal 2 2 2 33 38" xfId="21647" xr:uid="{00000000-0005-0000-0000-0000B7570000}"/>
    <cellStyle name="Normal 2 2 2 33 4" xfId="21648" xr:uid="{00000000-0005-0000-0000-0000B8570000}"/>
    <cellStyle name="Normal 2 2 2 33 5" xfId="21649" xr:uid="{00000000-0005-0000-0000-0000B9570000}"/>
    <cellStyle name="Normal 2 2 2 33 6" xfId="21650" xr:uid="{00000000-0005-0000-0000-0000BA570000}"/>
    <cellStyle name="Normal 2 2 2 33 7" xfId="21651" xr:uid="{00000000-0005-0000-0000-0000BB570000}"/>
    <cellStyle name="Normal 2 2 2 33 8" xfId="21652" xr:uid="{00000000-0005-0000-0000-0000BC570000}"/>
    <cellStyle name="Normal 2 2 2 33 9" xfId="21653" xr:uid="{00000000-0005-0000-0000-0000BD570000}"/>
    <cellStyle name="Normal 2 2 2 34" xfId="21654" xr:uid="{00000000-0005-0000-0000-0000BE570000}"/>
    <cellStyle name="Normal 2 2 2 34 10" xfId="21655" xr:uid="{00000000-0005-0000-0000-0000BF570000}"/>
    <cellStyle name="Normal 2 2 2 34 11" xfId="21656" xr:uid="{00000000-0005-0000-0000-0000C0570000}"/>
    <cellStyle name="Normal 2 2 2 34 12" xfId="21657" xr:uid="{00000000-0005-0000-0000-0000C1570000}"/>
    <cellStyle name="Normal 2 2 2 34 13" xfId="21658" xr:uid="{00000000-0005-0000-0000-0000C2570000}"/>
    <cellStyle name="Normal 2 2 2 34 14" xfId="21659" xr:uid="{00000000-0005-0000-0000-0000C3570000}"/>
    <cellStyle name="Normal 2 2 2 34 15" xfId="21660" xr:uid="{00000000-0005-0000-0000-0000C4570000}"/>
    <cellStyle name="Normal 2 2 2 34 16" xfId="21661" xr:uid="{00000000-0005-0000-0000-0000C5570000}"/>
    <cellStyle name="Normal 2 2 2 34 17" xfId="21662" xr:uid="{00000000-0005-0000-0000-0000C6570000}"/>
    <cellStyle name="Normal 2 2 2 34 18" xfId="21663" xr:uid="{00000000-0005-0000-0000-0000C7570000}"/>
    <cellStyle name="Normal 2 2 2 34 19" xfId="21664" xr:uid="{00000000-0005-0000-0000-0000C8570000}"/>
    <cellStyle name="Normal 2 2 2 34 2" xfId="21665" xr:uid="{00000000-0005-0000-0000-0000C9570000}"/>
    <cellStyle name="Normal 2 2 2 34 20" xfId="21666" xr:uid="{00000000-0005-0000-0000-0000CA570000}"/>
    <cellStyle name="Normal 2 2 2 34 21" xfId="21667" xr:uid="{00000000-0005-0000-0000-0000CB570000}"/>
    <cellStyle name="Normal 2 2 2 34 22" xfId="21668" xr:uid="{00000000-0005-0000-0000-0000CC570000}"/>
    <cellStyle name="Normal 2 2 2 34 23" xfId="21669" xr:uid="{00000000-0005-0000-0000-0000CD570000}"/>
    <cellStyle name="Normal 2 2 2 34 24" xfId="21670" xr:uid="{00000000-0005-0000-0000-0000CE570000}"/>
    <cellStyle name="Normal 2 2 2 34 25" xfId="21671" xr:uid="{00000000-0005-0000-0000-0000CF570000}"/>
    <cellStyle name="Normal 2 2 2 34 26" xfId="21672" xr:uid="{00000000-0005-0000-0000-0000D0570000}"/>
    <cellStyle name="Normal 2 2 2 34 27" xfId="21673" xr:uid="{00000000-0005-0000-0000-0000D1570000}"/>
    <cellStyle name="Normal 2 2 2 34 28" xfId="21674" xr:uid="{00000000-0005-0000-0000-0000D2570000}"/>
    <cellStyle name="Normal 2 2 2 34 29" xfId="21675" xr:uid="{00000000-0005-0000-0000-0000D3570000}"/>
    <cellStyle name="Normal 2 2 2 34 3" xfId="21676" xr:uid="{00000000-0005-0000-0000-0000D4570000}"/>
    <cellStyle name="Normal 2 2 2 34 30" xfId="21677" xr:uid="{00000000-0005-0000-0000-0000D5570000}"/>
    <cellStyle name="Normal 2 2 2 34 31" xfId="21678" xr:uid="{00000000-0005-0000-0000-0000D6570000}"/>
    <cellStyle name="Normal 2 2 2 34 32" xfId="21679" xr:uid="{00000000-0005-0000-0000-0000D7570000}"/>
    <cellStyle name="Normal 2 2 2 34 33" xfId="21680" xr:uid="{00000000-0005-0000-0000-0000D8570000}"/>
    <cellStyle name="Normal 2 2 2 34 34" xfId="21681" xr:uid="{00000000-0005-0000-0000-0000D9570000}"/>
    <cellStyle name="Normal 2 2 2 34 35" xfId="21682" xr:uid="{00000000-0005-0000-0000-0000DA570000}"/>
    <cellStyle name="Normal 2 2 2 34 36" xfId="21683" xr:uid="{00000000-0005-0000-0000-0000DB570000}"/>
    <cellStyle name="Normal 2 2 2 34 37" xfId="21684" xr:uid="{00000000-0005-0000-0000-0000DC570000}"/>
    <cellStyle name="Normal 2 2 2 34 38" xfId="21685" xr:uid="{00000000-0005-0000-0000-0000DD570000}"/>
    <cellStyle name="Normal 2 2 2 34 4" xfId="21686" xr:uid="{00000000-0005-0000-0000-0000DE570000}"/>
    <cellStyle name="Normal 2 2 2 34 5" xfId="21687" xr:uid="{00000000-0005-0000-0000-0000DF570000}"/>
    <cellStyle name="Normal 2 2 2 34 6" xfId="21688" xr:uid="{00000000-0005-0000-0000-0000E0570000}"/>
    <cellStyle name="Normal 2 2 2 34 7" xfId="21689" xr:uid="{00000000-0005-0000-0000-0000E1570000}"/>
    <cellStyle name="Normal 2 2 2 34 8" xfId="21690" xr:uid="{00000000-0005-0000-0000-0000E2570000}"/>
    <cellStyle name="Normal 2 2 2 34 9" xfId="21691" xr:uid="{00000000-0005-0000-0000-0000E3570000}"/>
    <cellStyle name="Normal 2 2 2 35" xfId="21692" xr:uid="{00000000-0005-0000-0000-0000E4570000}"/>
    <cellStyle name="Normal 2 2 2 35 10" xfId="21693" xr:uid="{00000000-0005-0000-0000-0000E5570000}"/>
    <cellStyle name="Normal 2 2 2 35 11" xfId="21694" xr:uid="{00000000-0005-0000-0000-0000E6570000}"/>
    <cellStyle name="Normal 2 2 2 35 12" xfId="21695" xr:uid="{00000000-0005-0000-0000-0000E7570000}"/>
    <cellStyle name="Normal 2 2 2 35 13" xfId="21696" xr:uid="{00000000-0005-0000-0000-0000E8570000}"/>
    <cellStyle name="Normal 2 2 2 35 14" xfId="21697" xr:uid="{00000000-0005-0000-0000-0000E9570000}"/>
    <cellStyle name="Normal 2 2 2 35 15" xfId="21698" xr:uid="{00000000-0005-0000-0000-0000EA570000}"/>
    <cellStyle name="Normal 2 2 2 35 16" xfId="21699" xr:uid="{00000000-0005-0000-0000-0000EB570000}"/>
    <cellStyle name="Normal 2 2 2 35 17" xfId="21700" xr:uid="{00000000-0005-0000-0000-0000EC570000}"/>
    <cellStyle name="Normal 2 2 2 35 18" xfId="21701" xr:uid="{00000000-0005-0000-0000-0000ED570000}"/>
    <cellStyle name="Normal 2 2 2 35 19" xfId="21702" xr:uid="{00000000-0005-0000-0000-0000EE570000}"/>
    <cellStyle name="Normal 2 2 2 35 2" xfId="21703" xr:uid="{00000000-0005-0000-0000-0000EF570000}"/>
    <cellStyle name="Normal 2 2 2 35 20" xfId="21704" xr:uid="{00000000-0005-0000-0000-0000F0570000}"/>
    <cellStyle name="Normal 2 2 2 35 21" xfId="21705" xr:uid="{00000000-0005-0000-0000-0000F1570000}"/>
    <cellStyle name="Normal 2 2 2 35 22" xfId="21706" xr:uid="{00000000-0005-0000-0000-0000F2570000}"/>
    <cellStyle name="Normal 2 2 2 35 23" xfId="21707" xr:uid="{00000000-0005-0000-0000-0000F3570000}"/>
    <cellStyle name="Normal 2 2 2 35 24" xfId="21708" xr:uid="{00000000-0005-0000-0000-0000F4570000}"/>
    <cellStyle name="Normal 2 2 2 35 25" xfId="21709" xr:uid="{00000000-0005-0000-0000-0000F5570000}"/>
    <cellStyle name="Normal 2 2 2 35 26" xfId="21710" xr:uid="{00000000-0005-0000-0000-0000F6570000}"/>
    <cellStyle name="Normal 2 2 2 35 27" xfId="21711" xr:uid="{00000000-0005-0000-0000-0000F7570000}"/>
    <cellStyle name="Normal 2 2 2 35 28" xfId="21712" xr:uid="{00000000-0005-0000-0000-0000F8570000}"/>
    <cellStyle name="Normal 2 2 2 35 29" xfId="21713" xr:uid="{00000000-0005-0000-0000-0000F9570000}"/>
    <cellStyle name="Normal 2 2 2 35 3" xfId="21714" xr:uid="{00000000-0005-0000-0000-0000FA570000}"/>
    <cellStyle name="Normal 2 2 2 35 30" xfId="21715" xr:uid="{00000000-0005-0000-0000-0000FB570000}"/>
    <cellStyle name="Normal 2 2 2 35 31" xfId="21716" xr:uid="{00000000-0005-0000-0000-0000FC570000}"/>
    <cellStyle name="Normal 2 2 2 35 32" xfId="21717" xr:uid="{00000000-0005-0000-0000-0000FD570000}"/>
    <cellStyle name="Normal 2 2 2 35 33" xfId="21718" xr:uid="{00000000-0005-0000-0000-0000FE570000}"/>
    <cellStyle name="Normal 2 2 2 35 34" xfId="21719" xr:uid="{00000000-0005-0000-0000-0000FF570000}"/>
    <cellStyle name="Normal 2 2 2 35 35" xfId="21720" xr:uid="{00000000-0005-0000-0000-000000580000}"/>
    <cellStyle name="Normal 2 2 2 35 36" xfId="21721" xr:uid="{00000000-0005-0000-0000-000001580000}"/>
    <cellStyle name="Normal 2 2 2 35 37" xfId="21722" xr:uid="{00000000-0005-0000-0000-000002580000}"/>
    <cellStyle name="Normal 2 2 2 35 38" xfId="21723" xr:uid="{00000000-0005-0000-0000-000003580000}"/>
    <cellStyle name="Normal 2 2 2 35 4" xfId="21724" xr:uid="{00000000-0005-0000-0000-000004580000}"/>
    <cellStyle name="Normal 2 2 2 35 5" xfId="21725" xr:uid="{00000000-0005-0000-0000-000005580000}"/>
    <cellStyle name="Normal 2 2 2 35 6" xfId="21726" xr:uid="{00000000-0005-0000-0000-000006580000}"/>
    <cellStyle name="Normal 2 2 2 35 7" xfId="21727" xr:uid="{00000000-0005-0000-0000-000007580000}"/>
    <cellStyle name="Normal 2 2 2 35 8" xfId="21728" xr:uid="{00000000-0005-0000-0000-000008580000}"/>
    <cellStyle name="Normal 2 2 2 35 9" xfId="21729" xr:uid="{00000000-0005-0000-0000-000009580000}"/>
    <cellStyle name="Normal 2 2 2 36" xfId="21730" xr:uid="{00000000-0005-0000-0000-00000A580000}"/>
    <cellStyle name="Normal 2 2 2 36 10" xfId="21731" xr:uid="{00000000-0005-0000-0000-00000B580000}"/>
    <cellStyle name="Normal 2 2 2 36 11" xfId="21732" xr:uid="{00000000-0005-0000-0000-00000C580000}"/>
    <cellStyle name="Normal 2 2 2 36 12" xfId="21733" xr:uid="{00000000-0005-0000-0000-00000D580000}"/>
    <cellStyle name="Normal 2 2 2 36 13" xfId="21734" xr:uid="{00000000-0005-0000-0000-00000E580000}"/>
    <cellStyle name="Normal 2 2 2 36 14" xfId="21735" xr:uid="{00000000-0005-0000-0000-00000F580000}"/>
    <cellStyle name="Normal 2 2 2 36 15" xfId="21736" xr:uid="{00000000-0005-0000-0000-000010580000}"/>
    <cellStyle name="Normal 2 2 2 36 16" xfId="21737" xr:uid="{00000000-0005-0000-0000-000011580000}"/>
    <cellStyle name="Normal 2 2 2 36 17" xfId="21738" xr:uid="{00000000-0005-0000-0000-000012580000}"/>
    <cellStyle name="Normal 2 2 2 36 18" xfId="21739" xr:uid="{00000000-0005-0000-0000-000013580000}"/>
    <cellStyle name="Normal 2 2 2 36 19" xfId="21740" xr:uid="{00000000-0005-0000-0000-000014580000}"/>
    <cellStyle name="Normal 2 2 2 36 2" xfId="21741" xr:uid="{00000000-0005-0000-0000-000015580000}"/>
    <cellStyle name="Normal 2 2 2 36 20" xfId="21742" xr:uid="{00000000-0005-0000-0000-000016580000}"/>
    <cellStyle name="Normal 2 2 2 36 21" xfId="21743" xr:uid="{00000000-0005-0000-0000-000017580000}"/>
    <cellStyle name="Normal 2 2 2 36 22" xfId="21744" xr:uid="{00000000-0005-0000-0000-000018580000}"/>
    <cellStyle name="Normal 2 2 2 36 23" xfId="21745" xr:uid="{00000000-0005-0000-0000-000019580000}"/>
    <cellStyle name="Normal 2 2 2 36 24" xfId="21746" xr:uid="{00000000-0005-0000-0000-00001A580000}"/>
    <cellStyle name="Normal 2 2 2 36 25" xfId="21747" xr:uid="{00000000-0005-0000-0000-00001B580000}"/>
    <cellStyle name="Normal 2 2 2 36 26" xfId="21748" xr:uid="{00000000-0005-0000-0000-00001C580000}"/>
    <cellStyle name="Normal 2 2 2 36 27" xfId="21749" xr:uid="{00000000-0005-0000-0000-00001D580000}"/>
    <cellStyle name="Normal 2 2 2 36 28" xfId="21750" xr:uid="{00000000-0005-0000-0000-00001E580000}"/>
    <cellStyle name="Normal 2 2 2 36 29" xfId="21751" xr:uid="{00000000-0005-0000-0000-00001F580000}"/>
    <cellStyle name="Normal 2 2 2 36 3" xfId="21752" xr:uid="{00000000-0005-0000-0000-000020580000}"/>
    <cellStyle name="Normal 2 2 2 36 30" xfId="21753" xr:uid="{00000000-0005-0000-0000-000021580000}"/>
    <cellStyle name="Normal 2 2 2 36 31" xfId="21754" xr:uid="{00000000-0005-0000-0000-000022580000}"/>
    <cellStyle name="Normal 2 2 2 36 32" xfId="21755" xr:uid="{00000000-0005-0000-0000-000023580000}"/>
    <cellStyle name="Normal 2 2 2 36 33" xfId="21756" xr:uid="{00000000-0005-0000-0000-000024580000}"/>
    <cellStyle name="Normal 2 2 2 36 34" xfId="21757" xr:uid="{00000000-0005-0000-0000-000025580000}"/>
    <cellStyle name="Normal 2 2 2 36 35" xfId="21758" xr:uid="{00000000-0005-0000-0000-000026580000}"/>
    <cellStyle name="Normal 2 2 2 36 36" xfId="21759" xr:uid="{00000000-0005-0000-0000-000027580000}"/>
    <cellStyle name="Normal 2 2 2 36 37" xfId="21760" xr:uid="{00000000-0005-0000-0000-000028580000}"/>
    <cellStyle name="Normal 2 2 2 36 38" xfId="21761" xr:uid="{00000000-0005-0000-0000-000029580000}"/>
    <cellStyle name="Normal 2 2 2 36 4" xfId="21762" xr:uid="{00000000-0005-0000-0000-00002A580000}"/>
    <cellStyle name="Normal 2 2 2 36 5" xfId="21763" xr:uid="{00000000-0005-0000-0000-00002B580000}"/>
    <cellStyle name="Normal 2 2 2 36 6" xfId="21764" xr:uid="{00000000-0005-0000-0000-00002C580000}"/>
    <cellStyle name="Normal 2 2 2 36 7" xfId="21765" xr:uid="{00000000-0005-0000-0000-00002D580000}"/>
    <cellStyle name="Normal 2 2 2 36 8" xfId="21766" xr:uid="{00000000-0005-0000-0000-00002E580000}"/>
    <cellStyle name="Normal 2 2 2 36 9" xfId="21767" xr:uid="{00000000-0005-0000-0000-00002F580000}"/>
    <cellStyle name="Normal 2 2 2 37" xfId="21768" xr:uid="{00000000-0005-0000-0000-000030580000}"/>
    <cellStyle name="Normal 2 2 2 37 10" xfId="21769" xr:uid="{00000000-0005-0000-0000-000031580000}"/>
    <cellStyle name="Normal 2 2 2 37 11" xfId="21770" xr:uid="{00000000-0005-0000-0000-000032580000}"/>
    <cellStyle name="Normal 2 2 2 37 12" xfId="21771" xr:uid="{00000000-0005-0000-0000-000033580000}"/>
    <cellStyle name="Normal 2 2 2 37 13" xfId="21772" xr:uid="{00000000-0005-0000-0000-000034580000}"/>
    <cellStyle name="Normal 2 2 2 37 14" xfId="21773" xr:uid="{00000000-0005-0000-0000-000035580000}"/>
    <cellStyle name="Normal 2 2 2 37 15" xfId="21774" xr:uid="{00000000-0005-0000-0000-000036580000}"/>
    <cellStyle name="Normal 2 2 2 37 16" xfId="21775" xr:uid="{00000000-0005-0000-0000-000037580000}"/>
    <cellStyle name="Normal 2 2 2 37 17" xfId="21776" xr:uid="{00000000-0005-0000-0000-000038580000}"/>
    <cellStyle name="Normal 2 2 2 37 18" xfId="21777" xr:uid="{00000000-0005-0000-0000-000039580000}"/>
    <cellStyle name="Normal 2 2 2 37 19" xfId="21778" xr:uid="{00000000-0005-0000-0000-00003A580000}"/>
    <cellStyle name="Normal 2 2 2 37 2" xfId="21779" xr:uid="{00000000-0005-0000-0000-00003B580000}"/>
    <cellStyle name="Normal 2 2 2 37 2 2" xfId="21780" xr:uid="{00000000-0005-0000-0000-00003C580000}"/>
    <cellStyle name="Normal 2 2 2 37 2 3" xfId="21781" xr:uid="{00000000-0005-0000-0000-00003D580000}"/>
    <cellStyle name="Normal 2 2 2 37 2 4" xfId="21782" xr:uid="{00000000-0005-0000-0000-00003E580000}"/>
    <cellStyle name="Normal 2 2 2 37 2 5" xfId="21783" xr:uid="{00000000-0005-0000-0000-00003F580000}"/>
    <cellStyle name="Normal 2 2 2 37 2 6" xfId="21784" xr:uid="{00000000-0005-0000-0000-000040580000}"/>
    <cellStyle name="Normal 2 2 2 37 20" xfId="21785" xr:uid="{00000000-0005-0000-0000-000041580000}"/>
    <cellStyle name="Normal 2 2 2 37 21" xfId="21786" xr:uid="{00000000-0005-0000-0000-000042580000}"/>
    <cellStyle name="Normal 2 2 2 37 22" xfId="21787" xr:uid="{00000000-0005-0000-0000-000043580000}"/>
    <cellStyle name="Normal 2 2 2 37 23" xfId="21788" xr:uid="{00000000-0005-0000-0000-000044580000}"/>
    <cellStyle name="Normal 2 2 2 37 24" xfId="21789" xr:uid="{00000000-0005-0000-0000-000045580000}"/>
    <cellStyle name="Normal 2 2 2 37 25" xfId="21790" xr:uid="{00000000-0005-0000-0000-000046580000}"/>
    <cellStyle name="Normal 2 2 2 37 26" xfId="21791" xr:uid="{00000000-0005-0000-0000-000047580000}"/>
    <cellStyle name="Normal 2 2 2 37 27" xfId="21792" xr:uid="{00000000-0005-0000-0000-000048580000}"/>
    <cellStyle name="Normal 2 2 2 37 28" xfId="21793" xr:uid="{00000000-0005-0000-0000-000049580000}"/>
    <cellStyle name="Normal 2 2 2 37 29" xfId="21794" xr:uid="{00000000-0005-0000-0000-00004A580000}"/>
    <cellStyle name="Normal 2 2 2 37 3" xfId="21795" xr:uid="{00000000-0005-0000-0000-00004B580000}"/>
    <cellStyle name="Normal 2 2 2 37 3 2" xfId="21796" xr:uid="{00000000-0005-0000-0000-00004C580000}"/>
    <cellStyle name="Normal 2 2 2 37 3 3" xfId="21797" xr:uid="{00000000-0005-0000-0000-00004D580000}"/>
    <cellStyle name="Normal 2 2 2 37 3 4" xfId="21798" xr:uid="{00000000-0005-0000-0000-00004E580000}"/>
    <cellStyle name="Normal 2 2 2 37 3 5" xfId="21799" xr:uid="{00000000-0005-0000-0000-00004F580000}"/>
    <cellStyle name="Normal 2 2 2 37 3 6" xfId="21800" xr:uid="{00000000-0005-0000-0000-000050580000}"/>
    <cellStyle name="Normal 2 2 2 37 30" xfId="21801" xr:uid="{00000000-0005-0000-0000-000051580000}"/>
    <cellStyle name="Normal 2 2 2 37 31" xfId="21802" xr:uid="{00000000-0005-0000-0000-000052580000}"/>
    <cellStyle name="Normal 2 2 2 37 32" xfId="21803" xr:uid="{00000000-0005-0000-0000-000053580000}"/>
    <cellStyle name="Normal 2 2 2 37 33" xfId="21804" xr:uid="{00000000-0005-0000-0000-000054580000}"/>
    <cellStyle name="Normal 2 2 2 37 34" xfId="21805" xr:uid="{00000000-0005-0000-0000-000055580000}"/>
    <cellStyle name="Normal 2 2 2 37 35" xfId="21806" xr:uid="{00000000-0005-0000-0000-000056580000}"/>
    <cellStyle name="Normal 2 2 2 37 4" xfId="21807" xr:uid="{00000000-0005-0000-0000-000057580000}"/>
    <cellStyle name="Normal 2 2 2 37 4 2" xfId="21808" xr:uid="{00000000-0005-0000-0000-000058580000}"/>
    <cellStyle name="Normal 2 2 2 37 4 3" xfId="21809" xr:uid="{00000000-0005-0000-0000-000059580000}"/>
    <cellStyle name="Normal 2 2 2 37 4 4" xfId="21810" xr:uid="{00000000-0005-0000-0000-00005A580000}"/>
    <cellStyle name="Normal 2 2 2 37 4 5" xfId="21811" xr:uid="{00000000-0005-0000-0000-00005B580000}"/>
    <cellStyle name="Normal 2 2 2 37 4 6" xfId="21812" xr:uid="{00000000-0005-0000-0000-00005C580000}"/>
    <cellStyle name="Normal 2 2 2 37 5" xfId="21813" xr:uid="{00000000-0005-0000-0000-00005D580000}"/>
    <cellStyle name="Normal 2 2 2 37 5 2" xfId="21814" xr:uid="{00000000-0005-0000-0000-00005E580000}"/>
    <cellStyle name="Normal 2 2 2 37 5 3" xfId="21815" xr:uid="{00000000-0005-0000-0000-00005F580000}"/>
    <cellStyle name="Normal 2 2 2 37 5 4" xfId="21816" xr:uid="{00000000-0005-0000-0000-000060580000}"/>
    <cellStyle name="Normal 2 2 2 37 5 5" xfId="21817" xr:uid="{00000000-0005-0000-0000-000061580000}"/>
    <cellStyle name="Normal 2 2 2 37 5 6" xfId="21818" xr:uid="{00000000-0005-0000-0000-000062580000}"/>
    <cellStyle name="Normal 2 2 2 37 6" xfId="21819" xr:uid="{00000000-0005-0000-0000-000063580000}"/>
    <cellStyle name="Normal 2 2 2 37 6 2" xfId="21820" xr:uid="{00000000-0005-0000-0000-000064580000}"/>
    <cellStyle name="Normal 2 2 2 37 6 3" xfId="21821" xr:uid="{00000000-0005-0000-0000-000065580000}"/>
    <cellStyle name="Normal 2 2 2 37 6 4" xfId="21822" xr:uid="{00000000-0005-0000-0000-000066580000}"/>
    <cellStyle name="Normal 2 2 2 37 6 5" xfId="21823" xr:uid="{00000000-0005-0000-0000-000067580000}"/>
    <cellStyle name="Normal 2 2 2 37 6 6" xfId="21824" xr:uid="{00000000-0005-0000-0000-000068580000}"/>
    <cellStyle name="Normal 2 2 2 37 7" xfId="21825" xr:uid="{00000000-0005-0000-0000-000069580000}"/>
    <cellStyle name="Normal 2 2 2 37 8" xfId="21826" xr:uid="{00000000-0005-0000-0000-00006A580000}"/>
    <cellStyle name="Normal 2 2 2 37 9" xfId="21827" xr:uid="{00000000-0005-0000-0000-00006B580000}"/>
    <cellStyle name="Normal 2 2 2 38" xfId="21828" xr:uid="{00000000-0005-0000-0000-00006C580000}"/>
    <cellStyle name="Normal 2 2 2 38 2" xfId="21829" xr:uid="{00000000-0005-0000-0000-00006D580000}"/>
    <cellStyle name="Normal 2 2 2 38 3" xfId="21830" xr:uid="{00000000-0005-0000-0000-00006E580000}"/>
    <cellStyle name="Normal 2 2 2 38 4" xfId="21831" xr:uid="{00000000-0005-0000-0000-00006F580000}"/>
    <cellStyle name="Normal 2 2 2 38 5" xfId="21832" xr:uid="{00000000-0005-0000-0000-000070580000}"/>
    <cellStyle name="Normal 2 2 2 38 6" xfId="21833" xr:uid="{00000000-0005-0000-0000-000071580000}"/>
    <cellStyle name="Normal 2 2 2 38 7" xfId="21834" xr:uid="{00000000-0005-0000-0000-000072580000}"/>
    <cellStyle name="Normal 2 2 2 39" xfId="21835" xr:uid="{00000000-0005-0000-0000-000073580000}"/>
    <cellStyle name="Normal 2 2 2 39 2" xfId="21836" xr:uid="{00000000-0005-0000-0000-000074580000}"/>
    <cellStyle name="Normal 2 2 2 39 3" xfId="21837" xr:uid="{00000000-0005-0000-0000-000075580000}"/>
    <cellStyle name="Normal 2 2 2 39 4" xfId="21838" xr:uid="{00000000-0005-0000-0000-000076580000}"/>
    <cellStyle name="Normal 2 2 2 39 5" xfId="21839" xr:uid="{00000000-0005-0000-0000-000077580000}"/>
    <cellStyle name="Normal 2 2 2 39 6" xfId="21840" xr:uid="{00000000-0005-0000-0000-000078580000}"/>
    <cellStyle name="Normal 2 2 2 39 7" xfId="21841" xr:uid="{00000000-0005-0000-0000-000079580000}"/>
    <cellStyle name="Normal 2 2 2 4" xfId="21842" xr:uid="{00000000-0005-0000-0000-00007A580000}"/>
    <cellStyle name="Normal 2 2 2 4 2" xfId="21843" xr:uid="{00000000-0005-0000-0000-00007B580000}"/>
    <cellStyle name="Normal 2 2 2 4 2 2" xfId="21844" xr:uid="{00000000-0005-0000-0000-00007C580000}"/>
    <cellStyle name="Normal 2 2 2 4 2 2 2" xfId="21845" xr:uid="{00000000-0005-0000-0000-00007D580000}"/>
    <cellStyle name="Normal 2 2 2 4 2 2 2 2" xfId="21846" xr:uid="{00000000-0005-0000-0000-00007E580000}"/>
    <cellStyle name="Normal 2 2 2 4 2 2 3" xfId="21847" xr:uid="{00000000-0005-0000-0000-00007F580000}"/>
    <cellStyle name="Normal 2 2 2 4 2 3" xfId="21848" xr:uid="{00000000-0005-0000-0000-000080580000}"/>
    <cellStyle name="Normal 2 2 2 4 2 3 2" xfId="21849" xr:uid="{00000000-0005-0000-0000-000081580000}"/>
    <cellStyle name="Normal 2 2 2 4 2 4" xfId="21850" xr:uid="{00000000-0005-0000-0000-000082580000}"/>
    <cellStyle name="Normal 2 2 2 4 2 5" xfId="21851" xr:uid="{00000000-0005-0000-0000-000083580000}"/>
    <cellStyle name="Normal 2 2 2 4 3" xfId="21852" xr:uid="{00000000-0005-0000-0000-000084580000}"/>
    <cellStyle name="Normal 2 2 2 4 3 2" xfId="21853" xr:uid="{00000000-0005-0000-0000-000085580000}"/>
    <cellStyle name="Normal 2 2 2 4 4" xfId="21854" xr:uid="{00000000-0005-0000-0000-000086580000}"/>
    <cellStyle name="Normal 2 2 2 4 4 2" xfId="21855" xr:uid="{00000000-0005-0000-0000-000087580000}"/>
    <cellStyle name="Normal 2 2 2 4 5" xfId="21856" xr:uid="{00000000-0005-0000-0000-000088580000}"/>
    <cellStyle name="Normal 2 2 2 4 6" xfId="21857" xr:uid="{00000000-0005-0000-0000-000089580000}"/>
    <cellStyle name="Normal 2 2 2 40" xfId="21858" xr:uid="{00000000-0005-0000-0000-00008A580000}"/>
    <cellStyle name="Normal 2 2 2 40 2" xfId="21859" xr:uid="{00000000-0005-0000-0000-00008B580000}"/>
    <cellStyle name="Normal 2 2 2 40 3" xfId="21860" xr:uid="{00000000-0005-0000-0000-00008C580000}"/>
    <cellStyle name="Normal 2 2 2 40 4" xfId="21861" xr:uid="{00000000-0005-0000-0000-00008D580000}"/>
    <cellStyle name="Normal 2 2 2 40 5" xfId="21862" xr:uid="{00000000-0005-0000-0000-00008E580000}"/>
    <cellStyle name="Normal 2 2 2 40 6" xfId="21863" xr:uid="{00000000-0005-0000-0000-00008F580000}"/>
    <cellStyle name="Normal 2 2 2 40 7" xfId="21864" xr:uid="{00000000-0005-0000-0000-000090580000}"/>
    <cellStyle name="Normal 2 2 2 41" xfId="21865" xr:uid="{00000000-0005-0000-0000-000091580000}"/>
    <cellStyle name="Normal 2 2 2 41 2" xfId="21866" xr:uid="{00000000-0005-0000-0000-000092580000}"/>
    <cellStyle name="Normal 2 2 2 41 3" xfId="21867" xr:uid="{00000000-0005-0000-0000-000093580000}"/>
    <cellStyle name="Normal 2 2 2 41 4" xfId="21868" xr:uid="{00000000-0005-0000-0000-000094580000}"/>
    <cellStyle name="Normal 2 2 2 41 5" xfId="21869" xr:uid="{00000000-0005-0000-0000-000095580000}"/>
    <cellStyle name="Normal 2 2 2 41 6" xfId="21870" xr:uid="{00000000-0005-0000-0000-000096580000}"/>
    <cellStyle name="Normal 2 2 2 41 7" xfId="21871" xr:uid="{00000000-0005-0000-0000-000097580000}"/>
    <cellStyle name="Normal 2 2 2 42" xfId="21872" xr:uid="{00000000-0005-0000-0000-000098580000}"/>
    <cellStyle name="Normal 2 2 2 42 2" xfId="21873" xr:uid="{00000000-0005-0000-0000-000099580000}"/>
    <cellStyle name="Normal 2 2 2 42 3" xfId="21874" xr:uid="{00000000-0005-0000-0000-00009A580000}"/>
    <cellStyle name="Normal 2 2 2 42 4" xfId="21875" xr:uid="{00000000-0005-0000-0000-00009B580000}"/>
    <cellStyle name="Normal 2 2 2 42 5" xfId="21876" xr:uid="{00000000-0005-0000-0000-00009C580000}"/>
    <cellStyle name="Normal 2 2 2 42 6" xfId="21877" xr:uid="{00000000-0005-0000-0000-00009D580000}"/>
    <cellStyle name="Normal 2 2 2 42 7" xfId="21878" xr:uid="{00000000-0005-0000-0000-00009E580000}"/>
    <cellStyle name="Normal 2 2 2 43" xfId="21879" xr:uid="{00000000-0005-0000-0000-00009F580000}"/>
    <cellStyle name="Normal 2 2 2 43 2" xfId="21880" xr:uid="{00000000-0005-0000-0000-0000A0580000}"/>
    <cellStyle name="Normal 2 2 2 43 3" xfId="21881" xr:uid="{00000000-0005-0000-0000-0000A1580000}"/>
    <cellStyle name="Normal 2 2 2 43 4" xfId="21882" xr:uid="{00000000-0005-0000-0000-0000A2580000}"/>
    <cellStyle name="Normal 2 2 2 43 5" xfId="21883" xr:uid="{00000000-0005-0000-0000-0000A3580000}"/>
    <cellStyle name="Normal 2 2 2 43 6" xfId="21884" xr:uid="{00000000-0005-0000-0000-0000A4580000}"/>
    <cellStyle name="Normal 2 2 2 43 7" xfId="21885" xr:uid="{00000000-0005-0000-0000-0000A5580000}"/>
    <cellStyle name="Normal 2 2 2 44" xfId="21886" xr:uid="{00000000-0005-0000-0000-0000A6580000}"/>
    <cellStyle name="Normal 2 2 2 44 2" xfId="21887" xr:uid="{00000000-0005-0000-0000-0000A7580000}"/>
    <cellStyle name="Normal 2 2 2 44 3" xfId="21888" xr:uid="{00000000-0005-0000-0000-0000A8580000}"/>
    <cellStyle name="Normal 2 2 2 44 4" xfId="21889" xr:uid="{00000000-0005-0000-0000-0000A9580000}"/>
    <cellStyle name="Normal 2 2 2 44 5" xfId="21890" xr:uid="{00000000-0005-0000-0000-0000AA580000}"/>
    <cellStyle name="Normal 2 2 2 44 6" xfId="21891" xr:uid="{00000000-0005-0000-0000-0000AB580000}"/>
    <cellStyle name="Normal 2 2 2 44 7" xfId="21892" xr:uid="{00000000-0005-0000-0000-0000AC580000}"/>
    <cellStyle name="Normal 2 2 2 45" xfId="21893" xr:uid="{00000000-0005-0000-0000-0000AD580000}"/>
    <cellStyle name="Normal 2 2 2 45 2" xfId="21894" xr:uid="{00000000-0005-0000-0000-0000AE580000}"/>
    <cellStyle name="Normal 2 2 2 45 3" xfId="21895" xr:uid="{00000000-0005-0000-0000-0000AF580000}"/>
    <cellStyle name="Normal 2 2 2 45 4" xfId="21896" xr:uid="{00000000-0005-0000-0000-0000B0580000}"/>
    <cellStyle name="Normal 2 2 2 45 5" xfId="21897" xr:uid="{00000000-0005-0000-0000-0000B1580000}"/>
    <cellStyle name="Normal 2 2 2 45 6" xfId="21898" xr:uid="{00000000-0005-0000-0000-0000B2580000}"/>
    <cellStyle name="Normal 2 2 2 45 7" xfId="21899" xr:uid="{00000000-0005-0000-0000-0000B3580000}"/>
    <cellStyle name="Normal 2 2 2 46" xfId="21900" xr:uid="{00000000-0005-0000-0000-0000B4580000}"/>
    <cellStyle name="Normal 2 2 2 46 2" xfId="21901" xr:uid="{00000000-0005-0000-0000-0000B5580000}"/>
    <cellStyle name="Normal 2 2 2 46 3" xfId="21902" xr:uid="{00000000-0005-0000-0000-0000B6580000}"/>
    <cellStyle name="Normal 2 2 2 46 4" xfId="21903" xr:uid="{00000000-0005-0000-0000-0000B7580000}"/>
    <cellStyle name="Normal 2 2 2 46 5" xfId="21904" xr:uid="{00000000-0005-0000-0000-0000B8580000}"/>
    <cellStyle name="Normal 2 2 2 46 6" xfId="21905" xr:uid="{00000000-0005-0000-0000-0000B9580000}"/>
    <cellStyle name="Normal 2 2 2 46 7" xfId="21906" xr:uid="{00000000-0005-0000-0000-0000BA580000}"/>
    <cellStyle name="Normal 2 2 2 47" xfId="21907" xr:uid="{00000000-0005-0000-0000-0000BB580000}"/>
    <cellStyle name="Normal 2 2 2 47 2" xfId="21908" xr:uid="{00000000-0005-0000-0000-0000BC580000}"/>
    <cellStyle name="Normal 2 2 2 47 3" xfId="21909" xr:uid="{00000000-0005-0000-0000-0000BD580000}"/>
    <cellStyle name="Normal 2 2 2 47 4" xfId="21910" xr:uid="{00000000-0005-0000-0000-0000BE580000}"/>
    <cellStyle name="Normal 2 2 2 47 5" xfId="21911" xr:uid="{00000000-0005-0000-0000-0000BF580000}"/>
    <cellStyle name="Normal 2 2 2 47 6" xfId="21912" xr:uid="{00000000-0005-0000-0000-0000C0580000}"/>
    <cellStyle name="Normal 2 2 2 47 7" xfId="21913" xr:uid="{00000000-0005-0000-0000-0000C1580000}"/>
    <cellStyle name="Normal 2 2 2 48" xfId="21914" xr:uid="{00000000-0005-0000-0000-0000C2580000}"/>
    <cellStyle name="Normal 2 2 2 48 2" xfId="21915" xr:uid="{00000000-0005-0000-0000-0000C3580000}"/>
    <cellStyle name="Normal 2 2 2 48 3" xfId="21916" xr:uid="{00000000-0005-0000-0000-0000C4580000}"/>
    <cellStyle name="Normal 2 2 2 48 4" xfId="21917" xr:uid="{00000000-0005-0000-0000-0000C5580000}"/>
    <cellStyle name="Normal 2 2 2 48 5" xfId="21918" xr:uid="{00000000-0005-0000-0000-0000C6580000}"/>
    <cellStyle name="Normal 2 2 2 48 6" xfId="21919" xr:uid="{00000000-0005-0000-0000-0000C7580000}"/>
    <cellStyle name="Normal 2 2 2 48 7" xfId="21920" xr:uid="{00000000-0005-0000-0000-0000C8580000}"/>
    <cellStyle name="Normal 2 2 2 49" xfId="21921" xr:uid="{00000000-0005-0000-0000-0000C9580000}"/>
    <cellStyle name="Normal 2 2 2 49 2" xfId="21922" xr:uid="{00000000-0005-0000-0000-0000CA580000}"/>
    <cellStyle name="Normal 2 2 2 49 3" xfId="21923" xr:uid="{00000000-0005-0000-0000-0000CB580000}"/>
    <cellStyle name="Normal 2 2 2 49 4" xfId="21924" xr:uid="{00000000-0005-0000-0000-0000CC580000}"/>
    <cellStyle name="Normal 2 2 2 49 5" xfId="21925" xr:uid="{00000000-0005-0000-0000-0000CD580000}"/>
    <cellStyle name="Normal 2 2 2 49 6" xfId="21926" xr:uid="{00000000-0005-0000-0000-0000CE580000}"/>
    <cellStyle name="Normal 2 2 2 49 7" xfId="21927" xr:uid="{00000000-0005-0000-0000-0000CF580000}"/>
    <cellStyle name="Normal 2 2 2 5" xfId="21928" xr:uid="{00000000-0005-0000-0000-0000D0580000}"/>
    <cellStyle name="Normal 2 2 2 5 2" xfId="21929" xr:uid="{00000000-0005-0000-0000-0000D1580000}"/>
    <cellStyle name="Normal 2 2 2 50" xfId="21930" xr:uid="{00000000-0005-0000-0000-0000D2580000}"/>
    <cellStyle name="Normal 2 2 2 50 2" xfId="21931" xr:uid="{00000000-0005-0000-0000-0000D3580000}"/>
    <cellStyle name="Normal 2 2 2 50 3" xfId="21932" xr:uid="{00000000-0005-0000-0000-0000D4580000}"/>
    <cellStyle name="Normal 2 2 2 50 4" xfId="21933" xr:uid="{00000000-0005-0000-0000-0000D5580000}"/>
    <cellStyle name="Normal 2 2 2 50 5" xfId="21934" xr:uid="{00000000-0005-0000-0000-0000D6580000}"/>
    <cellStyle name="Normal 2 2 2 50 6" xfId="21935" xr:uid="{00000000-0005-0000-0000-0000D7580000}"/>
    <cellStyle name="Normal 2 2 2 50 7" xfId="21936" xr:uid="{00000000-0005-0000-0000-0000D8580000}"/>
    <cellStyle name="Normal 2 2 2 51" xfId="21937" xr:uid="{00000000-0005-0000-0000-0000D9580000}"/>
    <cellStyle name="Normal 2 2 2 51 2" xfId="21938" xr:uid="{00000000-0005-0000-0000-0000DA580000}"/>
    <cellStyle name="Normal 2 2 2 51 3" xfId="21939" xr:uid="{00000000-0005-0000-0000-0000DB580000}"/>
    <cellStyle name="Normal 2 2 2 51 4" xfId="21940" xr:uid="{00000000-0005-0000-0000-0000DC580000}"/>
    <cellStyle name="Normal 2 2 2 51 5" xfId="21941" xr:uid="{00000000-0005-0000-0000-0000DD580000}"/>
    <cellStyle name="Normal 2 2 2 51 6" xfId="21942" xr:uid="{00000000-0005-0000-0000-0000DE580000}"/>
    <cellStyle name="Normal 2 2 2 51 7" xfId="21943" xr:uid="{00000000-0005-0000-0000-0000DF580000}"/>
    <cellStyle name="Normal 2 2 2 52" xfId="21944" xr:uid="{00000000-0005-0000-0000-0000E0580000}"/>
    <cellStyle name="Normal 2 2 2 52 2" xfId="21945" xr:uid="{00000000-0005-0000-0000-0000E1580000}"/>
    <cellStyle name="Normal 2 2 2 53" xfId="21946" xr:uid="{00000000-0005-0000-0000-0000E2580000}"/>
    <cellStyle name="Normal 2 2 2 53 2" xfId="21947" xr:uid="{00000000-0005-0000-0000-0000E3580000}"/>
    <cellStyle name="Normal 2 2 2 54" xfId="21948" xr:uid="{00000000-0005-0000-0000-0000E4580000}"/>
    <cellStyle name="Normal 2 2 2 54 2" xfId="21949" xr:uid="{00000000-0005-0000-0000-0000E5580000}"/>
    <cellStyle name="Normal 2 2 2 55" xfId="21950" xr:uid="{00000000-0005-0000-0000-0000E6580000}"/>
    <cellStyle name="Normal 2 2 2 55 2" xfId="21951" xr:uid="{00000000-0005-0000-0000-0000E7580000}"/>
    <cellStyle name="Normal 2 2 2 56" xfId="21952" xr:uid="{00000000-0005-0000-0000-0000E8580000}"/>
    <cellStyle name="Normal 2 2 2 56 2" xfId="21953" xr:uid="{00000000-0005-0000-0000-0000E9580000}"/>
    <cellStyle name="Normal 2 2 2 56 2 2" xfId="21954" xr:uid="{00000000-0005-0000-0000-0000EA580000}"/>
    <cellStyle name="Normal 2 2 2 56 2 2 2" xfId="21955" xr:uid="{00000000-0005-0000-0000-0000EB580000}"/>
    <cellStyle name="Normal 2 2 2 56 2 2 2 2" xfId="21956" xr:uid="{00000000-0005-0000-0000-0000EC580000}"/>
    <cellStyle name="Normal 2 2 2 56 2 2 2 3" xfId="21957" xr:uid="{00000000-0005-0000-0000-0000ED580000}"/>
    <cellStyle name="Normal 2 2 2 56 2 2 2 4" xfId="21958" xr:uid="{00000000-0005-0000-0000-0000EE580000}"/>
    <cellStyle name="Normal 2 2 2 56 2 2 2 5" xfId="21959" xr:uid="{00000000-0005-0000-0000-0000EF580000}"/>
    <cellStyle name="Normal 2 2 2 56 2 2 2 6" xfId="21960" xr:uid="{00000000-0005-0000-0000-0000F0580000}"/>
    <cellStyle name="Normal 2 2 2 56 2 3" xfId="21961" xr:uid="{00000000-0005-0000-0000-0000F1580000}"/>
    <cellStyle name="Normal 2 2 2 56 2 4" xfId="21962" xr:uid="{00000000-0005-0000-0000-0000F2580000}"/>
    <cellStyle name="Normal 2 2 2 56 2 5" xfId="21963" xr:uid="{00000000-0005-0000-0000-0000F3580000}"/>
    <cellStyle name="Normal 2 2 2 56 2 6" xfId="21964" xr:uid="{00000000-0005-0000-0000-0000F4580000}"/>
    <cellStyle name="Normal 2 2 2 56 2 7" xfId="21965" xr:uid="{00000000-0005-0000-0000-0000F5580000}"/>
    <cellStyle name="Normal 2 2 2 56 3" xfId="21966" xr:uid="{00000000-0005-0000-0000-0000F6580000}"/>
    <cellStyle name="Normal 2 2 2 56 3 2" xfId="21967" xr:uid="{00000000-0005-0000-0000-0000F7580000}"/>
    <cellStyle name="Normal 2 2 2 56 3 3" xfId="21968" xr:uid="{00000000-0005-0000-0000-0000F8580000}"/>
    <cellStyle name="Normal 2 2 2 56 3 4" xfId="21969" xr:uid="{00000000-0005-0000-0000-0000F9580000}"/>
    <cellStyle name="Normal 2 2 2 56 3 5" xfId="21970" xr:uid="{00000000-0005-0000-0000-0000FA580000}"/>
    <cellStyle name="Normal 2 2 2 56 3 6" xfId="21971" xr:uid="{00000000-0005-0000-0000-0000FB580000}"/>
    <cellStyle name="Normal 2 2 2 56 4" xfId="21972" xr:uid="{00000000-0005-0000-0000-0000FC580000}"/>
    <cellStyle name="Normal 2 2 2 57" xfId="21973" xr:uid="{00000000-0005-0000-0000-0000FD580000}"/>
    <cellStyle name="Normal 2 2 2 57 2" xfId="21974" xr:uid="{00000000-0005-0000-0000-0000FE580000}"/>
    <cellStyle name="Normal 2 2 2 57 3" xfId="21975" xr:uid="{00000000-0005-0000-0000-0000FF580000}"/>
    <cellStyle name="Normal 2 2 2 57 4" xfId="21976" xr:uid="{00000000-0005-0000-0000-000000590000}"/>
    <cellStyle name="Normal 2 2 2 57 5" xfId="21977" xr:uid="{00000000-0005-0000-0000-000001590000}"/>
    <cellStyle name="Normal 2 2 2 57 6" xfId="21978" xr:uid="{00000000-0005-0000-0000-000002590000}"/>
    <cellStyle name="Normal 2 2 2 57 7" xfId="21979" xr:uid="{00000000-0005-0000-0000-000003590000}"/>
    <cellStyle name="Normal 2 2 2 58" xfId="21980" xr:uid="{00000000-0005-0000-0000-000004590000}"/>
    <cellStyle name="Normal 2 2 2 58 2" xfId="21981" xr:uid="{00000000-0005-0000-0000-000005590000}"/>
    <cellStyle name="Normal 2 2 2 58 3" xfId="21982" xr:uid="{00000000-0005-0000-0000-000006590000}"/>
    <cellStyle name="Normal 2 2 2 58 4" xfId="21983" xr:uid="{00000000-0005-0000-0000-000007590000}"/>
    <cellStyle name="Normal 2 2 2 58 5" xfId="21984" xr:uid="{00000000-0005-0000-0000-000008590000}"/>
    <cellStyle name="Normal 2 2 2 58 6" xfId="21985" xr:uid="{00000000-0005-0000-0000-000009590000}"/>
    <cellStyle name="Normal 2 2 2 58 7" xfId="21986" xr:uid="{00000000-0005-0000-0000-00000A590000}"/>
    <cellStyle name="Normal 2 2 2 59" xfId="21987" xr:uid="{00000000-0005-0000-0000-00000B590000}"/>
    <cellStyle name="Normal 2 2 2 59 2" xfId="21988" xr:uid="{00000000-0005-0000-0000-00000C590000}"/>
    <cellStyle name="Normal 2 2 2 59 3" xfId="21989" xr:uid="{00000000-0005-0000-0000-00000D590000}"/>
    <cellStyle name="Normal 2 2 2 59 4" xfId="21990" xr:uid="{00000000-0005-0000-0000-00000E590000}"/>
    <cellStyle name="Normal 2 2 2 59 5" xfId="21991" xr:uid="{00000000-0005-0000-0000-00000F590000}"/>
    <cellStyle name="Normal 2 2 2 59 6" xfId="21992" xr:uid="{00000000-0005-0000-0000-000010590000}"/>
    <cellStyle name="Normal 2 2 2 6" xfId="21993" xr:uid="{00000000-0005-0000-0000-000011590000}"/>
    <cellStyle name="Normal 2 2 2 6 2" xfId="21994" xr:uid="{00000000-0005-0000-0000-000012590000}"/>
    <cellStyle name="Normal 2 2 2 60" xfId="21995" xr:uid="{00000000-0005-0000-0000-000013590000}"/>
    <cellStyle name="Normal 2 2 2 60 2" xfId="21996" xr:uid="{00000000-0005-0000-0000-000014590000}"/>
    <cellStyle name="Normal 2 2 2 60 3" xfId="21997" xr:uid="{00000000-0005-0000-0000-000015590000}"/>
    <cellStyle name="Normal 2 2 2 60 4" xfId="21998" xr:uid="{00000000-0005-0000-0000-000016590000}"/>
    <cellStyle name="Normal 2 2 2 60 5" xfId="21999" xr:uid="{00000000-0005-0000-0000-000017590000}"/>
    <cellStyle name="Normal 2 2 2 60 6" xfId="22000" xr:uid="{00000000-0005-0000-0000-000018590000}"/>
    <cellStyle name="Normal 2 2 2 61" xfId="22001" xr:uid="{00000000-0005-0000-0000-000019590000}"/>
    <cellStyle name="Normal 2 2 2 61 2" xfId="22002" xr:uid="{00000000-0005-0000-0000-00001A590000}"/>
    <cellStyle name="Normal 2 2 2 61 3" xfId="22003" xr:uid="{00000000-0005-0000-0000-00001B590000}"/>
    <cellStyle name="Normal 2 2 2 61 4" xfId="22004" xr:uid="{00000000-0005-0000-0000-00001C590000}"/>
    <cellStyle name="Normal 2 2 2 61 5" xfId="22005" xr:uid="{00000000-0005-0000-0000-00001D590000}"/>
    <cellStyle name="Normal 2 2 2 61 6" xfId="22006" xr:uid="{00000000-0005-0000-0000-00001E590000}"/>
    <cellStyle name="Normal 2 2 2 62" xfId="22007" xr:uid="{00000000-0005-0000-0000-00001F590000}"/>
    <cellStyle name="Normal 2 2 2 62 2" xfId="22008" xr:uid="{00000000-0005-0000-0000-000020590000}"/>
    <cellStyle name="Normal 2 2 2 62 3" xfId="22009" xr:uid="{00000000-0005-0000-0000-000021590000}"/>
    <cellStyle name="Normal 2 2 2 62 4" xfId="22010" xr:uid="{00000000-0005-0000-0000-000022590000}"/>
    <cellStyle name="Normal 2 2 2 62 5" xfId="22011" xr:uid="{00000000-0005-0000-0000-000023590000}"/>
    <cellStyle name="Normal 2 2 2 62 6" xfId="22012" xr:uid="{00000000-0005-0000-0000-000024590000}"/>
    <cellStyle name="Normal 2 2 2 63" xfId="22013" xr:uid="{00000000-0005-0000-0000-000025590000}"/>
    <cellStyle name="Normal 2 2 2 63 2" xfId="22014" xr:uid="{00000000-0005-0000-0000-000026590000}"/>
    <cellStyle name="Normal 2 2 2 63 3" xfId="22015" xr:uid="{00000000-0005-0000-0000-000027590000}"/>
    <cellStyle name="Normal 2 2 2 63 4" xfId="22016" xr:uid="{00000000-0005-0000-0000-000028590000}"/>
    <cellStyle name="Normal 2 2 2 63 5" xfId="22017" xr:uid="{00000000-0005-0000-0000-000029590000}"/>
    <cellStyle name="Normal 2 2 2 63 6" xfId="22018" xr:uid="{00000000-0005-0000-0000-00002A590000}"/>
    <cellStyle name="Normal 2 2 2 64" xfId="22019" xr:uid="{00000000-0005-0000-0000-00002B590000}"/>
    <cellStyle name="Normal 2 2 2 64 2" xfId="22020" xr:uid="{00000000-0005-0000-0000-00002C590000}"/>
    <cellStyle name="Normal 2 2 2 64 3" xfId="22021" xr:uid="{00000000-0005-0000-0000-00002D590000}"/>
    <cellStyle name="Normal 2 2 2 64 4" xfId="22022" xr:uid="{00000000-0005-0000-0000-00002E590000}"/>
    <cellStyle name="Normal 2 2 2 64 5" xfId="22023" xr:uid="{00000000-0005-0000-0000-00002F590000}"/>
    <cellStyle name="Normal 2 2 2 64 6" xfId="22024" xr:uid="{00000000-0005-0000-0000-000030590000}"/>
    <cellStyle name="Normal 2 2 2 65" xfId="22025" xr:uid="{00000000-0005-0000-0000-000031590000}"/>
    <cellStyle name="Normal 2 2 2 65 2" xfId="22026" xr:uid="{00000000-0005-0000-0000-000032590000}"/>
    <cellStyle name="Normal 2 2 2 65 3" xfId="22027" xr:uid="{00000000-0005-0000-0000-000033590000}"/>
    <cellStyle name="Normal 2 2 2 65 4" xfId="22028" xr:uid="{00000000-0005-0000-0000-000034590000}"/>
    <cellStyle name="Normal 2 2 2 65 5" xfId="22029" xr:uid="{00000000-0005-0000-0000-000035590000}"/>
    <cellStyle name="Normal 2 2 2 65 6" xfId="22030" xr:uid="{00000000-0005-0000-0000-000036590000}"/>
    <cellStyle name="Normal 2 2 2 66" xfId="22031" xr:uid="{00000000-0005-0000-0000-000037590000}"/>
    <cellStyle name="Normal 2 2 2 66 2" xfId="22032" xr:uid="{00000000-0005-0000-0000-000038590000}"/>
    <cellStyle name="Normal 2 2 2 66 3" xfId="22033" xr:uid="{00000000-0005-0000-0000-000039590000}"/>
    <cellStyle name="Normal 2 2 2 66 4" xfId="22034" xr:uid="{00000000-0005-0000-0000-00003A590000}"/>
    <cellStyle name="Normal 2 2 2 66 5" xfId="22035" xr:uid="{00000000-0005-0000-0000-00003B590000}"/>
    <cellStyle name="Normal 2 2 2 66 6" xfId="22036" xr:uid="{00000000-0005-0000-0000-00003C590000}"/>
    <cellStyle name="Normal 2 2 2 67" xfId="22037" xr:uid="{00000000-0005-0000-0000-00003D590000}"/>
    <cellStyle name="Normal 2 2 2 67 2" xfId="22038" xr:uid="{00000000-0005-0000-0000-00003E590000}"/>
    <cellStyle name="Normal 2 2 2 67 3" xfId="22039" xr:uid="{00000000-0005-0000-0000-00003F590000}"/>
    <cellStyle name="Normal 2 2 2 67 4" xfId="22040" xr:uid="{00000000-0005-0000-0000-000040590000}"/>
    <cellStyle name="Normal 2 2 2 67 5" xfId="22041" xr:uid="{00000000-0005-0000-0000-000041590000}"/>
    <cellStyle name="Normal 2 2 2 67 6" xfId="22042" xr:uid="{00000000-0005-0000-0000-000042590000}"/>
    <cellStyle name="Normal 2 2 2 68" xfId="22043" xr:uid="{00000000-0005-0000-0000-000043590000}"/>
    <cellStyle name="Normal 2 2 2 68 2" xfId="22044" xr:uid="{00000000-0005-0000-0000-000044590000}"/>
    <cellStyle name="Normal 2 2 2 68 3" xfId="22045" xr:uid="{00000000-0005-0000-0000-000045590000}"/>
    <cellStyle name="Normal 2 2 2 68 4" xfId="22046" xr:uid="{00000000-0005-0000-0000-000046590000}"/>
    <cellStyle name="Normal 2 2 2 68 5" xfId="22047" xr:uid="{00000000-0005-0000-0000-000047590000}"/>
    <cellStyle name="Normal 2 2 2 68 6" xfId="22048" xr:uid="{00000000-0005-0000-0000-000048590000}"/>
    <cellStyle name="Normal 2 2 2 69" xfId="22049" xr:uid="{00000000-0005-0000-0000-000049590000}"/>
    <cellStyle name="Normal 2 2 2 69 2" xfId="22050" xr:uid="{00000000-0005-0000-0000-00004A590000}"/>
    <cellStyle name="Normal 2 2 2 69 3" xfId="22051" xr:uid="{00000000-0005-0000-0000-00004B590000}"/>
    <cellStyle name="Normal 2 2 2 69 4" xfId="22052" xr:uid="{00000000-0005-0000-0000-00004C590000}"/>
    <cellStyle name="Normal 2 2 2 69 5" xfId="22053" xr:uid="{00000000-0005-0000-0000-00004D590000}"/>
    <cellStyle name="Normal 2 2 2 69 6" xfId="22054" xr:uid="{00000000-0005-0000-0000-00004E590000}"/>
    <cellStyle name="Normal 2 2 2 7" xfId="22055" xr:uid="{00000000-0005-0000-0000-00004F590000}"/>
    <cellStyle name="Normal 2 2 2 7 2" xfId="22056" xr:uid="{00000000-0005-0000-0000-000050590000}"/>
    <cellStyle name="Normal 2 2 2 70" xfId="22057" xr:uid="{00000000-0005-0000-0000-000051590000}"/>
    <cellStyle name="Normal 2 2 2 70 2" xfId="22058" xr:uid="{00000000-0005-0000-0000-000052590000}"/>
    <cellStyle name="Normal 2 2 2 70 3" xfId="22059" xr:uid="{00000000-0005-0000-0000-000053590000}"/>
    <cellStyle name="Normal 2 2 2 70 4" xfId="22060" xr:uid="{00000000-0005-0000-0000-000054590000}"/>
    <cellStyle name="Normal 2 2 2 70 5" xfId="22061" xr:uid="{00000000-0005-0000-0000-000055590000}"/>
    <cellStyle name="Normal 2 2 2 70 6" xfId="22062" xr:uid="{00000000-0005-0000-0000-000056590000}"/>
    <cellStyle name="Normal 2 2 2 71" xfId="22063" xr:uid="{00000000-0005-0000-0000-000057590000}"/>
    <cellStyle name="Normal 2 2 2 71 2" xfId="22064" xr:uid="{00000000-0005-0000-0000-000058590000}"/>
    <cellStyle name="Normal 2 2 2 71 3" xfId="22065" xr:uid="{00000000-0005-0000-0000-000059590000}"/>
    <cellStyle name="Normal 2 2 2 71 4" xfId="22066" xr:uid="{00000000-0005-0000-0000-00005A590000}"/>
    <cellStyle name="Normal 2 2 2 71 5" xfId="22067" xr:uid="{00000000-0005-0000-0000-00005B590000}"/>
    <cellStyle name="Normal 2 2 2 71 6" xfId="22068" xr:uid="{00000000-0005-0000-0000-00005C590000}"/>
    <cellStyle name="Normal 2 2 2 72" xfId="22069" xr:uid="{00000000-0005-0000-0000-00005D590000}"/>
    <cellStyle name="Normal 2 2 2 72 2" xfId="22070" xr:uid="{00000000-0005-0000-0000-00005E590000}"/>
    <cellStyle name="Normal 2 2 2 72 3" xfId="22071" xr:uid="{00000000-0005-0000-0000-00005F590000}"/>
    <cellStyle name="Normal 2 2 2 72 4" xfId="22072" xr:uid="{00000000-0005-0000-0000-000060590000}"/>
    <cellStyle name="Normal 2 2 2 72 5" xfId="22073" xr:uid="{00000000-0005-0000-0000-000061590000}"/>
    <cellStyle name="Normal 2 2 2 72 6" xfId="22074" xr:uid="{00000000-0005-0000-0000-000062590000}"/>
    <cellStyle name="Normal 2 2 2 73" xfId="22075" xr:uid="{00000000-0005-0000-0000-000063590000}"/>
    <cellStyle name="Normal 2 2 2 73 2" xfId="22076" xr:uid="{00000000-0005-0000-0000-000064590000}"/>
    <cellStyle name="Normal 2 2 2 73 3" xfId="22077" xr:uid="{00000000-0005-0000-0000-000065590000}"/>
    <cellStyle name="Normal 2 2 2 73 4" xfId="22078" xr:uid="{00000000-0005-0000-0000-000066590000}"/>
    <cellStyle name="Normal 2 2 2 73 5" xfId="22079" xr:uid="{00000000-0005-0000-0000-000067590000}"/>
    <cellStyle name="Normal 2 2 2 73 6" xfId="22080" xr:uid="{00000000-0005-0000-0000-000068590000}"/>
    <cellStyle name="Normal 2 2 2 74" xfId="22081" xr:uid="{00000000-0005-0000-0000-000069590000}"/>
    <cellStyle name="Normal 2 2 2 74 2" xfId="22082" xr:uid="{00000000-0005-0000-0000-00006A590000}"/>
    <cellStyle name="Normal 2 2 2 74 3" xfId="22083" xr:uid="{00000000-0005-0000-0000-00006B590000}"/>
    <cellStyle name="Normal 2 2 2 74 4" xfId="22084" xr:uid="{00000000-0005-0000-0000-00006C590000}"/>
    <cellStyle name="Normal 2 2 2 74 5" xfId="22085" xr:uid="{00000000-0005-0000-0000-00006D590000}"/>
    <cellStyle name="Normal 2 2 2 74 6" xfId="22086" xr:uid="{00000000-0005-0000-0000-00006E590000}"/>
    <cellStyle name="Normal 2 2 2 75" xfId="22087" xr:uid="{00000000-0005-0000-0000-00006F590000}"/>
    <cellStyle name="Normal 2 2 2 75 2" xfId="22088" xr:uid="{00000000-0005-0000-0000-000070590000}"/>
    <cellStyle name="Normal 2 2 2 75 3" xfId="22089" xr:uid="{00000000-0005-0000-0000-000071590000}"/>
    <cellStyle name="Normal 2 2 2 75 4" xfId="22090" xr:uid="{00000000-0005-0000-0000-000072590000}"/>
    <cellStyle name="Normal 2 2 2 75 5" xfId="22091" xr:uid="{00000000-0005-0000-0000-000073590000}"/>
    <cellStyle name="Normal 2 2 2 75 6" xfId="22092" xr:uid="{00000000-0005-0000-0000-000074590000}"/>
    <cellStyle name="Normal 2 2 2 76" xfId="22093" xr:uid="{00000000-0005-0000-0000-000075590000}"/>
    <cellStyle name="Normal 2 2 2 76 2" xfId="22094" xr:uid="{00000000-0005-0000-0000-000076590000}"/>
    <cellStyle name="Normal 2 2 2 76 2 2" xfId="22095" xr:uid="{00000000-0005-0000-0000-000077590000}"/>
    <cellStyle name="Normal 2 2 2 76 2 3" xfId="22096" xr:uid="{00000000-0005-0000-0000-000078590000}"/>
    <cellStyle name="Normal 2 2 2 76 2 4" xfId="22097" xr:uid="{00000000-0005-0000-0000-000079590000}"/>
    <cellStyle name="Normal 2 2 2 76 2 5" xfId="22098" xr:uid="{00000000-0005-0000-0000-00007A590000}"/>
    <cellStyle name="Normal 2 2 2 76 2 6" xfId="22099" xr:uid="{00000000-0005-0000-0000-00007B590000}"/>
    <cellStyle name="Normal 2 2 2 77" xfId="22100" xr:uid="{00000000-0005-0000-0000-00007C590000}"/>
    <cellStyle name="Normal 2 2 2 77 10" xfId="22101" xr:uid="{00000000-0005-0000-0000-00007D590000}"/>
    <cellStyle name="Normal 2 2 2 77 11" xfId="22102" xr:uid="{00000000-0005-0000-0000-00007E590000}"/>
    <cellStyle name="Normal 2 2 2 77 2" xfId="22103" xr:uid="{00000000-0005-0000-0000-00007F590000}"/>
    <cellStyle name="Normal 2 2 2 77 2 2" xfId="22104" xr:uid="{00000000-0005-0000-0000-000080590000}"/>
    <cellStyle name="Normal 2 2 2 77 2 2 2" xfId="22105" xr:uid="{00000000-0005-0000-0000-000081590000}"/>
    <cellStyle name="Normal 2 2 2 77 2 2 3" xfId="22106" xr:uid="{00000000-0005-0000-0000-000082590000}"/>
    <cellStyle name="Normal 2 2 2 77 2 3" xfId="22107" xr:uid="{00000000-0005-0000-0000-000083590000}"/>
    <cellStyle name="Normal 2 2 2 77 2 4" xfId="22108" xr:uid="{00000000-0005-0000-0000-000084590000}"/>
    <cellStyle name="Normal 2 2 2 77 2 5" xfId="22109" xr:uid="{00000000-0005-0000-0000-000085590000}"/>
    <cellStyle name="Normal 2 2 2 77 2 6" xfId="22110" xr:uid="{00000000-0005-0000-0000-000086590000}"/>
    <cellStyle name="Normal 2 2 2 77 2 7" xfId="22111" xr:uid="{00000000-0005-0000-0000-000087590000}"/>
    <cellStyle name="Normal 2 2 2 77 2 8" xfId="22112" xr:uid="{00000000-0005-0000-0000-000088590000}"/>
    <cellStyle name="Normal 2 2 2 77 2 9" xfId="22113" xr:uid="{00000000-0005-0000-0000-000089590000}"/>
    <cellStyle name="Normal 2 2 2 77 3" xfId="22114" xr:uid="{00000000-0005-0000-0000-00008A590000}"/>
    <cellStyle name="Normal 2 2 2 77 4" xfId="22115" xr:uid="{00000000-0005-0000-0000-00008B590000}"/>
    <cellStyle name="Normal 2 2 2 77 5" xfId="22116" xr:uid="{00000000-0005-0000-0000-00008C590000}"/>
    <cellStyle name="Normal 2 2 2 77 5 2" xfId="22117" xr:uid="{00000000-0005-0000-0000-00008D590000}"/>
    <cellStyle name="Normal 2 2 2 77 5 3" xfId="22118" xr:uid="{00000000-0005-0000-0000-00008E590000}"/>
    <cellStyle name="Normal 2 2 2 77 6" xfId="22119" xr:uid="{00000000-0005-0000-0000-00008F590000}"/>
    <cellStyle name="Normal 2 2 2 77 7" xfId="22120" xr:uid="{00000000-0005-0000-0000-000090590000}"/>
    <cellStyle name="Normal 2 2 2 77 8" xfId="22121" xr:uid="{00000000-0005-0000-0000-000091590000}"/>
    <cellStyle name="Normal 2 2 2 77 9" xfId="22122" xr:uid="{00000000-0005-0000-0000-000092590000}"/>
    <cellStyle name="Normal 2 2 2 78" xfId="22123" xr:uid="{00000000-0005-0000-0000-000093590000}"/>
    <cellStyle name="Normal 2 2 2 79" xfId="22124" xr:uid="{00000000-0005-0000-0000-000094590000}"/>
    <cellStyle name="Normal 2 2 2 8" xfId="22125" xr:uid="{00000000-0005-0000-0000-000095590000}"/>
    <cellStyle name="Normal 2 2 2 8 2" xfId="22126" xr:uid="{00000000-0005-0000-0000-000096590000}"/>
    <cellStyle name="Normal 2 2 2 80" xfId="22127" xr:uid="{00000000-0005-0000-0000-000097590000}"/>
    <cellStyle name="Normal 2 2 2 80 2" xfId="22128" xr:uid="{00000000-0005-0000-0000-000098590000}"/>
    <cellStyle name="Normal 2 2 2 80 2 2" xfId="22129" xr:uid="{00000000-0005-0000-0000-000099590000}"/>
    <cellStyle name="Normal 2 2 2 80 2 3" xfId="22130" xr:uid="{00000000-0005-0000-0000-00009A590000}"/>
    <cellStyle name="Normal 2 2 2 80 3" xfId="22131" xr:uid="{00000000-0005-0000-0000-00009B590000}"/>
    <cellStyle name="Normal 2 2 2 80 4" xfId="22132" xr:uid="{00000000-0005-0000-0000-00009C590000}"/>
    <cellStyle name="Normal 2 2 2 80 5" xfId="22133" xr:uid="{00000000-0005-0000-0000-00009D590000}"/>
    <cellStyle name="Normal 2 2 2 80 6" xfId="22134" xr:uid="{00000000-0005-0000-0000-00009E590000}"/>
    <cellStyle name="Normal 2 2 2 80 7" xfId="22135" xr:uid="{00000000-0005-0000-0000-00009F590000}"/>
    <cellStyle name="Normal 2 2 2 80 8" xfId="22136" xr:uid="{00000000-0005-0000-0000-0000A0590000}"/>
    <cellStyle name="Normal 2 2 2 80 9" xfId="22137" xr:uid="{00000000-0005-0000-0000-0000A1590000}"/>
    <cellStyle name="Normal 2 2 2 81" xfId="22138" xr:uid="{00000000-0005-0000-0000-0000A2590000}"/>
    <cellStyle name="Normal 2 2 2 82" xfId="22139" xr:uid="{00000000-0005-0000-0000-0000A3590000}"/>
    <cellStyle name="Normal 2 2 2 82 2" xfId="22140" xr:uid="{00000000-0005-0000-0000-0000A4590000}"/>
    <cellStyle name="Normal 2 2 2 82 3" xfId="22141" xr:uid="{00000000-0005-0000-0000-0000A5590000}"/>
    <cellStyle name="Normal 2 2 2 83" xfId="22142" xr:uid="{00000000-0005-0000-0000-0000A6590000}"/>
    <cellStyle name="Normal 2 2 2 84" xfId="22143" xr:uid="{00000000-0005-0000-0000-0000A7590000}"/>
    <cellStyle name="Normal 2 2 2 85" xfId="22144" xr:uid="{00000000-0005-0000-0000-0000A8590000}"/>
    <cellStyle name="Normal 2 2 2 86" xfId="22145" xr:uid="{00000000-0005-0000-0000-0000A9590000}"/>
    <cellStyle name="Normal 2 2 2 87" xfId="22146" xr:uid="{00000000-0005-0000-0000-0000AA590000}"/>
    <cellStyle name="Normal 2 2 2 88" xfId="22147" xr:uid="{00000000-0005-0000-0000-0000AB590000}"/>
    <cellStyle name="Normal 2 2 2 89" xfId="22148" xr:uid="{00000000-0005-0000-0000-0000AC590000}"/>
    <cellStyle name="Normal 2 2 2 9" xfId="22149" xr:uid="{00000000-0005-0000-0000-0000AD590000}"/>
    <cellStyle name="Normal 2 2 2 9 10" xfId="22150" xr:uid="{00000000-0005-0000-0000-0000AE590000}"/>
    <cellStyle name="Normal 2 2 2 9 11" xfId="22151" xr:uid="{00000000-0005-0000-0000-0000AF590000}"/>
    <cellStyle name="Normal 2 2 2 9 12" xfId="22152" xr:uid="{00000000-0005-0000-0000-0000B0590000}"/>
    <cellStyle name="Normal 2 2 2 9 13" xfId="22153" xr:uid="{00000000-0005-0000-0000-0000B1590000}"/>
    <cellStyle name="Normal 2 2 2 9 14" xfId="22154" xr:uid="{00000000-0005-0000-0000-0000B2590000}"/>
    <cellStyle name="Normal 2 2 2 9 15" xfId="22155" xr:uid="{00000000-0005-0000-0000-0000B3590000}"/>
    <cellStyle name="Normal 2 2 2 9 16" xfId="22156" xr:uid="{00000000-0005-0000-0000-0000B4590000}"/>
    <cellStyle name="Normal 2 2 2 9 17" xfId="22157" xr:uid="{00000000-0005-0000-0000-0000B5590000}"/>
    <cellStyle name="Normal 2 2 2 9 18" xfId="22158" xr:uid="{00000000-0005-0000-0000-0000B6590000}"/>
    <cellStyle name="Normal 2 2 2 9 19" xfId="22159" xr:uid="{00000000-0005-0000-0000-0000B7590000}"/>
    <cellStyle name="Normal 2 2 2 9 2" xfId="22160" xr:uid="{00000000-0005-0000-0000-0000B8590000}"/>
    <cellStyle name="Normal 2 2 2 9 2 10" xfId="22161" xr:uid="{00000000-0005-0000-0000-0000B9590000}"/>
    <cellStyle name="Normal 2 2 2 9 2 11" xfId="22162" xr:uid="{00000000-0005-0000-0000-0000BA590000}"/>
    <cellStyle name="Normal 2 2 2 9 2 12" xfId="22163" xr:uid="{00000000-0005-0000-0000-0000BB590000}"/>
    <cellStyle name="Normal 2 2 2 9 2 13" xfId="22164" xr:uid="{00000000-0005-0000-0000-0000BC590000}"/>
    <cellStyle name="Normal 2 2 2 9 2 2" xfId="22165" xr:uid="{00000000-0005-0000-0000-0000BD590000}"/>
    <cellStyle name="Normal 2 2 2 9 2 2 2" xfId="22166" xr:uid="{00000000-0005-0000-0000-0000BE590000}"/>
    <cellStyle name="Normal 2 2 2 9 2 2 3" xfId="22167" xr:uid="{00000000-0005-0000-0000-0000BF590000}"/>
    <cellStyle name="Normal 2 2 2 9 2 2 4" xfId="22168" xr:uid="{00000000-0005-0000-0000-0000C0590000}"/>
    <cellStyle name="Normal 2 2 2 9 2 2 5" xfId="22169" xr:uid="{00000000-0005-0000-0000-0000C1590000}"/>
    <cellStyle name="Normal 2 2 2 9 2 2 6" xfId="22170" xr:uid="{00000000-0005-0000-0000-0000C2590000}"/>
    <cellStyle name="Normal 2 2 2 9 2 3" xfId="22171" xr:uid="{00000000-0005-0000-0000-0000C3590000}"/>
    <cellStyle name="Normal 2 2 2 9 2 3 2" xfId="22172" xr:uid="{00000000-0005-0000-0000-0000C4590000}"/>
    <cellStyle name="Normal 2 2 2 9 2 3 3" xfId="22173" xr:uid="{00000000-0005-0000-0000-0000C5590000}"/>
    <cellStyle name="Normal 2 2 2 9 2 3 4" xfId="22174" xr:uid="{00000000-0005-0000-0000-0000C6590000}"/>
    <cellStyle name="Normal 2 2 2 9 2 3 5" xfId="22175" xr:uid="{00000000-0005-0000-0000-0000C7590000}"/>
    <cellStyle name="Normal 2 2 2 9 2 3 6" xfId="22176" xr:uid="{00000000-0005-0000-0000-0000C8590000}"/>
    <cellStyle name="Normal 2 2 2 9 2 4" xfId="22177" xr:uid="{00000000-0005-0000-0000-0000C9590000}"/>
    <cellStyle name="Normal 2 2 2 9 2 4 2" xfId="22178" xr:uid="{00000000-0005-0000-0000-0000CA590000}"/>
    <cellStyle name="Normal 2 2 2 9 2 4 3" xfId="22179" xr:uid="{00000000-0005-0000-0000-0000CB590000}"/>
    <cellStyle name="Normal 2 2 2 9 2 4 4" xfId="22180" xr:uid="{00000000-0005-0000-0000-0000CC590000}"/>
    <cellStyle name="Normal 2 2 2 9 2 4 5" xfId="22181" xr:uid="{00000000-0005-0000-0000-0000CD590000}"/>
    <cellStyle name="Normal 2 2 2 9 2 4 6" xfId="22182" xr:uid="{00000000-0005-0000-0000-0000CE590000}"/>
    <cellStyle name="Normal 2 2 2 9 2 5" xfId="22183" xr:uid="{00000000-0005-0000-0000-0000CF590000}"/>
    <cellStyle name="Normal 2 2 2 9 2 5 2" xfId="22184" xr:uid="{00000000-0005-0000-0000-0000D0590000}"/>
    <cellStyle name="Normal 2 2 2 9 2 5 3" xfId="22185" xr:uid="{00000000-0005-0000-0000-0000D1590000}"/>
    <cellStyle name="Normal 2 2 2 9 2 5 4" xfId="22186" xr:uid="{00000000-0005-0000-0000-0000D2590000}"/>
    <cellStyle name="Normal 2 2 2 9 2 5 5" xfId="22187" xr:uid="{00000000-0005-0000-0000-0000D3590000}"/>
    <cellStyle name="Normal 2 2 2 9 2 5 6" xfId="22188" xr:uid="{00000000-0005-0000-0000-0000D4590000}"/>
    <cellStyle name="Normal 2 2 2 9 2 6" xfId="22189" xr:uid="{00000000-0005-0000-0000-0000D5590000}"/>
    <cellStyle name="Normal 2 2 2 9 2 6 2" xfId="22190" xr:uid="{00000000-0005-0000-0000-0000D6590000}"/>
    <cellStyle name="Normal 2 2 2 9 2 6 3" xfId="22191" xr:uid="{00000000-0005-0000-0000-0000D7590000}"/>
    <cellStyle name="Normal 2 2 2 9 2 6 4" xfId="22192" xr:uid="{00000000-0005-0000-0000-0000D8590000}"/>
    <cellStyle name="Normal 2 2 2 9 2 6 5" xfId="22193" xr:uid="{00000000-0005-0000-0000-0000D9590000}"/>
    <cellStyle name="Normal 2 2 2 9 2 6 6" xfId="22194" xr:uid="{00000000-0005-0000-0000-0000DA590000}"/>
    <cellStyle name="Normal 2 2 2 9 2 7" xfId="22195" xr:uid="{00000000-0005-0000-0000-0000DB590000}"/>
    <cellStyle name="Normal 2 2 2 9 2 7 2" xfId="22196" xr:uid="{00000000-0005-0000-0000-0000DC590000}"/>
    <cellStyle name="Normal 2 2 2 9 2 7 3" xfId="22197" xr:uid="{00000000-0005-0000-0000-0000DD590000}"/>
    <cellStyle name="Normal 2 2 2 9 2 7 4" xfId="22198" xr:uid="{00000000-0005-0000-0000-0000DE590000}"/>
    <cellStyle name="Normal 2 2 2 9 2 7 5" xfId="22199" xr:uid="{00000000-0005-0000-0000-0000DF590000}"/>
    <cellStyle name="Normal 2 2 2 9 2 7 6" xfId="22200" xr:uid="{00000000-0005-0000-0000-0000E0590000}"/>
    <cellStyle name="Normal 2 2 2 9 2 8" xfId="22201" xr:uid="{00000000-0005-0000-0000-0000E1590000}"/>
    <cellStyle name="Normal 2 2 2 9 2 8 2" xfId="22202" xr:uid="{00000000-0005-0000-0000-0000E2590000}"/>
    <cellStyle name="Normal 2 2 2 9 2 8 3" xfId="22203" xr:uid="{00000000-0005-0000-0000-0000E3590000}"/>
    <cellStyle name="Normal 2 2 2 9 2 8 4" xfId="22204" xr:uid="{00000000-0005-0000-0000-0000E4590000}"/>
    <cellStyle name="Normal 2 2 2 9 2 8 5" xfId="22205" xr:uid="{00000000-0005-0000-0000-0000E5590000}"/>
    <cellStyle name="Normal 2 2 2 9 2 8 6" xfId="22206" xr:uid="{00000000-0005-0000-0000-0000E6590000}"/>
    <cellStyle name="Normal 2 2 2 9 2 9" xfId="22207" xr:uid="{00000000-0005-0000-0000-0000E7590000}"/>
    <cellStyle name="Normal 2 2 2 9 20" xfId="22208" xr:uid="{00000000-0005-0000-0000-0000E8590000}"/>
    <cellStyle name="Normal 2 2 2 9 21" xfId="22209" xr:uid="{00000000-0005-0000-0000-0000E9590000}"/>
    <cellStyle name="Normal 2 2 2 9 22" xfId="22210" xr:uid="{00000000-0005-0000-0000-0000EA590000}"/>
    <cellStyle name="Normal 2 2 2 9 23" xfId="22211" xr:uid="{00000000-0005-0000-0000-0000EB590000}"/>
    <cellStyle name="Normal 2 2 2 9 24" xfId="22212" xr:uid="{00000000-0005-0000-0000-0000EC590000}"/>
    <cellStyle name="Normal 2 2 2 9 25" xfId="22213" xr:uid="{00000000-0005-0000-0000-0000ED590000}"/>
    <cellStyle name="Normal 2 2 2 9 26" xfId="22214" xr:uid="{00000000-0005-0000-0000-0000EE590000}"/>
    <cellStyle name="Normal 2 2 2 9 27" xfId="22215" xr:uid="{00000000-0005-0000-0000-0000EF590000}"/>
    <cellStyle name="Normal 2 2 2 9 28" xfId="22216" xr:uid="{00000000-0005-0000-0000-0000F0590000}"/>
    <cellStyle name="Normal 2 2 2 9 29" xfId="22217" xr:uid="{00000000-0005-0000-0000-0000F1590000}"/>
    <cellStyle name="Normal 2 2 2 9 3" xfId="22218" xr:uid="{00000000-0005-0000-0000-0000F2590000}"/>
    <cellStyle name="Normal 2 2 2 9 3 10" xfId="22219" xr:uid="{00000000-0005-0000-0000-0000F3590000}"/>
    <cellStyle name="Normal 2 2 2 9 3 11" xfId="22220" xr:uid="{00000000-0005-0000-0000-0000F4590000}"/>
    <cellStyle name="Normal 2 2 2 9 3 12" xfId="22221" xr:uid="{00000000-0005-0000-0000-0000F5590000}"/>
    <cellStyle name="Normal 2 2 2 9 3 13" xfId="22222" xr:uid="{00000000-0005-0000-0000-0000F6590000}"/>
    <cellStyle name="Normal 2 2 2 9 3 2" xfId="22223" xr:uid="{00000000-0005-0000-0000-0000F7590000}"/>
    <cellStyle name="Normal 2 2 2 9 3 2 2" xfId="22224" xr:uid="{00000000-0005-0000-0000-0000F8590000}"/>
    <cellStyle name="Normal 2 2 2 9 3 2 3" xfId="22225" xr:uid="{00000000-0005-0000-0000-0000F9590000}"/>
    <cellStyle name="Normal 2 2 2 9 3 2 4" xfId="22226" xr:uid="{00000000-0005-0000-0000-0000FA590000}"/>
    <cellStyle name="Normal 2 2 2 9 3 2 5" xfId="22227" xr:uid="{00000000-0005-0000-0000-0000FB590000}"/>
    <cellStyle name="Normal 2 2 2 9 3 2 6" xfId="22228" xr:uid="{00000000-0005-0000-0000-0000FC590000}"/>
    <cellStyle name="Normal 2 2 2 9 3 3" xfId="22229" xr:uid="{00000000-0005-0000-0000-0000FD590000}"/>
    <cellStyle name="Normal 2 2 2 9 3 3 2" xfId="22230" xr:uid="{00000000-0005-0000-0000-0000FE590000}"/>
    <cellStyle name="Normal 2 2 2 9 3 3 3" xfId="22231" xr:uid="{00000000-0005-0000-0000-0000FF590000}"/>
    <cellStyle name="Normal 2 2 2 9 3 3 4" xfId="22232" xr:uid="{00000000-0005-0000-0000-0000005A0000}"/>
    <cellStyle name="Normal 2 2 2 9 3 3 5" xfId="22233" xr:uid="{00000000-0005-0000-0000-0000015A0000}"/>
    <cellStyle name="Normal 2 2 2 9 3 3 6" xfId="22234" xr:uid="{00000000-0005-0000-0000-0000025A0000}"/>
    <cellStyle name="Normal 2 2 2 9 3 4" xfId="22235" xr:uid="{00000000-0005-0000-0000-0000035A0000}"/>
    <cellStyle name="Normal 2 2 2 9 3 4 2" xfId="22236" xr:uid="{00000000-0005-0000-0000-0000045A0000}"/>
    <cellStyle name="Normal 2 2 2 9 3 4 3" xfId="22237" xr:uid="{00000000-0005-0000-0000-0000055A0000}"/>
    <cellStyle name="Normal 2 2 2 9 3 4 4" xfId="22238" xr:uid="{00000000-0005-0000-0000-0000065A0000}"/>
    <cellStyle name="Normal 2 2 2 9 3 4 5" xfId="22239" xr:uid="{00000000-0005-0000-0000-0000075A0000}"/>
    <cellStyle name="Normal 2 2 2 9 3 4 6" xfId="22240" xr:uid="{00000000-0005-0000-0000-0000085A0000}"/>
    <cellStyle name="Normal 2 2 2 9 3 5" xfId="22241" xr:uid="{00000000-0005-0000-0000-0000095A0000}"/>
    <cellStyle name="Normal 2 2 2 9 3 5 2" xfId="22242" xr:uid="{00000000-0005-0000-0000-00000A5A0000}"/>
    <cellStyle name="Normal 2 2 2 9 3 5 3" xfId="22243" xr:uid="{00000000-0005-0000-0000-00000B5A0000}"/>
    <cellStyle name="Normal 2 2 2 9 3 5 4" xfId="22244" xr:uid="{00000000-0005-0000-0000-00000C5A0000}"/>
    <cellStyle name="Normal 2 2 2 9 3 5 5" xfId="22245" xr:uid="{00000000-0005-0000-0000-00000D5A0000}"/>
    <cellStyle name="Normal 2 2 2 9 3 5 6" xfId="22246" xr:uid="{00000000-0005-0000-0000-00000E5A0000}"/>
    <cellStyle name="Normal 2 2 2 9 3 6" xfId="22247" xr:uid="{00000000-0005-0000-0000-00000F5A0000}"/>
    <cellStyle name="Normal 2 2 2 9 3 6 2" xfId="22248" xr:uid="{00000000-0005-0000-0000-0000105A0000}"/>
    <cellStyle name="Normal 2 2 2 9 3 6 3" xfId="22249" xr:uid="{00000000-0005-0000-0000-0000115A0000}"/>
    <cellStyle name="Normal 2 2 2 9 3 6 4" xfId="22250" xr:uid="{00000000-0005-0000-0000-0000125A0000}"/>
    <cellStyle name="Normal 2 2 2 9 3 6 5" xfId="22251" xr:uid="{00000000-0005-0000-0000-0000135A0000}"/>
    <cellStyle name="Normal 2 2 2 9 3 6 6" xfId="22252" xr:uid="{00000000-0005-0000-0000-0000145A0000}"/>
    <cellStyle name="Normal 2 2 2 9 3 7" xfId="22253" xr:uid="{00000000-0005-0000-0000-0000155A0000}"/>
    <cellStyle name="Normal 2 2 2 9 3 7 2" xfId="22254" xr:uid="{00000000-0005-0000-0000-0000165A0000}"/>
    <cellStyle name="Normal 2 2 2 9 3 7 3" xfId="22255" xr:uid="{00000000-0005-0000-0000-0000175A0000}"/>
    <cellStyle name="Normal 2 2 2 9 3 7 4" xfId="22256" xr:uid="{00000000-0005-0000-0000-0000185A0000}"/>
    <cellStyle name="Normal 2 2 2 9 3 7 5" xfId="22257" xr:uid="{00000000-0005-0000-0000-0000195A0000}"/>
    <cellStyle name="Normal 2 2 2 9 3 7 6" xfId="22258" xr:uid="{00000000-0005-0000-0000-00001A5A0000}"/>
    <cellStyle name="Normal 2 2 2 9 3 8" xfId="22259" xr:uid="{00000000-0005-0000-0000-00001B5A0000}"/>
    <cellStyle name="Normal 2 2 2 9 3 8 2" xfId="22260" xr:uid="{00000000-0005-0000-0000-00001C5A0000}"/>
    <cellStyle name="Normal 2 2 2 9 3 8 3" xfId="22261" xr:uid="{00000000-0005-0000-0000-00001D5A0000}"/>
    <cellStyle name="Normal 2 2 2 9 3 8 4" xfId="22262" xr:uid="{00000000-0005-0000-0000-00001E5A0000}"/>
    <cellStyle name="Normal 2 2 2 9 3 8 5" xfId="22263" xr:uid="{00000000-0005-0000-0000-00001F5A0000}"/>
    <cellStyle name="Normal 2 2 2 9 3 8 6" xfId="22264" xr:uid="{00000000-0005-0000-0000-0000205A0000}"/>
    <cellStyle name="Normal 2 2 2 9 3 9" xfId="22265" xr:uid="{00000000-0005-0000-0000-0000215A0000}"/>
    <cellStyle name="Normal 2 2 2 9 30" xfId="22266" xr:uid="{00000000-0005-0000-0000-0000225A0000}"/>
    <cellStyle name="Normal 2 2 2 9 31" xfId="22267" xr:uid="{00000000-0005-0000-0000-0000235A0000}"/>
    <cellStyle name="Normal 2 2 2 9 32" xfId="22268" xr:uid="{00000000-0005-0000-0000-0000245A0000}"/>
    <cellStyle name="Normal 2 2 2 9 33" xfId="22269" xr:uid="{00000000-0005-0000-0000-0000255A0000}"/>
    <cellStyle name="Normal 2 2 2 9 34" xfId="22270" xr:uid="{00000000-0005-0000-0000-0000265A0000}"/>
    <cellStyle name="Normal 2 2 2 9 35" xfId="22271" xr:uid="{00000000-0005-0000-0000-0000275A0000}"/>
    <cellStyle name="Normal 2 2 2 9 36" xfId="22272" xr:uid="{00000000-0005-0000-0000-0000285A0000}"/>
    <cellStyle name="Normal 2 2 2 9 37" xfId="22273" xr:uid="{00000000-0005-0000-0000-0000295A0000}"/>
    <cellStyle name="Normal 2 2 2 9 38" xfId="22274" xr:uid="{00000000-0005-0000-0000-00002A5A0000}"/>
    <cellStyle name="Normal 2 2 2 9 39" xfId="22275" xr:uid="{00000000-0005-0000-0000-00002B5A0000}"/>
    <cellStyle name="Normal 2 2 2 9 4" xfId="22276" xr:uid="{00000000-0005-0000-0000-00002C5A0000}"/>
    <cellStyle name="Normal 2 2 2 9 4 10" xfId="22277" xr:uid="{00000000-0005-0000-0000-00002D5A0000}"/>
    <cellStyle name="Normal 2 2 2 9 4 11" xfId="22278" xr:uid="{00000000-0005-0000-0000-00002E5A0000}"/>
    <cellStyle name="Normal 2 2 2 9 4 12" xfId="22279" xr:uid="{00000000-0005-0000-0000-00002F5A0000}"/>
    <cellStyle name="Normal 2 2 2 9 4 13" xfId="22280" xr:uid="{00000000-0005-0000-0000-0000305A0000}"/>
    <cellStyle name="Normal 2 2 2 9 4 2" xfId="22281" xr:uid="{00000000-0005-0000-0000-0000315A0000}"/>
    <cellStyle name="Normal 2 2 2 9 4 2 2" xfId="22282" xr:uid="{00000000-0005-0000-0000-0000325A0000}"/>
    <cellStyle name="Normal 2 2 2 9 4 2 3" xfId="22283" xr:uid="{00000000-0005-0000-0000-0000335A0000}"/>
    <cellStyle name="Normal 2 2 2 9 4 2 4" xfId="22284" xr:uid="{00000000-0005-0000-0000-0000345A0000}"/>
    <cellStyle name="Normal 2 2 2 9 4 2 5" xfId="22285" xr:uid="{00000000-0005-0000-0000-0000355A0000}"/>
    <cellStyle name="Normal 2 2 2 9 4 2 6" xfId="22286" xr:uid="{00000000-0005-0000-0000-0000365A0000}"/>
    <cellStyle name="Normal 2 2 2 9 4 3" xfId="22287" xr:uid="{00000000-0005-0000-0000-0000375A0000}"/>
    <cellStyle name="Normal 2 2 2 9 4 3 2" xfId="22288" xr:uid="{00000000-0005-0000-0000-0000385A0000}"/>
    <cellStyle name="Normal 2 2 2 9 4 3 3" xfId="22289" xr:uid="{00000000-0005-0000-0000-0000395A0000}"/>
    <cellStyle name="Normal 2 2 2 9 4 3 4" xfId="22290" xr:uid="{00000000-0005-0000-0000-00003A5A0000}"/>
    <cellStyle name="Normal 2 2 2 9 4 3 5" xfId="22291" xr:uid="{00000000-0005-0000-0000-00003B5A0000}"/>
    <cellStyle name="Normal 2 2 2 9 4 3 6" xfId="22292" xr:uid="{00000000-0005-0000-0000-00003C5A0000}"/>
    <cellStyle name="Normal 2 2 2 9 4 4" xfId="22293" xr:uid="{00000000-0005-0000-0000-00003D5A0000}"/>
    <cellStyle name="Normal 2 2 2 9 4 4 2" xfId="22294" xr:uid="{00000000-0005-0000-0000-00003E5A0000}"/>
    <cellStyle name="Normal 2 2 2 9 4 4 3" xfId="22295" xr:uid="{00000000-0005-0000-0000-00003F5A0000}"/>
    <cellStyle name="Normal 2 2 2 9 4 4 4" xfId="22296" xr:uid="{00000000-0005-0000-0000-0000405A0000}"/>
    <cellStyle name="Normal 2 2 2 9 4 4 5" xfId="22297" xr:uid="{00000000-0005-0000-0000-0000415A0000}"/>
    <cellStyle name="Normal 2 2 2 9 4 4 6" xfId="22298" xr:uid="{00000000-0005-0000-0000-0000425A0000}"/>
    <cellStyle name="Normal 2 2 2 9 4 5" xfId="22299" xr:uid="{00000000-0005-0000-0000-0000435A0000}"/>
    <cellStyle name="Normal 2 2 2 9 4 5 2" xfId="22300" xr:uid="{00000000-0005-0000-0000-0000445A0000}"/>
    <cellStyle name="Normal 2 2 2 9 4 5 3" xfId="22301" xr:uid="{00000000-0005-0000-0000-0000455A0000}"/>
    <cellStyle name="Normal 2 2 2 9 4 5 4" xfId="22302" xr:uid="{00000000-0005-0000-0000-0000465A0000}"/>
    <cellStyle name="Normal 2 2 2 9 4 5 5" xfId="22303" xr:uid="{00000000-0005-0000-0000-0000475A0000}"/>
    <cellStyle name="Normal 2 2 2 9 4 5 6" xfId="22304" xr:uid="{00000000-0005-0000-0000-0000485A0000}"/>
    <cellStyle name="Normal 2 2 2 9 4 6" xfId="22305" xr:uid="{00000000-0005-0000-0000-0000495A0000}"/>
    <cellStyle name="Normal 2 2 2 9 4 6 2" xfId="22306" xr:uid="{00000000-0005-0000-0000-00004A5A0000}"/>
    <cellStyle name="Normal 2 2 2 9 4 6 3" xfId="22307" xr:uid="{00000000-0005-0000-0000-00004B5A0000}"/>
    <cellStyle name="Normal 2 2 2 9 4 6 4" xfId="22308" xr:uid="{00000000-0005-0000-0000-00004C5A0000}"/>
    <cellStyle name="Normal 2 2 2 9 4 6 5" xfId="22309" xr:uid="{00000000-0005-0000-0000-00004D5A0000}"/>
    <cellStyle name="Normal 2 2 2 9 4 6 6" xfId="22310" xr:uid="{00000000-0005-0000-0000-00004E5A0000}"/>
    <cellStyle name="Normal 2 2 2 9 4 7" xfId="22311" xr:uid="{00000000-0005-0000-0000-00004F5A0000}"/>
    <cellStyle name="Normal 2 2 2 9 4 7 2" xfId="22312" xr:uid="{00000000-0005-0000-0000-0000505A0000}"/>
    <cellStyle name="Normal 2 2 2 9 4 7 3" xfId="22313" xr:uid="{00000000-0005-0000-0000-0000515A0000}"/>
    <cellStyle name="Normal 2 2 2 9 4 7 4" xfId="22314" xr:uid="{00000000-0005-0000-0000-0000525A0000}"/>
    <cellStyle name="Normal 2 2 2 9 4 7 5" xfId="22315" xr:uid="{00000000-0005-0000-0000-0000535A0000}"/>
    <cellStyle name="Normal 2 2 2 9 4 7 6" xfId="22316" xr:uid="{00000000-0005-0000-0000-0000545A0000}"/>
    <cellStyle name="Normal 2 2 2 9 4 8" xfId="22317" xr:uid="{00000000-0005-0000-0000-0000555A0000}"/>
    <cellStyle name="Normal 2 2 2 9 4 8 2" xfId="22318" xr:uid="{00000000-0005-0000-0000-0000565A0000}"/>
    <cellStyle name="Normal 2 2 2 9 4 8 3" xfId="22319" xr:uid="{00000000-0005-0000-0000-0000575A0000}"/>
    <cellStyle name="Normal 2 2 2 9 4 8 4" xfId="22320" xr:uid="{00000000-0005-0000-0000-0000585A0000}"/>
    <cellStyle name="Normal 2 2 2 9 4 8 5" xfId="22321" xr:uid="{00000000-0005-0000-0000-0000595A0000}"/>
    <cellStyle name="Normal 2 2 2 9 4 8 6" xfId="22322" xr:uid="{00000000-0005-0000-0000-00005A5A0000}"/>
    <cellStyle name="Normal 2 2 2 9 4 9" xfId="22323" xr:uid="{00000000-0005-0000-0000-00005B5A0000}"/>
    <cellStyle name="Normal 2 2 2 9 40" xfId="22324" xr:uid="{00000000-0005-0000-0000-00005C5A0000}"/>
    <cellStyle name="Normal 2 2 2 9 41" xfId="22325" xr:uid="{00000000-0005-0000-0000-00005D5A0000}"/>
    <cellStyle name="Normal 2 2 2 9 42" xfId="22326" xr:uid="{00000000-0005-0000-0000-00005E5A0000}"/>
    <cellStyle name="Normal 2 2 2 9 43" xfId="22327" xr:uid="{00000000-0005-0000-0000-00005F5A0000}"/>
    <cellStyle name="Normal 2 2 2 9 44" xfId="22328" xr:uid="{00000000-0005-0000-0000-0000605A0000}"/>
    <cellStyle name="Normal 2 2 2 9 45" xfId="22329" xr:uid="{00000000-0005-0000-0000-0000615A0000}"/>
    <cellStyle name="Normal 2 2 2 9 46" xfId="22330" xr:uid="{00000000-0005-0000-0000-0000625A0000}"/>
    <cellStyle name="Normal 2 2 2 9 47" xfId="22331" xr:uid="{00000000-0005-0000-0000-0000635A0000}"/>
    <cellStyle name="Normal 2 2 2 9 48" xfId="22332" xr:uid="{00000000-0005-0000-0000-0000645A0000}"/>
    <cellStyle name="Normal 2 2 2 9 49" xfId="22333" xr:uid="{00000000-0005-0000-0000-0000655A0000}"/>
    <cellStyle name="Normal 2 2 2 9 5" xfId="22334" xr:uid="{00000000-0005-0000-0000-0000665A0000}"/>
    <cellStyle name="Normal 2 2 2 9 5 10" xfId="22335" xr:uid="{00000000-0005-0000-0000-0000675A0000}"/>
    <cellStyle name="Normal 2 2 2 9 5 11" xfId="22336" xr:uid="{00000000-0005-0000-0000-0000685A0000}"/>
    <cellStyle name="Normal 2 2 2 9 5 12" xfId="22337" xr:uid="{00000000-0005-0000-0000-0000695A0000}"/>
    <cellStyle name="Normal 2 2 2 9 5 13" xfId="22338" xr:uid="{00000000-0005-0000-0000-00006A5A0000}"/>
    <cellStyle name="Normal 2 2 2 9 5 2" xfId="22339" xr:uid="{00000000-0005-0000-0000-00006B5A0000}"/>
    <cellStyle name="Normal 2 2 2 9 5 2 2" xfId="22340" xr:uid="{00000000-0005-0000-0000-00006C5A0000}"/>
    <cellStyle name="Normal 2 2 2 9 5 2 3" xfId="22341" xr:uid="{00000000-0005-0000-0000-00006D5A0000}"/>
    <cellStyle name="Normal 2 2 2 9 5 2 4" xfId="22342" xr:uid="{00000000-0005-0000-0000-00006E5A0000}"/>
    <cellStyle name="Normal 2 2 2 9 5 2 5" xfId="22343" xr:uid="{00000000-0005-0000-0000-00006F5A0000}"/>
    <cellStyle name="Normal 2 2 2 9 5 2 6" xfId="22344" xr:uid="{00000000-0005-0000-0000-0000705A0000}"/>
    <cellStyle name="Normal 2 2 2 9 5 3" xfId="22345" xr:uid="{00000000-0005-0000-0000-0000715A0000}"/>
    <cellStyle name="Normal 2 2 2 9 5 3 2" xfId="22346" xr:uid="{00000000-0005-0000-0000-0000725A0000}"/>
    <cellStyle name="Normal 2 2 2 9 5 3 3" xfId="22347" xr:uid="{00000000-0005-0000-0000-0000735A0000}"/>
    <cellStyle name="Normal 2 2 2 9 5 3 4" xfId="22348" xr:uid="{00000000-0005-0000-0000-0000745A0000}"/>
    <cellStyle name="Normal 2 2 2 9 5 3 5" xfId="22349" xr:uid="{00000000-0005-0000-0000-0000755A0000}"/>
    <cellStyle name="Normal 2 2 2 9 5 3 6" xfId="22350" xr:uid="{00000000-0005-0000-0000-0000765A0000}"/>
    <cellStyle name="Normal 2 2 2 9 5 4" xfId="22351" xr:uid="{00000000-0005-0000-0000-0000775A0000}"/>
    <cellStyle name="Normal 2 2 2 9 5 4 2" xfId="22352" xr:uid="{00000000-0005-0000-0000-0000785A0000}"/>
    <cellStyle name="Normal 2 2 2 9 5 4 3" xfId="22353" xr:uid="{00000000-0005-0000-0000-0000795A0000}"/>
    <cellStyle name="Normal 2 2 2 9 5 4 4" xfId="22354" xr:uid="{00000000-0005-0000-0000-00007A5A0000}"/>
    <cellStyle name="Normal 2 2 2 9 5 4 5" xfId="22355" xr:uid="{00000000-0005-0000-0000-00007B5A0000}"/>
    <cellStyle name="Normal 2 2 2 9 5 4 6" xfId="22356" xr:uid="{00000000-0005-0000-0000-00007C5A0000}"/>
    <cellStyle name="Normal 2 2 2 9 5 5" xfId="22357" xr:uid="{00000000-0005-0000-0000-00007D5A0000}"/>
    <cellStyle name="Normal 2 2 2 9 5 5 2" xfId="22358" xr:uid="{00000000-0005-0000-0000-00007E5A0000}"/>
    <cellStyle name="Normal 2 2 2 9 5 5 3" xfId="22359" xr:uid="{00000000-0005-0000-0000-00007F5A0000}"/>
    <cellStyle name="Normal 2 2 2 9 5 5 4" xfId="22360" xr:uid="{00000000-0005-0000-0000-0000805A0000}"/>
    <cellStyle name="Normal 2 2 2 9 5 5 5" xfId="22361" xr:uid="{00000000-0005-0000-0000-0000815A0000}"/>
    <cellStyle name="Normal 2 2 2 9 5 5 6" xfId="22362" xr:uid="{00000000-0005-0000-0000-0000825A0000}"/>
    <cellStyle name="Normal 2 2 2 9 5 6" xfId="22363" xr:uid="{00000000-0005-0000-0000-0000835A0000}"/>
    <cellStyle name="Normal 2 2 2 9 5 6 2" xfId="22364" xr:uid="{00000000-0005-0000-0000-0000845A0000}"/>
    <cellStyle name="Normal 2 2 2 9 5 6 3" xfId="22365" xr:uid="{00000000-0005-0000-0000-0000855A0000}"/>
    <cellStyle name="Normal 2 2 2 9 5 6 4" xfId="22366" xr:uid="{00000000-0005-0000-0000-0000865A0000}"/>
    <cellStyle name="Normal 2 2 2 9 5 6 5" xfId="22367" xr:uid="{00000000-0005-0000-0000-0000875A0000}"/>
    <cellStyle name="Normal 2 2 2 9 5 6 6" xfId="22368" xr:uid="{00000000-0005-0000-0000-0000885A0000}"/>
    <cellStyle name="Normal 2 2 2 9 5 7" xfId="22369" xr:uid="{00000000-0005-0000-0000-0000895A0000}"/>
    <cellStyle name="Normal 2 2 2 9 5 7 2" xfId="22370" xr:uid="{00000000-0005-0000-0000-00008A5A0000}"/>
    <cellStyle name="Normal 2 2 2 9 5 7 3" xfId="22371" xr:uid="{00000000-0005-0000-0000-00008B5A0000}"/>
    <cellStyle name="Normal 2 2 2 9 5 7 4" xfId="22372" xr:uid="{00000000-0005-0000-0000-00008C5A0000}"/>
    <cellStyle name="Normal 2 2 2 9 5 7 5" xfId="22373" xr:uid="{00000000-0005-0000-0000-00008D5A0000}"/>
    <cellStyle name="Normal 2 2 2 9 5 7 6" xfId="22374" xr:uid="{00000000-0005-0000-0000-00008E5A0000}"/>
    <cellStyle name="Normal 2 2 2 9 5 8" xfId="22375" xr:uid="{00000000-0005-0000-0000-00008F5A0000}"/>
    <cellStyle name="Normal 2 2 2 9 5 8 2" xfId="22376" xr:uid="{00000000-0005-0000-0000-0000905A0000}"/>
    <cellStyle name="Normal 2 2 2 9 5 8 3" xfId="22377" xr:uid="{00000000-0005-0000-0000-0000915A0000}"/>
    <cellStyle name="Normal 2 2 2 9 5 8 4" xfId="22378" xr:uid="{00000000-0005-0000-0000-0000925A0000}"/>
    <cellStyle name="Normal 2 2 2 9 5 8 5" xfId="22379" xr:uid="{00000000-0005-0000-0000-0000935A0000}"/>
    <cellStyle name="Normal 2 2 2 9 5 8 6" xfId="22380" xr:uid="{00000000-0005-0000-0000-0000945A0000}"/>
    <cellStyle name="Normal 2 2 2 9 5 9" xfId="22381" xr:uid="{00000000-0005-0000-0000-0000955A0000}"/>
    <cellStyle name="Normal 2 2 2 9 50" xfId="22382" xr:uid="{00000000-0005-0000-0000-0000965A0000}"/>
    <cellStyle name="Normal 2 2 2 9 51" xfId="22383" xr:uid="{00000000-0005-0000-0000-0000975A0000}"/>
    <cellStyle name="Normal 2 2 2 9 52" xfId="22384" xr:uid="{00000000-0005-0000-0000-0000985A0000}"/>
    <cellStyle name="Normal 2 2 2 9 6" xfId="22385" xr:uid="{00000000-0005-0000-0000-0000995A0000}"/>
    <cellStyle name="Normal 2 2 2 9 6 10" xfId="22386" xr:uid="{00000000-0005-0000-0000-00009A5A0000}"/>
    <cellStyle name="Normal 2 2 2 9 6 11" xfId="22387" xr:uid="{00000000-0005-0000-0000-00009B5A0000}"/>
    <cellStyle name="Normal 2 2 2 9 6 12" xfId="22388" xr:uid="{00000000-0005-0000-0000-00009C5A0000}"/>
    <cellStyle name="Normal 2 2 2 9 6 13" xfId="22389" xr:uid="{00000000-0005-0000-0000-00009D5A0000}"/>
    <cellStyle name="Normal 2 2 2 9 6 2" xfId="22390" xr:uid="{00000000-0005-0000-0000-00009E5A0000}"/>
    <cellStyle name="Normal 2 2 2 9 6 2 2" xfId="22391" xr:uid="{00000000-0005-0000-0000-00009F5A0000}"/>
    <cellStyle name="Normal 2 2 2 9 6 2 3" xfId="22392" xr:uid="{00000000-0005-0000-0000-0000A05A0000}"/>
    <cellStyle name="Normal 2 2 2 9 6 2 4" xfId="22393" xr:uid="{00000000-0005-0000-0000-0000A15A0000}"/>
    <cellStyle name="Normal 2 2 2 9 6 2 5" xfId="22394" xr:uid="{00000000-0005-0000-0000-0000A25A0000}"/>
    <cellStyle name="Normal 2 2 2 9 6 2 6" xfId="22395" xr:uid="{00000000-0005-0000-0000-0000A35A0000}"/>
    <cellStyle name="Normal 2 2 2 9 6 3" xfId="22396" xr:uid="{00000000-0005-0000-0000-0000A45A0000}"/>
    <cellStyle name="Normal 2 2 2 9 6 3 2" xfId="22397" xr:uid="{00000000-0005-0000-0000-0000A55A0000}"/>
    <cellStyle name="Normal 2 2 2 9 6 3 3" xfId="22398" xr:uid="{00000000-0005-0000-0000-0000A65A0000}"/>
    <cellStyle name="Normal 2 2 2 9 6 3 4" xfId="22399" xr:uid="{00000000-0005-0000-0000-0000A75A0000}"/>
    <cellStyle name="Normal 2 2 2 9 6 3 5" xfId="22400" xr:uid="{00000000-0005-0000-0000-0000A85A0000}"/>
    <cellStyle name="Normal 2 2 2 9 6 3 6" xfId="22401" xr:uid="{00000000-0005-0000-0000-0000A95A0000}"/>
    <cellStyle name="Normal 2 2 2 9 6 4" xfId="22402" xr:uid="{00000000-0005-0000-0000-0000AA5A0000}"/>
    <cellStyle name="Normal 2 2 2 9 6 4 2" xfId="22403" xr:uid="{00000000-0005-0000-0000-0000AB5A0000}"/>
    <cellStyle name="Normal 2 2 2 9 6 4 3" xfId="22404" xr:uid="{00000000-0005-0000-0000-0000AC5A0000}"/>
    <cellStyle name="Normal 2 2 2 9 6 4 4" xfId="22405" xr:uid="{00000000-0005-0000-0000-0000AD5A0000}"/>
    <cellStyle name="Normal 2 2 2 9 6 4 5" xfId="22406" xr:uid="{00000000-0005-0000-0000-0000AE5A0000}"/>
    <cellStyle name="Normal 2 2 2 9 6 4 6" xfId="22407" xr:uid="{00000000-0005-0000-0000-0000AF5A0000}"/>
    <cellStyle name="Normal 2 2 2 9 6 5" xfId="22408" xr:uid="{00000000-0005-0000-0000-0000B05A0000}"/>
    <cellStyle name="Normal 2 2 2 9 6 5 2" xfId="22409" xr:uid="{00000000-0005-0000-0000-0000B15A0000}"/>
    <cellStyle name="Normal 2 2 2 9 6 5 3" xfId="22410" xr:uid="{00000000-0005-0000-0000-0000B25A0000}"/>
    <cellStyle name="Normal 2 2 2 9 6 5 4" xfId="22411" xr:uid="{00000000-0005-0000-0000-0000B35A0000}"/>
    <cellStyle name="Normal 2 2 2 9 6 5 5" xfId="22412" xr:uid="{00000000-0005-0000-0000-0000B45A0000}"/>
    <cellStyle name="Normal 2 2 2 9 6 5 6" xfId="22413" xr:uid="{00000000-0005-0000-0000-0000B55A0000}"/>
    <cellStyle name="Normal 2 2 2 9 6 6" xfId="22414" xr:uid="{00000000-0005-0000-0000-0000B65A0000}"/>
    <cellStyle name="Normal 2 2 2 9 6 6 2" xfId="22415" xr:uid="{00000000-0005-0000-0000-0000B75A0000}"/>
    <cellStyle name="Normal 2 2 2 9 6 6 3" xfId="22416" xr:uid="{00000000-0005-0000-0000-0000B85A0000}"/>
    <cellStyle name="Normal 2 2 2 9 6 6 4" xfId="22417" xr:uid="{00000000-0005-0000-0000-0000B95A0000}"/>
    <cellStyle name="Normal 2 2 2 9 6 6 5" xfId="22418" xr:uid="{00000000-0005-0000-0000-0000BA5A0000}"/>
    <cellStyle name="Normal 2 2 2 9 6 6 6" xfId="22419" xr:uid="{00000000-0005-0000-0000-0000BB5A0000}"/>
    <cellStyle name="Normal 2 2 2 9 6 7" xfId="22420" xr:uid="{00000000-0005-0000-0000-0000BC5A0000}"/>
    <cellStyle name="Normal 2 2 2 9 6 7 2" xfId="22421" xr:uid="{00000000-0005-0000-0000-0000BD5A0000}"/>
    <cellStyle name="Normal 2 2 2 9 6 7 3" xfId="22422" xr:uid="{00000000-0005-0000-0000-0000BE5A0000}"/>
    <cellStyle name="Normal 2 2 2 9 6 7 4" xfId="22423" xr:uid="{00000000-0005-0000-0000-0000BF5A0000}"/>
    <cellStyle name="Normal 2 2 2 9 6 7 5" xfId="22424" xr:uid="{00000000-0005-0000-0000-0000C05A0000}"/>
    <cellStyle name="Normal 2 2 2 9 6 7 6" xfId="22425" xr:uid="{00000000-0005-0000-0000-0000C15A0000}"/>
    <cellStyle name="Normal 2 2 2 9 6 8" xfId="22426" xr:uid="{00000000-0005-0000-0000-0000C25A0000}"/>
    <cellStyle name="Normal 2 2 2 9 6 8 2" xfId="22427" xr:uid="{00000000-0005-0000-0000-0000C35A0000}"/>
    <cellStyle name="Normal 2 2 2 9 6 8 3" xfId="22428" xr:uid="{00000000-0005-0000-0000-0000C45A0000}"/>
    <cellStyle name="Normal 2 2 2 9 6 8 4" xfId="22429" xr:uid="{00000000-0005-0000-0000-0000C55A0000}"/>
    <cellStyle name="Normal 2 2 2 9 6 8 5" xfId="22430" xr:uid="{00000000-0005-0000-0000-0000C65A0000}"/>
    <cellStyle name="Normal 2 2 2 9 6 8 6" xfId="22431" xr:uid="{00000000-0005-0000-0000-0000C75A0000}"/>
    <cellStyle name="Normal 2 2 2 9 6 9" xfId="22432" xr:uid="{00000000-0005-0000-0000-0000C85A0000}"/>
    <cellStyle name="Normal 2 2 2 9 7" xfId="22433" xr:uid="{00000000-0005-0000-0000-0000C95A0000}"/>
    <cellStyle name="Normal 2 2 2 9 7 10" xfId="22434" xr:uid="{00000000-0005-0000-0000-0000CA5A0000}"/>
    <cellStyle name="Normal 2 2 2 9 7 11" xfId="22435" xr:uid="{00000000-0005-0000-0000-0000CB5A0000}"/>
    <cellStyle name="Normal 2 2 2 9 7 12" xfId="22436" xr:uid="{00000000-0005-0000-0000-0000CC5A0000}"/>
    <cellStyle name="Normal 2 2 2 9 7 13" xfId="22437" xr:uid="{00000000-0005-0000-0000-0000CD5A0000}"/>
    <cellStyle name="Normal 2 2 2 9 7 2" xfId="22438" xr:uid="{00000000-0005-0000-0000-0000CE5A0000}"/>
    <cellStyle name="Normal 2 2 2 9 7 2 2" xfId="22439" xr:uid="{00000000-0005-0000-0000-0000CF5A0000}"/>
    <cellStyle name="Normal 2 2 2 9 7 2 3" xfId="22440" xr:uid="{00000000-0005-0000-0000-0000D05A0000}"/>
    <cellStyle name="Normal 2 2 2 9 7 2 4" xfId="22441" xr:uid="{00000000-0005-0000-0000-0000D15A0000}"/>
    <cellStyle name="Normal 2 2 2 9 7 2 5" xfId="22442" xr:uid="{00000000-0005-0000-0000-0000D25A0000}"/>
    <cellStyle name="Normal 2 2 2 9 7 2 6" xfId="22443" xr:uid="{00000000-0005-0000-0000-0000D35A0000}"/>
    <cellStyle name="Normal 2 2 2 9 7 3" xfId="22444" xr:uid="{00000000-0005-0000-0000-0000D45A0000}"/>
    <cellStyle name="Normal 2 2 2 9 7 3 2" xfId="22445" xr:uid="{00000000-0005-0000-0000-0000D55A0000}"/>
    <cellStyle name="Normal 2 2 2 9 7 3 3" xfId="22446" xr:uid="{00000000-0005-0000-0000-0000D65A0000}"/>
    <cellStyle name="Normal 2 2 2 9 7 3 4" xfId="22447" xr:uid="{00000000-0005-0000-0000-0000D75A0000}"/>
    <cellStyle name="Normal 2 2 2 9 7 3 5" xfId="22448" xr:uid="{00000000-0005-0000-0000-0000D85A0000}"/>
    <cellStyle name="Normal 2 2 2 9 7 3 6" xfId="22449" xr:uid="{00000000-0005-0000-0000-0000D95A0000}"/>
    <cellStyle name="Normal 2 2 2 9 7 4" xfId="22450" xr:uid="{00000000-0005-0000-0000-0000DA5A0000}"/>
    <cellStyle name="Normal 2 2 2 9 7 4 2" xfId="22451" xr:uid="{00000000-0005-0000-0000-0000DB5A0000}"/>
    <cellStyle name="Normal 2 2 2 9 7 4 3" xfId="22452" xr:uid="{00000000-0005-0000-0000-0000DC5A0000}"/>
    <cellStyle name="Normal 2 2 2 9 7 4 4" xfId="22453" xr:uid="{00000000-0005-0000-0000-0000DD5A0000}"/>
    <cellStyle name="Normal 2 2 2 9 7 4 5" xfId="22454" xr:uid="{00000000-0005-0000-0000-0000DE5A0000}"/>
    <cellStyle name="Normal 2 2 2 9 7 4 6" xfId="22455" xr:uid="{00000000-0005-0000-0000-0000DF5A0000}"/>
    <cellStyle name="Normal 2 2 2 9 7 5" xfId="22456" xr:uid="{00000000-0005-0000-0000-0000E05A0000}"/>
    <cellStyle name="Normal 2 2 2 9 7 5 2" xfId="22457" xr:uid="{00000000-0005-0000-0000-0000E15A0000}"/>
    <cellStyle name="Normal 2 2 2 9 7 5 3" xfId="22458" xr:uid="{00000000-0005-0000-0000-0000E25A0000}"/>
    <cellStyle name="Normal 2 2 2 9 7 5 4" xfId="22459" xr:uid="{00000000-0005-0000-0000-0000E35A0000}"/>
    <cellStyle name="Normal 2 2 2 9 7 5 5" xfId="22460" xr:uid="{00000000-0005-0000-0000-0000E45A0000}"/>
    <cellStyle name="Normal 2 2 2 9 7 5 6" xfId="22461" xr:uid="{00000000-0005-0000-0000-0000E55A0000}"/>
    <cellStyle name="Normal 2 2 2 9 7 6" xfId="22462" xr:uid="{00000000-0005-0000-0000-0000E65A0000}"/>
    <cellStyle name="Normal 2 2 2 9 7 6 2" xfId="22463" xr:uid="{00000000-0005-0000-0000-0000E75A0000}"/>
    <cellStyle name="Normal 2 2 2 9 7 6 3" xfId="22464" xr:uid="{00000000-0005-0000-0000-0000E85A0000}"/>
    <cellStyle name="Normal 2 2 2 9 7 6 4" xfId="22465" xr:uid="{00000000-0005-0000-0000-0000E95A0000}"/>
    <cellStyle name="Normal 2 2 2 9 7 6 5" xfId="22466" xr:uid="{00000000-0005-0000-0000-0000EA5A0000}"/>
    <cellStyle name="Normal 2 2 2 9 7 6 6" xfId="22467" xr:uid="{00000000-0005-0000-0000-0000EB5A0000}"/>
    <cellStyle name="Normal 2 2 2 9 7 7" xfId="22468" xr:uid="{00000000-0005-0000-0000-0000EC5A0000}"/>
    <cellStyle name="Normal 2 2 2 9 7 7 2" xfId="22469" xr:uid="{00000000-0005-0000-0000-0000ED5A0000}"/>
    <cellStyle name="Normal 2 2 2 9 7 7 3" xfId="22470" xr:uid="{00000000-0005-0000-0000-0000EE5A0000}"/>
    <cellStyle name="Normal 2 2 2 9 7 7 4" xfId="22471" xr:uid="{00000000-0005-0000-0000-0000EF5A0000}"/>
    <cellStyle name="Normal 2 2 2 9 7 7 5" xfId="22472" xr:uid="{00000000-0005-0000-0000-0000F05A0000}"/>
    <cellStyle name="Normal 2 2 2 9 7 7 6" xfId="22473" xr:uid="{00000000-0005-0000-0000-0000F15A0000}"/>
    <cellStyle name="Normal 2 2 2 9 7 8" xfId="22474" xr:uid="{00000000-0005-0000-0000-0000F25A0000}"/>
    <cellStyle name="Normal 2 2 2 9 7 8 2" xfId="22475" xr:uid="{00000000-0005-0000-0000-0000F35A0000}"/>
    <cellStyle name="Normal 2 2 2 9 7 8 3" xfId="22476" xr:uid="{00000000-0005-0000-0000-0000F45A0000}"/>
    <cellStyle name="Normal 2 2 2 9 7 8 4" xfId="22477" xr:uid="{00000000-0005-0000-0000-0000F55A0000}"/>
    <cellStyle name="Normal 2 2 2 9 7 8 5" xfId="22478" xr:uid="{00000000-0005-0000-0000-0000F65A0000}"/>
    <cellStyle name="Normal 2 2 2 9 7 8 6" xfId="22479" xr:uid="{00000000-0005-0000-0000-0000F75A0000}"/>
    <cellStyle name="Normal 2 2 2 9 7 9" xfId="22480" xr:uid="{00000000-0005-0000-0000-0000F85A0000}"/>
    <cellStyle name="Normal 2 2 2 9 8" xfId="22481" xr:uid="{00000000-0005-0000-0000-0000F95A0000}"/>
    <cellStyle name="Normal 2 2 2 9 9" xfId="22482" xr:uid="{00000000-0005-0000-0000-0000FA5A0000}"/>
    <cellStyle name="Normal 2 2 20" xfId="22483" xr:uid="{00000000-0005-0000-0000-0000FB5A0000}"/>
    <cellStyle name="Normal 2 2 20 10" xfId="22484" xr:uid="{00000000-0005-0000-0000-0000FC5A0000}"/>
    <cellStyle name="Normal 2 2 20 11" xfId="22485" xr:uid="{00000000-0005-0000-0000-0000FD5A0000}"/>
    <cellStyle name="Normal 2 2 20 12" xfId="22486" xr:uid="{00000000-0005-0000-0000-0000FE5A0000}"/>
    <cellStyle name="Normal 2 2 20 13" xfId="22487" xr:uid="{00000000-0005-0000-0000-0000FF5A0000}"/>
    <cellStyle name="Normal 2 2 20 14" xfId="22488" xr:uid="{00000000-0005-0000-0000-0000005B0000}"/>
    <cellStyle name="Normal 2 2 20 15" xfId="22489" xr:uid="{00000000-0005-0000-0000-0000015B0000}"/>
    <cellStyle name="Normal 2 2 20 16" xfId="22490" xr:uid="{00000000-0005-0000-0000-0000025B0000}"/>
    <cellStyle name="Normal 2 2 20 17" xfId="22491" xr:uid="{00000000-0005-0000-0000-0000035B0000}"/>
    <cellStyle name="Normal 2 2 20 18" xfId="22492" xr:uid="{00000000-0005-0000-0000-0000045B0000}"/>
    <cellStyle name="Normal 2 2 20 19" xfId="22493" xr:uid="{00000000-0005-0000-0000-0000055B0000}"/>
    <cellStyle name="Normal 2 2 20 2" xfId="22494" xr:uid="{00000000-0005-0000-0000-0000065B0000}"/>
    <cellStyle name="Normal 2 2 20 20" xfId="22495" xr:uid="{00000000-0005-0000-0000-0000075B0000}"/>
    <cellStyle name="Normal 2 2 20 21" xfId="22496" xr:uid="{00000000-0005-0000-0000-0000085B0000}"/>
    <cellStyle name="Normal 2 2 20 22" xfId="22497" xr:uid="{00000000-0005-0000-0000-0000095B0000}"/>
    <cellStyle name="Normal 2 2 20 23" xfId="22498" xr:uid="{00000000-0005-0000-0000-00000A5B0000}"/>
    <cellStyle name="Normal 2 2 20 24" xfId="22499" xr:uid="{00000000-0005-0000-0000-00000B5B0000}"/>
    <cellStyle name="Normal 2 2 20 25" xfId="22500" xr:uid="{00000000-0005-0000-0000-00000C5B0000}"/>
    <cellStyle name="Normal 2 2 20 26" xfId="22501" xr:uid="{00000000-0005-0000-0000-00000D5B0000}"/>
    <cellStyle name="Normal 2 2 20 27" xfId="22502" xr:uid="{00000000-0005-0000-0000-00000E5B0000}"/>
    <cellStyle name="Normal 2 2 20 28" xfId="22503" xr:uid="{00000000-0005-0000-0000-00000F5B0000}"/>
    <cellStyle name="Normal 2 2 20 29" xfId="22504" xr:uid="{00000000-0005-0000-0000-0000105B0000}"/>
    <cellStyle name="Normal 2 2 20 3" xfId="22505" xr:uid="{00000000-0005-0000-0000-0000115B0000}"/>
    <cellStyle name="Normal 2 2 20 30" xfId="22506" xr:uid="{00000000-0005-0000-0000-0000125B0000}"/>
    <cellStyle name="Normal 2 2 20 31" xfId="22507" xr:uid="{00000000-0005-0000-0000-0000135B0000}"/>
    <cellStyle name="Normal 2 2 20 32" xfId="22508" xr:uid="{00000000-0005-0000-0000-0000145B0000}"/>
    <cellStyle name="Normal 2 2 20 33" xfId="22509" xr:uid="{00000000-0005-0000-0000-0000155B0000}"/>
    <cellStyle name="Normal 2 2 20 34" xfId="22510" xr:uid="{00000000-0005-0000-0000-0000165B0000}"/>
    <cellStyle name="Normal 2 2 20 35" xfId="22511" xr:uid="{00000000-0005-0000-0000-0000175B0000}"/>
    <cellStyle name="Normal 2 2 20 36" xfId="22512" xr:uid="{00000000-0005-0000-0000-0000185B0000}"/>
    <cellStyle name="Normal 2 2 20 37" xfId="22513" xr:uid="{00000000-0005-0000-0000-0000195B0000}"/>
    <cellStyle name="Normal 2 2 20 38" xfId="22514" xr:uid="{00000000-0005-0000-0000-00001A5B0000}"/>
    <cellStyle name="Normal 2 2 20 39" xfId="22515" xr:uid="{00000000-0005-0000-0000-00001B5B0000}"/>
    <cellStyle name="Normal 2 2 20 4" xfId="22516" xr:uid="{00000000-0005-0000-0000-00001C5B0000}"/>
    <cellStyle name="Normal 2 2 20 40" xfId="22517" xr:uid="{00000000-0005-0000-0000-00001D5B0000}"/>
    <cellStyle name="Normal 2 2 20 41" xfId="22518" xr:uid="{00000000-0005-0000-0000-00001E5B0000}"/>
    <cellStyle name="Normal 2 2 20 42" xfId="22519" xr:uid="{00000000-0005-0000-0000-00001F5B0000}"/>
    <cellStyle name="Normal 2 2 20 43" xfId="22520" xr:uid="{00000000-0005-0000-0000-0000205B0000}"/>
    <cellStyle name="Normal 2 2 20 44" xfId="22521" xr:uid="{00000000-0005-0000-0000-0000215B0000}"/>
    <cellStyle name="Normal 2 2 20 45" xfId="22522" xr:uid="{00000000-0005-0000-0000-0000225B0000}"/>
    <cellStyle name="Normal 2 2 20 46" xfId="22523" xr:uid="{00000000-0005-0000-0000-0000235B0000}"/>
    <cellStyle name="Normal 2 2 20 5" xfId="22524" xr:uid="{00000000-0005-0000-0000-0000245B0000}"/>
    <cellStyle name="Normal 2 2 20 6" xfId="22525" xr:uid="{00000000-0005-0000-0000-0000255B0000}"/>
    <cellStyle name="Normal 2 2 20 7" xfId="22526" xr:uid="{00000000-0005-0000-0000-0000265B0000}"/>
    <cellStyle name="Normal 2 2 20 8" xfId="22527" xr:uid="{00000000-0005-0000-0000-0000275B0000}"/>
    <cellStyle name="Normal 2 2 20 9" xfId="22528" xr:uid="{00000000-0005-0000-0000-0000285B0000}"/>
    <cellStyle name="Normal 2 2 21" xfId="22529" xr:uid="{00000000-0005-0000-0000-0000295B0000}"/>
    <cellStyle name="Normal 2 2 21 10" xfId="22530" xr:uid="{00000000-0005-0000-0000-00002A5B0000}"/>
    <cellStyle name="Normal 2 2 21 11" xfId="22531" xr:uid="{00000000-0005-0000-0000-00002B5B0000}"/>
    <cellStyle name="Normal 2 2 21 12" xfId="22532" xr:uid="{00000000-0005-0000-0000-00002C5B0000}"/>
    <cellStyle name="Normal 2 2 21 13" xfId="22533" xr:uid="{00000000-0005-0000-0000-00002D5B0000}"/>
    <cellStyle name="Normal 2 2 21 14" xfId="22534" xr:uid="{00000000-0005-0000-0000-00002E5B0000}"/>
    <cellStyle name="Normal 2 2 21 2" xfId="22535" xr:uid="{00000000-0005-0000-0000-00002F5B0000}"/>
    <cellStyle name="Normal 2 2 21 2 2" xfId="22536" xr:uid="{00000000-0005-0000-0000-0000305B0000}"/>
    <cellStyle name="Normal 2 2 21 2 2 2" xfId="22537" xr:uid="{00000000-0005-0000-0000-0000315B0000}"/>
    <cellStyle name="Normal 2 2 21 2 3" xfId="22538" xr:uid="{00000000-0005-0000-0000-0000325B0000}"/>
    <cellStyle name="Normal 2 2 21 2 4" xfId="22539" xr:uid="{00000000-0005-0000-0000-0000335B0000}"/>
    <cellStyle name="Normal 2 2 21 2 5" xfId="22540" xr:uid="{00000000-0005-0000-0000-0000345B0000}"/>
    <cellStyle name="Normal 2 2 21 2 6" xfId="22541" xr:uid="{00000000-0005-0000-0000-0000355B0000}"/>
    <cellStyle name="Normal 2 2 21 3" xfId="22542" xr:uid="{00000000-0005-0000-0000-0000365B0000}"/>
    <cellStyle name="Normal 2 2 21 3 2" xfId="22543" xr:uid="{00000000-0005-0000-0000-0000375B0000}"/>
    <cellStyle name="Normal 2 2 21 3 3" xfId="22544" xr:uid="{00000000-0005-0000-0000-0000385B0000}"/>
    <cellStyle name="Normal 2 2 21 3 4" xfId="22545" xr:uid="{00000000-0005-0000-0000-0000395B0000}"/>
    <cellStyle name="Normal 2 2 21 3 5" xfId="22546" xr:uid="{00000000-0005-0000-0000-00003A5B0000}"/>
    <cellStyle name="Normal 2 2 21 3 6" xfId="22547" xr:uid="{00000000-0005-0000-0000-00003B5B0000}"/>
    <cellStyle name="Normal 2 2 21 4" xfId="22548" xr:uid="{00000000-0005-0000-0000-00003C5B0000}"/>
    <cellStyle name="Normal 2 2 21 4 2" xfId="22549" xr:uid="{00000000-0005-0000-0000-00003D5B0000}"/>
    <cellStyle name="Normal 2 2 21 4 3" xfId="22550" xr:uid="{00000000-0005-0000-0000-00003E5B0000}"/>
    <cellStyle name="Normal 2 2 21 4 4" xfId="22551" xr:uid="{00000000-0005-0000-0000-00003F5B0000}"/>
    <cellStyle name="Normal 2 2 21 4 5" xfId="22552" xr:uid="{00000000-0005-0000-0000-0000405B0000}"/>
    <cellStyle name="Normal 2 2 21 4 6" xfId="22553" xr:uid="{00000000-0005-0000-0000-0000415B0000}"/>
    <cellStyle name="Normal 2 2 21 5" xfId="22554" xr:uid="{00000000-0005-0000-0000-0000425B0000}"/>
    <cellStyle name="Normal 2 2 21 5 2" xfId="22555" xr:uid="{00000000-0005-0000-0000-0000435B0000}"/>
    <cellStyle name="Normal 2 2 21 5 3" xfId="22556" xr:uid="{00000000-0005-0000-0000-0000445B0000}"/>
    <cellStyle name="Normal 2 2 21 5 4" xfId="22557" xr:uid="{00000000-0005-0000-0000-0000455B0000}"/>
    <cellStyle name="Normal 2 2 21 5 5" xfId="22558" xr:uid="{00000000-0005-0000-0000-0000465B0000}"/>
    <cellStyle name="Normal 2 2 21 5 6" xfId="22559" xr:uid="{00000000-0005-0000-0000-0000475B0000}"/>
    <cellStyle name="Normal 2 2 21 6" xfId="22560" xr:uid="{00000000-0005-0000-0000-0000485B0000}"/>
    <cellStyle name="Normal 2 2 21 6 2" xfId="22561" xr:uid="{00000000-0005-0000-0000-0000495B0000}"/>
    <cellStyle name="Normal 2 2 21 6 3" xfId="22562" xr:uid="{00000000-0005-0000-0000-00004A5B0000}"/>
    <cellStyle name="Normal 2 2 21 6 4" xfId="22563" xr:uid="{00000000-0005-0000-0000-00004B5B0000}"/>
    <cellStyle name="Normal 2 2 21 6 5" xfId="22564" xr:uid="{00000000-0005-0000-0000-00004C5B0000}"/>
    <cellStyle name="Normal 2 2 21 6 6" xfId="22565" xr:uid="{00000000-0005-0000-0000-00004D5B0000}"/>
    <cellStyle name="Normal 2 2 21 7" xfId="22566" xr:uid="{00000000-0005-0000-0000-00004E5B0000}"/>
    <cellStyle name="Normal 2 2 21 7 2" xfId="22567" xr:uid="{00000000-0005-0000-0000-00004F5B0000}"/>
    <cellStyle name="Normal 2 2 21 7 3" xfId="22568" xr:uid="{00000000-0005-0000-0000-0000505B0000}"/>
    <cellStyle name="Normal 2 2 21 7 4" xfId="22569" xr:uid="{00000000-0005-0000-0000-0000515B0000}"/>
    <cellStyle name="Normal 2 2 21 7 5" xfId="22570" xr:uid="{00000000-0005-0000-0000-0000525B0000}"/>
    <cellStyle name="Normal 2 2 21 7 6" xfId="22571" xr:uid="{00000000-0005-0000-0000-0000535B0000}"/>
    <cellStyle name="Normal 2 2 21 8" xfId="22572" xr:uid="{00000000-0005-0000-0000-0000545B0000}"/>
    <cellStyle name="Normal 2 2 21 8 2" xfId="22573" xr:uid="{00000000-0005-0000-0000-0000555B0000}"/>
    <cellStyle name="Normal 2 2 21 8 3" xfId="22574" xr:uid="{00000000-0005-0000-0000-0000565B0000}"/>
    <cellStyle name="Normal 2 2 21 8 4" xfId="22575" xr:uid="{00000000-0005-0000-0000-0000575B0000}"/>
    <cellStyle name="Normal 2 2 21 8 5" xfId="22576" xr:uid="{00000000-0005-0000-0000-0000585B0000}"/>
    <cellStyle name="Normal 2 2 21 8 6" xfId="22577" xr:uid="{00000000-0005-0000-0000-0000595B0000}"/>
    <cellStyle name="Normal 2 2 21 9" xfId="22578" xr:uid="{00000000-0005-0000-0000-00005A5B0000}"/>
    <cellStyle name="Normal 2 2 22" xfId="22579" xr:uid="{00000000-0005-0000-0000-00005B5B0000}"/>
    <cellStyle name="Normal 2 2 22 10" xfId="22580" xr:uid="{00000000-0005-0000-0000-00005C5B0000}"/>
    <cellStyle name="Normal 2 2 22 11" xfId="22581" xr:uid="{00000000-0005-0000-0000-00005D5B0000}"/>
    <cellStyle name="Normal 2 2 22 12" xfId="22582" xr:uid="{00000000-0005-0000-0000-00005E5B0000}"/>
    <cellStyle name="Normal 2 2 22 13" xfId="22583" xr:uid="{00000000-0005-0000-0000-00005F5B0000}"/>
    <cellStyle name="Normal 2 2 22 14" xfId="22584" xr:uid="{00000000-0005-0000-0000-0000605B0000}"/>
    <cellStyle name="Normal 2 2 22 2" xfId="22585" xr:uid="{00000000-0005-0000-0000-0000615B0000}"/>
    <cellStyle name="Normal 2 2 22 2 2" xfId="22586" xr:uid="{00000000-0005-0000-0000-0000625B0000}"/>
    <cellStyle name="Normal 2 2 22 2 3" xfId="22587" xr:uid="{00000000-0005-0000-0000-0000635B0000}"/>
    <cellStyle name="Normal 2 2 22 2 4" xfId="22588" xr:uid="{00000000-0005-0000-0000-0000645B0000}"/>
    <cellStyle name="Normal 2 2 22 2 5" xfId="22589" xr:uid="{00000000-0005-0000-0000-0000655B0000}"/>
    <cellStyle name="Normal 2 2 22 2 6" xfId="22590" xr:uid="{00000000-0005-0000-0000-0000665B0000}"/>
    <cellStyle name="Normal 2 2 22 3" xfId="22591" xr:uid="{00000000-0005-0000-0000-0000675B0000}"/>
    <cellStyle name="Normal 2 2 22 3 2" xfId="22592" xr:uid="{00000000-0005-0000-0000-0000685B0000}"/>
    <cellStyle name="Normal 2 2 22 3 3" xfId="22593" xr:uid="{00000000-0005-0000-0000-0000695B0000}"/>
    <cellStyle name="Normal 2 2 22 3 4" xfId="22594" xr:uid="{00000000-0005-0000-0000-00006A5B0000}"/>
    <cellStyle name="Normal 2 2 22 3 5" xfId="22595" xr:uid="{00000000-0005-0000-0000-00006B5B0000}"/>
    <cellStyle name="Normal 2 2 22 3 6" xfId="22596" xr:uid="{00000000-0005-0000-0000-00006C5B0000}"/>
    <cellStyle name="Normal 2 2 22 4" xfId="22597" xr:uid="{00000000-0005-0000-0000-00006D5B0000}"/>
    <cellStyle name="Normal 2 2 22 4 2" xfId="22598" xr:uid="{00000000-0005-0000-0000-00006E5B0000}"/>
    <cellStyle name="Normal 2 2 22 4 3" xfId="22599" xr:uid="{00000000-0005-0000-0000-00006F5B0000}"/>
    <cellStyle name="Normal 2 2 22 4 4" xfId="22600" xr:uid="{00000000-0005-0000-0000-0000705B0000}"/>
    <cellStyle name="Normal 2 2 22 4 5" xfId="22601" xr:uid="{00000000-0005-0000-0000-0000715B0000}"/>
    <cellStyle name="Normal 2 2 22 4 6" xfId="22602" xr:uid="{00000000-0005-0000-0000-0000725B0000}"/>
    <cellStyle name="Normal 2 2 22 5" xfId="22603" xr:uid="{00000000-0005-0000-0000-0000735B0000}"/>
    <cellStyle name="Normal 2 2 22 5 2" xfId="22604" xr:uid="{00000000-0005-0000-0000-0000745B0000}"/>
    <cellStyle name="Normal 2 2 22 5 3" xfId="22605" xr:uid="{00000000-0005-0000-0000-0000755B0000}"/>
    <cellStyle name="Normal 2 2 22 5 4" xfId="22606" xr:uid="{00000000-0005-0000-0000-0000765B0000}"/>
    <cellStyle name="Normal 2 2 22 5 5" xfId="22607" xr:uid="{00000000-0005-0000-0000-0000775B0000}"/>
    <cellStyle name="Normal 2 2 22 5 6" xfId="22608" xr:uid="{00000000-0005-0000-0000-0000785B0000}"/>
    <cellStyle name="Normal 2 2 22 6" xfId="22609" xr:uid="{00000000-0005-0000-0000-0000795B0000}"/>
    <cellStyle name="Normal 2 2 22 6 2" xfId="22610" xr:uid="{00000000-0005-0000-0000-00007A5B0000}"/>
    <cellStyle name="Normal 2 2 22 6 3" xfId="22611" xr:uid="{00000000-0005-0000-0000-00007B5B0000}"/>
    <cellStyle name="Normal 2 2 22 6 4" xfId="22612" xr:uid="{00000000-0005-0000-0000-00007C5B0000}"/>
    <cellStyle name="Normal 2 2 22 6 5" xfId="22613" xr:uid="{00000000-0005-0000-0000-00007D5B0000}"/>
    <cellStyle name="Normal 2 2 22 6 6" xfId="22614" xr:uid="{00000000-0005-0000-0000-00007E5B0000}"/>
    <cellStyle name="Normal 2 2 22 7" xfId="22615" xr:uid="{00000000-0005-0000-0000-00007F5B0000}"/>
    <cellStyle name="Normal 2 2 22 7 2" xfId="22616" xr:uid="{00000000-0005-0000-0000-0000805B0000}"/>
    <cellStyle name="Normal 2 2 22 7 3" xfId="22617" xr:uid="{00000000-0005-0000-0000-0000815B0000}"/>
    <cellStyle name="Normal 2 2 22 7 4" xfId="22618" xr:uid="{00000000-0005-0000-0000-0000825B0000}"/>
    <cellStyle name="Normal 2 2 22 7 5" xfId="22619" xr:uid="{00000000-0005-0000-0000-0000835B0000}"/>
    <cellStyle name="Normal 2 2 22 7 6" xfId="22620" xr:uid="{00000000-0005-0000-0000-0000845B0000}"/>
    <cellStyle name="Normal 2 2 22 8" xfId="22621" xr:uid="{00000000-0005-0000-0000-0000855B0000}"/>
    <cellStyle name="Normal 2 2 22 8 2" xfId="22622" xr:uid="{00000000-0005-0000-0000-0000865B0000}"/>
    <cellStyle name="Normal 2 2 22 8 3" xfId="22623" xr:uid="{00000000-0005-0000-0000-0000875B0000}"/>
    <cellStyle name="Normal 2 2 22 8 4" xfId="22624" xr:uid="{00000000-0005-0000-0000-0000885B0000}"/>
    <cellStyle name="Normal 2 2 22 8 5" xfId="22625" xr:uid="{00000000-0005-0000-0000-0000895B0000}"/>
    <cellStyle name="Normal 2 2 22 8 6" xfId="22626" xr:uid="{00000000-0005-0000-0000-00008A5B0000}"/>
    <cellStyle name="Normal 2 2 22 9" xfId="22627" xr:uid="{00000000-0005-0000-0000-00008B5B0000}"/>
    <cellStyle name="Normal 2 2 23" xfId="22628" xr:uid="{00000000-0005-0000-0000-00008C5B0000}"/>
    <cellStyle name="Normal 2 2 23 10" xfId="22629" xr:uid="{00000000-0005-0000-0000-00008D5B0000}"/>
    <cellStyle name="Normal 2 2 23 11" xfId="22630" xr:uid="{00000000-0005-0000-0000-00008E5B0000}"/>
    <cellStyle name="Normal 2 2 23 12" xfId="22631" xr:uid="{00000000-0005-0000-0000-00008F5B0000}"/>
    <cellStyle name="Normal 2 2 23 13" xfId="22632" xr:uid="{00000000-0005-0000-0000-0000905B0000}"/>
    <cellStyle name="Normal 2 2 23 14" xfId="22633" xr:uid="{00000000-0005-0000-0000-0000915B0000}"/>
    <cellStyle name="Normal 2 2 23 2" xfId="22634" xr:uid="{00000000-0005-0000-0000-0000925B0000}"/>
    <cellStyle name="Normal 2 2 23 2 2" xfId="22635" xr:uid="{00000000-0005-0000-0000-0000935B0000}"/>
    <cellStyle name="Normal 2 2 23 2 3" xfId="22636" xr:uid="{00000000-0005-0000-0000-0000945B0000}"/>
    <cellStyle name="Normal 2 2 23 2 4" xfId="22637" xr:uid="{00000000-0005-0000-0000-0000955B0000}"/>
    <cellStyle name="Normal 2 2 23 2 5" xfId="22638" xr:uid="{00000000-0005-0000-0000-0000965B0000}"/>
    <cellStyle name="Normal 2 2 23 2 6" xfId="22639" xr:uid="{00000000-0005-0000-0000-0000975B0000}"/>
    <cellStyle name="Normal 2 2 23 3" xfId="22640" xr:uid="{00000000-0005-0000-0000-0000985B0000}"/>
    <cellStyle name="Normal 2 2 23 3 2" xfId="22641" xr:uid="{00000000-0005-0000-0000-0000995B0000}"/>
    <cellStyle name="Normal 2 2 23 3 3" xfId="22642" xr:uid="{00000000-0005-0000-0000-00009A5B0000}"/>
    <cellStyle name="Normal 2 2 23 3 4" xfId="22643" xr:uid="{00000000-0005-0000-0000-00009B5B0000}"/>
    <cellStyle name="Normal 2 2 23 3 5" xfId="22644" xr:uid="{00000000-0005-0000-0000-00009C5B0000}"/>
    <cellStyle name="Normal 2 2 23 3 6" xfId="22645" xr:uid="{00000000-0005-0000-0000-00009D5B0000}"/>
    <cellStyle name="Normal 2 2 23 4" xfId="22646" xr:uid="{00000000-0005-0000-0000-00009E5B0000}"/>
    <cellStyle name="Normal 2 2 23 4 2" xfId="22647" xr:uid="{00000000-0005-0000-0000-00009F5B0000}"/>
    <cellStyle name="Normal 2 2 23 4 3" xfId="22648" xr:uid="{00000000-0005-0000-0000-0000A05B0000}"/>
    <cellStyle name="Normal 2 2 23 4 4" xfId="22649" xr:uid="{00000000-0005-0000-0000-0000A15B0000}"/>
    <cellStyle name="Normal 2 2 23 4 5" xfId="22650" xr:uid="{00000000-0005-0000-0000-0000A25B0000}"/>
    <cellStyle name="Normal 2 2 23 4 6" xfId="22651" xr:uid="{00000000-0005-0000-0000-0000A35B0000}"/>
    <cellStyle name="Normal 2 2 23 5" xfId="22652" xr:uid="{00000000-0005-0000-0000-0000A45B0000}"/>
    <cellStyle name="Normal 2 2 23 5 2" xfId="22653" xr:uid="{00000000-0005-0000-0000-0000A55B0000}"/>
    <cellStyle name="Normal 2 2 23 5 3" xfId="22654" xr:uid="{00000000-0005-0000-0000-0000A65B0000}"/>
    <cellStyle name="Normal 2 2 23 5 4" xfId="22655" xr:uid="{00000000-0005-0000-0000-0000A75B0000}"/>
    <cellStyle name="Normal 2 2 23 5 5" xfId="22656" xr:uid="{00000000-0005-0000-0000-0000A85B0000}"/>
    <cellStyle name="Normal 2 2 23 5 6" xfId="22657" xr:uid="{00000000-0005-0000-0000-0000A95B0000}"/>
    <cellStyle name="Normal 2 2 23 6" xfId="22658" xr:uid="{00000000-0005-0000-0000-0000AA5B0000}"/>
    <cellStyle name="Normal 2 2 23 6 2" xfId="22659" xr:uid="{00000000-0005-0000-0000-0000AB5B0000}"/>
    <cellStyle name="Normal 2 2 23 6 3" xfId="22660" xr:uid="{00000000-0005-0000-0000-0000AC5B0000}"/>
    <cellStyle name="Normal 2 2 23 6 4" xfId="22661" xr:uid="{00000000-0005-0000-0000-0000AD5B0000}"/>
    <cellStyle name="Normal 2 2 23 6 5" xfId="22662" xr:uid="{00000000-0005-0000-0000-0000AE5B0000}"/>
    <cellStyle name="Normal 2 2 23 6 6" xfId="22663" xr:uid="{00000000-0005-0000-0000-0000AF5B0000}"/>
    <cellStyle name="Normal 2 2 23 7" xfId="22664" xr:uid="{00000000-0005-0000-0000-0000B05B0000}"/>
    <cellStyle name="Normal 2 2 23 7 2" xfId="22665" xr:uid="{00000000-0005-0000-0000-0000B15B0000}"/>
    <cellStyle name="Normal 2 2 23 7 3" xfId="22666" xr:uid="{00000000-0005-0000-0000-0000B25B0000}"/>
    <cellStyle name="Normal 2 2 23 7 4" xfId="22667" xr:uid="{00000000-0005-0000-0000-0000B35B0000}"/>
    <cellStyle name="Normal 2 2 23 7 5" xfId="22668" xr:uid="{00000000-0005-0000-0000-0000B45B0000}"/>
    <cellStyle name="Normal 2 2 23 7 6" xfId="22669" xr:uid="{00000000-0005-0000-0000-0000B55B0000}"/>
    <cellStyle name="Normal 2 2 23 8" xfId="22670" xr:uid="{00000000-0005-0000-0000-0000B65B0000}"/>
    <cellStyle name="Normal 2 2 23 8 2" xfId="22671" xr:uid="{00000000-0005-0000-0000-0000B75B0000}"/>
    <cellStyle name="Normal 2 2 23 8 3" xfId="22672" xr:uid="{00000000-0005-0000-0000-0000B85B0000}"/>
    <cellStyle name="Normal 2 2 23 8 4" xfId="22673" xr:uid="{00000000-0005-0000-0000-0000B95B0000}"/>
    <cellStyle name="Normal 2 2 23 8 5" xfId="22674" xr:uid="{00000000-0005-0000-0000-0000BA5B0000}"/>
    <cellStyle name="Normal 2 2 23 8 6" xfId="22675" xr:uid="{00000000-0005-0000-0000-0000BB5B0000}"/>
    <cellStyle name="Normal 2 2 23 9" xfId="22676" xr:uid="{00000000-0005-0000-0000-0000BC5B0000}"/>
    <cellStyle name="Normal 2 2 24" xfId="22677" xr:uid="{00000000-0005-0000-0000-0000BD5B0000}"/>
    <cellStyle name="Normal 2 2 24 10" xfId="22678" xr:uid="{00000000-0005-0000-0000-0000BE5B0000}"/>
    <cellStyle name="Normal 2 2 24 11" xfId="22679" xr:uid="{00000000-0005-0000-0000-0000BF5B0000}"/>
    <cellStyle name="Normal 2 2 24 12" xfId="22680" xr:uid="{00000000-0005-0000-0000-0000C05B0000}"/>
    <cellStyle name="Normal 2 2 24 13" xfId="22681" xr:uid="{00000000-0005-0000-0000-0000C15B0000}"/>
    <cellStyle name="Normal 2 2 24 14" xfId="22682" xr:uid="{00000000-0005-0000-0000-0000C25B0000}"/>
    <cellStyle name="Normal 2 2 24 2" xfId="22683" xr:uid="{00000000-0005-0000-0000-0000C35B0000}"/>
    <cellStyle name="Normal 2 2 24 2 2" xfId="22684" xr:uid="{00000000-0005-0000-0000-0000C45B0000}"/>
    <cellStyle name="Normal 2 2 24 2 3" xfId="22685" xr:uid="{00000000-0005-0000-0000-0000C55B0000}"/>
    <cellStyle name="Normal 2 2 24 2 4" xfId="22686" xr:uid="{00000000-0005-0000-0000-0000C65B0000}"/>
    <cellStyle name="Normal 2 2 24 2 5" xfId="22687" xr:uid="{00000000-0005-0000-0000-0000C75B0000}"/>
    <cellStyle name="Normal 2 2 24 2 6" xfId="22688" xr:uid="{00000000-0005-0000-0000-0000C85B0000}"/>
    <cellStyle name="Normal 2 2 24 3" xfId="22689" xr:uid="{00000000-0005-0000-0000-0000C95B0000}"/>
    <cellStyle name="Normal 2 2 24 3 2" xfId="22690" xr:uid="{00000000-0005-0000-0000-0000CA5B0000}"/>
    <cellStyle name="Normal 2 2 24 3 3" xfId="22691" xr:uid="{00000000-0005-0000-0000-0000CB5B0000}"/>
    <cellStyle name="Normal 2 2 24 3 4" xfId="22692" xr:uid="{00000000-0005-0000-0000-0000CC5B0000}"/>
    <cellStyle name="Normal 2 2 24 3 5" xfId="22693" xr:uid="{00000000-0005-0000-0000-0000CD5B0000}"/>
    <cellStyle name="Normal 2 2 24 3 6" xfId="22694" xr:uid="{00000000-0005-0000-0000-0000CE5B0000}"/>
    <cellStyle name="Normal 2 2 24 4" xfId="22695" xr:uid="{00000000-0005-0000-0000-0000CF5B0000}"/>
    <cellStyle name="Normal 2 2 24 4 2" xfId="22696" xr:uid="{00000000-0005-0000-0000-0000D05B0000}"/>
    <cellStyle name="Normal 2 2 24 4 3" xfId="22697" xr:uid="{00000000-0005-0000-0000-0000D15B0000}"/>
    <cellStyle name="Normal 2 2 24 4 4" xfId="22698" xr:uid="{00000000-0005-0000-0000-0000D25B0000}"/>
    <cellStyle name="Normal 2 2 24 4 5" xfId="22699" xr:uid="{00000000-0005-0000-0000-0000D35B0000}"/>
    <cellStyle name="Normal 2 2 24 4 6" xfId="22700" xr:uid="{00000000-0005-0000-0000-0000D45B0000}"/>
    <cellStyle name="Normal 2 2 24 5" xfId="22701" xr:uid="{00000000-0005-0000-0000-0000D55B0000}"/>
    <cellStyle name="Normal 2 2 24 5 2" xfId="22702" xr:uid="{00000000-0005-0000-0000-0000D65B0000}"/>
    <cellStyle name="Normal 2 2 24 5 3" xfId="22703" xr:uid="{00000000-0005-0000-0000-0000D75B0000}"/>
    <cellStyle name="Normal 2 2 24 5 4" xfId="22704" xr:uid="{00000000-0005-0000-0000-0000D85B0000}"/>
    <cellStyle name="Normal 2 2 24 5 5" xfId="22705" xr:uid="{00000000-0005-0000-0000-0000D95B0000}"/>
    <cellStyle name="Normal 2 2 24 5 6" xfId="22706" xr:uid="{00000000-0005-0000-0000-0000DA5B0000}"/>
    <cellStyle name="Normal 2 2 24 6" xfId="22707" xr:uid="{00000000-0005-0000-0000-0000DB5B0000}"/>
    <cellStyle name="Normal 2 2 24 6 2" xfId="22708" xr:uid="{00000000-0005-0000-0000-0000DC5B0000}"/>
    <cellStyle name="Normal 2 2 24 6 3" xfId="22709" xr:uid="{00000000-0005-0000-0000-0000DD5B0000}"/>
    <cellStyle name="Normal 2 2 24 6 4" xfId="22710" xr:uid="{00000000-0005-0000-0000-0000DE5B0000}"/>
    <cellStyle name="Normal 2 2 24 6 5" xfId="22711" xr:uid="{00000000-0005-0000-0000-0000DF5B0000}"/>
    <cellStyle name="Normal 2 2 24 6 6" xfId="22712" xr:uid="{00000000-0005-0000-0000-0000E05B0000}"/>
    <cellStyle name="Normal 2 2 24 7" xfId="22713" xr:uid="{00000000-0005-0000-0000-0000E15B0000}"/>
    <cellStyle name="Normal 2 2 24 7 2" xfId="22714" xr:uid="{00000000-0005-0000-0000-0000E25B0000}"/>
    <cellStyle name="Normal 2 2 24 7 3" xfId="22715" xr:uid="{00000000-0005-0000-0000-0000E35B0000}"/>
    <cellStyle name="Normal 2 2 24 7 4" xfId="22716" xr:uid="{00000000-0005-0000-0000-0000E45B0000}"/>
    <cellStyle name="Normal 2 2 24 7 5" xfId="22717" xr:uid="{00000000-0005-0000-0000-0000E55B0000}"/>
    <cellStyle name="Normal 2 2 24 7 6" xfId="22718" xr:uid="{00000000-0005-0000-0000-0000E65B0000}"/>
    <cellStyle name="Normal 2 2 24 8" xfId="22719" xr:uid="{00000000-0005-0000-0000-0000E75B0000}"/>
    <cellStyle name="Normal 2 2 24 8 2" xfId="22720" xr:uid="{00000000-0005-0000-0000-0000E85B0000}"/>
    <cellStyle name="Normal 2 2 24 8 3" xfId="22721" xr:uid="{00000000-0005-0000-0000-0000E95B0000}"/>
    <cellStyle name="Normal 2 2 24 8 4" xfId="22722" xr:uid="{00000000-0005-0000-0000-0000EA5B0000}"/>
    <cellStyle name="Normal 2 2 24 8 5" xfId="22723" xr:uid="{00000000-0005-0000-0000-0000EB5B0000}"/>
    <cellStyle name="Normal 2 2 24 8 6" xfId="22724" xr:uid="{00000000-0005-0000-0000-0000EC5B0000}"/>
    <cellStyle name="Normal 2 2 24 9" xfId="22725" xr:uid="{00000000-0005-0000-0000-0000ED5B0000}"/>
    <cellStyle name="Normal 2 2 25" xfId="22726" xr:uid="{00000000-0005-0000-0000-0000EE5B0000}"/>
    <cellStyle name="Normal 2 2 25 10" xfId="22727" xr:uid="{00000000-0005-0000-0000-0000EF5B0000}"/>
    <cellStyle name="Normal 2 2 25 11" xfId="22728" xr:uid="{00000000-0005-0000-0000-0000F05B0000}"/>
    <cellStyle name="Normal 2 2 25 12" xfId="22729" xr:uid="{00000000-0005-0000-0000-0000F15B0000}"/>
    <cellStyle name="Normal 2 2 25 13" xfId="22730" xr:uid="{00000000-0005-0000-0000-0000F25B0000}"/>
    <cellStyle name="Normal 2 2 25 14" xfId="22731" xr:uid="{00000000-0005-0000-0000-0000F35B0000}"/>
    <cellStyle name="Normal 2 2 25 2" xfId="22732" xr:uid="{00000000-0005-0000-0000-0000F45B0000}"/>
    <cellStyle name="Normal 2 2 25 2 2" xfId="22733" xr:uid="{00000000-0005-0000-0000-0000F55B0000}"/>
    <cellStyle name="Normal 2 2 25 2 3" xfId="22734" xr:uid="{00000000-0005-0000-0000-0000F65B0000}"/>
    <cellStyle name="Normal 2 2 25 2 4" xfId="22735" xr:uid="{00000000-0005-0000-0000-0000F75B0000}"/>
    <cellStyle name="Normal 2 2 25 2 5" xfId="22736" xr:uid="{00000000-0005-0000-0000-0000F85B0000}"/>
    <cellStyle name="Normal 2 2 25 2 6" xfId="22737" xr:uid="{00000000-0005-0000-0000-0000F95B0000}"/>
    <cellStyle name="Normal 2 2 25 3" xfId="22738" xr:uid="{00000000-0005-0000-0000-0000FA5B0000}"/>
    <cellStyle name="Normal 2 2 25 3 2" xfId="22739" xr:uid="{00000000-0005-0000-0000-0000FB5B0000}"/>
    <cellStyle name="Normal 2 2 25 3 3" xfId="22740" xr:uid="{00000000-0005-0000-0000-0000FC5B0000}"/>
    <cellStyle name="Normal 2 2 25 3 4" xfId="22741" xr:uid="{00000000-0005-0000-0000-0000FD5B0000}"/>
    <cellStyle name="Normal 2 2 25 3 5" xfId="22742" xr:uid="{00000000-0005-0000-0000-0000FE5B0000}"/>
    <cellStyle name="Normal 2 2 25 3 6" xfId="22743" xr:uid="{00000000-0005-0000-0000-0000FF5B0000}"/>
    <cellStyle name="Normal 2 2 25 4" xfId="22744" xr:uid="{00000000-0005-0000-0000-0000005C0000}"/>
    <cellStyle name="Normal 2 2 25 4 2" xfId="22745" xr:uid="{00000000-0005-0000-0000-0000015C0000}"/>
    <cellStyle name="Normal 2 2 25 4 3" xfId="22746" xr:uid="{00000000-0005-0000-0000-0000025C0000}"/>
    <cellStyle name="Normal 2 2 25 4 4" xfId="22747" xr:uid="{00000000-0005-0000-0000-0000035C0000}"/>
    <cellStyle name="Normal 2 2 25 4 5" xfId="22748" xr:uid="{00000000-0005-0000-0000-0000045C0000}"/>
    <cellStyle name="Normal 2 2 25 4 6" xfId="22749" xr:uid="{00000000-0005-0000-0000-0000055C0000}"/>
    <cellStyle name="Normal 2 2 25 5" xfId="22750" xr:uid="{00000000-0005-0000-0000-0000065C0000}"/>
    <cellStyle name="Normal 2 2 25 5 2" xfId="22751" xr:uid="{00000000-0005-0000-0000-0000075C0000}"/>
    <cellStyle name="Normal 2 2 25 5 3" xfId="22752" xr:uid="{00000000-0005-0000-0000-0000085C0000}"/>
    <cellStyle name="Normal 2 2 25 5 4" xfId="22753" xr:uid="{00000000-0005-0000-0000-0000095C0000}"/>
    <cellStyle name="Normal 2 2 25 5 5" xfId="22754" xr:uid="{00000000-0005-0000-0000-00000A5C0000}"/>
    <cellStyle name="Normal 2 2 25 5 6" xfId="22755" xr:uid="{00000000-0005-0000-0000-00000B5C0000}"/>
    <cellStyle name="Normal 2 2 25 6" xfId="22756" xr:uid="{00000000-0005-0000-0000-00000C5C0000}"/>
    <cellStyle name="Normal 2 2 25 6 2" xfId="22757" xr:uid="{00000000-0005-0000-0000-00000D5C0000}"/>
    <cellStyle name="Normal 2 2 25 6 3" xfId="22758" xr:uid="{00000000-0005-0000-0000-00000E5C0000}"/>
    <cellStyle name="Normal 2 2 25 6 4" xfId="22759" xr:uid="{00000000-0005-0000-0000-00000F5C0000}"/>
    <cellStyle name="Normal 2 2 25 6 5" xfId="22760" xr:uid="{00000000-0005-0000-0000-0000105C0000}"/>
    <cellStyle name="Normal 2 2 25 6 6" xfId="22761" xr:uid="{00000000-0005-0000-0000-0000115C0000}"/>
    <cellStyle name="Normal 2 2 25 7" xfId="22762" xr:uid="{00000000-0005-0000-0000-0000125C0000}"/>
    <cellStyle name="Normal 2 2 25 7 2" xfId="22763" xr:uid="{00000000-0005-0000-0000-0000135C0000}"/>
    <cellStyle name="Normal 2 2 25 7 3" xfId="22764" xr:uid="{00000000-0005-0000-0000-0000145C0000}"/>
    <cellStyle name="Normal 2 2 25 7 4" xfId="22765" xr:uid="{00000000-0005-0000-0000-0000155C0000}"/>
    <cellStyle name="Normal 2 2 25 7 5" xfId="22766" xr:uid="{00000000-0005-0000-0000-0000165C0000}"/>
    <cellStyle name="Normal 2 2 25 7 6" xfId="22767" xr:uid="{00000000-0005-0000-0000-0000175C0000}"/>
    <cellStyle name="Normal 2 2 25 8" xfId="22768" xr:uid="{00000000-0005-0000-0000-0000185C0000}"/>
    <cellStyle name="Normal 2 2 25 8 2" xfId="22769" xr:uid="{00000000-0005-0000-0000-0000195C0000}"/>
    <cellStyle name="Normal 2 2 25 8 3" xfId="22770" xr:uid="{00000000-0005-0000-0000-00001A5C0000}"/>
    <cellStyle name="Normal 2 2 25 8 4" xfId="22771" xr:uid="{00000000-0005-0000-0000-00001B5C0000}"/>
    <cellStyle name="Normal 2 2 25 8 5" xfId="22772" xr:uid="{00000000-0005-0000-0000-00001C5C0000}"/>
    <cellStyle name="Normal 2 2 25 8 6" xfId="22773" xr:uid="{00000000-0005-0000-0000-00001D5C0000}"/>
    <cellStyle name="Normal 2 2 25 9" xfId="22774" xr:uid="{00000000-0005-0000-0000-00001E5C0000}"/>
    <cellStyle name="Normal 2 2 26" xfId="22775" xr:uid="{00000000-0005-0000-0000-00001F5C0000}"/>
    <cellStyle name="Normal 2 2 26 10" xfId="22776" xr:uid="{00000000-0005-0000-0000-0000205C0000}"/>
    <cellStyle name="Normal 2 2 26 10 10" xfId="22777" xr:uid="{00000000-0005-0000-0000-0000215C0000}"/>
    <cellStyle name="Normal 2 2 26 10 11" xfId="22778" xr:uid="{00000000-0005-0000-0000-0000225C0000}"/>
    <cellStyle name="Normal 2 2 26 10 12" xfId="22779" xr:uid="{00000000-0005-0000-0000-0000235C0000}"/>
    <cellStyle name="Normal 2 2 26 10 13" xfId="22780" xr:uid="{00000000-0005-0000-0000-0000245C0000}"/>
    <cellStyle name="Normal 2 2 26 10 14" xfId="22781" xr:uid="{00000000-0005-0000-0000-0000255C0000}"/>
    <cellStyle name="Normal 2 2 26 10 15" xfId="22782" xr:uid="{00000000-0005-0000-0000-0000265C0000}"/>
    <cellStyle name="Normal 2 2 26 10 16" xfId="22783" xr:uid="{00000000-0005-0000-0000-0000275C0000}"/>
    <cellStyle name="Normal 2 2 26 10 17" xfId="22784" xr:uid="{00000000-0005-0000-0000-0000285C0000}"/>
    <cellStyle name="Normal 2 2 26 10 18" xfId="22785" xr:uid="{00000000-0005-0000-0000-0000295C0000}"/>
    <cellStyle name="Normal 2 2 26 10 19" xfId="22786" xr:uid="{00000000-0005-0000-0000-00002A5C0000}"/>
    <cellStyle name="Normal 2 2 26 10 2" xfId="22787" xr:uid="{00000000-0005-0000-0000-00002B5C0000}"/>
    <cellStyle name="Normal 2 2 26 10 20" xfId="22788" xr:uid="{00000000-0005-0000-0000-00002C5C0000}"/>
    <cellStyle name="Normal 2 2 26 10 21" xfId="22789" xr:uid="{00000000-0005-0000-0000-00002D5C0000}"/>
    <cellStyle name="Normal 2 2 26 10 22" xfId="22790" xr:uid="{00000000-0005-0000-0000-00002E5C0000}"/>
    <cellStyle name="Normal 2 2 26 10 23" xfId="22791" xr:uid="{00000000-0005-0000-0000-00002F5C0000}"/>
    <cellStyle name="Normal 2 2 26 10 24" xfId="22792" xr:uid="{00000000-0005-0000-0000-0000305C0000}"/>
    <cellStyle name="Normal 2 2 26 10 25" xfId="22793" xr:uid="{00000000-0005-0000-0000-0000315C0000}"/>
    <cellStyle name="Normal 2 2 26 10 26" xfId="22794" xr:uid="{00000000-0005-0000-0000-0000325C0000}"/>
    <cellStyle name="Normal 2 2 26 10 27" xfId="22795" xr:uid="{00000000-0005-0000-0000-0000335C0000}"/>
    <cellStyle name="Normal 2 2 26 10 28" xfId="22796" xr:uid="{00000000-0005-0000-0000-0000345C0000}"/>
    <cellStyle name="Normal 2 2 26 10 29" xfId="22797" xr:uid="{00000000-0005-0000-0000-0000355C0000}"/>
    <cellStyle name="Normal 2 2 26 10 3" xfId="22798" xr:uid="{00000000-0005-0000-0000-0000365C0000}"/>
    <cellStyle name="Normal 2 2 26 10 30" xfId="22799" xr:uid="{00000000-0005-0000-0000-0000375C0000}"/>
    <cellStyle name="Normal 2 2 26 10 31" xfId="22800" xr:uid="{00000000-0005-0000-0000-0000385C0000}"/>
    <cellStyle name="Normal 2 2 26 10 32" xfId="22801" xr:uid="{00000000-0005-0000-0000-0000395C0000}"/>
    <cellStyle name="Normal 2 2 26 10 33" xfId="22802" xr:uid="{00000000-0005-0000-0000-00003A5C0000}"/>
    <cellStyle name="Normal 2 2 26 10 34" xfId="22803" xr:uid="{00000000-0005-0000-0000-00003B5C0000}"/>
    <cellStyle name="Normal 2 2 26 10 35" xfId="22804" xr:uid="{00000000-0005-0000-0000-00003C5C0000}"/>
    <cellStyle name="Normal 2 2 26 10 36" xfId="22805" xr:uid="{00000000-0005-0000-0000-00003D5C0000}"/>
    <cellStyle name="Normal 2 2 26 10 37" xfId="22806" xr:uid="{00000000-0005-0000-0000-00003E5C0000}"/>
    <cellStyle name="Normal 2 2 26 10 4" xfId="22807" xr:uid="{00000000-0005-0000-0000-00003F5C0000}"/>
    <cellStyle name="Normal 2 2 26 10 5" xfId="22808" xr:uid="{00000000-0005-0000-0000-0000405C0000}"/>
    <cellStyle name="Normal 2 2 26 10 6" xfId="22809" xr:uid="{00000000-0005-0000-0000-0000415C0000}"/>
    <cellStyle name="Normal 2 2 26 10 7" xfId="22810" xr:uid="{00000000-0005-0000-0000-0000425C0000}"/>
    <cellStyle name="Normal 2 2 26 10 8" xfId="22811" xr:uid="{00000000-0005-0000-0000-0000435C0000}"/>
    <cellStyle name="Normal 2 2 26 10 9" xfId="22812" xr:uid="{00000000-0005-0000-0000-0000445C0000}"/>
    <cellStyle name="Normal 2 2 26 11" xfId="22813" xr:uid="{00000000-0005-0000-0000-0000455C0000}"/>
    <cellStyle name="Normal 2 2 26 11 10" xfId="22814" xr:uid="{00000000-0005-0000-0000-0000465C0000}"/>
    <cellStyle name="Normal 2 2 26 11 11" xfId="22815" xr:uid="{00000000-0005-0000-0000-0000475C0000}"/>
    <cellStyle name="Normal 2 2 26 11 12" xfId="22816" xr:uid="{00000000-0005-0000-0000-0000485C0000}"/>
    <cellStyle name="Normal 2 2 26 11 13" xfId="22817" xr:uid="{00000000-0005-0000-0000-0000495C0000}"/>
    <cellStyle name="Normal 2 2 26 11 14" xfId="22818" xr:uid="{00000000-0005-0000-0000-00004A5C0000}"/>
    <cellStyle name="Normal 2 2 26 11 15" xfId="22819" xr:uid="{00000000-0005-0000-0000-00004B5C0000}"/>
    <cellStyle name="Normal 2 2 26 11 16" xfId="22820" xr:uid="{00000000-0005-0000-0000-00004C5C0000}"/>
    <cellStyle name="Normal 2 2 26 11 17" xfId="22821" xr:uid="{00000000-0005-0000-0000-00004D5C0000}"/>
    <cellStyle name="Normal 2 2 26 11 18" xfId="22822" xr:uid="{00000000-0005-0000-0000-00004E5C0000}"/>
    <cellStyle name="Normal 2 2 26 11 19" xfId="22823" xr:uid="{00000000-0005-0000-0000-00004F5C0000}"/>
    <cellStyle name="Normal 2 2 26 11 2" xfId="22824" xr:uid="{00000000-0005-0000-0000-0000505C0000}"/>
    <cellStyle name="Normal 2 2 26 11 20" xfId="22825" xr:uid="{00000000-0005-0000-0000-0000515C0000}"/>
    <cellStyle name="Normal 2 2 26 11 21" xfId="22826" xr:uid="{00000000-0005-0000-0000-0000525C0000}"/>
    <cellStyle name="Normal 2 2 26 11 22" xfId="22827" xr:uid="{00000000-0005-0000-0000-0000535C0000}"/>
    <cellStyle name="Normal 2 2 26 11 23" xfId="22828" xr:uid="{00000000-0005-0000-0000-0000545C0000}"/>
    <cellStyle name="Normal 2 2 26 11 24" xfId="22829" xr:uid="{00000000-0005-0000-0000-0000555C0000}"/>
    <cellStyle name="Normal 2 2 26 11 25" xfId="22830" xr:uid="{00000000-0005-0000-0000-0000565C0000}"/>
    <cellStyle name="Normal 2 2 26 11 26" xfId="22831" xr:uid="{00000000-0005-0000-0000-0000575C0000}"/>
    <cellStyle name="Normal 2 2 26 11 27" xfId="22832" xr:uid="{00000000-0005-0000-0000-0000585C0000}"/>
    <cellStyle name="Normal 2 2 26 11 28" xfId="22833" xr:uid="{00000000-0005-0000-0000-0000595C0000}"/>
    <cellStyle name="Normal 2 2 26 11 29" xfId="22834" xr:uid="{00000000-0005-0000-0000-00005A5C0000}"/>
    <cellStyle name="Normal 2 2 26 11 3" xfId="22835" xr:uid="{00000000-0005-0000-0000-00005B5C0000}"/>
    <cellStyle name="Normal 2 2 26 11 30" xfId="22836" xr:uid="{00000000-0005-0000-0000-00005C5C0000}"/>
    <cellStyle name="Normal 2 2 26 11 31" xfId="22837" xr:uid="{00000000-0005-0000-0000-00005D5C0000}"/>
    <cellStyle name="Normal 2 2 26 11 32" xfId="22838" xr:uid="{00000000-0005-0000-0000-00005E5C0000}"/>
    <cellStyle name="Normal 2 2 26 11 33" xfId="22839" xr:uid="{00000000-0005-0000-0000-00005F5C0000}"/>
    <cellStyle name="Normal 2 2 26 11 34" xfId="22840" xr:uid="{00000000-0005-0000-0000-0000605C0000}"/>
    <cellStyle name="Normal 2 2 26 11 35" xfId="22841" xr:uid="{00000000-0005-0000-0000-0000615C0000}"/>
    <cellStyle name="Normal 2 2 26 11 36" xfId="22842" xr:uid="{00000000-0005-0000-0000-0000625C0000}"/>
    <cellStyle name="Normal 2 2 26 11 37" xfId="22843" xr:uid="{00000000-0005-0000-0000-0000635C0000}"/>
    <cellStyle name="Normal 2 2 26 11 4" xfId="22844" xr:uid="{00000000-0005-0000-0000-0000645C0000}"/>
    <cellStyle name="Normal 2 2 26 11 5" xfId="22845" xr:uid="{00000000-0005-0000-0000-0000655C0000}"/>
    <cellStyle name="Normal 2 2 26 11 6" xfId="22846" xr:uid="{00000000-0005-0000-0000-0000665C0000}"/>
    <cellStyle name="Normal 2 2 26 11 7" xfId="22847" xr:uid="{00000000-0005-0000-0000-0000675C0000}"/>
    <cellStyle name="Normal 2 2 26 11 8" xfId="22848" xr:uid="{00000000-0005-0000-0000-0000685C0000}"/>
    <cellStyle name="Normal 2 2 26 11 9" xfId="22849" xr:uid="{00000000-0005-0000-0000-0000695C0000}"/>
    <cellStyle name="Normal 2 2 26 12" xfId="22850" xr:uid="{00000000-0005-0000-0000-00006A5C0000}"/>
    <cellStyle name="Normal 2 2 26 12 2" xfId="22851" xr:uid="{00000000-0005-0000-0000-00006B5C0000}"/>
    <cellStyle name="Normal 2 2 26 12 3" xfId="22852" xr:uid="{00000000-0005-0000-0000-00006C5C0000}"/>
    <cellStyle name="Normal 2 2 26 12 4" xfId="22853" xr:uid="{00000000-0005-0000-0000-00006D5C0000}"/>
    <cellStyle name="Normal 2 2 26 12 5" xfId="22854" xr:uid="{00000000-0005-0000-0000-00006E5C0000}"/>
    <cellStyle name="Normal 2 2 26 12 6" xfId="22855" xr:uid="{00000000-0005-0000-0000-00006F5C0000}"/>
    <cellStyle name="Normal 2 2 26 13" xfId="22856" xr:uid="{00000000-0005-0000-0000-0000705C0000}"/>
    <cellStyle name="Normal 2 2 26 13 2" xfId="22857" xr:uid="{00000000-0005-0000-0000-0000715C0000}"/>
    <cellStyle name="Normal 2 2 26 13 3" xfId="22858" xr:uid="{00000000-0005-0000-0000-0000725C0000}"/>
    <cellStyle name="Normal 2 2 26 13 4" xfId="22859" xr:uid="{00000000-0005-0000-0000-0000735C0000}"/>
    <cellStyle name="Normal 2 2 26 13 5" xfId="22860" xr:uid="{00000000-0005-0000-0000-0000745C0000}"/>
    <cellStyle name="Normal 2 2 26 13 6" xfId="22861" xr:uid="{00000000-0005-0000-0000-0000755C0000}"/>
    <cellStyle name="Normal 2 2 26 14" xfId="22862" xr:uid="{00000000-0005-0000-0000-0000765C0000}"/>
    <cellStyle name="Normal 2 2 26 14 2" xfId="22863" xr:uid="{00000000-0005-0000-0000-0000775C0000}"/>
    <cellStyle name="Normal 2 2 26 14 3" xfId="22864" xr:uid="{00000000-0005-0000-0000-0000785C0000}"/>
    <cellStyle name="Normal 2 2 26 14 4" xfId="22865" xr:uid="{00000000-0005-0000-0000-0000795C0000}"/>
    <cellStyle name="Normal 2 2 26 14 5" xfId="22866" xr:uid="{00000000-0005-0000-0000-00007A5C0000}"/>
    <cellStyle name="Normal 2 2 26 14 6" xfId="22867" xr:uid="{00000000-0005-0000-0000-00007B5C0000}"/>
    <cellStyle name="Normal 2 2 26 15" xfId="22868" xr:uid="{00000000-0005-0000-0000-00007C5C0000}"/>
    <cellStyle name="Normal 2 2 26 15 2" xfId="22869" xr:uid="{00000000-0005-0000-0000-00007D5C0000}"/>
    <cellStyle name="Normal 2 2 26 15 3" xfId="22870" xr:uid="{00000000-0005-0000-0000-00007E5C0000}"/>
    <cellStyle name="Normal 2 2 26 15 4" xfId="22871" xr:uid="{00000000-0005-0000-0000-00007F5C0000}"/>
    <cellStyle name="Normal 2 2 26 15 5" xfId="22872" xr:uid="{00000000-0005-0000-0000-0000805C0000}"/>
    <cellStyle name="Normal 2 2 26 15 6" xfId="22873" xr:uid="{00000000-0005-0000-0000-0000815C0000}"/>
    <cellStyle name="Normal 2 2 26 16" xfId="22874" xr:uid="{00000000-0005-0000-0000-0000825C0000}"/>
    <cellStyle name="Normal 2 2 26 16 2" xfId="22875" xr:uid="{00000000-0005-0000-0000-0000835C0000}"/>
    <cellStyle name="Normal 2 2 26 16 3" xfId="22876" xr:uid="{00000000-0005-0000-0000-0000845C0000}"/>
    <cellStyle name="Normal 2 2 26 16 4" xfId="22877" xr:uid="{00000000-0005-0000-0000-0000855C0000}"/>
    <cellStyle name="Normal 2 2 26 16 5" xfId="22878" xr:uid="{00000000-0005-0000-0000-0000865C0000}"/>
    <cellStyle name="Normal 2 2 26 16 6" xfId="22879" xr:uid="{00000000-0005-0000-0000-0000875C0000}"/>
    <cellStyle name="Normal 2 2 26 17" xfId="22880" xr:uid="{00000000-0005-0000-0000-0000885C0000}"/>
    <cellStyle name="Normal 2 2 26 17 2" xfId="22881" xr:uid="{00000000-0005-0000-0000-0000895C0000}"/>
    <cellStyle name="Normal 2 2 26 17 3" xfId="22882" xr:uid="{00000000-0005-0000-0000-00008A5C0000}"/>
    <cellStyle name="Normal 2 2 26 17 4" xfId="22883" xr:uid="{00000000-0005-0000-0000-00008B5C0000}"/>
    <cellStyle name="Normal 2 2 26 17 5" xfId="22884" xr:uid="{00000000-0005-0000-0000-00008C5C0000}"/>
    <cellStyle name="Normal 2 2 26 17 6" xfId="22885" xr:uid="{00000000-0005-0000-0000-00008D5C0000}"/>
    <cellStyle name="Normal 2 2 26 18" xfId="22886" xr:uid="{00000000-0005-0000-0000-00008E5C0000}"/>
    <cellStyle name="Normal 2 2 26 18 2" xfId="22887" xr:uid="{00000000-0005-0000-0000-00008F5C0000}"/>
    <cellStyle name="Normal 2 2 26 18 3" xfId="22888" xr:uid="{00000000-0005-0000-0000-0000905C0000}"/>
    <cellStyle name="Normal 2 2 26 18 4" xfId="22889" xr:uid="{00000000-0005-0000-0000-0000915C0000}"/>
    <cellStyle name="Normal 2 2 26 18 5" xfId="22890" xr:uid="{00000000-0005-0000-0000-0000925C0000}"/>
    <cellStyle name="Normal 2 2 26 18 6" xfId="22891" xr:uid="{00000000-0005-0000-0000-0000935C0000}"/>
    <cellStyle name="Normal 2 2 26 19" xfId="22892" xr:uid="{00000000-0005-0000-0000-0000945C0000}"/>
    <cellStyle name="Normal 2 2 26 2" xfId="22893" xr:uid="{00000000-0005-0000-0000-0000955C0000}"/>
    <cellStyle name="Normal 2 2 26 2 10" xfId="22894" xr:uid="{00000000-0005-0000-0000-0000965C0000}"/>
    <cellStyle name="Normal 2 2 26 2 11" xfId="22895" xr:uid="{00000000-0005-0000-0000-0000975C0000}"/>
    <cellStyle name="Normal 2 2 26 2 12" xfId="22896" xr:uid="{00000000-0005-0000-0000-0000985C0000}"/>
    <cellStyle name="Normal 2 2 26 2 13" xfId="22897" xr:uid="{00000000-0005-0000-0000-0000995C0000}"/>
    <cellStyle name="Normal 2 2 26 2 14" xfId="22898" xr:uid="{00000000-0005-0000-0000-00009A5C0000}"/>
    <cellStyle name="Normal 2 2 26 2 15" xfId="22899" xr:uid="{00000000-0005-0000-0000-00009B5C0000}"/>
    <cellStyle name="Normal 2 2 26 2 16" xfId="22900" xr:uid="{00000000-0005-0000-0000-00009C5C0000}"/>
    <cellStyle name="Normal 2 2 26 2 17" xfId="22901" xr:uid="{00000000-0005-0000-0000-00009D5C0000}"/>
    <cellStyle name="Normal 2 2 26 2 18" xfId="22902" xr:uid="{00000000-0005-0000-0000-00009E5C0000}"/>
    <cellStyle name="Normal 2 2 26 2 19" xfId="22903" xr:uid="{00000000-0005-0000-0000-00009F5C0000}"/>
    <cellStyle name="Normal 2 2 26 2 2" xfId="22904" xr:uid="{00000000-0005-0000-0000-0000A05C0000}"/>
    <cellStyle name="Normal 2 2 26 2 20" xfId="22905" xr:uid="{00000000-0005-0000-0000-0000A15C0000}"/>
    <cellStyle name="Normal 2 2 26 2 21" xfId="22906" xr:uid="{00000000-0005-0000-0000-0000A25C0000}"/>
    <cellStyle name="Normal 2 2 26 2 22" xfId="22907" xr:uid="{00000000-0005-0000-0000-0000A35C0000}"/>
    <cellStyle name="Normal 2 2 26 2 23" xfId="22908" xr:uid="{00000000-0005-0000-0000-0000A45C0000}"/>
    <cellStyle name="Normal 2 2 26 2 24" xfId="22909" xr:uid="{00000000-0005-0000-0000-0000A55C0000}"/>
    <cellStyle name="Normal 2 2 26 2 25" xfId="22910" xr:uid="{00000000-0005-0000-0000-0000A65C0000}"/>
    <cellStyle name="Normal 2 2 26 2 26" xfId="22911" xr:uid="{00000000-0005-0000-0000-0000A75C0000}"/>
    <cellStyle name="Normal 2 2 26 2 27" xfId="22912" xr:uid="{00000000-0005-0000-0000-0000A85C0000}"/>
    <cellStyle name="Normal 2 2 26 2 28" xfId="22913" xr:uid="{00000000-0005-0000-0000-0000A95C0000}"/>
    <cellStyle name="Normal 2 2 26 2 29" xfId="22914" xr:uid="{00000000-0005-0000-0000-0000AA5C0000}"/>
    <cellStyle name="Normal 2 2 26 2 3" xfId="22915" xr:uid="{00000000-0005-0000-0000-0000AB5C0000}"/>
    <cellStyle name="Normal 2 2 26 2 30" xfId="22916" xr:uid="{00000000-0005-0000-0000-0000AC5C0000}"/>
    <cellStyle name="Normal 2 2 26 2 31" xfId="22917" xr:uid="{00000000-0005-0000-0000-0000AD5C0000}"/>
    <cellStyle name="Normal 2 2 26 2 32" xfId="22918" xr:uid="{00000000-0005-0000-0000-0000AE5C0000}"/>
    <cellStyle name="Normal 2 2 26 2 33" xfId="22919" xr:uid="{00000000-0005-0000-0000-0000AF5C0000}"/>
    <cellStyle name="Normal 2 2 26 2 34" xfId="22920" xr:uid="{00000000-0005-0000-0000-0000B05C0000}"/>
    <cellStyle name="Normal 2 2 26 2 35" xfId="22921" xr:uid="{00000000-0005-0000-0000-0000B15C0000}"/>
    <cellStyle name="Normal 2 2 26 2 36" xfId="22922" xr:uid="{00000000-0005-0000-0000-0000B25C0000}"/>
    <cellStyle name="Normal 2 2 26 2 37" xfId="22923" xr:uid="{00000000-0005-0000-0000-0000B35C0000}"/>
    <cellStyle name="Normal 2 2 26 2 4" xfId="22924" xr:uid="{00000000-0005-0000-0000-0000B45C0000}"/>
    <cellStyle name="Normal 2 2 26 2 5" xfId="22925" xr:uid="{00000000-0005-0000-0000-0000B55C0000}"/>
    <cellStyle name="Normal 2 2 26 2 6" xfId="22926" xr:uid="{00000000-0005-0000-0000-0000B65C0000}"/>
    <cellStyle name="Normal 2 2 26 2 7" xfId="22927" xr:uid="{00000000-0005-0000-0000-0000B75C0000}"/>
    <cellStyle name="Normal 2 2 26 2 8" xfId="22928" xr:uid="{00000000-0005-0000-0000-0000B85C0000}"/>
    <cellStyle name="Normal 2 2 26 2 9" xfId="22929" xr:uid="{00000000-0005-0000-0000-0000B95C0000}"/>
    <cellStyle name="Normal 2 2 26 20" xfId="22930" xr:uid="{00000000-0005-0000-0000-0000BA5C0000}"/>
    <cellStyle name="Normal 2 2 26 21" xfId="22931" xr:uid="{00000000-0005-0000-0000-0000BB5C0000}"/>
    <cellStyle name="Normal 2 2 26 22" xfId="22932" xr:uid="{00000000-0005-0000-0000-0000BC5C0000}"/>
    <cellStyle name="Normal 2 2 26 23" xfId="22933" xr:uid="{00000000-0005-0000-0000-0000BD5C0000}"/>
    <cellStyle name="Normal 2 2 26 24" xfId="22934" xr:uid="{00000000-0005-0000-0000-0000BE5C0000}"/>
    <cellStyle name="Normal 2 2 26 3" xfId="22935" xr:uid="{00000000-0005-0000-0000-0000BF5C0000}"/>
    <cellStyle name="Normal 2 2 26 3 10" xfId="22936" xr:uid="{00000000-0005-0000-0000-0000C05C0000}"/>
    <cellStyle name="Normal 2 2 26 3 11" xfId="22937" xr:uid="{00000000-0005-0000-0000-0000C15C0000}"/>
    <cellStyle name="Normal 2 2 26 3 12" xfId="22938" xr:uid="{00000000-0005-0000-0000-0000C25C0000}"/>
    <cellStyle name="Normal 2 2 26 3 13" xfId="22939" xr:uid="{00000000-0005-0000-0000-0000C35C0000}"/>
    <cellStyle name="Normal 2 2 26 3 14" xfId="22940" xr:uid="{00000000-0005-0000-0000-0000C45C0000}"/>
    <cellStyle name="Normal 2 2 26 3 15" xfId="22941" xr:uid="{00000000-0005-0000-0000-0000C55C0000}"/>
    <cellStyle name="Normal 2 2 26 3 16" xfId="22942" xr:uid="{00000000-0005-0000-0000-0000C65C0000}"/>
    <cellStyle name="Normal 2 2 26 3 17" xfId="22943" xr:uid="{00000000-0005-0000-0000-0000C75C0000}"/>
    <cellStyle name="Normal 2 2 26 3 18" xfId="22944" xr:uid="{00000000-0005-0000-0000-0000C85C0000}"/>
    <cellStyle name="Normal 2 2 26 3 19" xfId="22945" xr:uid="{00000000-0005-0000-0000-0000C95C0000}"/>
    <cellStyle name="Normal 2 2 26 3 2" xfId="22946" xr:uid="{00000000-0005-0000-0000-0000CA5C0000}"/>
    <cellStyle name="Normal 2 2 26 3 20" xfId="22947" xr:uid="{00000000-0005-0000-0000-0000CB5C0000}"/>
    <cellStyle name="Normal 2 2 26 3 21" xfId="22948" xr:uid="{00000000-0005-0000-0000-0000CC5C0000}"/>
    <cellStyle name="Normal 2 2 26 3 22" xfId="22949" xr:uid="{00000000-0005-0000-0000-0000CD5C0000}"/>
    <cellStyle name="Normal 2 2 26 3 23" xfId="22950" xr:uid="{00000000-0005-0000-0000-0000CE5C0000}"/>
    <cellStyle name="Normal 2 2 26 3 24" xfId="22951" xr:uid="{00000000-0005-0000-0000-0000CF5C0000}"/>
    <cellStyle name="Normal 2 2 26 3 25" xfId="22952" xr:uid="{00000000-0005-0000-0000-0000D05C0000}"/>
    <cellStyle name="Normal 2 2 26 3 26" xfId="22953" xr:uid="{00000000-0005-0000-0000-0000D15C0000}"/>
    <cellStyle name="Normal 2 2 26 3 27" xfId="22954" xr:uid="{00000000-0005-0000-0000-0000D25C0000}"/>
    <cellStyle name="Normal 2 2 26 3 28" xfId="22955" xr:uid="{00000000-0005-0000-0000-0000D35C0000}"/>
    <cellStyle name="Normal 2 2 26 3 29" xfId="22956" xr:uid="{00000000-0005-0000-0000-0000D45C0000}"/>
    <cellStyle name="Normal 2 2 26 3 3" xfId="22957" xr:uid="{00000000-0005-0000-0000-0000D55C0000}"/>
    <cellStyle name="Normal 2 2 26 3 30" xfId="22958" xr:uid="{00000000-0005-0000-0000-0000D65C0000}"/>
    <cellStyle name="Normal 2 2 26 3 31" xfId="22959" xr:uid="{00000000-0005-0000-0000-0000D75C0000}"/>
    <cellStyle name="Normal 2 2 26 3 32" xfId="22960" xr:uid="{00000000-0005-0000-0000-0000D85C0000}"/>
    <cellStyle name="Normal 2 2 26 3 33" xfId="22961" xr:uid="{00000000-0005-0000-0000-0000D95C0000}"/>
    <cellStyle name="Normal 2 2 26 3 34" xfId="22962" xr:uid="{00000000-0005-0000-0000-0000DA5C0000}"/>
    <cellStyle name="Normal 2 2 26 3 35" xfId="22963" xr:uid="{00000000-0005-0000-0000-0000DB5C0000}"/>
    <cellStyle name="Normal 2 2 26 3 36" xfId="22964" xr:uid="{00000000-0005-0000-0000-0000DC5C0000}"/>
    <cellStyle name="Normal 2 2 26 3 37" xfId="22965" xr:uid="{00000000-0005-0000-0000-0000DD5C0000}"/>
    <cellStyle name="Normal 2 2 26 3 4" xfId="22966" xr:uid="{00000000-0005-0000-0000-0000DE5C0000}"/>
    <cellStyle name="Normal 2 2 26 3 5" xfId="22967" xr:uid="{00000000-0005-0000-0000-0000DF5C0000}"/>
    <cellStyle name="Normal 2 2 26 3 6" xfId="22968" xr:uid="{00000000-0005-0000-0000-0000E05C0000}"/>
    <cellStyle name="Normal 2 2 26 3 7" xfId="22969" xr:uid="{00000000-0005-0000-0000-0000E15C0000}"/>
    <cellStyle name="Normal 2 2 26 3 8" xfId="22970" xr:uid="{00000000-0005-0000-0000-0000E25C0000}"/>
    <cellStyle name="Normal 2 2 26 3 9" xfId="22971" xr:uid="{00000000-0005-0000-0000-0000E35C0000}"/>
    <cellStyle name="Normal 2 2 26 4" xfId="22972" xr:uid="{00000000-0005-0000-0000-0000E45C0000}"/>
    <cellStyle name="Normal 2 2 26 4 10" xfId="22973" xr:uid="{00000000-0005-0000-0000-0000E55C0000}"/>
    <cellStyle name="Normal 2 2 26 4 11" xfId="22974" xr:uid="{00000000-0005-0000-0000-0000E65C0000}"/>
    <cellStyle name="Normal 2 2 26 4 12" xfId="22975" xr:uid="{00000000-0005-0000-0000-0000E75C0000}"/>
    <cellStyle name="Normal 2 2 26 4 13" xfId="22976" xr:uid="{00000000-0005-0000-0000-0000E85C0000}"/>
    <cellStyle name="Normal 2 2 26 4 14" xfId="22977" xr:uid="{00000000-0005-0000-0000-0000E95C0000}"/>
    <cellStyle name="Normal 2 2 26 4 15" xfId="22978" xr:uid="{00000000-0005-0000-0000-0000EA5C0000}"/>
    <cellStyle name="Normal 2 2 26 4 16" xfId="22979" xr:uid="{00000000-0005-0000-0000-0000EB5C0000}"/>
    <cellStyle name="Normal 2 2 26 4 17" xfId="22980" xr:uid="{00000000-0005-0000-0000-0000EC5C0000}"/>
    <cellStyle name="Normal 2 2 26 4 18" xfId="22981" xr:uid="{00000000-0005-0000-0000-0000ED5C0000}"/>
    <cellStyle name="Normal 2 2 26 4 19" xfId="22982" xr:uid="{00000000-0005-0000-0000-0000EE5C0000}"/>
    <cellStyle name="Normal 2 2 26 4 2" xfId="22983" xr:uid="{00000000-0005-0000-0000-0000EF5C0000}"/>
    <cellStyle name="Normal 2 2 26 4 20" xfId="22984" xr:uid="{00000000-0005-0000-0000-0000F05C0000}"/>
    <cellStyle name="Normal 2 2 26 4 21" xfId="22985" xr:uid="{00000000-0005-0000-0000-0000F15C0000}"/>
    <cellStyle name="Normal 2 2 26 4 22" xfId="22986" xr:uid="{00000000-0005-0000-0000-0000F25C0000}"/>
    <cellStyle name="Normal 2 2 26 4 23" xfId="22987" xr:uid="{00000000-0005-0000-0000-0000F35C0000}"/>
    <cellStyle name="Normal 2 2 26 4 24" xfId="22988" xr:uid="{00000000-0005-0000-0000-0000F45C0000}"/>
    <cellStyle name="Normal 2 2 26 4 25" xfId="22989" xr:uid="{00000000-0005-0000-0000-0000F55C0000}"/>
    <cellStyle name="Normal 2 2 26 4 26" xfId="22990" xr:uid="{00000000-0005-0000-0000-0000F65C0000}"/>
    <cellStyle name="Normal 2 2 26 4 27" xfId="22991" xr:uid="{00000000-0005-0000-0000-0000F75C0000}"/>
    <cellStyle name="Normal 2 2 26 4 28" xfId="22992" xr:uid="{00000000-0005-0000-0000-0000F85C0000}"/>
    <cellStyle name="Normal 2 2 26 4 29" xfId="22993" xr:uid="{00000000-0005-0000-0000-0000F95C0000}"/>
    <cellStyle name="Normal 2 2 26 4 3" xfId="22994" xr:uid="{00000000-0005-0000-0000-0000FA5C0000}"/>
    <cellStyle name="Normal 2 2 26 4 30" xfId="22995" xr:uid="{00000000-0005-0000-0000-0000FB5C0000}"/>
    <cellStyle name="Normal 2 2 26 4 31" xfId="22996" xr:uid="{00000000-0005-0000-0000-0000FC5C0000}"/>
    <cellStyle name="Normal 2 2 26 4 32" xfId="22997" xr:uid="{00000000-0005-0000-0000-0000FD5C0000}"/>
    <cellStyle name="Normal 2 2 26 4 33" xfId="22998" xr:uid="{00000000-0005-0000-0000-0000FE5C0000}"/>
    <cellStyle name="Normal 2 2 26 4 34" xfId="22999" xr:uid="{00000000-0005-0000-0000-0000FF5C0000}"/>
    <cellStyle name="Normal 2 2 26 4 35" xfId="23000" xr:uid="{00000000-0005-0000-0000-0000005D0000}"/>
    <cellStyle name="Normal 2 2 26 4 36" xfId="23001" xr:uid="{00000000-0005-0000-0000-0000015D0000}"/>
    <cellStyle name="Normal 2 2 26 4 37" xfId="23002" xr:uid="{00000000-0005-0000-0000-0000025D0000}"/>
    <cellStyle name="Normal 2 2 26 4 4" xfId="23003" xr:uid="{00000000-0005-0000-0000-0000035D0000}"/>
    <cellStyle name="Normal 2 2 26 4 5" xfId="23004" xr:uid="{00000000-0005-0000-0000-0000045D0000}"/>
    <cellStyle name="Normal 2 2 26 4 6" xfId="23005" xr:uid="{00000000-0005-0000-0000-0000055D0000}"/>
    <cellStyle name="Normal 2 2 26 4 7" xfId="23006" xr:uid="{00000000-0005-0000-0000-0000065D0000}"/>
    <cellStyle name="Normal 2 2 26 4 8" xfId="23007" xr:uid="{00000000-0005-0000-0000-0000075D0000}"/>
    <cellStyle name="Normal 2 2 26 4 9" xfId="23008" xr:uid="{00000000-0005-0000-0000-0000085D0000}"/>
    <cellStyle name="Normal 2 2 26 5" xfId="23009" xr:uid="{00000000-0005-0000-0000-0000095D0000}"/>
    <cellStyle name="Normal 2 2 26 5 10" xfId="23010" xr:uid="{00000000-0005-0000-0000-00000A5D0000}"/>
    <cellStyle name="Normal 2 2 26 5 11" xfId="23011" xr:uid="{00000000-0005-0000-0000-00000B5D0000}"/>
    <cellStyle name="Normal 2 2 26 5 12" xfId="23012" xr:uid="{00000000-0005-0000-0000-00000C5D0000}"/>
    <cellStyle name="Normal 2 2 26 5 13" xfId="23013" xr:uid="{00000000-0005-0000-0000-00000D5D0000}"/>
    <cellStyle name="Normal 2 2 26 5 14" xfId="23014" xr:uid="{00000000-0005-0000-0000-00000E5D0000}"/>
    <cellStyle name="Normal 2 2 26 5 15" xfId="23015" xr:uid="{00000000-0005-0000-0000-00000F5D0000}"/>
    <cellStyle name="Normal 2 2 26 5 16" xfId="23016" xr:uid="{00000000-0005-0000-0000-0000105D0000}"/>
    <cellStyle name="Normal 2 2 26 5 17" xfId="23017" xr:uid="{00000000-0005-0000-0000-0000115D0000}"/>
    <cellStyle name="Normal 2 2 26 5 18" xfId="23018" xr:uid="{00000000-0005-0000-0000-0000125D0000}"/>
    <cellStyle name="Normal 2 2 26 5 19" xfId="23019" xr:uid="{00000000-0005-0000-0000-0000135D0000}"/>
    <cellStyle name="Normal 2 2 26 5 2" xfId="23020" xr:uid="{00000000-0005-0000-0000-0000145D0000}"/>
    <cellStyle name="Normal 2 2 26 5 20" xfId="23021" xr:uid="{00000000-0005-0000-0000-0000155D0000}"/>
    <cellStyle name="Normal 2 2 26 5 21" xfId="23022" xr:uid="{00000000-0005-0000-0000-0000165D0000}"/>
    <cellStyle name="Normal 2 2 26 5 22" xfId="23023" xr:uid="{00000000-0005-0000-0000-0000175D0000}"/>
    <cellStyle name="Normal 2 2 26 5 23" xfId="23024" xr:uid="{00000000-0005-0000-0000-0000185D0000}"/>
    <cellStyle name="Normal 2 2 26 5 24" xfId="23025" xr:uid="{00000000-0005-0000-0000-0000195D0000}"/>
    <cellStyle name="Normal 2 2 26 5 25" xfId="23026" xr:uid="{00000000-0005-0000-0000-00001A5D0000}"/>
    <cellStyle name="Normal 2 2 26 5 26" xfId="23027" xr:uid="{00000000-0005-0000-0000-00001B5D0000}"/>
    <cellStyle name="Normal 2 2 26 5 27" xfId="23028" xr:uid="{00000000-0005-0000-0000-00001C5D0000}"/>
    <cellStyle name="Normal 2 2 26 5 28" xfId="23029" xr:uid="{00000000-0005-0000-0000-00001D5D0000}"/>
    <cellStyle name="Normal 2 2 26 5 29" xfId="23030" xr:uid="{00000000-0005-0000-0000-00001E5D0000}"/>
    <cellStyle name="Normal 2 2 26 5 3" xfId="23031" xr:uid="{00000000-0005-0000-0000-00001F5D0000}"/>
    <cellStyle name="Normal 2 2 26 5 30" xfId="23032" xr:uid="{00000000-0005-0000-0000-0000205D0000}"/>
    <cellStyle name="Normal 2 2 26 5 31" xfId="23033" xr:uid="{00000000-0005-0000-0000-0000215D0000}"/>
    <cellStyle name="Normal 2 2 26 5 32" xfId="23034" xr:uid="{00000000-0005-0000-0000-0000225D0000}"/>
    <cellStyle name="Normal 2 2 26 5 33" xfId="23035" xr:uid="{00000000-0005-0000-0000-0000235D0000}"/>
    <cellStyle name="Normal 2 2 26 5 34" xfId="23036" xr:uid="{00000000-0005-0000-0000-0000245D0000}"/>
    <cellStyle name="Normal 2 2 26 5 35" xfId="23037" xr:uid="{00000000-0005-0000-0000-0000255D0000}"/>
    <cellStyle name="Normal 2 2 26 5 36" xfId="23038" xr:uid="{00000000-0005-0000-0000-0000265D0000}"/>
    <cellStyle name="Normal 2 2 26 5 37" xfId="23039" xr:uid="{00000000-0005-0000-0000-0000275D0000}"/>
    <cellStyle name="Normal 2 2 26 5 4" xfId="23040" xr:uid="{00000000-0005-0000-0000-0000285D0000}"/>
    <cellStyle name="Normal 2 2 26 5 5" xfId="23041" xr:uid="{00000000-0005-0000-0000-0000295D0000}"/>
    <cellStyle name="Normal 2 2 26 5 6" xfId="23042" xr:uid="{00000000-0005-0000-0000-00002A5D0000}"/>
    <cellStyle name="Normal 2 2 26 5 7" xfId="23043" xr:uid="{00000000-0005-0000-0000-00002B5D0000}"/>
    <cellStyle name="Normal 2 2 26 5 8" xfId="23044" xr:uid="{00000000-0005-0000-0000-00002C5D0000}"/>
    <cellStyle name="Normal 2 2 26 5 9" xfId="23045" xr:uid="{00000000-0005-0000-0000-00002D5D0000}"/>
    <cellStyle name="Normal 2 2 26 6" xfId="23046" xr:uid="{00000000-0005-0000-0000-00002E5D0000}"/>
    <cellStyle name="Normal 2 2 26 6 10" xfId="23047" xr:uid="{00000000-0005-0000-0000-00002F5D0000}"/>
    <cellStyle name="Normal 2 2 26 6 11" xfId="23048" xr:uid="{00000000-0005-0000-0000-0000305D0000}"/>
    <cellStyle name="Normal 2 2 26 6 12" xfId="23049" xr:uid="{00000000-0005-0000-0000-0000315D0000}"/>
    <cellStyle name="Normal 2 2 26 6 13" xfId="23050" xr:uid="{00000000-0005-0000-0000-0000325D0000}"/>
    <cellStyle name="Normal 2 2 26 6 14" xfId="23051" xr:uid="{00000000-0005-0000-0000-0000335D0000}"/>
    <cellStyle name="Normal 2 2 26 6 15" xfId="23052" xr:uid="{00000000-0005-0000-0000-0000345D0000}"/>
    <cellStyle name="Normal 2 2 26 6 16" xfId="23053" xr:uid="{00000000-0005-0000-0000-0000355D0000}"/>
    <cellStyle name="Normal 2 2 26 6 17" xfId="23054" xr:uid="{00000000-0005-0000-0000-0000365D0000}"/>
    <cellStyle name="Normal 2 2 26 6 18" xfId="23055" xr:uid="{00000000-0005-0000-0000-0000375D0000}"/>
    <cellStyle name="Normal 2 2 26 6 19" xfId="23056" xr:uid="{00000000-0005-0000-0000-0000385D0000}"/>
    <cellStyle name="Normal 2 2 26 6 2" xfId="23057" xr:uid="{00000000-0005-0000-0000-0000395D0000}"/>
    <cellStyle name="Normal 2 2 26 6 20" xfId="23058" xr:uid="{00000000-0005-0000-0000-00003A5D0000}"/>
    <cellStyle name="Normal 2 2 26 6 21" xfId="23059" xr:uid="{00000000-0005-0000-0000-00003B5D0000}"/>
    <cellStyle name="Normal 2 2 26 6 22" xfId="23060" xr:uid="{00000000-0005-0000-0000-00003C5D0000}"/>
    <cellStyle name="Normal 2 2 26 6 23" xfId="23061" xr:uid="{00000000-0005-0000-0000-00003D5D0000}"/>
    <cellStyle name="Normal 2 2 26 6 24" xfId="23062" xr:uid="{00000000-0005-0000-0000-00003E5D0000}"/>
    <cellStyle name="Normal 2 2 26 6 25" xfId="23063" xr:uid="{00000000-0005-0000-0000-00003F5D0000}"/>
    <cellStyle name="Normal 2 2 26 6 26" xfId="23064" xr:uid="{00000000-0005-0000-0000-0000405D0000}"/>
    <cellStyle name="Normal 2 2 26 6 27" xfId="23065" xr:uid="{00000000-0005-0000-0000-0000415D0000}"/>
    <cellStyle name="Normal 2 2 26 6 28" xfId="23066" xr:uid="{00000000-0005-0000-0000-0000425D0000}"/>
    <cellStyle name="Normal 2 2 26 6 29" xfId="23067" xr:uid="{00000000-0005-0000-0000-0000435D0000}"/>
    <cellStyle name="Normal 2 2 26 6 3" xfId="23068" xr:uid="{00000000-0005-0000-0000-0000445D0000}"/>
    <cellStyle name="Normal 2 2 26 6 30" xfId="23069" xr:uid="{00000000-0005-0000-0000-0000455D0000}"/>
    <cellStyle name="Normal 2 2 26 6 31" xfId="23070" xr:uid="{00000000-0005-0000-0000-0000465D0000}"/>
    <cellStyle name="Normal 2 2 26 6 32" xfId="23071" xr:uid="{00000000-0005-0000-0000-0000475D0000}"/>
    <cellStyle name="Normal 2 2 26 6 33" xfId="23072" xr:uid="{00000000-0005-0000-0000-0000485D0000}"/>
    <cellStyle name="Normal 2 2 26 6 34" xfId="23073" xr:uid="{00000000-0005-0000-0000-0000495D0000}"/>
    <cellStyle name="Normal 2 2 26 6 35" xfId="23074" xr:uid="{00000000-0005-0000-0000-00004A5D0000}"/>
    <cellStyle name="Normal 2 2 26 6 36" xfId="23075" xr:uid="{00000000-0005-0000-0000-00004B5D0000}"/>
    <cellStyle name="Normal 2 2 26 6 37" xfId="23076" xr:uid="{00000000-0005-0000-0000-00004C5D0000}"/>
    <cellStyle name="Normal 2 2 26 6 4" xfId="23077" xr:uid="{00000000-0005-0000-0000-00004D5D0000}"/>
    <cellStyle name="Normal 2 2 26 6 5" xfId="23078" xr:uid="{00000000-0005-0000-0000-00004E5D0000}"/>
    <cellStyle name="Normal 2 2 26 6 6" xfId="23079" xr:uid="{00000000-0005-0000-0000-00004F5D0000}"/>
    <cellStyle name="Normal 2 2 26 6 7" xfId="23080" xr:uid="{00000000-0005-0000-0000-0000505D0000}"/>
    <cellStyle name="Normal 2 2 26 6 8" xfId="23081" xr:uid="{00000000-0005-0000-0000-0000515D0000}"/>
    <cellStyle name="Normal 2 2 26 6 9" xfId="23082" xr:uid="{00000000-0005-0000-0000-0000525D0000}"/>
    <cellStyle name="Normal 2 2 26 7" xfId="23083" xr:uid="{00000000-0005-0000-0000-0000535D0000}"/>
    <cellStyle name="Normal 2 2 26 7 10" xfId="23084" xr:uid="{00000000-0005-0000-0000-0000545D0000}"/>
    <cellStyle name="Normal 2 2 26 7 11" xfId="23085" xr:uid="{00000000-0005-0000-0000-0000555D0000}"/>
    <cellStyle name="Normal 2 2 26 7 12" xfId="23086" xr:uid="{00000000-0005-0000-0000-0000565D0000}"/>
    <cellStyle name="Normal 2 2 26 7 13" xfId="23087" xr:uid="{00000000-0005-0000-0000-0000575D0000}"/>
    <cellStyle name="Normal 2 2 26 7 14" xfId="23088" xr:uid="{00000000-0005-0000-0000-0000585D0000}"/>
    <cellStyle name="Normal 2 2 26 7 15" xfId="23089" xr:uid="{00000000-0005-0000-0000-0000595D0000}"/>
    <cellStyle name="Normal 2 2 26 7 16" xfId="23090" xr:uid="{00000000-0005-0000-0000-00005A5D0000}"/>
    <cellStyle name="Normal 2 2 26 7 17" xfId="23091" xr:uid="{00000000-0005-0000-0000-00005B5D0000}"/>
    <cellStyle name="Normal 2 2 26 7 18" xfId="23092" xr:uid="{00000000-0005-0000-0000-00005C5D0000}"/>
    <cellStyle name="Normal 2 2 26 7 19" xfId="23093" xr:uid="{00000000-0005-0000-0000-00005D5D0000}"/>
    <cellStyle name="Normal 2 2 26 7 2" xfId="23094" xr:uid="{00000000-0005-0000-0000-00005E5D0000}"/>
    <cellStyle name="Normal 2 2 26 7 20" xfId="23095" xr:uid="{00000000-0005-0000-0000-00005F5D0000}"/>
    <cellStyle name="Normal 2 2 26 7 21" xfId="23096" xr:uid="{00000000-0005-0000-0000-0000605D0000}"/>
    <cellStyle name="Normal 2 2 26 7 22" xfId="23097" xr:uid="{00000000-0005-0000-0000-0000615D0000}"/>
    <cellStyle name="Normal 2 2 26 7 23" xfId="23098" xr:uid="{00000000-0005-0000-0000-0000625D0000}"/>
    <cellStyle name="Normal 2 2 26 7 24" xfId="23099" xr:uid="{00000000-0005-0000-0000-0000635D0000}"/>
    <cellStyle name="Normal 2 2 26 7 25" xfId="23100" xr:uid="{00000000-0005-0000-0000-0000645D0000}"/>
    <cellStyle name="Normal 2 2 26 7 26" xfId="23101" xr:uid="{00000000-0005-0000-0000-0000655D0000}"/>
    <cellStyle name="Normal 2 2 26 7 27" xfId="23102" xr:uid="{00000000-0005-0000-0000-0000665D0000}"/>
    <cellStyle name="Normal 2 2 26 7 28" xfId="23103" xr:uid="{00000000-0005-0000-0000-0000675D0000}"/>
    <cellStyle name="Normal 2 2 26 7 29" xfId="23104" xr:uid="{00000000-0005-0000-0000-0000685D0000}"/>
    <cellStyle name="Normal 2 2 26 7 3" xfId="23105" xr:uid="{00000000-0005-0000-0000-0000695D0000}"/>
    <cellStyle name="Normal 2 2 26 7 30" xfId="23106" xr:uid="{00000000-0005-0000-0000-00006A5D0000}"/>
    <cellStyle name="Normal 2 2 26 7 31" xfId="23107" xr:uid="{00000000-0005-0000-0000-00006B5D0000}"/>
    <cellStyle name="Normal 2 2 26 7 32" xfId="23108" xr:uid="{00000000-0005-0000-0000-00006C5D0000}"/>
    <cellStyle name="Normal 2 2 26 7 33" xfId="23109" xr:uid="{00000000-0005-0000-0000-00006D5D0000}"/>
    <cellStyle name="Normal 2 2 26 7 34" xfId="23110" xr:uid="{00000000-0005-0000-0000-00006E5D0000}"/>
    <cellStyle name="Normal 2 2 26 7 35" xfId="23111" xr:uid="{00000000-0005-0000-0000-00006F5D0000}"/>
    <cellStyle name="Normal 2 2 26 7 36" xfId="23112" xr:uid="{00000000-0005-0000-0000-0000705D0000}"/>
    <cellStyle name="Normal 2 2 26 7 37" xfId="23113" xr:uid="{00000000-0005-0000-0000-0000715D0000}"/>
    <cellStyle name="Normal 2 2 26 7 4" xfId="23114" xr:uid="{00000000-0005-0000-0000-0000725D0000}"/>
    <cellStyle name="Normal 2 2 26 7 5" xfId="23115" xr:uid="{00000000-0005-0000-0000-0000735D0000}"/>
    <cellStyle name="Normal 2 2 26 7 6" xfId="23116" xr:uid="{00000000-0005-0000-0000-0000745D0000}"/>
    <cellStyle name="Normal 2 2 26 7 7" xfId="23117" xr:uid="{00000000-0005-0000-0000-0000755D0000}"/>
    <cellStyle name="Normal 2 2 26 7 8" xfId="23118" xr:uid="{00000000-0005-0000-0000-0000765D0000}"/>
    <cellStyle name="Normal 2 2 26 7 9" xfId="23119" xr:uid="{00000000-0005-0000-0000-0000775D0000}"/>
    <cellStyle name="Normal 2 2 26 8" xfId="23120" xr:uid="{00000000-0005-0000-0000-0000785D0000}"/>
    <cellStyle name="Normal 2 2 26 8 10" xfId="23121" xr:uid="{00000000-0005-0000-0000-0000795D0000}"/>
    <cellStyle name="Normal 2 2 26 8 11" xfId="23122" xr:uid="{00000000-0005-0000-0000-00007A5D0000}"/>
    <cellStyle name="Normal 2 2 26 8 12" xfId="23123" xr:uid="{00000000-0005-0000-0000-00007B5D0000}"/>
    <cellStyle name="Normal 2 2 26 8 13" xfId="23124" xr:uid="{00000000-0005-0000-0000-00007C5D0000}"/>
    <cellStyle name="Normal 2 2 26 8 14" xfId="23125" xr:uid="{00000000-0005-0000-0000-00007D5D0000}"/>
    <cellStyle name="Normal 2 2 26 8 15" xfId="23126" xr:uid="{00000000-0005-0000-0000-00007E5D0000}"/>
    <cellStyle name="Normal 2 2 26 8 16" xfId="23127" xr:uid="{00000000-0005-0000-0000-00007F5D0000}"/>
    <cellStyle name="Normal 2 2 26 8 17" xfId="23128" xr:uid="{00000000-0005-0000-0000-0000805D0000}"/>
    <cellStyle name="Normal 2 2 26 8 18" xfId="23129" xr:uid="{00000000-0005-0000-0000-0000815D0000}"/>
    <cellStyle name="Normal 2 2 26 8 19" xfId="23130" xr:uid="{00000000-0005-0000-0000-0000825D0000}"/>
    <cellStyle name="Normal 2 2 26 8 2" xfId="23131" xr:uid="{00000000-0005-0000-0000-0000835D0000}"/>
    <cellStyle name="Normal 2 2 26 8 20" xfId="23132" xr:uid="{00000000-0005-0000-0000-0000845D0000}"/>
    <cellStyle name="Normal 2 2 26 8 21" xfId="23133" xr:uid="{00000000-0005-0000-0000-0000855D0000}"/>
    <cellStyle name="Normal 2 2 26 8 22" xfId="23134" xr:uid="{00000000-0005-0000-0000-0000865D0000}"/>
    <cellStyle name="Normal 2 2 26 8 23" xfId="23135" xr:uid="{00000000-0005-0000-0000-0000875D0000}"/>
    <cellStyle name="Normal 2 2 26 8 24" xfId="23136" xr:uid="{00000000-0005-0000-0000-0000885D0000}"/>
    <cellStyle name="Normal 2 2 26 8 25" xfId="23137" xr:uid="{00000000-0005-0000-0000-0000895D0000}"/>
    <cellStyle name="Normal 2 2 26 8 26" xfId="23138" xr:uid="{00000000-0005-0000-0000-00008A5D0000}"/>
    <cellStyle name="Normal 2 2 26 8 27" xfId="23139" xr:uid="{00000000-0005-0000-0000-00008B5D0000}"/>
    <cellStyle name="Normal 2 2 26 8 28" xfId="23140" xr:uid="{00000000-0005-0000-0000-00008C5D0000}"/>
    <cellStyle name="Normal 2 2 26 8 29" xfId="23141" xr:uid="{00000000-0005-0000-0000-00008D5D0000}"/>
    <cellStyle name="Normal 2 2 26 8 3" xfId="23142" xr:uid="{00000000-0005-0000-0000-00008E5D0000}"/>
    <cellStyle name="Normal 2 2 26 8 30" xfId="23143" xr:uid="{00000000-0005-0000-0000-00008F5D0000}"/>
    <cellStyle name="Normal 2 2 26 8 31" xfId="23144" xr:uid="{00000000-0005-0000-0000-0000905D0000}"/>
    <cellStyle name="Normal 2 2 26 8 32" xfId="23145" xr:uid="{00000000-0005-0000-0000-0000915D0000}"/>
    <cellStyle name="Normal 2 2 26 8 33" xfId="23146" xr:uid="{00000000-0005-0000-0000-0000925D0000}"/>
    <cellStyle name="Normal 2 2 26 8 34" xfId="23147" xr:uid="{00000000-0005-0000-0000-0000935D0000}"/>
    <cellStyle name="Normal 2 2 26 8 35" xfId="23148" xr:uid="{00000000-0005-0000-0000-0000945D0000}"/>
    <cellStyle name="Normal 2 2 26 8 36" xfId="23149" xr:uid="{00000000-0005-0000-0000-0000955D0000}"/>
    <cellStyle name="Normal 2 2 26 8 37" xfId="23150" xr:uid="{00000000-0005-0000-0000-0000965D0000}"/>
    <cellStyle name="Normal 2 2 26 8 4" xfId="23151" xr:uid="{00000000-0005-0000-0000-0000975D0000}"/>
    <cellStyle name="Normal 2 2 26 8 5" xfId="23152" xr:uid="{00000000-0005-0000-0000-0000985D0000}"/>
    <cellStyle name="Normal 2 2 26 8 6" xfId="23153" xr:uid="{00000000-0005-0000-0000-0000995D0000}"/>
    <cellStyle name="Normal 2 2 26 8 7" xfId="23154" xr:uid="{00000000-0005-0000-0000-00009A5D0000}"/>
    <cellStyle name="Normal 2 2 26 8 8" xfId="23155" xr:uid="{00000000-0005-0000-0000-00009B5D0000}"/>
    <cellStyle name="Normal 2 2 26 8 9" xfId="23156" xr:uid="{00000000-0005-0000-0000-00009C5D0000}"/>
    <cellStyle name="Normal 2 2 26 9" xfId="23157" xr:uid="{00000000-0005-0000-0000-00009D5D0000}"/>
    <cellStyle name="Normal 2 2 26 9 10" xfId="23158" xr:uid="{00000000-0005-0000-0000-00009E5D0000}"/>
    <cellStyle name="Normal 2 2 26 9 11" xfId="23159" xr:uid="{00000000-0005-0000-0000-00009F5D0000}"/>
    <cellStyle name="Normal 2 2 26 9 12" xfId="23160" xr:uid="{00000000-0005-0000-0000-0000A05D0000}"/>
    <cellStyle name="Normal 2 2 26 9 13" xfId="23161" xr:uid="{00000000-0005-0000-0000-0000A15D0000}"/>
    <cellStyle name="Normal 2 2 26 9 14" xfId="23162" xr:uid="{00000000-0005-0000-0000-0000A25D0000}"/>
    <cellStyle name="Normal 2 2 26 9 15" xfId="23163" xr:uid="{00000000-0005-0000-0000-0000A35D0000}"/>
    <cellStyle name="Normal 2 2 26 9 16" xfId="23164" xr:uid="{00000000-0005-0000-0000-0000A45D0000}"/>
    <cellStyle name="Normal 2 2 26 9 17" xfId="23165" xr:uid="{00000000-0005-0000-0000-0000A55D0000}"/>
    <cellStyle name="Normal 2 2 26 9 18" xfId="23166" xr:uid="{00000000-0005-0000-0000-0000A65D0000}"/>
    <cellStyle name="Normal 2 2 26 9 19" xfId="23167" xr:uid="{00000000-0005-0000-0000-0000A75D0000}"/>
    <cellStyle name="Normal 2 2 26 9 2" xfId="23168" xr:uid="{00000000-0005-0000-0000-0000A85D0000}"/>
    <cellStyle name="Normal 2 2 26 9 20" xfId="23169" xr:uid="{00000000-0005-0000-0000-0000A95D0000}"/>
    <cellStyle name="Normal 2 2 26 9 21" xfId="23170" xr:uid="{00000000-0005-0000-0000-0000AA5D0000}"/>
    <cellStyle name="Normal 2 2 26 9 22" xfId="23171" xr:uid="{00000000-0005-0000-0000-0000AB5D0000}"/>
    <cellStyle name="Normal 2 2 26 9 23" xfId="23172" xr:uid="{00000000-0005-0000-0000-0000AC5D0000}"/>
    <cellStyle name="Normal 2 2 26 9 24" xfId="23173" xr:uid="{00000000-0005-0000-0000-0000AD5D0000}"/>
    <cellStyle name="Normal 2 2 26 9 25" xfId="23174" xr:uid="{00000000-0005-0000-0000-0000AE5D0000}"/>
    <cellStyle name="Normal 2 2 26 9 26" xfId="23175" xr:uid="{00000000-0005-0000-0000-0000AF5D0000}"/>
    <cellStyle name="Normal 2 2 26 9 27" xfId="23176" xr:uid="{00000000-0005-0000-0000-0000B05D0000}"/>
    <cellStyle name="Normal 2 2 26 9 28" xfId="23177" xr:uid="{00000000-0005-0000-0000-0000B15D0000}"/>
    <cellStyle name="Normal 2 2 26 9 29" xfId="23178" xr:uid="{00000000-0005-0000-0000-0000B25D0000}"/>
    <cellStyle name="Normal 2 2 26 9 3" xfId="23179" xr:uid="{00000000-0005-0000-0000-0000B35D0000}"/>
    <cellStyle name="Normal 2 2 26 9 30" xfId="23180" xr:uid="{00000000-0005-0000-0000-0000B45D0000}"/>
    <cellStyle name="Normal 2 2 26 9 31" xfId="23181" xr:uid="{00000000-0005-0000-0000-0000B55D0000}"/>
    <cellStyle name="Normal 2 2 26 9 32" xfId="23182" xr:uid="{00000000-0005-0000-0000-0000B65D0000}"/>
    <cellStyle name="Normal 2 2 26 9 33" xfId="23183" xr:uid="{00000000-0005-0000-0000-0000B75D0000}"/>
    <cellStyle name="Normal 2 2 26 9 34" xfId="23184" xr:uid="{00000000-0005-0000-0000-0000B85D0000}"/>
    <cellStyle name="Normal 2 2 26 9 35" xfId="23185" xr:uid="{00000000-0005-0000-0000-0000B95D0000}"/>
    <cellStyle name="Normal 2 2 26 9 36" xfId="23186" xr:uid="{00000000-0005-0000-0000-0000BA5D0000}"/>
    <cellStyle name="Normal 2 2 26 9 37" xfId="23187" xr:uid="{00000000-0005-0000-0000-0000BB5D0000}"/>
    <cellStyle name="Normal 2 2 26 9 4" xfId="23188" xr:uid="{00000000-0005-0000-0000-0000BC5D0000}"/>
    <cellStyle name="Normal 2 2 26 9 5" xfId="23189" xr:uid="{00000000-0005-0000-0000-0000BD5D0000}"/>
    <cellStyle name="Normal 2 2 26 9 6" xfId="23190" xr:uid="{00000000-0005-0000-0000-0000BE5D0000}"/>
    <cellStyle name="Normal 2 2 26 9 7" xfId="23191" xr:uid="{00000000-0005-0000-0000-0000BF5D0000}"/>
    <cellStyle name="Normal 2 2 26 9 8" xfId="23192" xr:uid="{00000000-0005-0000-0000-0000C05D0000}"/>
    <cellStyle name="Normal 2 2 26 9 9" xfId="23193" xr:uid="{00000000-0005-0000-0000-0000C15D0000}"/>
    <cellStyle name="Normal 2 2 27" xfId="23194" xr:uid="{00000000-0005-0000-0000-0000C25D0000}"/>
    <cellStyle name="Normal 2 2 27 10" xfId="23195" xr:uid="{00000000-0005-0000-0000-0000C35D0000}"/>
    <cellStyle name="Normal 2 2 27 11" xfId="23196" xr:uid="{00000000-0005-0000-0000-0000C45D0000}"/>
    <cellStyle name="Normal 2 2 27 12" xfId="23197" xr:uid="{00000000-0005-0000-0000-0000C55D0000}"/>
    <cellStyle name="Normal 2 2 27 13" xfId="23198" xr:uid="{00000000-0005-0000-0000-0000C65D0000}"/>
    <cellStyle name="Normal 2 2 27 14" xfId="23199" xr:uid="{00000000-0005-0000-0000-0000C75D0000}"/>
    <cellStyle name="Normal 2 2 27 15" xfId="23200" xr:uid="{00000000-0005-0000-0000-0000C85D0000}"/>
    <cellStyle name="Normal 2 2 27 16" xfId="23201" xr:uid="{00000000-0005-0000-0000-0000C95D0000}"/>
    <cellStyle name="Normal 2 2 27 17" xfId="23202" xr:uid="{00000000-0005-0000-0000-0000CA5D0000}"/>
    <cellStyle name="Normal 2 2 27 18" xfId="23203" xr:uid="{00000000-0005-0000-0000-0000CB5D0000}"/>
    <cellStyle name="Normal 2 2 27 19" xfId="23204" xr:uid="{00000000-0005-0000-0000-0000CC5D0000}"/>
    <cellStyle name="Normal 2 2 27 2" xfId="23205" xr:uid="{00000000-0005-0000-0000-0000CD5D0000}"/>
    <cellStyle name="Normal 2 2 27 20" xfId="23206" xr:uid="{00000000-0005-0000-0000-0000CE5D0000}"/>
    <cellStyle name="Normal 2 2 27 21" xfId="23207" xr:uid="{00000000-0005-0000-0000-0000CF5D0000}"/>
    <cellStyle name="Normal 2 2 27 22" xfId="23208" xr:uid="{00000000-0005-0000-0000-0000D05D0000}"/>
    <cellStyle name="Normal 2 2 27 23" xfId="23209" xr:uid="{00000000-0005-0000-0000-0000D15D0000}"/>
    <cellStyle name="Normal 2 2 27 24" xfId="23210" xr:uid="{00000000-0005-0000-0000-0000D25D0000}"/>
    <cellStyle name="Normal 2 2 27 25" xfId="23211" xr:uid="{00000000-0005-0000-0000-0000D35D0000}"/>
    <cellStyle name="Normal 2 2 27 26" xfId="23212" xr:uid="{00000000-0005-0000-0000-0000D45D0000}"/>
    <cellStyle name="Normal 2 2 27 27" xfId="23213" xr:uid="{00000000-0005-0000-0000-0000D55D0000}"/>
    <cellStyle name="Normal 2 2 27 28" xfId="23214" xr:uid="{00000000-0005-0000-0000-0000D65D0000}"/>
    <cellStyle name="Normal 2 2 27 29" xfId="23215" xr:uid="{00000000-0005-0000-0000-0000D75D0000}"/>
    <cellStyle name="Normal 2 2 27 3" xfId="23216" xr:uid="{00000000-0005-0000-0000-0000D85D0000}"/>
    <cellStyle name="Normal 2 2 27 30" xfId="23217" xr:uid="{00000000-0005-0000-0000-0000D95D0000}"/>
    <cellStyle name="Normal 2 2 27 31" xfId="23218" xr:uid="{00000000-0005-0000-0000-0000DA5D0000}"/>
    <cellStyle name="Normal 2 2 27 32" xfId="23219" xr:uid="{00000000-0005-0000-0000-0000DB5D0000}"/>
    <cellStyle name="Normal 2 2 27 33" xfId="23220" xr:uid="{00000000-0005-0000-0000-0000DC5D0000}"/>
    <cellStyle name="Normal 2 2 27 34" xfId="23221" xr:uid="{00000000-0005-0000-0000-0000DD5D0000}"/>
    <cellStyle name="Normal 2 2 27 35" xfId="23222" xr:uid="{00000000-0005-0000-0000-0000DE5D0000}"/>
    <cellStyle name="Normal 2 2 27 36" xfId="23223" xr:uid="{00000000-0005-0000-0000-0000DF5D0000}"/>
    <cellStyle name="Normal 2 2 27 37" xfId="23224" xr:uid="{00000000-0005-0000-0000-0000E05D0000}"/>
    <cellStyle name="Normal 2 2 27 38" xfId="23225" xr:uid="{00000000-0005-0000-0000-0000E15D0000}"/>
    <cellStyle name="Normal 2 2 27 4" xfId="23226" xr:uid="{00000000-0005-0000-0000-0000E25D0000}"/>
    <cellStyle name="Normal 2 2 27 5" xfId="23227" xr:uid="{00000000-0005-0000-0000-0000E35D0000}"/>
    <cellStyle name="Normal 2 2 27 6" xfId="23228" xr:uid="{00000000-0005-0000-0000-0000E45D0000}"/>
    <cellStyle name="Normal 2 2 27 7" xfId="23229" xr:uid="{00000000-0005-0000-0000-0000E55D0000}"/>
    <cellStyle name="Normal 2 2 27 8" xfId="23230" xr:uid="{00000000-0005-0000-0000-0000E65D0000}"/>
    <cellStyle name="Normal 2 2 27 9" xfId="23231" xr:uid="{00000000-0005-0000-0000-0000E75D0000}"/>
    <cellStyle name="Normal 2 2 28" xfId="23232" xr:uid="{00000000-0005-0000-0000-0000E85D0000}"/>
    <cellStyle name="Normal 2 2 28 10" xfId="23233" xr:uid="{00000000-0005-0000-0000-0000E95D0000}"/>
    <cellStyle name="Normal 2 2 28 11" xfId="23234" xr:uid="{00000000-0005-0000-0000-0000EA5D0000}"/>
    <cellStyle name="Normal 2 2 28 12" xfId="23235" xr:uid="{00000000-0005-0000-0000-0000EB5D0000}"/>
    <cellStyle name="Normal 2 2 28 13" xfId="23236" xr:uid="{00000000-0005-0000-0000-0000EC5D0000}"/>
    <cellStyle name="Normal 2 2 28 14" xfId="23237" xr:uid="{00000000-0005-0000-0000-0000ED5D0000}"/>
    <cellStyle name="Normal 2 2 28 15" xfId="23238" xr:uid="{00000000-0005-0000-0000-0000EE5D0000}"/>
    <cellStyle name="Normal 2 2 28 16" xfId="23239" xr:uid="{00000000-0005-0000-0000-0000EF5D0000}"/>
    <cellStyle name="Normal 2 2 28 17" xfId="23240" xr:uid="{00000000-0005-0000-0000-0000F05D0000}"/>
    <cellStyle name="Normal 2 2 28 18" xfId="23241" xr:uid="{00000000-0005-0000-0000-0000F15D0000}"/>
    <cellStyle name="Normal 2 2 28 19" xfId="23242" xr:uid="{00000000-0005-0000-0000-0000F25D0000}"/>
    <cellStyle name="Normal 2 2 28 2" xfId="23243" xr:uid="{00000000-0005-0000-0000-0000F35D0000}"/>
    <cellStyle name="Normal 2 2 28 20" xfId="23244" xr:uid="{00000000-0005-0000-0000-0000F45D0000}"/>
    <cellStyle name="Normal 2 2 28 21" xfId="23245" xr:uid="{00000000-0005-0000-0000-0000F55D0000}"/>
    <cellStyle name="Normal 2 2 28 22" xfId="23246" xr:uid="{00000000-0005-0000-0000-0000F65D0000}"/>
    <cellStyle name="Normal 2 2 28 23" xfId="23247" xr:uid="{00000000-0005-0000-0000-0000F75D0000}"/>
    <cellStyle name="Normal 2 2 28 24" xfId="23248" xr:uid="{00000000-0005-0000-0000-0000F85D0000}"/>
    <cellStyle name="Normal 2 2 28 25" xfId="23249" xr:uid="{00000000-0005-0000-0000-0000F95D0000}"/>
    <cellStyle name="Normal 2 2 28 26" xfId="23250" xr:uid="{00000000-0005-0000-0000-0000FA5D0000}"/>
    <cellStyle name="Normal 2 2 28 27" xfId="23251" xr:uid="{00000000-0005-0000-0000-0000FB5D0000}"/>
    <cellStyle name="Normal 2 2 28 28" xfId="23252" xr:uid="{00000000-0005-0000-0000-0000FC5D0000}"/>
    <cellStyle name="Normal 2 2 28 29" xfId="23253" xr:uid="{00000000-0005-0000-0000-0000FD5D0000}"/>
    <cellStyle name="Normal 2 2 28 3" xfId="23254" xr:uid="{00000000-0005-0000-0000-0000FE5D0000}"/>
    <cellStyle name="Normal 2 2 28 30" xfId="23255" xr:uid="{00000000-0005-0000-0000-0000FF5D0000}"/>
    <cellStyle name="Normal 2 2 28 31" xfId="23256" xr:uid="{00000000-0005-0000-0000-0000005E0000}"/>
    <cellStyle name="Normal 2 2 28 32" xfId="23257" xr:uid="{00000000-0005-0000-0000-0000015E0000}"/>
    <cellStyle name="Normal 2 2 28 33" xfId="23258" xr:uid="{00000000-0005-0000-0000-0000025E0000}"/>
    <cellStyle name="Normal 2 2 28 34" xfId="23259" xr:uid="{00000000-0005-0000-0000-0000035E0000}"/>
    <cellStyle name="Normal 2 2 28 35" xfId="23260" xr:uid="{00000000-0005-0000-0000-0000045E0000}"/>
    <cellStyle name="Normal 2 2 28 36" xfId="23261" xr:uid="{00000000-0005-0000-0000-0000055E0000}"/>
    <cellStyle name="Normal 2 2 28 37" xfId="23262" xr:uid="{00000000-0005-0000-0000-0000065E0000}"/>
    <cellStyle name="Normal 2 2 28 38" xfId="23263" xr:uid="{00000000-0005-0000-0000-0000075E0000}"/>
    <cellStyle name="Normal 2 2 28 4" xfId="23264" xr:uid="{00000000-0005-0000-0000-0000085E0000}"/>
    <cellStyle name="Normal 2 2 28 5" xfId="23265" xr:uid="{00000000-0005-0000-0000-0000095E0000}"/>
    <cellStyle name="Normal 2 2 28 6" xfId="23266" xr:uid="{00000000-0005-0000-0000-00000A5E0000}"/>
    <cellStyle name="Normal 2 2 28 7" xfId="23267" xr:uid="{00000000-0005-0000-0000-00000B5E0000}"/>
    <cellStyle name="Normal 2 2 28 8" xfId="23268" xr:uid="{00000000-0005-0000-0000-00000C5E0000}"/>
    <cellStyle name="Normal 2 2 28 9" xfId="23269" xr:uid="{00000000-0005-0000-0000-00000D5E0000}"/>
    <cellStyle name="Normal 2 2 29" xfId="23270" xr:uid="{00000000-0005-0000-0000-00000E5E0000}"/>
    <cellStyle name="Normal 2 2 29 2" xfId="23271" xr:uid="{00000000-0005-0000-0000-00000F5E0000}"/>
    <cellStyle name="Normal 2 2 3" xfId="1070" xr:uid="{00000000-0005-0000-0000-0000105E0000}"/>
    <cellStyle name="Normal 2 2 3 10" xfId="23272" xr:uid="{00000000-0005-0000-0000-0000115E0000}"/>
    <cellStyle name="Normal 2 2 3 11" xfId="23273" xr:uid="{00000000-0005-0000-0000-0000125E0000}"/>
    <cellStyle name="Normal 2 2 3 12" xfId="23274" xr:uid="{00000000-0005-0000-0000-0000135E0000}"/>
    <cellStyle name="Normal 2 2 3 13" xfId="23275" xr:uid="{00000000-0005-0000-0000-0000145E0000}"/>
    <cellStyle name="Normal 2 2 3 14" xfId="23276" xr:uid="{00000000-0005-0000-0000-0000155E0000}"/>
    <cellStyle name="Normal 2 2 3 2" xfId="23277" xr:uid="{00000000-0005-0000-0000-0000165E0000}"/>
    <cellStyle name="Normal 2 2 3 2 2" xfId="23278" xr:uid="{00000000-0005-0000-0000-0000175E0000}"/>
    <cellStyle name="Normal 2 2 3 2 3" xfId="23279" xr:uid="{00000000-0005-0000-0000-0000185E0000}"/>
    <cellStyle name="Normal 2 2 3 2 4" xfId="23280" xr:uid="{00000000-0005-0000-0000-0000195E0000}"/>
    <cellStyle name="Normal 2 2 3 2 5" xfId="23281" xr:uid="{00000000-0005-0000-0000-00001A5E0000}"/>
    <cellStyle name="Normal 2 2 3 2 6" xfId="23282" xr:uid="{00000000-0005-0000-0000-00001B5E0000}"/>
    <cellStyle name="Normal 2 2 3 3" xfId="23283" xr:uid="{00000000-0005-0000-0000-00001C5E0000}"/>
    <cellStyle name="Normal 2 2 3 3 2" xfId="23284" xr:uid="{00000000-0005-0000-0000-00001D5E0000}"/>
    <cellStyle name="Normal 2 2 3 3 3" xfId="23285" xr:uid="{00000000-0005-0000-0000-00001E5E0000}"/>
    <cellStyle name="Normal 2 2 3 3 4" xfId="23286" xr:uid="{00000000-0005-0000-0000-00001F5E0000}"/>
    <cellStyle name="Normal 2 2 3 3 5" xfId="23287" xr:uid="{00000000-0005-0000-0000-0000205E0000}"/>
    <cellStyle name="Normal 2 2 3 3 6" xfId="23288" xr:uid="{00000000-0005-0000-0000-0000215E0000}"/>
    <cellStyle name="Normal 2 2 3 4" xfId="23289" xr:uid="{00000000-0005-0000-0000-0000225E0000}"/>
    <cellStyle name="Normal 2 2 3 4 2" xfId="23290" xr:uid="{00000000-0005-0000-0000-0000235E0000}"/>
    <cellStyle name="Normal 2 2 3 4 3" xfId="23291" xr:uid="{00000000-0005-0000-0000-0000245E0000}"/>
    <cellStyle name="Normal 2 2 3 4 4" xfId="23292" xr:uid="{00000000-0005-0000-0000-0000255E0000}"/>
    <cellStyle name="Normal 2 2 3 4 5" xfId="23293" xr:uid="{00000000-0005-0000-0000-0000265E0000}"/>
    <cellStyle name="Normal 2 2 3 4 6" xfId="23294" xr:uid="{00000000-0005-0000-0000-0000275E0000}"/>
    <cellStyle name="Normal 2 2 3 5" xfId="23295" xr:uid="{00000000-0005-0000-0000-0000285E0000}"/>
    <cellStyle name="Normal 2 2 3 5 2" xfId="23296" xr:uid="{00000000-0005-0000-0000-0000295E0000}"/>
    <cellStyle name="Normal 2 2 3 5 3" xfId="23297" xr:uid="{00000000-0005-0000-0000-00002A5E0000}"/>
    <cellStyle name="Normal 2 2 3 5 4" xfId="23298" xr:uid="{00000000-0005-0000-0000-00002B5E0000}"/>
    <cellStyle name="Normal 2 2 3 5 5" xfId="23299" xr:uid="{00000000-0005-0000-0000-00002C5E0000}"/>
    <cellStyle name="Normal 2 2 3 5 6" xfId="23300" xr:uid="{00000000-0005-0000-0000-00002D5E0000}"/>
    <cellStyle name="Normal 2 2 3 6" xfId="23301" xr:uid="{00000000-0005-0000-0000-00002E5E0000}"/>
    <cellStyle name="Normal 2 2 3 6 2" xfId="23302" xr:uid="{00000000-0005-0000-0000-00002F5E0000}"/>
    <cellStyle name="Normal 2 2 3 6 3" xfId="23303" xr:uid="{00000000-0005-0000-0000-0000305E0000}"/>
    <cellStyle name="Normal 2 2 3 6 4" xfId="23304" xr:uid="{00000000-0005-0000-0000-0000315E0000}"/>
    <cellStyle name="Normal 2 2 3 6 5" xfId="23305" xr:uid="{00000000-0005-0000-0000-0000325E0000}"/>
    <cellStyle name="Normal 2 2 3 6 6" xfId="23306" xr:uid="{00000000-0005-0000-0000-0000335E0000}"/>
    <cellStyle name="Normal 2 2 3 7" xfId="23307" xr:uid="{00000000-0005-0000-0000-0000345E0000}"/>
    <cellStyle name="Normal 2 2 3 7 2" xfId="23308" xr:uid="{00000000-0005-0000-0000-0000355E0000}"/>
    <cellStyle name="Normal 2 2 3 7 3" xfId="23309" xr:uid="{00000000-0005-0000-0000-0000365E0000}"/>
    <cellStyle name="Normal 2 2 3 7 4" xfId="23310" xr:uid="{00000000-0005-0000-0000-0000375E0000}"/>
    <cellStyle name="Normal 2 2 3 7 5" xfId="23311" xr:uid="{00000000-0005-0000-0000-0000385E0000}"/>
    <cellStyle name="Normal 2 2 3 7 6" xfId="23312" xr:uid="{00000000-0005-0000-0000-0000395E0000}"/>
    <cellStyle name="Normal 2 2 3 8" xfId="23313" xr:uid="{00000000-0005-0000-0000-00003A5E0000}"/>
    <cellStyle name="Normal 2 2 3 8 2" xfId="23314" xr:uid="{00000000-0005-0000-0000-00003B5E0000}"/>
    <cellStyle name="Normal 2 2 3 8 3" xfId="23315" xr:uid="{00000000-0005-0000-0000-00003C5E0000}"/>
    <cellStyle name="Normal 2 2 3 8 4" xfId="23316" xr:uid="{00000000-0005-0000-0000-00003D5E0000}"/>
    <cellStyle name="Normal 2 2 3 8 5" xfId="23317" xr:uid="{00000000-0005-0000-0000-00003E5E0000}"/>
    <cellStyle name="Normal 2 2 3 8 6" xfId="23318" xr:uid="{00000000-0005-0000-0000-00003F5E0000}"/>
    <cellStyle name="Normal 2 2 3 9" xfId="23319" xr:uid="{00000000-0005-0000-0000-0000405E0000}"/>
    <cellStyle name="Normal 2 2 30" xfId="23320" xr:uid="{00000000-0005-0000-0000-0000415E0000}"/>
    <cellStyle name="Normal 2 2 30 2" xfId="23321" xr:uid="{00000000-0005-0000-0000-0000425E0000}"/>
    <cellStyle name="Normal 2 2 31" xfId="23322" xr:uid="{00000000-0005-0000-0000-0000435E0000}"/>
    <cellStyle name="Normal 2 2 31 2" xfId="23323" xr:uid="{00000000-0005-0000-0000-0000445E0000}"/>
    <cellStyle name="Normal 2 2 32" xfId="23324" xr:uid="{00000000-0005-0000-0000-0000455E0000}"/>
    <cellStyle name="Normal 2 2 32 2" xfId="23325" xr:uid="{00000000-0005-0000-0000-0000465E0000}"/>
    <cellStyle name="Normal 2 2 33" xfId="23326" xr:uid="{00000000-0005-0000-0000-0000475E0000}"/>
    <cellStyle name="Normal 2 2 33 2" xfId="23327" xr:uid="{00000000-0005-0000-0000-0000485E0000}"/>
    <cellStyle name="Normal 2 2 34" xfId="23328" xr:uid="{00000000-0005-0000-0000-0000495E0000}"/>
    <cellStyle name="Normal 2 2 34 2" xfId="23329" xr:uid="{00000000-0005-0000-0000-00004A5E0000}"/>
    <cellStyle name="Normal 2 2 35" xfId="23330" xr:uid="{00000000-0005-0000-0000-00004B5E0000}"/>
    <cellStyle name="Normal 2 2 35 2" xfId="23331" xr:uid="{00000000-0005-0000-0000-00004C5E0000}"/>
    <cellStyle name="Normal 2 2 36" xfId="23332" xr:uid="{00000000-0005-0000-0000-00004D5E0000}"/>
    <cellStyle name="Normal 2 2 36 2" xfId="23333" xr:uid="{00000000-0005-0000-0000-00004E5E0000}"/>
    <cellStyle name="Normal 2 2 37" xfId="23334" xr:uid="{00000000-0005-0000-0000-00004F5E0000}"/>
    <cellStyle name="Normal 2 2 37 10" xfId="23335" xr:uid="{00000000-0005-0000-0000-0000505E0000}"/>
    <cellStyle name="Normal 2 2 37 11" xfId="23336" xr:uid="{00000000-0005-0000-0000-0000515E0000}"/>
    <cellStyle name="Normal 2 2 37 12" xfId="23337" xr:uid="{00000000-0005-0000-0000-0000525E0000}"/>
    <cellStyle name="Normal 2 2 37 13" xfId="23338" xr:uid="{00000000-0005-0000-0000-0000535E0000}"/>
    <cellStyle name="Normal 2 2 37 14" xfId="23339" xr:uid="{00000000-0005-0000-0000-0000545E0000}"/>
    <cellStyle name="Normal 2 2 37 2" xfId="23340" xr:uid="{00000000-0005-0000-0000-0000555E0000}"/>
    <cellStyle name="Normal 2 2 37 2 2" xfId="23341" xr:uid="{00000000-0005-0000-0000-0000565E0000}"/>
    <cellStyle name="Normal 2 2 37 2 3" xfId="23342" xr:uid="{00000000-0005-0000-0000-0000575E0000}"/>
    <cellStyle name="Normal 2 2 37 2 4" xfId="23343" xr:uid="{00000000-0005-0000-0000-0000585E0000}"/>
    <cellStyle name="Normal 2 2 37 2 5" xfId="23344" xr:uid="{00000000-0005-0000-0000-0000595E0000}"/>
    <cellStyle name="Normal 2 2 37 2 6" xfId="23345" xr:uid="{00000000-0005-0000-0000-00005A5E0000}"/>
    <cellStyle name="Normal 2 2 37 3" xfId="23346" xr:uid="{00000000-0005-0000-0000-00005B5E0000}"/>
    <cellStyle name="Normal 2 2 37 3 2" xfId="23347" xr:uid="{00000000-0005-0000-0000-00005C5E0000}"/>
    <cellStyle name="Normal 2 2 37 3 3" xfId="23348" xr:uid="{00000000-0005-0000-0000-00005D5E0000}"/>
    <cellStyle name="Normal 2 2 37 3 4" xfId="23349" xr:uid="{00000000-0005-0000-0000-00005E5E0000}"/>
    <cellStyle name="Normal 2 2 37 3 5" xfId="23350" xr:uid="{00000000-0005-0000-0000-00005F5E0000}"/>
    <cellStyle name="Normal 2 2 37 3 6" xfId="23351" xr:uid="{00000000-0005-0000-0000-0000605E0000}"/>
    <cellStyle name="Normal 2 2 37 4" xfId="23352" xr:uid="{00000000-0005-0000-0000-0000615E0000}"/>
    <cellStyle name="Normal 2 2 37 4 2" xfId="23353" xr:uid="{00000000-0005-0000-0000-0000625E0000}"/>
    <cellStyle name="Normal 2 2 37 4 3" xfId="23354" xr:uid="{00000000-0005-0000-0000-0000635E0000}"/>
    <cellStyle name="Normal 2 2 37 4 4" xfId="23355" xr:uid="{00000000-0005-0000-0000-0000645E0000}"/>
    <cellStyle name="Normal 2 2 37 4 5" xfId="23356" xr:uid="{00000000-0005-0000-0000-0000655E0000}"/>
    <cellStyle name="Normal 2 2 37 4 6" xfId="23357" xr:uid="{00000000-0005-0000-0000-0000665E0000}"/>
    <cellStyle name="Normal 2 2 37 5" xfId="23358" xr:uid="{00000000-0005-0000-0000-0000675E0000}"/>
    <cellStyle name="Normal 2 2 37 5 2" xfId="23359" xr:uid="{00000000-0005-0000-0000-0000685E0000}"/>
    <cellStyle name="Normal 2 2 37 5 3" xfId="23360" xr:uid="{00000000-0005-0000-0000-0000695E0000}"/>
    <cellStyle name="Normal 2 2 37 5 4" xfId="23361" xr:uid="{00000000-0005-0000-0000-00006A5E0000}"/>
    <cellStyle name="Normal 2 2 37 5 5" xfId="23362" xr:uid="{00000000-0005-0000-0000-00006B5E0000}"/>
    <cellStyle name="Normal 2 2 37 5 6" xfId="23363" xr:uid="{00000000-0005-0000-0000-00006C5E0000}"/>
    <cellStyle name="Normal 2 2 37 6" xfId="23364" xr:uid="{00000000-0005-0000-0000-00006D5E0000}"/>
    <cellStyle name="Normal 2 2 37 6 2" xfId="23365" xr:uid="{00000000-0005-0000-0000-00006E5E0000}"/>
    <cellStyle name="Normal 2 2 37 6 3" xfId="23366" xr:uid="{00000000-0005-0000-0000-00006F5E0000}"/>
    <cellStyle name="Normal 2 2 37 6 4" xfId="23367" xr:uid="{00000000-0005-0000-0000-0000705E0000}"/>
    <cellStyle name="Normal 2 2 37 6 5" xfId="23368" xr:uid="{00000000-0005-0000-0000-0000715E0000}"/>
    <cellStyle name="Normal 2 2 37 6 6" xfId="23369" xr:uid="{00000000-0005-0000-0000-0000725E0000}"/>
    <cellStyle name="Normal 2 2 37 7" xfId="23370" xr:uid="{00000000-0005-0000-0000-0000735E0000}"/>
    <cellStyle name="Normal 2 2 37 7 2" xfId="23371" xr:uid="{00000000-0005-0000-0000-0000745E0000}"/>
    <cellStyle name="Normal 2 2 37 7 3" xfId="23372" xr:uid="{00000000-0005-0000-0000-0000755E0000}"/>
    <cellStyle name="Normal 2 2 37 7 4" xfId="23373" xr:uid="{00000000-0005-0000-0000-0000765E0000}"/>
    <cellStyle name="Normal 2 2 37 7 5" xfId="23374" xr:uid="{00000000-0005-0000-0000-0000775E0000}"/>
    <cellStyle name="Normal 2 2 37 7 6" xfId="23375" xr:uid="{00000000-0005-0000-0000-0000785E0000}"/>
    <cellStyle name="Normal 2 2 37 8" xfId="23376" xr:uid="{00000000-0005-0000-0000-0000795E0000}"/>
    <cellStyle name="Normal 2 2 37 8 2" xfId="23377" xr:uid="{00000000-0005-0000-0000-00007A5E0000}"/>
    <cellStyle name="Normal 2 2 37 8 3" xfId="23378" xr:uid="{00000000-0005-0000-0000-00007B5E0000}"/>
    <cellStyle name="Normal 2 2 37 8 4" xfId="23379" xr:uid="{00000000-0005-0000-0000-00007C5E0000}"/>
    <cellStyle name="Normal 2 2 37 8 5" xfId="23380" xr:uid="{00000000-0005-0000-0000-00007D5E0000}"/>
    <cellStyle name="Normal 2 2 37 8 6" xfId="23381" xr:uid="{00000000-0005-0000-0000-00007E5E0000}"/>
    <cellStyle name="Normal 2 2 37 9" xfId="23382" xr:uid="{00000000-0005-0000-0000-00007F5E0000}"/>
    <cellStyle name="Normal 2 2 38" xfId="23383" xr:uid="{00000000-0005-0000-0000-0000805E0000}"/>
    <cellStyle name="Normal 2 2 38 10" xfId="23384" xr:uid="{00000000-0005-0000-0000-0000815E0000}"/>
    <cellStyle name="Normal 2 2 38 11" xfId="23385" xr:uid="{00000000-0005-0000-0000-0000825E0000}"/>
    <cellStyle name="Normal 2 2 38 12" xfId="23386" xr:uid="{00000000-0005-0000-0000-0000835E0000}"/>
    <cellStyle name="Normal 2 2 38 13" xfId="23387" xr:uid="{00000000-0005-0000-0000-0000845E0000}"/>
    <cellStyle name="Normal 2 2 38 14" xfId="23388" xr:uid="{00000000-0005-0000-0000-0000855E0000}"/>
    <cellStyle name="Normal 2 2 38 2" xfId="23389" xr:uid="{00000000-0005-0000-0000-0000865E0000}"/>
    <cellStyle name="Normal 2 2 38 2 2" xfId="23390" xr:uid="{00000000-0005-0000-0000-0000875E0000}"/>
    <cellStyle name="Normal 2 2 38 2 3" xfId="23391" xr:uid="{00000000-0005-0000-0000-0000885E0000}"/>
    <cellStyle name="Normal 2 2 38 2 4" xfId="23392" xr:uid="{00000000-0005-0000-0000-0000895E0000}"/>
    <cellStyle name="Normal 2 2 38 2 5" xfId="23393" xr:uid="{00000000-0005-0000-0000-00008A5E0000}"/>
    <cellStyle name="Normal 2 2 38 2 6" xfId="23394" xr:uid="{00000000-0005-0000-0000-00008B5E0000}"/>
    <cellStyle name="Normal 2 2 38 3" xfId="23395" xr:uid="{00000000-0005-0000-0000-00008C5E0000}"/>
    <cellStyle name="Normal 2 2 38 3 2" xfId="23396" xr:uid="{00000000-0005-0000-0000-00008D5E0000}"/>
    <cellStyle name="Normal 2 2 38 3 3" xfId="23397" xr:uid="{00000000-0005-0000-0000-00008E5E0000}"/>
    <cellStyle name="Normal 2 2 38 3 4" xfId="23398" xr:uid="{00000000-0005-0000-0000-00008F5E0000}"/>
    <cellStyle name="Normal 2 2 38 3 5" xfId="23399" xr:uid="{00000000-0005-0000-0000-0000905E0000}"/>
    <cellStyle name="Normal 2 2 38 3 6" xfId="23400" xr:uid="{00000000-0005-0000-0000-0000915E0000}"/>
    <cellStyle name="Normal 2 2 38 4" xfId="23401" xr:uid="{00000000-0005-0000-0000-0000925E0000}"/>
    <cellStyle name="Normal 2 2 38 4 2" xfId="23402" xr:uid="{00000000-0005-0000-0000-0000935E0000}"/>
    <cellStyle name="Normal 2 2 38 4 3" xfId="23403" xr:uid="{00000000-0005-0000-0000-0000945E0000}"/>
    <cellStyle name="Normal 2 2 38 4 4" xfId="23404" xr:uid="{00000000-0005-0000-0000-0000955E0000}"/>
    <cellStyle name="Normal 2 2 38 4 5" xfId="23405" xr:uid="{00000000-0005-0000-0000-0000965E0000}"/>
    <cellStyle name="Normal 2 2 38 4 6" xfId="23406" xr:uid="{00000000-0005-0000-0000-0000975E0000}"/>
    <cellStyle name="Normal 2 2 38 5" xfId="23407" xr:uid="{00000000-0005-0000-0000-0000985E0000}"/>
    <cellStyle name="Normal 2 2 38 5 2" xfId="23408" xr:uid="{00000000-0005-0000-0000-0000995E0000}"/>
    <cellStyle name="Normal 2 2 38 5 3" xfId="23409" xr:uid="{00000000-0005-0000-0000-00009A5E0000}"/>
    <cellStyle name="Normal 2 2 38 5 4" xfId="23410" xr:uid="{00000000-0005-0000-0000-00009B5E0000}"/>
    <cellStyle name="Normal 2 2 38 5 5" xfId="23411" xr:uid="{00000000-0005-0000-0000-00009C5E0000}"/>
    <cellStyle name="Normal 2 2 38 5 6" xfId="23412" xr:uid="{00000000-0005-0000-0000-00009D5E0000}"/>
    <cellStyle name="Normal 2 2 38 6" xfId="23413" xr:uid="{00000000-0005-0000-0000-00009E5E0000}"/>
    <cellStyle name="Normal 2 2 38 6 2" xfId="23414" xr:uid="{00000000-0005-0000-0000-00009F5E0000}"/>
    <cellStyle name="Normal 2 2 38 6 3" xfId="23415" xr:uid="{00000000-0005-0000-0000-0000A05E0000}"/>
    <cellStyle name="Normal 2 2 38 6 4" xfId="23416" xr:uid="{00000000-0005-0000-0000-0000A15E0000}"/>
    <cellStyle name="Normal 2 2 38 6 5" xfId="23417" xr:uid="{00000000-0005-0000-0000-0000A25E0000}"/>
    <cellStyle name="Normal 2 2 38 6 6" xfId="23418" xr:uid="{00000000-0005-0000-0000-0000A35E0000}"/>
    <cellStyle name="Normal 2 2 38 7" xfId="23419" xr:uid="{00000000-0005-0000-0000-0000A45E0000}"/>
    <cellStyle name="Normal 2 2 38 7 2" xfId="23420" xr:uid="{00000000-0005-0000-0000-0000A55E0000}"/>
    <cellStyle name="Normal 2 2 38 7 3" xfId="23421" xr:uid="{00000000-0005-0000-0000-0000A65E0000}"/>
    <cellStyle name="Normal 2 2 38 7 4" xfId="23422" xr:uid="{00000000-0005-0000-0000-0000A75E0000}"/>
    <cellStyle name="Normal 2 2 38 7 5" xfId="23423" xr:uid="{00000000-0005-0000-0000-0000A85E0000}"/>
    <cellStyle name="Normal 2 2 38 7 6" xfId="23424" xr:uid="{00000000-0005-0000-0000-0000A95E0000}"/>
    <cellStyle name="Normal 2 2 38 8" xfId="23425" xr:uid="{00000000-0005-0000-0000-0000AA5E0000}"/>
    <cellStyle name="Normal 2 2 38 8 2" xfId="23426" xr:uid="{00000000-0005-0000-0000-0000AB5E0000}"/>
    <cellStyle name="Normal 2 2 38 8 3" xfId="23427" xr:uid="{00000000-0005-0000-0000-0000AC5E0000}"/>
    <cellStyle name="Normal 2 2 38 8 4" xfId="23428" xr:uid="{00000000-0005-0000-0000-0000AD5E0000}"/>
    <cellStyle name="Normal 2 2 38 8 5" xfId="23429" xr:uid="{00000000-0005-0000-0000-0000AE5E0000}"/>
    <cellStyle name="Normal 2 2 38 8 6" xfId="23430" xr:uid="{00000000-0005-0000-0000-0000AF5E0000}"/>
    <cellStyle name="Normal 2 2 38 9" xfId="23431" xr:uid="{00000000-0005-0000-0000-0000B05E0000}"/>
    <cellStyle name="Normal 2 2 39" xfId="23432" xr:uid="{00000000-0005-0000-0000-0000B15E0000}"/>
    <cellStyle name="Normal 2 2 39 10" xfId="23433" xr:uid="{00000000-0005-0000-0000-0000B25E0000}"/>
    <cellStyle name="Normal 2 2 39 11" xfId="23434" xr:uid="{00000000-0005-0000-0000-0000B35E0000}"/>
    <cellStyle name="Normal 2 2 39 12" xfId="23435" xr:uid="{00000000-0005-0000-0000-0000B45E0000}"/>
    <cellStyle name="Normal 2 2 39 13" xfId="23436" xr:uid="{00000000-0005-0000-0000-0000B55E0000}"/>
    <cellStyle name="Normal 2 2 39 14" xfId="23437" xr:uid="{00000000-0005-0000-0000-0000B65E0000}"/>
    <cellStyle name="Normal 2 2 39 2" xfId="23438" xr:uid="{00000000-0005-0000-0000-0000B75E0000}"/>
    <cellStyle name="Normal 2 2 39 2 2" xfId="23439" xr:uid="{00000000-0005-0000-0000-0000B85E0000}"/>
    <cellStyle name="Normal 2 2 39 2 3" xfId="23440" xr:uid="{00000000-0005-0000-0000-0000B95E0000}"/>
    <cellStyle name="Normal 2 2 39 2 4" xfId="23441" xr:uid="{00000000-0005-0000-0000-0000BA5E0000}"/>
    <cellStyle name="Normal 2 2 39 2 5" xfId="23442" xr:uid="{00000000-0005-0000-0000-0000BB5E0000}"/>
    <cellStyle name="Normal 2 2 39 2 6" xfId="23443" xr:uid="{00000000-0005-0000-0000-0000BC5E0000}"/>
    <cellStyle name="Normal 2 2 39 3" xfId="23444" xr:uid="{00000000-0005-0000-0000-0000BD5E0000}"/>
    <cellStyle name="Normal 2 2 39 3 2" xfId="23445" xr:uid="{00000000-0005-0000-0000-0000BE5E0000}"/>
    <cellStyle name="Normal 2 2 39 3 3" xfId="23446" xr:uid="{00000000-0005-0000-0000-0000BF5E0000}"/>
    <cellStyle name="Normal 2 2 39 3 4" xfId="23447" xr:uid="{00000000-0005-0000-0000-0000C05E0000}"/>
    <cellStyle name="Normal 2 2 39 3 5" xfId="23448" xr:uid="{00000000-0005-0000-0000-0000C15E0000}"/>
    <cellStyle name="Normal 2 2 39 3 6" xfId="23449" xr:uid="{00000000-0005-0000-0000-0000C25E0000}"/>
    <cellStyle name="Normal 2 2 39 4" xfId="23450" xr:uid="{00000000-0005-0000-0000-0000C35E0000}"/>
    <cellStyle name="Normal 2 2 39 4 2" xfId="23451" xr:uid="{00000000-0005-0000-0000-0000C45E0000}"/>
    <cellStyle name="Normal 2 2 39 4 3" xfId="23452" xr:uid="{00000000-0005-0000-0000-0000C55E0000}"/>
    <cellStyle name="Normal 2 2 39 4 4" xfId="23453" xr:uid="{00000000-0005-0000-0000-0000C65E0000}"/>
    <cellStyle name="Normal 2 2 39 4 5" xfId="23454" xr:uid="{00000000-0005-0000-0000-0000C75E0000}"/>
    <cellStyle name="Normal 2 2 39 4 6" xfId="23455" xr:uid="{00000000-0005-0000-0000-0000C85E0000}"/>
    <cellStyle name="Normal 2 2 39 5" xfId="23456" xr:uid="{00000000-0005-0000-0000-0000C95E0000}"/>
    <cellStyle name="Normal 2 2 39 5 2" xfId="23457" xr:uid="{00000000-0005-0000-0000-0000CA5E0000}"/>
    <cellStyle name="Normal 2 2 39 5 3" xfId="23458" xr:uid="{00000000-0005-0000-0000-0000CB5E0000}"/>
    <cellStyle name="Normal 2 2 39 5 4" xfId="23459" xr:uid="{00000000-0005-0000-0000-0000CC5E0000}"/>
    <cellStyle name="Normal 2 2 39 5 5" xfId="23460" xr:uid="{00000000-0005-0000-0000-0000CD5E0000}"/>
    <cellStyle name="Normal 2 2 39 5 6" xfId="23461" xr:uid="{00000000-0005-0000-0000-0000CE5E0000}"/>
    <cellStyle name="Normal 2 2 39 6" xfId="23462" xr:uid="{00000000-0005-0000-0000-0000CF5E0000}"/>
    <cellStyle name="Normal 2 2 39 6 2" xfId="23463" xr:uid="{00000000-0005-0000-0000-0000D05E0000}"/>
    <cellStyle name="Normal 2 2 39 6 3" xfId="23464" xr:uid="{00000000-0005-0000-0000-0000D15E0000}"/>
    <cellStyle name="Normal 2 2 39 6 4" xfId="23465" xr:uid="{00000000-0005-0000-0000-0000D25E0000}"/>
    <cellStyle name="Normal 2 2 39 6 5" xfId="23466" xr:uid="{00000000-0005-0000-0000-0000D35E0000}"/>
    <cellStyle name="Normal 2 2 39 6 6" xfId="23467" xr:uid="{00000000-0005-0000-0000-0000D45E0000}"/>
    <cellStyle name="Normal 2 2 39 7" xfId="23468" xr:uid="{00000000-0005-0000-0000-0000D55E0000}"/>
    <cellStyle name="Normal 2 2 39 7 2" xfId="23469" xr:uid="{00000000-0005-0000-0000-0000D65E0000}"/>
    <cellStyle name="Normal 2 2 39 7 3" xfId="23470" xr:uid="{00000000-0005-0000-0000-0000D75E0000}"/>
    <cellStyle name="Normal 2 2 39 7 4" xfId="23471" xr:uid="{00000000-0005-0000-0000-0000D85E0000}"/>
    <cellStyle name="Normal 2 2 39 7 5" xfId="23472" xr:uid="{00000000-0005-0000-0000-0000D95E0000}"/>
    <cellStyle name="Normal 2 2 39 7 6" xfId="23473" xr:uid="{00000000-0005-0000-0000-0000DA5E0000}"/>
    <cellStyle name="Normal 2 2 39 8" xfId="23474" xr:uid="{00000000-0005-0000-0000-0000DB5E0000}"/>
    <cellStyle name="Normal 2 2 39 8 2" xfId="23475" xr:uid="{00000000-0005-0000-0000-0000DC5E0000}"/>
    <cellStyle name="Normal 2 2 39 8 3" xfId="23476" xr:uid="{00000000-0005-0000-0000-0000DD5E0000}"/>
    <cellStyle name="Normal 2 2 39 8 4" xfId="23477" xr:uid="{00000000-0005-0000-0000-0000DE5E0000}"/>
    <cellStyle name="Normal 2 2 39 8 5" xfId="23478" xr:uid="{00000000-0005-0000-0000-0000DF5E0000}"/>
    <cellStyle name="Normal 2 2 39 8 6" xfId="23479" xr:uid="{00000000-0005-0000-0000-0000E05E0000}"/>
    <cellStyle name="Normal 2 2 39 9" xfId="23480" xr:uid="{00000000-0005-0000-0000-0000E15E0000}"/>
    <cellStyle name="Normal 2 2 4" xfId="1071" xr:uid="{00000000-0005-0000-0000-0000E25E0000}"/>
    <cellStyle name="Normal 2 2 4 10" xfId="23481" xr:uid="{00000000-0005-0000-0000-0000E35E0000}"/>
    <cellStyle name="Normal 2 2 4 11" xfId="23482" xr:uid="{00000000-0005-0000-0000-0000E45E0000}"/>
    <cellStyle name="Normal 2 2 4 12" xfId="23483" xr:uid="{00000000-0005-0000-0000-0000E55E0000}"/>
    <cellStyle name="Normal 2 2 4 13" xfId="23484" xr:uid="{00000000-0005-0000-0000-0000E65E0000}"/>
    <cellStyle name="Normal 2 2 4 14" xfId="23485" xr:uid="{00000000-0005-0000-0000-0000E75E0000}"/>
    <cellStyle name="Normal 2 2 4 2" xfId="23486" xr:uid="{00000000-0005-0000-0000-0000E85E0000}"/>
    <cellStyle name="Normal 2 2 4 2 2" xfId="23487" xr:uid="{00000000-0005-0000-0000-0000E95E0000}"/>
    <cellStyle name="Normal 2 2 4 2 3" xfId="23488" xr:uid="{00000000-0005-0000-0000-0000EA5E0000}"/>
    <cellStyle name="Normal 2 2 4 2 4" xfId="23489" xr:uid="{00000000-0005-0000-0000-0000EB5E0000}"/>
    <cellStyle name="Normal 2 2 4 2 5" xfId="23490" xr:uid="{00000000-0005-0000-0000-0000EC5E0000}"/>
    <cellStyle name="Normal 2 2 4 2 6" xfId="23491" xr:uid="{00000000-0005-0000-0000-0000ED5E0000}"/>
    <cellStyle name="Normal 2 2 4 3" xfId="23492" xr:uid="{00000000-0005-0000-0000-0000EE5E0000}"/>
    <cellStyle name="Normal 2 2 4 3 2" xfId="23493" xr:uid="{00000000-0005-0000-0000-0000EF5E0000}"/>
    <cellStyle name="Normal 2 2 4 3 3" xfId="23494" xr:uid="{00000000-0005-0000-0000-0000F05E0000}"/>
    <cellStyle name="Normal 2 2 4 3 4" xfId="23495" xr:uid="{00000000-0005-0000-0000-0000F15E0000}"/>
    <cellStyle name="Normal 2 2 4 3 5" xfId="23496" xr:uid="{00000000-0005-0000-0000-0000F25E0000}"/>
    <cellStyle name="Normal 2 2 4 3 6" xfId="23497" xr:uid="{00000000-0005-0000-0000-0000F35E0000}"/>
    <cellStyle name="Normal 2 2 4 4" xfId="23498" xr:uid="{00000000-0005-0000-0000-0000F45E0000}"/>
    <cellStyle name="Normal 2 2 4 4 2" xfId="23499" xr:uid="{00000000-0005-0000-0000-0000F55E0000}"/>
    <cellStyle name="Normal 2 2 4 4 3" xfId="23500" xr:uid="{00000000-0005-0000-0000-0000F65E0000}"/>
    <cellStyle name="Normal 2 2 4 4 4" xfId="23501" xr:uid="{00000000-0005-0000-0000-0000F75E0000}"/>
    <cellStyle name="Normal 2 2 4 4 5" xfId="23502" xr:uid="{00000000-0005-0000-0000-0000F85E0000}"/>
    <cellStyle name="Normal 2 2 4 4 6" xfId="23503" xr:uid="{00000000-0005-0000-0000-0000F95E0000}"/>
    <cellStyle name="Normal 2 2 4 5" xfId="23504" xr:uid="{00000000-0005-0000-0000-0000FA5E0000}"/>
    <cellStyle name="Normal 2 2 4 5 2" xfId="23505" xr:uid="{00000000-0005-0000-0000-0000FB5E0000}"/>
    <cellStyle name="Normal 2 2 4 5 3" xfId="23506" xr:uid="{00000000-0005-0000-0000-0000FC5E0000}"/>
    <cellStyle name="Normal 2 2 4 5 4" xfId="23507" xr:uid="{00000000-0005-0000-0000-0000FD5E0000}"/>
    <cellStyle name="Normal 2 2 4 5 5" xfId="23508" xr:uid="{00000000-0005-0000-0000-0000FE5E0000}"/>
    <cellStyle name="Normal 2 2 4 5 6" xfId="23509" xr:uid="{00000000-0005-0000-0000-0000FF5E0000}"/>
    <cellStyle name="Normal 2 2 4 6" xfId="23510" xr:uid="{00000000-0005-0000-0000-0000005F0000}"/>
    <cellStyle name="Normal 2 2 4 6 2" xfId="23511" xr:uid="{00000000-0005-0000-0000-0000015F0000}"/>
    <cellStyle name="Normal 2 2 4 6 3" xfId="23512" xr:uid="{00000000-0005-0000-0000-0000025F0000}"/>
    <cellStyle name="Normal 2 2 4 6 4" xfId="23513" xr:uid="{00000000-0005-0000-0000-0000035F0000}"/>
    <cellStyle name="Normal 2 2 4 6 5" xfId="23514" xr:uid="{00000000-0005-0000-0000-0000045F0000}"/>
    <cellStyle name="Normal 2 2 4 6 6" xfId="23515" xr:uid="{00000000-0005-0000-0000-0000055F0000}"/>
    <cellStyle name="Normal 2 2 4 7" xfId="23516" xr:uid="{00000000-0005-0000-0000-0000065F0000}"/>
    <cellStyle name="Normal 2 2 4 7 2" xfId="23517" xr:uid="{00000000-0005-0000-0000-0000075F0000}"/>
    <cellStyle name="Normal 2 2 4 7 3" xfId="23518" xr:uid="{00000000-0005-0000-0000-0000085F0000}"/>
    <cellStyle name="Normal 2 2 4 7 4" xfId="23519" xr:uid="{00000000-0005-0000-0000-0000095F0000}"/>
    <cellStyle name="Normal 2 2 4 7 5" xfId="23520" xr:uid="{00000000-0005-0000-0000-00000A5F0000}"/>
    <cellStyle name="Normal 2 2 4 7 6" xfId="23521" xr:uid="{00000000-0005-0000-0000-00000B5F0000}"/>
    <cellStyle name="Normal 2 2 4 8" xfId="23522" xr:uid="{00000000-0005-0000-0000-00000C5F0000}"/>
    <cellStyle name="Normal 2 2 4 8 2" xfId="23523" xr:uid="{00000000-0005-0000-0000-00000D5F0000}"/>
    <cellStyle name="Normal 2 2 4 8 3" xfId="23524" xr:uid="{00000000-0005-0000-0000-00000E5F0000}"/>
    <cellStyle name="Normal 2 2 4 8 4" xfId="23525" xr:uid="{00000000-0005-0000-0000-00000F5F0000}"/>
    <cellStyle name="Normal 2 2 4 8 5" xfId="23526" xr:uid="{00000000-0005-0000-0000-0000105F0000}"/>
    <cellStyle name="Normal 2 2 4 8 6" xfId="23527" xr:uid="{00000000-0005-0000-0000-0000115F0000}"/>
    <cellStyle name="Normal 2 2 4 9" xfId="23528" xr:uid="{00000000-0005-0000-0000-0000125F0000}"/>
    <cellStyle name="Normal 2 2 40" xfId="23529" xr:uid="{00000000-0005-0000-0000-0000135F0000}"/>
    <cellStyle name="Normal 2 2 40 10" xfId="23530" xr:uid="{00000000-0005-0000-0000-0000145F0000}"/>
    <cellStyle name="Normal 2 2 40 11" xfId="23531" xr:uid="{00000000-0005-0000-0000-0000155F0000}"/>
    <cellStyle name="Normal 2 2 40 12" xfId="23532" xr:uid="{00000000-0005-0000-0000-0000165F0000}"/>
    <cellStyle name="Normal 2 2 40 13" xfId="23533" xr:uid="{00000000-0005-0000-0000-0000175F0000}"/>
    <cellStyle name="Normal 2 2 40 14" xfId="23534" xr:uid="{00000000-0005-0000-0000-0000185F0000}"/>
    <cellStyle name="Normal 2 2 40 2" xfId="23535" xr:uid="{00000000-0005-0000-0000-0000195F0000}"/>
    <cellStyle name="Normal 2 2 40 2 2" xfId="23536" xr:uid="{00000000-0005-0000-0000-00001A5F0000}"/>
    <cellStyle name="Normal 2 2 40 2 3" xfId="23537" xr:uid="{00000000-0005-0000-0000-00001B5F0000}"/>
    <cellStyle name="Normal 2 2 40 2 4" xfId="23538" xr:uid="{00000000-0005-0000-0000-00001C5F0000}"/>
    <cellStyle name="Normal 2 2 40 2 5" xfId="23539" xr:uid="{00000000-0005-0000-0000-00001D5F0000}"/>
    <cellStyle name="Normal 2 2 40 2 6" xfId="23540" xr:uid="{00000000-0005-0000-0000-00001E5F0000}"/>
    <cellStyle name="Normal 2 2 40 3" xfId="23541" xr:uid="{00000000-0005-0000-0000-00001F5F0000}"/>
    <cellStyle name="Normal 2 2 40 3 2" xfId="23542" xr:uid="{00000000-0005-0000-0000-0000205F0000}"/>
    <cellStyle name="Normal 2 2 40 3 3" xfId="23543" xr:uid="{00000000-0005-0000-0000-0000215F0000}"/>
    <cellStyle name="Normal 2 2 40 3 4" xfId="23544" xr:uid="{00000000-0005-0000-0000-0000225F0000}"/>
    <cellStyle name="Normal 2 2 40 3 5" xfId="23545" xr:uid="{00000000-0005-0000-0000-0000235F0000}"/>
    <cellStyle name="Normal 2 2 40 3 6" xfId="23546" xr:uid="{00000000-0005-0000-0000-0000245F0000}"/>
    <cellStyle name="Normal 2 2 40 4" xfId="23547" xr:uid="{00000000-0005-0000-0000-0000255F0000}"/>
    <cellStyle name="Normal 2 2 40 4 2" xfId="23548" xr:uid="{00000000-0005-0000-0000-0000265F0000}"/>
    <cellStyle name="Normal 2 2 40 4 3" xfId="23549" xr:uid="{00000000-0005-0000-0000-0000275F0000}"/>
    <cellStyle name="Normal 2 2 40 4 4" xfId="23550" xr:uid="{00000000-0005-0000-0000-0000285F0000}"/>
    <cellStyle name="Normal 2 2 40 4 5" xfId="23551" xr:uid="{00000000-0005-0000-0000-0000295F0000}"/>
    <cellStyle name="Normal 2 2 40 4 6" xfId="23552" xr:uid="{00000000-0005-0000-0000-00002A5F0000}"/>
    <cellStyle name="Normal 2 2 40 5" xfId="23553" xr:uid="{00000000-0005-0000-0000-00002B5F0000}"/>
    <cellStyle name="Normal 2 2 40 5 2" xfId="23554" xr:uid="{00000000-0005-0000-0000-00002C5F0000}"/>
    <cellStyle name="Normal 2 2 40 5 3" xfId="23555" xr:uid="{00000000-0005-0000-0000-00002D5F0000}"/>
    <cellStyle name="Normal 2 2 40 5 4" xfId="23556" xr:uid="{00000000-0005-0000-0000-00002E5F0000}"/>
    <cellStyle name="Normal 2 2 40 5 5" xfId="23557" xr:uid="{00000000-0005-0000-0000-00002F5F0000}"/>
    <cellStyle name="Normal 2 2 40 5 6" xfId="23558" xr:uid="{00000000-0005-0000-0000-0000305F0000}"/>
    <cellStyle name="Normal 2 2 40 6" xfId="23559" xr:uid="{00000000-0005-0000-0000-0000315F0000}"/>
    <cellStyle name="Normal 2 2 40 6 2" xfId="23560" xr:uid="{00000000-0005-0000-0000-0000325F0000}"/>
    <cellStyle name="Normal 2 2 40 6 3" xfId="23561" xr:uid="{00000000-0005-0000-0000-0000335F0000}"/>
    <cellStyle name="Normal 2 2 40 6 4" xfId="23562" xr:uid="{00000000-0005-0000-0000-0000345F0000}"/>
    <cellStyle name="Normal 2 2 40 6 5" xfId="23563" xr:uid="{00000000-0005-0000-0000-0000355F0000}"/>
    <cellStyle name="Normal 2 2 40 6 6" xfId="23564" xr:uid="{00000000-0005-0000-0000-0000365F0000}"/>
    <cellStyle name="Normal 2 2 40 7" xfId="23565" xr:uid="{00000000-0005-0000-0000-0000375F0000}"/>
    <cellStyle name="Normal 2 2 40 7 2" xfId="23566" xr:uid="{00000000-0005-0000-0000-0000385F0000}"/>
    <cellStyle name="Normal 2 2 40 7 3" xfId="23567" xr:uid="{00000000-0005-0000-0000-0000395F0000}"/>
    <cellStyle name="Normal 2 2 40 7 4" xfId="23568" xr:uid="{00000000-0005-0000-0000-00003A5F0000}"/>
    <cellStyle name="Normal 2 2 40 7 5" xfId="23569" xr:uid="{00000000-0005-0000-0000-00003B5F0000}"/>
    <cellStyle name="Normal 2 2 40 7 6" xfId="23570" xr:uid="{00000000-0005-0000-0000-00003C5F0000}"/>
    <cellStyle name="Normal 2 2 40 8" xfId="23571" xr:uid="{00000000-0005-0000-0000-00003D5F0000}"/>
    <cellStyle name="Normal 2 2 40 8 2" xfId="23572" xr:uid="{00000000-0005-0000-0000-00003E5F0000}"/>
    <cellStyle name="Normal 2 2 40 8 3" xfId="23573" xr:uid="{00000000-0005-0000-0000-00003F5F0000}"/>
    <cellStyle name="Normal 2 2 40 8 4" xfId="23574" xr:uid="{00000000-0005-0000-0000-0000405F0000}"/>
    <cellStyle name="Normal 2 2 40 8 5" xfId="23575" xr:uid="{00000000-0005-0000-0000-0000415F0000}"/>
    <cellStyle name="Normal 2 2 40 8 6" xfId="23576" xr:uid="{00000000-0005-0000-0000-0000425F0000}"/>
    <cellStyle name="Normal 2 2 40 9" xfId="23577" xr:uid="{00000000-0005-0000-0000-0000435F0000}"/>
    <cellStyle name="Normal 2 2 41" xfId="23578" xr:uid="{00000000-0005-0000-0000-0000445F0000}"/>
    <cellStyle name="Normal 2 2 41 10" xfId="23579" xr:uid="{00000000-0005-0000-0000-0000455F0000}"/>
    <cellStyle name="Normal 2 2 41 11" xfId="23580" xr:uid="{00000000-0005-0000-0000-0000465F0000}"/>
    <cellStyle name="Normal 2 2 41 12" xfId="23581" xr:uid="{00000000-0005-0000-0000-0000475F0000}"/>
    <cellStyle name="Normal 2 2 41 13" xfId="23582" xr:uid="{00000000-0005-0000-0000-0000485F0000}"/>
    <cellStyle name="Normal 2 2 41 14" xfId="23583" xr:uid="{00000000-0005-0000-0000-0000495F0000}"/>
    <cellStyle name="Normal 2 2 41 2" xfId="23584" xr:uid="{00000000-0005-0000-0000-00004A5F0000}"/>
    <cellStyle name="Normal 2 2 41 2 2" xfId="23585" xr:uid="{00000000-0005-0000-0000-00004B5F0000}"/>
    <cellStyle name="Normal 2 2 41 2 3" xfId="23586" xr:uid="{00000000-0005-0000-0000-00004C5F0000}"/>
    <cellStyle name="Normal 2 2 41 2 4" xfId="23587" xr:uid="{00000000-0005-0000-0000-00004D5F0000}"/>
    <cellStyle name="Normal 2 2 41 2 5" xfId="23588" xr:uid="{00000000-0005-0000-0000-00004E5F0000}"/>
    <cellStyle name="Normal 2 2 41 2 6" xfId="23589" xr:uid="{00000000-0005-0000-0000-00004F5F0000}"/>
    <cellStyle name="Normal 2 2 41 3" xfId="23590" xr:uid="{00000000-0005-0000-0000-0000505F0000}"/>
    <cellStyle name="Normal 2 2 41 3 2" xfId="23591" xr:uid="{00000000-0005-0000-0000-0000515F0000}"/>
    <cellStyle name="Normal 2 2 41 3 3" xfId="23592" xr:uid="{00000000-0005-0000-0000-0000525F0000}"/>
    <cellStyle name="Normal 2 2 41 3 4" xfId="23593" xr:uid="{00000000-0005-0000-0000-0000535F0000}"/>
    <cellStyle name="Normal 2 2 41 3 5" xfId="23594" xr:uid="{00000000-0005-0000-0000-0000545F0000}"/>
    <cellStyle name="Normal 2 2 41 3 6" xfId="23595" xr:uid="{00000000-0005-0000-0000-0000555F0000}"/>
    <cellStyle name="Normal 2 2 41 4" xfId="23596" xr:uid="{00000000-0005-0000-0000-0000565F0000}"/>
    <cellStyle name="Normal 2 2 41 4 2" xfId="23597" xr:uid="{00000000-0005-0000-0000-0000575F0000}"/>
    <cellStyle name="Normal 2 2 41 4 3" xfId="23598" xr:uid="{00000000-0005-0000-0000-0000585F0000}"/>
    <cellStyle name="Normal 2 2 41 4 4" xfId="23599" xr:uid="{00000000-0005-0000-0000-0000595F0000}"/>
    <cellStyle name="Normal 2 2 41 4 5" xfId="23600" xr:uid="{00000000-0005-0000-0000-00005A5F0000}"/>
    <cellStyle name="Normal 2 2 41 4 6" xfId="23601" xr:uid="{00000000-0005-0000-0000-00005B5F0000}"/>
    <cellStyle name="Normal 2 2 41 5" xfId="23602" xr:uid="{00000000-0005-0000-0000-00005C5F0000}"/>
    <cellStyle name="Normal 2 2 41 5 2" xfId="23603" xr:uid="{00000000-0005-0000-0000-00005D5F0000}"/>
    <cellStyle name="Normal 2 2 41 5 3" xfId="23604" xr:uid="{00000000-0005-0000-0000-00005E5F0000}"/>
    <cellStyle name="Normal 2 2 41 5 4" xfId="23605" xr:uid="{00000000-0005-0000-0000-00005F5F0000}"/>
    <cellStyle name="Normal 2 2 41 5 5" xfId="23606" xr:uid="{00000000-0005-0000-0000-0000605F0000}"/>
    <cellStyle name="Normal 2 2 41 5 6" xfId="23607" xr:uid="{00000000-0005-0000-0000-0000615F0000}"/>
    <cellStyle name="Normal 2 2 41 6" xfId="23608" xr:uid="{00000000-0005-0000-0000-0000625F0000}"/>
    <cellStyle name="Normal 2 2 41 6 2" xfId="23609" xr:uid="{00000000-0005-0000-0000-0000635F0000}"/>
    <cellStyle name="Normal 2 2 41 6 3" xfId="23610" xr:uid="{00000000-0005-0000-0000-0000645F0000}"/>
    <cellStyle name="Normal 2 2 41 6 4" xfId="23611" xr:uid="{00000000-0005-0000-0000-0000655F0000}"/>
    <cellStyle name="Normal 2 2 41 6 5" xfId="23612" xr:uid="{00000000-0005-0000-0000-0000665F0000}"/>
    <cellStyle name="Normal 2 2 41 6 6" xfId="23613" xr:uid="{00000000-0005-0000-0000-0000675F0000}"/>
    <cellStyle name="Normal 2 2 41 7" xfId="23614" xr:uid="{00000000-0005-0000-0000-0000685F0000}"/>
    <cellStyle name="Normal 2 2 41 7 2" xfId="23615" xr:uid="{00000000-0005-0000-0000-0000695F0000}"/>
    <cellStyle name="Normal 2 2 41 7 3" xfId="23616" xr:uid="{00000000-0005-0000-0000-00006A5F0000}"/>
    <cellStyle name="Normal 2 2 41 7 4" xfId="23617" xr:uid="{00000000-0005-0000-0000-00006B5F0000}"/>
    <cellStyle name="Normal 2 2 41 7 5" xfId="23618" xr:uid="{00000000-0005-0000-0000-00006C5F0000}"/>
    <cellStyle name="Normal 2 2 41 7 6" xfId="23619" xr:uid="{00000000-0005-0000-0000-00006D5F0000}"/>
    <cellStyle name="Normal 2 2 41 8" xfId="23620" xr:uid="{00000000-0005-0000-0000-00006E5F0000}"/>
    <cellStyle name="Normal 2 2 41 8 2" xfId="23621" xr:uid="{00000000-0005-0000-0000-00006F5F0000}"/>
    <cellStyle name="Normal 2 2 41 8 3" xfId="23622" xr:uid="{00000000-0005-0000-0000-0000705F0000}"/>
    <cellStyle name="Normal 2 2 41 8 4" xfId="23623" xr:uid="{00000000-0005-0000-0000-0000715F0000}"/>
    <cellStyle name="Normal 2 2 41 8 5" xfId="23624" xr:uid="{00000000-0005-0000-0000-0000725F0000}"/>
    <cellStyle name="Normal 2 2 41 8 6" xfId="23625" xr:uid="{00000000-0005-0000-0000-0000735F0000}"/>
    <cellStyle name="Normal 2 2 41 9" xfId="23626" xr:uid="{00000000-0005-0000-0000-0000745F0000}"/>
    <cellStyle name="Normal 2 2 42" xfId="23627" xr:uid="{00000000-0005-0000-0000-0000755F0000}"/>
    <cellStyle name="Normal 2 2 42 10" xfId="23628" xr:uid="{00000000-0005-0000-0000-0000765F0000}"/>
    <cellStyle name="Normal 2 2 42 11" xfId="23629" xr:uid="{00000000-0005-0000-0000-0000775F0000}"/>
    <cellStyle name="Normal 2 2 42 12" xfId="23630" xr:uid="{00000000-0005-0000-0000-0000785F0000}"/>
    <cellStyle name="Normal 2 2 42 13" xfId="23631" xr:uid="{00000000-0005-0000-0000-0000795F0000}"/>
    <cellStyle name="Normal 2 2 42 14" xfId="23632" xr:uid="{00000000-0005-0000-0000-00007A5F0000}"/>
    <cellStyle name="Normal 2 2 42 2" xfId="23633" xr:uid="{00000000-0005-0000-0000-00007B5F0000}"/>
    <cellStyle name="Normal 2 2 42 2 2" xfId="23634" xr:uid="{00000000-0005-0000-0000-00007C5F0000}"/>
    <cellStyle name="Normal 2 2 42 2 3" xfId="23635" xr:uid="{00000000-0005-0000-0000-00007D5F0000}"/>
    <cellStyle name="Normal 2 2 42 2 4" xfId="23636" xr:uid="{00000000-0005-0000-0000-00007E5F0000}"/>
    <cellStyle name="Normal 2 2 42 2 5" xfId="23637" xr:uid="{00000000-0005-0000-0000-00007F5F0000}"/>
    <cellStyle name="Normal 2 2 42 2 6" xfId="23638" xr:uid="{00000000-0005-0000-0000-0000805F0000}"/>
    <cellStyle name="Normal 2 2 42 3" xfId="23639" xr:uid="{00000000-0005-0000-0000-0000815F0000}"/>
    <cellStyle name="Normal 2 2 42 3 2" xfId="23640" xr:uid="{00000000-0005-0000-0000-0000825F0000}"/>
    <cellStyle name="Normal 2 2 42 3 3" xfId="23641" xr:uid="{00000000-0005-0000-0000-0000835F0000}"/>
    <cellStyle name="Normal 2 2 42 3 4" xfId="23642" xr:uid="{00000000-0005-0000-0000-0000845F0000}"/>
    <cellStyle name="Normal 2 2 42 3 5" xfId="23643" xr:uid="{00000000-0005-0000-0000-0000855F0000}"/>
    <cellStyle name="Normal 2 2 42 3 6" xfId="23644" xr:uid="{00000000-0005-0000-0000-0000865F0000}"/>
    <cellStyle name="Normal 2 2 42 4" xfId="23645" xr:uid="{00000000-0005-0000-0000-0000875F0000}"/>
    <cellStyle name="Normal 2 2 42 4 2" xfId="23646" xr:uid="{00000000-0005-0000-0000-0000885F0000}"/>
    <cellStyle name="Normal 2 2 42 4 3" xfId="23647" xr:uid="{00000000-0005-0000-0000-0000895F0000}"/>
    <cellStyle name="Normal 2 2 42 4 4" xfId="23648" xr:uid="{00000000-0005-0000-0000-00008A5F0000}"/>
    <cellStyle name="Normal 2 2 42 4 5" xfId="23649" xr:uid="{00000000-0005-0000-0000-00008B5F0000}"/>
    <cellStyle name="Normal 2 2 42 4 6" xfId="23650" xr:uid="{00000000-0005-0000-0000-00008C5F0000}"/>
    <cellStyle name="Normal 2 2 42 5" xfId="23651" xr:uid="{00000000-0005-0000-0000-00008D5F0000}"/>
    <cellStyle name="Normal 2 2 42 5 2" xfId="23652" xr:uid="{00000000-0005-0000-0000-00008E5F0000}"/>
    <cellStyle name="Normal 2 2 42 5 3" xfId="23653" xr:uid="{00000000-0005-0000-0000-00008F5F0000}"/>
    <cellStyle name="Normal 2 2 42 5 4" xfId="23654" xr:uid="{00000000-0005-0000-0000-0000905F0000}"/>
    <cellStyle name="Normal 2 2 42 5 5" xfId="23655" xr:uid="{00000000-0005-0000-0000-0000915F0000}"/>
    <cellStyle name="Normal 2 2 42 5 6" xfId="23656" xr:uid="{00000000-0005-0000-0000-0000925F0000}"/>
    <cellStyle name="Normal 2 2 42 6" xfId="23657" xr:uid="{00000000-0005-0000-0000-0000935F0000}"/>
    <cellStyle name="Normal 2 2 42 6 2" xfId="23658" xr:uid="{00000000-0005-0000-0000-0000945F0000}"/>
    <cellStyle name="Normal 2 2 42 6 3" xfId="23659" xr:uid="{00000000-0005-0000-0000-0000955F0000}"/>
    <cellStyle name="Normal 2 2 42 6 4" xfId="23660" xr:uid="{00000000-0005-0000-0000-0000965F0000}"/>
    <cellStyle name="Normal 2 2 42 6 5" xfId="23661" xr:uid="{00000000-0005-0000-0000-0000975F0000}"/>
    <cellStyle name="Normal 2 2 42 6 6" xfId="23662" xr:uid="{00000000-0005-0000-0000-0000985F0000}"/>
    <cellStyle name="Normal 2 2 42 7" xfId="23663" xr:uid="{00000000-0005-0000-0000-0000995F0000}"/>
    <cellStyle name="Normal 2 2 42 7 2" xfId="23664" xr:uid="{00000000-0005-0000-0000-00009A5F0000}"/>
    <cellStyle name="Normal 2 2 42 7 3" xfId="23665" xr:uid="{00000000-0005-0000-0000-00009B5F0000}"/>
    <cellStyle name="Normal 2 2 42 7 4" xfId="23666" xr:uid="{00000000-0005-0000-0000-00009C5F0000}"/>
    <cellStyle name="Normal 2 2 42 7 5" xfId="23667" xr:uid="{00000000-0005-0000-0000-00009D5F0000}"/>
    <cellStyle name="Normal 2 2 42 7 6" xfId="23668" xr:uid="{00000000-0005-0000-0000-00009E5F0000}"/>
    <cellStyle name="Normal 2 2 42 8" xfId="23669" xr:uid="{00000000-0005-0000-0000-00009F5F0000}"/>
    <cellStyle name="Normal 2 2 42 8 2" xfId="23670" xr:uid="{00000000-0005-0000-0000-0000A05F0000}"/>
    <cellStyle name="Normal 2 2 42 8 3" xfId="23671" xr:uid="{00000000-0005-0000-0000-0000A15F0000}"/>
    <cellStyle name="Normal 2 2 42 8 4" xfId="23672" xr:uid="{00000000-0005-0000-0000-0000A25F0000}"/>
    <cellStyle name="Normal 2 2 42 8 5" xfId="23673" xr:uid="{00000000-0005-0000-0000-0000A35F0000}"/>
    <cellStyle name="Normal 2 2 42 8 6" xfId="23674" xr:uid="{00000000-0005-0000-0000-0000A45F0000}"/>
    <cellStyle name="Normal 2 2 42 9" xfId="23675" xr:uid="{00000000-0005-0000-0000-0000A55F0000}"/>
    <cellStyle name="Normal 2 2 43" xfId="23676" xr:uid="{00000000-0005-0000-0000-0000A65F0000}"/>
    <cellStyle name="Normal 2 2 43 10" xfId="23677" xr:uid="{00000000-0005-0000-0000-0000A75F0000}"/>
    <cellStyle name="Normal 2 2 43 11" xfId="23678" xr:uid="{00000000-0005-0000-0000-0000A85F0000}"/>
    <cellStyle name="Normal 2 2 43 12" xfId="23679" xr:uid="{00000000-0005-0000-0000-0000A95F0000}"/>
    <cellStyle name="Normal 2 2 43 13" xfId="23680" xr:uid="{00000000-0005-0000-0000-0000AA5F0000}"/>
    <cellStyle name="Normal 2 2 43 14" xfId="23681" xr:uid="{00000000-0005-0000-0000-0000AB5F0000}"/>
    <cellStyle name="Normal 2 2 43 2" xfId="23682" xr:uid="{00000000-0005-0000-0000-0000AC5F0000}"/>
    <cellStyle name="Normal 2 2 43 2 2" xfId="23683" xr:uid="{00000000-0005-0000-0000-0000AD5F0000}"/>
    <cellStyle name="Normal 2 2 43 2 3" xfId="23684" xr:uid="{00000000-0005-0000-0000-0000AE5F0000}"/>
    <cellStyle name="Normal 2 2 43 2 4" xfId="23685" xr:uid="{00000000-0005-0000-0000-0000AF5F0000}"/>
    <cellStyle name="Normal 2 2 43 2 5" xfId="23686" xr:uid="{00000000-0005-0000-0000-0000B05F0000}"/>
    <cellStyle name="Normal 2 2 43 2 6" xfId="23687" xr:uid="{00000000-0005-0000-0000-0000B15F0000}"/>
    <cellStyle name="Normal 2 2 43 3" xfId="23688" xr:uid="{00000000-0005-0000-0000-0000B25F0000}"/>
    <cellStyle name="Normal 2 2 43 3 2" xfId="23689" xr:uid="{00000000-0005-0000-0000-0000B35F0000}"/>
    <cellStyle name="Normal 2 2 43 3 3" xfId="23690" xr:uid="{00000000-0005-0000-0000-0000B45F0000}"/>
    <cellStyle name="Normal 2 2 43 3 4" xfId="23691" xr:uid="{00000000-0005-0000-0000-0000B55F0000}"/>
    <cellStyle name="Normal 2 2 43 3 5" xfId="23692" xr:uid="{00000000-0005-0000-0000-0000B65F0000}"/>
    <cellStyle name="Normal 2 2 43 3 6" xfId="23693" xr:uid="{00000000-0005-0000-0000-0000B75F0000}"/>
    <cellStyle name="Normal 2 2 43 4" xfId="23694" xr:uid="{00000000-0005-0000-0000-0000B85F0000}"/>
    <cellStyle name="Normal 2 2 43 4 2" xfId="23695" xr:uid="{00000000-0005-0000-0000-0000B95F0000}"/>
    <cellStyle name="Normal 2 2 43 4 3" xfId="23696" xr:uid="{00000000-0005-0000-0000-0000BA5F0000}"/>
    <cellStyle name="Normal 2 2 43 4 4" xfId="23697" xr:uid="{00000000-0005-0000-0000-0000BB5F0000}"/>
    <cellStyle name="Normal 2 2 43 4 5" xfId="23698" xr:uid="{00000000-0005-0000-0000-0000BC5F0000}"/>
    <cellStyle name="Normal 2 2 43 4 6" xfId="23699" xr:uid="{00000000-0005-0000-0000-0000BD5F0000}"/>
    <cellStyle name="Normal 2 2 43 5" xfId="23700" xr:uid="{00000000-0005-0000-0000-0000BE5F0000}"/>
    <cellStyle name="Normal 2 2 43 5 2" xfId="23701" xr:uid="{00000000-0005-0000-0000-0000BF5F0000}"/>
    <cellStyle name="Normal 2 2 43 5 3" xfId="23702" xr:uid="{00000000-0005-0000-0000-0000C05F0000}"/>
    <cellStyle name="Normal 2 2 43 5 4" xfId="23703" xr:uid="{00000000-0005-0000-0000-0000C15F0000}"/>
    <cellStyle name="Normal 2 2 43 5 5" xfId="23704" xr:uid="{00000000-0005-0000-0000-0000C25F0000}"/>
    <cellStyle name="Normal 2 2 43 5 6" xfId="23705" xr:uid="{00000000-0005-0000-0000-0000C35F0000}"/>
    <cellStyle name="Normal 2 2 43 6" xfId="23706" xr:uid="{00000000-0005-0000-0000-0000C45F0000}"/>
    <cellStyle name="Normal 2 2 43 6 2" xfId="23707" xr:uid="{00000000-0005-0000-0000-0000C55F0000}"/>
    <cellStyle name="Normal 2 2 43 6 3" xfId="23708" xr:uid="{00000000-0005-0000-0000-0000C65F0000}"/>
    <cellStyle name="Normal 2 2 43 6 4" xfId="23709" xr:uid="{00000000-0005-0000-0000-0000C75F0000}"/>
    <cellStyle name="Normal 2 2 43 6 5" xfId="23710" xr:uid="{00000000-0005-0000-0000-0000C85F0000}"/>
    <cellStyle name="Normal 2 2 43 6 6" xfId="23711" xr:uid="{00000000-0005-0000-0000-0000C95F0000}"/>
    <cellStyle name="Normal 2 2 43 7" xfId="23712" xr:uid="{00000000-0005-0000-0000-0000CA5F0000}"/>
    <cellStyle name="Normal 2 2 43 7 2" xfId="23713" xr:uid="{00000000-0005-0000-0000-0000CB5F0000}"/>
    <cellStyle name="Normal 2 2 43 7 3" xfId="23714" xr:uid="{00000000-0005-0000-0000-0000CC5F0000}"/>
    <cellStyle name="Normal 2 2 43 7 4" xfId="23715" xr:uid="{00000000-0005-0000-0000-0000CD5F0000}"/>
    <cellStyle name="Normal 2 2 43 7 5" xfId="23716" xr:uid="{00000000-0005-0000-0000-0000CE5F0000}"/>
    <cellStyle name="Normal 2 2 43 7 6" xfId="23717" xr:uid="{00000000-0005-0000-0000-0000CF5F0000}"/>
    <cellStyle name="Normal 2 2 43 8" xfId="23718" xr:uid="{00000000-0005-0000-0000-0000D05F0000}"/>
    <cellStyle name="Normal 2 2 43 8 2" xfId="23719" xr:uid="{00000000-0005-0000-0000-0000D15F0000}"/>
    <cellStyle name="Normal 2 2 43 8 3" xfId="23720" xr:uid="{00000000-0005-0000-0000-0000D25F0000}"/>
    <cellStyle name="Normal 2 2 43 8 4" xfId="23721" xr:uid="{00000000-0005-0000-0000-0000D35F0000}"/>
    <cellStyle name="Normal 2 2 43 8 5" xfId="23722" xr:uid="{00000000-0005-0000-0000-0000D45F0000}"/>
    <cellStyle name="Normal 2 2 43 8 6" xfId="23723" xr:uid="{00000000-0005-0000-0000-0000D55F0000}"/>
    <cellStyle name="Normal 2 2 43 9" xfId="23724" xr:uid="{00000000-0005-0000-0000-0000D65F0000}"/>
    <cellStyle name="Normal 2 2 44" xfId="23725" xr:uid="{00000000-0005-0000-0000-0000D75F0000}"/>
    <cellStyle name="Normal 2 2 44 10" xfId="23726" xr:uid="{00000000-0005-0000-0000-0000D85F0000}"/>
    <cellStyle name="Normal 2 2 44 11" xfId="23727" xr:uid="{00000000-0005-0000-0000-0000D95F0000}"/>
    <cellStyle name="Normal 2 2 44 12" xfId="23728" xr:uid="{00000000-0005-0000-0000-0000DA5F0000}"/>
    <cellStyle name="Normal 2 2 44 13" xfId="23729" xr:uid="{00000000-0005-0000-0000-0000DB5F0000}"/>
    <cellStyle name="Normal 2 2 44 14" xfId="23730" xr:uid="{00000000-0005-0000-0000-0000DC5F0000}"/>
    <cellStyle name="Normal 2 2 44 2" xfId="23731" xr:uid="{00000000-0005-0000-0000-0000DD5F0000}"/>
    <cellStyle name="Normal 2 2 44 2 2" xfId="23732" xr:uid="{00000000-0005-0000-0000-0000DE5F0000}"/>
    <cellStyle name="Normal 2 2 44 2 3" xfId="23733" xr:uid="{00000000-0005-0000-0000-0000DF5F0000}"/>
    <cellStyle name="Normal 2 2 44 2 4" xfId="23734" xr:uid="{00000000-0005-0000-0000-0000E05F0000}"/>
    <cellStyle name="Normal 2 2 44 2 5" xfId="23735" xr:uid="{00000000-0005-0000-0000-0000E15F0000}"/>
    <cellStyle name="Normal 2 2 44 2 6" xfId="23736" xr:uid="{00000000-0005-0000-0000-0000E25F0000}"/>
    <cellStyle name="Normal 2 2 44 3" xfId="23737" xr:uid="{00000000-0005-0000-0000-0000E35F0000}"/>
    <cellStyle name="Normal 2 2 44 3 2" xfId="23738" xr:uid="{00000000-0005-0000-0000-0000E45F0000}"/>
    <cellStyle name="Normal 2 2 44 3 3" xfId="23739" xr:uid="{00000000-0005-0000-0000-0000E55F0000}"/>
    <cellStyle name="Normal 2 2 44 3 4" xfId="23740" xr:uid="{00000000-0005-0000-0000-0000E65F0000}"/>
    <cellStyle name="Normal 2 2 44 3 5" xfId="23741" xr:uid="{00000000-0005-0000-0000-0000E75F0000}"/>
    <cellStyle name="Normal 2 2 44 3 6" xfId="23742" xr:uid="{00000000-0005-0000-0000-0000E85F0000}"/>
    <cellStyle name="Normal 2 2 44 4" xfId="23743" xr:uid="{00000000-0005-0000-0000-0000E95F0000}"/>
    <cellStyle name="Normal 2 2 44 4 2" xfId="23744" xr:uid="{00000000-0005-0000-0000-0000EA5F0000}"/>
    <cellStyle name="Normal 2 2 44 4 3" xfId="23745" xr:uid="{00000000-0005-0000-0000-0000EB5F0000}"/>
    <cellStyle name="Normal 2 2 44 4 4" xfId="23746" xr:uid="{00000000-0005-0000-0000-0000EC5F0000}"/>
    <cellStyle name="Normal 2 2 44 4 5" xfId="23747" xr:uid="{00000000-0005-0000-0000-0000ED5F0000}"/>
    <cellStyle name="Normal 2 2 44 4 6" xfId="23748" xr:uid="{00000000-0005-0000-0000-0000EE5F0000}"/>
    <cellStyle name="Normal 2 2 44 5" xfId="23749" xr:uid="{00000000-0005-0000-0000-0000EF5F0000}"/>
    <cellStyle name="Normal 2 2 44 5 2" xfId="23750" xr:uid="{00000000-0005-0000-0000-0000F05F0000}"/>
    <cellStyle name="Normal 2 2 44 5 3" xfId="23751" xr:uid="{00000000-0005-0000-0000-0000F15F0000}"/>
    <cellStyle name="Normal 2 2 44 5 4" xfId="23752" xr:uid="{00000000-0005-0000-0000-0000F25F0000}"/>
    <cellStyle name="Normal 2 2 44 5 5" xfId="23753" xr:uid="{00000000-0005-0000-0000-0000F35F0000}"/>
    <cellStyle name="Normal 2 2 44 5 6" xfId="23754" xr:uid="{00000000-0005-0000-0000-0000F45F0000}"/>
    <cellStyle name="Normal 2 2 44 6" xfId="23755" xr:uid="{00000000-0005-0000-0000-0000F55F0000}"/>
    <cellStyle name="Normal 2 2 44 6 2" xfId="23756" xr:uid="{00000000-0005-0000-0000-0000F65F0000}"/>
    <cellStyle name="Normal 2 2 44 6 3" xfId="23757" xr:uid="{00000000-0005-0000-0000-0000F75F0000}"/>
    <cellStyle name="Normal 2 2 44 6 4" xfId="23758" xr:uid="{00000000-0005-0000-0000-0000F85F0000}"/>
    <cellStyle name="Normal 2 2 44 6 5" xfId="23759" xr:uid="{00000000-0005-0000-0000-0000F95F0000}"/>
    <cellStyle name="Normal 2 2 44 6 6" xfId="23760" xr:uid="{00000000-0005-0000-0000-0000FA5F0000}"/>
    <cellStyle name="Normal 2 2 44 7" xfId="23761" xr:uid="{00000000-0005-0000-0000-0000FB5F0000}"/>
    <cellStyle name="Normal 2 2 44 7 2" xfId="23762" xr:uid="{00000000-0005-0000-0000-0000FC5F0000}"/>
    <cellStyle name="Normal 2 2 44 7 3" xfId="23763" xr:uid="{00000000-0005-0000-0000-0000FD5F0000}"/>
    <cellStyle name="Normal 2 2 44 7 4" xfId="23764" xr:uid="{00000000-0005-0000-0000-0000FE5F0000}"/>
    <cellStyle name="Normal 2 2 44 7 5" xfId="23765" xr:uid="{00000000-0005-0000-0000-0000FF5F0000}"/>
    <cellStyle name="Normal 2 2 44 7 6" xfId="23766" xr:uid="{00000000-0005-0000-0000-000000600000}"/>
    <cellStyle name="Normal 2 2 44 8" xfId="23767" xr:uid="{00000000-0005-0000-0000-000001600000}"/>
    <cellStyle name="Normal 2 2 44 8 2" xfId="23768" xr:uid="{00000000-0005-0000-0000-000002600000}"/>
    <cellStyle name="Normal 2 2 44 8 3" xfId="23769" xr:uid="{00000000-0005-0000-0000-000003600000}"/>
    <cellStyle name="Normal 2 2 44 8 4" xfId="23770" xr:uid="{00000000-0005-0000-0000-000004600000}"/>
    <cellStyle name="Normal 2 2 44 8 5" xfId="23771" xr:uid="{00000000-0005-0000-0000-000005600000}"/>
    <cellStyle name="Normal 2 2 44 8 6" xfId="23772" xr:uid="{00000000-0005-0000-0000-000006600000}"/>
    <cellStyle name="Normal 2 2 44 9" xfId="23773" xr:uid="{00000000-0005-0000-0000-000007600000}"/>
    <cellStyle name="Normal 2 2 45" xfId="23774" xr:uid="{00000000-0005-0000-0000-000008600000}"/>
    <cellStyle name="Normal 2 2 45 10" xfId="23775" xr:uid="{00000000-0005-0000-0000-000009600000}"/>
    <cellStyle name="Normal 2 2 45 11" xfId="23776" xr:uid="{00000000-0005-0000-0000-00000A600000}"/>
    <cellStyle name="Normal 2 2 45 12" xfId="23777" xr:uid="{00000000-0005-0000-0000-00000B600000}"/>
    <cellStyle name="Normal 2 2 45 13" xfId="23778" xr:uid="{00000000-0005-0000-0000-00000C600000}"/>
    <cellStyle name="Normal 2 2 45 14" xfId="23779" xr:uid="{00000000-0005-0000-0000-00000D600000}"/>
    <cellStyle name="Normal 2 2 45 2" xfId="23780" xr:uid="{00000000-0005-0000-0000-00000E600000}"/>
    <cellStyle name="Normal 2 2 45 2 2" xfId="23781" xr:uid="{00000000-0005-0000-0000-00000F600000}"/>
    <cellStyle name="Normal 2 2 45 2 3" xfId="23782" xr:uid="{00000000-0005-0000-0000-000010600000}"/>
    <cellStyle name="Normal 2 2 45 2 4" xfId="23783" xr:uid="{00000000-0005-0000-0000-000011600000}"/>
    <cellStyle name="Normal 2 2 45 2 5" xfId="23784" xr:uid="{00000000-0005-0000-0000-000012600000}"/>
    <cellStyle name="Normal 2 2 45 2 6" xfId="23785" xr:uid="{00000000-0005-0000-0000-000013600000}"/>
    <cellStyle name="Normal 2 2 45 3" xfId="23786" xr:uid="{00000000-0005-0000-0000-000014600000}"/>
    <cellStyle name="Normal 2 2 45 3 2" xfId="23787" xr:uid="{00000000-0005-0000-0000-000015600000}"/>
    <cellStyle name="Normal 2 2 45 3 3" xfId="23788" xr:uid="{00000000-0005-0000-0000-000016600000}"/>
    <cellStyle name="Normal 2 2 45 3 4" xfId="23789" xr:uid="{00000000-0005-0000-0000-000017600000}"/>
    <cellStyle name="Normal 2 2 45 3 5" xfId="23790" xr:uid="{00000000-0005-0000-0000-000018600000}"/>
    <cellStyle name="Normal 2 2 45 3 6" xfId="23791" xr:uid="{00000000-0005-0000-0000-000019600000}"/>
    <cellStyle name="Normal 2 2 45 4" xfId="23792" xr:uid="{00000000-0005-0000-0000-00001A600000}"/>
    <cellStyle name="Normal 2 2 45 4 2" xfId="23793" xr:uid="{00000000-0005-0000-0000-00001B600000}"/>
    <cellStyle name="Normal 2 2 45 4 3" xfId="23794" xr:uid="{00000000-0005-0000-0000-00001C600000}"/>
    <cellStyle name="Normal 2 2 45 4 4" xfId="23795" xr:uid="{00000000-0005-0000-0000-00001D600000}"/>
    <cellStyle name="Normal 2 2 45 4 5" xfId="23796" xr:uid="{00000000-0005-0000-0000-00001E600000}"/>
    <cellStyle name="Normal 2 2 45 4 6" xfId="23797" xr:uid="{00000000-0005-0000-0000-00001F600000}"/>
    <cellStyle name="Normal 2 2 45 5" xfId="23798" xr:uid="{00000000-0005-0000-0000-000020600000}"/>
    <cellStyle name="Normal 2 2 45 5 2" xfId="23799" xr:uid="{00000000-0005-0000-0000-000021600000}"/>
    <cellStyle name="Normal 2 2 45 5 3" xfId="23800" xr:uid="{00000000-0005-0000-0000-000022600000}"/>
    <cellStyle name="Normal 2 2 45 5 4" xfId="23801" xr:uid="{00000000-0005-0000-0000-000023600000}"/>
    <cellStyle name="Normal 2 2 45 5 5" xfId="23802" xr:uid="{00000000-0005-0000-0000-000024600000}"/>
    <cellStyle name="Normal 2 2 45 5 6" xfId="23803" xr:uid="{00000000-0005-0000-0000-000025600000}"/>
    <cellStyle name="Normal 2 2 45 6" xfId="23804" xr:uid="{00000000-0005-0000-0000-000026600000}"/>
    <cellStyle name="Normal 2 2 45 6 2" xfId="23805" xr:uid="{00000000-0005-0000-0000-000027600000}"/>
    <cellStyle name="Normal 2 2 45 6 3" xfId="23806" xr:uid="{00000000-0005-0000-0000-000028600000}"/>
    <cellStyle name="Normal 2 2 45 6 4" xfId="23807" xr:uid="{00000000-0005-0000-0000-000029600000}"/>
    <cellStyle name="Normal 2 2 45 6 5" xfId="23808" xr:uid="{00000000-0005-0000-0000-00002A600000}"/>
    <cellStyle name="Normal 2 2 45 6 6" xfId="23809" xr:uid="{00000000-0005-0000-0000-00002B600000}"/>
    <cellStyle name="Normal 2 2 45 7" xfId="23810" xr:uid="{00000000-0005-0000-0000-00002C600000}"/>
    <cellStyle name="Normal 2 2 45 7 2" xfId="23811" xr:uid="{00000000-0005-0000-0000-00002D600000}"/>
    <cellStyle name="Normal 2 2 45 7 3" xfId="23812" xr:uid="{00000000-0005-0000-0000-00002E600000}"/>
    <cellStyle name="Normal 2 2 45 7 4" xfId="23813" xr:uid="{00000000-0005-0000-0000-00002F600000}"/>
    <cellStyle name="Normal 2 2 45 7 5" xfId="23814" xr:uid="{00000000-0005-0000-0000-000030600000}"/>
    <cellStyle name="Normal 2 2 45 7 6" xfId="23815" xr:uid="{00000000-0005-0000-0000-000031600000}"/>
    <cellStyle name="Normal 2 2 45 8" xfId="23816" xr:uid="{00000000-0005-0000-0000-000032600000}"/>
    <cellStyle name="Normal 2 2 45 8 2" xfId="23817" xr:uid="{00000000-0005-0000-0000-000033600000}"/>
    <cellStyle name="Normal 2 2 45 8 3" xfId="23818" xr:uid="{00000000-0005-0000-0000-000034600000}"/>
    <cellStyle name="Normal 2 2 45 8 4" xfId="23819" xr:uid="{00000000-0005-0000-0000-000035600000}"/>
    <cellStyle name="Normal 2 2 45 8 5" xfId="23820" xr:uid="{00000000-0005-0000-0000-000036600000}"/>
    <cellStyle name="Normal 2 2 45 8 6" xfId="23821" xr:uid="{00000000-0005-0000-0000-000037600000}"/>
    <cellStyle name="Normal 2 2 45 9" xfId="23822" xr:uid="{00000000-0005-0000-0000-000038600000}"/>
    <cellStyle name="Normal 2 2 46" xfId="23823" xr:uid="{00000000-0005-0000-0000-000039600000}"/>
    <cellStyle name="Normal 2 2 46 10" xfId="23824" xr:uid="{00000000-0005-0000-0000-00003A600000}"/>
    <cellStyle name="Normal 2 2 46 11" xfId="23825" xr:uid="{00000000-0005-0000-0000-00003B600000}"/>
    <cellStyle name="Normal 2 2 46 12" xfId="23826" xr:uid="{00000000-0005-0000-0000-00003C600000}"/>
    <cellStyle name="Normal 2 2 46 2" xfId="23827" xr:uid="{00000000-0005-0000-0000-00003D600000}"/>
    <cellStyle name="Normal 2 2 46 2 10" xfId="23828" xr:uid="{00000000-0005-0000-0000-00003E600000}"/>
    <cellStyle name="Normal 2 2 46 2 11" xfId="23829" xr:uid="{00000000-0005-0000-0000-00003F600000}"/>
    <cellStyle name="Normal 2 2 46 2 12" xfId="23830" xr:uid="{00000000-0005-0000-0000-000040600000}"/>
    <cellStyle name="Normal 2 2 46 2 13" xfId="23831" xr:uid="{00000000-0005-0000-0000-000041600000}"/>
    <cellStyle name="Normal 2 2 46 2 14" xfId="23832" xr:uid="{00000000-0005-0000-0000-000042600000}"/>
    <cellStyle name="Normal 2 2 46 2 15" xfId="23833" xr:uid="{00000000-0005-0000-0000-000043600000}"/>
    <cellStyle name="Normal 2 2 46 2 16" xfId="23834" xr:uid="{00000000-0005-0000-0000-000044600000}"/>
    <cellStyle name="Normal 2 2 46 2 17" xfId="23835" xr:uid="{00000000-0005-0000-0000-000045600000}"/>
    <cellStyle name="Normal 2 2 46 2 18" xfId="23836" xr:uid="{00000000-0005-0000-0000-000046600000}"/>
    <cellStyle name="Normal 2 2 46 2 19" xfId="23837" xr:uid="{00000000-0005-0000-0000-000047600000}"/>
    <cellStyle name="Normal 2 2 46 2 2" xfId="23838" xr:uid="{00000000-0005-0000-0000-000048600000}"/>
    <cellStyle name="Normal 2 2 46 2 20" xfId="23839" xr:uid="{00000000-0005-0000-0000-000049600000}"/>
    <cellStyle name="Normal 2 2 46 2 21" xfId="23840" xr:uid="{00000000-0005-0000-0000-00004A600000}"/>
    <cellStyle name="Normal 2 2 46 2 22" xfId="23841" xr:uid="{00000000-0005-0000-0000-00004B600000}"/>
    <cellStyle name="Normal 2 2 46 2 23" xfId="23842" xr:uid="{00000000-0005-0000-0000-00004C600000}"/>
    <cellStyle name="Normal 2 2 46 2 24" xfId="23843" xr:uid="{00000000-0005-0000-0000-00004D600000}"/>
    <cellStyle name="Normal 2 2 46 2 25" xfId="23844" xr:uid="{00000000-0005-0000-0000-00004E600000}"/>
    <cellStyle name="Normal 2 2 46 2 26" xfId="23845" xr:uid="{00000000-0005-0000-0000-00004F600000}"/>
    <cellStyle name="Normal 2 2 46 2 27" xfId="23846" xr:uid="{00000000-0005-0000-0000-000050600000}"/>
    <cellStyle name="Normal 2 2 46 2 28" xfId="23847" xr:uid="{00000000-0005-0000-0000-000051600000}"/>
    <cellStyle name="Normal 2 2 46 2 29" xfId="23848" xr:uid="{00000000-0005-0000-0000-000052600000}"/>
    <cellStyle name="Normal 2 2 46 2 3" xfId="23849" xr:uid="{00000000-0005-0000-0000-000053600000}"/>
    <cellStyle name="Normal 2 2 46 2 4" xfId="23850" xr:uid="{00000000-0005-0000-0000-000054600000}"/>
    <cellStyle name="Normal 2 2 46 2 5" xfId="23851" xr:uid="{00000000-0005-0000-0000-000055600000}"/>
    <cellStyle name="Normal 2 2 46 2 6" xfId="23852" xr:uid="{00000000-0005-0000-0000-000056600000}"/>
    <cellStyle name="Normal 2 2 46 2 7" xfId="23853" xr:uid="{00000000-0005-0000-0000-000057600000}"/>
    <cellStyle name="Normal 2 2 46 2 8" xfId="23854" xr:uid="{00000000-0005-0000-0000-000058600000}"/>
    <cellStyle name="Normal 2 2 46 2 9" xfId="23855" xr:uid="{00000000-0005-0000-0000-000059600000}"/>
    <cellStyle name="Normal 2 2 46 3" xfId="23856" xr:uid="{00000000-0005-0000-0000-00005A600000}"/>
    <cellStyle name="Normal 2 2 46 4" xfId="23857" xr:uid="{00000000-0005-0000-0000-00005B600000}"/>
    <cellStyle name="Normal 2 2 46 5" xfId="23858" xr:uid="{00000000-0005-0000-0000-00005C600000}"/>
    <cellStyle name="Normal 2 2 46 6" xfId="23859" xr:uid="{00000000-0005-0000-0000-00005D600000}"/>
    <cellStyle name="Normal 2 2 46 7" xfId="23860" xr:uid="{00000000-0005-0000-0000-00005E600000}"/>
    <cellStyle name="Normal 2 2 46 8" xfId="23861" xr:uid="{00000000-0005-0000-0000-00005F600000}"/>
    <cellStyle name="Normal 2 2 46 9" xfId="23862" xr:uid="{00000000-0005-0000-0000-000060600000}"/>
    <cellStyle name="Normal 2 2 47" xfId="23863" xr:uid="{00000000-0005-0000-0000-000061600000}"/>
    <cellStyle name="Normal 2 2 47 10" xfId="23864" xr:uid="{00000000-0005-0000-0000-000062600000}"/>
    <cellStyle name="Normal 2 2 47 11" xfId="23865" xr:uid="{00000000-0005-0000-0000-000063600000}"/>
    <cellStyle name="Normal 2 2 47 12" xfId="23866" xr:uid="{00000000-0005-0000-0000-000064600000}"/>
    <cellStyle name="Normal 2 2 47 13" xfId="23867" xr:uid="{00000000-0005-0000-0000-000065600000}"/>
    <cellStyle name="Normal 2 2 47 14" xfId="23868" xr:uid="{00000000-0005-0000-0000-000066600000}"/>
    <cellStyle name="Normal 2 2 47 15" xfId="23869" xr:uid="{00000000-0005-0000-0000-000067600000}"/>
    <cellStyle name="Normal 2 2 47 16" xfId="23870" xr:uid="{00000000-0005-0000-0000-000068600000}"/>
    <cellStyle name="Normal 2 2 47 17" xfId="23871" xr:uid="{00000000-0005-0000-0000-000069600000}"/>
    <cellStyle name="Normal 2 2 47 18" xfId="23872" xr:uid="{00000000-0005-0000-0000-00006A600000}"/>
    <cellStyle name="Normal 2 2 47 19" xfId="23873" xr:uid="{00000000-0005-0000-0000-00006B600000}"/>
    <cellStyle name="Normal 2 2 47 2" xfId="23874" xr:uid="{00000000-0005-0000-0000-00006C600000}"/>
    <cellStyle name="Normal 2 2 47 20" xfId="23875" xr:uid="{00000000-0005-0000-0000-00006D600000}"/>
    <cellStyle name="Normal 2 2 47 21" xfId="23876" xr:uid="{00000000-0005-0000-0000-00006E600000}"/>
    <cellStyle name="Normal 2 2 47 22" xfId="23877" xr:uid="{00000000-0005-0000-0000-00006F600000}"/>
    <cellStyle name="Normal 2 2 47 23" xfId="23878" xr:uid="{00000000-0005-0000-0000-000070600000}"/>
    <cellStyle name="Normal 2 2 47 24" xfId="23879" xr:uid="{00000000-0005-0000-0000-000071600000}"/>
    <cellStyle name="Normal 2 2 47 25" xfId="23880" xr:uid="{00000000-0005-0000-0000-000072600000}"/>
    <cellStyle name="Normal 2 2 47 26" xfId="23881" xr:uid="{00000000-0005-0000-0000-000073600000}"/>
    <cellStyle name="Normal 2 2 47 27" xfId="23882" xr:uid="{00000000-0005-0000-0000-000074600000}"/>
    <cellStyle name="Normal 2 2 47 28" xfId="23883" xr:uid="{00000000-0005-0000-0000-000075600000}"/>
    <cellStyle name="Normal 2 2 47 29" xfId="23884" xr:uid="{00000000-0005-0000-0000-000076600000}"/>
    <cellStyle name="Normal 2 2 47 3" xfId="23885" xr:uid="{00000000-0005-0000-0000-000077600000}"/>
    <cellStyle name="Normal 2 2 47 30" xfId="23886" xr:uid="{00000000-0005-0000-0000-000078600000}"/>
    <cellStyle name="Normal 2 2 47 31" xfId="23887" xr:uid="{00000000-0005-0000-0000-000079600000}"/>
    <cellStyle name="Normal 2 2 47 32" xfId="23888" xr:uid="{00000000-0005-0000-0000-00007A600000}"/>
    <cellStyle name="Normal 2 2 47 33" xfId="23889" xr:uid="{00000000-0005-0000-0000-00007B600000}"/>
    <cellStyle name="Normal 2 2 47 34" xfId="23890" xr:uid="{00000000-0005-0000-0000-00007C600000}"/>
    <cellStyle name="Normal 2 2 47 4" xfId="23891" xr:uid="{00000000-0005-0000-0000-00007D600000}"/>
    <cellStyle name="Normal 2 2 47 5" xfId="23892" xr:uid="{00000000-0005-0000-0000-00007E600000}"/>
    <cellStyle name="Normal 2 2 47 6" xfId="23893" xr:uid="{00000000-0005-0000-0000-00007F600000}"/>
    <cellStyle name="Normal 2 2 47 7" xfId="23894" xr:uid="{00000000-0005-0000-0000-000080600000}"/>
    <cellStyle name="Normal 2 2 47 8" xfId="23895" xr:uid="{00000000-0005-0000-0000-000081600000}"/>
    <cellStyle name="Normal 2 2 47 9" xfId="23896" xr:uid="{00000000-0005-0000-0000-000082600000}"/>
    <cellStyle name="Normal 2 2 48" xfId="23897" xr:uid="{00000000-0005-0000-0000-000083600000}"/>
    <cellStyle name="Normal 2 2 48 10" xfId="23898" xr:uid="{00000000-0005-0000-0000-000084600000}"/>
    <cellStyle name="Normal 2 2 48 11" xfId="23899" xr:uid="{00000000-0005-0000-0000-000085600000}"/>
    <cellStyle name="Normal 2 2 48 12" xfId="23900" xr:uid="{00000000-0005-0000-0000-000086600000}"/>
    <cellStyle name="Normal 2 2 48 13" xfId="23901" xr:uid="{00000000-0005-0000-0000-000087600000}"/>
    <cellStyle name="Normal 2 2 48 14" xfId="23902" xr:uid="{00000000-0005-0000-0000-000088600000}"/>
    <cellStyle name="Normal 2 2 48 15" xfId="23903" xr:uid="{00000000-0005-0000-0000-000089600000}"/>
    <cellStyle name="Normal 2 2 48 16" xfId="23904" xr:uid="{00000000-0005-0000-0000-00008A600000}"/>
    <cellStyle name="Normal 2 2 48 17" xfId="23905" xr:uid="{00000000-0005-0000-0000-00008B600000}"/>
    <cellStyle name="Normal 2 2 48 18" xfId="23906" xr:uid="{00000000-0005-0000-0000-00008C600000}"/>
    <cellStyle name="Normal 2 2 48 19" xfId="23907" xr:uid="{00000000-0005-0000-0000-00008D600000}"/>
    <cellStyle name="Normal 2 2 48 2" xfId="23908" xr:uid="{00000000-0005-0000-0000-00008E600000}"/>
    <cellStyle name="Normal 2 2 48 20" xfId="23909" xr:uid="{00000000-0005-0000-0000-00008F600000}"/>
    <cellStyle name="Normal 2 2 48 21" xfId="23910" xr:uid="{00000000-0005-0000-0000-000090600000}"/>
    <cellStyle name="Normal 2 2 48 22" xfId="23911" xr:uid="{00000000-0005-0000-0000-000091600000}"/>
    <cellStyle name="Normal 2 2 48 23" xfId="23912" xr:uid="{00000000-0005-0000-0000-000092600000}"/>
    <cellStyle name="Normal 2 2 48 24" xfId="23913" xr:uid="{00000000-0005-0000-0000-000093600000}"/>
    <cellStyle name="Normal 2 2 48 25" xfId="23914" xr:uid="{00000000-0005-0000-0000-000094600000}"/>
    <cellStyle name="Normal 2 2 48 26" xfId="23915" xr:uid="{00000000-0005-0000-0000-000095600000}"/>
    <cellStyle name="Normal 2 2 48 27" xfId="23916" xr:uid="{00000000-0005-0000-0000-000096600000}"/>
    <cellStyle name="Normal 2 2 48 28" xfId="23917" xr:uid="{00000000-0005-0000-0000-000097600000}"/>
    <cellStyle name="Normal 2 2 48 29" xfId="23918" xr:uid="{00000000-0005-0000-0000-000098600000}"/>
    <cellStyle name="Normal 2 2 48 3" xfId="23919" xr:uid="{00000000-0005-0000-0000-000099600000}"/>
    <cellStyle name="Normal 2 2 48 30" xfId="23920" xr:uid="{00000000-0005-0000-0000-00009A600000}"/>
    <cellStyle name="Normal 2 2 48 31" xfId="23921" xr:uid="{00000000-0005-0000-0000-00009B600000}"/>
    <cellStyle name="Normal 2 2 48 32" xfId="23922" xr:uid="{00000000-0005-0000-0000-00009C600000}"/>
    <cellStyle name="Normal 2 2 48 33" xfId="23923" xr:uid="{00000000-0005-0000-0000-00009D600000}"/>
    <cellStyle name="Normal 2 2 48 34" xfId="23924" xr:uid="{00000000-0005-0000-0000-00009E600000}"/>
    <cellStyle name="Normal 2 2 48 4" xfId="23925" xr:uid="{00000000-0005-0000-0000-00009F600000}"/>
    <cellStyle name="Normal 2 2 48 5" xfId="23926" xr:uid="{00000000-0005-0000-0000-0000A0600000}"/>
    <cellStyle name="Normal 2 2 48 6" xfId="23927" xr:uid="{00000000-0005-0000-0000-0000A1600000}"/>
    <cellStyle name="Normal 2 2 48 7" xfId="23928" xr:uid="{00000000-0005-0000-0000-0000A2600000}"/>
    <cellStyle name="Normal 2 2 48 8" xfId="23929" xr:uid="{00000000-0005-0000-0000-0000A3600000}"/>
    <cellStyle name="Normal 2 2 48 9" xfId="23930" xr:uid="{00000000-0005-0000-0000-0000A4600000}"/>
    <cellStyle name="Normal 2 2 49" xfId="23931" xr:uid="{00000000-0005-0000-0000-0000A5600000}"/>
    <cellStyle name="Normal 2 2 49 10" xfId="23932" xr:uid="{00000000-0005-0000-0000-0000A6600000}"/>
    <cellStyle name="Normal 2 2 49 11" xfId="23933" xr:uid="{00000000-0005-0000-0000-0000A7600000}"/>
    <cellStyle name="Normal 2 2 49 12" xfId="23934" xr:uid="{00000000-0005-0000-0000-0000A8600000}"/>
    <cellStyle name="Normal 2 2 49 13" xfId="23935" xr:uid="{00000000-0005-0000-0000-0000A9600000}"/>
    <cellStyle name="Normal 2 2 49 14" xfId="23936" xr:uid="{00000000-0005-0000-0000-0000AA600000}"/>
    <cellStyle name="Normal 2 2 49 15" xfId="23937" xr:uid="{00000000-0005-0000-0000-0000AB600000}"/>
    <cellStyle name="Normal 2 2 49 16" xfId="23938" xr:uid="{00000000-0005-0000-0000-0000AC600000}"/>
    <cellStyle name="Normal 2 2 49 17" xfId="23939" xr:uid="{00000000-0005-0000-0000-0000AD600000}"/>
    <cellStyle name="Normal 2 2 49 18" xfId="23940" xr:uid="{00000000-0005-0000-0000-0000AE600000}"/>
    <cellStyle name="Normal 2 2 49 19" xfId="23941" xr:uid="{00000000-0005-0000-0000-0000AF600000}"/>
    <cellStyle name="Normal 2 2 49 2" xfId="23942" xr:uid="{00000000-0005-0000-0000-0000B0600000}"/>
    <cellStyle name="Normal 2 2 49 20" xfId="23943" xr:uid="{00000000-0005-0000-0000-0000B1600000}"/>
    <cellStyle name="Normal 2 2 49 21" xfId="23944" xr:uid="{00000000-0005-0000-0000-0000B2600000}"/>
    <cellStyle name="Normal 2 2 49 22" xfId="23945" xr:uid="{00000000-0005-0000-0000-0000B3600000}"/>
    <cellStyle name="Normal 2 2 49 23" xfId="23946" xr:uid="{00000000-0005-0000-0000-0000B4600000}"/>
    <cellStyle name="Normal 2 2 49 24" xfId="23947" xr:uid="{00000000-0005-0000-0000-0000B5600000}"/>
    <cellStyle name="Normal 2 2 49 25" xfId="23948" xr:uid="{00000000-0005-0000-0000-0000B6600000}"/>
    <cellStyle name="Normal 2 2 49 26" xfId="23949" xr:uid="{00000000-0005-0000-0000-0000B7600000}"/>
    <cellStyle name="Normal 2 2 49 27" xfId="23950" xr:uid="{00000000-0005-0000-0000-0000B8600000}"/>
    <cellStyle name="Normal 2 2 49 28" xfId="23951" xr:uid="{00000000-0005-0000-0000-0000B9600000}"/>
    <cellStyle name="Normal 2 2 49 29" xfId="23952" xr:uid="{00000000-0005-0000-0000-0000BA600000}"/>
    <cellStyle name="Normal 2 2 49 3" xfId="23953" xr:uid="{00000000-0005-0000-0000-0000BB600000}"/>
    <cellStyle name="Normal 2 2 49 30" xfId="23954" xr:uid="{00000000-0005-0000-0000-0000BC600000}"/>
    <cellStyle name="Normal 2 2 49 31" xfId="23955" xr:uid="{00000000-0005-0000-0000-0000BD600000}"/>
    <cellStyle name="Normal 2 2 49 32" xfId="23956" xr:uid="{00000000-0005-0000-0000-0000BE600000}"/>
    <cellStyle name="Normal 2 2 49 33" xfId="23957" xr:uid="{00000000-0005-0000-0000-0000BF600000}"/>
    <cellStyle name="Normal 2 2 49 34" xfId="23958" xr:uid="{00000000-0005-0000-0000-0000C0600000}"/>
    <cellStyle name="Normal 2 2 49 4" xfId="23959" xr:uid="{00000000-0005-0000-0000-0000C1600000}"/>
    <cellStyle name="Normal 2 2 49 5" xfId="23960" xr:uid="{00000000-0005-0000-0000-0000C2600000}"/>
    <cellStyle name="Normal 2 2 49 6" xfId="23961" xr:uid="{00000000-0005-0000-0000-0000C3600000}"/>
    <cellStyle name="Normal 2 2 49 7" xfId="23962" xr:uid="{00000000-0005-0000-0000-0000C4600000}"/>
    <cellStyle name="Normal 2 2 49 8" xfId="23963" xr:uid="{00000000-0005-0000-0000-0000C5600000}"/>
    <cellStyle name="Normal 2 2 49 9" xfId="23964" xr:uid="{00000000-0005-0000-0000-0000C6600000}"/>
    <cellStyle name="Normal 2 2 5" xfId="23965" xr:uid="{00000000-0005-0000-0000-0000C7600000}"/>
    <cellStyle name="Normal 2 2 5 10" xfId="23966" xr:uid="{00000000-0005-0000-0000-0000C8600000}"/>
    <cellStyle name="Normal 2 2 5 11" xfId="23967" xr:uid="{00000000-0005-0000-0000-0000C9600000}"/>
    <cellStyle name="Normal 2 2 5 12" xfId="23968" xr:uid="{00000000-0005-0000-0000-0000CA600000}"/>
    <cellStyle name="Normal 2 2 5 13" xfId="23969" xr:uid="{00000000-0005-0000-0000-0000CB600000}"/>
    <cellStyle name="Normal 2 2 5 14" xfId="23970" xr:uid="{00000000-0005-0000-0000-0000CC600000}"/>
    <cellStyle name="Normal 2 2 5 2" xfId="23971" xr:uid="{00000000-0005-0000-0000-0000CD600000}"/>
    <cellStyle name="Normal 2 2 5 2 2" xfId="23972" xr:uid="{00000000-0005-0000-0000-0000CE600000}"/>
    <cellStyle name="Normal 2 2 5 2 2 2" xfId="23973" xr:uid="{00000000-0005-0000-0000-0000CF600000}"/>
    <cellStyle name="Normal 2 2 5 2 2 2 2" xfId="23974" xr:uid="{00000000-0005-0000-0000-0000D0600000}"/>
    <cellStyle name="Normal 2 2 5 2 2 2 3" xfId="23975" xr:uid="{00000000-0005-0000-0000-0000D1600000}"/>
    <cellStyle name="Normal 2 2 5 2 2 2 4" xfId="23976" xr:uid="{00000000-0005-0000-0000-0000D2600000}"/>
    <cellStyle name="Normal 2 2 5 2 2 2 5" xfId="23977" xr:uid="{00000000-0005-0000-0000-0000D3600000}"/>
    <cellStyle name="Normal 2 2 5 2 2 3" xfId="23978" xr:uid="{00000000-0005-0000-0000-0000D4600000}"/>
    <cellStyle name="Normal 2 2 5 2 3" xfId="23979" xr:uid="{00000000-0005-0000-0000-0000D5600000}"/>
    <cellStyle name="Normal 2 2 5 2 3 2" xfId="23980" xr:uid="{00000000-0005-0000-0000-0000D6600000}"/>
    <cellStyle name="Normal 2 2 5 2 3 2 2" xfId="23981" xr:uid="{00000000-0005-0000-0000-0000D7600000}"/>
    <cellStyle name="Normal 2 2 5 2 3 2 3" xfId="23982" xr:uid="{00000000-0005-0000-0000-0000D8600000}"/>
    <cellStyle name="Normal 2 2 5 2 3 2 4" xfId="23983" xr:uid="{00000000-0005-0000-0000-0000D9600000}"/>
    <cellStyle name="Normal 2 2 5 2 4" xfId="23984" xr:uid="{00000000-0005-0000-0000-0000DA600000}"/>
    <cellStyle name="Normal 2 2 5 2 5" xfId="23985" xr:uid="{00000000-0005-0000-0000-0000DB600000}"/>
    <cellStyle name="Normal 2 2 5 2 6" xfId="23986" xr:uid="{00000000-0005-0000-0000-0000DC600000}"/>
    <cellStyle name="Normal 2 2 5 3" xfId="23987" xr:uid="{00000000-0005-0000-0000-0000DD600000}"/>
    <cellStyle name="Normal 2 2 5 3 2" xfId="23988" xr:uid="{00000000-0005-0000-0000-0000DE600000}"/>
    <cellStyle name="Normal 2 2 5 3 3" xfId="23989" xr:uid="{00000000-0005-0000-0000-0000DF600000}"/>
    <cellStyle name="Normal 2 2 5 3 4" xfId="23990" xr:uid="{00000000-0005-0000-0000-0000E0600000}"/>
    <cellStyle name="Normal 2 2 5 3 5" xfId="23991" xr:uid="{00000000-0005-0000-0000-0000E1600000}"/>
    <cellStyle name="Normal 2 2 5 3 6" xfId="23992" xr:uid="{00000000-0005-0000-0000-0000E2600000}"/>
    <cellStyle name="Normal 2 2 5 4" xfId="23993" xr:uid="{00000000-0005-0000-0000-0000E3600000}"/>
    <cellStyle name="Normal 2 2 5 4 2" xfId="23994" xr:uid="{00000000-0005-0000-0000-0000E4600000}"/>
    <cellStyle name="Normal 2 2 5 4 3" xfId="23995" xr:uid="{00000000-0005-0000-0000-0000E5600000}"/>
    <cellStyle name="Normal 2 2 5 4 4" xfId="23996" xr:uid="{00000000-0005-0000-0000-0000E6600000}"/>
    <cellStyle name="Normal 2 2 5 4 5" xfId="23997" xr:uid="{00000000-0005-0000-0000-0000E7600000}"/>
    <cellStyle name="Normal 2 2 5 4 6" xfId="23998" xr:uid="{00000000-0005-0000-0000-0000E8600000}"/>
    <cellStyle name="Normal 2 2 5 5" xfId="23999" xr:uid="{00000000-0005-0000-0000-0000E9600000}"/>
    <cellStyle name="Normal 2 2 5 5 2" xfId="24000" xr:uid="{00000000-0005-0000-0000-0000EA600000}"/>
    <cellStyle name="Normal 2 2 5 5 3" xfId="24001" xr:uid="{00000000-0005-0000-0000-0000EB600000}"/>
    <cellStyle name="Normal 2 2 5 5 4" xfId="24002" xr:uid="{00000000-0005-0000-0000-0000EC600000}"/>
    <cellStyle name="Normal 2 2 5 5 5" xfId="24003" xr:uid="{00000000-0005-0000-0000-0000ED600000}"/>
    <cellStyle name="Normal 2 2 5 5 6" xfId="24004" xr:uid="{00000000-0005-0000-0000-0000EE600000}"/>
    <cellStyle name="Normal 2 2 5 6" xfId="24005" xr:uid="{00000000-0005-0000-0000-0000EF600000}"/>
    <cellStyle name="Normal 2 2 5 6 2" xfId="24006" xr:uid="{00000000-0005-0000-0000-0000F0600000}"/>
    <cellStyle name="Normal 2 2 5 6 3" xfId="24007" xr:uid="{00000000-0005-0000-0000-0000F1600000}"/>
    <cellStyle name="Normal 2 2 5 6 4" xfId="24008" xr:uid="{00000000-0005-0000-0000-0000F2600000}"/>
    <cellStyle name="Normal 2 2 5 6 5" xfId="24009" xr:uid="{00000000-0005-0000-0000-0000F3600000}"/>
    <cellStyle name="Normal 2 2 5 6 6" xfId="24010" xr:uid="{00000000-0005-0000-0000-0000F4600000}"/>
    <cellStyle name="Normal 2 2 5 7" xfId="24011" xr:uid="{00000000-0005-0000-0000-0000F5600000}"/>
    <cellStyle name="Normal 2 2 5 7 2" xfId="24012" xr:uid="{00000000-0005-0000-0000-0000F6600000}"/>
    <cellStyle name="Normal 2 2 5 7 3" xfId="24013" xr:uid="{00000000-0005-0000-0000-0000F7600000}"/>
    <cellStyle name="Normal 2 2 5 7 4" xfId="24014" xr:uid="{00000000-0005-0000-0000-0000F8600000}"/>
    <cellStyle name="Normal 2 2 5 7 5" xfId="24015" xr:uid="{00000000-0005-0000-0000-0000F9600000}"/>
    <cellStyle name="Normal 2 2 5 7 6" xfId="24016" xr:uid="{00000000-0005-0000-0000-0000FA600000}"/>
    <cellStyle name="Normal 2 2 5 8" xfId="24017" xr:uid="{00000000-0005-0000-0000-0000FB600000}"/>
    <cellStyle name="Normal 2 2 5 8 2" xfId="24018" xr:uid="{00000000-0005-0000-0000-0000FC600000}"/>
    <cellStyle name="Normal 2 2 5 8 3" xfId="24019" xr:uid="{00000000-0005-0000-0000-0000FD600000}"/>
    <cellStyle name="Normal 2 2 5 8 4" xfId="24020" xr:uid="{00000000-0005-0000-0000-0000FE600000}"/>
    <cellStyle name="Normal 2 2 5 8 5" xfId="24021" xr:uid="{00000000-0005-0000-0000-0000FF600000}"/>
    <cellStyle name="Normal 2 2 5 8 6" xfId="24022" xr:uid="{00000000-0005-0000-0000-000000610000}"/>
    <cellStyle name="Normal 2 2 5 9" xfId="24023" xr:uid="{00000000-0005-0000-0000-000001610000}"/>
    <cellStyle name="Normal 2 2 50" xfId="24024" xr:uid="{00000000-0005-0000-0000-000002610000}"/>
    <cellStyle name="Normal 2 2 50 10" xfId="24025" xr:uid="{00000000-0005-0000-0000-000003610000}"/>
    <cellStyle name="Normal 2 2 50 11" xfId="24026" xr:uid="{00000000-0005-0000-0000-000004610000}"/>
    <cellStyle name="Normal 2 2 50 12" xfId="24027" xr:uid="{00000000-0005-0000-0000-000005610000}"/>
    <cellStyle name="Normal 2 2 50 13" xfId="24028" xr:uid="{00000000-0005-0000-0000-000006610000}"/>
    <cellStyle name="Normal 2 2 50 14" xfId="24029" xr:uid="{00000000-0005-0000-0000-000007610000}"/>
    <cellStyle name="Normal 2 2 50 15" xfId="24030" xr:uid="{00000000-0005-0000-0000-000008610000}"/>
    <cellStyle name="Normal 2 2 50 16" xfId="24031" xr:uid="{00000000-0005-0000-0000-000009610000}"/>
    <cellStyle name="Normal 2 2 50 17" xfId="24032" xr:uid="{00000000-0005-0000-0000-00000A610000}"/>
    <cellStyle name="Normal 2 2 50 18" xfId="24033" xr:uid="{00000000-0005-0000-0000-00000B610000}"/>
    <cellStyle name="Normal 2 2 50 19" xfId="24034" xr:uid="{00000000-0005-0000-0000-00000C610000}"/>
    <cellStyle name="Normal 2 2 50 2" xfId="24035" xr:uid="{00000000-0005-0000-0000-00000D610000}"/>
    <cellStyle name="Normal 2 2 50 20" xfId="24036" xr:uid="{00000000-0005-0000-0000-00000E610000}"/>
    <cellStyle name="Normal 2 2 50 21" xfId="24037" xr:uid="{00000000-0005-0000-0000-00000F610000}"/>
    <cellStyle name="Normal 2 2 50 22" xfId="24038" xr:uid="{00000000-0005-0000-0000-000010610000}"/>
    <cellStyle name="Normal 2 2 50 23" xfId="24039" xr:uid="{00000000-0005-0000-0000-000011610000}"/>
    <cellStyle name="Normal 2 2 50 24" xfId="24040" xr:uid="{00000000-0005-0000-0000-000012610000}"/>
    <cellStyle name="Normal 2 2 50 25" xfId="24041" xr:uid="{00000000-0005-0000-0000-000013610000}"/>
    <cellStyle name="Normal 2 2 50 26" xfId="24042" xr:uid="{00000000-0005-0000-0000-000014610000}"/>
    <cellStyle name="Normal 2 2 50 27" xfId="24043" xr:uid="{00000000-0005-0000-0000-000015610000}"/>
    <cellStyle name="Normal 2 2 50 28" xfId="24044" xr:uid="{00000000-0005-0000-0000-000016610000}"/>
    <cellStyle name="Normal 2 2 50 29" xfId="24045" xr:uid="{00000000-0005-0000-0000-000017610000}"/>
    <cellStyle name="Normal 2 2 50 3" xfId="24046" xr:uid="{00000000-0005-0000-0000-000018610000}"/>
    <cellStyle name="Normal 2 2 50 30" xfId="24047" xr:uid="{00000000-0005-0000-0000-000019610000}"/>
    <cellStyle name="Normal 2 2 50 31" xfId="24048" xr:uid="{00000000-0005-0000-0000-00001A610000}"/>
    <cellStyle name="Normal 2 2 50 32" xfId="24049" xr:uid="{00000000-0005-0000-0000-00001B610000}"/>
    <cellStyle name="Normal 2 2 50 33" xfId="24050" xr:uid="{00000000-0005-0000-0000-00001C610000}"/>
    <cellStyle name="Normal 2 2 50 34" xfId="24051" xr:uid="{00000000-0005-0000-0000-00001D610000}"/>
    <cellStyle name="Normal 2 2 50 4" xfId="24052" xr:uid="{00000000-0005-0000-0000-00001E610000}"/>
    <cellStyle name="Normal 2 2 50 5" xfId="24053" xr:uid="{00000000-0005-0000-0000-00001F610000}"/>
    <cellStyle name="Normal 2 2 50 6" xfId="24054" xr:uid="{00000000-0005-0000-0000-000020610000}"/>
    <cellStyle name="Normal 2 2 50 7" xfId="24055" xr:uid="{00000000-0005-0000-0000-000021610000}"/>
    <cellStyle name="Normal 2 2 50 8" xfId="24056" xr:uid="{00000000-0005-0000-0000-000022610000}"/>
    <cellStyle name="Normal 2 2 50 9" xfId="24057" xr:uid="{00000000-0005-0000-0000-000023610000}"/>
    <cellStyle name="Normal 2 2 51" xfId="24058" xr:uid="{00000000-0005-0000-0000-000024610000}"/>
    <cellStyle name="Normal 2 2 51 10" xfId="24059" xr:uid="{00000000-0005-0000-0000-000025610000}"/>
    <cellStyle name="Normal 2 2 51 11" xfId="24060" xr:uid="{00000000-0005-0000-0000-000026610000}"/>
    <cellStyle name="Normal 2 2 51 12" xfId="24061" xr:uid="{00000000-0005-0000-0000-000027610000}"/>
    <cellStyle name="Normal 2 2 51 13" xfId="24062" xr:uid="{00000000-0005-0000-0000-000028610000}"/>
    <cellStyle name="Normal 2 2 51 14" xfId="24063" xr:uid="{00000000-0005-0000-0000-000029610000}"/>
    <cellStyle name="Normal 2 2 51 15" xfId="24064" xr:uid="{00000000-0005-0000-0000-00002A610000}"/>
    <cellStyle name="Normal 2 2 51 16" xfId="24065" xr:uid="{00000000-0005-0000-0000-00002B610000}"/>
    <cellStyle name="Normal 2 2 51 17" xfId="24066" xr:uid="{00000000-0005-0000-0000-00002C610000}"/>
    <cellStyle name="Normal 2 2 51 18" xfId="24067" xr:uid="{00000000-0005-0000-0000-00002D610000}"/>
    <cellStyle name="Normal 2 2 51 19" xfId="24068" xr:uid="{00000000-0005-0000-0000-00002E610000}"/>
    <cellStyle name="Normal 2 2 51 2" xfId="24069" xr:uid="{00000000-0005-0000-0000-00002F610000}"/>
    <cellStyle name="Normal 2 2 51 20" xfId="24070" xr:uid="{00000000-0005-0000-0000-000030610000}"/>
    <cellStyle name="Normal 2 2 51 21" xfId="24071" xr:uid="{00000000-0005-0000-0000-000031610000}"/>
    <cellStyle name="Normal 2 2 51 22" xfId="24072" xr:uid="{00000000-0005-0000-0000-000032610000}"/>
    <cellStyle name="Normal 2 2 51 23" xfId="24073" xr:uid="{00000000-0005-0000-0000-000033610000}"/>
    <cellStyle name="Normal 2 2 51 24" xfId="24074" xr:uid="{00000000-0005-0000-0000-000034610000}"/>
    <cellStyle name="Normal 2 2 51 25" xfId="24075" xr:uid="{00000000-0005-0000-0000-000035610000}"/>
    <cellStyle name="Normal 2 2 51 26" xfId="24076" xr:uid="{00000000-0005-0000-0000-000036610000}"/>
    <cellStyle name="Normal 2 2 51 27" xfId="24077" xr:uid="{00000000-0005-0000-0000-000037610000}"/>
    <cellStyle name="Normal 2 2 51 28" xfId="24078" xr:uid="{00000000-0005-0000-0000-000038610000}"/>
    <cellStyle name="Normal 2 2 51 29" xfId="24079" xr:uid="{00000000-0005-0000-0000-000039610000}"/>
    <cellStyle name="Normal 2 2 51 3" xfId="24080" xr:uid="{00000000-0005-0000-0000-00003A610000}"/>
    <cellStyle name="Normal 2 2 51 30" xfId="24081" xr:uid="{00000000-0005-0000-0000-00003B610000}"/>
    <cellStyle name="Normal 2 2 51 31" xfId="24082" xr:uid="{00000000-0005-0000-0000-00003C610000}"/>
    <cellStyle name="Normal 2 2 51 32" xfId="24083" xr:uid="{00000000-0005-0000-0000-00003D610000}"/>
    <cellStyle name="Normal 2 2 51 33" xfId="24084" xr:uid="{00000000-0005-0000-0000-00003E610000}"/>
    <cellStyle name="Normal 2 2 51 34" xfId="24085" xr:uid="{00000000-0005-0000-0000-00003F610000}"/>
    <cellStyle name="Normal 2 2 51 4" xfId="24086" xr:uid="{00000000-0005-0000-0000-000040610000}"/>
    <cellStyle name="Normal 2 2 51 5" xfId="24087" xr:uid="{00000000-0005-0000-0000-000041610000}"/>
    <cellStyle name="Normal 2 2 51 6" xfId="24088" xr:uid="{00000000-0005-0000-0000-000042610000}"/>
    <cellStyle name="Normal 2 2 51 7" xfId="24089" xr:uid="{00000000-0005-0000-0000-000043610000}"/>
    <cellStyle name="Normal 2 2 51 8" xfId="24090" xr:uid="{00000000-0005-0000-0000-000044610000}"/>
    <cellStyle name="Normal 2 2 51 9" xfId="24091" xr:uid="{00000000-0005-0000-0000-000045610000}"/>
    <cellStyle name="Normal 2 2 52" xfId="24092" xr:uid="{00000000-0005-0000-0000-000046610000}"/>
    <cellStyle name="Normal 2 2 52 10" xfId="24093" xr:uid="{00000000-0005-0000-0000-000047610000}"/>
    <cellStyle name="Normal 2 2 52 11" xfId="24094" xr:uid="{00000000-0005-0000-0000-000048610000}"/>
    <cellStyle name="Normal 2 2 52 12" xfId="24095" xr:uid="{00000000-0005-0000-0000-000049610000}"/>
    <cellStyle name="Normal 2 2 52 13" xfId="24096" xr:uid="{00000000-0005-0000-0000-00004A610000}"/>
    <cellStyle name="Normal 2 2 52 14" xfId="24097" xr:uid="{00000000-0005-0000-0000-00004B610000}"/>
    <cellStyle name="Normal 2 2 52 15" xfId="24098" xr:uid="{00000000-0005-0000-0000-00004C610000}"/>
    <cellStyle name="Normal 2 2 52 16" xfId="24099" xr:uid="{00000000-0005-0000-0000-00004D610000}"/>
    <cellStyle name="Normal 2 2 52 17" xfId="24100" xr:uid="{00000000-0005-0000-0000-00004E610000}"/>
    <cellStyle name="Normal 2 2 52 18" xfId="24101" xr:uid="{00000000-0005-0000-0000-00004F610000}"/>
    <cellStyle name="Normal 2 2 52 19" xfId="24102" xr:uid="{00000000-0005-0000-0000-000050610000}"/>
    <cellStyle name="Normal 2 2 52 2" xfId="24103" xr:uid="{00000000-0005-0000-0000-000051610000}"/>
    <cellStyle name="Normal 2 2 52 20" xfId="24104" xr:uid="{00000000-0005-0000-0000-000052610000}"/>
    <cellStyle name="Normal 2 2 52 21" xfId="24105" xr:uid="{00000000-0005-0000-0000-000053610000}"/>
    <cellStyle name="Normal 2 2 52 22" xfId="24106" xr:uid="{00000000-0005-0000-0000-000054610000}"/>
    <cellStyle name="Normal 2 2 52 23" xfId="24107" xr:uid="{00000000-0005-0000-0000-000055610000}"/>
    <cellStyle name="Normal 2 2 52 24" xfId="24108" xr:uid="{00000000-0005-0000-0000-000056610000}"/>
    <cellStyle name="Normal 2 2 52 25" xfId="24109" xr:uid="{00000000-0005-0000-0000-000057610000}"/>
    <cellStyle name="Normal 2 2 52 26" xfId="24110" xr:uid="{00000000-0005-0000-0000-000058610000}"/>
    <cellStyle name="Normal 2 2 52 27" xfId="24111" xr:uid="{00000000-0005-0000-0000-000059610000}"/>
    <cellStyle name="Normal 2 2 52 28" xfId="24112" xr:uid="{00000000-0005-0000-0000-00005A610000}"/>
    <cellStyle name="Normal 2 2 52 29" xfId="24113" xr:uid="{00000000-0005-0000-0000-00005B610000}"/>
    <cellStyle name="Normal 2 2 52 3" xfId="24114" xr:uid="{00000000-0005-0000-0000-00005C610000}"/>
    <cellStyle name="Normal 2 2 52 30" xfId="24115" xr:uid="{00000000-0005-0000-0000-00005D610000}"/>
    <cellStyle name="Normal 2 2 52 31" xfId="24116" xr:uid="{00000000-0005-0000-0000-00005E610000}"/>
    <cellStyle name="Normal 2 2 52 32" xfId="24117" xr:uid="{00000000-0005-0000-0000-00005F610000}"/>
    <cellStyle name="Normal 2 2 52 33" xfId="24118" xr:uid="{00000000-0005-0000-0000-000060610000}"/>
    <cellStyle name="Normal 2 2 52 34" xfId="24119" xr:uid="{00000000-0005-0000-0000-000061610000}"/>
    <cellStyle name="Normal 2 2 52 4" xfId="24120" xr:uid="{00000000-0005-0000-0000-000062610000}"/>
    <cellStyle name="Normal 2 2 52 5" xfId="24121" xr:uid="{00000000-0005-0000-0000-000063610000}"/>
    <cellStyle name="Normal 2 2 52 6" xfId="24122" xr:uid="{00000000-0005-0000-0000-000064610000}"/>
    <cellStyle name="Normal 2 2 52 7" xfId="24123" xr:uid="{00000000-0005-0000-0000-000065610000}"/>
    <cellStyle name="Normal 2 2 52 8" xfId="24124" xr:uid="{00000000-0005-0000-0000-000066610000}"/>
    <cellStyle name="Normal 2 2 52 9" xfId="24125" xr:uid="{00000000-0005-0000-0000-000067610000}"/>
    <cellStyle name="Normal 2 2 53" xfId="24126" xr:uid="{00000000-0005-0000-0000-000068610000}"/>
    <cellStyle name="Normal 2 2 53 10" xfId="24127" xr:uid="{00000000-0005-0000-0000-000069610000}"/>
    <cellStyle name="Normal 2 2 53 11" xfId="24128" xr:uid="{00000000-0005-0000-0000-00006A610000}"/>
    <cellStyle name="Normal 2 2 53 12" xfId="24129" xr:uid="{00000000-0005-0000-0000-00006B610000}"/>
    <cellStyle name="Normal 2 2 53 13" xfId="24130" xr:uid="{00000000-0005-0000-0000-00006C610000}"/>
    <cellStyle name="Normal 2 2 53 14" xfId="24131" xr:uid="{00000000-0005-0000-0000-00006D610000}"/>
    <cellStyle name="Normal 2 2 53 15" xfId="24132" xr:uid="{00000000-0005-0000-0000-00006E610000}"/>
    <cellStyle name="Normal 2 2 53 16" xfId="24133" xr:uid="{00000000-0005-0000-0000-00006F610000}"/>
    <cellStyle name="Normal 2 2 53 17" xfId="24134" xr:uid="{00000000-0005-0000-0000-000070610000}"/>
    <cellStyle name="Normal 2 2 53 18" xfId="24135" xr:uid="{00000000-0005-0000-0000-000071610000}"/>
    <cellStyle name="Normal 2 2 53 19" xfId="24136" xr:uid="{00000000-0005-0000-0000-000072610000}"/>
    <cellStyle name="Normal 2 2 53 2" xfId="24137" xr:uid="{00000000-0005-0000-0000-000073610000}"/>
    <cellStyle name="Normal 2 2 53 20" xfId="24138" xr:uid="{00000000-0005-0000-0000-000074610000}"/>
    <cellStyle name="Normal 2 2 53 21" xfId="24139" xr:uid="{00000000-0005-0000-0000-000075610000}"/>
    <cellStyle name="Normal 2 2 53 22" xfId="24140" xr:uid="{00000000-0005-0000-0000-000076610000}"/>
    <cellStyle name="Normal 2 2 53 23" xfId="24141" xr:uid="{00000000-0005-0000-0000-000077610000}"/>
    <cellStyle name="Normal 2 2 53 24" xfId="24142" xr:uid="{00000000-0005-0000-0000-000078610000}"/>
    <cellStyle name="Normal 2 2 53 25" xfId="24143" xr:uid="{00000000-0005-0000-0000-000079610000}"/>
    <cellStyle name="Normal 2 2 53 26" xfId="24144" xr:uid="{00000000-0005-0000-0000-00007A610000}"/>
    <cellStyle name="Normal 2 2 53 27" xfId="24145" xr:uid="{00000000-0005-0000-0000-00007B610000}"/>
    <cellStyle name="Normal 2 2 53 28" xfId="24146" xr:uid="{00000000-0005-0000-0000-00007C610000}"/>
    <cellStyle name="Normal 2 2 53 29" xfId="24147" xr:uid="{00000000-0005-0000-0000-00007D610000}"/>
    <cellStyle name="Normal 2 2 53 3" xfId="24148" xr:uid="{00000000-0005-0000-0000-00007E610000}"/>
    <cellStyle name="Normal 2 2 53 30" xfId="24149" xr:uid="{00000000-0005-0000-0000-00007F610000}"/>
    <cellStyle name="Normal 2 2 53 31" xfId="24150" xr:uid="{00000000-0005-0000-0000-000080610000}"/>
    <cellStyle name="Normal 2 2 53 32" xfId="24151" xr:uid="{00000000-0005-0000-0000-000081610000}"/>
    <cellStyle name="Normal 2 2 53 33" xfId="24152" xr:uid="{00000000-0005-0000-0000-000082610000}"/>
    <cellStyle name="Normal 2 2 53 34" xfId="24153" xr:uid="{00000000-0005-0000-0000-000083610000}"/>
    <cellStyle name="Normal 2 2 53 4" xfId="24154" xr:uid="{00000000-0005-0000-0000-000084610000}"/>
    <cellStyle name="Normal 2 2 53 5" xfId="24155" xr:uid="{00000000-0005-0000-0000-000085610000}"/>
    <cellStyle name="Normal 2 2 53 6" xfId="24156" xr:uid="{00000000-0005-0000-0000-000086610000}"/>
    <cellStyle name="Normal 2 2 53 7" xfId="24157" xr:uid="{00000000-0005-0000-0000-000087610000}"/>
    <cellStyle name="Normal 2 2 53 8" xfId="24158" xr:uid="{00000000-0005-0000-0000-000088610000}"/>
    <cellStyle name="Normal 2 2 53 9" xfId="24159" xr:uid="{00000000-0005-0000-0000-000089610000}"/>
    <cellStyle name="Normal 2 2 54" xfId="24160" xr:uid="{00000000-0005-0000-0000-00008A610000}"/>
    <cellStyle name="Normal 2 2 54 10" xfId="24161" xr:uid="{00000000-0005-0000-0000-00008B610000}"/>
    <cellStyle name="Normal 2 2 54 11" xfId="24162" xr:uid="{00000000-0005-0000-0000-00008C610000}"/>
    <cellStyle name="Normal 2 2 54 12" xfId="24163" xr:uid="{00000000-0005-0000-0000-00008D610000}"/>
    <cellStyle name="Normal 2 2 54 13" xfId="24164" xr:uid="{00000000-0005-0000-0000-00008E610000}"/>
    <cellStyle name="Normal 2 2 54 14" xfId="24165" xr:uid="{00000000-0005-0000-0000-00008F610000}"/>
    <cellStyle name="Normal 2 2 54 15" xfId="24166" xr:uid="{00000000-0005-0000-0000-000090610000}"/>
    <cellStyle name="Normal 2 2 54 16" xfId="24167" xr:uid="{00000000-0005-0000-0000-000091610000}"/>
    <cellStyle name="Normal 2 2 54 17" xfId="24168" xr:uid="{00000000-0005-0000-0000-000092610000}"/>
    <cellStyle name="Normal 2 2 54 18" xfId="24169" xr:uid="{00000000-0005-0000-0000-000093610000}"/>
    <cellStyle name="Normal 2 2 54 19" xfId="24170" xr:uid="{00000000-0005-0000-0000-000094610000}"/>
    <cellStyle name="Normal 2 2 54 2" xfId="24171" xr:uid="{00000000-0005-0000-0000-000095610000}"/>
    <cellStyle name="Normal 2 2 54 20" xfId="24172" xr:uid="{00000000-0005-0000-0000-000096610000}"/>
    <cellStyle name="Normal 2 2 54 21" xfId="24173" xr:uid="{00000000-0005-0000-0000-000097610000}"/>
    <cellStyle name="Normal 2 2 54 22" xfId="24174" xr:uid="{00000000-0005-0000-0000-000098610000}"/>
    <cellStyle name="Normal 2 2 54 23" xfId="24175" xr:uid="{00000000-0005-0000-0000-000099610000}"/>
    <cellStyle name="Normal 2 2 54 24" xfId="24176" xr:uid="{00000000-0005-0000-0000-00009A610000}"/>
    <cellStyle name="Normal 2 2 54 25" xfId="24177" xr:uid="{00000000-0005-0000-0000-00009B610000}"/>
    <cellStyle name="Normal 2 2 54 26" xfId="24178" xr:uid="{00000000-0005-0000-0000-00009C610000}"/>
    <cellStyle name="Normal 2 2 54 27" xfId="24179" xr:uid="{00000000-0005-0000-0000-00009D610000}"/>
    <cellStyle name="Normal 2 2 54 28" xfId="24180" xr:uid="{00000000-0005-0000-0000-00009E610000}"/>
    <cellStyle name="Normal 2 2 54 29" xfId="24181" xr:uid="{00000000-0005-0000-0000-00009F610000}"/>
    <cellStyle name="Normal 2 2 54 3" xfId="24182" xr:uid="{00000000-0005-0000-0000-0000A0610000}"/>
    <cellStyle name="Normal 2 2 54 30" xfId="24183" xr:uid="{00000000-0005-0000-0000-0000A1610000}"/>
    <cellStyle name="Normal 2 2 54 31" xfId="24184" xr:uid="{00000000-0005-0000-0000-0000A2610000}"/>
    <cellStyle name="Normal 2 2 54 32" xfId="24185" xr:uid="{00000000-0005-0000-0000-0000A3610000}"/>
    <cellStyle name="Normal 2 2 54 33" xfId="24186" xr:uid="{00000000-0005-0000-0000-0000A4610000}"/>
    <cellStyle name="Normal 2 2 54 34" xfId="24187" xr:uid="{00000000-0005-0000-0000-0000A5610000}"/>
    <cellStyle name="Normal 2 2 54 4" xfId="24188" xr:uid="{00000000-0005-0000-0000-0000A6610000}"/>
    <cellStyle name="Normal 2 2 54 5" xfId="24189" xr:uid="{00000000-0005-0000-0000-0000A7610000}"/>
    <cellStyle name="Normal 2 2 54 6" xfId="24190" xr:uid="{00000000-0005-0000-0000-0000A8610000}"/>
    <cellStyle name="Normal 2 2 54 7" xfId="24191" xr:uid="{00000000-0005-0000-0000-0000A9610000}"/>
    <cellStyle name="Normal 2 2 54 8" xfId="24192" xr:uid="{00000000-0005-0000-0000-0000AA610000}"/>
    <cellStyle name="Normal 2 2 54 9" xfId="24193" xr:uid="{00000000-0005-0000-0000-0000AB610000}"/>
    <cellStyle name="Normal 2 2 55" xfId="24194" xr:uid="{00000000-0005-0000-0000-0000AC610000}"/>
    <cellStyle name="Normal 2 2 55 10" xfId="24195" xr:uid="{00000000-0005-0000-0000-0000AD610000}"/>
    <cellStyle name="Normal 2 2 55 11" xfId="24196" xr:uid="{00000000-0005-0000-0000-0000AE610000}"/>
    <cellStyle name="Normal 2 2 55 12" xfId="24197" xr:uid="{00000000-0005-0000-0000-0000AF610000}"/>
    <cellStyle name="Normal 2 2 55 13" xfId="24198" xr:uid="{00000000-0005-0000-0000-0000B0610000}"/>
    <cellStyle name="Normal 2 2 55 14" xfId="24199" xr:uid="{00000000-0005-0000-0000-0000B1610000}"/>
    <cellStyle name="Normal 2 2 55 15" xfId="24200" xr:uid="{00000000-0005-0000-0000-0000B2610000}"/>
    <cellStyle name="Normal 2 2 55 16" xfId="24201" xr:uid="{00000000-0005-0000-0000-0000B3610000}"/>
    <cellStyle name="Normal 2 2 55 17" xfId="24202" xr:uid="{00000000-0005-0000-0000-0000B4610000}"/>
    <cellStyle name="Normal 2 2 55 18" xfId="24203" xr:uid="{00000000-0005-0000-0000-0000B5610000}"/>
    <cellStyle name="Normal 2 2 55 19" xfId="24204" xr:uid="{00000000-0005-0000-0000-0000B6610000}"/>
    <cellStyle name="Normal 2 2 55 2" xfId="24205" xr:uid="{00000000-0005-0000-0000-0000B7610000}"/>
    <cellStyle name="Normal 2 2 55 20" xfId="24206" xr:uid="{00000000-0005-0000-0000-0000B8610000}"/>
    <cellStyle name="Normal 2 2 55 21" xfId="24207" xr:uid="{00000000-0005-0000-0000-0000B9610000}"/>
    <cellStyle name="Normal 2 2 55 22" xfId="24208" xr:uid="{00000000-0005-0000-0000-0000BA610000}"/>
    <cellStyle name="Normal 2 2 55 23" xfId="24209" xr:uid="{00000000-0005-0000-0000-0000BB610000}"/>
    <cellStyle name="Normal 2 2 55 24" xfId="24210" xr:uid="{00000000-0005-0000-0000-0000BC610000}"/>
    <cellStyle name="Normal 2 2 55 25" xfId="24211" xr:uid="{00000000-0005-0000-0000-0000BD610000}"/>
    <cellStyle name="Normal 2 2 55 26" xfId="24212" xr:uid="{00000000-0005-0000-0000-0000BE610000}"/>
    <cellStyle name="Normal 2 2 55 27" xfId="24213" xr:uid="{00000000-0005-0000-0000-0000BF610000}"/>
    <cellStyle name="Normal 2 2 55 28" xfId="24214" xr:uid="{00000000-0005-0000-0000-0000C0610000}"/>
    <cellStyle name="Normal 2 2 55 29" xfId="24215" xr:uid="{00000000-0005-0000-0000-0000C1610000}"/>
    <cellStyle name="Normal 2 2 55 3" xfId="24216" xr:uid="{00000000-0005-0000-0000-0000C2610000}"/>
    <cellStyle name="Normal 2 2 55 30" xfId="24217" xr:uid="{00000000-0005-0000-0000-0000C3610000}"/>
    <cellStyle name="Normal 2 2 55 31" xfId="24218" xr:uid="{00000000-0005-0000-0000-0000C4610000}"/>
    <cellStyle name="Normal 2 2 55 32" xfId="24219" xr:uid="{00000000-0005-0000-0000-0000C5610000}"/>
    <cellStyle name="Normal 2 2 55 33" xfId="24220" xr:uid="{00000000-0005-0000-0000-0000C6610000}"/>
    <cellStyle name="Normal 2 2 55 34" xfId="24221" xr:uid="{00000000-0005-0000-0000-0000C7610000}"/>
    <cellStyle name="Normal 2 2 55 4" xfId="24222" xr:uid="{00000000-0005-0000-0000-0000C8610000}"/>
    <cellStyle name="Normal 2 2 55 5" xfId="24223" xr:uid="{00000000-0005-0000-0000-0000C9610000}"/>
    <cellStyle name="Normal 2 2 55 6" xfId="24224" xr:uid="{00000000-0005-0000-0000-0000CA610000}"/>
    <cellStyle name="Normal 2 2 55 7" xfId="24225" xr:uid="{00000000-0005-0000-0000-0000CB610000}"/>
    <cellStyle name="Normal 2 2 55 8" xfId="24226" xr:uid="{00000000-0005-0000-0000-0000CC610000}"/>
    <cellStyle name="Normal 2 2 55 9" xfId="24227" xr:uid="{00000000-0005-0000-0000-0000CD610000}"/>
    <cellStyle name="Normal 2 2 56" xfId="24228" xr:uid="{00000000-0005-0000-0000-0000CE610000}"/>
    <cellStyle name="Normal 2 2 56 10" xfId="24229" xr:uid="{00000000-0005-0000-0000-0000CF610000}"/>
    <cellStyle name="Normal 2 2 56 11" xfId="24230" xr:uid="{00000000-0005-0000-0000-0000D0610000}"/>
    <cellStyle name="Normal 2 2 56 12" xfId="24231" xr:uid="{00000000-0005-0000-0000-0000D1610000}"/>
    <cellStyle name="Normal 2 2 56 13" xfId="24232" xr:uid="{00000000-0005-0000-0000-0000D2610000}"/>
    <cellStyle name="Normal 2 2 56 14" xfId="24233" xr:uid="{00000000-0005-0000-0000-0000D3610000}"/>
    <cellStyle name="Normal 2 2 56 15" xfId="24234" xr:uid="{00000000-0005-0000-0000-0000D4610000}"/>
    <cellStyle name="Normal 2 2 56 16" xfId="24235" xr:uid="{00000000-0005-0000-0000-0000D5610000}"/>
    <cellStyle name="Normal 2 2 56 17" xfId="24236" xr:uid="{00000000-0005-0000-0000-0000D6610000}"/>
    <cellStyle name="Normal 2 2 56 18" xfId="24237" xr:uid="{00000000-0005-0000-0000-0000D7610000}"/>
    <cellStyle name="Normal 2 2 56 19" xfId="24238" xr:uid="{00000000-0005-0000-0000-0000D8610000}"/>
    <cellStyle name="Normal 2 2 56 2" xfId="24239" xr:uid="{00000000-0005-0000-0000-0000D9610000}"/>
    <cellStyle name="Normal 2 2 56 20" xfId="24240" xr:uid="{00000000-0005-0000-0000-0000DA610000}"/>
    <cellStyle name="Normal 2 2 56 21" xfId="24241" xr:uid="{00000000-0005-0000-0000-0000DB610000}"/>
    <cellStyle name="Normal 2 2 56 22" xfId="24242" xr:uid="{00000000-0005-0000-0000-0000DC610000}"/>
    <cellStyle name="Normal 2 2 56 23" xfId="24243" xr:uid="{00000000-0005-0000-0000-0000DD610000}"/>
    <cellStyle name="Normal 2 2 56 24" xfId="24244" xr:uid="{00000000-0005-0000-0000-0000DE610000}"/>
    <cellStyle name="Normal 2 2 56 25" xfId="24245" xr:uid="{00000000-0005-0000-0000-0000DF610000}"/>
    <cellStyle name="Normal 2 2 56 26" xfId="24246" xr:uid="{00000000-0005-0000-0000-0000E0610000}"/>
    <cellStyle name="Normal 2 2 56 27" xfId="24247" xr:uid="{00000000-0005-0000-0000-0000E1610000}"/>
    <cellStyle name="Normal 2 2 56 28" xfId="24248" xr:uid="{00000000-0005-0000-0000-0000E2610000}"/>
    <cellStyle name="Normal 2 2 56 29" xfId="24249" xr:uid="{00000000-0005-0000-0000-0000E3610000}"/>
    <cellStyle name="Normal 2 2 56 3" xfId="24250" xr:uid="{00000000-0005-0000-0000-0000E4610000}"/>
    <cellStyle name="Normal 2 2 56 30" xfId="24251" xr:uid="{00000000-0005-0000-0000-0000E5610000}"/>
    <cellStyle name="Normal 2 2 56 31" xfId="24252" xr:uid="{00000000-0005-0000-0000-0000E6610000}"/>
    <cellStyle name="Normal 2 2 56 32" xfId="24253" xr:uid="{00000000-0005-0000-0000-0000E7610000}"/>
    <cellStyle name="Normal 2 2 56 33" xfId="24254" xr:uid="{00000000-0005-0000-0000-0000E8610000}"/>
    <cellStyle name="Normal 2 2 56 34" xfId="24255" xr:uid="{00000000-0005-0000-0000-0000E9610000}"/>
    <cellStyle name="Normal 2 2 56 4" xfId="24256" xr:uid="{00000000-0005-0000-0000-0000EA610000}"/>
    <cellStyle name="Normal 2 2 56 5" xfId="24257" xr:uid="{00000000-0005-0000-0000-0000EB610000}"/>
    <cellStyle name="Normal 2 2 56 6" xfId="24258" xr:uid="{00000000-0005-0000-0000-0000EC610000}"/>
    <cellStyle name="Normal 2 2 56 7" xfId="24259" xr:uid="{00000000-0005-0000-0000-0000ED610000}"/>
    <cellStyle name="Normal 2 2 56 8" xfId="24260" xr:uid="{00000000-0005-0000-0000-0000EE610000}"/>
    <cellStyle name="Normal 2 2 56 9" xfId="24261" xr:uid="{00000000-0005-0000-0000-0000EF610000}"/>
    <cellStyle name="Normal 2 2 57" xfId="24262" xr:uid="{00000000-0005-0000-0000-0000F0610000}"/>
    <cellStyle name="Normal 2 2 57 2" xfId="24263" xr:uid="{00000000-0005-0000-0000-0000F1610000}"/>
    <cellStyle name="Normal 2 2 58" xfId="24264" xr:uid="{00000000-0005-0000-0000-0000F2610000}"/>
    <cellStyle name="Normal 2 2 58 2" xfId="24265" xr:uid="{00000000-0005-0000-0000-0000F3610000}"/>
    <cellStyle name="Normal 2 2 59" xfId="24266" xr:uid="{00000000-0005-0000-0000-0000F4610000}"/>
    <cellStyle name="Normal 2 2 59 2" xfId="24267" xr:uid="{00000000-0005-0000-0000-0000F5610000}"/>
    <cellStyle name="Normal 2 2 6" xfId="24268" xr:uid="{00000000-0005-0000-0000-0000F6610000}"/>
    <cellStyle name="Normal 2 2 6 10" xfId="24269" xr:uid="{00000000-0005-0000-0000-0000F7610000}"/>
    <cellStyle name="Normal 2 2 6 11" xfId="24270" xr:uid="{00000000-0005-0000-0000-0000F8610000}"/>
    <cellStyle name="Normal 2 2 6 12" xfId="24271" xr:uid="{00000000-0005-0000-0000-0000F9610000}"/>
    <cellStyle name="Normal 2 2 6 13" xfId="24272" xr:uid="{00000000-0005-0000-0000-0000FA610000}"/>
    <cellStyle name="Normal 2 2 6 14" xfId="24273" xr:uid="{00000000-0005-0000-0000-0000FB610000}"/>
    <cellStyle name="Normal 2 2 6 2" xfId="24274" xr:uid="{00000000-0005-0000-0000-0000FC610000}"/>
    <cellStyle name="Normal 2 2 6 2 2" xfId="24275" xr:uid="{00000000-0005-0000-0000-0000FD610000}"/>
    <cellStyle name="Normal 2 2 6 2 2 2" xfId="24276" xr:uid="{00000000-0005-0000-0000-0000FE610000}"/>
    <cellStyle name="Normal 2 2 6 2 2 2 2" xfId="24277" xr:uid="{00000000-0005-0000-0000-0000FF610000}"/>
    <cellStyle name="Normal 2 2 6 2 2 3" xfId="24278" xr:uid="{00000000-0005-0000-0000-000000620000}"/>
    <cellStyle name="Normal 2 2 6 2 3" xfId="24279" xr:uid="{00000000-0005-0000-0000-000001620000}"/>
    <cellStyle name="Normal 2 2 6 2 3 2" xfId="24280" xr:uid="{00000000-0005-0000-0000-000002620000}"/>
    <cellStyle name="Normal 2 2 6 2 4" xfId="24281" xr:uid="{00000000-0005-0000-0000-000003620000}"/>
    <cellStyle name="Normal 2 2 6 2 5" xfId="24282" xr:uid="{00000000-0005-0000-0000-000004620000}"/>
    <cellStyle name="Normal 2 2 6 2 6" xfId="24283" xr:uid="{00000000-0005-0000-0000-000005620000}"/>
    <cellStyle name="Normal 2 2 6 3" xfId="24284" xr:uid="{00000000-0005-0000-0000-000006620000}"/>
    <cellStyle name="Normal 2 2 6 3 2" xfId="24285" xr:uid="{00000000-0005-0000-0000-000007620000}"/>
    <cellStyle name="Normal 2 2 6 3 3" xfId="24286" xr:uid="{00000000-0005-0000-0000-000008620000}"/>
    <cellStyle name="Normal 2 2 6 3 4" xfId="24287" xr:uid="{00000000-0005-0000-0000-000009620000}"/>
    <cellStyle name="Normal 2 2 6 3 5" xfId="24288" xr:uid="{00000000-0005-0000-0000-00000A620000}"/>
    <cellStyle name="Normal 2 2 6 3 6" xfId="24289" xr:uid="{00000000-0005-0000-0000-00000B620000}"/>
    <cellStyle name="Normal 2 2 6 4" xfId="24290" xr:uid="{00000000-0005-0000-0000-00000C620000}"/>
    <cellStyle name="Normal 2 2 6 4 2" xfId="24291" xr:uid="{00000000-0005-0000-0000-00000D620000}"/>
    <cellStyle name="Normal 2 2 6 4 3" xfId="24292" xr:uid="{00000000-0005-0000-0000-00000E620000}"/>
    <cellStyle name="Normal 2 2 6 4 4" xfId="24293" xr:uid="{00000000-0005-0000-0000-00000F620000}"/>
    <cellStyle name="Normal 2 2 6 4 5" xfId="24294" xr:uid="{00000000-0005-0000-0000-000010620000}"/>
    <cellStyle name="Normal 2 2 6 4 6" xfId="24295" xr:uid="{00000000-0005-0000-0000-000011620000}"/>
    <cellStyle name="Normal 2 2 6 5" xfId="24296" xr:uid="{00000000-0005-0000-0000-000012620000}"/>
    <cellStyle name="Normal 2 2 6 5 2" xfId="24297" xr:uid="{00000000-0005-0000-0000-000013620000}"/>
    <cellStyle name="Normal 2 2 6 5 3" xfId="24298" xr:uid="{00000000-0005-0000-0000-000014620000}"/>
    <cellStyle name="Normal 2 2 6 5 4" xfId="24299" xr:uid="{00000000-0005-0000-0000-000015620000}"/>
    <cellStyle name="Normal 2 2 6 5 5" xfId="24300" xr:uid="{00000000-0005-0000-0000-000016620000}"/>
    <cellStyle name="Normal 2 2 6 5 6" xfId="24301" xr:uid="{00000000-0005-0000-0000-000017620000}"/>
    <cellStyle name="Normal 2 2 6 6" xfId="24302" xr:uid="{00000000-0005-0000-0000-000018620000}"/>
    <cellStyle name="Normal 2 2 6 6 2" xfId="24303" xr:uid="{00000000-0005-0000-0000-000019620000}"/>
    <cellStyle name="Normal 2 2 6 6 3" xfId="24304" xr:uid="{00000000-0005-0000-0000-00001A620000}"/>
    <cellStyle name="Normal 2 2 6 6 4" xfId="24305" xr:uid="{00000000-0005-0000-0000-00001B620000}"/>
    <cellStyle name="Normal 2 2 6 6 5" xfId="24306" xr:uid="{00000000-0005-0000-0000-00001C620000}"/>
    <cellStyle name="Normal 2 2 6 6 6" xfId="24307" xr:uid="{00000000-0005-0000-0000-00001D620000}"/>
    <cellStyle name="Normal 2 2 6 7" xfId="24308" xr:uid="{00000000-0005-0000-0000-00001E620000}"/>
    <cellStyle name="Normal 2 2 6 7 2" xfId="24309" xr:uid="{00000000-0005-0000-0000-00001F620000}"/>
    <cellStyle name="Normal 2 2 6 7 3" xfId="24310" xr:uid="{00000000-0005-0000-0000-000020620000}"/>
    <cellStyle name="Normal 2 2 6 7 4" xfId="24311" xr:uid="{00000000-0005-0000-0000-000021620000}"/>
    <cellStyle name="Normal 2 2 6 7 5" xfId="24312" xr:uid="{00000000-0005-0000-0000-000022620000}"/>
    <cellStyle name="Normal 2 2 6 7 6" xfId="24313" xr:uid="{00000000-0005-0000-0000-000023620000}"/>
    <cellStyle name="Normal 2 2 6 8" xfId="24314" xr:uid="{00000000-0005-0000-0000-000024620000}"/>
    <cellStyle name="Normal 2 2 6 8 2" xfId="24315" xr:uid="{00000000-0005-0000-0000-000025620000}"/>
    <cellStyle name="Normal 2 2 6 8 3" xfId="24316" xr:uid="{00000000-0005-0000-0000-000026620000}"/>
    <cellStyle name="Normal 2 2 6 8 4" xfId="24317" xr:uid="{00000000-0005-0000-0000-000027620000}"/>
    <cellStyle name="Normal 2 2 6 8 5" xfId="24318" xr:uid="{00000000-0005-0000-0000-000028620000}"/>
    <cellStyle name="Normal 2 2 6 8 6" xfId="24319" xr:uid="{00000000-0005-0000-0000-000029620000}"/>
    <cellStyle name="Normal 2 2 6 9" xfId="24320" xr:uid="{00000000-0005-0000-0000-00002A620000}"/>
    <cellStyle name="Normal 2 2 60" xfId="24321" xr:uid="{00000000-0005-0000-0000-00002B620000}"/>
    <cellStyle name="Normal 2 2 60 2" xfId="24322" xr:uid="{00000000-0005-0000-0000-00002C620000}"/>
    <cellStyle name="Normal 2 2 61" xfId="24323" xr:uid="{00000000-0005-0000-0000-00002D620000}"/>
    <cellStyle name="Normal 2 2 61 2" xfId="24324" xr:uid="{00000000-0005-0000-0000-00002E620000}"/>
    <cellStyle name="Normal 2 2 61 3" xfId="24325" xr:uid="{00000000-0005-0000-0000-00002F620000}"/>
    <cellStyle name="Normal 2 2 61 4" xfId="24326" xr:uid="{00000000-0005-0000-0000-000030620000}"/>
    <cellStyle name="Normal 2 2 61 5" xfId="24327" xr:uid="{00000000-0005-0000-0000-000031620000}"/>
    <cellStyle name="Normal 2 2 61 6" xfId="24328" xr:uid="{00000000-0005-0000-0000-000032620000}"/>
    <cellStyle name="Normal 2 2 61 7" xfId="24329" xr:uid="{00000000-0005-0000-0000-000033620000}"/>
    <cellStyle name="Normal 2 2 62" xfId="24330" xr:uid="{00000000-0005-0000-0000-000034620000}"/>
    <cellStyle name="Normal 2 2 62 2" xfId="24331" xr:uid="{00000000-0005-0000-0000-000035620000}"/>
    <cellStyle name="Normal 2 2 62 3" xfId="24332" xr:uid="{00000000-0005-0000-0000-000036620000}"/>
    <cellStyle name="Normal 2 2 62 4" xfId="24333" xr:uid="{00000000-0005-0000-0000-000037620000}"/>
    <cellStyle name="Normal 2 2 62 5" xfId="24334" xr:uid="{00000000-0005-0000-0000-000038620000}"/>
    <cellStyle name="Normal 2 2 62 6" xfId="24335" xr:uid="{00000000-0005-0000-0000-000039620000}"/>
    <cellStyle name="Normal 2 2 62 7" xfId="24336" xr:uid="{00000000-0005-0000-0000-00003A620000}"/>
    <cellStyle name="Normal 2 2 63" xfId="24337" xr:uid="{00000000-0005-0000-0000-00003B620000}"/>
    <cellStyle name="Normal 2 2 63 2" xfId="24338" xr:uid="{00000000-0005-0000-0000-00003C620000}"/>
    <cellStyle name="Normal 2 2 63 3" xfId="24339" xr:uid="{00000000-0005-0000-0000-00003D620000}"/>
    <cellStyle name="Normal 2 2 63 4" xfId="24340" xr:uid="{00000000-0005-0000-0000-00003E620000}"/>
    <cellStyle name="Normal 2 2 63 5" xfId="24341" xr:uid="{00000000-0005-0000-0000-00003F620000}"/>
    <cellStyle name="Normal 2 2 63 6" xfId="24342" xr:uid="{00000000-0005-0000-0000-000040620000}"/>
    <cellStyle name="Normal 2 2 63 7" xfId="24343" xr:uid="{00000000-0005-0000-0000-000041620000}"/>
    <cellStyle name="Normal 2 2 64" xfId="24344" xr:uid="{00000000-0005-0000-0000-000042620000}"/>
    <cellStyle name="Normal 2 2 64 2" xfId="24345" xr:uid="{00000000-0005-0000-0000-000043620000}"/>
    <cellStyle name="Normal 2 2 64 3" xfId="24346" xr:uid="{00000000-0005-0000-0000-000044620000}"/>
    <cellStyle name="Normal 2 2 64 4" xfId="24347" xr:uid="{00000000-0005-0000-0000-000045620000}"/>
    <cellStyle name="Normal 2 2 64 5" xfId="24348" xr:uid="{00000000-0005-0000-0000-000046620000}"/>
    <cellStyle name="Normal 2 2 64 6" xfId="24349" xr:uid="{00000000-0005-0000-0000-000047620000}"/>
    <cellStyle name="Normal 2 2 65" xfId="24350" xr:uid="{00000000-0005-0000-0000-000048620000}"/>
    <cellStyle name="Normal 2 2 65 2" xfId="24351" xr:uid="{00000000-0005-0000-0000-000049620000}"/>
    <cellStyle name="Normal 2 2 65 2 2" xfId="24352" xr:uid="{00000000-0005-0000-0000-00004A620000}"/>
    <cellStyle name="Normal 2 2 65 2 2 2" xfId="24353" xr:uid="{00000000-0005-0000-0000-00004B620000}"/>
    <cellStyle name="Normal 2 2 65 2 2 3" xfId="24354" xr:uid="{00000000-0005-0000-0000-00004C620000}"/>
    <cellStyle name="Normal 2 2 65 2 2 4" xfId="24355" xr:uid="{00000000-0005-0000-0000-00004D620000}"/>
    <cellStyle name="Normal 2 2 65 2 2 5" xfId="24356" xr:uid="{00000000-0005-0000-0000-00004E620000}"/>
    <cellStyle name="Normal 2 2 65 2 2 6" xfId="24357" xr:uid="{00000000-0005-0000-0000-00004F620000}"/>
    <cellStyle name="Normal 2 2 65 2 2 7" xfId="24358" xr:uid="{00000000-0005-0000-0000-000050620000}"/>
    <cellStyle name="Normal 2 2 65 3" xfId="24359" xr:uid="{00000000-0005-0000-0000-000051620000}"/>
    <cellStyle name="Normal 2 2 65 4" xfId="24360" xr:uid="{00000000-0005-0000-0000-000052620000}"/>
    <cellStyle name="Normal 2 2 65 5" xfId="24361" xr:uid="{00000000-0005-0000-0000-000053620000}"/>
    <cellStyle name="Normal 2 2 65 6" xfId="24362" xr:uid="{00000000-0005-0000-0000-000054620000}"/>
    <cellStyle name="Normal 2 2 65 7" xfId="24363" xr:uid="{00000000-0005-0000-0000-000055620000}"/>
    <cellStyle name="Normal 2 2 65 8" xfId="24364" xr:uid="{00000000-0005-0000-0000-000056620000}"/>
    <cellStyle name="Normal 2 2 66" xfId="24365" xr:uid="{00000000-0005-0000-0000-000057620000}"/>
    <cellStyle name="Normal 2 2 66 2" xfId="24366" xr:uid="{00000000-0005-0000-0000-000058620000}"/>
    <cellStyle name="Normal 2 2 67" xfId="24367" xr:uid="{00000000-0005-0000-0000-000059620000}"/>
    <cellStyle name="Normal 2 2 67 2" xfId="24368" xr:uid="{00000000-0005-0000-0000-00005A620000}"/>
    <cellStyle name="Normal 2 2 68" xfId="24369" xr:uid="{00000000-0005-0000-0000-00005B620000}"/>
    <cellStyle name="Normal 2 2 69" xfId="24370" xr:uid="{00000000-0005-0000-0000-00005C620000}"/>
    <cellStyle name="Normal 2 2 7" xfId="24371" xr:uid="{00000000-0005-0000-0000-00005D620000}"/>
    <cellStyle name="Normal 2 2 7 10" xfId="24372" xr:uid="{00000000-0005-0000-0000-00005E620000}"/>
    <cellStyle name="Normal 2 2 7 11" xfId="24373" xr:uid="{00000000-0005-0000-0000-00005F620000}"/>
    <cellStyle name="Normal 2 2 7 12" xfId="24374" xr:uid="{00000000-0005-0000-0000-000060620000}"/>
    <cellStyle name="Normal 2 2 7 13" xfId="24375" xr:uid="{00000000-0005-0000-0000-000061620000}"/>
    <cellStyle name="Normal 2 2 7 14" xfId="24376" xr:uid="{00000000-0005-0000-0000-000062620000}"/>
    <cellStyle name="Normal 2 2 7 2" xfId="24377" xr:uid="{00000000-0005-0000-0000-000063620000}"/>
    <cellStyle name="Normal 2 2 7 2 2" xfId="24378" xr:uid="{00000000-0005-0000-0000-000064620000}"/>
    <cellStyle name="Normal 2 2 7 2 2 2" xfId="24379" xr:uid="{00000000-0005-0000-0000-000065620000}"/>
    <cellStyle name="Normal 2 2 7 2 3" xfId="24380" xr:uid="{00000000-0005-0000-0000-000066620000}"/>
    <cellStyle name="Normal 2 2 7 2 4" xfId="24381" xr:uid="{00000000-0005-0000-0000-000067620000}"/>
    <cellStyle name="Normal 2 2 7 2 5" xfId="24382" xr:uid="{00000000-0005-0000-0000-000068620000}"/>
    <cellStyle name="Normal 2 2 7 2 6" xfId="24383" xr:uid="{00000000-0005-0000-0000-000069620000}"/>
    <cellStyle name="Normal 2 2 7 2 7" xfId="24384" xr:uid="{00000000-0005-0000-0000-00006A620000}"/>
    <cellStyle name="Normal 2 2 7 3" xfId="24385" xr:uid="{00000000-0005-0000-0000-00006B620000}"/>
    <cellStyle name="Normal 2 2 7 3 2" xfId="24386" xr:uid="{00000000-0005-0000-0000-00006C620000}"/>
    <cellStyle name="Normal 2 2 7 3 3" xfId="24387" xr:uid="{00000000-0005-0000-0000-00006D620000}"/>
    <cellStyle name="Normal 2 2 7 3 4" xfId="24388" xr:uid="{00000000-0005-0000-0000-00006E620000}"/>
    <cellStyle name="Normal 2 2 7 3 5" xfId="24389" xr:uid="{00000000-0005-0000-0000-00006F620000}"/>
    <cellStyle name="Normal 2 2 7 3 6" xfId="24390" xr:uid="{00000000-0005-0000-0000-000070620000}"/>
    <cellStyle name="Normal 2 2 7 4" xfId="24391" xr:uid="{00000000-0005-0000-0000-000071620000}"/>
    <cellStyle name="Normal 2 2 7 4 2" xfId="24392" xr:uid="{00000000-0005-0000-0000-000072620000}"/>
    <cellStyle name="Normal 2 2 7 4 3" xfId="24393" xr:uid="{00000000-0005-0000-0000-000073620000}"/>
    <cellStyle name="Normal 2 2 7 4 4" xfId="24394" xr:uid="{00000000-0005-0000-0000-000074620000}"/>
    <cellStyle name="Normal 2 2 7 4 5" xfId="24395" xr:uid="{00000000-0005-0000-0000-000075620000}"/>
    <cellStyle name="Normal 2 2 7 4 6" xfId="24396" xr:uid="{00000000-0005-0000-0000-000076620000}"/>
    <cellStyle name="Normal 2 2 7 5" xfId="24397" xr:uid="{00000000-0005-0000-0000-000077620000}"/>
    <cellStyle name="Normal 2 2 7 5 2" xfId="24398" xr:uid="{00000000-0005-0000-0000-000078620000}"/>
    <cellStyle name="Normal 2 2 7 5 3" xfId="24399" xr:uid="{00000000-0005-0000-0000-000079620000}"/>
    <cellStyle name="Normal 2 2 7 5 4" xfId="24400" xr:uid="{00000000-0005-0000-0000-00007A620000}"/>
    <cellStyle name="Normal 2 2 7 5 5" xfId="24401" xr:uid="{00000000-0005-0000-0000-00007B620000}"/>
    <cellStyle name="Normal 2 2 7 5 6" xfId="24402" xr:uid="{00000000-0005-0000-0000-00007C620000}"/>
    <cellStyle name="Normal 2 2 7 6" xfId="24403" xr:uid="{00000000-0005-0000-0000-00007D620000}"/>
    <cellStyle name="Normal 2 2 7 6 2" xfId="24404" xr:uid="{00000000-0005-0000-0000-00007E620000}"/>
    <cellStyle name="Normal 2 2 7 6 3" xfId="24405" xr:uid="{00000000-0005-0000-0000-00007F620000}"/>
    <cellStyle name="Normal 2 2 7 6 4" xfId="24406" xr:uid="{00000000-0005-0000-0000-000080620000}"/>
    <cellStyle name="Normal 2 2 7 6 5" xfId="24407" xr:uid="{00000000-0005-0000-0000-000081620000}"/>
    <cellStyle name="Normal 2 2 7 6 6" xfId="24408" xr:uid="{00000000-0005-0000-0000-000082620000}"/>
    <cellStyle name="Normal 2 2 7 7" xfId="24409" xr:uid="{00000000-0005-0000-0000-000083620000}"/>
    <cellStyle name="Normal 2 2 7 7 2" xfId="24410" xr:uid="{00000000-0005-0000-0000-000084620000}"/>
    <cellStyle name="Normal 2 2 7 7 3" xfId="24411" xr:uid="{00000000-0005-0000-0000-000085620000}"/>
    <cellStyle name="Normal 2 2 7 7 4" xfId="24412" xr:uid="{00000000-0005-0000-0000-000086620000}"/>
    <cellStyle name="Normal 2 2 7 7 5" xfId="24413" xr:uid="{00000000-0005-0000-0000-000087620000}"/>
    <cellStyle name="Normal 2 2 7 7 6" xfId="24414" xr:uid="{00000000-0005-0000-0000-000088620000}"/>
    <cellStyle name="Normal 2 2 7 8" xfId="24415" xr:uid="{00000000-0005-0000-0000-000089620000}"/>
    <cellStyle name="Normal 2 2 7 8 2" xfId="24416" xr:uid="{00000000-0005-0000-0000-00008A620000}"/>
    <cellStyle name="Normal 2 2 7 8 3" xfId="24417" xr:uid="{00000000-0005-0000-0000-00008B620000}"/>
    <cellStyle name="Normal 2 2 7 8 4" xfId="24418" xr:uid="{00000000-0005-0000-0000-00008C620000}"/>
    <cellStyle name="Normal 2 2 7 8 5" xfId="24419" xr:uid="{00000000-0005-0000-0000-00008D620000}"/>
    <cellStyle name="Normal 2 2 7 8 6" xfId="24420" xr:uid="{00000000-0005-0000-0000-00008E620000}"/>
    <cellStyle name="Normal 2 2 7 9" xfId="24421" xr:uid="{00000000-0005-0000-0000-00008F620000}"/>
    <cellStyle name="Normal 2 2 70" xfId="24422" xr:uid="{00000000-0005-0000-0000-000090620000}"/>
    <cellStyle name="Normal 2 2 71" xfId="24423" xr:uid="{00000000-0005-0000-0000-000091620000}"/>
    <cellStyle name="Normal 2 2 72" xfId="24424" xr:uid="{00000000-0005-0000-0000-000092620000}"/>
    <cellStyle name="Normal 2 2 73" xfId="24425" xr:uid="{00000000-0005-0000-0000-000093620000}"/>
    <cellStyle name="Normal 2 2 74" xfId="24426" xr:uid="{00000000-0005-0000-0000-000094620000}"/>
    <cellStyle name="Normal 2 2 75" xfId="24427" xr:uid="{00000000-0005-0000-0000-000095620000}"/>
    <cellStyle name="Normal 2 2 76" xfId="24428" xr:uid="{00000000-0005-0000-0000-000096620000}"/>
    <cellStyle name="Normal 2 2 77" xfId="24429" xr:uid="{00000000-0005-0000-0000-000097620000}"/>
    <cellStyle name="Normal 2 2 78" xfId="24430" xr:uid="{00000000-0005-0000-0000-000098620000}"/>
    <cellStyle name="Normal 2 2 79" xfId="24431" xr:uid="{00000000-0005-0000-0000-000099620000}"/>
    <cellStyle name="Normal 2 2 8" xfId="24432" xr:uid="{00000000-0005-0000-0000-00009A620000}"/>
    <cellStyle name="Normal 2 2 8 10" xfId="24433" xr:uid="{00000000-0005-0000-0000-00009B620000}"/>
    <cellStyle name="Normal 2 2 8 11" xfId="24434" xr:uid="{00000000-0005-0000-0000-00009C620000}"/>
    <cellStyle name="Normal 2 2 8 12" xfId="24435" xr:uid="{00000000-0005-0000-0000-00009D620000}"/>
    <cellStyle name="Normal 2 2 8 13" xfId="24436" xr:uid="{00000000-0005-0000-0000-00009E620000}"/>
    <cellStyle name="Normal 2 2 8 14" xfId="24437" xr:uid="{00000000-0005-0000-0000-00009F620000}"/>
    <cellStyle name="Normal 2 2 8 2" xfId="24438" xr:uid="{00000000-0005-0000-0000-0000A0620000}"/>
    <cellStyle name="Normal 2 2 8 2 2" xfId="24439" xr:uid="{00000000-0005-0000-0000-0000A1620000}"/>
    <cellStyle name="Normal 2 2 8 2 3" xfId="24440" xr:uid="{00000000-0005-0000-0000-0000A2620000}"/>
    <cellStyle name="Normal 2 2 8 2 4" xfId="24441" xr:uid="{00000000-0005-0000-0000-0000A3620000}"/>
    <cellStyle name="Normal 2 2 8 2 5" xfId="24442" xr:uid="{00000000-0005-0000-0000-0000A4620000}"/>
    <cellStyle name="Normal 2 2 8 2 6" xfId="24443" xr:uid="{00000000-0005-0000-0000-0000A5620000}"/>
    <cellStyle name="Normal 2 2 8 3" xfId="24444" xr:uid="{00000000-0005-0000-0000-0000A6620000}"/>
    <cellStyle name="Normal 2 2 8 3 2" xfId="24445" xr:uid="{00000000-0005-0000-0000-0000A7620000}"/>
    <cellStyle name="Normal 2 2 8 3 3" xfId="24446" xr:uid="{00000000-0005-0000-0000-0000A8620000}"/>
    <cellStyle name="Normal 2 2 8 3 4" xfId="24447" xr:uid="{00000000-0005-0000-0000-0000A9620000}"/>
    <cellStyle name="Normal 2 2 8 3 5" xfId="24448" xr:uid="{00000000-0005-0000-0000-0000AA620000}"/>
    <cellStyle name="Normal 2 2 8 3 6" xfId="24449" xr:uid="{00000000-0005-0000-0000-0000AB620000}"/>
    <cellStyle name="Normal 2 2 8 4" xfId="24450" xr:uid="{00000000-0005-0000-0000-0000AC620000}"/>
    <cellStyle name="Normal 2 2 8 4 2" xfId="24451" xr:uid="{00000000-0005-0000-0000-0000AD620000}"/>
    <cellStyle name="Normal 2 2 8 4 3" xfId="24452" xr:uid="{00000000-0005-0000-0000-0000AE620000}"/>
    <cellStyle name="Normal 2 2 8 4 4" xfId="24453" xr:uid="{00000000-0005-0000-0000-0000AF620000}"/>
    <cellStyle name="Normal 2 2 8 4 5" xfId="24454" xr:uid="{00000000-0005-0000-0000-0000B0620000}"/>
    <cellStyle name="Normal 2 2 8 4 6" xfId="24455" xr:uid="{00000000-0005-0000-0000-0000B1620000}"/>
    <cellStyle name="Normal 2 2 8 5" xfId="24456" xr:uid="{00000000-0005-0000-0000-0000B2620000}"/>
    <cellStyle name="Normal 2 2 8 5 2" xfId="24457" xr:uid="{00000000-0005-0000-0000-0000B3620000}"/>
    <cellStyle name="Normal 2 2 8 5 3" xfId="24458" xr:uid="{00000000-0005-0000-0000-0000B4620000}"/>
    <cellStyle name="Normal 2 2 8 5 4" xfId="24459" xr:uid="{00000000-0005-0000-0000-0000B5620000}"/>
    <cellStyle name="Normal 2 2 8 5 5" xfId="24460" xr:uid="{00000000-0005-0000-0000-0000B6620000}"/>
    <cellStyle name="Normal 2 2 8 5 6" xfId="24461" xr:uid="{00000000-0005-0000-0000-0000B7620000}"/>
    <cellStyle name="Normal 2 2 8 6" xfId="24462" xr:uid="{00000000-0005-0000-0000-0000B8620000}"/>
    <cellStyle name="Normal 2 2 8 6 2" xfId="24463" xr:uid="{00000000-0005-0000-0000-0000B9620000}"/>
    <cellStyle name="Normal 2 2 8 6 3" xfId="24464" xr:uid="{00000000-0005-0000-0000-0000BA620000}"/>
    <cellStyle name="Normal 2 2 8 6 4" xfId="24465" xr:uid="{00000000-0005-0000-0000-0000BB620000}"/>
    <cellStyle name="Normal 2 2 8 6 5" xfId="24466" xr:uid="{00000000-0005-0000-0000-0000BC620000}"/>
    <cellStyle name="Normal 2 2 8 6 6" xfId="24467" xr:uid="{00000000-0005-0000-0000-0000BD620000}"/>
    <cellStyle name="Normal 2 2 8 7" xfId="24468" xr:uid="{00000000-0005-0000-0000-0000BE620000}"/>
    <cellStyle name="Normal 2 2 8 7 2" xfId="24469" xr:uid="{00000000-0005-0000-0000-0000BF620000}"/>
    <cellStyle name="Normal 2 2 8 7 3" xfId="24470" xr:uid="{00000000-0005-0000-0000-0000C0620000}"/>
    <cellStyle name="Normal 2 2 8 7 4" xfId="24471" xr:uid="{00000000-0005-0000-0000-0000C1620000}"/>
    <cellStyle name="Normal 2 2 8 7 5" xfId="24472" xr:uid="{00000000-0005-0000-0000-0000C2620000}"/>
    <cellStyle name="Normal 2 2 8 7 6" xfId="24473" xr:uid="{00000000-0005-0000-0000-0000C3620000}"/>
    <cellStyle name="Normal 2 2 8 8" xfId="24474" xr:uid="{00000000-0005-0000-0000-0000C4620000}"/>
    <cellStyle name="Normal 2 2 8 8 2" xfId="24475" xr:uid="{00000000-0005-0000-0000-0000C5620000}"/>
    <cellStyle name="Normal 2 2 8 8 3" xfId="24476" xr:uid="{00000000-0005-0000-0000-0000C6620000}"/>
    <cellStyle name="Normal 2 2 8 8 4" xfId="24477" xr:uid="{00000000-0005-0000-0000-0000C7620000}"/>
    <cellStyle name="Normal 2 2 8 8 5" xfId="24478" xr:uid="{00000000-0005-0000-0000-0000C8620000}"/>
    <cellStyle name="Normal 2 2 8 8 6" xfId="24479" xr:uid="{00000000-0005-0000-0000-0000C9620000}"/>
    <cellStyle name="Normal 2 2 8 9" xfId="24480" xr:uid="{00000000-0005-0000-0000-0000CA620000}"/>
    <cellStyle name="Normal 2 2 80" xfId="24481" xr:uid="{00000000-0005-0000-0000-0000CB620000}"/>
    <cellStyle name="Normal 2 2 81" xfId="24482" xr:uid="{00000000-0005-0000-0000-0000CC620000}"/>
    <cellStyle name="Normal 2 2 82" xfId="24483" xr:uid="{00000000-0005-0000-0000-0000CD620000}"/>
    <cellStyle name="Normal 2 2 83" xfId="24484" xr:uid="{00000000-0005-0000-0000-0000CE620000}"/>
    <cellStyle name="Normal 2 2 84" xfId="24485" xr:uid="{00000000-0005-0000-0000-0000CF620000}"/>
    <cellStyle name="Normal 2 2 85" xfId="24486" xr:uid="{00000000-0005-0000-0000-0000D0620000}"/>
    <cellStyle name="Normal 2 2 85 2" xfId="24487" xr:uid="{00000000-0005-0000-0000-0000D1620000}"/>
    <cellStyle name="Normal 2 2 85 3" xfId="24488" xr:uid="{00000000-0005-0000-0000-0000D2620000}"/>
    <cellStyle name="Normal 2 2 85 4" xfId="24489" xr:uid="{00000000-0005-0000-0000-0000D3620000}"/>
    <cellStyle name="Normal 2 2 85 5" xfId="24490" xr:uid="{00000000-0005-0000-0000-0000D4620000}"/>
    <cellStyle name="Normal 2 2 85 6" xfId="24491" xr:uid="{00000000-0005-0000-0000-0000D5620000}"/>
    <cellStyle name="Normal 2 2 85 7" xfId="24492" xr:uid="{00000000-0005-0000-0000-0000D6620000}"/>
    <cellStyle name="Normal 2 2 86" xfId="24493" xr:uid="{00000000-0005-0000-0000-0000D7620000}"/>
    <cellStyle name="Normal 2 2 86 10" xfId="24494" xr:uid="{00000000-0005-0000-0000-0000D8620000}"/>
    <cellStyle name="Normal 2 2 86 11" xfId="24495" xr:uid="{00000000-0005-0000-0000-0000D9620000}"/>
    <cellStyle name="Normal 2 2 86 2" xfId="24496" xr:uid="{00000000-0005-0000-0000-0000DA620000}"/>
    <cellStyle name="Normal 2 2 86 2 2" xfId="24497" xr:uid="{00000000-0005-0000-0000-0000DB620000}"/>
    <cellStyle name="Normal 2 2 86 2 2 2" xfId="24498" xr:uid="{00000000-0005-0000-0000-0000DC620000}"/>
    <cellStyle name="Normal 2 2 86 2 2 3" xfId="24499" xr:uid="{00000000-0005-0000-0000-0000DD620000}"/>
    <cellStyle name="Normal 2 2 86 2 3" xfId="24500" xr:uid="{00000000-0005-0000-0000-0000DE620000}"/>
    <cellStyle name="Normal 2 2 86 2 4" xfId="24501" xr:uid="{00000000-0005-0000-0000-0000DF620000}"/>
    <cellStyle name="Normal 2 2 86 2 5" xfId="24502" xr:uid="{00000000-0005-0000-0000-0000E0620000}"/>
    <cellStyle name="Normal 2 2 86 2 6" xfId="24503" xr:uid="{00000000-0005-0000-0000-0000E1620000}"/>
    <cellStyle name="Normal 2 2 86 2 7" xfId="24504" xr:uid="{00000000-0005-0000-0000-0000E2620000}"/>
    <cellStyle name="Normal 2 2 86 2 8" xfId="24505" xr:uid="{00000000-0005-0000-0000-0000E3620000}"/>
    <cellStyle name="Normal 2 2 86 2 9" xfId="24506" xr:uid="{00000000-0005-0000-0000-0000E4620000}"/>
    <cellStyle name="Normal 2 2 86 3" xfId="24507" xr:uid="{00000000-0005-0000-0000-0000E5620000}"/>
    <cellStyle name="Normal 2 2 86 4" xfId="24508" xr:uid="{00000000-0005-0000-0000-0000E6620000}"/>
    <cellStyle name="Normal 2 2 86 5" xfId="24509" xr:uid="{00000000-0005-0000-0000-0000E7620000}"/>
    <cellStyle name="Normal 2 2 86 5 2" xfId="24510" xr:uid="{00000000-0005-0000-0000-0000E8620000}"/>
    <cellStyle name="Normal 2 2 86 5 3" xfId="24511" xr:uid="{00000000-0005-0000-0000-0000E9620000}"/>
    <cellStyle name="Normal 2 2 86 6" xfId="24512" xr:uid="{00000000-0005-0000-0000-0000EA620000}"/>
    <cellStyle name="Normal 2 2 86 7" xfId="24513" xr:uid="{00000000-0005-0000-0000-0000EB620000}"/>
    <cellStyle name="Normal 2 2 86 8" xfId="24514" xr:uid="{00000000-0005-0000-0000-0000EC620000}"/>
    <cellStyle name="Normal 2 2 86 9" xfId="24515" xr:uid="{00000000-0005-0000-0000-0000ED620000}"/>
    <cellStyle name="Normal 2 2 87" xfId="24516" xr:uid="{00000000-0005-0000-0000-0000EE620000}"/>
    <cellStyle name="Normal 2 2 87 2" xfId="24517" xr:uid="{00000000-0005-0000-0000-0000EF620000}"/>
    <cellStyle name="Normal 2 2 87 3" xfId="24518" xr:uid="{00000000-0005-0000-0000-0000F0620000}"/>
    <cellStyle name="Normal 2 2 87 4" xfId="24519" xr:uid="{00000000-0005-0000-0000-0000F1620000}"/>
    <cellStyle name="Normal 2 2 87 5" xfId="24520" xr:uid="{00000000-0005-0000-0000-0000F2620000}"/>
    <cellStyle name="Normal 2 2 87 6" xfId="24521" xr:uid="{00000000-0005-0000-0000-0000F3620000}"/>
    <cellStyle name="Normal 2 2 87 7" xfId="24522" xr:uid="{00000000-0005-0000-0000-0000F4620000}"/>
    <cellStyle name="Normal 2 2 87 8" xfId="24523" xr:uid="{00000000-0005-0000-0000-0000F5620000}"/>
    <cellStyle name="Normal 2 2 88" xfId="24524" xr:uid="{00000000-0005-0000-0000-0000F6620000}"/>
    <cellStyle name="Normal 2 2 88 2" xfId="24525" xr:uid="{00000000-0005-0000-0000-0000F7620000}"/>
    <cellStyle name="Normal 2 2 88 3" xfId="24526" xr:uid="{00000000-0005-0000-0000-0000F8620000}"/>
    <cellStyle name="Normal 2 2 88 4" xfId="24527" xr:uid="{00000000-0005-0000-0000-0000F9620000}"/>
    <cellStyle name="Normal 2 2 88 5" xfId="24528" xr:uid="{00000000-0005-0000-0000-0000FA620000}"/>
    <cellStyle name="Normal 2 2 88 6" xfId="24529" xr:uid="{00000000-0005-0000-0000-0000FB620000}"/>
    <cellStyle name="Normal 2 2 88 7" xfId="24530" xr:uid="{00000000-0005-0000-0000-0000FC620000}"/>
    <cellStyle name="Normal 2 2 88 8" xfId="24531" xr:uid="{00000000-0005-0000-0000-0000FD620000}"/>
    <cellStyle name="Normal 2 2 89" xfId="24532" xr:uid="{00000000-0005-0000-0000-0000FE620000}"/>
    <cellStyle name="Normal 2 2 89 2" xfId="24533" xr:uid="{00000000-0005-0000-0000-0000FF620000}"/>
    <cellStyle name="Normal 2 2 89 2 2" xfId="24534" xr:uid="{00000000-0005-0000-0000-000000630000}"/>
    <cellStyle name="Normal 2 2 89 2 3" xfId="24535" xr:uid="{00000000-0005-0000-0000-000001630000}"/>
    <cellStyle name="Normal 2 2 89 3" xfId="24536" xr:uid="{00000000-0005-0000-0000-000002630000}"/>
    <cellStyle name="Normal 2 2 89 4" xfId="24537" xr:uid="{00000000-0005-0000-0000-000003630000}"/>
    <cellStyle name="Normal 2 2 89 5" xfId="24538" xr:uid="{00000000-0005-0000-0000-000004630000}"/>
    <cellStyle name="Normal 2 2 89 6" xfId="24539" xr:uid="{00000000-0005-0000-0000-000005630000}"/>
    <cellStyle name="Normal 2 2 89 7" xfId="24540" xr:uid="{00000000-0005-0000-0000-000006630000}"/>
    <cellStyle name="Normal 2 2 89 8" xfId="24541" xr:uid="{00000000-0005-0000-0000-000007630000}"/>
    <cellStyle name="Normal 2 2 89 9" xfId="24542" xr:uid="{00000000-0005-0000-0000-000008630000}"/>
    <cellStyle name="Normal 2 2 9" xfId="24543" xr:uid="{00000000-0005-0000-0000-000009630000}"/>
    <cellStyle name="Normal 2 2 9 10" xfId="24544" xr:uid="{00000000-0005-0000-0000-00000A630000}"/>
    <cellStyle name="Normal 2 2 9 11" xfId="24545" xr:uid="{00000000-0005-0000-0000-00000B630000}"/>
    <cellStyle name="Normal 2 2 9 12" xfId="24546" xr:uid="{00000000-0005-0000-0000-00000C630000}"/>
    <cellStyle name="Normal 2 2 9 13" xfId="24547" xr:uid="{00000000-0005-0000-0000-00000D630000}"/>
    <cellStyle name="Normal 2 2 9 14" xfId="24548" xr:uid="{00000000-0005-0000-0000-00000E630000}"/>
    <cellStyle name="Normal 2 2 9 2" xfId="24549" xr:uid="{00000000-0005-0000-0000-00000F630000}"/>
    <cellStyle name="Normal 2 2 9 2 2" xfId="24550" xr:uid="{00000000-0005-0000-0000-000010630000}"/>
    <cellStyle name="Normal 2 2 9 2 3" xfId="24551" xr:uid="{00000000-0005-0000-0000-000011630000}"/>
    <cellStyle name="Normal 2 2 9 2 4" xfId="24552" xr:uid="{00000000-0005-0000-0000-000012630000}"/>
    <cellStyle name="Normal 2 2 9 2 5" xfId="24553" xr:uid="{00000000-0005-0000-0000-000013630000}"/>
    <cellStyle name="Normal 2 2 9 2 6" xfId="24554" xr:uid="{00000000-0005-0000-0000-000014630000}"/>
    <cellStyle name="Normal 2 2 9 3" xfId="24555" xr:uid="{00000000-0005-0000-0000-000015630000}"/>
    <cellStyle name="Normal 2 2 9 3 2" xfId="24556" xr:uid="{00000000-0005-0000-0000-000016630000}"/>
    <cellStyle name="Normal 2 2 9 3 3" xfId="24557" xr:uid="{00000000-0005-0000-0000-000017630000}"/>
    <cellStyle name="Normal 2 2 9 3 4" xfId="24558" xr:uid="{00000000-0005-0000-0000-000018630000}"/>
    <cellStyle name="Normal 2 2 9 3 5" xfId="24559" xr:uid="{00000000-0005-0000-0000-000019630000}"/>
    <cellStyle name="Normal 2 2 9 3 6" xfId="24560" xr:uid="{00000000-0005-0000-0000-00001A630000}"/>
    <cellStyle name="Normal 2 2 9 4" xfId="24561" xr:uid="{00000000-0005-0000-0000-00001B630000}"/>
    <cellStyle name="Normal 2 2 9 4 2" xfId="24562" xr:uid="{00000000-0005-0000-0000-00001C630000}"/>
    <cellStyle name="Normal 2 2 9 4 3" xfId="24563" xr:uid="{00000000-0005-0000-0000-00001D630000}"/>
    <cellStyle name="Normal 2 2 9 4 4" xfId="24564" xr:uid="{00000000-0005-0000-0000-00001E630000}"/>
    <cellStyle name="Normal 2 2 9 4 5" xfId="24565" xr:uid="{00000000-0005-0000-0000-00001F630000}"/>
    <cellStyle name="Normal 2 2 9 4 6" xfId="24566" xr:uid="{00000000-0005-0000-0000-000020630000}"/>
    <cellStyle name="Normal 2 2 9 5" xfId="24567" xr:uid="{00000000-0005-0000-0000-000021630000}"/>
    <cellStyle name="Normal 2 2 9 5 2" xfId="24568" xr:uid="{00000000-0005-0000-0000-000022630000}"/>
    <cellStyle name="Normal 2 2 9 5 3" xfId="24569" xr:uid="{00000000-0005-0000-0000-000023630000}"/>
    <cellStyle name="Normal 2 2 9 5 4" xfId="24570" xr:uid="{00000000-0005-0000-0000-000024630000}"/>
    <cellStyle name="Normal 2 2 9 5 5" xfId="24571" xr:uid="{00000000-0005-0000-0000-000025630000}"/>
    <cellStyle name="Normal 2 2 9 5 6" xfId="24572" xr:uid="{00000000-0005-0000-0000-000026630000}"/>
    <cellStyle name="Normal 2 2 9 6" xfId="24573" xr:uid="{00000000-0005-0000-0000-000027630000}"/>
    <cellStyle name="Normal 2 2 9 6 2" xfId="24574" xr:uid="{00000000-0005-0000-0000-000028630000}"/>
    <cellStyle name="Normal 2 2 9 6 3" xfId="24575" xr:uid="{00000000-0005-0000-0000-000029630000}"/>
    <cellStyle name="Normal 2 2 9 6 4" xfId="24576" xr:uid="{00000000-0005-0000-0000-00002A630000}"/>
    <cellStyle name="Normal 2 2 9 6 5" xfId="24577" xr:uid="{00000000-0005-0000-0000-00002B630000}"/>
    <cellStyle name="Normal 2 2 9 6 6" xfId="24578" xr:uid="{00000000-0005-0000-0000-00002C630000}"/>
    <cellStyle name="Normal 2 2 9 7" xfId="24579" xr:uid="{00000000-0005-0000-0000-00002D630000}"/>
    <cellStyle name="Normal 2 2 9 7 2" xfId="24580" xr:uid="{00000000-0005-0000-0000-00002E630000}"/>
    <cellStyle name="Normal 2 2 9 7 3" xfId="24581" xr:uid="{00000000-0005-0000-0000-00002F630000}"/>
    <cellStyle name="Normal 2 2 9 7 4" xfId="24582" xr:uid="{00000000-0005-0000-0000-000030630000}"/>
    <cellStyle name="Normal 2 2 9 7 5" xfId="24583" xr:uid="{00000000-0005-0000-0000-000031630000}"/>
    <cellStyle name="Normal 2 2 9 7 6" xfId="24584" xr:uid="{00000000-0005-0000-0000-000032630000}"/>
    <cellStyle name="Normal 2 2 9 8" xfId="24585" xr:uid="{00000000-0005-0000-0000-000033630000}"/>
    <cellStyle name="Normal 2 2 9 8 2" xfId="24586" xr:uid="{00000000-0005-0000-0000-000034630000}"/>
    <cellStyle name="Normal 2 2 9 8 3" xfId="24587" xr:uid="{00000000-0005-0000-0000-000035630000}"/>
    <cellStyle name="Normal 2 2 9 8 4" xfId="24588" xr:uid="{00000000-0005-0000-0000-000036630000}"/>
    <cellStyle name="Normal 2 2 9 8 5" xfId="24589" xr:uid="{00000000-0005-0000-0000-000037630000}"/>
    <cellStyle name="Normal 2 2 9 8 6" xfId="24590" xr:uid="{00000000-0005-0000-0000-000038630000}"/>
    <cellStyle name="Normal 2 2 9 9" xfId="24591" xr:uid="{00000000-0005-0000-0000-000039630000}"/>
    <cellStyle name="Normal 2 2 90" xfId="24592" xr:uid="{00000000-0005-0000-0000-00003A630000}"/>
    <cellStyle name="Normal 2 2 91" xfId="24593" xr:uid="{00000000-0005-0000-0000-00003B630000}"/>
    <cellStyle name="Normal 2 2 91 2" xfId="24594" xr:uid="{00000000-0005-0000-0000-00003C630000}"/>
    <cellStyle name="Normal 2 2 91 3" xfId="24595" xr:uid="{00000000-0005-0000-0000-00003D630000}"/>
    <cellStyle name="Normal 2 2 92" xfId="24596" xr:uid="{00000000-0005-0000-0000-00003E630000}"/>
    <cellStyle name="Normal 2 2 93" xfId="24597" xr:uid="{00000000-0005-0000-0000-00003F630000}"/>
    <cellStyle name="Normal 2 2 94" xfId="24598" xr:uid="{00000000-0005-0000-0000-000040630000}"/>
    <cellStyle name="Normal 2 2 95" xfId="24599" xr:uid="{00000000-0005-0000-0000-000041630000}"/>
    <cellStyle name="Normal 2 2 96" xfId="24600" xr:uid="{00000000-0005-0000-0000-000042630000}"/>
    <cellStyle name="Normal 2 2 97" xfId="24601" xr:uid="{00000000-0005-0000-0000-000043630000}"/>
    <cellStyle name="Normal 2 2 98" xfId="24602" xr:uid="{00000000-0005-0000-0000-000044630000}"/>
    <cellStyle name="Normal 2 2_Dados de Entrada" xfId="24603" xr:uid="{00000000-0005-0000-0000-000045630000}"/>
    <cellStyle name="Normal 2 20" xfId="24604" xr:uid="{00000000-0005-0000-0000-000046630000}"/>
    <cellStyle name="Normal 2 20 10" xfId="24605" xr:uid="{00000000-0005-0000-0000-000047630000}"/>
    <cellStyle name="Normal 2 20 11" xfId="24606" xr:uid="{00000000-0005-0000-0000-000048630000}"/>
    <cellStyle name="Normal 2 20 12" xfId="24607" xr:uid="{00000000-0005-0000-0000-000049630000}"/>
    <cellStyle name="Normal 2 20 13" xfId="24608" xr:uid="{00000000-0005-0000-0000-00004A630000}"/>
    <cellStyle name="Normal 2 20 14" xfId="24609" xr:uid="{00000000-0005-0000-0000-00004B630000}"/>
    <cellStyle name="Normal 2 20 15" xfId="24610" xr:uid="{00000000-0005-0000-0000-00004C630000}"/>
    <cellStyle name="Normal 2 20 16" xfId="24611" xr:uid="{00000000-0005-0000-0000-00004D630000}"/>
    <cellStyle name="Normal 2 20 17" xfId="24612" xr:uid="{00000000-0005-0000-0000-00004E630000}"/>
    <cellStyle name="Normal 2 20 18" xfId="24613" xr:uid="{00000000-0005-0000-0000-00004F630000}"/>
    <cellStyle name="Normal 2 20 19" xfId="24614" xr:uid="{00000000-0005-0000-0000-000050630000}"/>
    <cellStyle name="Normal 2 20 2" xfId="24615" xr:uid="{00000000-0005-0000-0000-000051630000}"/>
    <cellStyle name="Normal 2 20 20" xfId="24616" xr:uid="{00000000-0005-0000-0000-000052630000}"/>
    <cellStyle name="Normal 2 20 21" xfId="24617" xr:uid="{00000000-0005-0000-0000-000053630000}"/>
    <cellStyle name="Normal 2 20 22" xfId="24618" xr:uid="{00000000-0005-0000-0000-000054630000}"/>
    <cellStyle name="Normal 2 20 23" xfId="24619" xr:uid="{00000000-0005-0000-0000-000055630000}"/>
    <cellStyle name="Normal 2 20 24" xfId="24620" xr:uid="{00000000-0005-0000-0000-000056630000}"/>
    <cellStyle name="Normal 2 20 25" xfId="24621" xr:uid="{00000000-0005-0000-0000-000057630000}"/>
    <cellStyle name="Normal 2 20 26" xfId="24622" xr:uid="{00000000-0005-0000-0000-000058630000}"/>
    <cellStyle name="Normal 2 20 27" xfId="24623" xr:uid="{00000000-0005-0000-0000-000059630000}"/>
    <cellStyle name="Normal 2 20 28" xfId="24624" xr:uid="{00000000-0005-0000-0000-00005A630000}"/>
    <cellStyle name="Normal 2 20 29" xfId="24625" xr:uid="{00000000-0005-0000-0000-00005B630000}"/>
    <cellStyle name="Normal 2 20 3" xfId="24626" xr:uid="{00000000-0005-0000-0000-00005C630000}"/>
    <cellStyle name="Normal 2 20 30" xfId="24627" xr:uid="{00000000-0005-0000-0000-00005D630000}"/>
    <cellStyle name="Normal 2 20 31" xfId="24628" xr:uid="{00000000-0005-0000-0000-00005E630000}"/>
    <cellStyle name="Normal 2 20 32" xfId="24629" xr:uid="{00000000-0005-0000-0000-00005F630000}"/>
    <cellStyle name="Normal 2 20 33" xfId="24630" xr:uid="{00000000-0005-0000-0000-000060630000}"/>
    <cellStyle name="Normal 2 20 34" xfId="24631" xr:uid="{00000000-0005-0000-0000-000061630000}"/>
    <cellStyle name="Normal 2 20 35" xfId="24632" xr:uid="{00000000-0005-0000-0000-000062630000}"/>
    <cellStyle name="Normal 2 20 36" xfId="24633" xr:uid="{00000000-0005-0000-0000-000063630000}"/>
    <cellStyle name="Normal 2 20 37" xfId="24634" xr:uid="{00000000-0005-0000-0000-000064630000}"/>
    <cellStyle name="Normal 2 20 38" xfId="24635" xr:uid="{00000000-0005-0000-0000-000065630000}"/>
    <cellStyle name="Normal 2 20 39" xfId="24636" xr:uid="{00000000-0005-0000-0000-000066630000}"/>
    <cellStyle name="Normal 2 20 4" xfId="24637" xr:uid="{00000000-0005-0000-0000-000067630000}"/>
    <cellStyle name="Normal 2 20 40" xfId="24638" xr:uid="{00000000-0005-0000-0000-000068630000}"/>
    <cellStyle name="Normal 2 20 41" xfId="24639" xr:uid="{00000000-0005-0000-0000-000069630000}"/>
    <cellStyle name="Normal 2 20 42" xfId="24640" xr:uid="{00000000-0005-0000-0000-00006A630000}"/>
    <cellStyle name="Normal 2 20 43" xfId="24641" xr:uid="{00000000-0005-0000-0000-00006B630000}"/>
    <cellStyle name="Normal 2 20 44" xfId="24642" xr:uid="{00000000-0005-0000-0000-00006C630000}"/>
    <cellStyle name="Normal 2 20 45" xfId="24643" xr:uid="{00000000-0005-0000-0000-00006D630000}"/>
    <cellStyle name="Normal 2 20 46" xfId="24644" xr:uid="{00000000-0005-0000-0000-00006E630000}"/>
    <cellStyle name="Normal 2 20 5" xfId="24645" xr:uid="{00000000-0005-0000-0000-00006F630000}"/>
    <cellStyle name="Normal 2 20 6" xfId="24646" xr:uid="{00000000-0005-0000-0000-000070630000}"/>
    <cellStyle name="Normal 2 20 7" xfId="24647" xr:uid="{00000000-0005-0000-0000-000071630000}"/>
    <cellStyle name="Normal 2 20 8" xfId="24648" xr:uid="{00000000-0005-0000-0000-000072630000}"/>
    <cellStyle name="Normal 2 20 9" xfId="24649" xr:uid="{00000000-0005-0000-0000-000073630000}"/>
    <cellStyle name="Normal 2 21" xfId="24650" xr:uid="{00000000-0005-0000-0000-000074630000}"/>
    <cellStyle name="Normal 2 21 10" xfId="24651" xr:uid="{00000000-0005-0000-0000-000075630000}"/>
    <cellStyle name="Normal 2 21 11" xfId="24652" xr:uid="{00000000-0005-0000-0000-000076630000}"/>
    <cellStyle name="Normal 2 21 12" xfId="24653" xr:uid="{00000000-0005-0000-0000-000077630000}"/>
    <cellStyle name="Normal 2 21 13" xfId="24654" xr:uid="{00000000-0005-0000-0000-000078630000}"/>
    <cellStyle name="Normal 2 21 14" xfId="24655" xr:uid="{00000000-0005-0000-0000-000079630000}"/>
    <cellStyle name="Normal 2 21 15" xfId="24656" xr:uid="{00000000-0005-0000-0000-00007A630000}"/>
    <cellStyle name="Normal 2 21 16" xfId="24657" xr:uid="{00000000-0005-0000-0000-00007B630000}"/>
    <cellStyle name="Normal 2 21 17" xfId="24658" xr:uid="{00000000-0005-0000-0000-00007C630000}"/>
    <cellStyle name="Normal 2 21 18" xfId="24659" xr:uid="{00000000-0005-0000-0000-00007D630000}"/>
    <cellStyle name="Normal 2 21 19" xfId="24660" xr:uid="{00000000-0005-0000-0000-00007E630000}"/>
    <cellStyle name="Normal 2 21 2" xfId="24661" xr:uid="{00000000-0005-0000-0000-00007F630000}"/>
    <cellStyle name="Normal 2 21 2 10" xfId="24662" xr:uid="{00000000-0005-0000-0000-000080630000}"/>
    <cellStyle name="Normal 2 21 2 11" xfId="24663" xr:uid="{00000000-0005-0000-0000-000081630000}"/>
    <cellStyle name="Normal 2 21 2 12" xfId="24664" xr:uid="{00000000-0005-0000-0000-000082630000}"/>
    <cellStyle name="Normal 2 21 2 13" xfId="24665" xr:uid="{00000000-0005-0000-0000-000083630000}"/>
    <cellStyle name="Normal 2 21 2 2" xfId="24666" xr:uid="{00000000-0005-0000-0000-000084630000}"/>
    <cellStyle name="Normal 2 21 2 2 2" xfId="24667" xr:uid="{00000000-0005-0000-0000-000085630000}"/>
    <cellStyle name="Normal 2 21 2 2 3" xfId="24668" xr:uid="{00000000-0005-0000-0000-000086630000}"/>
    <cellStyle name="Normal 2 21 2 2 4" xfId="24669" xr:uid="{00000000-0005-0000-0000-000087630000}"/>
    <cellStyle name="Normal 2 21 2 2 5" xfId="24670" xr:uid="{00000000-0005-0000-0000-000088630000}"/>
    <cellStyle name="Normal 2 21 2 2 6" xfId="24671" xr:uid="{00000000-0005-0000-0000-000089630000}"/>
    <cellStyle name="Normal 2 21 2 3" xfId="24672" xr:uid="{00000000-0005-0000-0000-00008A630000}"/>
    <cellStyle name="Normal 2 21 2 3 2" xfId="24673" xr:uid="{00000000-0005-0000-0000-00008B630000}"/>
    <cellStyle name="Normal 2 21 2 3 3" xfId="24674" xr:uid="{00000000-0005-0000-0000-00008C630000}"/>
    <cellStyle name="Normal 2 21 2 3 4" xfId="24675" xr:uid="{00000000-0005-0000-0000-00008D630000}"/>
    <cellStyle name="Normal 2 21 2 3 5" xfId="24676" xr:uid="{00000000-0005-0000-0000-00008E630000}"/>
    <cellStyle name="Normal 2 21 2 3 6" xfId="24677" xr:uid="{00000000-0005-0000-0000-00008F630000}"/>
    <cellStyle name="Normal 2 21 2 4" xfId="24678" xr:uid="{00000000-0005-0000-0000-000090630000}"/>
    <cellStyle name="Normal 2 21 2 4 2" xfId="24679" xr:uid="{00000000-0005-0000-0000-000091630000}"/>
    <cellStyle name="Normal 2 21 2 4 3" xfId="24680" xr:uid="{00000000-0005-0000-0000-000092630000}"/>
    <cellStyle name="Normal 2 21 2 4 4" xfId="24681" xr:uid="{00000000-0005-0000-0000-000093630000}"/>
    <cellStyle name="Normal 2 21 2 4 5" xfId="24682" xr:uid="{00000000-0005-0000-0000-000094630000}"/>
    <cellStyle name="Normal 2 21 2 4 6" xfId="24683" xr:uid="{00000000-0005-0000-0000-000095630000}"/>
    <cellStyle name="Normal 2 21 2 5" xfId="24684" xr:uid="{00000000-0005-0000-0000-000096630000}"/>
    <cellStyle name="Normal 2 21 2 5 2" xfId="24685" xr:uid="{00000000-0005-0000-0000-000097630000}"/>
    <cellStyle name="Normal 2 21 2 5 3" xfId="24686" xr:uid="{00000000-0005-0000-0000-000098630000}"/>
    <cellStyle name="Normal 2 21 2 5 4" xfId="24687" xr:uid="{00000000-0005-0000-0000-000099630000}"/>
    <cellStyle name="Normal 2 21 2 5 5" xfId="24688" xr:uid="{00000000-0005-0000-0000-00009A630000}"/>
    <cellStyle name="Normal 2 21 2 5 6" xfId="24689" xr:uid="{00000000-0005-0000-0000-00009B630000}"/>
    <cellStyle name="Normal 2 21 2 6" xfId="24690" xr:uid="{00000000-0005-0000-0000-00009C630000}"/>
    <cellStyle name="Normal 2 21 2 6 2" xfId="24691" xr:uid="{00000000-0005-0000-0000-00009D630000}"/>
    <cellStyle name="Normal 2 21 2 6 3" xfId="24692" xr:uid="{00000000-0005-0000-0000-00009E630000}"/>
    <cellStyle name="Normal 2 21 2 6 4" xfId="24693" xr:uid="{00000000-0005-0000-0000-00009F630000}"/>
    <cellStyle name="Normal 2 21 2 6 5" xfId="24694" xr:uid="{00000000-0005-0000-0000-0000A0630000}"/>
    <cellStyle name="Normal 2 21 2 6 6" xfId="24695" xr:uid="{00000000-0005-0000-0000-0000A1630000}"/>
    <cellStyle name="Normal 2 21 2 7" xfId="24696" xr:uid="{00000000-0005-0000-0000-0000A2630000}"/>
    <cellStyle name="Normal 2 21 2 7 2" xfId="24697" xr:uid="{00000000-0005-0000-0000-0000A3630000}"/>
    <cellStyle name="Normal 2 21 2 7 3" xfId="24698" xr:uid="{00000000-0005-0000-0000-0000A4630000}"/>
    <cellStyle name="Normal 2 21 2 7 4" xfId="24699" xr:uid="{00000000-0005-0000-0000-0000A5630000}"/>
    <cellStyle name="Normal 2 21 2 7 5" xfId="24700" xr:uid="{00000000-0005-0000-0000-0000A6630000}"/>
    <cellStyle name="Normal 2 21 2 7 6" xfId="24701" xr:uid="{00000000-0005-0000-0000-0000A7630000}"/>
    <cellStyle name="Normal 2 21 2 8" xfId="24702" xr:uid="{00000000-0005-0000-0000-0000A8630000}"/>
    <cellStyle name="Normal 2 21 2 8 2" xfId="24703" xr:uid="{00000000-0005-0000-0000-0000A9630000}"/>
    <cellStyle name="Normal 2 21 2 8 3" xfId="24704" xr:uid="{00000000-0005-0000-0000-0000AA630000}"/>
    <cellStyle name="Normal 2 21 2 8 4" xfId="24705" xr:uid="{00000000-0005-0000-0000-0000AB630000}"/>
    <cellStyle name="Normal 2 21 2 8 5" xfId="24706" xr:uid="{00000000-0005-0000-0000-0000AC630000}"/>
    <cellStyle name="Normal 2 21 2 8 6" xfId="24707" xr:uid="{00000000-0005-0000-0000-0000AD630000}"/>
    <cellStyle name="Normal 2 21 2 9" xfId="24708" xr:uid="{00000000-0005-0000-0000-0000AE630000}"/>
    <cellStyle name="Normal 2 21 20" xfId="24709" xr:uid="{00000000-0005-0000-0000-0000AF630000}"/>
    <cellStyle name="Normal 2 21 21" xfId="24710" xr:uid="{00000000-0005-0000-0000-0000B0630000}"/>
    <cellStyle name="Normal 2 21 22" xfId="24711" xr:uid="{00000000-0005-0000-0000-0000B1630000}"/>
    <cellStyle name="Normal 2 21 23" xfId="24712" xr:uid="{00000000-0005-0000-0000-0000B2630000}"/>
    <cellStyle name="Normal 2 21 24" xfId="24713" xr:uid="{00000000-0005-0000-0000-0000B3630000}"/>
    <cellStyle name="Normal 2 21 25" xfId="24714" xr:uid="{00000000-0005-0000-0000-0000B4630000}"/>
    <cellStyle name="Normal 2 21 26" xfId="24715" xr:uid="{00000000-0005-0000-0000-0000B5630000}"/>
    <cellStyle name="Normal 2 21 27" xfId="24716" xr:uid="{00000000-0005-0000-0000-0000B6630000}"/>
    <cellStyle name="Normal 2 21 28" xfId="24717" xr:uid="{00000000-0005-0000-0000-0000B7630000}"/>
    <cellStyle name="Normal 2 21 29" xfId="24718" xr:uid="{00000000-0005-0000-0000-0000B8630000}"/>
    <cellStyle name="Normal 2 21 3" xfId="24719" xr:uid="{00000000-0005-0000-0000-0000B9630000}"/>
    <cellStyle name="Normal 2 21 3 10" xfId="24720" xr:uid="{00000000-0005-0000-0000-0000BA630000}"/>
    <cellStyle name="Normal 2 21 3 11" xfId="24721" xr:uid="{00000000-0005-0000-0000-0000BB630000}"/>
    <cellStyle name="Normal 2 21 3 12" xfId="24722" xr:uid="{00000000-0005-0000-0000-0000BC630000}"/>
    <cellStyle name="Normal 2 21 3 13" xfId="24723" xr:uid="{00000000-0005-0000-0000-0000BD630000}"/>
    <cellStyle name="Normal 2 21 3 2" xfId="24724" xr:uid="{00000000-0005-0000-0000-0000BE630000}"/>
    <cellStyle name="Normal 2 21 3 2 2" xfId="24725" xr:uid="{00000000-0005-0000-0000-0000BF630000}"/>
    <cellStyle name="Normal 2 21 3 2 3" xfId="24726" xr:uid="{00000000-0005-0000-0000-0000C0630000}"/>
    <cellStyle name="Normal 2 21 3 2 4" xfId="24727" xr:uid="{00000000-0005-0000-0000-0000C1630000}"/>
    <cellStyle name="Normal 2 21 3 2 5" xfId="24728" xr:uid="{00000000-0005-0000-0000-0000C2630000}"/>
    <cellStyle name="Normal 2 21 3 2 6" xfId="24729" xr:uid="{00000000-0005-0000-0000-0000C3630000}"/>
    <cellStyle name="Normal 2 21 3 3" xfId="24730" xr:uid="{00000000-0005-0000-0000-0000C4630000}"/>
    <cellStyle name="Normal 2 21 3 3 2" xfId="24731" xr:uid="{00000000-0005-0000-0000-0000C5630000}"/>
    <cellStyle name="Normal 2 21 3 3 3" xfId="24732" xr:uid="{00000000-0005-0000-0000-0000C6630000}"/>
    <cellStyle name="Normal 2 21 3 3 4" xfId="24733" xr:uid="{00000000-0005-0000-0000-0000C7630000}"/>
    <cellStyle name="Normal 2 21 3 3 5" xfId="24734" xr:uid="{00000000-0005-0000-0000-0000C8630000}"/>
    <cellStyle name="Normal 2 21 3 3 6" xfId="24735" xr:uid="{00000000-0005-0000-0000-0000C9630000}"/>
    <cellStyle name="Normal 2 21 3 4" xfId="24736" xr:uid="{00000000-0005-0000-0000-0000CA630000}"/>
    <cellStyle name="Normal 2 21 3 4 2" xfId="24737" xr:uid="{00000000-0005-0000-0000-0000CB630000}"/>
    <cellStyle name="Normal 2 21 3 4 3" xfId="24738" xr:uid="{00000000-0005-0000-0000-0000CC630000}"/>
    <cellStyle name="Normal 2 21 3 4 4" xfId="24739" xr:uid="{00000000-0005-0000-0000-0000CD630000}"/>
    <cellStyle name="Normal 2 21 3 4 5" xfId="24740" xr:uid="{00000000-0005-0000-0000-0000CE630000}"/>
    <cellStyle name="Normal 2 21 3 4 6" xfId="24741" xr:uid="{00000000-0005-0000-0000-0000CF630000}"/>
    <cellStyle name="Normal 2 21 3 5" xfId="24742" xr:uid="{00000000-0005-0000-0000-0000D0630000}"/>
    <cellStyle name="Normal 2 21 3 5 2" xfId="24743" xr:uid="{00000000-0005-0000-0000-0000D1630000}"/>
    <cellStyle name="Normal 2 21 3 5 3" xfId="24744" xr:uid="{00000000-0005-0000-0000-0000D2630000}"/>
    <cellStyle name="Normal 2 21 3 5 4" xfId="24745" xr:uid="{00000000-0005-0000-0000-0000D3630000}"/>
    <cellStyle name="Normal 2 21 3 5 5" xfId="24746" xr:uid="{00000000-0005-0000-0000-0000D4630000}"/>
    <cellStyle name="Normal 2 21 3 5 6" xfId="24747" xr:uid="{00000000-0005-0000-0000-0000D5630000}"/>
    <cellStyle name="Normal 2 21 3 6" xfId="24748" xr:uid="{00000000-0005-0000-0000-0000D6630000}"/>
    <cellStyle name="Normal 2 21 3 6 2" xfId="24749" xr:uid="{00000000-0005-0000-0000-0000D7630000}"/>
    <cellStyle name="Normal 2 21 3 6 3" xfId="24750" xr:uid="{00000000-0005-0000-0000-0000D8630000}"/>
    <cellStyle name="Normal 2 21 3 6 4" xfId="24751" xr:uid="{00000000-0005-0000-0000-0000D9630000}"/>
    <cellStyle name="Normal 2 21 3 6 5" xfId="24752" xr:uid="{00000000-0005-0000-0000-0000DA630000}"/>
    <cellStyle name="Normal 2 21 3 6 6" xfId="24753" xr:uid="{00000000-0005-0000-0000-0000DB630000}"/>
    <cellStyle name="Normal 2 21 3 7" xfId="24754" xr:uid="{00000000-0005-0000-0000-0000DC630000}"/>
    <cellStyle name="Normal 2 21 3 7 2" xfId="24755" xr:uid="{00000000-0005-0000-0000-0000DD630000}"/>
    <cellStyle name="Normal 2 21 3 7 3" xfId="24756" xr:uid="{00000000-0005-0000-0000-0000DE630000}"/>
    <cellStyle name="Normal 2 21 3 7 4" xfId="24757" xr:uid="{00000000-0005-0000-0000-0000DF630000}"/>
    <cellStyle name="Normal 2 21 3 7 5" xfId="24758" xr:uid="{00000000-0005-0000-0000-0000E0630000}"/>
    <cellStyle name="Normal 2 21 3 7 6" xfId="24759" xr:uid="{00000000-0005-0000-0000-0000E1630000}"/>
    <cellStyle name="Normal 2 21 3 8" xfId="24760" xr:uid="{00000000-0005-0000-0000-0000E2630000}"/>
    <cellStyle name="Normal 2 21 3 8 2" xfId="24761" xr:uid="{00000000-0005-0000-0000-0000E3630000}"/>
    <cellStyle name="Normal 2 21 3 8 3" xfId="24762" xr:uid="{00000000-0005-0000-0000-0000E4630000}"/>
    <cellStyle name="Normal 2 21 3 8 4" xfId="24763" xr:uid="{00000000-0005-0000-0000-0000E5630000}"/>
    <cellStyle name="Normal 2 21 3 8 5" xfId="24764" xr:uid="{00000000-0005-0000-0000-0000E6630000}"/>
    <cellStyle name="Normal 2 21 3 8 6" xfId="24765" xr:uid="{00000000-0005-0000-0000-0000E7630000}"/>
    <cellStyle name="Normal 2 21 3 9" xfId="24766" xr:uid="{00000000-0005-0000-0000-0000E8630000}"/>
    <cellStyle name="Normal 2 21 30" xfId="24767" xr:uid="{00000000-0005-0000-0000-0000E9630000}"/>
    <cellStyle name="Normal 2 21 31" xfId="24768" xr:uid="{00000000-0005-0000-0000-0000EA630000}"/>
    <cellStyle name="Normal 2 21 32" xfId="24769" xr:uid="{00000000-0005-0000-0000-0000EB630000}"/>
    <cellStyle name="Normal 2 21 33" xfId="24770" xr:uid="{00000000-0005-0000-0000-0000EC630000}"/>
    <cellStyle name="Normal 2 21 34" xfId="24771" xr:uid="{00000000-0005-0000-0000-0000ED630000}"/>
    <cellStyle name="Normal 2 21 35" xfId="24772" xr:uid="{00000000-0005-0000-0000-0000EE630000}"/>
    <cellStyle name="Normal 2 21 36" xfId="24773" xr:uid="{00000000-0005-0000-0000-0000EF630000}"/>
    <cellStyle name="Normal 2 21 37" xfId="24774" xr:uid="{00000000-0005-0000-0000-0000F0630000}"/>
    <cellStyle name="Normal 2 21 38" xfId="24775" xr:uid="{00000000-0005-0000-0000-0000F1630000}"/>
    <cellStyle name="Normal 2 21 39" xfId="24776" xr:uid="{00000000-0005-0000-0000-0000F2630000}"/>
    <cellStyle name="Normal 2 21 4" xfId="24777" xr:uid="{00000000-0005-0000-0000-0000F3630000}"/>
    <cellStyle name="Normal 2 21 4 10" xfId="24778" xr:uid="{00000000-0005-0000-0000-0000F4630000}"/>
    <cellStyle name="Normal 2 21 4 11" xfId="24779" xr:uid="{00000000-0005-0000-0000-0000F5630000}"/>
    <cellStyle name="Normal 2 21 4 12" xfId="24780" xr:uid="{00000000-0005-0000-0000-0000F6630000}"/>
    <cellStyle name="Normal 2 21 4 13" xfId="24781" xr:uid="{00000000-0005-0000-0000-0000F7630000}"/>
    <cellStyle name="Normal 2 21 4 2" xfId="24782" xr:uid="{00000000-0005-0000-0000-0000F8630000}"/>
    <cellStyle name="Normal 2 21 4 2 2" xfId="24783" xr:uid="{00000000-0005-0000-0000-0000F9630000}"/>
    <cellStyle name="Normal 2 21 4 2 3" xfId="24784" xr:uid="{00000000-0005-0000-0000-0000FA630000}"/>
    <cellStyle name="Normal 2 21 4 2 4" xfId="24785" xr:uid="{00000000-0005-0000-0000-0000FB630000}"/>
    <cellStyle name="Normal 2 21 4 2 5" xfId="24786" xr:uid="{00000000-0005-0000-0000-0000FC630000}"/>
    <cellStyle name="Normal 2 21 4 2 6" xfId="24787" xr:uid="{00000000-0005-0000-0000-0000FD630000}"/>
    <cellStyle name="Normal 2 21 4 3" xfId="24788" xr:uid="{00000000-0005-0000-0000-0000FE630000}"/>
    <cellStyle name="Normal 2 21 4 3 2" xfId="24789" xr:uid="{00000000-0005-0000-0000-0000FF630000}"/>
    <cellStyle name="Normal 2 21 4 3 3" xfId="24790" xr:uid="{00000000-0005-0000-0000-000000640000}"/>
    <cellStyle name="Normal 2 21 4 3 4" xfId="24791" xr:uid="{00000000-0005-0000-0000-000001640000}"/>
    <cellStyle name="Normal 2 21 4 3 5" xfId="24792" xr:uid="{00000000-0005-0000-0000-000002640000}"/>
    <cellStyle name="Normal 2 21 4 3 6" xfId="24793" xr:uid="{00000000-0005-0000-0000-000003640000}"/>
    <cellStyle name="Normal 2 21 4 4" xfId="24794" xr:uid="{00000000-0005-0000-0000-000004640000}"/>
    <cellStyle name="Normal 2 21 4 4 2" xfId="24795" xr:uid="{00000000-0005-0000-0000-000005640000}"/>
    <cellStyle name="Normal 2 21 4 4 3" xfId="24796" xr:uid="{00000000-0005-0000-0000-000006640000}"/>
    <cellStyle name="Normal 2 21 4 4 4" xfId="24797" xr:uid="{00000000-0005-0000-0000-000007640000}"/>
    <cellStyle name="Normal 2 21 4 4 5" xfId="24798" xr:uid="{00000000-0005-0000-0000-000008640000}"/>
    <cellStyle name="Normal 2 21 4 4 6" xfId="24799" xr:uid="{00000000-0005-0000-0000-000009640000}"/>
    <cellStyle name="Normal 2 21 4 5" xfId="24800" xr:uid="{00000000-0005-0000-0000-00000A640000}"/>
    <cellStyle name="Normal 2 21 4 5 2" xfId="24801" xr:uid="{00000000-0005-0000-0000-00000B640000}"/>
    <cellStyle name="Normal 2 21 4 5 3" xfId="24802" xr:uid="{00000000-0005-0000-0000-00000C640000}"/>
    <cellStyle name="Normal 2 21 4 5 4" xfId="24803" xr:uid="{00000000-0005-0000-0000-00000D640000}"/>
    <cellStyle name="Normal 2 21 4 5 5" xfId="24804" xr:uid="{00000000-0005-0000-0000-00000E640000}"/>
    <cellStyle name="Normal 2 21 4 5 6" xfId="24805" xr:uid="{00000000-0005-0000-0000-00000F640000}"/>
    <cellStyle name="Normal 2 21 4 6" xfId="24806" xr:uid="{00000000-0005-0000-0000-000010640000}"/>
    <cellStyle name="Normal 2 21 4 6 2" xfId="24807" xr:uid="{00000000-0005-0000-0000-000011640000}"/>
    <cellStyle name="Normal 2 21 4 6 3" xfId="24808" xr:uid="{00000000-0005-0000-0000-000012640000}"/>
    <cellStyle name="Normal 2 21 4 6 4" xfId="24809" xr:uid="{00000000-0005-0000-0000-000013640000}"/>
    <cellStyle name="Normal 2 21 4 6 5" xfId="24810" xr:uid="{00000000-0005-0000-0000-000014640000}"/>
    <cellStyle name="Normal 2 21 4 6 6" xfId="24811" xr:uid="{00000000-0005-0000-0000-000015640000}"/>
    <cellStyle name="Normal 2 21 4 7" xfId="24812" xr:uid="{00000000-0005-0000-0000-000016640000}"/>
    <cellStyle name="Normal 2 21 4 7 2" xfId="24813" xr:uid="{00000000-0005-0000-0000-000017640000}"/>
    <cellStyle name="Normal 2 21 4 7 3" xfId="24814" xr:uid="{00000000-0005-0000-0000-000018640000}"/>
    <cellStyle name="Normal 2 21 4 7 4" xfId="24815" xr:uid="{00000000-0005-0000-0000-000019640000}"/>
    <cellStyle name="Normal 2 21 4 7 5" xfId="24816" xr:uid="{00000000-0005-0000-0000-00001A640000}"/>
    <cellStyle name="Normal 2 21 4 7 6" xfId="24817" xr:uid="{00000000-0005-0000-0000-00001B640000}"/>
    <cellStyle name="Normal 2 21 4 8" xfId="24818" xr:uid="{00000000-0005-0000-0000-00001C640000}"/>
    <cellStyle name="Normal 2 21 4 8 2" xfId="24819" xr:uid="{00000000-0005-0000-0000-00001D640000}"/>
    <cellStyle name="Normal 2 21 4 8 3" xfId="24820" xr:uid="{00000000-0005-0000-0000-00001E640000}"/>
    <cellStyle name="Normal 2 21 4 8 4" xfId="24821" xr:uid="{00000000-0005-0000-0000-00001F640000}"/>
    <cellStyle name="Normal 2 21 4 8 5" xfId="24822" xr:uid="{00000000-0005-0000-0000-000020640000}"/>
    <cellStyle name="Normal 2 21 4 8 6" xfId="24823" xr:uid="{00000000-0005-0000-0000-000021640000}"/>
    <cellStyle name="Normal 2 21 4 9" xfId="24824" xr:uid="{00000000-0005-0000-0000-000022640000}"/>
    <cellStyle name="Normal 2 21 40" xfId="24825" xr:uid="{00000000-0005-0000-0000-000023640000}"/>
    <cellStyle name="Normal 2 21 41" xfId="24826" xr:uid="{00000000-0005-0000-0000-000024640000}"/>
    <cellStyle name="Normal 2 21 42" xfId="24827" xr:uid="{00000000-0005-0000-0000-000025640000}"/>
    <cellStyle name="Normal 2 21 43" xfId="24828" xr:uid="{00000000-0005-0000-0000-000026640000}"/>
    <cellStyle name="Normal 2 21 44" xfId="24829" xr:uid="{00000000-0005-0000-0000-000027640000}"/>
    <cellStyle name="Normal 2 21 45" xfId="24830" xr:uid="{00000000-0005-0000-0000-000028640000}"/>
    <cellStyle name="Normal 2 21 46" xfId="24831" xr:uid="{00000000-0005-0000-0000-000029640000}"/>
    <cellStyle name="Normal 2 21 47" xfId="24832" xr:uid="{00000000-0005-0000-0000-00002A640000}"/>
    <cellStyle name="Normal 2 21 48" xfId="24833" xr:uid="{00000000-0005-0000-0000-00002B640000}"/>
    <cellStyle name="Normal 2 21 49" xfId="24834" xr:uid="{00000000-0005-0000-0000-00002C640000}"/>
    <cellStyle name="Normal 2 21 5" xfId="24835" xr:uid="{00000000-0005-0000-0000-00002D640000}"/>
    <cellStyle name="Normal 2 21 5 10" xfId="24836" xr:uid="{00000000-0005-0000-0000-00002E640000}"/>
    <cellStyle name="Normal 2 21 5 11" xfId="24837" xr:uid="{00000000-0005-0000-0000-00002F640000}"/>
    <cellStyle name="Normal 2 21 5 12" xfId="24838" xr:uid="{00000000-0005-0000-0000-000030640000}"/>
    <cellStyle name="Normal 2 21 5 13" xfId="24839" xr:uid="{00000000-0005-0000-0000-000031640000}"/>
    <cellStyle name="Normal 2 21 5 2" xfId="24840" xr:uid="{00000000-0005-0000-0000-000032640000}"/>
    <cellStyle name="Normal 2 21 5 2 2" xfId="24841" xr:uid="{00000000-0005-0000-0000-000033640000}"/>
    <cellStyle name="Normal 2 21 5 2 3" xfId="24842" xr:uid="{00000000-0005-0000-0000-000034640000}"/>
    <cellStyle name="Normal 2 21 5 2 4" xfId="24843" xr:uid="{00000000-0005-0000-0000-000035640000}"/>
    <cellStyle name="Normal 2 21 5 2 5" xfId="24844" xr:uid="{00000000-0005-0000-0000-000036640000}"/>
    <cellStyle name="Normal 2 21 5 2 6" xfId="24845" xr:uid="{00000000-0005-0000-0000-000037640000}"/>
    <cellStyle name="Normal 2 21 5 3" xfId="24846" xr:uid="{00000000-0005-0000-0000-000038640000}"/>
    <cellStyle name="Normal 2 21 5 3 2" xfId="24847" xr:uid="{00000000-0005-0000-0000-000039640000}"/>
    <cellStyle name="Normal 2 21 5 3 3" xfId="24848" xr:uid="{00000000-0005-0000-0000-00003A640000}"/>
    <cellStyle name="Normal 2 21 5 3 4" xfId="24849" xr:uid="{00000000-0005-0000-0000-00003B640000}"/>
    <cellStyle name="Normal 2 21 5 3 5" xfId="24850" xr:uid="{00000000-0005-0000-0000-00003C640000}"/>
    <cellStyle name="Normal 2 21 5 3 6" xfId="24851" xr:uid="{00000000-0005-0000-0000-00003D640000}"/>
    <cellStyle name="Normal 2 21 5 4" xfId="24852" xr:uid="{00000000-0005-0000-0000-00003E640000}"/>
    <cellStyle name="Normal 2 21 5 4 2" xfId="24853" xr:uid="{00000000-0005-0000-0000-00003F640000}"/>
    <cellStyle name="Normal 2 21 5 4 3" xfId="24854" xr:uid="{00000000-0005-0000-0000-000040640000}"/>
    <cellStyle name="Normal 2 21 5 4 4" xfId="24855" xr:uid="{00000000-0005-0000-0000-000041640000}"/>
    <cellStyle name="Normal 2 21 5 4 5" xfId="24856" xr:uid="{00000000-0005-0000-0000-000042640000}"/>
    <cellStyle name="Normal 2 21 5 4 6" xfId="24857" xr:uid="{00000000-0005-0000-0000-000043640000}"/>
    <cellStyle name="Normal 2 21 5 5" xfId="24858" xr:uid="{00000000-0005-0000-0000-000044640000}"/>
    <cellStyle name="Normal 2 21 5 5 2" xfId="24859" xr:uid="{00000000-0005-0000-0000-000045640000}"/>
    <cellStyle name="Normal 2 21 5 5 3" xfId="24860" xr:uid="{00000000-0005-0000-0000-000046640000}"/>
    <cellStyle name="Normal 2 21 5 5 4" xfId="24861" xr:uid="{00000000-0005-0000-0000-000047640000}"/>
    <cellStyle name="Normal 2 21 5 5 5" xfId="24862" xr:uid="{00000000-0005-0000-0000-000048640000}"/>
    <cellStyle name="Normal 2 21 5 5 6" xfId="24863" xr:uid="{00000000-0005-0000-0000-000049640000}"/>
    <cellStyle name="Normal 2 21 5 6" xfId="24864" xr:uid="{00000000-0005-0000-0000-00004A640000}"/>
    <cellStyle name="Normal 2 21 5 6 2" xfId="24865" xr:uid="{00000000-0005-0000-0000-00004B640000}"/>
    <cellStyle name="Normal 2 21 5 6 3" xfId="24866" xr:uid="{00000000-0005-0000-0000-00004C640000}"/>
    <cellStyle name="Normal 2 21 5 6 4" xfId="24867" xr:uid="{00000000-0005-0000-0000-00004D640000}"/>
    <cellStyle name="Normal 2 21 5 6 5" xfId="24868" xr:uid="{00000000-0005-0000-0000-00004E640000}"/>
    <cellStyle name="Normal 2 21 5 6 6" xfId="24869" xr:uid="{00000000-0005-0000-0000-00004F640000}"/>
    <cellStyle name="Normal 2 21 5 7" xfId="24870" xr:uid="{00000000-0005-0000-0000-000050640000}"/>
    <cellStyle name="Normal 2 21 5 7 2" xfId="24871" xr:uid="{00000000-0005-0000-0000-000051640000}"/>
    <cellStyle name="Normal 2 21 5 7 3" xfId="24872" xr:uid="{00000000-0005-0000-0000-000052640000}"/>
    <cellStyle name="Normal 2 21 5 7 4" xfId="24873" xr:uid="{00000000-0005-0000-0000-000053640000}"/>
    <cellStyle name="Normal 2 21 5 7 5" xfId="24874" xr:uid="{00000000-0005-0000-0000-000054640000}"/>
    <cellStyle name="Normal 2 21 5 7 6" xfId="24875" xr:uid="{00000000-0005-0000-0000-000055640000}"/>
    <cellStyle name="Normal 2 21 5 8" xfId="24876" xr:uid="{00000000-0005-0000-0000-000056640000}"/>
    <cellStyle name="Normal 2 21 5 8 2" xfId="24877" xr:uid="{00000000-0005-0000-0000-000057640000}"/>
    <cellStyle name="Normal 2 21 5 8 3" xfId="24878" xr:uid="{00000000-0005-0000-0000-000058640000}"/>
    <cellStyle name="Normal 2 21 5 8 4" xfId="24879" xr:uid="{00000000-0005-0000-0000-000059640000}"/>
    <cellStyle name="Normal 2 21 5 8 5" xfId="24880" xr:uid="{00000000-0005-0000-0000-00005A640000}"/>
    <cellStyle name="Normal 2 21 5 8 6" xfId="24881" xr:uid="{00000000-0005-0000-0000-00005B640000}"/>
    <cellStyle name="Normal 2 21 5 9" xfId="24882" xr:uid="{00000000-0005-0000-0000-00005C640000}"/>
    <cellStyle name="Normal 2 21 50" xfId="24883" xr:uid="{00000000-0005-0000-0000-00005D640000}"/>
    <cellStyle name="Normal 2 21 51" xfId="24884" xr:uid="{00000000-0005-0000-0000-00005E640000}"/>
    <cellStyle name="Normal 2 21 52" xfId="24885" xr:uid="{00000000-0005-0000-0000-00005F640000}"/>
    <cellStyle name="Normal 2 21 6" xfId="24886" xr:uid="{00000000-0005-0000-0000-000060640000}"/>
    <cellStyle name="Normal 2 21 6 10" xfId="24887" xr:uid="{00000000-0005-0000-0000-000061640000}"/>
    <cellStyle name="Normal 2 21 6 11" xfId="24888" xr:uid="{00000000-0005-0000-0000-000062640000}"/>
    <cellStyle name="Normal 2 21 6 12" xfId="24889" xr:uid="{00000000-0005-0000-0000-000063640000}"/>
    <cellStyle name="Normal 2 21 6 13" xfId="24890" xr:uid="{00000000-0005-0000-0000-000064640000}"/>
    <cellStyle name="Normal 2 21 6 2" xfId="24891" xr:uid="{00000000-0005-0000-0000-000065640000}"/>
    <cellStyle name="Normal 2 21 6 2 2" xfId="24892" xr:uid="{00000000-0005-0000-0000-000066640000}"/>
    <cellStyle name="Normal 2 21 6 2 3" xfId="24893" xr:uid="{00000000-0005-0000-0000-000067640000}"/>
    <cellStyle name="Normal 2 21 6 2 4" xfId="24894" xr:uid="{00000000-0005-0000-0000-000068640000}"/>
    <cellStyle name="Normal 2 21 6 2 5" xfId="24895" xr:uid="{00000000-0005-0000-0000-000069640000}"/>
    <cellStyle name="Normal 2 21 6 2 6" xfId="24896" xr:uid="{00000000-0005-0000-0000-00006A640000}"/>
    <cellStyle name="Normal 2 21 6 3" xfId="24897" xr:uid="{00000000-0005-0000-0000-00006B640000}"/>
    <cellStyle name="Normal 2 21 6 3 2" xfId="24898" xr:uid="{00000000-0005-0000-0000-00006C640000}"/>
    <cellStyle name="Normal 2 21 6 3 3" xfId="24899" xr:uid="{00000000-0005-0000-0000-00006D640000}"/>
    <cellStyle name="Normal 2 21 6 3 4" xfId="24900" xr:uid="{00000000-0005-0000-0000-00006E640000}"/>
    <cellStyle name="Normal 2 21 6 3 5" xfId="24901" xr:uid="{00000000-0005-0000-0000-00006F640000}"/>
    <cellStyle name="Normal 2 21 6 3 6" xfId="24902" xr:uid="{00000000-0005-0000-0000-000070640000}"/>
    <cellStyle name="Normal 2 21 6 4" xfId="24903" xr:uid="{00000000-0005-0000-0000-000071640000}"/>
    <cellStyle name="Normal 2 21 6 4 2" xfId="24904" xr:uid="{00000000-0005-0000-0000-000072640000}"/>
    <cellStyle name="Normal 2 21 6 4 3" xfId="24905" xr:uid="{00000000-0005-0000-0000-000073640000}"/>
    <cellStyle name="Normal 2 21 6 4 4" xfId="24906" xr:uid="{00000000-0005-0000-0000-000074640000}"/>
    <cellStyle name="Normal 2 21 6 4 5" xfId="24907" xr:uid="{00000000-0005-0000-0000-000075640000}"/>
    <cellStyle name="Normal 2 21 6 4 6" xfId="24908" xr:uid="{00000000-0005-0000-0000-000076640000}"/>
    <cellStyle name="Normal 2 21 6 5" xfId="24909" xr:uid="{00000000-0005-0000-0000-000077640000}"/>
    <cellStyle name="Normal 2 21 6 5 2" xfId="24910" xr:uid="{00000000-0005-0000-0000-000078640000}"/>
    <cellStyle name="Normal 2 21 6 5 3" xfId="24911" xr:uid="{00000000-0005-0000-0000-000079640000}"/>
    <cellStyle name="Normal 2 21 6 5 4" xfId="24912" xr:uid="{00000000-0005-0000-0000-00007A640000}"/>
    <cellStyle name="Normal 2 21 6 5 5" xfId="24913" xr:uid="{00000000-0005-0000-0000-00007B640000}"/>
    <cellStyle name="Normal 2 21 6 5 6" xfId="24914" xr:uid="{00000000-0005-0000-0000-00007C640000}"/>
    <cellStyle name="Normal 2 21 6 6" xfId="24915" xr:uid="{00000000-0005-0000-0000-00007D640000}"/>
    <cellStyle name="Normal 2 21 6 6 2" xfId="24916" xr:uid="{00000000-0005-0000-0000-00007E640000}"/>
    <cellStyle name="Normal 2 21 6 6 3" xfId="24917" xr:uid="{00000000-0005-0000-0000-00007F640000}"/>
    <cellStyle name="Normal 2 21 6 6 4" xfId="24918" xr:uid="{00000000-0005-0000-0000-000080640000}"/>
    <cellStyle name="Normal 2 21 6 6 5" xfId="24919" xr:uid="{00000000-0005-0000-0000-000081640000}"/>
    <cellStyle name="Normal 2 21 6 6 6" xfId="24920" xr:uid="{00000000-0005-0000-0000-000082640000}"/>
    <cellStyle name="Normal 2 21 6 7" xfId="24921" xr:uid="{00000000-0005-0000-0000-000083640000}"/>
    <cellStyle name="Normal 2 21 6 7 2" xfId="24922" xr:uid="{00000000-0005-0000-0000-000084640000}"/>
    <cellStyle name="Normal 2 21 6 7 3" xfId="24923" xr:uid="{00000000-0005-0000-0000-000085640000}"/>
    <cellStyle name="Normal 2 21 6 7 4" xfId="24924" xr:uid="{00000000-0005-0000-0000-000086640000}"/>
    <cellStyle name="Normal 2 21 6 7 5" xfId="24925" xr:uid="{00000000-0005-0000-0000-000087640000}"/>
    <cellStyle name="Normal 2 21 6 7 6" xfId="24926" xr:uid="{00000000-0005-0000-0000-000088640000}"/>
    <cellStyle name="Normal 2 21 6 8" xfId="24927" xr:uid="{00000000-0005-0000-0000-000089640000}"/>
    <cellStyle name="Normal 2 21 6 8 2" xfId="24928" xr:uid="{00000000-0005-0000-0000-00008A640000}"/>
    <cellStyle name="Normal 2 21 6 8 3" xfId="24929" xr:uid="{00000000-0005-0000-0000-00008B640000}"/>
    <cellStyle name="Normal 2 21 6 8 4" xfId="24930" xr:uid="{00000000-0005-0000-0000-00008C640000}"/>
    <cellStyle name="Normal 2 21 6 8 5" xfId="24931" xr:uid="{00000000-0005-0000-0000-00008D640000}"/>
    <cellStyle name="Normal 2 21 6 8 6" xfId="24932" xr:uid="{00000000-0005-0000-0000-00008E640000}"/>
    <cellStyle name="Normal 2 21 6 9" xfId="24933" xr:uid="{00000000-0005-0000-0000-00008F640000}"/>
    <cellStyle name="Normal 2 21 7" xfId="24934" xr:uid="{00000000-0005-0000-0000-000090640000}"/>
    <cellStyle name="Normal 2 21 7 10" xfId="24935" xr:uid="{00000000-0005-0000-0000-000091640000}"/>
    <cellStyle name="Normal 2 21 7 11" xfId="24936" xr:uid="{00000000-0005-0000-0000-000092640000}"/>
    <cellStyle name="Normal 2 21 7 12" xfId="24937" xr:uid="{00000000-0005-0000-0000-000093640000}"/>
    <cellStyle name="Normal 2 21 7 13" xfId="24938" xr:uid="{00000000-0005-0000-0000-000094640000}"/>
    <cellStyle name="Normal 2 21 7 2" xfId="24939" xr:uid="{00000000-0005-0000-0000-000095640000}"/>
    <cellStyle name="Normal 2 21 7 2 2" xfId="24940" xr:uid="{00000000-0005-0000-0000-000096640000}"/>
    <cellStyle name="Normal 2 21 7 2 3" xfId="24941" xr:uid="{00000000-0005-0000-0000-000097640000}"/>
    <cellStyle name="Normal 2 21 7 2 4" xfId="24942" xr:uid="{00000000-0005-0000-0000-000098640000}"/>
    <cellStyle name="Normal 2 21 7 2 5" xfId="24943" xr:uid="{00000000-0005-0000-0000-000099640000}"/>
    <cellStyle name="Normal 2 21 7 2 6" xfId="24944" xr:uid="{00000000-0005-0000-0000-00009A640000}"/>
    <cellStyle name="Normal 2 21 7 3" xfId="24945" xr:uid="{00000000-0005-0000-0000-00009B640000}"/>
    <cellStyle name="Normal 2 21 7 3 2" xfId="24946" xr:uid="{00000000-0005-0000-0000-00009C640000}"/>
    <cellStyle name="Normal 2 21 7 3 3" xfId="24947" xr:uid="{00000000-0005-0000-0000-00009D640000}"/>
    <cellStyle name="Normal 2 21 7 3 4" xfId="24948" xr:uid="{00000000-0005-0000-0000-00009E640000}"/>
    <cellStyle name="Normal 2 21 7 3 5" xfId="24949" xr:uid="{00000000-0005-0000-0000-00009F640000}"/>
    <cellStyle name="Normal 2 21 7 3 6" xfId="24950" xr:uid="{00000000-0005-0000-0000-0000A0640000}"/>
    <cellStyle name="Normal 2 21 7 4" xfId="24951" xr:uid="{00000000-0005-0000-0000-0000A1640000}"/>
    <cellStyle name="Normal 2 21 7 4 2" xfId="24952" xr:uid="{00000000-0005-0000-0000-0000A2640000}"/>
    <cellStyle name="Normal 2 21 7 4 3" xfId="24953" xr:uid="{00000000-0005-0000-0000-0000A3640000}"/>
    <cellStyle name="Normal 2 21 7 4 4" xfId="24954" xr:uid="{00000000-0005-0000-0000-0000A4640000}"/>
    <cellStyle name="Normal 2 21 7 4 5" xfId="24955" xr:uid="{00000000-0005-0000-0000-0000A5640000}"/>
    <cellStyle name="Normal 2 21 7 4 6" xfId="24956" xr:uid="{00000000-0005-0000-0000-0000A6640000}"/>
    <cellStyle name="Normal 2 21 7 5" xfId="24957" xr:uid="{00000000-0005-0000-0000-0000A7640000}"/>
    <cellStyle name="Normal 2 21 7 5 2" xfId="24958" xr:uid="{00000000-0005-0000-0000-0000A8640000}"/>
    <cellStyle name="Normal 2 21 7 5 3" xfId="24959" xr:uid="{00000000-0005-0000-0000-0000A9640000}"/>
    <cellStyle name="Normal 2 21 7 5 4" xfId="24960" xr:uid="{00000000-0005-0000-0000-0000AA640000}"/>
    <cellStyle name="Normal 2 21 7 5 5" xfId="24961" xr:uid="{00000000-0005-0000-0000-0000AB640000}"/>
    <cellStyle name="Normal 2 21 7 5 6" xfId="24962" xr:uid="{00000000-0005-0000-0000-0000AC640000}"/>
    <cellStyle name="Normal 2 21 7 6" xfId="24963" xr:uid="{00000000-0005-0000-0000-0000AD640000}"/>
    <cellStyle name="Normal 2 21 7 6 2" xfId="24964" xr:uid="{00000000-0005-0000-0000-0000AE640000}"/>
    <cellStyle name="Normal 2 21 7 6 3" xfId="24965" xr:uid="{00000000-0005-0000-0000-0000AF640000}"/>
    <cellStyle name="Normal 2 21 7 6 4" xfId="24966" xr:uid="{00000000-0005-0000-0000-0000B0640000}"/>
    <cellStyle name="Normal 2 21 7 6 5" xfId="24967" xr:uid="{00000000-0005-0000-0000-0000B1640000}"/>
    <cellStyle name="Normal 2 21 7 6 6" xfId="24968" xr:uid="{00000000-0005-0000-0000-0000B2640000}"/>
    <cellStyle name="Normal 2 21 7 7" xfId="24969" xr:uid="{00000000-0005-0000-0000-0000B3640000}"/>
    <cellStyle name="Normal 2 21 7 7 2" xfId="24970" xr:uid="{00000000-0005-0000-0000-0000B4640000}"/>
    <cellStyle name="Normal 2 21 7 7 3" xfId="24971" xr:uid="{00000000-0005-0000-0000-0000B5640000}"/>
    <cellStyle name="Normal 2 21 7 7 4" xfId="24972" xr:uid="{00000000-0005-0000-0000-0000B6640000}"/>
    <cellStyle name="Normal 2 21 7 7 5" xfId="24973" xr:uid="{00000000-0005-0000-0000-0000B7640000}"/>
    <cellStyle name="Normal 2 21 7 7 6" xfId="24974" xr:uid="{00000000-0005-0000-0000-0000B8640000}"/>
    <cellStyle name="Normal 2 21 7 8" xfId="24975" xr:uid="{00000000-0005-0000-0000-0000B9640000}"/>
    <cellStyle name="Normal 2 21 7 8 2" xfId="24976" xr:uid="{00000000-0005-0000-0000-0000BA640000}"/>
    <cellStyle name="Normal 2 21 7 8 3" xfId="24977" xr:uid="{00000000-0005-0000-0000-0000BB640000}"/>
    <cellStyle name="Normal 2 21 7 8 4" xfId="24978" xr:uid="{00000000-0005-0000-0000-0000BC640000}"/>
    <cellStyle name="Normal 2 21 7 8 5" xfId="24979" xr:uid="{00000000-0005-0000-0000-0000BD640000}"/>
    <cellStyle name="Normal 2 21 7 8 6" xfId="24980" xr:uid="{00000000-0005-0000-0000-0000BE640000}"/>
    <cellStyle name="Normal 2 21 7 9" xfId="24981" xr:uid="{00000000-0005-0000-0000-0000BF640000}"/>
    <cellStyle name="Normal 2 21 8" xfId="24982" xr:uid="{00000000-0005-0000-0000-0000C0640000}"/>
    <cellStyle name="Normal 2 21 9" xfId="24983" xr:uid="{00000000-0005-0000-0000-0000C1640000}"/>
    <cellStyle name="Normal 2 22" xfId="24984" xr:uid="{00000000-0005-0000-0000-0000C2640000}"/>
    <cellStyle name="Normal 2 22 10" xfId="24985" xr:uid="{00000000-0005-0000-0000-0000C3640000}"/>
    <cellStyle name="Normal 2 22 11" xfId="24986" xr:uid="{00000000-0005-0000-0000-0000C4640000}"/>
    <cellStyle name="Normal 2 22 12" xfId="24987" xr:uid="{00000000-0005-0000-0000-0000C5640000}"/>
    <cellStyle name="Normal 2 22 13" xfId="24988" xr:uid="{00000000-0005-0000-0000-0000C6640000}"/>
    <cellStyle name="Normal 2 22 14" xfId="24989" xr:uid="{00000000-0005-0000-0000-0000C7640000}"/>
    <cellStyle name="Normal 2 22 2" xfId="24990" xr:uid="{00000000-0005-0000-0000-0000C8640000}"/>
    <cellStyle name="Normal 2 22 2 2" xfId="24991" xr:uid="{00000000-0005-0000-0000-0000C9640000}"/>
    <cellStyle name="Normal 2 22 2 3" xfId="24992" xr:uid="{00000000-0005-0000-0000-0000CA640000}"/>
    <cellStyle name="Normal 2 22 2 4" xfId="24993" xr:uid="{00000000-0005-0000-0000-0000CB640000}"/>
    <cellStyle name="Normal 2 22 2 5" xfId="24994" xr:uid="{00000000-0005-0000-0000-0000CC640000}"/>
    <cellStyle name="Normal 2 22 2 6" xfId="24995" xr:uid="{00000000-0005-0000-0000-0000CD640000}"/>
    <cellStyle name="Normal 2 22 3" xfId="24996" xr:uid="{00000000-0005-0000-0000-0000CE640000}"/>
    <cellStyle name="Normal 2 22 3 2" xfId="24997" xr:uid="{00000000-0005-0000-0000-0000CF640000}"/>
    <cellStyle name="Normal 2 22 3 3" xfId="24998" xr:uid="{00000000-0005-0000-0000-0000D0640000}"/>
    <cellStyle name="Normal 2 22 3 4" xfId="24999" xr:uid="{00000000-0005-0000-0000-0000D1640000}"/>
    <cellStyle name="Normal 2 22 3 5" xfId="25000" xr:uid="{00000000-0005-0000-0000-0000D2640000}"/>
    <cellStyle name="Normal 2 22 3 6" xfId="25001" xr:uid="{00000000-0005-0000-0000-0000D3640000}"/>
    <cellStyle name="Normal 2 22 4" xfId="25002" xr:uid="{00000000-0005-0000-0000-0000D4640000}"/>
    <cellStyle name="Normal 2 22 4 2" xfId="25003" xr:uid="{00000000-0005-0000-0000-0000D5640000}"/>
    <cellStyle name="Normal 2 22 4 3" xfId="25004" xr:uid="{00000000-0005-0000-0000-0000D6640000}"/>
    <cellStyle name="Normal 2 22 4 4" xfId="25005" xr:uid="{00000000-0005-0000-0000-0000D7640000}"/>
    <cellStyle name="Normal 2 22 4 5" xfId="25006" xr:uid="{00000000-0005-0000-0000-0000D8640000}"/>
    <cellStyle name="Normal 2 22 4 6" xfId="25007" xr:uid="{00000000-0005-0000-0000-0000D9640000}"/>
    <cellStyle name="Normal 2 22 5" xfId="25008" xr:uid="{00000000-0005-0000-0000-0000DA640000}"/>
    <cellStyle name="Normal 2 22 5 2" xfId="25009" xr:uid="{00000000-0005-0000-0000-0000DB640000}"/>
    <cellStyle name="Normal 2 22 5 3" xfId="25010" xr:uid="{00000000-0005-0000-0000-0000DC640000}"/>
    <cellStyle name="Normal 2 22 5 4" xfId="25011" xr:uid="{00000000-0005-0000-0000-0000DD640000}"/>
    <cellStyle name="Normal 2 22 5 5" xfId="25012" xr:uid="{00000000-0005-0000-0000-0000DE640000}"/>
    <cellStyle name="Normal 2 22 5 6" xfId="25013" xr:uid="{00000000-0005-0000-0000-0000DF640000}"/>
    <cellStyle name="Normal 2 22 6" xfId="25014" xr:uid="{00000000-0005-0000-0000-0000E0640000}"/>
    <cellStyle name="Normal 2 22 6 2" xfId="25015" xr:uid="{00000000-0005-0000-0000-0000E1640000}"/>
    <cellStyle name="Normal 2 22 6 3" xfId="25016" xr:uid="{00000000-0005-0000-0000-0000E2640000}"/>
    <cellStyle name="Normal 2 22 6 4" xfId="25017" xr:uid="{00000000-0005-0000-0000-0000E3640000}"/>
    <cellStyle name="Normal 2 22 6 5" xfId="25018" xr:uid="{00000000-0005-0000-0000-0000E4640000}"/>
    <cellStyle name="Normal 2 22 6 6" xfId="25019" xr:uid="{00000000-0005-0000-0000-0000E5640000}"/>
    <cellStyle name="Normal 2 22 7" xfId="25020" xr:uid="{00000000-0005-0000-0000-0000E6640000}"/>
    <cellStyle name="Normal 2 22 7 2" xfId="25021" xr:uid="{00000000-0005-0000-0000-0000E7640000}"/>
    <cellStyle name="Normal 2 22 7 3" xfId="25022" xr:uid="{00000000-0005-0000-0000-0000E8640000}"/>
    <cellStyle name="Normal 2 22 7 4" xfId="25023" xr:uid="{00000000-0005-0000-0000-0000E9640000}"/>
    <cellStyle name="Normal 2 22 7 5" xfId="25024" xr:uid="{00000000-0005-0000-0000-0000EA640000}"/>
    <cellStyle name="Normal 2 22 7 6" xfId="25025" xr:uid="{00000000-0005-0000-0000-0000EB640000}"/>
    <cellStyle name="Normal 2 22 8" xfId="25026" xr:uid="{00000000-0005-0000-0000-0000EC640000}"/>
    <cellStyle name="Normal 2 22 8 2" xfId="25027" xr:uid="{00000000-0005-0000-0000-0000ED640000}"/>
    <cellStyle name="Normal 2 22 8 3" xfId="25028" xr:uid="{00000000-0005-0000-0000-0000EE640000}"/>
    <cellStyle name="Normal 2 22 8 4" xfId="25029" xr:uid="{00000000-0005-0000-0000-0000EF640000}"/>
    <cellStyle name="Normal 2 22 8 5" xfId="25030" xr:uid="{00000000-0005-0000-0000-0000F0640000}"/>
    <cellStyle name="Normal 2 22 8 6" xfId="25031" xr:uid="{00000000-0005-0000-0000-0000F1640000}"/>
    <cellStyle name="Normal 2 22 9" xfId="25032" xr:uid="{00000000-0005-0000-0000-0000F2640000}"/>
    <cellStyle name="Normal 2 23" xfId="25033" xr:uid="{00000000-0005-0000-0000-0000F3640000}"/>
    <cellStyle name="Normal 2 23 10" xfId="25034" xr:uid="{00000000-0005-0000-0000-0000F4640000}"/>
    <cellStyle name="Normal 2 23 11" xfId="25035" xr:uid="{00000000-0005-0000-0000-0000F5640000}"/>
    <cellStyle name="Normal 2 23 12" xfId="25036" xr:uid="{00000000-0005-0000-0000-0000F6640000}"/>
    <cellStyle name="Normal 2 23 13" xfId="25037" xr:uid="{00000000-0005-0000-0000-0000F7640000}"/>
    <cellStyle name="Normal 2 23 14" xfId="25038" xr:uid="{00000000-0005-0000-0000-0000F8640000}"/>
    <cellStyle name="Normal 2 23 2" xfId="25039" xr:uid="{00000000-0005-0000-0000-0000F9640000}"/>
    <cellStyle name="Normal 2 23 2 2" xfId="25040" xr:uid="{00000000-0005-0000-0000-0000FA640000}"/>
    <cellStyle name="Normal 2 23 2 3" xfId="25041" xr:uid="{00000000-0005-0000-0000-0000FB640000}"/>
    <cellStyle name="Normal 2 23 2 4" xfId="25042" xr:uid="{00000000-0005-0000-0000-0000FC640000}"/>
    <cellStyle name="Normal 2 23 2 5" xfId="25043" xr:uid="{00000000-0005-0000-0000-0000FD640000}"/>
    <cellStyle name="Normal 2 23 2 6" xfId="25044" xr:uid="{00000000-0005-0000-0000-0000FE640000}"/>
    <cellStyle name="Normal 2 23 3" xfId="25045" xr:uid="{00000000-0005-0000-0000-0000FF640000}"/>
    <cellStyle name="Normal 2 23 3 2" xfId="25046" xr:uid="{00000000-0005-0000-0000-000000650000}"/>
    <cellStyle name="Normal 2 23 3 3" xfId="25047" xr:uid="{00000000-0005-0000-0000-000001650000}"/>
    <cellStyle name="Normal 2 23 3 4" xfId="25048" xr:uid="{00000000-0005-0000-0000-000002650000}"/>
    <cellStyle name="Normal 2 23 3 5" xfId="25049" xr:uid="{00000000-0005-0000-0000-000003650000}"/>
    <cellStyle name="Normal 2 23 3 6" xfId="25050" xr:uid="{00000000-0005-0000-0000-000004650000}"/>
    <cellStyle name="Normal 2 23 4" xfId="25051" xr:uid="{00000000-0005-0000-0000-000005650000}"/>
    <cellStyle name="Normal 2 23 4 2" xfId="25052" xr:uid="{00000000-0005-0000-0000-000006650000}"/>
    <cellStyle name="Normal 2 23 4 3" xfId="25053" xr:uid="{00000000-0005-0000-0000-000007650000}"/>
    <cellStyle name="Normal 2 23 4 4" xfId="25054" xr:uid="{00000000-0005-0000-0000-000008650000}"/>
    <cellStyle name="Normal 2 23 4 5" xfId="25055" xr:uid="{00000000-0005-0000-0000-000009650000}"/>
    <cellStyle name="Normal 2 23 4 6" xfId="25056" xr:uid="{00000000-0005-0000-0000-00000A650000}"/>
    <cellStyle name="Normal 2 23 5" xfId="25057" xr:uid="{00000000-0005-0000-0000-00000B650000}"/>
    <cellStyle name="Normal 2 23 5 2" xfId="25058" xr:uid="{00000000-0005-0000-0000-00000C650000}"/>
    <cellStyle name="Normal 2 23 5 3" xfId="25059" xr:uid="{00000000-0005-0000-0000-00000D650000}"/>
    <cellStyle name="Normal 2 23 5 4" xfId="25060" xr:uid="{00000000-0005-0000-0000-00000E650000}"/>
    <cellStyle name="Normal 2 23 5 5" xfId="25061" xr:uid="{00000000-0005-0000-0000-00000F650000}"/>
    <cellStyle name="Normal 2 23 5 6" xfId="25062" xr:uid="{00000000-0005-0000-0000-000010650000}"/>
    <cellStyle name="Normal 2 23 6" xfId="25063" xr:uid="{00000000-0005-0000-0000-000011650000}"/>
    <cellStyle name="Normal 2 23 6 2" xfId="25064" xr:uid="{00000000-0005-0000-0000-000012650000}"/>
    <cellStyle name="Normal 2 23 6 3" xfId="25065" xr:uid="{00000000-0005-0000-0000-000013650000}"/>
    <cellStyle name="Normal 2 23 6 4" xfId="25066" xr:uid="{00000000-0005-0000-0000-000014650000}"/>
    <cellStyle name="Normal 2 23 6 5" xfId="25067" xr:uid="{00000000-0005-0000-0000-000015650000}"/>
    <cellStyle name="Normal 2 23 6 6" xfId="25068" xr:uid="{00000000-0005-0000-0000-000016650000}"/>
    <cellStyle name="Normal 2 23 7" xfId="25069" xr:uid="{00000000-0005-0000-0000-000017650000}"/>
    <cellStyle name="Normal 2 23 7 2" xfId="25070" xr:uid="{00000000-0005-0000-0000-000018650000}"/>
    <cellStyle name="Normal 2 23 7 3" xfId="25071" xr:uid="{00000000-0005-0000-0000-000019650000}"/>
    <cellStyle name="Normal 2 23 7 4" xfId="25072" xr:uid="{00000000-0005-0000-0000-00001A650000}"/>
    <cellStyle name="Normal 2 23 7 5" xfId="25073" xr:uid="{00000000-0005-0000-0000-00001B650000}"/>
    <cellStyle name="Normal 2 23 7 6" xfId="25074" xr:uid="{00000000-0005-0000-0000-00001C650000}"/>
    <cellStyle name="Normal 2 23 8" xfId="25075" xr:uid="{00000000-0005-0000-0000-00001D650000}"/>
    <cellStyle name="Normal 2 23 8 2" xfId="25076" xr:uid="{00000000-0005-0000-0000-00001E650000}"/>
    <cellStyle name="Normal 2 23 8 3" xfId="25077" xr:uid="{00000000-0005-0000-0000-00001F650000}"/>
    <cellStyle name="Normal 2 23 8 4" xfId="25078" xr:uid="{00000000-0005-0000-0000-000020650000}"/>
    <cellStyle name="Normal 2 23 8 5" xfId="25079" xr:uid="{00000000-0005-0000-0000-000021650000}"/>
    <cellStyle name="Normal 2 23 8 6" xfId="25080" xr:uid="{00000000-0005-0000-0000-000022650000}"/>
    <cellStyle name="Normal 2 23 9" xfId="25081" xr:uid="{00000000-0005-0000-0000-000023650000}"/>
    <cellStyle name="Normal 2 24" xfId="25082" xr:uid="{00000000-0005-0000-0000-000024650000}"/>
    <cellStyle name="Normal 2 24 10" xfId="25083" xr:uid="{00000000-0005-0000-0000-000025650000}"/>
    <cellStyle name="Normal 2 24 11" xfId="25084" xr:uid="{00000000-0005-0000-0000-000026650000}"/>
    <cellStyle name="Normal 2 24 12" xfId="25085" xr:uid="{00000000-0005-0000-0000-000027650000}"/>
    <cellStyle name="Normal 2 24 13" xfId="25086" xr:uid="{00000000-0005-0000-0000-000028650000}"/>
    <cellStyle name="Normal 2 24 14" xfId="25087" xr:uid="{00000000-0005-0000-0000-000029650000}"/>
    <cellStyle name="Normal 2 24 15" xfId="25088" xr:uid="{00000000-0005-0000-0000-00002A650000}"/>
    <cellStyle name="Normal 2 24 16" xfId="25089" xr:uid="{00000000-0005-0000-0000-00002B650000}"/>
    <cellStyle name="Normal 2 24 17" xfId="25090" xr:uid="{00000000-0005-0000-0000-00002C650000}"/>
    <cellStyle name="Normal 2 24 18" xfId="25091" xr:uid="{00000000-0005-0000-0000-00002D650000}"/>
    <cellStyle name="Normal 2 24 19" xfId="25092" xr:uid="{00000000-0005-0000-0000-00002E650000}"/>
    <cellStyle name="Normal 2 24 2" xfId="25093" xr:uid="{00000000-0005-0000-0000-00002F650000}"/>
    <cellStyle name="Normal 2 24 20" xfId="25094" xr:uid="{00000000-0005-0000-0000-000030650000}"/>
    <cellStyle name="Normal 2 24 21" xfId="25095" xr:uid="{00000000-0005-0000-0000-000031650000}"/>
    <cellStyle name="Normal 2 24 22" xfId="25096" xr:uid="{00000000-0005-0000-0000-000032650000}"/>
    <cellStyle name="Normal 2 24 23" xfId="25097" xr:uid="{00000000-0005-0000-0000-000033650000}"/>
    <cellStyle name="Normal 2 24 24" xfId="25098" xr:uid="{00000000-0005-0000-0000-000034650000}"/>
    <cellStyle name="Normal 2 24 25" xfId="25099" xr:uid="{00000000-0005-0000-0000-000035650000}"/>
    <cellStyle name="Normal 2 24 26" xfId="25100" xr:uid="{00000000-0005-0000-0000-000036650000}"/>
    <cellStyle name="Normal 2 24 27" xfId="25101" xr:uid="{00000000-0005-0000-0000-000037650000}"/>
    <cellStyle name="Normal 2 24 28" xfId="25102" xr:uid="{00000000-0005-0000-0000-000038650000}"/>
    <cellStyle name="Normal 2 24 29" xfId="25103" xr:uid="{00000000-0005-0000-0000-000039650000}"/>
    <cellStyle name="Normal 2 24 3" xfId="25104" xr:uid="{00000000-0005-0000-0000-00003A650000}"/>
    <cellStyle name="Normal 2 24 30" xfId="25105" xr:uid="{00000000-0005-0000-0000-00003B650000}"/>
    <cellStyle name="Normal 2 24 31" xfId="25106" xr:uid="{00000000-0005-0000-0000-00003C650000}"/>
    <cellStyle name="Normal 2 24 32" xfId="25107" xr:uid="{00000000-0005-0000-0000-00003D650000}"/>
    <cellStyle name="Normal 2 24 33" xfId="25108" xr:uid="{00000000-0005-0000-0000-00003E650000}"/>
    <cellStyle name="Normal 2 24 34" xfId="25109" xr:uid="{00000000-0005-0000-0000-00003F650000}"/>
    <cellStyle name="Normal 2 24 35" xfId="25110" xr:uid="{00000000-0005-0000-0000-000040650000}"/>
    <cellStyle name="Normal 2 24 36" xfId="25111" xr:uid="{00000000-0005-0000-0000-000041650000}"/>
    <cellStyle name="Normal 2 24 37" xfId="25112" xr:uid="{00000000-0005-0000-0000-000042650000}"/>
    <cellStyle name="Normal 2 24 38" xfId="25113" xr:uid="{00000000-0005-0000-0000-000043650000}"/>
    <cellStyle name="Normal 2 24 39" xfId="25114" xr:uid="{00000000-0005-0000-0000-000044650000}"/>
    <cellStyle name="Normal 2 24 4" xfId="25115" xr:uid="{00000000-0005-0000-0000-000045650000}"/>
    <cellStyle name="Normal 2 24 40" xfId="25116" xr:uid="{00000000-0005-0000-0000-000046650000}"/>
    <cellStyle name="Normal 2 24 41" xfId="25117" xr:uid="{00000000-0005-0000-0000-000047650000}"/>
    <cellStyle name="Normal 2 24 42" xfId="25118" xr:uid="{00000000-0005-0000-0000-000048650000}"/>
    <cellStyle name="Normal 2 24 43" xfId="25119" xr:uid="{00000000-0005-0000-0000-000049650000}"/>
    <cellStyle name="Normal 2 24 44" xfId="25120" xr:uid="{00000000-0005-0000-0000-00004A650000}"/>
    <cellStyle name="Normal 2 24 45" xfId="25121" xr:uid="{00000000-0005-0000-0000-00004B650000}"/>
    <cellStyle name="Normal 2 24 46" xfId="25122" xr:uid="{00000000-0005-0000-0000-00004C650000}"/>
    <cellStyle name="Normal 2 24 5" xfId="25123" xr:uid="{00000000-0005-0000-0000-00004D650000}"/>
    <cellStyle name="Normal 2 24 6" xfId="25124" xr:uid="{00000000-0005-0000-0000-00004E650000}"/>
    <cellStyle name="Normal 2 24 7" xfId="25125" xr:uid="{00000000-0005-0000-0000-00004F650000}"/>
    <cellStyle name="Normal 2 24 8" xfId="25126" xr:uid="{00000000-0005-0000-0000-000050650000}"/>
    <cellStyle name="Normal 2 24 9" xfId="25127" xr:uid="{00000000-0005-0000-0000-000051650000}"/>
    <cellStyle name="Normal 2 25" xfId="25128" xr:uid="{00000000-0005-0000-0000-000052650000}"/>
    <cellStyle name="Normal 2 25 10" xfId="25129" xr:uid="{00000000-0005-0000-0000-000053650000}"/>
    <cellStyle name="Normal 2 25 11" xfId="25130" xr:uid="{00000000-0005-0000-0000-000054650000}"/>
    <cellStyle name="Normal 2 25 12" xfId="25131" xr:uid="{00000000-0005-0000-0000-000055650000}"/>
    <cellStyle name="Normal 2 25 13" xfId="25132" xr:uid="{00000000-0005-0000-0000-000056650000}"/>
    <cellStyle name="Normal 2 25 14" xfId="25133" xr:uid="{00000000-0005-0000-0000-000057650000}"/>
    <cellStyle name="Normal 2 25 15" xfId="25134" xr:uid="{00000000-0005-0000-0000-000058650000}"/>
    <cellStyle name="Normal 2 25 16" xfId="25135" xr:uid="{00000000-0005-0000-0000-000059650000}"/>
    <cellStyle name="Normal 2 25 17" xfId="25136" xr:uid="{00000000-0005-0000-0000-00005A650000}"/>
    <cellStyle name="Normal 2 25 18" xfId="25137" xr:uid="{00000000-0005-0000-0000-00005B650000}"/>
    <cellStyle name="Normal 2 25 19" xfId="25138" xr:uid="{00000000-0005-0000-0000-00005C650000}"/>
    <cellStyle name="Normal 2 25 2" xfId="25139" xr:uid="{00000000-0005-0000-0000-00005D650000}"/>
    <cellStyle name="Normal 2 25 20" xfId="25140" xr:uid="{00000000-0005-0000-0000-00005E650000}"/>
    <cellStyle name="Normal 2 25 21" xfId="25141" xr:uid="{00000000-0005-0000-0000-00005F650000}"/>
    <cellStyle name="Normal 2 25 22" xfId="25142" xr:uid="{00000000-0005-0000-0000-000060650000}"/>
    <cellStyle name="Normal 2 25 23" xfId="25143" xr:uid="{00000000-0005-0000-0000-000061650000}"/>
    <cellStyle name="Normal 2 25 24" xfId="25144" xr:uid="{00000000-0005-0000-0000-000062650000}"/>
    <cellStyle name="Normal 2 25 25" xfId="25145" xr:uid="{00000000-0005-0000-0000-000063650000}"/>
    <cellStyle name="Normal 2 25 26" xfId="25146" xr:uid="{00000000-0005-0000-0000-000064650000}"/>
    <cellStyle name="Normal 2 25 27" xfId="25147" xr:uid="{00000000-0005-0000-0000-000065650000}"/>
    <cellStyle name="Normal 2 25 28" xfId="25148" xr:uid="{00000000-0005-0000-0000-000066650000}"/>
    <cellStyle name="Normal 2 25 29" xfId="25149" xr:uid="{00000000-0005-0000-0000-000067650000}"/>
    <cellStyle name="Normal 2 25 3" xfId="25150" xr:uid="{00000000-0005-0000-0000-000068650000}"/>
    <cellStyle name="Normal 2 25 30" xfId="25151" xr:uid="{00000000-0005-0000-0000-000069650000}"/>
    <cellStyle name="Normal 2 25 31" xfId="25152" xr:uid="{00000000-0005-0000-0000-00006A650000}"/>
    <cellStyle name="Normal 2 25 32" xfId="25153" xr:uid="{00000000-0005-0000-0000-00006B650000}"/>
    <cellStyle name="Normal 2 25 33" xfId="25154" xr:uid="{00000000-0005-0000-0000-00006C650000}"/>
    <cellStyle name="Normal 2 25 34" xfId="25155" xr:uid="{00000000-0005-0000-0000-00006D650000}"/>
    <cellStyle name="Normal 2 25 35" xfId="25156" xr:uid="{00000000-0005-0000-0000-00006E650000}"/>
    <cellStyle name="Normal 2 25 36" xfId="25157" xr:uid="{00000000-0005-0000-0000-00006F650000}"/>
    <cellStyle name="Normal 2 25 37" xfId="25158" xr:uid="{00000000-0005-0000-0000-000070650000}"/>
    <cellStyle name="Normal 2 25 38" xfId="25159" xr:uid="{00000000-0005-0000-0000-000071650000}"/>
    <cellStyle name="Normal 2 25 39" xfId="25160" xr:uid="{00000000-0005-0000-0000-000072650000}"/>
    <cellStyle name="Normal 2 25 4" xfId="25161" xr:uid="{00000000-0005-0000-0000-000073650000}"/>
    <cellStyle name="Normal 2 25 40" xfId="25162" xr:uid="{00000000-0005-0000-0000-000074650000}"/>
    <cellStyle name="Normal 2 25 41" xfId="25163" xr:uid="{00000000-0005-0000-0000-000075650000}"/>
    <cellStyle name="Normal 2 25 42" xfId="25164" xr:uid="{00000000-0005-0000-0000-000076650000}"/>
    <cellStyle name="Normal 2 25 43" xfId="25165" xr:uid="{00000000-0005-0000-0000-000077650000}"/>
    <cellStyle name="Normal 2 25 44" xfId="25166" xr:uid="{00000000-0005-0000-0000-000078650000}"/>
    <cellStyle name="Normal 2 25 45" xfId="25167" xr:uid="{00000000-0005-0000-0000-000079650000}"/>
    <cellStyle name="Normal 2 25 46" xfId="25168" xr:uid="{00000000-0005-0000-0000-00007A650000}"/>
    <cellStyle name="Normal 2 25 5" xfId="25169" xr:uid="{00000000-0005-0000-0000-00007B650000}"/>
    <cellStyle name="Normal 2 25 6" xfId="25170" xr:uid="{00000000-0005-0000-0000-00007C650000}"/>
    <cellStyle name="Normal 2 25 7" xfId="25171" xr:uid="{00000000-0005-0000-0000-00007D650000}"/>
    <cellStyle name="Normal 2 25 8" xfId="25172" xr:uid="{00000000-0005-0000-0000-00007E650000}"/>
    <cellStyle name="Normal 2 25 9" xfId="25173" xr:uid="{00000000-0005-0000-0000-00007F650000}"/>
    <cellStyle name="Normal 2 26" xfId="25174" xr:uid="{00000000-0005-0000-0000-000080650000}"/>
    <cellStyle name="Normal 2 26 10" xfId="25175" xr:uid="{00000000-0005-0000-0000-000081650000}"/>
    <cellStyle name="Normal 2 26 11" xfId="25176" xr:uid="{00000000-0005-0000-0000-000082650000}"/>
    <cellStyle name="Normal 2 26 12" xfId="25177" xr:uid="{00000000-0005-0000-0000-000083650000}"/>
    <cellStyle name="Normal 2 26 13" xfId="25178" xr:uid="{00000000-0005-0000-0000-000084650000}"/>
    <cellStyle name="Normal 2 26 14" xfId="25179" xr:uid="{00000000-0005-0000-0000-000085650000}"/>
    <cellStyle name="Normal 2 26 15" xfId="25180" xr:uid="{00000000-0005-0000-0000-000086650000}"/>
    <cellStyle name="Normal 2 26 16" xfId="25181" xr:uid="{00000000-0005-0000-0000-000087650000}"/>
    <cellStyle name="Normal 2 26 17" xfId="25182" xr:uid="{00000000-0005-0000-0000-000088650000}"/>
    <cellStyle name="Normal 2 26 18" xfId="25183" xr:uid="{00000000-0005-0000-0000-000089650000}"/>
    <cellStyle name="Normal 2 26 19" xfId="25184" xr:uid="{00000000-0005-0000-0000-00008A650000}"/>
    <cellStyle name="Normal 2 26 2" xfId="25185" xr:uid="{00000000-0005-0000-0000-00008B650000}"/>
    <cellStyle name="Normal 2 26 20" xfId="25186" xr:uid="{00000000-0005-0000-0000-00008C650000}"/>
    <cellStyle name="Normal 2 26 21" xfId="25187" xr:uid="{00000000-0005-0000-0000-00008D650000}"/>
    <cellStyle name="Normal 2 26 22" xfId="25188" xr:uid="{00000000-0005-0000-0000-00008E650000}"/>
    <cellStyle name="Normal 2 26 23" xfId="25189" xr:uid="{00000000-0005-0000-0000-00008F650000}"/>
    <cellStyle name="Normal 2 26 24" xfId="25190" xr:uid="{00000000-0005-0000-0000-000090650000}"/>
    <cellStyle name="Normal 2 26 25" xfId="25191" xr:uid="{00000000-0005-0000-0000-000091650000}"/>
    <cellStyle name="Normal 2 26 26" xfId="25192" xr:uid="{00000000-0005-0000-0000-000092650000}"/>
    <cellStyle name="Normal 2 26 27" xfId="25193" xr:uid="{00000000-0005-0000-0000-000093650000}"/>
    <cellStyle name="Normal 2 26 28" xfId="25194" xr:uid="{00000000-0005-0000-0000-000094650000}"/>
    <cellStyle name="Normal 2 26 29" xfId="25195" xr:uid="{00000000-0005-0000-0000-000095650000}"/>
    <cellStyle name="Normal 2 26 3" xfId="25196" xr:uid="{00000000-0005-0000-0000-000096650000}"/>
    <cellStyle name="Normal 2 26 30" xfId="25197" xr:uid="{00000000-0005-0000-0000-000097650000}"/>
    <cellStyle name="Normal 2 26 31" xfId="25198" xr:uid="{00000000-0005-0000-0000-000098650000}"/>
    <cellStyle name="Normal 2 26 32" xfId="25199" xr:uid="{00000000-0005-0000-0000-000099650000}"/>
    <cellStyle name="Normal 2 26 33" xfId="25200" xr:uid="{00000000-0005-0000-0000-00009A650000}"/>
    <cellStyle name="Normal 2 26 34" xfId="25201" xr:uid="{00000000-0005-0000-0000-00009B650000}"/>
    <cellStyle name="Normal 2 26 35" xfId="25202" xr:uid="{00000000-0005-0000-0000-00009C650000}"/>
    <cellStyle name="Normal 2 26 36" xfId="25203" xr:uid="{00000000-0005-0000-0000-00009D650000}"/>
    <cellStyle name="Normal 2 26 37" xfId="25204" xr:uid="{00000000-0005-0000-0000-00009E650000}"/>
    <cellStyle name="Normal 2 26 38" xfId="25205" xr:uid="{00000000-0005-0000-0000-00009F650000}"/>
    <cellStyle name="Normal 2 26 39" xfId="25206" xr:uid="{00000000-0005-0000-0000-0000A0650000}"/>
    <cellStyle name="Normal 2 26 4" xfId="25207" xr:uid="{00000000-0005-0000-0000-0000A1650000}"/>
    <cellStyle name="Normal 2 26 40" xfId="25208" xr:uid="{00000000-0005-0000-0000-0000A2650000}"/>
    <cellStyle name="Normal 2 26 41" xfId="25209" xr:uid="{00000000-0005-0000-0000-0000A3650000}"/>
    <cellStyle name="Normal 2 26 42" xfId="25210" xr:uid="{00000000-0005-0000-0000-0000A4650000}"/>
    <cellStyle name="Normal 2 26 43" xfId="25211" xr:uid="{00000000-0005-0000-0000-0000A5650000}"/>
    <cellStyle name="Normal 2 26 44" xfId="25212" xr:uid="{00000000-0005-0000-0000-0000A6650000}"/>
    <cellStyle name="Normal 2 26 45" xfId="25213" xr:uid="{00000000-0005-0000-0000-0000A7650000}"/>
    <cellStyle name="Normal 2 26 46" xfId="25214" xr:uid="{00000000-0005-0000-0000-0000A8650000}"/>
    <cellStyle name="Normal 2 26 5" xfId="25215" xr:uid="{00000000-0005-0000-0000-0000A9650000}"/>
    <cellStyle name="Normal 2 26 6" xfId="25216" xr:uid="{00000000-0005-0000-0000-0000AA650000}"/>
    <cellStyle name="Normal 2 26 7" xfId="25217" xr:uid="{00000000-0005-0000-0000-0000AB650000}"/>
    <cellStyle name="Normal 2 26 8" xfId="25218" xr:uid="{00000000-0005-0000-0000-0000AC650000}"/>
    <cellStyle name="Normal 2 26 9" xfId="25219" xr:uid="{00000000-0005-0000-0000-0000AD650000}"/>
    <cellStyle name="Normal 2 27" xfId="25220" xr:uid="{00000000-0005-0000-0000-0000AE650000}"/>
    <cellStyle name="Normal 2 27 10" xfId="25221" xr:uid="{00000000-0005-0000-0000-0000AF650000}"/>
    <cellStyle name="Normal 2 27 11" xfId="25222" xr:uid="{00000000-0005-0000-0000-0000B0650000}"/>
    <cellStyle name="Normal 2 27 12" xfId="25223" xr:uid="{00000000-0005-0000-0000-0000B1650000}"/>
    <cellStyle name="Normal 2 27 13" xfId="25224" xr:uid="{00000000-0005-0000-0000-0000B2650000}"/>
    <cellStyle name="Normal 2 27 14" xfId="25225" xr:uid="{00000000-0005-0000-0000-0000B3650000}"/>
    <cellStyle name="Normal 2 27 15" xfId="25226" xr:uid="{00000000-0005-0000-0000-0000B4650000}"/>
    <cellStyle name="Normal 2 27 16" xfId="25227" xr:uid="{00000000-0005-0000-0000-0000B5650000}"/>
    <cellStyle name="Normal 2 27 17" xfId="25228" xr:uid="{00000000-0005-0000-0000-0000B6650000}"/>
    <cellStyle name="Normal 2 27 18" xfId="25229" xr:uid="{00000000-0005-0000-0000-0000B7650000}"/>
    <cellStyle name="Normal 2 27 19" xfId="25230" xr:uid="{00000000-0005-0000-0000-0000B8650000}"/>
    <cellStyle name="Normal 2 27 2" xfId="25231" xr:uid="{00000000-0005-0000-0000-0000B9650000}"/>
    <cellStyle name="Normal 2 27 20" xfId="25232" xr:uid="{00000000-0005-0000-0000-0000BA650000}"/>
    <cellStyle name="Normal 2 27 21" xfId="25233" xr:uid="{00000000-0005-0000-0000-0000BB650000}"/>
    <cellStyle name="Normal 2 27 22" xfId="25234" xr:uid="{00000000-0005-0000-0000-0000BC650000}"/>
    <cellStyle name="Normal 2 27 23" xfId="25235" xr:uid="{00000000-0005-0000-0000-0000BD650000}"/>
    <cellStyle name="Normal 2 27 24" xfId="25236" xr:uid="{00000000-0005-0000-0000-0000BE650000}"/>
    <cellStyle name="Normal 2 27 25" xfId="25237" xr:uid="{00000000-0005-0000-0000-0000BF650000}"/>
    <cellStyle name="Normal 2 27 26" xfId="25238" xr:uid="{00000000-0005-0000-0000-0000C0650000}"/>
    <cellStyle name="Normal 2 27 27" xfId="25239" xr:uid="{00000000-0005-0000-0000-0000C1650000}"/>
    <cellStyle name="Normal 2 27 28" xfId="25240" xr:uid="{00000000-0005-0000-0000-0000C2650000}"/>
    <cellStyle name="Normal 2 27 29" xfId="25241" xr:uid="{00000000-0005-0000-0000-0000C3650000}"/>
    <cellStyle name="Normal 2 27 3" xfId="25242" xr:uid="{00000000-0005-0000-0000-0000C4650000}"/>
    <cellStyle name="Normal 2 27 30" xfId="25243" xr:uid="{00000000-0005-0000-0000-0000C5650000}"/>
    <cellStyle name="Normal 2 27 31" xfId="25244" xr:uid="{00000000-0005-0000-0000-0000C6650000}"/>
    <cellStyle name="Normal 2 27 32" xfId="25245" xr:uid="{00000000-0005-0000-0000-0000C7650000}"/>
    <cellStyle name="Normal 2 27 33" xfId="25246" xr:uid="{00000000-0005-0000-0000-0000C8650000}"/>
    <cellStyle name="Normal 2 27 34" xfId="25247" xr:uid="{00000000-0005-0000-0000-0000C9650000}"/>
    <cellStyle name="Normal 2 27 35" xfId="25248" xr:uid="{00000000-0005-0000-0000-0000CA650000}"/>
    <cellStyle name="Normal 2 27 36" xfId="25249" xr:uid="{00000000-0005-0000-0000-0000CB650000}"/>
    <cellStyle name="Normal 2 27 37" xfId="25250" xr:uid="{00000000-0005-0000-0000-0000CC650000}"/>
    <cellStyle name="Normal 2 27 38" xfId="25251" xr:uid="{00000000-0005-0000-0000-0000CD650000}"/>
    <cellStyle name="Normal 2 27 39" xfId="25252" xr:uid="{00000000-0005-0000-0000-0000CE650000}"/>
    <cellStyle name="Normal 2 27 4" xfId="25253" xr:uid="{00000000-0005-0000-0000-0000CF650000}"/>
    <cellStyle name="Normal 2 27 40" xfId="25254" xr:uid="{00000000-0005-0000-0000-0000D0650000}"/>
    <cellStyle name="Normal 2 27 41" xfId="25255" xr:uid="{00000000-0005-0000-0000-0000D1650000}"/>
    <cellStyle name="Normal 2 27 42" xfId="25256" xr:uid="{00000000-0005-0000-0000-0000D2650000}"/>
    <cellStyle name="Normal 2 27 43" xfId="25257" xr:uid="{00000000-0005-0000-0000-0000D3650000}"/>
    <cellStyle name="Normal 2 27 44" xfId="25258" xr:uid="{00000000-0005-0000-0000-0000D4650000}"/>
    <cellStyle name="Normal 2 27 45" xfId="25259" xr:uid="{00000000-0005-0000-0000-0000D5650000}"/>
    <cellStyle name="Normal 2 27 46" xfId="25260" xr:uid="{00000000-0005-0000-0000-0000D6650000}"/>
    <cellStyle name="Normal 2 27 5" xfId="25261" xr:uid="{00000000-0005-0000-0000-0000D7650000}"/>
    <cellStyle name="Normal 2 27 6" xfId="25262" xr:uid="{00000000-0005-0000-0000-0000D8650000}"/>
    <cellStyle name="Normal 2 27 7" xfId="25263" xr:uid="{00000000-0005-0000-0000-0000D9650000}"/>
    <cellStyle name="Normal 2 27 8" xfId="25264" xr:uid="{00000000-0005-0000-0000-0000DA650000}"/>
    <cellStyle name="Normal 2 27 9" xfId="25265" xr:uid="{00000000-0005-0000-0000-0000DB650000}"/>
    <cellStyle name="Normal 2 28" xfId="25266" xr:uid="{00000000-0005-0000-0000-0000DC650000}"/>
    <cellStyle name="Normal 2 28 10" xfId="25267" xr:uid="{00000000-0005-0000-0000-0000DD650000}"/>
    <cellStyle name="Normal 2 28 11" xfId="25268" xr:uid="{00000000-0005-0000-0000-0000DE650000}"/>
    <cellStyle name="Normal 2 28 12" xfId="25269" xr:uid="{00000000-0005-0000-0000-0000DF650000}"/>
    <cellStyle name="Normal 2 28 13" xfId="25270" xr:uid="{00000000-0005-0000-0000-0000E0650000}"/>
    <cellStyle name="Normal 2 28 14" xfId="25271" xr:uid="{00000000-0005-0000-0000-0000E1650000}"/>
    <cellStyle name="Normal 2 28 15" xfId="25272" xr:uid="{00000000-0005-0000-0000-0000E2650000}"/>
    <cellStyle name="Normal 2 28 16" xfId="25273" xr:uid="{00000000-0005-0000-0000-0000E3650000}"/>
    <cellStyle name="Normal 2 28 17" xfId="25274" xr:uid="{00000000-0005-0000-0000-0000E4650000}"/>
    <cellStyle name="Normal 2 28 18" xfId="25275" xr:uid="{00000000-0005-0000-0000-0000E5650000}"/>
    <cellStyle name="Normal 2 28 19" xfId="25276" xr:uid="{00000000-0005-0000-0000-0000E6650000}"/>
    <cellStyle name="Normal 2 28 2" xfId="25277" xr:uid="{00000000-0005-0000-0000-0000E7650000}"/>
    <cellStyle name="Normal 2 28 20" xfId="25278" xr:uid="{00000000-0005-0000-0000-0000E8650000}"/>
    <cellStyle name="Normal 2 28 21" xfId="25279" xr:uid="{00000000-0005-0000-0000-0000E9650000}"/>
    <cellStyle name="Normal 2 28 22" xfId="25280" xr:uid="{00000000-0005-0000-0000-0000EA650000}"/>
    <cellStyle name="Normal 2 28 23" xfId="25281" xr:uid="{00000000-0005-0000-0000-0000EB650000}"/>
    <cellStyle name="Normal 2 28 24" xfId="25282" xr:uid="{00000000-0005-0000-0000-0000EC650000}"/>
    <cellStyle name="Normal 2 28 25" xfId="25283" xr:uid="{00000000-0005-0000-0000-0000ED650000}"/>
    <cellStyle name="Normal 2 28 26" xfId="25284" xr:uid="{00000000-0005-0000-0000-0000EE650000}"/>
    <cellStyle name="Normal 2 28 27" xfId="25285" xr:uid="{00000000-0005-0000-0000-0000EF650000}"/>
    <cellStyle name="Normal 2 28 28" xfId="25286" xr:uid="{00000000-0005-0000-0000-0000F0650000}"/>
    <cellStyle name="Normal 2 28 29" xfId="25287" xr:uid="{00000000-0005-0000-0000-0000F1650000}"/>
    <cellStyle name="Normal 2 28 3" xfId="25288" xr:uid="{00000000-0005-0000-0000-0000F2650000}"/>
    <cellStyle name="Normal 2 28 30" xfId="25289" xr:uid="{00000000-0005-0000-0000-0000F3650000}"/>
    <cellStyle name="Normal 2 28 31" xfId="25290" xr:uid="{00000000-0005-0000-0000-0000F4650000}"/>
    <cellStyle name="Normal 2 28 32" xfId="25291" xr:uid="{00000000-0005-0000-0000-0000F5650000}"/>
    <cellStyle name="Normal 2 28 33" xfId="25292" xr:uid="{00000000-0005-0000-0000-0000F6650000}"/>
    <cellStyle name="Normal 2 28 34" xfId="25293" xr:uid="{00000000-0005-0000-0000-0000F7650000}"/>
    <cellStyle name="Normal 2 28 35" xfId="25294" xr:uid="{00000000-0005-0000-0000-0000F8650000}"/>
    <cellStyle name="Normal 2 28 36" xfId="25295" xr:uid="{00000000-0005-0000-0000-0000F9650000}"/>
    <cellStyle name="Normal 2 28 37" xfId="25296" xr:uid="{00000000-0005-0000-0000-0000FA650000}"/>
    <cellStyle name="Normal 2 28 38" xfId="25297" xr:uid="{00000000-0005-0000-0000-0000FB650000}"/>
    <cellStyle name="Normal 2 28 39" xfId="25298" xr:uid="{00000000-0005-0000-0000-0000FC650000}"/>
    <cellStyle name="Normal 2 28 4" xfId="25299" xr:uid="{00000000-0005-0000-0000-0000FD650000}"/>
    <cellStyle name="Normal 2 28 40" xfId="25300" xr:uid="{00000000-0005-0000-0000-0000FE650000}"/>
    <cellStyle name="Normal 2 28 41" xfId="25301" xr:uid="{00000000-0005-0000-0000-0000FF650000}"/>
    <cellStyle name="Normal 2 28 42" xfId="25302" xr:uid="{00000000-0005-0000-0000-000000660000}"/>
    <cellStyle name="Normal 2 28 43" xfId="25303" xr:uid="{00000000-0005-0000-0000-000001660000}"/>
    <cellStyle name="Normal 2 28 44" xfId="25304" xr:uid="{00000000-0005-0000-0000-000002660000}"/>
    <cellStyle name="Normal 2 28 45" xfId="25305" xr:uid="{00000000-0005-0000-0000-000003660000}"/>
    <cellStyle name="Normal 2 28 46" xfId="25306" xr:uid="{00000000-0005-0000-0000-000004660000}"/>
    <cellStyle name="Normal 2 28 5" xfId="25307" xr:uid="{00000000-0005-0000-0000-000005660000}"/>
    <cellStyle name="Normal 2 28 6" xfId="25308" xr:uid="{00000000-0005-0000-0000-000006660000}"/>
    <cellStyle name="Normal 2 28 7" xfId="25309" xr:uid="{00000000-0005-0000-0000-000007660000}"/>
    <cellStyle name="Normal 2 28 8" xfId="25310" xr:uid="{00000000-0005-0000-0000-000008660000}"/>
    <cellStyle name="Normal 2 28 9" xfId="25311" xr:uid="{00000000-0005-0000-0000-000009660000}"/>
    <cellStyle name="Normal 2 29" xfId="25312" xr:uid="{00000000-0005-0000-0000-00000A660000}"/>
    <cellStyle name="Normal 2 29 10" xfId="25313" xr:uid="{00000000-0005-0000-0000-00000B660000}"/>
    <cellStyle name="Normal 2 29 10 10" xfId="25314" xr:uid="{00000000-0005-0000-0000-00000C660000}"/>
    <cellStyle name="Normal 2 29 10 11" xfId="25315" xr:uid="{00000000-0005-0000-0000-00000D660000}"/>
    <cellStyle name="Normal 2 29 10 12" xfId="25316" xr:uid="{00000000-0005-0000-0000-00000E660000}"/>
    <cellStyle name="Normal 2 29 10 13" xfId="25317" xr:uid="{00000000-0005-0000-0000-00000F660000}"/>
    <cellStyle name="Normal 2 29 10 2" xfId="25318" xr:uid="{00000000-0005-0000-0000-000010660000}"/>
    <cellStyle name="Normal 2 29 10 2 2" xfId="25319" xr:uid="{00000000-0005-0000-0000-000011660000}"/>
    <cellStyle name="Normal 2 29 10 2 3" xfId="25320" xr:uid="{00000000-0005-0000-0000-000012660000}"/>
    <cellStyle name="Normal 2 29 10 2 4" xfId="25321" xr:uid="{00000000-0005-0000-0000-000013660000}"/>
    <cellStyle name="Normal 2 29 10 2 5" xfId="25322" xr:uid="{00000000-0005-0000-0000-000014660000}"/>
    <cellStyle name="Normal 2 29 10 2 6" xfId="25323" xr:uid="{00000000-0005-0000-0000-000015660000}"/>
    <cellStyle name="Normal 2 29 10 3" xfId="25324" xr:uid="{00000000-0005-0000-0000-000016660000}"/>
    <cellStyle name="Normal 2 29 10 3 2" xfId="25325" xr:uid="{00000000-0005-0000-0000-000017660000}"/>
    <cellStyle name="Normal 2 29 10 3 3" xfId="25326" xr:uid="{00000000-0005-0000-0000-000018660000}"/>
    <cellStyle name="Normal 2 29 10 3 4" xfId="25327" xr:uid="{00000000-0005-0000-0000-000019660000}"/>
    <cellStyle name="Normal 2 29 10 3 5" xfId="25328" xr:uid="{00000000-0005-0000-0000-00001A660000}"/>
    <cellStyle name="Normal 2 29 10 3 6" xfId="25329" xr:uid="{00000000-0005-0000-0000-00001B660000}"/>
    <cellStyle name="Normal 2 29 10 4" xfId="25330" xr:uid="{00000000-0005-0000-0000-00001C660000}"/>
    <cellStyle name="Normal 2 29 10 4 2" xfId="25331" xr:uid="{00000000-0005-0000-0000-00001D660000}"/>
    <cellStyle name="Normal 2 29 10 4 3" xfId="25332" xr:uid="{00000000-0005-0000-0000-00001E660000}"/>
    <cellStyle name="Normal 2 29 10 4 4" xfId="25333" xr:uid="{00000000-0005-0000-0000-00001F660000}"/>
    <cellStyle name="Normal 2 29 10 4 5" xfId="25334" xr:uid="{00000000-0005-0000-0000-000020660000}"/>
    <cellStyle name="Normal 2 29 10 4 6" xfId="25335" xr:uid="{00000000-0005-0000-0000-000021660000}"/>
    <cellStyle name="Normal 2 29 10 5" xfId="25336" xr:uid="{00000000-0005-0000-0000-000022660000}"/>
    <cellStyle name="Normal 2 29 10 5 2" xfId="25337" xr:uid="{00000000-0005-0000-0000-000023660000}"/>
    <cellStyle name="Normal 2 29 10 5 3" xfId="25338" xr:uid="{00000000-0005-0000-0000-000024660000}"/>
    <cellStyle name="Normal 2 29 10 5 4" xfId="25339" xr:uid="{00000000-0005-0000-0000-000025660000}"/>
    <cellStyle name="Normal 2 29 10 5 5" xfId="25340" xr:uid="{00000000-0005-0000-0000-000026660000}"/>
    <cellStyle name="Normal 2 29 10 5 6" xfId="25341" xr:uid="{00000000-0005-0000-0000-000027660000}"/>
    <cellStyle name="Normal 2 29 10 6" xfId="25342" xr:uid="{00000000-0005-0000-0000-000028660000}"/>
    <cellStyle name="Normal 2 29 10 6 2" xfId="25343" xr:uid="{00000000-0005-0000-0000-000029660000}"/>
    <cellStyle name="Normal 2 29 10 6 3" xfId="25344" xr:uid="{00000000-0005-0000-0000-00002A660000}"/>
    <cellStyle name="Normal 2 29 10 6 4" xfId="25345" xr:uid="{00000000-0005-0000-0000-00002B660000}"/>
    <cellStyle name="Normal 2 29 10 6 5" xfId="25346" xr:uid="{00000000-0005-0000-0000-00002C660000}"/>
    <cellStyle name="Normal 2 29 10 6 6" xfId="25347" xr:uid="{00000000-0005-0000-0000-00002D660000}"/>
    <cellStyle name="Normal 2 29 10 7" xfId="25348" xr:uid="{00000000-0005-0000-0000-00002E660000}"/>
    <cellStyle name="Normal 2 29 10 7 2" xfId="25349" xr:uid="{00000000-0005-0000-0000-00002F660000}"/>
    <cellStyle name="Normal 2 29 10 7 3" xfId="25350" xr:uid="{00000000-0005-0000-0000-000030660000}"/>
    <cellStyle name="Normal 2 29 10 7 4" xfId="25351" xr:uid="{00000000-0005-0000-0000-000031660000}"/>
    <cellStyle name="Normal 2 29 10 7 5" xfId="25352" xr:uid="{00000000-0005-0000-0000-000032660000}"/>
    <cellStyle name="Normal 2 29 10 7 6" xfId="25353" xr:uid="{00000000-0005-0000-0000-000033660000}"/>
    <cellStyle name="Normal 2 29 10 8" xfId="25354" xr:uid="{00000000-0005-0000-0000-000034660000}"/>
    <cellStyle name="Normal 2 29 10 8 2" xfId="25355" xr:uid="{00000000-0005-0000-0000-000035660000}"/>
    <cellStyle name="Normal 2 29 10 8 3" xfId="25356" xr:uid="{00000000-0005-0000-0000-000036660000}"/>
    <cellStyle name="Normal 2 29 10 8 4" xfId="25357" xr:uid="{00000000-0005-0000-0000-000037660000}"/>
    <cellStyle name="Normal 2 29 10 8 5" xfId="25358" xr:uid="{00000000-0005-0000-0000-000038660000}"/>
    <cellStyle name="Normal 2 29 10 8 6" xfId="25359" xr:uid="{00000000-0005-0000-0000-000039660000}"/>
    <cellStyle name="Normal 2 29 10 9" xfId="25360" xr:uid="{00000000-0005-0000-0000-00003A660000}"/>
    <cellStyle name="Normal 2 29 11" xfId="25361" xr:uid="{00000000-0005-0000-0000-00003B660000}"/>
    <cellStyle name="Normal 2 29 11 10" xfId="25362" xr:uid="{00000000-0005-0000-0000-00003C660000}"/>
    <cellStyle name="Normal 2 29 11 11" xfId="25363" xr:uid="{00000000-0005-0000-0000-00003D660000}"/>
    <cellStyle name="Normal 2 29 11 12" xfId="25364" xr:uid="{00000000-0005-0000-0000-00003E660000}"/>
    <cellStyle name="Normal 2 29 11 13" xfId="25365" xr:uid="{00000000-0005-0000-0000-00003F660000}"/>
    <cellStyle name="Normal 2 29 11 2" xfId="25366" xr:uid="{00000000-0005-0000-0000-000040660000}"/>
    <cellStyle name="Normal 2 29 11 2 2" xfId="25367" xr:uid="{00000000-0005-0000-0000-000041660000}"/>
    <cellStyle name="Normal 2 29 11 2 3" xfId="25368" xr:uid="{00000000-0005-0000-0000-000042660000}"/>
    <cellStyle name="Normal 2 29 11 2 4" xfId="25369" xr:uid="{00000000-0005-0000-0000-000043660000}"/>
    <cellStyle name="Normal 2 29 11 2 5" xfId="25370" xr:uid="{00000000-0005-0000-0000-000044660000}"/>
    <cellStyle name="Normal 2 29 11 2 6" xfId="25371" xr:uid="{00000000-0005-0000-0000-000045660000}"/>
    <cellStyle name="Normal 2 29 11 3" xfId="25372" xr:uid="{00000000-0005-0000-0000-000046660000}"/>
    <cellStyle name="Normal 2 29 11 3 2" xfId="25373" xr:uid="{00000000-0005-0000-0000-000047660000}"/>
    <cellStyle name="Normal 2 29 11 3 3" xfId="25374" xr:uid="{00000000-0005-0000-0000-000048660000}"/>
    <cellStyle name="Normal 2 29 11 3 4" xfId="25375" xr:uid="{00000000-0005-0000-0000-000049660000}"/>
    <cellStyle name="Normal 2 29 11 3 5" xfId="25376" xr:uid="{00000000-0005-0000-0000-00004A660000}"/>
    <cellStyle name="Normal 2 29 11 3 6" xfId="25377" xr:uid="{00000000-0005-0000-0000-00004B660000}"/>
    <cellStyle name="Normal 2 29 11 4" xfId="25378" xr:uid="{00000000-0005-0000-0000-00004C660000}"/>
    <cellStyle name="Normal 2 29 11 4 2" xfId="25379" xr:uid="{00000000-0005-0000-0000-00004D660000}"/>
    <cellStyle name="Normal 2 29 11 4 3" xfId="25380" xr:uid="{00000000-0005-0000-0000-00004E660000}"/>
    <cellStyle name="Normal 2 29 11 4 4" xfId="25381" xr:uid="{00000000-0005-0000-0000-00004F660000}"/>
    <cellStyle name="Normal 2 29 11 4 5" xfId="25382" xr:uid="{00000000-0005-0000-0000-000050660000}"/>
    <cellStyle name="Normal 2 29 11 4 6" xfId="25383" xr:uid="{00000000-0005-0000-0000-000051660000}"/>
    <cellStyle name="Normal 2 29 11 5" xfId="25384" xr:uid="{00000000-0005-0000-0000-000052660000}"/>
    <cellStyle name="Normal 2 29 11 5 2" xfId="25385" xr:uid="{00000000-0005-0000-0000-000053660000}"/>
    <cellStyle name="Normal 2 29 11 5 3" xfId="25386" xr:uid="{00000000-0005-0000-0000-000054660000}"/>
    <cellStyle name="Normal 2 29 11 5 4" xfId="25387" xr:uid="{00000000-0005-0000-0000-000055660000}"/>
    <cellStyle name="Normal 2 29 11 5 5" xfId="25388" xr:uid="{00000000-0005-0000-0000-000056660000}"/>
    <cellStyle name="Normal 2 29 11 5 6" xfId="25389" xr:uid="{00000000-0005-0000-0000-000057660000}"/>
    <cellStyle name="Normal 2 29 11 6" xfId="25390" xr:uid="{00000000-0005-0000-0000-000058660000}"/>
    <cellStyle name="Normal 2 29 11 6 2" xfId="25391" xr:uid="{00000000-0005-0000-0000-000059660000}"/>
    <cellStyle name="Normal 2 29 11 6 3" xfId="25392" xr:uid="{00000000-0005-0000-0000-00005A660000}"/>
    <cellStyle name="Normal 2 29 11 6 4" xfId="25393" xr:uid="{00000000-0005-0000-0000-00005B660000}"/>
    <cellStyle name="Normal 2 29 11 6 5" xfId="25394" xr:uid="{00000000-0005-0000-0000-00005C660000}"/>
    <cellStyle name="Normal 2 29 11 6 6" xfId="25395" xr:uid="{00000000-0005-0000-0000-00005D660000}"/>
    <cellStyle name="Normal 2 29 11 7" xfId="25396" xr:uid="{00000000-0005-0000-0000-00005E660000}"/>
    <cellStyle name="Normal 2 29 11 7 2" xfId="25397" xr:uid="{00000000-0005-0000-0000-00005F660000}"/>
    <cellStyle name="Normal 2 29 11 7 3" xfId="25398" xr:uid="{00000000-0005-0000-0000-000060660000}"/>
    <cellStyle name="Normal 2 29 11 7 4" xfId="25399" xr:uid="{00000000-0005-0000-0000-000061660000}"/>
    <cellStyle name="Normal 2 29 11 7 5" xfId="25400" xr:uid="{00000000-0005-0000-0000-000062660000}"/>
    <cellStyle name="Normal 2 29 11 7 6" xfId="25401" xr:uid="{00000000-0005-0000-0000-000063660000}"/>
    <cellStyle name="Normal 2 29 11 8" xfId="25402" xr:uid="{00000000-0005-0000-0000-000064660000}"/>
    <cellStyle name="Normal 2 29 11 8 2" xfId="25403" xr:uid="{00000000-0005-0000-0000-000065660000}"/>
    <cellStyle name="Normal 2 29 11 8 3" xfId="25404" xr:uid="{00000000-0005-0000-0000-000066660000}"/>
    <cellStyle name="Normal 2 29 11 8 4" xfId="25405" xr:uid="{00000000-0005-0000-0000-000067660000}"/>
    <cellStyle name="Normal 2 29 11 8 5" xfId="25406" xr:uid="{00000000-0005-0000-0000-000068660000}"/>
    <cellStyle name="Normal 2 29 11 8 6" xfId="25407" xr:uid="{00000000-0005-0000-0000-000069660000}"/>
    <cellStyle name="Normal 2 29 11 9" xfId="25408" xr:uid="{00000000-0005-0000-0000-00006A660000}"/>
    <cellStyle name="Normal 2 29 12" xfId="25409" xr:uid="{00000000-0005-0000-0000-00006B660000}"/>
    <cellStyle name="Normal 2 29 13" xfId="25410" xr:uid="{00000000-0005-0000-0000-00006C660000}"/>
    <cellStyle name="Normal 2 29 14" xfId="25411" xr:uid="{00000000-0005-0000-0000-00006D660000}"/>
    <cellStyle name="Normal 2 29 15" xfId="25412" xr:uid="{00000000-0005-0000-0000-00006E660000}"/>
    <cellStyle name="Normal 2 29 16" xfId="25413" xr:uid="{00000000-0005-0000-0000-00006F660000}"/>
    <cellStyle name="Normal 2 29 17" xfId="25414" xr:uid="{00000000-0005-0000-0000-000070660000}"/>
    <cellStyle name="Normal 2 29 18" xfId="25415" xr:uid="{00000000-0005-0000-0000-000071660000}"/>
    <cellStyle name="Normal 2 29 19" xfId="25416" xr:uid="{00000000-0005-0000-0000-000072660000}"/>
    <cellStyle name="Normal 2 29 2" xfId="25417" xr:uid="{00000000-0005-0000-0000-000073660000}"/>
    <cellStyle name="Normal 2 29 2 10" xfId="25418" xr:uid="{00000000-0005-0000-0000-000074660000}"/>
    <cellStyle name="Normal 2 29 2 11" xfId="25419" xr:uid="{00000000-0005-0000-0000-000075660000}"/>
    <cellStyle name="Normal 2 29 2 12" xfId="25420" xr:uid="{00000000-0005-0000-0000-000076660000}"/>
    <cellStyle name="Normal 2 29 2 13" xfId="25421" xr:uid="{00000000-0005-0000-0000-000077660000}"/>
    <cellStyle name="Normal 2 29 2 2" xfId="25422" xr:uid="{00000000-0005-0000-0000-000078660000}"/>
    <cellStyle name="Normal 2 29 2 2 2" xfId="25423" xr:uid="{00000000-0005-0000-0000-000079660000}"/>
    <cellStyle name="Normal 2 29 2 2 3" xfId="25424" xr:uid="{00000000-0005-0000-0000-00007A660000}"/>
    <cellStyle name="Normal 2 29 2 2 4" xfId="25425" xr:uid="{00000000-0005-0000-0000-00007B660000}"/>
    <cellStyle name="Normal 2 29 2 2 5" xfId="25426" xr:uid="{00000000-0005-0000-0000-00007C660000}"/>
    <cellStyle name="Normal 2 29 2 2 6" xfId="25427" xr:uid="{00000000-0005-0000-0000-00007D660000}"/>
    <cellStyle name="Normal 2 29 2 3" xfId="25428" xr:uid="{00000000-0005-0000-0000-00007E660000}"/>
    <cellStyle name="Normal 2 29 2 3 2" xfId="25429" xr:uid="{00000000-0005-0000-0000-00007F660000}"/>
    <cellStyle name="Normal 2 29 2 3 3" xfId="25430" xr:uid="{00000000-0005-0000-0000-000080660000}"/>
    <cellStyle name="Normal 2 29 2 3 4" xfId="25431" xr:uid="{00000000-0005-0000-0000-000081660000}"/>
    <cellStyle name="Normal 2 29 2 3 5" xfId="25432" xr:uid="{00000000-0005-0000-0000-000082660000}"/>
    <cellStyle name="Normal 2 29 2 3 6" xfId="25433" xr:uid="{00000000-0005-0000-0000-000083660000}"/>
    <cellStyle name="Normal 2 29 2 4" xfId="25434" xr:uid="{00000000-0005-0000-0000-000084660000}"/>
    <cellStyle name="Normal 2 29 2 4 2" xfId="25435" xr:uid="{00000000-0005-0000-0000-000085660000}"/>
    <cellStyle name="Normal 2 29 2 4 3" xfId="25436" xr:uid="{00000000-0005-0000-0000-000086660000}"/>
    <cellStyle name="Normal 2 29 2 4 4" xfId="25437" xr:uid="{00000000-0005-0000-0000-000087660000}"/>
    <cellStyle name="Normal 2 29 2 4 5" xfId="25438" xr:uid="{00000000-0005-0000-0000-000088660000}"/>
    <cellStyle name="Normal 2 29 2 4 6" xfId="25439" xr:uid="{00000000-0005-0000-0000-000089660000}"/>
    <cellStyle name="Normal 2 29 2 5" xfId="25440" xr:uid="{00000000-0005-0000-0000-00008A660000}"/>
    <cellStyle name="Normal 2 29 2 5 2" xfId="25441" xr:uid="{00000000-0005-0000-0000-00008B660000}"/>
    <cellStyle name="Normal 2 29 2 5 3" xfId="25442" xr:uid="{00000000-0005-0000-0000-00008C660000}"/>
    <cellStyle name="Normal 2 29 2 5 4" xfId="25443" xr:uid="{00000000-0005-0000-0000-00008D660000}"/>
    <cellStyle name="Normal 2 29 2 5 5" xfId="25444" xr:uid="{00000000-0005-0000-0000-00008E660000}"/>
    <cellStyle name="Normal 2 29 2 5 6" xfId="25445" xr:uid="{00000000-0005-0000-0000-00008F660000}"/>
    <cellStyle name="Normal 2 29 2 6" xfId="25446" xr:uid="{00000000-0005-0000-0000-000090660000}"/>
    <cellStyle name="Normal 2 29 2 6 2" xfId="25447" xr:uid="{00000000-0005-0000-0000-000091660000}"/>
    <cellStyle name="Normal 2 29 2 6 3" xfId="25448" xr:uid="{00000000-0005-0000-0000-000092660000}"/>
    <cellStyle name="Normal 2 29 2 6 4" xfId="25449" xr:uid="{00000000-0005-0000-0000-000093660000}"/>
    <cellStyle name="Normal 2 29 2 6 5" xfId="25450" xr:uid="{00000000-0005-0000-0000-000094660000}"/>
    <cellStyle name="Normal 2 29 2 6 6" xfId="25451" xr:uid="{00000000-0005-0000-0000-000095660000}"/>
    <cellStyle name="Normal 2 29 2 7" xfId="25452" xr:uid="{00000000-0005-0000-0000-000096660000}"/>
    <cellStyle name="Normal 2 29 2 7 2" xfId="25453" xr:uid="{00000000-0005-0000-0000-000097660000}"/>
    <cellStyle name="Normal 2 29 2 7 3" xfId="25454" xr:uid="{00000000-0005-0000-0000-000098660000}"/>
    <cellStyle name="Normal 2 29 2 7 4" xfId="25455" xr:uid="{00000000-0005-0000-0000-000099660000}"/>
    <cellStyle name="Normal 2 29 2 7 5" xfId="25456" xr:uid="{00000000-0005-0000-0000-00009A660000}"/>
    <cellStyle name="Normal 2 29 2 7 6" xfId="25457" xr:uid="{00000000-0005-0000-0000-00009B660000}"/>
    <cellStyle name="Normal 2 29 2 8" xfId="25458" xr:uid="{00000000-0005-0000-0000-00009C660000}"/>
    <cellStyle name="Normal 2 29 2 8 2" xfId="25459" xr:uid="{00000000-0005-0000-0000-00009D660000}"/>
    <cellStyle name="Normal 2 29 2 8 3" xfId="25460" xr:uid="{00000000-0005-0000-0000-00009E660000}"/>
    <cellStyle name="Normal 2 29 2 8 4" xfId="25461" xr:uid="{00000000-0005-0000-0000-00009F660000}"/>
    <cellStyle name="Normal 2 29 2 8 5" xfId="25462" xr:uid="{00000000-0005-0000-0000-0000A0660000}"/>
    <cellStyle name="Normal 2 29 2 8 6" xfId="25463" xr:uid="{00000000-0005-0000-0000-0000A1660000}"/>
    <cellStyle name="Normal 2 29 2 9" xfId="25464" xr:uid="{00000000-0005-0000-0000-0000A2660000}"/>
    <cellStyle name="Normal 2 29 20" xfId="25465" xr:uid="{00000000-0005-0000-0000-0000A3660000}"/>
    <cellStyle name="Normal 2 29 21" xfId="25466" xr:uid="{00000000-0005-0000-0000-0000A4660000}"/>
    <cellStyle name="Normal 2 29 22" xfId="25467" xr:uid="{00000000-0005-0000-0000-0000A5660000}"/>
    <cellStyle name="Normal 2 29 23" xfId="25468" xr:uid="{00000000-0005-0000-0000-0000A6660000}"/>
    <cellStyle name="Normal 2 29 24" xfId="25469" xr:uid="{00000000-0005-0000-0000-0000A7660000}"/>
    <cellStyle name="Normal 2 29 25" xfId="25470" xr:uid="{00000000-0005-0000-0000-0000A8660000}"/>
    <cellStyle name="Normal 2 29 26" xfId="25471" xr:uid="{00000000-0005-0000-0000-0000A9660000}"/>
    <cellStyle name="Normal 2 29 27" xfId="25472" xr:uid="{00000000-0005-0000-0000-0000AA660000}"/>
    <cellStyle name="Normal 2 29 28" xfId="25473" xr:uid="{00000000-0005-0000-0000-0000AB660000}"/>
    <cellStyle name="Normal 2 29 29" xfId="25474" xr:uid="{00000000-0005-0000-0000-0000AC660000}"/>
    <cellStyle name="Normal 2 29 3" xfId="25475" xr:uid="{00000000-0005-0000-0000-0000AD660000}"/>
    <cellStyle name="Normal 2 29 3 10" xfId="25476" xr:uid="{00000000-0005-0000-0000-0000AE660000}"/>
    <cellStyle name="Normal 2 29 3 11" xfId="25477" xr:uid="{00000000-0005-0000-0000-0000AF660000}"/>
    <cellStyle name="Normal 2 29 3 12" xfId="25478" xr:uid="{00000000-0005-0000-0000-0000B0660000}"/>
    <cellStyle name="Normal 2 29 3 13" xfId="25479" xr:uid="{00000000-0005-0000-0000-0000B1660000}"/>
    <cellStyle name="Normal 2 29 3 2" xfId="25480" xr:uid="{00000000-0005-0000-0000-0000B2660000}"/>
    <cellStyle name="Normal 2 29 3 2 2" xfId="25481" xr:uid="{00000000-0005-0000-0000-0000B3660000}"/>
    <cellStyle name="Normal 2 29 3 2 3" xfId="25482" xr:uid="{00000000-0005-0000-0000-0000B4660000}"/>
    <cellStyle name="Normal 2 29 3 2 4" xfId="25483" xr:uid="{00000000-0005-0000-0000-0000B5660000}"/>
    <cellStyle name="Normal 2 29 3 2 5" xfId="25484" xr:uid="{00000000-0005-0000-0000-0000B6660000}"/>
    <cellStyle name="Normal 2 29 3 2 6" xfId="25485" xr:uid="{00000000-0005-0000-0000-0000B7660000}"/>
    <cellStyle name="Normal 2 29 3 3" xfId="25486" xr:uid="{00000000-0005-0000-0000-0000B8660000}"/>
    <cellStyle name="Normal 2 29 3 3 2" xfId="25487" xr:uid="{00000000-0005-0000-0000-0000B9660000}"/>
    <cellStyle name="Normal 2 29 3 3 3" xfId="25488" xr:uid="{00000000-0005-0000-0000-0000BA660000}"/>
    <cellStyle name="Normal 2 29 3 3 4" xfId="25489" xr:uid="{00000000-0005-0000-0000-0000BB660000}"/>
    <cellStyle name="Normal 2 29 3 3 5" xfId="25490" xr:uid="{00000000-0005-0000-0000-0000BC660000}"/>
    <cellStyle name="Normal 2 29 3 3 6" xfId="25491" xr:uid="{00000000-0005-0000-0000-0000BD660000}"/>
    <cellStyle name="Normal 2 29 3 4" xfId="25492" xr:uid="{00000000-0005-0000-0000-0000BE660000}"/>
    <cellStyle name="Normal 2 29 3 4 2" xfId="25493" xr:uid="{00000000-0005-0000-0000-0000BF660000}"/>
    <cellStyle name="Normal 2 29 3 4 3" xfId="25494" xr:uid="{00000000-0005-0000-0000-0000C0660000}"/>
    <cellStyle name="Normal 2 29 3 4 4" xfId="25495" xr:uid="{00000000-0005-0000-0000-0000C1660000}"/>
    <cellStyle name="Normal 2 29 3 4 5" xfId="25496" xr:uid="{00000000-0005-0000-0000-0000C2660000}"/>
    <cellStyle name="Normal 2 29 3 4 6" xfId="25497" xr:uid="{00000000-0005-0000-0000-0000C3660000}"/>
    <cellStyle name="Normal 2 29 3 5" xfId="25498" xr:uid="{00000000-0005-0000-0000-0000C4660000}"/>
    <cellStyle name="Normal 2 29 3 5 2" xfId="25499" xr:uid="{00000000-0005-0000-0000-0000C5660000}"/>
    <cellStyle name="Normal 2 29 3 5 3" xfId="25500" xr:uid="{00000000-0005-0000-0000-0000C6660000}"/>
    <cellStyle name="Normal 2 29 3 5 4" xfId="25501" xr:uid="{00000000-0005-0000-0000-0000C7660000}"/>
    <cellStyle name="Normal 2 29 3 5 5" xfId="25502" xr:uid="{00000000-0005-0000-0000-0000C8660000}"/>
    <cellStyle name="Normal 2 29 3 5 6" xfId="25503" xr:uid="{00000000-0005-0000-0000-0000C9660000}"/>
    <cellStyle name="Normal 2 29 3 6" xfId="25504" xr:uid="{00000000-0005-0000-0000-0000CA660000}"/>
    <cellStyle name="Normal 2 29 3 6 2" xfId="25505" xr:uid="{00000000-0005-0000-0000-0000CB660000}"/>
    <cellStyle name="Normal 2 29 3 6 3" xfId="25506" xr:uid="{00000000-0005-0000-0000-0000CC660000}"/>
    <cellStyle name="Normal 2 29 3 6 4" xfId="25507" xr:uid="{00000000-0005-0000-0000-0000CD660000}"/>
    <cellStyle name="Normal 2 29 3 6 5" xfId="25508" xr:uid="{00000000-0005-0000-0000-0000CE660000}"/>
    <cellStyle name="Normal 2 29 3 6 6" xfId="25509" xr:uid="{00000000-0005-0000-0000-0000CF660000}"/>
    <cellStyle name="Normal 2 29 3 7" xfId="25510" xr:uid="{00000000-0005-0000-0000-0000D0660000}"/>
    <cellStyle name="Normal 2 29 3 7 2" xfId="25511" xr:uid="{00000000-0005-0000-0000-0000D1660000}"/>
    <cellStyle name="Normal 2 29 3 7 3" xfId="25512" xr:uid="{00000000-0005-0000-0000-0000D2660000}"/>
    <cellStyle name="Normal 2 29 3 7 4" xfId="25513" xr:uid="{00000000-0005-0000-0000-0000D3660000}"/>
    <cellStyle name="Normal 2 29 3 7 5" xfId="25514" xr:uid="{00000000-0005-0000-0000-0000D4660000}"/>
    <cellStyle name="Normal 2 29 3 7 6" xfId="25515" xr:uid="{00000000-0005-0000-0000-0000D5660000}"/>
    <cellStyle name="Normal 2 29 3 8" xfId="25516" xr:uid="{00000000-0005-0000-0000-0000D6660000}"/>
    <cellStyle name="Normal 2 29 3 8 2" xfId="25517" xr:uid="{00000000-0005-0000-0000-0000D7660000}"/>
    <cellStyle name="Normal 2 29 3 8 3" xfId="25518" xr:uid="{00000000-0005-0000-0000-0000D8660000}"/>
    <cellStyle name="Normal 2 29 3 8 4" xfId="25519" xr:uid="{00000000-0005-0000-0000-0000D9660000}"/>
    <cellStyle name="Normal 2 29 3 8 5" xfId="25520" xr:uid="{00000000-0005-0000-0000-0000DA660000}"/>
    <cellStyle name="Normal 2 29 3 8 6" xfId="25521" xr:uid="{00000000-0005-0000-0000-0000DB660000}"/>
    <cellStyle name="Normal 2 29 3 9" xfId="25522" xr:uid="{00000000-0005-0000-0000-0000DC660000}"/>
    <cellStyle name="Normal 2 29 30" xfId="25523" xr:uid="{00000000-0005-0000-0000-0000DD660000}"/>
    <cellStyle name="Normal 2 29 31" xfId="25524" xr:uid="{00000000-0005-0000-0000-0000DE660000}"/>
    <cellStyle name="Normal 2 29 32" xfId="25525" xr:uid="{00000000-0005-0000-0000-0000DF660000}"/>
    <cellStyle name="Normal 2 29 33" xfId="25526" xr:uid="{00000000-0005-0000-0000-0000E0660000}"/>
    <cellStyle name="Normal 2 29 34" xfId="25527" xr:uid="{00000000-0005-0000-0000-0000E1660000}"/>
    <cellStyle name="Normal 2 29 35" xfId="25528" xr:uid="{00000000-0005-0000-0000-0000E2660000}"/>
    <cellStyle name="Normal 2 29 36" xfId="25529" xr:uid="{00000000-0005-0000-0000-0000E3660000}"/>
    <cellStyle name="Normal 2 29 37" xfId="25530" xr:uid="{00000000-0005-0000-0000-0000E4660000}"/>
    <cellStyle name="Normal 2 29 38" xfId="25531" xr:uid="{00000000-0005-0000-0000-0000E5660000}"/>
    <cellStyle name="Normal 2 29 39" xfId="25532" xr:uid="{00000000-0005-0000-0000-0000E6660000}"/>
    <cellStyle name="Normal 2 29 4" xfId="25533" xr:uid="{00000000-0005-0000-0000-0000E7660000}"/>
    <cellStyle name="Normal 2 29 4 10" xfId="25534" xr:uid="{00000000-0005-0000-0000-0000E8660000}"/>
    <cellStyle name="Normal 2 29 4 11" xfId="25535" xr:uid="{00000000-0005-0000-0000-0000E9660000}"/>
    <cellStyle name="Normal 2 29 4 12" xfId="25536" xr:uid="{00000000-0005-0000-0000-0000EA660000}"/>
    <cellStyle name="Normal 2 29 4 13" xfId="25537" xr:uid="{00000000-0005-0000-0000-0000EB660000}"/>
    <cellStyle name="Normal 2 29 4 2" xfId="25538" xr:uid="{00000000-0005-0000-0000-0000EC660000}"/>
    <cellStyle name="Normal 2 29 4 2 2" xfId="25539" xr:uid="{00000000-0005-0000-0000-0000ED660000}"/>
    <cellStyle name="Normal 2 29 4 2 3" xfId="25540" xr:uid="{00000000-0005-0000-0000-0000EE660000}"/>
    <cellStyle name="Normal 2 29 4 2 4" xfId="25541" xr:uid="{00000000-0005-0000-0000-0000EF660000}"/>
    <cellStyle name="Normal 2 29 4 2 5" xfId="25542" xr:uid="{00000000-0005-0000-0000-0000F0660000}"/>
    <cellStyle name="Normal 2 29 4 2 6" xfId="25543" xr:uid="{00000000-0005-0000-0000-0000F1660000}"/>
    <cellStyle name="Normal 2 29 4 3" xfId="25544" xr:uid="{00000000-0005-0000-0000-0000F2660000}"/>
    <cellStyle name="Normal 2 29 4 3 2" xfId="25545" xr:uid="{00000000-0005-0000-0000-0000F3660000}"/>
    <cellStyle name="Normal 2 29 4 3 3" xfId="25546" xr:uid="{00000000-0005-0000-0000-0000F4660000}"/>
    <cellStyle name="Normal 2 29 4 3 4" xfId="25547" xr:uid="{00000000-0005-0000-0000-0000F5660000}"/>
    <cellStyle name="Normal 2 29 4 3 5" xfId="25548" xr:uid="{00000000-0005-0000-0000-0000F6660000}"/>
    <cellStyle name="Normal 2 29 4 3 6" xfId="25549" xr:uid="{00000000-0005-0000-0000-0000F7660000}"/>
    <cellStyle name="Normal 2 29 4 4" xfId="25550" xr:uid="{00000000-0005-0000-0000-0000F8660000}"/>
    <cellStyle name="Normal 2 29 4 4 2" xfId="25551" xr:uid="{00000000-0005-0000-0000-0000F9660000}"/>
    <cellStyle name="Normal 2 29 4 4 3" xfId="25552" xr:uid="{00000000-0005-0000-0000-0000FA660000}"/>
    <cellStyle name="Normal 2 29 4 4 4" xfId="25553" xr:uid="{00000000-0005-0000-0000-0000FB660000}"/>
    <cellStyle name="Normal 2 29 4 4 5" xfId="25554" xr:uid="{00000000-0005-0000-0000-0000FC660000}"/>
    <cellStyle name="Normal 2 29 4 4 6" xfId="25555" xr:uid="{00000000-0005-0000-0000-0000FD660000}"/>
    <cellStyle name="Normal 2 29 4 5" xfId="25556" xr:uid="{00000000-0005-0000-0000-0000FE660000}"/>
    <cellStyle name="Normal 2 29 4 5 2" xfId="25557" xr:uid="{00000000-0005-0000-0000-0000FF660000}"/>
    <cellStyle name="Normal 2 29 4 5 3" xfId="25558" xr:uid="{00000000-0005-0000-0000-000000670000}"/>
    <cellStyle name="Normal 2 29 4 5 4" xfId="25559" xr:uid="{00000000-0005-0000-0000-000001670000}"/>
    <cellStyle name="Normal 2 29 4 5 5" xfId="25560" xr:uid="{00000000-0005-0000-0000-000002670000}"/>
    <cellStyle name="Normal 2 29 4 5 6" xfId="25561" xr:uid="{00000000-0005-0000-0000-000003670000}"/>
    <cellStyle name="Normal 2 29 4 6" xfId="25562" xr:uid="{00000000-0005-0000-0000-000004670000}"/>
    <cellStyle name="Normal 2 29 4 6 2" xfId="25563" xr:uid="{00000000-0005-0000-0000-000005670000}"/>
    <cellStyle name="Normal 2 29 4 6 3" xfId="25564" xr:uid="{00000000-0005-0000-0000-000006670000}"/>
    <cellStyle name="Normal 2 29 4 6 4" xfId="25565" xr:uid="{00000000-0005-0000-0000-000007670000}"/>
    <cellStyle name="Normal 2 29 4 6 5" xfId="25566" xr:uid="{00000000-0005-0000-0000-000008670000}"/>
    <cellStyle name="Normal 2 29 4 6 6" xfId="25567" xr:uid="{00000000-0005-0000-0000-000009670000}"/>
    <cellStyle name="Normal 2 29 4 7" xfId="25568" xr:uid="{00000000-0005-0000-0000-00000A670000}"/>
    <cellStyle name="Normal 2 29 4 7 2" xfId="25569" xr:uid="{00000000-0005-0000-0000-00000B670000}"/>
    <cellStyle name="Normal 2 29 4 7 3" xfId="25570" xr:uid="{00000000-0005-0000-0000-00000C670000}"/>
    <cellStyle name="Normal 2 29 4 7 4" xfId="25571" xr:uid="{00000000-0005-0000-0000-00000D670000}"/>
    <cellStyle name="Normal 2 29 4 7 5" xfId="25572" xr:uid="{00000000-0005-0000-0000-00000E670000}"/>
    <cellStyle name="Normal 2 29 4 7 6" xfId="25573" xr:uid="{00000000-0005-0000-0000-00000F670000}"/>
    <cellStyle name="Normal 2 29 4 8" xfId="25574" xr:uid="{00000000-0005-0000-0000-000010670000}"/>
    <cellStyle name="Normal 2 29 4 8 2" xfId="25575" xr:uid="{00000000-0005-0000-0000-000011670000}"/>
    <cellStyle name="Normal 2 29 4 8 3" xfId="25576" xr:uid="{00000000-0005-0000-0000-000012670000}"/>
    <cellStyle name="Normal 2 29 4 8 4" xfId="25577" xr:uid="{00000000-0005-0000-0000-000013670000}"/>
    <cellStyle name="Normal 2 29 4 8 5" xfId="25578" xr:uid="{00000000-0005-0000-0000-000014670000}"/>
    <cellStyle name="Normal 2 29 4 8 6" xfId="25579" xr:uid="{00000000-0005-0000-0000-000015670000}"/>
    <cellStyle name="Normal 2 29 4 9" xfId="25580" xr:uid="{00000000-0005-0000-0000-000016670000}"/>
    <cellStyle name="Normal 2 29 40" xfId="25581" xr:uid="{00000000-0005-0000-0000-000017670000}"/>
    <cellStyle name="Normal 2 29 41" xfId="25582" xr:uid="{00000000-0005-0000-0000-000018670000}"/>
    <cellStyle name="Normal 2 29 42" xfId="25583" xr:uid="{00000000-0005-0000-0000-000019670000}"/>
    <cellStyle name="Normal 2 29 43" xfId="25584" xr:uid="{00000000-0005-0000-0000-00001A670000}"/>
    <cellStyle name="Normal 2 29 44" xfId="25585" xr:uid="{00000000-0005-0000-0000-00001B670000}"/>
    <cellStyle name="Normal 2 29 45" xfId="25586" xr:uid="{00000000-0005-0000-0000-00001C670000}"/>
    <cellStyle name="Normal 2 29 46" xfId="25587" xr:uid="{00000000-0005-0000-0000-00001D670000}"/>
    <cellStyle name="Normal 2 29 47" xfId="25588" xr:uid="{00000000-0005-0000-0000-00001E670000}"/>
    <cellStyle name="Normal 2 29 48" xfId="25589" xr:uid="{00000000-0005-0000-0000-00001F670000}"/>
    <cellStyle name="Normal 2 29 5" xfId="25590" xr:uid="{00000000-0005-0000-0000-000020670000}"/>
    <cellStyle name="Normal 2 29 5 10" xfId="25591" xr:uid="{00000000-0005-0000-0000-000021670000}"/>
    <cellStyle name="Normal 2 29 5 11" xfId="25592" xr:uid="{00000000-0005-0000-0000-000022670000}"/>
    <cellStyle name="Normal 2 29 5 12" xfId="25593" xr:uid="{00000000-0005-0000-0000-000023670000}"/>
    <cellStyle name="Normal 2 29 5 13" xfId="25594" xr:uid="{00000000-0005-0000-0000-000024670000}"/>
    <cellStyle name="Normal 2 29 5 2" xfId="25595" xr:uid="{00000000-0005-0000-0000-000025670000}"/>
    <cellStyle name="Normal 2 29 5 2 2" xfId="25596" xr:uid="{00000000-0005-0000-0000-000026670000}"/>
    <cellStyle name="Normal 2 29 5 2 3" xfId="25597" xr:uid="{00000000-0005-0000-0000-000027670000}"/>
    <cellStyle name="Normal 2 29 5 2 4" xfId="25598" xr:uid="{00000000-0005-0000-0000-000028670000}"/>
    <cellStyle name="Normal 2 29 5 2 5" xfId="25599" xr:uid="{00000000-0005-0000-0000-000029670000}"/>
    <cellStyle name="Normal 2 29 5 2 6" xfId="25600" xr:uid="{00000000-0005-0000-0000-00002A670000}"/>
    <cellStyle name="Normal 2 29 5 3" xfId="25601" xr:uid="{00000000-0005-0000-0000-00002B670000}"/>
    <cellStyle name="Normal 2 29 5 3 2" xfId="25602" xr:uid="{00000000-0005-0000-0000-00002C670000}"/>
    <cellStyle name="Normal 2 29 5 3 3" xfId="25603" xr:uid="{00000000-0005-0000-0000-00002D670000}"/>
    <cellStyle name="Normal 2 29 5 3 4" xfId="25604" xr:uid="{00000000-0005-0000-0000-00002E670000}"/>
    <cellStyle name="Normal 2 29 5 3 5" xfId="25605" xr:uid="{00000000-0005-0000-0000-00002F670000}"/>
    <cellStyle name="Normal 2 29 5 3 6" xfId="25606" xr:uid="{00000000-0005-0000-0000-000030670000}"/>
    <cellStyle name="Normal 2 29 5 4" xfId="25607" xr:uid="{00000000-0005-0000-0000-000031670000}"/>
    <cellStyle name="Normal 2 29 5 4 2" xfId="25608" xr:uid="{00000000-0005-0000-0000-000032670000}"/>
    <cellStyle name="Normal 2 29 5 4 3" xfId="25609" xr:uid="{00000000-0005-0000-0000-000033670000}"/>
    <cellStyle name="Normal 2 29 5 4 4" xfId="25610" xr:uid="{00000000-0005-0000-0000-000034670000}"/>
    <cellStyle name="Normal 2 29 5 4 5" xfId="25611" xr:uid="{00000000-0005-0000-0000-000035670000}"/>
    <cellStyle name="Normal 2 29 5 4 6" xfId="25612" xr:uid="{00000000-0005-0000-0000-000036670000}"/>
    <cellStyle name="Normal 2 29 5 5" xfId="25613" xr:uid="{00000000-0005-0000-0000-000037670000}"/>
    <cellStyle name="Normal 2 29 5 5 2" xfId="25614" xr:uid="{00000000-0005-0000-0000-000038670000}"/>
    <cellStyle name="Normal 2 29 5 5 3" xfId="25615" xr:uid="{00000000-0005-0000-0000-000039670000}"/>
    <cellStyle name="Normal 2 29 5 5 4" xfId="25616" xr:uid="{00000000-0005-0000-0000-00003A670000}"/>
    <cellStyle name="Normal 2 29 5 5 5" xfId="25617" xr:uid="{00000000-0005-0000-0000-00003B670000}"/>
    <cellStyle name="Normal 2 29 5 5 6" xfId="25618" xr:uid="{00000000-0005-0000-0000-00003C670000}"/>
    <cellStyle name="Normal 2 29 5 6" xfId="25619" xr:uid="{00000000-0005-0000-0000-00003D670000}"/>
    <cellStyle name="Normal 2 29 5 6 2" xfId="25620" xr:uid="{00000000-0005-0000-0000-00003E670000}"/>
    <cellStyle name="Normal 2 29 5 6 3" xfId="25621" xr:uid="{00000000-0005-0000-0000-00003F670000}"/>
    <cellStyle name="Normal 2 29 5 6 4" xfId="25622" xr:uid="{00000000-0005-0000-0000-000040670000}"/>
    <cellStyle name="Normal 2 29 5 6 5" xfId="25623" xr:uid="{00000000-0005-0000-0000-000041670000}"/>
    <cellStyle name="Normal 2 29 5 6 6" xfId="25624" xr:uid="{00000000-0005-0000-0000-000042670000}"/>
    <cellStyle name="Normal 2 29 5 7" xfId="25625" xr:uid="{00000000-0005-0000-0000-000043670000}"/>
    <cellStyle name="Normal 2 29 5 7 2" xfId="25626" xr:uid="{00000000-0005-0000-0000-000044670000}"/>
    <cellStyle name="Normal 2 29 5 7 3" xfId="25627" xr:uid="{00000000-0005-0000-0000-000045670000}"/>
    <cellStyle name="Normal 2 29 5 7 4" xfId="25628" xr:uid="{00000000-0005-0000-0000-000046670000}"/>
    <cellStyle name="Normal 2 29 5 7 5" xfId="25629" xr:uid="{00000000-0005-0000-0000-000047670000}"/>
    <cellStyle name="Normal 2 29 5 7 6" xfId="25630" xr:uid="{00000000-0005-0000-0000-000048670000}"/>
    <cellStyle name="Normal 2 29 5 8" xfId="25631" xr:uid="{00000000-0005-0000-0000-000049670000}"/>
    <cellStyle name="Normal 2 29 5 8 2" xfId="25632" xr:uid="{00000000-0005-0000-0000-00004A670000}"/>
    <cellStyle name="Normal 2 29 5 8 3" xfId="25633" xr:uid="{00000000-0005-0000-0000-00004B670000}"/>
    <cellStyle name="Normal 2 29 5 8 4" xfId="25634" xr:uid="{00000000-0005-0000-0000-00004C670000}"/>
    <cellStyle name="Normal 2 29 5 8 5" xfId="25635" xr:uid="{00000000-0005-0000-0000-00004D670000}"/>
    <cellStyle name="Normal 2 29 5 8 6" xfId="25636" xr:uid="{00000000-0005-0000-0000-00004E670000}"/>
    <cellStyle name="Normal 2 29 5 9" xfId="25637" xr:uid="{00000000-0005-0000-0000-00004F670000}"/>
    <cellStyle name="Normal 2 29 6" xfId="25638" xr:uid="{00000000-0005-0000-0000-000050670000}"/>
    <cellStyle name="Normal 2 29 6 10" xfId="25639" xr:uid="{00000000-0005-0000-0000-000051670000}"/>
    <cellStyle name="Normal 2 29 6 11" xfId="25640" xr:uid="{00000000-0005-0000-0000-000052670000}"/>
    <cellStyle name="Normal 2 29 6 12" xfId="25641" xr:uid="{00000000-0005-0000-0000-000053670000}"/>
    <cellStyle name="Normal 2 29 6 13" xfId="25642" xr:uid="{00000000-0005-0000-0000-000054670000}"/>
    <cellStyle name="Normal 2 29 6 2" xfId="25643" xr:uid="{00000000-0005-0000-0000-000055670000}"/>
    <cellStyle name="Normal 2 29 6 2 2" xfId="25644" xr:uid="{00000000-0005-0000-0000-000056670000}"/>
    <cellStyle name="Normal 2 29 6 2 3" xfId="25645" xr:uid="{00000000-0005-0000-0000-000057670000}"/>
    <cellStyle name="Normal 2 29 6 2 4" xfId="25646" xr:uid="{00000000-0005-0000-0000-000058670000}"/>
    <cellStyle name="Normal 2 29 6 2 5" xfId="25647" xr:uid="{00000000-0005-0000-0000-000059670000}"/>
    <cellStyle name="Normal 2 29 6 2 6" xfId="25648" xr:uid="{00000000-0005-0000-0000-00005A670000}"/>
    <cellStyle name="Normal 2 29 6 3" xfId="25649" xr:uid="{00000000-0005-0000-0000-00005B670000}"/>
    <cellStyle name="Normal 2 29 6 3 2" xfId="25650" xr:uid="{00000000-0005-0000-0000-00005C670000}"/>
    <cellStyle name="Normal 2 29 6 3 3" xfId="25651" xr:uid="{00000000-0005-0000-0000-00005D670000}"/>
    <cellStyle name="Normal 2 29 6 3 4" xfId="25652" xr:uid="{00000000-0005-0000-0000-00005E670000}"/>
    <cellStyle name="Normal 2 29 6 3 5" xfId="25653" xr:uid="{00000000-0005-0000-0000-00005F670000}"/>
    <cellStyle name="Normal 2 29 6 3 6" xfId="25654" xr:uid="{00000000-0005-0000-0000-000060670000}"/>
    <cellStyle name="Normal 2 29 6 4" xfId="25655" xr:uid="{00000000-0005-0000-0000-000061670000}"/>
    <cellStyle name="Normal 2 29 6 4 2" xfId="25656" xr:uid="{00000000-0005-0000-0000-000062670000}"/>
    <cellStyle name="Normal 2 29 6 4 3" xfId="25657" xr:uid="{00000000-0005-0000-0000-000063670000}"/>
    <cellStyle name="Normal 2 29 6 4 4" xfId="25658" xr:uid="{00000000-0005-0000-0000-000064670000}"/>
    <cellStyle name="Normal 2 29 6 4 5" xfId="25659" xr:uid="{00000000-0005-0000-0000-000065670000}"/>
    <cellStyle name="Normal 2 29 6 4 6" xfId="25660" xr:uid="{00000000-0005-0000-0000-000066670000}"/>
    <cellStyle name="Normal 2 29 6 5" xfId="25661" xr:uid="{00000000-0005-0000-0000-000067670000}"/>
    <cellStyle name="Normal 2 29 6 5 2" xfId="25662" xr:uid="{00000000-0005-0000-0000-000068670000}"/>
    <cellStyle name="Normal 2 29 6 5 3" xfId="25663" xr:uid="{00000000-0005-0000-0000-000069670000}"/>
    <cellStyle name="Normal 2 29 6 5 4" xfId="25664" xr:uid="{00000000-0005-0000-0000-00006A670000}"/>
    <cellStyle name="Normal 2 29 6 5 5" xfId="25665" xr:uid="{00000000-0005-0000-0000-00006B670000}"/>
    <cellStyle name="Normal 2 29 6 5 6" xfId="25666" xr:uid="{00000000-0005-0000-0000-00006C670000}"/>
    <cellStyle name="Normal 2 29 6 6" xfId="25667" xr:uid="{00000000-0005-0000-0000-00006D670000}"/>
    <cellStyle name="Normal 2 29 6 6 2" xfId="25668" xr:uid="{00000000-0005-0000-0000-00006E670000}"/>
    <cellStyle name="Normal 2 29 6 6 3" xfId="25669" xr:uid="{00000000-0005-0000-0000-00006F670000}"/>
    <cellStyle name="Normal 2 29 6 6 4" xfId="25670" xr:uid="{00000000-0005-0000-0000-000070670000}"/>
    <cellStyle name="Normal 2 29 6 6 5" xfId="25671" xr:uid="{00000000-0005-0000-0000-000071670000}"/>
    <cellStyle name="Normal 2 29 6 6 6" xfId="25672" xr:uid="{00000000-0005-0000-0000-000072670000}"/>
    <cellStyle name="Normal 2 29 6 7" xfId="25673" xr:uid="{00000000-0005-0000-0000-000073670000}"/>
    <cellStyle name="Normal 2 29 6 7 2" xfId="25674" xr:uid="{00000000-0005-0000-0000-000074670000}"/>
    <cellStyle name="Normal 2 29 6 7 3" xfId="25675" xr:uid="{00000000-0005-0000-0000-000075670000}"/>
    <cellStyle name="Normal 2 29 6 7 4" xfId="25676" xr:uid="{00000000-0005-0000-0000-000076670000}"/>
    <cellStyle name="Normal 2 29 6 7 5" xfId="25677" xr:uid="{00000000-0005-0000-0000-000077670000}"/>
    <cellStyle name="Normal 2 29 6 7 6" xfId="25678" xr:uid="{00000000-0005-0000-0000-000078670000}"/>
    <cellStyle name="Normal 2 29 6 8" xfId="25679" xr:uid="{00000000-0005-0000-0000-000079670000}"/>
    <cellStyle name="Normal 2 29 6 8 2" xfId="25680" xr:uid="{00000000-0005-0000-0000-00007A670000}"/>
    <cellStyle name="Normal 2 29 6 8 3" xfId="25681" xr:uid="{00000000-0005-0000-0000-00007B670000}"/>
    <cellStyle name="Normal 2 29 6 8 4" xfId="25682" xr:uid="{00000000-0005-0000-0000-00007C670000}"/>
    <cellStyle name="Normal 2 29 6 8 5" xfId="25683" xr:uid="{00000000-0005-0000-0000-00007D670000}"/>
    <cellStyle name="Normal 2 29 6 8 6" xfId="25684" xr:uid="{00000000-0005-0000-0000-00007E670000}"/>
    <cellStyle name="Normal 2 29 6 9" xfId="25685" xr:uid="{00000000-0005-0000-0000-00007F670000}"/>
    <cellStyle name="Normal 2 29 7" xfId="25686" xr:uid="{00000000-0005-0000-0000-000080670000}"/>
    <cellStyle name="Normal 2 29 7 10" xfId="25687" xr:uid="{00000000-0005-0000-0000-000081670000}"/>
    <cellStyle name="Normal 2 29 7 11" xfId="25688" xr:uid="{00000000-0005-0000-0000-000082670000}"/>
    <cellStyle name="Normal 2 29 7 12" xfId="25689" xr:uid="{00000000-0005-0000-0000-000083670000}"/>
    <cellStyle name="Normal 2 29 7 13" xfId="25690" xr:uid="{00000000-0005-0000-0000-000084670000}"/>
    <cellStyle name="Normal 2 29 7 2" xfId="25691" xr:uid="{00000000-0005-0000-0000-000085670000}"/>
    <cellStyle name="Normal 2 29 7 2 2" xfId="25692" xr:uid="{00000000-0005-0000-0000-000086670000}"/>
    <cellStyle name="Normal 2 29 7 2 3" xfId="25693" xr:uid="{00000000-0005-0000-0000-000087670000}"/>
    <cellStyle name="Normal 2 29 7 2 4" xfId="25694" xr:uid="{00000000-0005-0000-0000-000088670000}"/>
    <cellStyle name="Normal 2 29 7 2 5" xfId="25695" xr:uid="{00000000-0005-0000-0000-000089670000}"/>
    <cellStyle name="Normal 2 29 7 2 6" xfId="25696" xr:uid="{00000000-0005-0000-0000-00008A670000}"/>
    <cellStyle name="Normal 2 29 7 3" xfId="25697" xr:uid="{00000000-0005-0000-0000-00008B670000}"/>
    <cellStyle name="Normal 2 29 7 3 2" xfId="25698" xr:uid="{00000000-0005-0000-0000-00008C670000}"/>
    <cellStyle name="Normal 2 29 7 3 3" xfId="25699" xr:uid="{00000000-0005-0000-0000-00008D670000}"/>
    <cellStyle name="Normal 2 29 7 3 4" xfId="25700" xr:uid="{00000000-0005-0000-0000-00008E670000}"/>
    <cellStyle name="Normal 2 29 7 3 5" xfId="25701" xr:uid="{00000000-0005-0000-0000-00008F670000}"/>
    <cellStyle name="Normal 2 29 7 3 6" xfId="25702" xr:uid="{00000000-0005-0000-0000-000090670000}"/>
    <cellStyle name="Normal 2 29 7 4" xfId="25703" xr:uid="{00000000-0005-0000-0000-000091670000}"/>
    <cellStyle name="Normal 2 29 7 4 2" xfId="25704" xr:uid="{00000000-0005-0000-0000-000092670000}"/>
    <cellStyle name="Normal 2 29 7 4 3" xfId="25705" xr:uid="{00000000-0005-0000-0000-000093670000}"/>
    <cellStyle name="Normal 2 29 7 4 4" xfId="25706" xr:uid="{00000000-0005-0000-0000-000094670000}"/>
    <cellStyle name="Normal 2 29 7 4 5" xfId="25707" xr:uid="{00000000-0005-0000-0000-000095670000}"/>
    <cellStyle name="Normal 2 29 7 4 6" xfId="25708" xr:uid="{00000000-0005-0000-0000-000096670000}"/>
    <cellStyle name="Normal 2 29 7 5" xfId="25709" xr:uid="{00000000-0005-0000-0000-000097670000}"/>
    <cellStyle name="Normal 2 29 7 5 2" xfId="25710" xr:uid="{00000000-0005-0000-0000-000098670000}"/>
    <cellStyle name="Normal 2 29 7 5 3" xfId="25711" xr:uid="{00000000-0005-0000-0000-000099670000}"/>
    <cellStyle name="Normal 2 29 7 5 4" xfId="25712" xr:uid="{00000000-0005-0000-0000-00009A670000}"/>
    <cellStyle name="Normal 2 29 7 5 5" xfId="25713" xr:uid="{00000000-0005-0000-0000-00009B670000}"/>
    <cellStyle name="Normal 2 29 7 5 6" xfId="25714" xr:uid="{00000000-0005-0000-0000-00009C670000}"/>
    <cellStyle name="Normal 2 29 7 6" xfId="25715" xr:uid="{00000000-0005-0000-0000-00009D670000}"/>
    <cellStyle name="Normal 2 29 7 6 2" xfId="25716" xr:uid="{00000000-0005-0000-0000-00009E670000}"/>
    <cellStyle name="Normal 2 29 7 6 3" xfId="25717" xr:uid="{00000000-0005-0000-0000-00009F670000}"/>
    <cellStyle name="Normal 2 29 7 6 4" xfId="25718" xr:uid="{00000000-0005-0000-0000-0000A0670000}"/>
    <cellStyle name="Normal 2 29 7 6 5" xfId="25719" xr:uid="{00000000-0005-0000-0000-0000A1670000}"/>
    <cellStyle name="Normal 2 29 7 6 6" xfId="25720" xr:uid="{00000000-0005-0000-0000-0000A2670000}"/>
    <cellStyle name="Normal 2 29 7 7" xfId="25721" xr:uid="{00000000-0005-0000-0000-0000A3670000}"/>
    <cellStyle name="Normal 2 29 7 7 2" xfId="25722" xr:uid="{00000000-0005-0000-0000-0000A4670000}"/>
    <cellStyle name="Normal 2 29 7 7 3" xfId="25723" xr:uid="{00000000-0005-0000-0000-0000A5670000}"/>
    <cellStyle name="Normal 2 29 7 7 4" xfId="25724" xr:uid="{00000000-0005-0000-0000-0000A6670000}"/>
    <cellStyle name="Normal 2 29 7 7 5" xfId="25725" xr:uid="{00000000-0005-0000-0000-0000A7670000}"/>
    <cellStyle name="Normal 2 29 7 7 6" xfId="25726" xr:uid="{00000000-0005-0000-0000-0000A8670000}"/>
    <cellStyle name="Normal 2 29 7 8" xfId="25727" xr:uid="{00000000-0005-0000-0000-0000A9670000}"/>
    <cellStyle name="Normal 2 29 7 8 2" xfId="25728" xr:uid="{00000000-0005-0000-0000-0000AA670000}"/>
    <cellStyle name="Normal 2 29 7 8 3" xfId="25729" xr:uid="{00000000-0005-0000-0000-0000AB670000}"/>
    <cellStyle name="Normal 2 29 7 8 4" xfId="25730" xr:uid="{00000000-0005-0000-0000-0000AC670000}"/>
    <cellStyle name="Normal 2 29 7 8 5" xfId="25731" xr:uid="{00000000-0005-0000-0000-0000AD670000}"/>
    <cellStyle name="Normal 2 29 7 8 6" xfId="25732" xr:uid="{00000000-0005-0000-0000-0000AE670000}"/>
    <cellStyle name="Normal 2 29 7 9" xfId="25733" xr:uid="{00000000-0005-0000-0000-0000AF670000}"/>
    <cellStyle name="Normal 2 29 8" xfId="25734" xr:uid="{00000000-0005-0000-0000-0000B0670000}"/>
    <cellStyle name="Normal 2 29 8 10" xfId="25735" xr:uid="{00000000-0005-0000-0000-0000B1670000}"/>
    <cellStyle name="Normal 2 29 8 11" xfId="25736" xr:uid="{00000000-0005-0000-0000-0000B2670000}"/>
    <cellStyle name="Normal 2 29 8 12" xfId="25737" xr:uid="{00000000-0005-0000-0000-0000B3670000}"/>
    <cellStyle name="Normal 2 29 8 13" xfId="25738" xr:uid="{00000000-0005-0000-0000-0000B4670000}"/>
    <cellStyle name="Normal 2 29 8 2" xfId="25739" xr:uid="{00000000-0005-0000-0000-0000B5670000}"/>
    <cellStyle name="Normal 2 29 8 2 2" xfId="25740" xr:uid="{00000000-0005-0000-0000-0000B6670000}"/>
    <cellStyle name="Normal 2 29 8 2 3" xfId="25741" xr:uid="{00000000-0005-0000-0000-0000B7670000}"/>
    <cellStyle name="Normal 2 29 8 2 4" xfId="25742" xr:uid="{00000000-0005-0000-0000-0000B8670000}"/>
    <cellStyle name="Normal 2 29 8 2 5" xfId="25743" xr:uid="{00000000-0005-0000-0000-0000B9670000}"/>
    <cellStyle name="Normal 2 29 8 2 6" xfId="25744" xr:uid="{00000000-0005-0000-0000-0000BA670000}"/>
    <cellStyle name="Normal 2 29 8 3" xfId="25745" xr:uid="{00000000-0005-0000-0000-0000BB670000}"/>
    <cellStyle name="Normal 2 29 8 3 2" xfId="25746" xr:uid="{00000000-0005-0000-0000-0000BC670000}"/>
    <cellStyle name="Normal 2 29 8 3 3" xfId="25747" xr:uid="{00000000-0005-0000-0000-0000BD670000}"/>
    <cellStyle name="Normal 2 29 8 3 4" xfId="25748" xr:uid="{00000000-0005-0000-0000-0000BE670000}"/>
    <cellStyle name="Normal 2 29 8 3 5" xfId="25749" xr:uid="{00000000-0005-0000-0000-0000BF670000}"/>
    <cellStyle name="Normal 2 29 8 3 6" xfId="25750" xr:uid="{00000000-0005-0000-0000-0000C0670000}"/>
    <cellStyle name="Normal 2 29 8 4" xfId="25751" xr:uid="{00000000-0005-0000-0000-0000C1670000}"/>
    <cellStyle name="Normal 2 29 8 4 2" xfId="25752" xr:uid="{00000000-0005-0000-0000-0000C2670000}"/>
    <cellStyle name="Normal 2 29 8 4 3" xfId="25753" xr:uid="{00000000-0005-0000-0000-0000C3670000}"/>
    <cellStyle name="Normal 2 29 8 4 4" xfId="25754" xr:uid="{00000000-0005-0000-0000-0000C4670000}"/>
    <cellStyle name="Normal 2 29 8 4 5" xfId="25755" xr:uid="{00000000-0005-0000-0000-0000C5670000}"/>
    <cellStyle name="Normal 2 29 8 4 6" xfId="25756" xr:uid="{00000000-0005-0000-0000-0000C6670000}"/>
    <cellStyle name="Normal 2 29 8 5" xfId="25757" xr:uid="{00000000-0005-0000-0000-0000C7670000}"/>
    <cellStyle name="Normal 2 29 8 5 2" xfId="25758" xr:uid="{00000000-0005-0000-0000-0000C8670000}"/>
    <cellStyle name="Normal 2 29 8 5 3" xfId="25759" xr:uid="{00000000-0005-0000-0000-0000C9670000}"/>
    <cellStyle name="Normal 2 29 8 5 4" xfId="25760" xr:uid="{00000000-0005-0000-0000-0000CA670000}"/>
    <cellStyle name="Normal 2 29 8 5 5" xfId="25761" xr:uid="{00000000-0005-0000-0000-0000CB670000}"/>
    <cellStyle name="Normal 2 29 8 5 6" xfId="25762" xr:uid="{00000000-0005-0000-0000-0000CC670000}"/>
    <cellStyle name="Normal 2 29 8 6" xfId="25763" xr:uid="{00000000-0005-0000-0000-0000CD670000}"/>
    <cellStyle name="Normal 2 29 8 6 2" xfId="25764" xr:uid="{00000000-0005-0000-0000-0000CE670000}"/>
    <cellStyle name="Normal 2 29 8 6 3" xfId="25765" xr:uid="{00000000-0005-0000-0000-0000CF670000}"/>
    <cellStyle name="Normal 2 29 8 6 4" xfId="25766" xr:uid="{00000000-0005-0000-0000-0000D0670000}"/>
    <cellStyle name="Normal 2 29 8 6 5" xfId="25767" xr:uid="{00000000-0005-0000-0000-0000D1670000}"/>
    <cellStyle name="Normal 2 29 8 6 6" xfId="25768" xr:uid="{00000000-0005-0000-0000-0000D2670000}"/>
    <cellStyle name="Normal 2 29 8 7" xfId="25769" xr:uid="{00000000-0005-0000-0000-0000D3670000}"/>
    <cellStyle name="Normal 2 29 8 7 2" xfId="25770" xr:uid="{00000000-0005-0000-0000-0000D4670000}"/>
    <cellStyle name="Normal 2 29 8 7 3" xfId="25771" xr:uid="{00000000-0005-0000-0000-0000D5670000}"/>
    <cellStyle name="Normal 2 29 8 7 4" xfId="25772" xr:uid="{00000000-0005-0000-0000-0000D6670000}"/>
    <cellStyle name="Normal 2 29 8 7 5" xfId="25773" xr:uid="{00000000-0005-0000-0000-0000D7670000}"/>
    <cellStyle name="Normal 2 29 8 7 6" xfId="25774" xr:uid="{00000000-0005-0000-0000-0000D8670000}"/>
    <cellStyle name="Normal 2 29 8 8" xfId="25775" xr:uid="{00000000-0005-0000-0000-0000D9670000}"/>
    <cellStyle name="Normal 2 29 8 8 2" xfId="25776" xr:uid="{00000000-0005-0000-0000-0000DA670000}"/>
    <cellStyle name="Normal 2 29 8 8 3" xfId="25777" xr:uid="{00000000-0005-0000-0000-0000DB670000}"/>
    <cellStyle name="Normal 2 29 8 8 4" xfId="25778" xr:uid="{00000000-0005-0000-0000-0000DC670000}"/>
    <cellStyle name="Normal 2 29 8 8 5" xfId="25779" xr:uid="{00000000-0005-0000-0000-0000DD670000}"/>
    <cellStyle name="Normal 2 29 8 8 6" xfId="25780" xr:uid="{00000000-0005-0000-0000-0000DE670000}"/>
    <cellStyle name="Normal 2 29 8 9" xfId="25781" xr:uid="{00000000-0005-0000-0000-0000DF670000}"/>
    <cellStyle name="Normal 2 29 9" xfId="25782" xr:uid="{00000000-0005-0000-0000-0000E0670000}"/>
    <cellStyle name="Normal 2 29 9 10" xfId="25783" xr:uid="{00000000-0005-0000-0000-0000E1670000}"/>
    <cellStyle name="Normal 2 29 9 11" xfId="25784" xr:uid="{00000000-0005-0000-0000-0000E2670000}"/>
    <cellStyle name="Normal 2 29 9 12" xfId="25785" xr:uid="{00000000-0005-0000-0000-0000E3670000}"/>
    <cellStyle name="Normal 2 29 9 13" xfId="25786" xr:uid="{00000000-0005-0000-0000-0000E4670000}"/>
    <cellStyle name="Normal 2 29 9 2" xfId="25787" xr:uid="{00000000-0005-0000-0000-0000E5670000}"/>
    <cellStyle name="Normal 2 29 9 2 2" xfId="25788" xr:uid="{00000000-0005-0000-0000-0000E6670000}"/>
    <cellStyle name="Normal 2 29 9 2 3" xfId="25789" xr:uid="{00000000-0005-0000-0000-0000E7670000}"/>
    <cellStyle name="Normal 2 29 9 2 4" xfId="25790" xr:uid="{00000000-0005-0000-0000-0000E8670000}"/>
    <cellStyle name="Normal 2 29 9 2 5" xfId="25791" xr:uid="{00000000-0005-0000-0000-0000E9670000}"/>
    <cellStyle name="Normal 2 29 9 2 6" xfId="25792" xr:uid="{00000000-0005-0000-0000-0000EA670000}"/>
    <cellStyle name="Normal 2 29 9 3" xfId="25793" xr:uid="{00000000-0005-0000-0000-0000EB670000}"/>
    <cellStyle name="Normal 2 29 9 3 2" xfId="25794" xr:uid="{00000000-0005-0000-0000-0000EC670000}"/>
    <cellStyle name="Normal 2 29 9 3 3" xfId="25795" xr:uid="{00000000-0005-0000-0000-0000ED670000}"/>
    <cellStyle name="Normal 2 29 9 3 4" xfId="25796" xr:uid="{00000000-0005-0000-0000-0000EE670000}"/>
    <cellStyle name="Normal 2 29 9 3 5" xfId="25797" xr:uid="{00000000-0005-0000-0000-0000EF670000}"/>
    <cellStyle name="Normal 2 29 9 3 6" xfId="25798" xr:uid="{00000000-0005-0000-0000-0000F0670000}"/>
    <cellStyle name="Normal 2 29 9 4" xfId="25799" xr:uid="{00000000-0005-0000-0000-0000F1670000}"/>
    <cellStyle name="Normal 2 29 9 4 2" xfId="25800" xr:uid="{00000000-0005-0000-0000-0000F2670000}"/>
    <cellStyle name="Normal 2 29 9 4 3" xfId="25801" xr:uid="{00000000-0005-0000-0000-0000F3670000}"/>
    <cellStyle name="Normal 2 29 9 4 4" xfId="25802" xr:uid="{00000000-0005-0000-0000-0000F4670000}"/>
    <cellStyle name="Normal 2 29 9 4 5" xfId="25803" xr:uid="{00000000-0005-0000-0000-0000F5670000}"/>
    <cellStyle name="Normal 2 29 9 4 6" xfId="25804" xr:uid="{00000000-0005-0000-0000-0000F6670000}"/>
    <cellStyle name="Normal 2 29 9 5" xfId="25805" xr:uid="{00000000-0005-0000-0000-0000F7670000}"/>
    <cellStyle name="Normal 2 29 9 5 2" xfId="25806" xr:uid="{00000000-0005-0000-0000-0000F8670000}"/>
    <cellStyle name="Normal 2 29 9 5 3" xfId="25807" xr:uid="{00000000-0005-0000-0000-0000F9670000}"/>
    <cellStyle name="Normal 2 29 9 5 4" xfId="25808" xr:uid="{00000000-0005-0000-0000-0000FA670000}"/>
    <cellStyle name="Normal 2 29 9 5 5" xfId="25809" xr:uid="{00000000-0005-0000-0000-0000FB670000}"/>
    <cellStyle name="Normal 2 29 9 5 6" xfId="25810" xr:uid="{00000000-0005-0000-0000-0000FC670000}"/>
    <cellStyle name="Normal 2 29 9 6" xfId="25811" xr:uid="{00000000-0005-0000-0000-0000FD670000}"/>
    <cellStyle name="Normal 2 29 9 6 2" xfId="25812" xr:uid="{00000000-0005-0000-0000-0000FE670000}"/>
    <cellStyle name="Normal 2 29 9 6 3" xfId="25813" xr:uid="{00000000-0005-0000-0000-0000FF670000}"/>
    <cellStyle name="Normal 2 29 9 6 4" xfId="25814" xr:uid="{00000000-0005-0000-0000-000000680000}"/>
    <cellStyle name="Normal 2 29 9 6 5" xfId="25815" xr:uid="{00000000-0005-0000-0000-000001680000}"/>
    <cellStyle name="Normal 2 29 9 6 6" xfId="25816" xr:uid="{00000000-0005-0000-0000-000002680000}"/>
    <cellStyle name="Normal 2 29 9 7" xfId="25817" xr:uid="{00000000-0005-0000-0000-000003680000}"/>
    <cellStyle name="Normal 2 29 9 7 2" xfId="25818" xr:uid="{00000000-0005-0000-0000-000004680000}"/>
    <cellStyle name="Normal 2 29 9 7 3" xfId="25819" xr:uid="{00000000-0005-0000-0000-000005680000}"/>
    <cellStyle name="Normal 2 29 9 7 4" xfId="25820" xr:uid="{00000000-0005-0000-0000-000006680000}"/>
    <cellStyle name="Normal 2 29 9 7 5" xfId="25821" xr:uid="{00000000-0005-0000-0000-000007680000}"/>
    <cellStyle name="Normal 2 29 9 7 6" xfId="25822" xr:uid="{00000000-0005-0000-0000-000008680000}"/>
    <cellStyle name="Normal 2 29 9 8" xfId="25823" xr:uid="{00000000-0005-0000-0000-000009680000}"/>
    <cellStyle name="Normal 2 29 9 8 2" xfId="25824" xr:uid="{00000000-0005-0000-0000-00000A680000}"/>
    <cellStyle name="Normal 2 29 9 8 3" xfId="25825" xr:uid="{00000000-0005-0000-0000-00000B680000}"/>
    <cellStyle name="Normal 2 29 9 8 4" xfId="25826" xr:uid="{00000000-0005-0000-0000-00000C680000}"/>
    <cellStyle name="Normal 2 29 9 8 5" xfId="25827" xr:uid="{00000000-0005-0000-0000-00000D680000}"/>
    <cellStyle name="Normal 2 29 9 8 6" xfId="25828" xr:uid="{00000000-0005-0000-0000-00000E680000}"/>
    <cellStyle name="Normal 2 29 9 9" xfId="25829" xr:uid="{00000000-0005-0000-0000-00000F680000}"/>
    <cellStyle name="Normal 2 3" xfId="1072" xr:uid="{00000000-0005-0000-0000-000010680000}"/>
    <cellStyle name="Normal 2 3 10" xfId="25830" xr:uid="{00000000-0005-0000-0000-000011680000}"/>
    <cellStyle name="Normal 2 3 11" xfId="25831" xr:uid="{00000000-0005-0000-0000-000012680000}"/>
    <cellStyle name="Normal 2 3 12" xfId="25832" xr:uid="{00000000-0005-0000-0000-000013680000}"/>
    <cellStyle name="Normal 2 3 13" xfId="25833" xr:uid="{00000000-0005-0000-0000-000014680000}"/>
    <cellStyle name="Normal 2 3 14" xfId="25834" xr:uid="{00000000-0005-0000-0000-000015680000}"/>
    <cellStyle name="Normal 2 3 2" xfId="25835" xr:uid="{00000000-0005-0000-0000-000016680000}"/>
    <cellStyle name="Normal 2 3 2 2" xfId="25836" xr:uid="{00000000-0005-0000-0000-000017680000}"/>
    <cellStyle name="Normal 2 3 2 3" xfId="25837" xr:uid="{00000000-0005-0000-0000-000018680000}"/>
    <cellStyle name="Normal 2 3 2 4" xfId="25838" xr:uid="{00000000-0005-0000-0000-000019680000}"/>
    <cellStyle name="Normal 2 3 2 5" xfId="25839" xr:uid="{00000000-0005-0000-0000-00001A680000}"/>
    <cellStyle name="Normal 2 3 2 6" xfId="25840" xr:uid="{00000000-0005-0000-0000-00001B680000}"/>
    <cellStyle name="Normal 2 3 3" xfId="25841" xr:uid="{00000000-0005-0000-0000-00001C680000}"/>
    <cellStyle name="Normal 2 3 3 2" xfId="25842" xr:uid="{00000000-0005-0000-0000-00001D680000}"/>
    <cellStyle name="Normal 2 3 3 3" xfId="25843" xr:uid="{00000000-0005-0000-0000-00001E680000}"/>
    <cellStyle name="Normal 2 3 3 4" xfId="25844" xr:uid="{00000000-0005-0000-0000-00001F680000}"/>
    <cellStyle name="Normal 2 3 3 5" xfId="25845" xr:uid="{00000000-0005-0000-0000-000020680000}"/>
    <cellStyle name="Normal 2 3 3 6" xfId="25846" xr:uid="{00000000-0005-0000-0000-000021680000}"/>
    <cellStyle name="Normal 2 3 4" xfId="25847" xr:uid="{00000000-0005-0000-0000-000022680000}"/>
    <cellStyle name="Normal 2 3 4 2" xfId="25848" xr:uid="{00000000-0005-0000-0000-000023680000}"/>
    <cellStyle name="Normal 2 3 4 3" xfId="25849" xr:uid="{00000000-0005-0000-0000-000024680000}"/>
    <cellStyle name="Normal 2 3 4 4" xfId="25850" xr:uid="{00000000-0005-0000-0000-000025680000}"/>
    <cellStyle name="Normal 2 3 4 5" xfId="25851" xr:uid="{00000000-0005-0000-0000-000026680000}"/>
    <cellStyle name="Normal 2 3 4 6" xfId="25852" xr:uid="{00000000-0005-0000-0000-000027680000}"/>
    <cellStyle name="Normal 2 3 5" xfId="25853" xr:uid="{00000000-0005-0000-0000-000028680000}"/>
    <cellStyle name="Normal 2 3 5 2" xfId="25854" xr:uid="{00000000-0005-0000-0000-000029680000}"/>
    <cellStyle name="Normal 2 3 5 3" xfId="25855" xr:uid="{00000000-0005-0000-0000-00002A680000}"/>
    <cellStyle name="Normal 2 3 5 4" xfId="25856" xr:uid="{00000000-0005-0000-0000-00002B680000}"/>
    <cellStyle name="Normal 2 3 5 5" xfId="25857" xr:uid="{00000000-0005-0000-0000-00002C680000}"/>
    <cellStyle name="Normal 2 3 5 6" xfId="25858" xr:uid="{00000000-0005-0000-0000-00002D680000}"/>
    <cellStyle name="Normal 2 3 6" xfId="25859" xr:uid="{00000000-0005-0000-0000-00002E680000}"/>
    <cellStyle name="Normal 2 3 6 2" xfId="25860" xr:uid="{00000000-0005-0000-0000-00002F680000}"/>
    <cellStyle name="Normal 2 3 6 3" xfId="25861" xr:uid="{00000000-0005-0000-0000-000030680000}"/>
    <cellStyle name="Normal 2 3 6 4" xfId="25862" xr:uid="{00000000-0005-0000-0000-000031680000}"/>
    <cellStyle name="Normal 2 3 6 5" xfId="25863" xr:uid="{00000000-0005-0000-0000-000032680000}"/>
    <cellStyle name="Normal 2 3 6 6" xfId="25864" xr:uid="{00000000-0005-0000-0000-000033680000}"/>
    <cellStyle name="Normal 2 3 7" xfId="25865" xr:uid="{00000000-0005-0000-0000-000034680000}"/>
    <cellStyle name="Normal 2 3 7 2" xfId="25866" xr:uid="{00000000-0005-0000-0000-000035680000}"/>
    <cellStyle name="Normal 2 3 7 3" xfId="25867" xr:uid="{00000000-0005-0000-0000-000036680000}"/>
    <cellStyle name="Normal 2 3 7 4" xfId="25868" xr:uid="{00000000-0005-0000-0000-000037680000}"/>
    <cellStyle name="Normal 2 3 7 5" xfId="25869" xr:uid="{00000000-0005-0000-0000-000038680000}"/>
    <cellStyle name="Normal 2 3 7 6" xfId="25870" xr:uid="{00000000-0005-0000-0000-000039680000}"/>
    <cellStyle name="Normal 2 3 8" xfId="25871" xr:uid="{00000000-0005-0000-0000-00003A680000}"/>
    <cellStyle name="Normal 2 3 8 2" xfId="25872" xr:uid="{00000000-0005-0000-0000-00003B680000}"/>
    <cellStyle name="Normal 2 3 8 3" xfId="25873" xr:uid="{00000000-0005-0000-0000-00003C680000}"/>
    <cellStyle name="Normal 2 3 8 4" xfId="25874" xr:uid="{00000000-0005-0000-0000-00003D680000}"/>
    <cellStyle name="Normal 2 3 8 5" xfId="25875" xr:uid="{00000000-0005-0000-0000-00003E680000}"/>
    <cellStyle name="Normal 2 3 8 6" xfId="25876" xr:uid="{00000000-0005-0000-0000-00003F680000}"/>
    <cellStyle name="Normal 2 3 9" xfId="25877" xr:uid="{00000000-0005-0000-0000-000040680000}"/>
    <cellStyle name="Normal 2 30" xfId="25878" xr:uid="{00000000-0005-0000-0000-000041680000}"/>
    <cellStyle name="Normal 2 30 10" xfId="25879" xr:uid="{00000000-0005-0000-0000-000042680000}"/>
    <cellStyle name="Normal 2 30 11" xfId="25880" xr:uid="{00000000-0005-0000-0000-000043680000}"/>
    <cellStyle name="Normal 2 30 12" xfId="25881" xr:uid="{00000000-0005-0000-0000-000044680000}"/>
    <cellStyle name="Normal 2 30 13" xfId="25882" xr:uid="{00000000-0005-0000-0000-000045680000}"/>
    <cellStyle name="Normal 2 30 14" xfId="25883" xr:uid="{00000000-0005-0000-0000-000046680000}"/>
    <cellStyle name="Normal 2 30 2" xfId="25884" xr:uid="{00000000-0005-0000-0000-000047680000}"/>
    <cellStyle name="Normal 2 30 2 2" xfId="25885" xr:uid="{00000000-0005-0000-0000-000048680000}"/>
    <cellStyle name="Normal 2 30 2 3" xfId="25886" xr:uid="{00000000-0005-0000-0000-000049680000}"/>
    <cellStyle name="Normal 2 30 2 4" xfId="25887" xr:uid="{00000000-0005-0000-0000-00004A680000}"/>
    <cellStyle name="Normal 2 30 2 5" xfId="25888" xr:uid="{00000000-0005-0000-0000-00004B680000}"/>
    <cellStyle name="Normal 2 30 2 6" xfId="25889" xr:uid="{00000000-0005-0000-0000-00004C680000}"/>
    <cellStyle name="Normal 2 30 3" xfId="25890" xr:uid="{00000000-0005-0000-0000-00004D680000}"/>
    <cellStyle name="Normal 2 30 3 2" xfId="25891" xr:uid="{00000000-0005-0000-0000-00004E680000}"/>
    <cellStyle name="Normal 2 30 3 3" xfId="25892" xr:uid="{00000000-0005-0000-0000-00004F680000}"/>
    <cellStyle name="Normal 2 30 3 4" xfId="25893" xr:uid="{00000000-0005-0000-0000-000050680000}"/>
    <cellStyle name="Normal 2 30 3 5" xfId="25894" xr:uid="{00000000-0005-0000-0000-000051680000}"/>
    <cellStyle name="Normal 2 30 3 6" xfId="25895" xr:uid="{00000000-0005-0000-0000-000052680000}"/>
    <cellStyle name="Normal 2 30 4" xfId="25896" xr:uid="{00000000-0005-0000-0000-000053680000}"/>
    <cellStyle name="Normal 2 30 4 2" xfId="25897" xr:uid="{00000000-0005-0000-0000-000054680000}"/>
    <cellStyle name="Normal 2 30 4 3" xfId="25898" xr:uid="{00000000-0005-0000-0000-000055680000}"/>
    <cellStyle name="Normal 2 30 4 4" xfId="25899" xr:uid="{00000000-0005-0000-0000-000056680000}"/>
    <cellStyle name="Normal 2 30 4 5" xfId="25900" xr:uid="{00000000-0005-0000-0000-000057680000}"/>
    <cellStyle name="Normal 2 30 4 6" xfId="25901" xr:uid="{00000000-0005-0000-0000-000058680000}"/>
    <cellStyle name="Normal 2 30 5" xfId="25902" xr:uid="{00000000-0005-0000-0000-000059680000}"/>
    <cellStyle name="Normal 2 30 5 2" xfId="25903" xr:uid="{00000000-0005-0000-0000-00005A680000}"/>
    <cellStyle name="Normal 2 30 5 3" xfId="25904" xr:uid="{00000000-0005-0000-0000-00005B680000}"/>
    <cellStyle name="Normal 2 30 5 4" xfId="25905" xr:uid="{00000000-0005-0000-0000-00005C680000}"/>
    <cellStyle name="Normal 2 30 5 5" xfId="25906" xr:uid="{00000000-0005-0000-0000-00005D680000}"/>
    <cellStyle name="Normal 2 30 5 6" xfId="25907" xr:uid="{00000000-0005-0000-0000-00005E680000}"/>
    <cellStyle name="Normal 2 30 6" xfId="25908" xr:uid="{00000000-0005-0000-0000-00005F680000}"/>
    <cellStyle name="Normal 2 30 6 2" xfId="25909" xr:uid="{00000000-0005-0000-0000-000060680000}"/>
    <cellStyle name="Normal 2 30 6 3" xfId="25910" xr:uid="{00000000-0005-0000-0000-000061680000}"/>
    <cellStyle name="Normal 2 30 6 4" xfId="25911" xr:uid="{00000000-0005-0000-0000-000062680000}"/>
    <cellStyle name="Normal 2 30 6 5" xfId="25912" xr:uid="{00000000-0005-0000-0000-000063680000}"/>
    <cellStyle name="Normal 2 30 6 6" xfId="25913" xr:uid="{00000000-0005-0000-0000-000064680000}"/>
    <cellStyle name="Normal 2 30 7" xfId="25914" xr:uid="{00000000-0005-0000-0000-000065680000}"/>
    <cellStyle name="Normal 2 30 7 2" xfId="25915" xr:uid="{00000000-0005-0000-0000-000066680000}"/>
    <cellStyle name="Normal 2 30 7 3" xfId="25916" xr:uid="{00000000-0005-0000-0000-000067680000}"/>
    <cellStyle name="Normal 2 30 7 4" xfId="25917" xr:uid="{00000000-0005-0000-0000-000068680000}"/>
    <cellStyle name="Normal 2 30 7 5" xfId="25918" xr:uid="{00000000-0005-0000-0000-000069680000}"/>
    <cellStyle name="Normal 2 30 7 6" xfId="25919" xr:uid="{00000000-0005-0000-0000-00006A680000}"/>
    <cellStyle name="Normal 2 30 8" xfId="25920" xr:uid="{00000000-0005-0000-0000-00006B680000}"/>
    <cellStyle name="Normal 2 30 8 2" xfId="25921" xr:uid="{00000000-0005-0000-0000-00006C680000}"/>
    <cellStyle name="Normal 2 30 8 3" xfId="25922" xr:uid="{00000000-0005-0000-0000-00006D680000}"/>
    <cellStyle name="Normal 2 30 8 4" xfId="25923" xr:uid="{00000000-0005-0000-0000-00006E680000}"/>
    <cellStyle name="Normal 2 30 8 5" xfId="25924" xr:uid="{00000000-0005-0000-0000-00006F680000}"/>
    <cellStyle name="Normal 2 30 8 6" xfId="25925" xr:uid="{00000000-0005-0000-0000-000070680000}"/>
    <cellStyle name="Normal 2 30 9" xfId="25926" xr:uid="{00000000-0005-0000-0000-000071680000}"/>
    <cellStyle name="Normal 2 31" xfId="25927" xr:uid="{00000000-0005-0000-0000-000072680000}"/>
    <cellStyle name="Normal 2 31 10" xfId="25928" xr:uid="{00000000-0005-0000-0000-000073680000}"/>
    <cellStyle name="Normal 2 31 11" xfId="25929" xr:uid="{00000000-0005-0000-0000-000074680000}"/>
    <cellStyle name="Normal 2 31 12" xfId="25930" xr:uid="{00000000-0005-0000-0000-000075680000}"/>
    <cellStyle name="Normal 2 31 13" xfId="25931" xr:uid="{00000000-0005-0000-0000-000076680000}"/>
    <cellStyle name="Normal 2 31 14" xfId="25932" xr:uid="{00000000-0005-0000-0000-000077680000}"/>
    <cellStyle name="Normal 2 31 2" xfId="25933" xr:uid="{00000000-0005-0000-0000-000078680000}"/>
    <cellStyle name="Normal 2 31 2 2" xfId="25934" xr:uid="{00000000-0005-0000-0000-000079680000}"/>
    <cellStyle name="Normal 2 31 2 3" xfId="25935" xr:uid="{00000000-0005-0000-0000-00007A680000}"/>
    <cellStyle name="Normal 2 31 2 4" xfId="25936" xr:uid="{00000000-0005-0000-0000-00007B680000}"/>
    <cellStyle name="Normal 2 31 2 5" xfId="25937" xr:uid="{00000000-0005-0000-0000-00007C680000}"/>
    <cellStyle name="Normal 2 31 2 6" xfId="25938" xr:uid="{00000000-0005-0000-0000-00007D680000}"/>
    <cellStyle name="Normal 2 31 3" xfId="25939" xr:uid="{00000000-0005-0000-0000-00007E680000}"/>
    <cellStyle name="Normal 2 31 3 2" xfId="25940" xr:uid="{00000000-0005-0000-0000-00007F680000}"/>
    <cellStyle name="Normal 2 31 3 3" xfId="25941" xr:uid="{00000000-0005-0000-0000-000080680000}"/>
    <cellStyle name="Normal 2 31 3 4" xfId="25942" xr:uid="{00000000-0005-0000-0000-000081680000}"/>
    <cellStyle name="Normal 2 31 3 5" xfId="25943" xr:uid="{00000000-0005-0000-0000-000082680000}"/>
    <cellStyle name="Normal 2 31 3 6" xfId="25944" xr:uid="{00000000-0005-0000-0000-000083680000}"/>
    <cellStyle name="Normal 2 31 4" xfId="25945" xr:uid="{00000000-0005-0000-0000-000084680000}"/>
    <cellStyle name="Normal 2 31 4 2" xfId="25946" xr:uid="{00000000-0005-0000-0000-000085680000}"/>
    <cellStyle name="Normal 2 31 4 3" xfId="25947" xr:uid="{00000000-0005-0000-0000-000086680000}"/>
    <cellStyle name="Normal 2 31 4 4" xfId="25948" xr:uid="{00000000-0005-0000-0000-000087680000}"/>
    <cellStyle name="Normal 2 31 4 5" xfId="25949" xr:uid="{00000000-0005-0000-0000-000088680000}"/>
    <cellStyle name="Normal 2 31 4 6" xfId="25950" xr:uid="{00000000-0005-0000-0000-000089680000}"/>
    <cellStyle name="Normal 2 31 5" xfId="25951" xr:uid="{00000000-0005-0000-0000-00008A680000}"/>
    <cellStyle name="Normal 2 31 5 2" xfId="25952" xr:uid="{00000000-0005-0000-0000-00008B680000}"/>
    <cellStyle name="Normal 2 31 5 3" xfId="25953" xr:uid="{00000000-0005-0000-0000-00008C680000}"/>
    <cellStyle name="Normal 2 31 5 4" xfId="25954" xr:uid="{00000000-0005-0000-0000-00008D680000}"/>
    <cellStyle name="Normal 2 31 5 5" xfId="25955" xr:uid="{00000000-0005-0000-0000-00008E680000}"/>
    <cellStyle name="Normal 2 31 5 6" xfId="25956" xr:uid="{00000000-0005-0000-0000-00008F680000}"/>
    <cellStyle name="Normal 2 31 6" xfId="25957" xr:uid="{00000000-0005-0000-0000-000090680000}"/>
    <cellStyle name="Normal 2 31 6 2" xfId="25958" xr:uid="{00000000-0005-0000-0000-000091680000}"/>
    <cellStyle name="Normal 2 31 6 3" xfId="25959" xr:uid="{00000000-0005-0000-0000-000092680000}"/>
    <cellStyle name="Normal 2 31 6 4" xfId="25960" xr:uid="{00000000-0005-0000-0000-000093680000}"/>
    <cellStyle name="Normal 2 31 6 5" xfId="25961" xr:uid="{00000000-0005-0000-0000-000094680000}"/>
    <cellStyle name="Normal 2 31 6 6" xfId="25962" xr:uid="{00000000-0005-0000-0000-000095680000}"/>
    <cellStyle name="Normal 2 31 7" xfId="25963" xr:uid="{00000000-0005-0000-0000-000096680000}"/>
    <cellStyle name="Normal 2 31 7 2" xfId="25964" xr:uid="{00000000-0005-0000-0000-000097680000}"/>
    <cellStyle name="Normal 2 31 7 3" xfId="25965" xr:uid="{00000000-0005-0000-0000-000098680000}"/>
    <cellStyle name="Normal 2 31 7 4" xfId="25966" xr:uid="{00000000-0005-0000-0000-000099680000}"/>
    <cellStyle name="Normal 2 31 7 5" xfId="25967" xr:uid="{00000000-0005-0000-0000-00009A680000}"/>
    <cellStyle name="Normal 2 31 7 6" xfId="25968" xr:uid="{00000000-0005-0000-0000-00009B680000}"/>
    <cellStyle name="Normal 2 31 8" xfId="25969" xr:uid="{00000000-0005-0000-0000-00009C680000}"/>
    <cellStyle name="Normal 2 31 8 2" xfId="25970" xr:uid="{00000000-0005-0000-0000-00009D680000}"/>
    <cellStyle name="Normal 2 31 8 3" xfId="25971" xr:uid="{00000000-0005-0000-0000-00009E680000}"/>
    <cellStyle name="Normal 2 31 8 4" xfId="25972" xr:uid="{00000000-0005-0000-0000-00009F680000}"/>
    <cellStyle name="Normal 2 31 8 5" xfId="25973" xr:uid="{00000000-0005-0000-0000-0000A0680000}"/>
    <cellStyle name="Normal 2 31 8 6" xfId="25974" xr:uid="{00000000-0005-0000-0000-0000A1680000}"/>
    <cellStyle name="Normal 2 31 9" xfId="25975" xr:uid="{00000000-0005-0000-0000-0000A2680000}"/>
    <cellStyle name="Normal 2 32" xfId="25976" xr:uid="{00000000-0005-0000-0000-0000A3680000}"/>
    <cellStyle name="Normal 2 32 10" xfId="25977" xr:uid="{00000000-0005-0000-0000-0000A4680000}"/>
    <cellStyle name="Normal 2 32 11" xfId="25978" xr:uid="{00000000-0005-0000-0000-0000A5680000}"/>
    <cellStyle name="Normal 2 32 12" xfId="25979" xr:uid="{00000000-0005-0000-0000-0000A6680000}"/>
    <cellStyle name="Normal 2 32 13" xfId="25980" xr:uid="{00000000-0005-0000-0000-0000A7680000}"/>
    <cellStyle name="Normal 2 32 14" xfId="25981" xr:uid="{00000000-0005-0000-0000-0000A8680000}"/>
    <cellStyle name="Normal 2 32 2" xfId="25982" xr:uid="{00000000-0005-0000-0000-0000A9680000}"/>
    <cellStyle name="Normal 2 32 2 2" xfId="25983" xr:uid="{00000000-0005-0000-0000-0000AA680000}"/>
    <cellStyle name="Normal 2 32 2 3" xfId="25984" xr:uid="{00000000-0005-0000-0000-0000AB680000}"/>
    <cellStyle name="Normal 2 32 2 4" xfId="25985" xr:uid="{00000000-0005-0000-0000-0000AC680000}"/>
    <cellStyle name="Normal 2 32 2 5" xfId="25986" xr:uid="{00000000-0005-0000-0000-0000AD680000}"/>
    <cellStyle name="Normal 2 32 2 6" xfId="25987" xr:uid="{00000000-0005-0000-0000-0000AE680000}"/>
    <cellStyle name="Normal 2 32 3" xfId="25988" xr:uid="{00000000-0005-0000-0000-0000AF680000}"/>
    <cellStyle name="Normal 2 32 3 2" xfId="25989" xr:uid="{00000000-0005-0000-0000-0000B0680000}"/>
    <cellStyle name="Normal 2 32 3 3" xfId="25990" xr:uid="{00000000-0005-0000-0000-0000B1680000}"/>
    <cellStyle name="Normal 2 32 3 4" xfId="25991" xr:uid="{00000000-0005-0000-0000-0000B2680000}"/>
    <cellStyle name="Normal 2 32 3 5" xfId="25992" xr:uid="{00000000-0005-0000-0000-0000B3680000}"/>
    <cellStyle name="Normal 2 32 3 6" xfId="25993" xr:uid="{00000000-0005-0000-0000-0000B4680000}"/>
    <cellStyle name="Normal 2 32 4" xfId="25994" xr:uid="{00000000-0005-0000-0000-0000B5680000}"/>
    <cellStyle name="Normal 2 32 4 2" xfId="25995" xr:uid="{00000000-0005-0000-0000-0000B6680000}"/>
    <cellStyle name="Normal 2 32 4 3" xfId="25996" xr:uid="{00000000-0005-0000-0000-0000B7680000}"/>
    <cellStyle name="Normal 2 32 4 4" xfId="25997" xr:uid="{00000000-0005-0000-0000-0000B8680000}"/>
    <cellStyle name="Normal 2 32 4 5" xfId="25998" xr:uid="{00000000-0005-0000-0000-0000B9680000}"/>
    <cellStyle name="Normal 2 32 4 6" xfId="25999" xr:uid="{00000000-0005-0000-0000-0000BA680000}"/>
    <cellStyle name="Normal 2 32 5" xfId="26000" xr:uid="{00000000-0005-0000-0000-0000BB680000}"/>
    <cellStyle name="Normal 2 32 5 2" xfId="26001" xr:uid="{00000000-0005-0000-0000-0000BC680000}"/>
    <cellStyle name="Normal 2 32 5 3" xfId="26002" xr:uid="{00000000-0005-0000-0000-0000BD680000}"/>
    <cellStyle name="Normal 2 32 5 4" xfId="26003" xr:uid="{00000000-0005-0000-0000-0000BE680000}"/>
    <cellStyle name="Normal 2 32 5 5" xfId="26004" xr:uid="{00000000-0005-0000-0000-0000BF680000}"/>
    <cellStyle name="Normal 2 32 5 6" xfId="26005" xr:uid="{00000000-0005-0000-0000-0000C0680000}"/>
    <cellStyle name="Normal 2 32 6" xfId="26006" xr:uid="{00000000-0005-0000-0000-0000C1680000}"/>
    <cellStyle name="Normal 2 32 6 2" xfId="26007" xr:uid="{00000000-0005-0000-0000-0000C2680000}"/>
    <cellStyle name="Normal 2 32 6 3" xfId="26008" xr:uid="{00000000-0005-0000-0000-0000C3680000}"/>
    <cellStyle name="Normal 2 32 6 4" xfId="26009" xr:uid="{00000000-0005-0000-0000-0000C4680000}"/>
    <cellStyle name="Normal 2 32 6 5" xfId="26010" xr:uid="{00000000-0005-0000-0000-0000C5680000}"/>
    <cellStyle name="Normal 2 32 6 6" xfId="26011" xr:uid="{00000000-0005-0000-0000-0000C6680000}"/>
    <cellStyle name="Normal 2 32 7" xfId="26012" xr:uid="{00000000-0005-0000-0000-0000C7680000}"/>
    <cellStyle name="Normal 2 32 7 2" xfId="26013" xr:uid="{00000000-0005-0000-0000-0000C8680000}"/>
    <cellStyle name="Normal 2 32 7 3" xfId="26014" xr:uid="{00000000-0005-0000-0000-0000C9680000}"/>
    <cellStyle name="Normal 2 32 7 4" xfId="26015" xr:uid="{00000000-0005-0000-0000-0000CA680000}"/>
    <cellStyle name="Normal 2 32 7 5" xfId="26016" xr:uid="{00000000-0005-0000-0000-0000CB680000}"/>
    <cellStyle name="Normal 2 32 7 6" xfId="26017" xr:uid="{00000000-0005-0000-0000-0000CC680000}"/>
    <cellStyle name="Normal 2 32 8" xfId="26018" xr:uid="{00000000-0005-0000-0000-0000CD680000}"/>
    <cellStyle name="Normal 2 32 8 2" xfId="26019" xr:uid="{00000000-0005-0000-0000-0000CE680000}"/>
    <cellStyle name="Normal 2 32 8 3" xfId="26020" xr:uid="{00000000-0005-0000-0000-0000CF680000}"/>
    <cellStyle name="Normal 2 32 8 4" xfId="26021" xr:uid="{00000000-0005-0000-0000-0000D0680000}"/>
    <cellStyle name="Normal 2 32 8 5" xfId="26022" xr:uid="{00000000-0005-0000-0000-0000D1680000}"/>
    <cellStyle name="Normal 2 32 8 6" xfId="26023" xr:uid="{00000000-0005-0000-0000-0000D2680000}"/>
    <cellStyle name="Normal 2 32 9" xfId="26024" xr:uid="{00000000-0005-0000-0000-0000D3680000}"/>
    <cellStyle name="Normal 2 33" xfId="26025" xr:uid="{00000000-0005-0000-0000-0000D4680000}"/>
    <cellStyle name="Normal 2 33 10" xfId="26026" xr:uid="{00000000-0005-0000-0000-0000D5680000}"/>
    <cellStyle name="Normal 2 33 11" xfId="26027" xr:uid="{00000000-0005-0000-0000-0000D6680000}"/>
    <cellStyle name="Normal 2 33 12" xfId="26028" xr:uid="{00000000-0005-0000-0000-0000D7680000}"/>
    <cellStyle name="Normal 2 33 13" xfId="26029" xr:uid="{00000000-0005-0000-0000-0000D8680000}"/>
    <cellStyle name="Normal 2 33 14" xfId="26030" xr:uid="{00000000-0005-0000-0000-0000D9680000}"/>
    <cellStyle name="Normal 2 33 2" xfId="26031" xr:uid="{00000000-0005-0000-0000-0000DA680000}"/>
    <cellStyle name="Normal 2 33 2 2" xfId="26032" xr:uid="{00000000-0005-0000-0000-0000DB680000}"/>
    <cellStyle name="Normal 2 33 2 3" xfId="26033" xr:uid="{00000000-0005-0000-0000-0000DC680000}"/>
    <cellStyle name="Normal 2 33 2 4" xfId="26034" xr:uid="{00000000-0005-0000-0000-0000DD680000}"/>
    <cellStyle name="Normal 2 33 2 5" xfId="26035" xr:uid="{00000000-0005-0000-0000-0000DE680000}"/>
    <cellStyle name="Normal 2 33 2 6" xfId="26036" xr:uid="{00000000-0005-0000-0000-0000DF680000}"/>
    <cellStyle name="Normal 2 33 3" xfId="26037" xr:uid="{00000000-0005-0000-0000-0000E0680000}"/>
    <cellStyle name="Normal 2 33 3 2" xfId="26038" xr:uid="{00000000-0005-0000-0000-0000E1680000}"/>
    <cellStyle name="Normal 2 33 3 3" xfId="26039" xr:uid="{00000000-0005-0000-0000-0000E2680000}"/>
    <cellStyle name="Normal 2 33 3 4" xfId="26040" xr:uid="{00000000-0005-0000-0000-0000E3680000}"/>
    <cellStyle name="Normal 2 33 3 5" xfId="26041" xr:uid="{00000000-0005-0000-0000-0000E4680000}"/>
    <cellStyle name="Normal 2 33 3 6" xfId="26042" xr:uid="{00000000-0005-0000-0000-0000E5680000}"/>
    <cellStyle name="Normal 2 33 4" xfId="26043" xr:uid="{00000000-0005-0000-0000-0000E6680000}"/>
    <cellStyle name="Normal 2 33 4 2" xfId="26044" xr:uid="{00000000-0005-0000-0000-0000E7680000}"/>
    <cellStyle name="Normal 2 33 4 3" xfId="26045" xr:uid="{00000000-0005-0000-0000-0000E8680000}"/>
    <cellStyle name="Normal 2 33 4 4" xfId="26046" xr:uid="{00000000-0005-0000-0000-0000E9680000}"/>
    <cellStyle name="Normal 2 33 4 5" xfId="26047" xr:uid="{00000000-0005-0000-0000-0000EA680000}"/>
    <cellStyle name="Normal 2 33 4 6" xfId="26048" xr:uid="{00000000-0005-0000-0000-0000EB680000}"/>
    <cellStyle name="Normal 2 33 5" xfId="26049" xr:uid="{00000000-0005-0000-0000-0000EC680000}"/>
    <cellStyle name="Normal 2 33 5 2" xfId="26050" xr:uid="{00000000-0005-0000-0000-0000ED680000}"/>
    <cellStyle name="Normal 2 33 5 3" xfId="26051" xr:uid="{00000000-0005-0000-0000-0000EE680000}"/>
    <cellStyle name="Normal 2 33 5 4" xfId="26052" xr:uid="{00000000-0005-0000-0000-0000EF680000}"/>
    <cellStyle name="Normal 2 33 5 5" xfId="26053" xr:uid="{00000000-0005-0000-0000-0000F0680000}"/>
    <cellStyle name="Normal 2 33 5 6" xfId="26054" xr:uid="{00000000-0005-0000-0000-0000F1680000}"/>
    <cellStyle name="Normal 2 33 6" xfId="26055" xr:uid="{00000000-0005-0000-0000-0000F2680000}"/>
    <cellStyle name="Normal 2 33 6 2" xfId="26056" xr:uid="{00000000-0005-0000-0000-0000F3680000}"/>
    <cellStyle name="Normal 2 33 6 3" xfId="26057" xr:uid="{00000000-0005-0000-0000-0000F4680000}"/>
    <cellStyle name="Normal 2 33 6 4" xfId="26058" xr:uid="{00000000-0005-0000-0000-0000F5680000}"/>
    <cellStyle name="Normal 2 33 6 5" xfId="26059" xr:uid="{00000000-0005-0000-0000-0000F6680000}"/>
    <cellStyle name="Normal 2 33 6 6" xfId="26060" xr:uid="{00000000-0005-0000-0000-0000F7680000}"/>
    <cellStyle name="Normal 2 33 7" xfId="26061" xr:uid="{00000000-0005-0000-0000-0000F8680000}"/>
    <cellStyle name="Normal 2 33 7 2" xfId="26062" xr:uid="{00000000-0005-0000-0000-0000F9680000}"/>
    <cellStyle name="Normal 2 33 7 3" xfId="26063" xr:uid="{00000000-0005-0000-0000-0000FA680000}"/>
    <cellStyle name="Normal 2 33 7 4" xfId="26064" xr:uid="{00000000-0005-0000-0000-0000FB680000}"/>
    <cellStyle name="Normal 2 33 7 5" xfId="26065" xr:uid="{00000000-0005-0000-0000-0000FC680000}"/>
    <cellStyle name="Normal 2 33 7 6" xfId="26066" xr:uid="{00000000-0005-0000-0000-0000FD680000}"/>
    <cellStyle name="Normal 2 33 8" xfId="26067" xr:uid="{00000000-0005-0000-0000-0000FE680000}"/>
    <cellStyle name="Normal 2 33 8 2" xfId="26068" xr:uid="{00000000-0005-0000-0000-0000FF680000}"/>
    <cellStyle name="Normal 2 33 8 3" xfId="26069" xr:uid="{00000000-0005-0000-0000-000000690000}"/>
    <cellStyle name="Normal 2 33 8 4" xfId="26070" xr:uid="{00000000-0005-0000-0000-000001690000}"/>
    <cellStyle name="Normal 2 33 8 5" xfId="26071" xr:uid="{00000000-0005-0000-0000-000002690000}"/>
    <cellStyle name="Normal 2 33 8 6" xfId="26072" xr:uid="{00000000-0005-0000-0000-000003690000}"/>
    <cellStyle name="Normal 2 33 9" xfId="26073" xr:uid="{00000000-0005-0000-0000-000004690000}"/>
    <cellStyle name="Normal 2 34" xfId="26074" xr:uid="{00000000-0005-0000-0000-000005690000}"/>
    <cellStyle name="Normal 2 34 10" xfId="26075" xr:uid="{00000000-0005-0000-0000-000006690000}"/>
    <cellStyle name="Normal 2 34 11" xfId="26076" xr:uid="{00000000-0005-0000-0000-000007690000}"/>
    <cellStyle name="Normal 2 34 12" xfId="26077" xr:uid="{00000000-0005-0000-0000-000008690000}"/>
    <cellStyle name="Normal 2 34 13" xfId="26078" xr:uid="{00000000-0005-0000-0000-000009690000}"/>
    <cellStyle name="Normal 2 34 14" xfId="26079" xr:uid="{00000000-0005-0000-0000-00000A690000}"/>
    <cellStyle name="Normal 2 34 2" xfId="26080" xr:uid="{00000000-0005-0000-0000-00000B690000}"/>
    <cellStyle name="Normal 2 34 2 2" xfId="26081" xr:uid="{00000000-0005-0000-0000-00000C690000}"/>
    <cellStyle name="Normal 2 34 2 3" xfId="26082" xr:uid="{00000000-0005-0000-0000-00000D690000}"/>
    <cellStyle name="Normal 2 34 2 4" xfId="26083" xr:uid="{00000000-0005-0000-0000-00000E690000}"/>
    <cellStyle name="Normal 2 34 2 5" xfId="26084" xr:uid="{00000000-0005-0000-0000-00000F690000}"/>
    <cellStyle name="Normal 2 34 2 6" xfId="26085" xr:uid="{00000000-0005-0000-0000-000010690000}"/>
    <cellStyle name="Normal 2 34 3" xfId="26086" xr:uid="{00000000-0005-0000-0000-000011690000}"/>
    <cellStyle name="Normal 2 34 3 2" xfId="26087" xr:uid="{00000000-0005-0000-0000-000012690000}"/>
    <cellStyle name="Normal 2 34 3 3" xfId="26088" xr:uid="{00000000-0005-0000-0000-000013690000}"/>
    <cellStyle name="Normal 2 34 3 4" xfId="26089" xr:uid="{00000000-0005-0000-0000-000014690000}"/>
    <cellStyle name="Normal 2 34 3 5" xfId="26090" xr:uid="{00000000-0005-0000-0000-000015690000}"/>
    <cellStyle name="Normal 2 34 3 6" xfId="26091" xr:uid="{00000000-0005-0000-0000-000016690000}"/>
    <cellStyle name="Normal 2 34 4" xfId="26092" xr:uid="{00000000-0005-0000-0000-000017690000}"/>
    <cellStyle name="Normal 2 34 4 2" xfId="26093" xr:uid="{00000000-0005-0000-0000-000018690000}"/>
    <cellStyle name="Normal 2 34 4 3" xfId="26094" xr:uid="{00000000-0005-0000-0000-000019690000}"/>
    <cellStyle name="Normal 2 34 4 4" xfId="26095" xr:uid="{00000000-0005-0000-0000-00001A690000}"/>
    <cellStyle name="Normal 2 34 4 5" xfId="26096" xr:uid="{00000000-0005-0000-0000-00001B690000}"/>
    <cellStyle name="Normal 2 34 4 6" xfId="26097" xr:uid="{00000000-0005-0000-0000-00001C690000}"/>
    <cellStyle name="Normal 2 34 5" xfId="26098" xr:uid="{00000000-0005-0000-0000-00001D690000}"/>
    <cellStyle name="Normal 2 34 5 2" xfId="26099" xr:uid="{00000000-0005-0000-0000-00001E690000}"/>
    <cellStyle name="Normal 2 34 5 3" xfId="26100" xr:uid="{00000000-0005-0000-0000-00001F690000}"/>
    <cellStyle name="Normal 2 34 5 4" xfId="26101" xr:uid="{00000000-0005-0000-0000-000020690000}"/>
    <cellStyle name="Normal 2 34 5 5" xfId="26102" xr:uid="{00000000-0005-0000-0000-000021690000}"/>
    <cellStyle name="Normal 2 34 5 6" xfId="26103" xr:uid="{00000000-0005-0000-0000-000022690000}"/>
    <cellStyle name="Normal 2 34 6" xfId="26104" xr:uid="{00000000-0005-0000-0000-000023690000}"/>
    <cellStyle name="Normal 2 34 6 2" xfId="26105" xr:uid="{00000000-0005-0000-0000-000024690000}"/>
    <cellStyle name="Normal 2 34 6 3" xfId="26106" xr:uid="{00000000-0005-0000-0000-000025690000}"/>
    <cellStyle name="Normal 2 34 6 4" xfId="26107" xr:uid="{00000000-0005-0000-0000-000026690000}"/>
    <cellStyle name="Normal 2 34 6 5" xfId="26108" xr:uid="{00000000-0005-0000-0000-000027690000}"/>
    <cellStyle name="Normal 2 34 6 6" xfId="26109" xr:uid="{00000000-0005-0000-0000-000028690000}"/>
    <cellStyle name="Normal 2 34 7" xfId="26110" xr:uid="{00000000-0005-0000-0000-000029690000}"/>
    <cellStyle name="Normal 2 34 7 2" xfId="26111" xr:uid="{00000000-0005-0000-0000-00002A690000}"/>
    <cellStyle name="Normal 2 34 7 3" xfId="26112" xr:uid="{00000000-0005-0000-0000-00002B690000}"/>
    <cellStyle name="Normal 2 34 7 4" xfId="26113" xr:uid="{00000000-0005-0000-0000-00002C690000}"/>
    <cellStyle name="Normal 2 34 7 5" xfId="26114" xr:uid="{00000000-0005-0000-0000-00002D690000}"/>
    <cellStyle name="Normal 2 34 7 6" xfId="26115" xr:uid="{00000000-0005-0000-0000-00002E690000}"/>
    <cellStyle name="Normal 2 34 8" xfId="26116" xr:uid="{00000000-0005-0000-0000-00002F690000}"/>
    <cellStyle name="Normal 2 34 8 2" xfId="26117" xr:uid="{00000000-0005-0000-0000-000030690000}"/>
    <cellStyle name="Normal 2 34 8 3" xfId="26118" xr:uid="{00000000-0005-0000-0000-000031690000}"/>
    <cellStyle name="Normal 2 34 8 4" xfId="26119" xr:uid="{00000000-0005-0000-0000-000032690000}"/>
    <cellStyle name="Normal 2 34 8 5" xfId="26120" xr:uid="{00000000-0005-0000-0000-000033690000}"/>
    <cellStyle name="Normal 2 34 8 6" xfId="26121" xr:uid="{00000000-0005-0000-0000-000034690000}"/>
    <cellStyle name="Normal 2 34 9" xfId="26122" xr:uid="{00000000-0005-0000-0000-000035690000}"/>
    <cellStyle name="Normal 2 35" xfId="26123" xr:uid="{00000000-0005-0000-0000-000036690000}"/>
    <cellStyle name="Normal 2 35 10" xfId="26124" xr:uid="{00000000-0005-0000-0000-000037690000}"/>
    <cellStyle name="Normal 2 35 11" xfId="26125" xr:uid="{00000000-0005-0000-0000-000038690000}"/>
    <cellStyle name="Normal 2 35 12" xfId="26126" xr:uid="{00000000-0005-0000-0000-000039690000}"/>
    <cellStyle name="Normal 2 35 13" xfId="26127" xr:uid="{00000000-0005-0000-0000-00003A690000}"/>
    <cellStyle name="Normal 2 35 14" xfId="26128" xr:uid="{00000000-0005-0000-0000-00003B690000}"/>
    <cellStyle name="Normal 2 35 2" xfId="26129" xr:uid="{00000000-0005-0000-0000-00003C690000}"/>
    <cellStyle name="Normal 2 35 2 2" xfId="26130" xr:uid="{00000000-0005-0000-0000-00003D690000}"/>
    <cellStyle name="Normal 2 35 2 3" xfId="26131" xr:uid="{00000000-0005-0000-0000-00003E690000}"/>
    <cellStyle name="Normal 2 35 2 4" xfId="26132" xr:uid="{00000000-0005-0000-0000-00003F690000}"/>
    <cellStyle name="Normal 2 35 2 5" xfId="26133" xr:uid="{00000000-0005-0000-0000-000040690000}"/>
    <cellStyle name="Normal 2 35 2 6" xfId="26134" xr:uid="{00000000-0005-0000-0000-000041690000}"/>
    <cellStyle name="Normal 2 35 3" xfId="26135" xr:uid="{00000000-0005-0000-0000-000042690000}"/>
    <cellStyle name="Normal 2 35 3 2" xfId="26136" xr:uid="{00000000-0005-0000-0000-000043690000}"/>
    <cellStyle name="Normal 2 35 3 3" xfId="26137" xr:uid="{00000000-0005-0000-0000-000044690000}"/>
    <cellStyle name="Normal 2 35 3 4" xfId="26138" xr:uid="{00000000-0005-0000-0000-000045690000}"/>
    <cellStyle name="Normal 2 35 3 5" xfId="26139" xr:uid="{00000000-0005-0000-0000-000046690000}"/>
    <cellStyle name="Normal 2 35 3 6" xfId="26140" xr:uid="{00000000-0005-0000-0000-000047690000}"/>
    <cellStyle name="Normal 2 35 4" xfId="26141" xr:uid="{00000000-0005-0000-0000-000048690000}"/>
    <cellStyle name="Normal 2 35 4 2" xfId="26142" xr:uid="{00000000-0005-0000-0000-000049690000}"/>
    <cellStyle name="Normal 2 35 4 3" xfId="26143" xr:uid="{00000000-0005-0000-0000-00004A690000}"/>
    <cellStyle name="Normal 2 35 4 4" xfId="26144" xr:uid="{00000000-0005-0000-0000-00004B690000}"/>
    <cellStyle name="Normal 2 35 4 5" xfId="26145" xr:uid="{00000000-0005-0000-0000-00004C690000}"/>
    <cellStyle name="Normal 2 35 4 6" xfId="26146" xr:uid="{00000000-0005-0000-0000-00004D690000}"/>
    <cellStyle name="Normal 2 35 5" xfId="26147" xr:uid="{00000000-0005-0000-0000-00004E690000}"/>
    <cellStyle name="Normal 2 35 5 2" xfId="26148" xr:uid="{00000000-0005-0000-0000-00004F690000}"/>
    <cellStyle name="Normal 2 35 5 3" xfId="26149" xr:uid="{00000000-0005-0000-0000-000050690000}"/>
    <cellStyle name="Normal 2 35 5 4" xfId="26150" xr:uid="{00000000-0005-0000-0000-000051690000}"/>
    <cellStyle name="Normal 2 35 5 5" xfId="26151" xr:uid="{00000000-0005-0000-0000-000052690000}"/>
    <cellStyle name="Normal 2 35 5 6" xfId="26152" xr:uid="{00000000-0005-0000-0000-000053690000}"/>
    <cellStyle name="Normal 2 35 6" xfId="26153" xr:uid="{00000000-0005-0000-0000-000054690000}"/>
    <cellStyle name="Normal 2 35 6 2" xfId="26154" xr:uid="{00000000-0005-0000-0000-000055690000}"/>
    <cellStyle name="Normal 2 35 6 3" xfId="26155" xr:uid="{00000000-0005-0000-0000-000056690000}"/>
    <cellStyle name="Normal 2 35 6 4" xfId="26156" xr:uid="{00000000-0005-0000-0000-000057690000}"/>
    <cellStyle name="Normal 2 35 6 5" xfId="26157" xr:uid="{00000000-0005-0000-0000-000058690000}"/>
    <cellStyle name="Normal 2 35 6 6" xfId="26158" xr:uid="{00000000-0005-0000-0000-000059690000}"/>
    <cellStyle name="Normal 2 35 7" xfId="26159" xr:uid="{00000000-0005-0000-0000-00005A690000}"/>
    <cellStyle name="Normal 2 35 7 2" xfId="26160" xr:uid="{00000000-0005-0000-0000-00005B690000}"/>
    <cellStyle name="Normal 2 35 7 3" xfId="26161" xr:uid="{00000000-0005-0000-0000-00005C690000}"/>
    <cellStyle name="Normal 2 35 7 4" xfId="26162" xr:uid="{00000000-0005-0000-0000-00005D690000}"/>
    <cellStyle name="Normal 2 35 7 5" xfId="26163" xr:uid="{00000000-0005-0000-0000-00005E690000}"/>
    <cellStyle name="Normal 2 35 7 6" xfId="26164" xr:uid="{00000000-0005-0000-0000-00005F690000}"/>
    <cellStyle name="Normal 2 35 8" xfId="26165" xr:uid="{00000000-0005-0000-0000-000060690000}"/>
    <cellStyle name="Normal 2 35 8 2" xfId="26166" xr:uid="{00000000-0005-0000-0000-000061690000}"/>
    <cellStyle name="Normal 2 35 8 3" xfId="26167" xr:uid="{00000000-0005-0000-0000-000062690000}"/>
    <cellStyle name="Normal 2 35 8 4" xfId="26168" xr:uid="{00000000-0005-0000-0000-000063690000}"/>
    <cellStyle name="Normal 2 35 8 5" xfId="26169" xr:uid="{00000000-0005-0000-0000-000064690000}"/>
    <cellStyle name="Normal 2 35 8 6" xfId="26170" xr:uid="{00000000-0005-0000-0000-000065690000}"/>
    <cellStyle name="Normal 2 35 9" xfId="26171" xr:uid="{00000000-0005-0000-0000-000066690000}"/>
    <cellStyle name="Normal 2 36" xfId="26172" xr:uid="{00000000-0005-0000-0000-000067690000}"/>
    <cellStyle name="Normal 2 36 10" xfId="26173" xr:uid="{00000000-0005-0000-0000-000068690000}"/>
    <cellStyle name="Normal 2 36 11" xfId="26174" xr:uid="{00000000-0005-0000-0000-000069690000}"/>
    <cellStyle name="Normal 2 36 12" xfId="26175" xr:uid="{00000000-0005-0000-0000-00006A690000}"/>
    <cellStyle name="Normal 2 36 13" xfId="26176" xr:uid="{00000000-0005-0000-0000-00006B690000}"/>
    <cellStyle name="Normal 2 36 14" xfId="26177" xr:uid="{00000000-0005-0000-0000-00006C690000}"/>
    <cellStyle name="Normal 2 36 2" xfId="26178" xr:uid="{00000000-0005-0000-0000-00006D690000}"/>
    <cellStyle name="Normal 2 36 2 2" xfId="26179" xr:uid="{00000000-0005-0000-0000-00006E690000}"/>
    <cellStyle name="Normal 2 36 2 3" xfId="26180" xr:uid="{00000000-0005-0000-0000-00006F690000}"/>
    <cellStyle name="Normal 2 36 2 4" xfId="26181" xr:uid="{00000000-0005-0000-0000-000070690000}"/>
    <cellStyle name="Normal 2 36 2 5" xfId="26182" xr:uid="{00000000-0005-0000-0000-000071690000}"/>
    <cellStyle name="Normal 2 36 2 6" xfId="26183" xr:uid="{00000000-0005-0000-0000-000072690000}"/>
    <cellStyle name="Normal 2 36 3" xfId="26184" xr:uid="{00000000-0005-0000-0000-000073690000}"/>
    <cellStyle name="Normal 2 36 3 2" xfId="26185" xr:uid="{00000000-0005-0000-0000-000074690000}"/>
    <cellStyle name="Normal 2 36 3 3" xfId="26186" xr:uid="{00000000-0005-0000-0000-000075690000}"/>
    <cellStyle name="Normal 2 36 3 4" xfId="26187" xr:uid="{00000000-0005-0000-0000-000076690000}"/>
    <cellStyle name="Normal 2 36 3 5" xfId="26188" xr:uid="{00000000-0005-0000-0000-000077690000}"/>
    <cellStyle name="Normal 2 36 3 6" xfId="26189" xr:uid="{00000000-0005-0000-0000-000078690000}"/>
    <cellStyle name="Normal 2 36 4" xfId="26190" xr:uid="{00000000-0005-0000-0000-000079690000}"/>
    <cellStyle name="Normal 2 36 4 2" xfId="26191" xr:uid="{00000000-0005-0000-0000-00007A690000}"/>
    <cellStyle name="Normal 2 36 4 3" xfId="26192" xr:uid="{00000000-0005-0000-0000-00007B690000}"/>
    <cellStyle name="Normal 2 36 4 4" xfId="26193" xr:uid="{00000000-0005-0000-0000-00007C690000}"/>
    <cellStyle name="Normal 2 36 4 5" xfId="26194" xr:uid="{00000000-0005-0000-0000-00007D690000}"/>
    <cellStyle name="Normal 2 36 4 6" xfId="26195" xr:uid="{00000000-0005-0000-0000-00007E690000}"/>
    <cellStyle name="Normal 2 36 5" xfId="26196" xr:uid="{00000000-0005-0000-0000-00007F690000}"/>
    <cellStyle name="Normal 2 36 5 2" xfId="26197" xr:uid="{00000000-0005-0000-0000-000080690000}"/>
    <cellStyle name="Normal 2 36 5 3" xfId="26198" xr:uid="{00000000-0005-0000-0000-000081690000}"/>
    <cellStyle name="Normal 2 36 5 4" xfId="26199" xr:uid="{00000000-0005-0000-0000-000082690000}"/>
    <cellStyle name="Normal 2 36 5 5" xfId="26200" xr:uid="{00000000-0005-0000-0000-000083690000}"/>
    <cellStyle name="Normal 2 36 5 6" xfId="26201" xr:uid="{00000000-0005-0000-0000-000084690000}"/>
    <cellStyle name="Normal 2 36 6" xfId="26202" xr:uid="{00000000-0005-0000-0000-000085690000}"/>
    <cellStyle name="Normal 2 36 6 2" xfId="26203" xr:uid="{00000000-0005-0000-0000-000086690000}"/>
    <cellStyle name="Normal 2 36 6 3" xfId="26204" xr:uid="{00000000-0005-0000-0000-000087690000}"/>
    <cellStyle name="Normal 2 36 6 4" xfId="26205" xr:uid="{00000000-0005-0000-0000-000088690000}"/>
    <cellStyle name="Normal 2 36 6 5" xfId="26206" xr:uid="{00000000-0005-0000-0000-000089690000}"/>
    <cellStyle name="Normal 2 36 6 6" xfId="26207" xr:uid="{00000000-0005-0000-0000-00008A690000}"/>
    <cellStyle name="Normal 2 36 7" xfId="26208" xr:uid="{00000000-0005-0000-0000-00008B690000}"/>
    <cellStyle name="Normal 2 36 7 2" xfId="26209" xr:uid="{00000000-0005-0000-0000-00008C690000}"/>
    <cellStyle name="Normal 2 36 7 3" xfId="26210" xr:uid="{00000000-0005-0000-0000-00008D690000}"/>
    <cellStyle name="Normal 2 36 7 4" xfId="26211" xr:uid="{00000000-0005-0000-0000-00008E690000}"/>
    <cellStyle name="Normal 2 36 7 5" xfId="26212" xr:uid="{00000000-0005-0000-0000-00008F690000}"/>
    <cellStyle name="Normal 2 36 7 6" xfId="26213" xr:uid="{00000000-0005-0000-0000-000090690000}"/>
    <cellStyle name="Normal 2 36 8" xfId="26214" xr:uid="{00000000-0005-0000-0000-000091690000}"/>
    <cellStyle name="Normal 2 36 8 2" xfId="26215" xr:uid="{00000000-0005-0000-0000-000092690000}"/>
    <cellStyle name="Normal 2 36 8 3" xfId="26216" xr:uid="{00000000-0005-0000-0000-000093690000}"/>
    <cellStyle name="Normal 2 36 8 4" xfId="26217" xr:uid="{00000000-0005-0000-0000-000094690000}"/>
    <cellStyle name="Normal 2 36 8 5" xfId="26218" xr:uid="{00000000-0005-0000-0000-000095690000}"/>
    <cellStyle name="Normal 2 36 8 6" xfId="26219" xr:uid="{00000000-0005-0000-0000-000096690000}"/>
    <cellStyle name="Normal 2 36 9" xfId="26220" xr:uid="{00000000-0005-0000-0000-000097690000}"/>
    <cellStyle name="Normal 2 37" xfId="26221" xr:uid="{00000000-0005-0000-0000-000098690000}"/>
    <cellStyle name="Normal 2 37 10" xfId="26222" xr:uid="{00000000-0005-0000-0000-000099690000}"/>
    <cellStyle name="Normal 2 37 11" xfId="26223" xr:uid="{00000000-0005-0000-0000-00009A690000}"/>
    <cellStyle name="Normal 2 37 12" xfId="26224" xr:uid="{00000000-0005-0000-0000-00009B690000}"/>
    <cellStyle name="Normal 2 37 13" xfId="26225" xr:uid="{00000000-0005-0000-0000-00009C690000}"/>
    <cellStyle name="Normal 2 37 14" xfId="26226" xr:uid="{00000000-0005-0000-0000-00009D690000}"/>
    <cellStyle name="Normal 2 37 2" xfId="26227" xr:uid="{00000000-0005-0000-0000-00009E690000}"/>
    <cellStyle name="Normal 2 37 2 2" xfId="26228" xr:uid="{00000000-0005-0000-0000-00009F690000}"/>
    <cellStyle name="Normal 2 37 2 3" xfId="26229" xr:uid="{00000000-0005-0000-0000-0000A0690000}"/>
    <cellStyle name="Normal 2 37 2 4" xfId="26230" xr:uid="{00000000-0005-0000-0000-0000A1690000}"/>
    <cellStyle name="Normal 2 37 2 5" xfId="26231" xr:uid="{00000000-0005-0000-0000-0000A2690000}"/>
    <cellStyle name="Normal 2 37 2 6" xfId="26232" xr:uid="{00000000-0005-0000-0000-0000A3690000}"/>
    <cellStyle name="Normal 2 37 3" xfId="26233" xr:uid="{00000000-0005-0000-0000-0000A4690000}"/>
    <cellStyle name="Normal 2 37 3 2" xfId="26234" xr:uid="{00000000-0005-0000-0000-0000A5690000}"/>
    <cellStyle name="Normal 2 37 3 3" xfId="26235" xr:uid="{00000000-0005-0000-0000-0000A6690000}"/>
    <cellStyle name="Normal 2 37 3 4" xfId="26236" xr:uid="{00000000-0005-0000-0000-0000A7690000}"/>
    <cellStyle name="Normal 2 37 3 5" xfId="26237" xr:uid="{00000000-0005-0000-0000-0000A8690000}"/>
    <cellStyle name="Normal 2 37 3 6" xfId="26238" xr:uid="{00000000-0005-0000-0000-0000A9690000}"/>
    <cellStyle name="Normal 2 37 4" xfId="26239" xr:uid="{00000000-0005-0000-0000-0000AA690000}"/>
    <cellStyle name="Normal 2 37 4 2" xfId="26240" xr:uid="{00000000-0005-0000-0000-0000AB690000}"/>
    <cellStyle name="Normal 2 37 4 3" xfId="26241" xr:uid="{00000000-0005-0000-0000-0000AC690000}"/>
    <cellStyle name="Normal 2 37 4 4" xfId="26242" xr:uid="{00000000-0005-0000-0000-0000AD690000}"/>
    <cellStyle name="Normal 2 37 4 5" xfId="26243" xr:uid="{00000000-0005-0000-0000-0000AE690000}"/>
    <cellStyle name="Normal 2 37 4 6" xfId="26244" xr:uid="{00000000-0005-0000-0000-0000AF690000}"/>
    <cellStyle name="Normal 2 37 5" xfId="26245" xr:uid="{00000000-0005-0000-0000-0000B0690000}"/>
    <cellStyle name="Normal 2 37 5 2" xfId="26246" xr:uid="{00000000-0005-0000-0000-0000B1690000}"/>
    <cellStyle name="Normal 2 37 5 3" xfId="26247" xr:uid="{00000000-0005-0000-0000-0000B2690000}"/>
    <cellStyle name="Normal 2 37 5 4" xfId="26248" xr:uid="{00000000-0005-0000-0000-0000B3690000}"/>
    <cellStyle name="Normal 2 37 5 5" xfId="26249" xr:uid="{00000000-0005-0000-0000-0000B4690000}"/>
    <cellStyle name="Normal 2 37 5 6" xfId="26250" xr:uid="{00000000-0005-0000-0000-0000B5690000}"/>
    <cellStyle name="Normal 2 37 6" xfId="26251" xr:uid="{00000000-0005-0000-0000-0000B6690000}"/>
    <cellStyle name="Normal 2 37 6 2" xfId="26252" xr:uid="{00000000-0005-0000-0000-0000B7690000}"/>
    <cellStyle name="Normal 2 37 6 3" xfId="26253" xr:uid="{00000000-0005-0000-0000-0000B8690000}"/>
    <cellStyle name="Normal 2 37 6 4" xfId="26254" xr:uid="{00000000-0005-0000-0000-0000B9690000}"/>
    <cellStyle name="Normal 2 37 6 5" xfId="26255" xr:uid="{00000000-0005-0000-0000-0000BA690000}"/>
    <cellStyle name="Normal 2 37 6 6" xfId="26256" xr:uid="{00000000-0005-0000-0000-0000BB690000}"/>
    <cellStyle name="Normal 2 37 7" xfId="26257" xr:uid="{00000000-0005-0000-0000-0000BC690000}"/>
    <cellStyle name="Normal 2 37 7 2" xfId="26258" xr:uid="{00000000-0005-0000-0000-0000BD690000}"/>
    <cellStyle name="Normal 2 37 7 3" xfId="26259" xr:uid="{00000000-0005-0000-0000-0000BE690000}"/>
    <cellStyle name="Normal 2 37 7 4" xfId="26260" xr:uid="{00000000-0005-0000-0000-0000BF690000}"/>
    <cellStyle name="Normal 2 37 7 5" xfId="26261" xr:uid="{00000000-0005-0000-0000-0000C0690000}"/>
    <cellStyle name="Normal 2 37 7 6" xfId="26262" xr:uid="{00000000-0005-0000-0000-0000C1690000}"/>
    <cellStyle name="Normal 2 37 8" xfId="26263" xr:uid="{00000000-0005-0000-0000-0000C2690000}"/>
    <cellStyle name="Normal 2 37 8 2" xfId="26264" xr:uid="{00000000-0005-0000-0000-0000C3690000}"/>
    <cellStyle name="Normal 2 37 8 3" xfId="26265" xr:uid="{00000000-0005-0000-0000-0000C4690000}"/>
    <cellStyle name="Normal 2 37 8 4" xfId="26266" xr:uid="{00000000-0005-0000-0000-0000C5690000}"/>
    <cellStyle name="Normal 2 37 8 5" xfId="26267" xr:uid="{00000000-0005-0000-0000-0000C6690000}"/>
    <cellStyle name="Normal 2 37 8 6" xfId="26268" xr:uid="{00000000-0005-0000-0000-0000C7690000}"/>
    <cellStyle name="Normal 2 37 9" xfId="26269" xr:uid="{00000000-0005-0000-0000-0000C8690000}"/>
    <cellStyle name="Normal 2 38" xfId="26270" xr:uid="{00000000-0005-0000-0000-0000C9690000}"/>
    <cellStyle name="Normal 2 38 10" xfId="26271" xr:uid="{00000000-0005-0000-0000-0000CA690000}"/>
    <cellStyle name="Normal 2 38 11" xfId="26272" xr:uid="{00000000-0005-0000-0000-0000CB690000}"/>
    <cellStyle name="Normal 2 38 12" xfId="26273" xr:uid="{00000000-0005-0000-0000-0000CC690000}"/>
    <cellStyle name="Normal 2 38 13" xfId="26274" xr:uid="{00000000-0005-0000-0000-0000CD690000}"/>
    <cellStyle name="Normal 2 38 14" xfId="26275" xr:uid="{00000000-0005-0000-0000-0000CE690000}"/>
    <cellStyle name="Normal 2 38 2" xfId="26276" xr:uid="{00000000-0005-0000-0000-0000CF690000}"/>
    <cellStyle name="Normal 2 38 2 2" xfId="26277" xr:uid="{00000000-0005-0000-0000-0000D0690000}"/>
    <cellStyle name="Normal 2 38 2 3" xfId="26278" xr:uid="{00000000-0005-0000-0000-0000D1690000}"/>
    <cellStyle name="Normal 2 38 2 4" xfId="26279" xr:uid="{00000000-0005-0000-0000-0000D2690000}"/>
    <cellStyle name="Normal 2 38 2 5" xfId="26280" xr:uid="{00000000-0005-0000-0000-0000D3690000}"/>
    <cellStyle name="Normal 2 38 2 6" xfId="26281" xr:uid="{00000000-0005-0000-0000-0000D4690000}"/>
    <cellStyle name="Normal 2 38 3" xfId="26282" xr:uid="{00000000-0005-0000-0000-0000D5690000}"/>
    <cellStyle name="Normal 2 38 3 2" xfId="26283" xr:uid="{00000000-0005-0000-0000-0000D6690000}"/>
    <cellStyle name="Normal 2 38 3 3" xfId="26284" xr:uid="{00000000-0005-0000-0000-0000D7690000}"/>
    <cellStyle name="Normal 2 38 3 4" xfId="26285" xr:uid="{00000000-0005-0000-0000-0000D8690000}"/>
    <cellStyle name="Normal 2 38 3 5" xfId="26286" xr:uid="{00000000-0005-0000-0000-0000D9690000}"/>
    <cellStyle name="Normal 2 38 3 6" xfId="26287" xr:uid="{00000000-0005-0000-0000-0000DA690000}"/>
    <cellStyle name="Normal 2 38 4" xfId="26288" xr:uid="{00000000-0005-0000-0000-0000DB690000}"/>
    <cellStyle name="Normal 2 38 4 2" xfId="26289" xr:uid="{00000000-0005-0000-0000-0000DC690000}"/>
    <cellStyle name="Normal 2 38 4 3" xfId="26290" xr:uid="{00000000-0005-0000-0000-0000DD690000}"/>
    <cellStyle name="Normal 2 38 4 4" xfId="26291" xr:uid="{00000000-0005-0000-0000-0000DE690000}"/>
    <cellStyle name="Normal 2 38 4 5" xfId="26292" xr:uid="{00000000-0005-0000-0000-0000DF690000}"/>
    <cellStyle name="Normal 2 38 4 6" xfId="26293" xr:uid="{00000000-0005-0000-0000-0000E0690000}"/>
    <cellStyle name="Normal 2 38 5" xfId="26294" xr:uid="{00000000-0005-0000-0000-0000E1690000}"/>
    <cellStyle name="Normal 2 38 5 2" xfId="26295" xr:uid="{00000000-0005-0000-0000-0000E2690000}"/>
    <cellStyle name="Normal 2 38 5 3" xfId="26296" xr:uid="{00000000-0005-0000-0000-0000E3690000}"/>
    <cellStyle name="Normal 2 38 5 4" xfId="26297" xr:uid="{00000000-0005-0000-0000-0000E4690000}"/>
    <cellStyle name="Normal 2 38 5 5" xfId="26298" xr:uid="{00000000-0005-0000-0000-0000E5690000}"/>
    <cellStyle name="Normal 2 38 5 6" xfId="26299" xr:uid="{00000000-0005-0000-0000-0000E6690000}"/>
    <cellStyle name="Normal 2 38 6" xfId="26300" xr:uid="{00000000-0005-0000-0000-0000E7690000}"/>
    <cellStyle name="Normal 2 38 6 2" xfId="26301" xr:uid="{00000000-0005-0000-0000-0000E8690000}"/>
    <cellStyle name="Normal 2 38 6 3" xfId="26302" xr:uid="{00000000-0005-0000-0000-0000E9690000}"/>
    <cellStyle name="Normal 2 38 6 4" xfId="26303" xr:uid="{00000000-0005-0000-0000-0000EA690000}"/>
    <cellStyle name="Normal 2 38 6 5" xfId="26304" xr:uid="{00000000-0005-0000-0000-0000EB690000}"/>
    <cellStyle name="Normal 2 38 6 6" xfId="26305" xr:uid="{00000000-0005-0000-0000-0000EC690000}"/>
    <cellStyle name="Normal 2 38 7" xfId="26306" xr:uid="{00000000-0005-0000-0000-0000ED690000}"/>
    <cellStyle name="Normal 2 38 7 2" xfId="26307" xr:uid="{00000000-0005-0000-0000-0000EE690000}"/>
    <cellStyle name="Normal 2 38 7 3" xfId="26308" xr:uid="{00000000-0005-0000-0000-0000EF690000}"/>
    <cellStyle name="Normal 2 38 7 4" xfId="26309" xr:uid="{00000000-0005-0000-0000-0000F0690000}"/>
    <cellStyle name="Normal 2 38 7 5" xfId="26310" xr:uid="{00000000-0005-0000-0000-0000F1690000}"/>
    <cellStyle name="Normal 2 38 7 6" xfId="26311" xr:uid="{00000000-0005-0000-0000-0000F2690000}"/>
    <cellStyle name="Normal 2 38 8" xfId="26312" xr:uid="{00000000-0005-0000-0000-0000F3690000}"/>
    <cellStyle name="Normal 2 38 8 2" xfId="26313" xr:uid="{00000000-0005-0000-0000-0000F4690000}"/>
    <cellStyle name="Normal 2 38 8 3" xfId="26314" xr:uid="{00000000-0005-0000-0000-0000F5690000}"/>
    <cellStyle name="Normal 2 38 8 4" xfId="26315" xr:uid="{00000000-0005-0000-0000-0000F6690000}"/>
    <cellStyle name="Normal 2 38 8 5" xfId="26316" xr:uid="{00000000-0005-0000-0000-0000F7690000}"/>
    <cellStyle name="Normal 2 38 8 6" xfId="26317" xr:uid="{00000000-0005-0000-0000-0000F8690000}"/>
    <cellStyle name="Normal 2 38 9" xfId="26318" xr:uid="{00000000-0005-0000-0000-0000F9690000}"/>
    <cellStyle name="Normal 2 39" xfId="26319" xr:uid="{00000000-0005-0000-0000-0000FA690000}"/>
    <cellStyle name="Normal 2 39 10" xfId="26320" xr:uid="{00000000-0005-0000-0000-0000FB690000}"/>
    <cellStyle name="Normal 2 39 11" xfId="26321" xr:uid="{00000000-0005-0000-0000-0000FC690000}"/>
    <cellStyle name="Normal 2 39 12" xfId="26322" xr:uid="{00000000-0005-0000-0000-0000FD690000}"/>
    <cellStyle name="Normal 2 39 13" xfId="26323" xr:uid="{00000000-0005-0000-0000-0000FE690000}"/>
    <cellStyle name="Normal 2 39 14" xfId="26324" xr:uid="{00000000-0005-0000-0000-0000FF690000}"/>
    <cellStyle name="Normal 2 39 2" xfId="26325" xr:uid="{00000000-0005-0000-0000-0000006A0000}"/>
    <cellStyle name="Normal 2 39 2 2" xfId="26326" xr:uid="{00000000-0005-0000-0000-0000016A0000}"/>
    <cellStyle name="Normal 2 39 2 3" xfId="26327" xr:uid="{00000000-0005-0000-0000-0000026A0000}"/>
    <cellStyle name="Normal 2 39 2 4" xfId="26328" xr:uid="{00000000-0005-0000-0000-0000036A0000}"/>
    <cellStyle name="Normal 2 39 2 5" xfId="26329" xr:uid="{00000000-0005-0000-0000-0000046A0000}"/>
    <cellStyle name="Normal 2 39 2 6" xfId="26330" xr:uid="{00000000-0005-0000-0000-0000056A0000}"/>
    <cellStyle name="Normal 2 39 3" xfId="26331" xr:uid="{00000000-0005-0000-0000-0000066A0000}"/>
    <cellStyle name="Normal 2 39 3 2" xfId="26332" xr:uid="{00000000-0005-0000-0000-0000076A0000}"/>
    <cellStyle name="Normal 2 39 3 3" xfId="26333" xr:uid="{00000000-0005-0000-0000-0000086A0000}"/>
    <cellStyle name="Normal 2 39 3 4" xfId="26334" xr:uid="{00000000-0005-0000-0000-0000096A0000}"/>
    <cellStyle name="Normal 2 39 3 5" xfId="26335" xr:uid="{00000000-0005-0000-0000-00000A6A0000}"/>
    <cellStyle name="Normal 2 39 3 6" xfId="26336" xr:uid="{00000000-0005-0000-0000-00000B6A0000}"/>
    <cellStyle name="Normal 2 39 4" xfId="26337" xr:uid="{00000000-0005-0000-0000-00000C6A0000}"/>
    <cellStyle name="Normal 2 39 4 2" xfId="26338" xr:uid="{00000000-0005-0000-0000-00000D6A0000}"/>
    <cellStyle name="Normal 2 39 4 3" xfId="26339" xr:uid="{00000000-0005-0000-0000-00000E6A0000}"/>
    <cellStyle name="Normal 2 39 4 4" xfId="26340" xr:uid="{00000000-0005-0000-0000-00000F6A0000}"/>
    <cellStyle name="Normal 2 39 4 5" xfId="26341" xr:uid="{00000000-0005-0000-0000-0000106A0000}"/>
    <cellStyle name="Normal 2 39 4 6" xfId="26342" xr:uid="{00000000-0005-0000-0000-0000116A0000}"/>
    <cellStyle name="Normal 2 39 5" xfId="26343" xr:uid="{00000000-0005-0000-0000-0000126A0000}"/>
    <cellStyle name="Normal 2 39 5 2" xfId="26344" xr:uid="{00000000-0005-0000-0000-0000136A0000}"/>
    <cellStyle name="Normal 2 39 5 3" xfId="26345" xr:uid="{00000000-0005-0000-0000-0000146A0000}"/>
    <cellStyle name="Normal 2 39 5 4" xfId="26346" xr:uid="{00000000-0005-0000-0000-0000156A0000}"/>
    <cellStyle name="Normal 2 39 5 5" xfId="26347" xr:uid="{00000000-0005-0000-0000-0000166A0000}"/>
    <cellStyle name="Normal 2 39 5 6" xfId="26348" xr:uid="{00000000-0005-0000-0000-0000176A0000}"/>
    <cellStyle name="Normal 2 39 6" xfId="26349" xr:uid="{00000000-0005-0000-0000-0000186A0000}"/>
    <cellStyle name="Normal 2 39 6 2" xfId="26350" xr:uid="{00000000-0005-0000-0000-0000196A0000}"/>
    <cellStyle name="Normal 2 39 6 3" xfId="26351" xr:uid="{00000000-0005-0000-0000-00001A6A0000}"/>
    <cellStyle name="Normal 2 39 6 4" xfId="26352" xr:uid="{00000000-0005-0000-0000-00001B6A0000}"/>
    <cellStyle name="Normal 2 39 6 5" xfId="26353" xr:uid="{00000000-0005-0000-0000-00001C6A0000}"/>
    <cellStyle name="Normal 2 39 6 6" xfId="26354" xr:uid="{00000000-0005-0000-0000-00001D6A0000}"/>
    <cellStyle name="Normal 2 39 7" xfId="26355" xr:uid="{00000000-0005-0000-0000-00001E6A0000}"/>
    <cellStyle name="Normal 2 39 7 2" xfId="26356" xr:uid="{00000000-0005-0000-0000-00001F6A0000}"/>
    <cellStyle name="Normal 2 39 7 3" xfId="26357" xr:uid="{00000000-0005-0000-0000-0000206A0000}"/>
    <cellStyle name="Normal 2 39 7 4" xfId="26358" xr:uid="{00000000-0005-0000-0000-0000216A0000}"/>
    <cellStyle name="Normal 2 39 7 5" xfId="26359" xr:uid="{00000000-0005-0000-0000-0000226A0000}"/>
    <cellStyle name="Normal 2 39 7 6" xfId="26360" xr:uid="{00000000-0005-0000-0000-0000236A0000}"/>
    <cellStyle name="Normal 2 39 8" xfId="26361" xr:uid="{00000000-0005-0000-0000-0000246A0000}"/>
    <cellStyle name="Normal 2 39 8 2" xfId="26362" xr:uid="{00000000-0005-0000-0000-0000256A0000}"/>
    <cellStyle name="Normal 2 39 8 3" xfId="26363" xr:uid="{00000000-0005-0000-0000-0000266A0000}"/>
    <cellStyle name="Normal 2 39 8 4" xfId="26364" xr:uid="{00000000-0005-0000-0000-0000276A0000}"/>
    <cellStyle name="Normal 2 39 8 5" xfId="26365" xr:uid="{00000000-0005-0000-0000-0000286A0000}"/>
    <cellStyle name="Normal 2 39 8 6" xfId="26366" xr:uid="{00000000-0005-0000-0000-0000296A0000}"/>
    <cellStyle name="Normal 2 39 9" xfId="26367" xr:uid="{00000000-0005-0000-0000-00002A6A0000}"/>
    <cellStyle name="Normal 2 4" xfId="1073" xr:uid="{00000000-0005-0000-0000-00002B6A0000}"/>
    <cellStyle name="Normal 2 4 10" xfId="26368" xr:uid="{00000000-0005-0000-0000-00002C6A0000}"/>
    <cellStyle name="Normal 2 4 11" xfId="26369" xr:uid="{00000000-0005-0000-0000-00002D6A0000}"/>
    <cellStyle name="Normal 2 4 12" xfId="26370" xr:uid="{00000000-0005-0000-0000-00002E6A0000}"/>
    <cellStyle name="Normal 2 4 13" xfId="26371" xr:uid="{00000000-0005-0000-0000-00002F6A0000}"/>
    <cellStyle name="Normal 2 4 14" xfId="26372" xr:uid="{00000000-0005-0000-0000-0000306A0000}"/>
    <cellStyle name="Normal 2 4 2" xfId="26373" xr:uid="{00000000-0005-0000-0000-0000316A0000}"/>
    <cellStyle name="Normal 2 4 2 2" xfId="26374" xr:uid="{00000000-0005-0000-0000-0000326A0000}"/>
    <cellStyle name="Normal 2 4 2 3" xfId="26375" xr:uid="{00000000-0005-0000-0000-0000336A0000}"/>
    <cellStyle name="Normal 2 4 2 4" xfId="26376" xr:uid="{00000000-0005-0000-0000-0000346A0000}"/>
    <cellStyle name="Normal 2 4 2 5" xfId="26377" xr:uid="{00000000-0005-0000-0000-0000356A0000}"/>
    <cellStyle name="Normal 2 4 2 6" xfId="26378" xr:uid="{00000000-0005-0000-0000-0000366A0000}"/>
    <cellStyle name="Normal 2 4 3" xfId="26379" xr:uid="{00000000-0005-0000-0000-0000376A0000}"/>
    <cellStyle name="Normal 2 4 3 2" xfId="26380" xr:uid="{00000000-0005-0000-0000-0000386A0000}"/>
    <cellStyle name="Normal 2 4 3 3" xfId="26381" xr:uid="{00000000-0005-0000-0000-0000396A0000}"/>
    <cellStyle name="Normal 2 4 3 4" xfId="26382" xr:uid="{00000000-0005-0000-0000-00003A6A0000}"/>
    <cellStyle name="Normal 2 4 3 5" xfId="26383" xr:uid="{00000000-0005-0000-0000-00003B6A0000}"/>
    <cellStyle name="Normal 2 4 3 6" xfId="26384" xr:uid="{00000000-0005-0000-0000-00003C6A0000}"/>
    <cellStyle name="Normal 2 4 4" xfId="26385" xr:uid="{00000000-0005-0000-0000-00003D6A0000}"/>
    <cellStyle name="Normal 2 4 4 2" xfId="26386" xr:uid="{00000000-0005-0000-0000-00003E6A0000}"/>
    <cellStyle name="Normal 2 4 4 3" xfId="26387" xr:uid="{00000000-0005-0000-0000-00003F6A0000}"/>
    <cellStyle name="Normal 2 4 4 4" xfId="26388" xr:uid="{00000000-0005-0000-0000-0000406A0000}"/>
    <cellStyle name="Normal 2 4 4 5" xfId="26389" xr:uid="{00000000-0005-0000-0000-0000416A0000}"/>
    <cellStyle name="Normal 2 4 4 6" xfId="26390" xr:uid="{00000000-0005-0000-0000-0000426A0000}"/>
    <cellStyle name="Normal 2 4 5" xfId="26391" xr:uid="{00000000-0005-0000-0000-0000436A0000}"/>
    <cellStyle name="Normal 2 4 5 2" xfId="26392" xr:uid="{00000000-0005-0000-0000-0000446A0000}"/>
    <cellStyle name="Normal 2 4 5 3" xfId="26393" xr:uid="{00000000-0005-0000-0000-0000456A0000}"/>
    <cellStyle name="Normal 2 4 5 4" xfId="26394" xr:uid="{00000000-0005-0000-0000-0000466A0000}"/>
    <cellStyle name="Normal 2 4 5 5" xfId="26395" xr:uid="{00000000-0005-0000-0000-0000476A0000}"/>
    <cellStyle name="Normal 2 4 5 6" xfId="26396" xr:uid="{00000000-0005-0000-0000-0000486A0000}"/>
    <cellStyle name="Normal 2 4 6" xfId="26397" xr:uid="{00000000-0005-0000-0000-0000496A0000}"/>
    <cellStyle name="Normal 2 4 6 2" xfId="26398" xr:uid="{00000000-0005-0000-0000-00004A6A0000}"/>
    <cellStyle name="Normal 2 4 6 3" xfId="26399" xr:uid="{00000000-0005-0000-0000-00004B6A0000}"/>
    <cellStyle name="Normal 2 4 6 4" xfId="26400" xr:uid="{00000000-0005-0000-0000-00004C6A0000}"/>
    <cellStyle name="Normal 2 4 6 5" xfId="26401" xr:uid="{00000000-0005-0000-0000-00004D6A0000}"/>
    <cellStyle name="Normal 2 4 6 6" xfId="26402" xr:uid="{00000000-0005-0000-0000-00004E6A0000}"/>
    <cellStyle name="Normal 2 4 7" xfId="26403" xr:uid="{00000000-0005-0000-0000-00004F6A0000}"/>
    <cellStyle name="Normal 2 4 7 2" xfId="26404" xr:uid="{00000000-0005-0000-0000-0000506A0000}"/>
    <cellStyle name="Normal 2 4 7 3" xfId="26405" xr:uid="{00000000-0005-0000-0000-0000516A0000}"/>
    <cellStyle name="Normal 2 4 7 4" xfId="26406" xr:uid="{00000000-0005-0000-0000-0000526A0000}"/>
    <cellStyle name="Normal 2 4 7 5" xfId="26407" xr:uid="{00000000-0005-0000-0000-0000536A0000}"/>
    <cellStyle name="Normal 2 4 7 6" xfId="26408" xr:uid="{00000000-0005-0000-0000-0000546A0000}"/>
    <cellStyle name="Normal 2 4 8" xfId="26409" xr:uid="{00000000-0005-0000-0000-0000556A0000}"/>
    <cellStyle name="Normal 2 4 8 2" xfId="26410" xr:uid="{00000000-0005-0000-0000-0000566A0000}"/>
    <cellStyle name="Normal 2 4 8 3" xfId="26411" xr:uid="{00000000-0005-0000-0000-0000576A0000}"/>
    <cellStyle name="Normal 2 4 8 4" xfId="26412" xr:uid="{00000000-0005-0000-0000-0000586A0000}"/>
    <cellStyle name="Normal 2 4 8 5" xfId="26413" xr:uid="{00000000-0005-0000-0000-0000596A0000}"/>
    <cellStyle name="Normal 2 4 8 6" xfId="26414" xr:uid="{00000000-0005-0000-0000-00005A6A0000}"/>
    <cellStyle name="Normal 2 4 9" xfId="26415" xr:uid="{00000000-0005-0000-0000-00005B6A0000}"/>
    <cellStyle name="Normal 2 40" xfId="26416" xr:uid="{00000000-0005-0000-0000-00005C6A0000}"/>
    <cellStyle name="Normal 2 40 10" xfId="26417" xr:uid="{00000000-0005-0000-0000-00005D6A0000}"/>
    <cellStyle name="Normal 2 40 11" xfId="26418" xr:uid="{00000000-0005-0000-0000-00005E6A0000}"/>
    <cellStyle name="Normal 2 40 12" xfId="26419" xr:uid="{00000000-0005-0000-0000-00005F6A0000}"/>
    <cellStyle name="Normal 2 40 13" xfId="26420" xr:uid="{00000000-0005-0000-0000-0000606A0000}"/>
    <cellStyle name="Normal 2 40 14" xfId="26421" xr:uid="{00000000-0005-0000-0000-0000616A0000}"/>
    <cellStyle name="Normal 2 40 15" xfId="26422" xr:uid="{00000000-0005-0000-0000-0000626A0000}"/>
    <cellStyle name="Normal 2 40 16" xfId="26423" xr:uid="{00000000-0005-0000-0000-0000636A0000}"/>
    <cellStyle name="Normal 2 40 17" xfId="26424" xr:uid="{00000000-0005-0000-0000-0000646A0000}"/>
    <cellStyle name="Normal 2 40 18" xfId="26425" xr:uid="{00000000-0005-0000-0000-0000656A0000}"/>
    <cellStyle name="Normal 2 40 19" xfId="26426" xr:uid="{00000000-0005-0000-0000-0000666A0000}"/>
    <cellStyle name="Normal 2 40 2" xfId="26427" xr:uid="{00000000-0005-0000-0000-0000676A0000}"/>
    <cellStyle name="Normal 2 40 20" xfId="26428" xr:uid="{00000000-0005-0000-0000-0000686A0000}"/>
    <cellStyle name="Normal 2 40 21" xfId="26429" xr:uid="{00000000-0005-0000-0000-0000696A0000}"/>
    <cellStyle name="Normal 2 40 22" xfId="26430" xr:uid="{00000000-0005-0000-0000-00006A6A0000}"/>
    <cellStyle name="Normal 2 40 23" xfId="26431" xr:uid="{00000000-0005-0000-0000-00006B6A0000}"/>
    <cellStyle name="Normal 2 40 24" xfId="26432" xr:uid="{00000000-0005-0000-0000-00006C6A0000}"/>
    <cellStyle name="Normal 2 40 25" xfId="26433" xr:uid="{00000000-0005-0000-0000-00006D6A0000}"/>
    <cellStyle name="Normal 2 40 26" xfId="26434" xr:uid="{00000000-0005-0000-0000-00006E6A0000}"/>
    <cellStyle name="Normal 2 40 27" xfId="26435" xr:uid="{00000000-0005-0000-0000-00006F6A0000}"/>
    <cellStyle name="Normal 2 40 28" xfId="26436" xr:uid="{00000000-0005-0000-0000-0000706A0000}"/>
    <cellStyle name="Normal 2 40 29" xfId="26437" xr:uid="{00000000-0005-0000-0000-0000716A0000}"/>
    <cellStyle name="Normal 2 40 3" xfId="26438" xr:uid="{00000000-0005-0000-0000-0000726A0000}"/>
    <cellStyle name="Normal 2 40 30" xfId="26439" xr:uid="{00000000-0005-0000-0000-0000736A0000}"/>
    <cellStyle name="Normal 2 40 31" xfId="26440" xr:uid="{00000000-0005-0000-0000-0000746A0000}"/>
    <cellStyle name="Normal 2 40 32" xfId="26441" xr:uid="{00000000-0005-0000-0000-0000756A0000}"/>
    <cellStyle name="Normal 2 40 33" xfId="26442" xr:uid="{00000000-0005-0000-0000-0000766A0000}"/>
    <cellStyle name="Normal 2 40 34" xfId="26443" xr:uid="{00000000-0005-0000-0000-0000776A0000}"/>
    <cellStyle name="Normal 2 40 35" xfId="26444" xr:uid="{00000000-0005-0000-0000-0000786A0000}"/>
    <cellStyle name="Normal 2 40 36" xfId="26445" xr:uid="{00000000-0005-0000-0000-0000796A0000}"/>
    <cellStyle name="Normal 2 40 37" xfId="26446" xr:uid="{00000000-0005-0000-0000-00007A6A0000}"/>
    <cellStyle name="Normal 2 40 38" xfId="26447" xr:uid="{00000000-0005-0000-0000-00007B6A0000}"/>
    <cellStyle name="Normal 2 40 4" xfId="26448" xr:uid="{00000000-0005-0000-0000-00007C6A0000}"/>
    <cellStyle name="Normal 2 40 5" xfId="26449" xr:uid="{00000000-0005-0000-0000-00007D6A0000}"/>
    <cellStyle name="Normal 2 40 6" xfId="26450" xr:uid="{00000000-0005-0000-0000-00007E6A0000}"/>
    <cellStyle name="Normal 2 40 7" xfId="26451" xr:uid="{00000000-0005-0000-0000-00007F6A0000}"/>
    <cellStyle name="Normal 2 40 8" xfId="26452" xr:uid="{00000000-0005-0000-0000-0000806A0000}"/>
    <cellStyle name="Normal 2 40 9" xfId="26453" xr:uid="{00000000-0005-0000-0000-0000816A0000}"/>
    <cellStyle name="Normal 2 41" xfId="26454" xr:uid="{00000000-0005-0000-0000-0000826A0000}"/>
    <cellStyle name="Normal 2 41 10" xfId="26455" xr:uid="{00000000-0005-0000-0000-0000836A0000}"/>
    <cellStyle name="Normal 2 41 11" xfId="26456" xr:uid="{00000000-0005-0000-0000-0000846A0000}"/>
    <cellStyle name="Normal 2 41 12" xfId="26457" xr:uid="{00000000-0005-0000-0000-0000856A0000}"/>
    <cellStyle name="Normal 2 41 13" xfId="26458" xr:uid="{00000000-0005-0000-0000-0000866A0000}"/>
    <cellStyle name="Normal 2 41 14" xfId="26459" xr:uid="{00000000-0005-0000-0000-0000876A0000}"/>
    <cellStyle name="Normal 2 41 15" xfId="26460" xr:uid="{00000000-0005-0000-0000-0000886A0000}"/>
    <cellStyle name="Normal 2 41 16" xfId="26461" xr:uid="{00000000-0005-0000-0000-0000896A0000}"/>
    <cellStyle name="Normal 2 41 17" xfId="26462" xr:uid="{00000000-0005-0000-0000-00008A6A0000}"/>
    <cellStyle name="Normal 2 41 18" xfId="26463" xr:uid="{00000000-0005-0000-0000-00008B6A0000}"/>
    <cellStyle name="Normal 2 41 19" xfId="26464" xr:uid="{00000000-0005-0000-0000-00008C6A0000}"/>
    <cellStyle name="Normal 2 41 2" xfId="26465" xr:uid="{00000000-0005-0000-0000-00008D6A0000}"/>
    <cellStyle name="Normal 2 41 20" xfId="26466" xr:uid="{00000000-0005-0000-0000-00008E6A0000}"/>
    <cellStyle name="Normal 2 41 21" xfId="26467" xr:uid="{00000000-0005-0000-0000-00008F6A0000}"/>
    <cellStyle name="Normal 2 41 22" xfId="26468" xr:uid="{00000000-0005-0000-0000-0000906A0000}"/>
    <cellStyle name="Normal 2 41 23" xfId="26469" xr:uid="{00000000-0005-0000-0000-0000916A0000}"/>
    <cellStyle name="Normal 2 41 24" xfId="26470" xr:uid="{00000000-0005-0000-0000-0000926A0000}"/>
    <cellStyle name="Normal 2 41 25" xfId="26471" xr:uid="{00000000-0005-0000-0000-0000936A0000}"/>
    <cellStyle name="Normal 2 41 26" xfId="26472" xr:uid="{00000000-0005-0000-0000-0000946A0000}"/>
    <cellStyle name="Normal 2 41 27" xfId="26473" xr:uid="{00000000-0005-0000-0000-0000956A0000}"/>
    <cellStyle name="Normal 2 41 28" xfId="26474" xr:uid="{00000000-0005-0000-0000-0000966A0000}"/>
    <cellStyle name="Normal 2 41 29" xfId="26475" xr:uid="{00000000-0005-0000-0000-0000976A0000}"/>
    <cellStyle name="Normal 2 41 3" xfId="26476" xr:uid="{00000000-0005-0000-0000-0000986A0000}"/>
    <cellStyle name="Normal 2 41 30" xfId="26477" xr:uid="{00000000-0005-0000-0000-0000996A0000}"/>
    <cellStyle name="Normal 2 41 31" xfId="26478" xr:uid="{00000000-0005-0000-0000-00009A6A0000}"/>
    <cellStyle name="Normal 2 41 32" xfId="26479" xr:uid="{00000000-0005-0000-0000-00009B6A0000}"/>
    <cellStyle name="Normal 2 41 33" xfId="26480" xr:uid="{00000000-0005-0000-0000-00009C6A0000}"/>
    <cellStyle name="Normal 2 41 34" xfId="26481" xr:uid="{00000000-0005-0000-0000-00009D6A0000}"/>
    <cellStyle name="Normal 2 41 35" xfId="26482" xr:uid="{00000000-0005-0000-0000-00009E6A0000}"/>
    <cellStyle name="Normal 2 41 36" xfId="26483" xr:uid="{00000000-0005-0000-0000-00009F6A0000}"/>
    <cellStyle name="Normal 2 41 37" xfId="26484" xr:uid="{00000000-0005-0000-0000-0000A06A0000}"/>
    <cellStyle name="Normal 2 41 38" xfId="26485" xr:uid="{00000000-0005-0000-0000-0000A16A0000}"/>
    <cellStyle name="Normal 2 41 4" xfId="26486" xr:uid="{00000000-0005-0000-0000-0000A26A0000}"/>
    <cellStyle name="Normal 2 41 5" xfId="26487" xr:uid="{00000000-0005-0000-0000-0000A36A0000}"/>
    <cellStyle name="Normal 2 41 6" xfId="26488" xr:uid="{00000000-0005-0000-0000-0000A46A0000}"/>
    <cellStyle name="Normal 2 41 7" xfId="26489" xr:uid="{00000000-0005-0000-0000-0000A56A0000}"/>
    <cellStyle name="Normal 2 41 8" xfId="26490" xr:uid="{00000000-0005-0000-0000-0000A66A0000}"/>
    <cellStyle name="Normal 2 41 9" xfId="26491" xr:uid="{00000000-0005-0000-0000-0000A76A0000}"/>
    <cellStyle name="Normal 2 42" xfId="26492" xr:uid="{00000000-0005-0000-0000-0000A86A0000}"/>
    <cellStyle name="Normal 2 42 10" xfId="26493" xr:uid="{00000000-0005-0000-0000-0000A96A0000}"/>
    <cellStyle name="Normal 2 42 11" xfId="26494" xr:uid="{00000000-0005-0000-0000-0000AA6A0000}"/>
    <cellStyle name="Normal 2 42 12" xfId="26495" xr:uid="{00000000-0005-0000-0000-0000AB6A0000}"/>
    <cellStyle name="Normal 2 42 13" xfId="26496" xr:uid="{00000000-0005-0000-0000-0000AC6A0000}"/>
    <cellStyle name="Normal 2 42 14" xfId="26497" xr:uid="{00000000-0005-0000-0000-0000AD6A0000}"/>
    <cellStyle name="Normal 2 42 15" xfId="26498" xr:uid="{00000000-0005-0000-0000-0000AE6A0000}"/>
    <cellStyle name="Normal 2 42 16" xfId="26499" xr:uid="{00000000-0005-0000-0000-0000AF6A0000}"/>
    <cellStyle name="Normal 2 42 17" xfId="26500" xr:uid="{00000000-0005-0000-0000-0000B06A0000}"/>
    <cellStyle name="Normal 2 42 18" xfId="26501" xr:uid="{00000000-0005-0000-0000-0000B16A0000}"/>
    <cellStyle name="Normal 2 42 19" xfId="26502" xr:uid="{00000000-0005-0000-0000-0000B26A0000}"/>
    <cellStyle name="Normal 2 42 2" xfId="26503" xr:uid="{00000000-0005-0000-0000-0000B36A0000}"/>
    <cellStyle name="Normal 2 42 20" xfId="26504" xr:uid="{00000000-0005-0000-0000-0000B46A0000}"/>
    <cellStyle name="Normal 2 42 21" xfId="26505" xr:uid="{00000000-0005-0000-0000-0000B56A0000}"/>
    <cellStyle name="Normal 2 42 22" xfId="26506" xr:uid="{00000000-0005-0000-0000-0000B66A0000}"/>
    <cellStyle name="Normal 2 42 23" xfId="26507" xr:uid="{00000000-0005-0000-0000-0000B76A0000}"/>
    <cellStyle name="Normal 2 42 24" xfId="26508" xr:uid="{00000000-0005-0000-0000-0000B86A0000}"/>
    <cellStyle name="Normal 2 42 25" xfId="26509" xr:uid="{00000000-0005-0000-0000-0000B96A0000}"/>
    <cellStyle name="Normal 2 42 26" xfId="26510" xr:uid="{00000000-0005-0000-0000-0000BA6A0000}"/>
    <cellStyle name="Normal 2 42 27" xfId="26511" xr:uid="{00000000-0005-0000-0000-0000BB6A0000}"/>
    <cellStyle name="Normal 2 42 28" xfId="26512" xr:uid="{00000000-0005-0000-0000-0000BC6A0000}"/>
    <cellStyle name="Normal 2 42 29" xfId="26513" xr:uid="{00000000-0005-0000-0000-0000BD6A0000}"/>
    <cellStyle name="Normal 2 42 3" xfId="26514" xr:uid="{00000000-0005-0000-0000-0000BE6A0000}"/>
    <cellStyle name="Normal 2 42 30" xfId="26515" xr:uid="{00000000-0005-0000-0000-0000BF6A0000}"/>
    <cellStyle name="Normal 2 42 31" xfId="26516" xr:uid="{00000000-0005-0000-0000-0000C06A0000}"/>
    <cellStyle name="Normal 2 42 32" xfId="26517" xr:uid="{00000000-0005-0000-0000-0000C16A0000}"/>
    <cellStyle name="Normal 2 42 33" xfId="26518" xr:uid="{00000000-0005-0000-0000-0000C26A0000}"/>
    <cellStyle name="Normal 2 42 34" xfId="26519" xr:uid="{00000000-0005-0000-0000-0000C36A0000}"/>
    <cellStyle name="Normal 2 42 35" xfId="26520" xr:uid="{00000000-0005-0000-0000-0000C46A0000}"/>
    <cellStyle name="Normal 2 42 36" xfId="26521" xr:uid="{00000000-0005-0000-0000-0000C56A0000}"/>
    <cellStyle name="Normal 2 42 37" xfId="26522" xr:uid="{00000000-0005-0000-0000-0000C66A0000}"/>
    <cellStyle name="Normal 2 42 38" xfId="26523" xr:uid="{00000000-0005-0000-0000-0000C76A0000}"/>
    <cellStyle name="Normal 2 42 4" xfId="26524" xr:uid="{00000000-0005-0000-0000-0000C86A0000}"/>
    <cellStyle name="Normal 2 42 5" xfId="26525" xr:uid="{00000000-0005-0000-0000-0000C96A0000}"/>
    <cellStyle name="Normal 2 42 6" xfId="26526" xr:uid="{00000000-0005-0000-0000-0000CA6A0000}"/>
    <cellStyle name="Normal 2 42 7" xfId="26527" xr:uid="{00000000-0005-0000-0000-0000CB6A0000}"/>
    <cellStyle name="Normal 2 42 8" xfId="26528" xr:uid="{00000000-0005-0000-0000-0000CC6A0000}"/>
    <cellStyle name="Normal 2 42 9" xfId="26529" xr:uid="{00000000-0005-0000-0000-0000CD6A0000}"/>
    <cellStyle name="Normal 2 43" xfId="26530" xr:uid="{00000000-0005-0000-0000-0000CE6A0000}"/>
    <cellStyle name="Normal 2 43 10" xfId="26531" xr:uid="{00000000-0005-0000-0000-0000CF6A0000}"/>
    <cellStyle name="Normal 2 43 11" xfId="26532" xr:uid="{00000000-0005-0000-0000-0000D06A0000}"/>
    <cellStyle name="Normal 2 43 12" xfId="26533" xr:uid="{00000000-0005-0000-0000-0000D16A0000}"/>
    <cellStyle name="Normal 2 43 13" xfId="26534" xr:uid="{00000000-0005-0000-0000-0000D26A0000}"/>
    <cellStyle name="Normal 2 43 14" xfId="26535" xr:uid="{00000000-0005-0000-0000-0000D36A0000}"/>
    <cellStyle name="Normal 2 43 15" xfId="26536" xr:uid="{00000000-0005-0000-0000-0000D46A0000}"/>
    <cellStyle name="Normal 2 43 16" xfId="26537" xr:uid="{00000000-0005-0000-0000-0000D56A0000}"/>
    <cellStyle name="Normal 2 43 17" xfId="26538" xr:uid="{00000000-0005-0000-0000-0000D66A0000}"/>
    <cellStyle name="Normal 2 43 18" xfId="26539" xr:uid="{00000000-0005-0000-0000-0000D76A0000}"/>
    <cellStyle name="Normal 2 43 19" xfId="26540" xr:uid="{00000000-0005-0000-0000-0000D86A0000}"/>
    <cellStyle name="Normal 2 43 2" xfId="26541" xr:uid="{00000000-0005-0000-0000-0000D96A0000}"/>
    <cellStyle name="Normal 2 43 20" xfId="26542" xr:uid="{00000000-0005-0000-0000-0000DA6A0000}"/>
    <cellStyle name="Normal 2 43 21" xfId="26543" xr:uid="{00000000-0005-0000-0000-0000DB6A0000}"/>
    <cellStyle name="Normal 2 43 22" xfId="26544" xr:uid="{00000000-0005-0000-0000-0000DC6A0000}"/>
    <cellStyle name="Normal 2 43 23" xfId="26545" xr:uid="{00000000-0005-0000-0000-0000DD6A0000}"/>
    <cellStyle name="Normal 2 43 24" xfId="26546" xr:uid="{00000000-0005-0000-0000-0000DE6A0000}"/>
    <cellStyle name="Normal 2 43 25" xfId="26547" xr:uid="{00000000-0005-0000-0000-0000DF6A0000}"/>
    <cellStyle name="Normal 2 43 26" xfId="26548" xr:uid="{00000000-0005-0000-0000-0000E06A0000}"/>
    <cellStyle name="Normal 2 43 27" xfId="26549" xr:uid="{00000000-0005-0000-0000-0000E16A0000}"/>
    <cellStyle name="Normal 2 43 28" xfId="26550" xr:uid="{00000000-0005-0000-0000-0000E26A0000}"/>
    <cellStyle name="Normal 2 43 29" xfId="26551" xr:uid="{00000000-0005-0000-0000-0000E36A0000}"/>
    <cellStyle name="Normal 2 43 3" xfId="26552" xr:uid="{00000000-0005-0000-0000-0000E46A0000}"/>
    <cellStyle name="Normal 2 43 30" xfId="26553" xr:uid="{00000000-0005-0000-0000-0000E56A0000}"/>
    <cellStyle name="Normal 2 43 31" xfId="26554" xr:uid="{00000000-0005-0000-0000-0000E66A0000}"/>
    <cellStyle name="Normal 2 43 32" xfId="26555" xr:uid="{00000000-0005-0000-0000-0000E76A0000}"/>
    <cellStyle name="Normal 2 43 33" xfId="26556" xr:uid="{00000000-0005-0000-0000-0000E86A0000}"/>
    <cellStyle name="Normal 2 43 34" xfId="26557" xr:uid="{00000000-0005-0000-0000-0000E96A0000}"/>
    <cellStyle name="Normal 2 43 35" xfId="26558" xr:uid="{00000000-0005-0000-0000-0000EA6A0000}"/>
    <cellStyle name="Normal 2 43 36" xfId="26559" xr:uid="{00000000-0005-0000-0000-0000EB6A0000}"/>
    <cellStyle name="Normal 2 43 37" xfId="26560" xr:uid="{00000000-0005-0000-0000-0000EC6A0000}"/>
    <cellStyle name="Normal 2 43 38" xfId="26561" xr:uid="{00000000-0005-0000-0000-0000ED6A0000}"/>
    <cellStyle name="Normal 2 43 4" xfId="26562" xr:uid="{00000000-0005-0000-0000-0000EE6A0000}"/>
    <cellStyle name="Normal 2 43 5" xfId="26563" xr:uid="{00000000-0005-0000-0000-0000EF6A0000}"/>
    <cellStyle name="Normal 2 43 6" xfId="26564" xr:uid="{00000000-0005-0000-0000-0000F06A0000}"/>
    <cellStyle name="Normal 2 43 7" xfId="26565" xr:uid="{00000000-0005-0000-0000-0000F16A0000}"/>
    <cellStyle name="Normal 2 43 8" xfId="26566" xr:uid="{00000000-0005-0000-0000-0000F26A0000}"/>
    <cellStyle name="Normal 2 43 9" xfId="26567" xr:uid="{00000000-0005-0000-0000-0000F36A0000}"/>
    <cellStyle name="Normal 2 44" xfId="26568" xr:uid="{00000000-0005-0000-0000-0000F46A0000}"/>
    <cellStyle name="Normal 2 44 10" xfId="26569" xr:uid="{00000000-0005-0000-0000-0000F56A0000}"/>
    <cellStyle name="Normal 2 44 11" xfId="26570" xr:uid="{00000000-0005-0000-0000-0000F66A0000}"/>
    <cellStyle name="Normal 2 44 12" xfId="26571" xr:uid="{00000000-0005-0000-0000-0000F76A0000}"/>
    <cellStyle name="Normal 2 44 13" xfId="26572" xr:uid="{00000000-0005-0000-0000-0000F86A0000}"/>
    <cellStyle name="Normal 2 44 14" xfId="26573" xr:uid="{00000000-0005-0000-0000-0000F96A0000}"/>
    <cellStyle name="Normal 2 44 15" xfId="26574" xr:uid="{00000000-0005-0000-0000-0000FA6A0000}"/>
    <cellStyle name="Normal 2 44 16" xfId="26575" xr:uid="{00000000-0005-0000-0000-0000FB6A0000}"/>
    <cellStyle name="Normal 2 44 17" xfId="26576" xr:uid="{00000000-0005-0000-0000-0000FC6A0000}"/>
    <cellStyle name="Normal 2 44 18" xfId="26577" xr:uid="{00000000-0005-0000-0000-0000FD6A0000}"/>
    <cellStyle name="Normal 2 44 19" xfId="26578" xr:uid="{00000000-0005-0000-0000-0000FE6A0000}"/>
    <cellStyle name="Normal 2 44 2" xfId="26579" xr:uid="{00000000-0005-0000-0000-0000FF6A0000}"/>
    <cellStyle name="Normal 2 44 20" xfId="26580" xr:uid="{00000000-0005-0000-0000-0000006B0000}"/>
    <cellStyle name="Normal 2 44 21" xfId="26581" xr:uid="{00000000-0005-0000-0000-0000016B0000}"/>
    <cellStyle name="Normal 2 44 22" xfId="26582" xr:uid="{00000000-0005-0000-0000-0000026B0000}"/>
    <cellStyle name="Normal 2 44 23" xfId="26583" xr:uid="{00000000-0005-0000-0000-0000036B0000}"/>
    <cellStyle name="Normal 2 44 24" xfId="26584" xr:uid="{00000000-0005-0000-0000-0000046B0000}"/>
    <cellStyle name="Normal 2 44 25" xfId="26585" xr:uid="{00000000-0005-0000-0000-0000056B0000}"/>
    <cellStyle name="Normal 2 44 26" xfId="26586" xr:uid="{00000000-0005-0000-0000-0000066B0000}"/>
    <cellStyle name="Normal 2 44 27" xfId="26587" xr:uid="{00000000-0005-0000-0000-0000076B0000}"/>
    <cellStyle name="Normal 2 44 28" xfId="26588" xr:uid="{00000000-0005-0000-0000-0000086B0000}"/>
    <cellStyle name="Normal 2 44 29" xfId="26589" xr:uid="{00000000-0005-0000-0000-0000096B0000}"/>
    <cellStyle name="Normal 2 44 3" xfId="26590" xr:uid="{00000000-0005-0000-0000-00000A6B0000}"/>
    <cellStyle name="Normal 2 44 30" xfId="26591" xr:uid="{00000000-0005-0000-0000-00000B6B0000}"/>
    <cellStyle name="Normal 2 44 31" xfId="26592" xr:uid="{00000000-0005-0000-0000-00000C6B0000}"/>
    <cellStyle name="Normal 2 44 32" xfId="26593" xr:uid="{00000000-0005-0000-0000-00000D6B0000}"/>
    <cellStyle name="Normal 2 44 33" xfId="26594" xr:uid="{00000000-0005-0000-0000-00000E6B0000}"/>
    <cellStyle name="Normal 2 44 34" xfId="26595" xr:uid="{00000000-0005-0000-0000-00000F6B0000}"/>
    <cellStyle name="Normal 2 44 35" xfId="26596" xr:uid="{00000000-0005-0000-0000-0000106B0000}"/>
    <cellStyle name="Normal 2 44 36" xfId="26597" xr:uid="{00000000-0005-0000-0000-0000116B0000}"/>
    <cellStyle name="Normal 2 44 37" xfId="26598" xr:uid="{00000000-0005-0000-0000-0000126B0000}"/>
    <cellStyle name="Normal 2 44 38" xfId="26599" xr:uid="{00000000-0005-0000-0000-0000136B0000}"/>
    <cellStyle name="Normal 2 44 4" xfId="26600" xr:uid="{00000000-0005-0000-0000-0000146B0000}"/>
    <cellStyle name="Normal 2 44 5" xfId="26601" xr:uid="{00000000-0005-0000-0000-0000156B0000}"/>
    <cellStyle name="Normal 2 44 6" xfId="26602" xr:uid="{00000000-0005-0000-0000-0000166B0000}"/>
    <cellStyle name="Normal 2 44 7" xfId="26603" xr:uid="{00000000-0005-0000-0000-0000176B0000}"/>
    <cellStyle name="Normal 2 44 8" xfId="26604" xr:uid="{00000000-0005-0000-0000-0000186B0000}"/>
    <cellStyle name="Normal 2 44 9" xfId="26605" xr:uid="{00000000-0005-0000-0000-0000196B0000}"/>
    <cellStyle name="Normal 2 45" xfId="26606" xr:uid="{00000000-0005-0000-0000-00001A6B0000}"/>
    <cellStyle name="Normal 2 45 10" xfId="26607" xr:uid="{00000000-0005-0000-0000-00001B6B0000}"/>
    <cellStyle name="Normal 2 45 11" xfId="26608" xr:uid="{00000000-0005-0000-0000-00001C6B0000}"/>
    <cellStyle name="Normal 2 45 12" xfId="26609" xr:uid="{00000000-0005-0000-0000-00001D6B0000}"/>
    <cellStyle name="Normal 2 45 13" xfId="26610" xr:uid="{00000000-0005-0000-0000-00001E6B0000}"/>
    <cellStyle name="Normal 2 45 14" xfId="26611" xr:uid="{00000000-0005-0000-0000-00001F6B0000}"/>
    <cellStyle name="Normal 2 45 15" xfId="26612" xr:uid="{00000000-0005-0000-0000-0000206B0000}"/>
    <cellStyle name="Normal 2 45 16" xfId="26613" xr:uid="{00000000-0005-0000-0000-0000216B0000}"/>
    <cellStyle name="Normal 2 45 17" xfId="26614" xr:uid="{00000000-0005-0000-0000-0000226B0000}"/>
    <cellStyle name="Normal 2 45 18" xfId="26615" xr:uid="{00000000-0005-0000-0000-0000236B0000}"/>
    <cellStyle name="Normal 2 45 19" xfId="26616" xr:uid="{00000000-0005-0000-0000-0000246B0000}"/>
    <cellStyle name="Normal 2 45 2" xfId="26617" xr:uid="{00000000-0005-0000-0000-0000256B0000}"/>
    <cellStyle name="Normal 2 45 20" xfId="26618" xr:uid="{00000000-0005-0000-0000-0000266B0000}"/>
    <cellStyle name="Normal 2 45 21" xfId="26619" xr:uid="{00000000-0005-0000-0000-0000276B0000}"/>
    <cellStyle name="Normal 2 45 22" xfId="26620" xr:uid="{00000000-0005-0000-0000-0000286B0000}"/>
    <cellStyle name="Normal 2 45 23" xfId="26621" xr:uid="{00000000-0005-0000-0000-0000296B0000}"/>
    <cellStyle name="Normal 2 45 24" xfId="26622" xr:uid="{00000000-0005-0000-0000-00002A6B0000}"/>
    <cellStyle name="Normal 2 45 25" xfId="26623" xr:uid="{00000000-0005-0000-0000-00002B6B0000}"/>
    <cellStyle name="Normal 2 45 26" xfId="26624" xr:uid="{00000000-0005-0000-0000-00002C6B0000}"/>
    <cellStyle name="Normal 2 45 27" xfId="26625" xr:uid="{00000000-0005-0000-0000-00002D6B0000}"/>
    <cellStyle name="Normal 2 45 28" xfId="26626" xr:uid="{00000000-0005-0000-0000-00002E6B0000}"/>
    <cellStyle name="Normal 2 45 29" xfId="26627" xr:uid="{00000000-0005-0000-0000-00002F6B0000}"/>
    <cellStyle name="Normal 2 45 3" xfId="26628" xr:uid="{00000000-0005-0000-0000-0000306B0000}"/>
    <cellStyle name="Normal 2 45 30" xfId="26629" xr:uid="{00000000-0005-0000-0000-0000316B0000}"/>
    <cellStyle name="Normal 2 45 31" xfId="26630" xr:uid="{00000000-0005-0000-0000-0000326B0000}"/>
    <cellStyle name="Normal 2 45 32" xfId="26631" xr:uid="{00000000-0005-0000-0000-0000336B0000}"/>
    <cellStyle name="Normal 2 45 33" xfId="26632" xr:uid="{00000000-0005-0000-0000-0000346B0000}"/>
    <cellStyle name="Normal 2 45 34" xfId="26633" xr:uid="{00000000-0005-0000-0000-0000356B0000}"/>
    <cellStyle name="Normal 2 45 35" xfId="26634" xr:uid="{00000000-0005-0000-0000-0000366B0000}"/>
    <cellStyle name="Normal 2 45 36" xfId="26635" xr:uid="{00000000-0005-0000-0000-0000376B0000}"/>
    <cellStyle name="Normal 2 45 37" xfId="26636" xr:uid="{00000000-0005-0000-0000-0000386B0000}"/>
    <cellStyle name="Normal 2 45 38" xfId="26637" xr:uid="{00000000-0005-0000-0000-0000396B0000}"/>
    <cellStyle name="Normal 2 45 4" xfId="26638" xr:uid="{00000000-0005-0000-0000-00003A6B0000}"/>
    <cellStyle name="Normal 2 45 5" xfId="26639" xr:uid="{00000000-0005-0000-0000-00003B6B0000}"/>
    <cellStyle name="Normal 2 45 6" xfId="26640" xr:uid="{00000000-0005-0000-0000-00003C6B0000}"/>
    <cellStyle name="Normal 2 45 7" xfId="26641" xr:uid="{00000000-0005-0000-0000-00003D6B0000}"/>
    <cellStyle name="Normal 2 45 8" xfId="26642" xr:uid="{00000000-0005-0000-0000-00003E6B0000}"/>
    <cellStyle name="Normal 2 45 9" xfId="26643" xr:uid="{00000000-0005-0000-0000-00003F6B0000}"/>
    <cellStyle name="Normal 2 46" xfId="26644" xr:uid="{00000000-0005-0000-0000-0000406B0000}"/>
    <cellStyle name="Normal 2 46 10" xfId="26645" xr:uid="{00000000-0005-0000-0000-0000416B0000}"/>
    <cellStyle name="Normal 2 46 11" xfId="26646" xr:uid="{00000000-0005-0000-0000-0000426B0000}"/>
    <cellStyle name="Normal 2 46 12" xfId="26647" xr:uid="{00000000-0005-0000-0000-0000436B0000}"/>
    <cellStyle name="Normal 2 46 13" xfId="26648" xr:uid="{00000000-0005-0000-0000-0000446B0000}"/>
    <cellStyle name="Normal 2 46 14" xfId="26649" xr:uid="{00000000-0005-0000-0000-0000456B0000}"/>
    <cellStyle name="Normal 2 46 15" xfId="26650" xr:uid="{00000000-0005-0000-0000-0000466B0000}"/>
    <cellStyle name="Normal 2 46 16" xfId="26651" xr:uid="{00000000-0005-0000-0000-0000476B0000}"/>
    <cellStyle name="Normal 2 46 17" xfId="26652" xr:uid="{00000000-0005-0000-0000-0000486B0000}"/>
    <cellStyle name="Normal 2 46 18" xfId="26653" xr:uid="{00000000-0005-0000-0000-0000496B0000}"/>
    <cellStyle name="Normal 2 46 19" xfId="26654" xr:uid="{00000000-0005-0000-0000-00004A6B0000}"/>
    <cellStyle name="Normal 2 46 2" xfId="26655" xr:uid="{00000000-0005-0000-0000-00004B6B0000}"/>
    <cellStyle name="Normal 2 46 20" xfId="26656" xr:uid="{00000000-0005-0000-0000-00004C6B0000}"/>
    <cellStyle name="Normal 2 46 21" xfId="26657" xr:uid="{00000000-0005-0000-0000-00004D6B0000}"/>
    <cellStyle name="Normal 2 46 22" xfId="26658" xr:uid="{00000000-0005-0000-0000-00004E6B0000}"/>
    <cellStyle name="Normal 2 46 23" xfId="26659" xr:uid="{00000000-0005-0000-0000-00004F6B0000}"/>
    <cellStyle name="Normal 2 46 24" xfId="26660" xr:uid="{00000000-0005-0000-0000-0000506B0000}"/>
    <cellStyle name="Normal 2 46 25" xfId="26661" xr:uid="{00000000-0005-0000-0000-0000516B0000}"/>
    <cellStyle name="Normal 2 46 26" xfId="26662" xr:uid="{00000000-0005-0000-0000-0000526B0000}"/>
    <cellStyle name="Normal 2 46 27" xfId="26663" xr:uid="{00000000-0005-0000-0000-0000536B0000}"/>
    <cellStyle name="Normal 2 46 28" xfId="26664" xr:uid="{00000000-0005-0000-0000-0000546B0000}"/>
    <cellStyle name="Normal 2 46 29" xfId="26665" xr:uid="{00000000-0005-0000-0000-0000556B0000}"/>
    <cellStyle name="Normal 2 46 3" xfId="26666" xr:uid="{00000000-0005-0000-0000-0000566B0000}"/>
    <cellStyle name="Normal 2 46 30" xfId="26667" xr:uid="{00000000-0005-0000-0000-0000576B0000}"/>
    <cellStyle name="Normal 2 46 31" xfId="26668" xr:uid="{00000000-0005-0000-0000-0000586B0000}"/>
    <cellStyle name="Normal 2 46 32" xfId="26669" xr:uid="{00000000-0005-0000-0000-0000596B0000}"/>
    <cellStyle name="Normal 2 46 33" xfId="26670" xr:uid="{00000000-0005-0000-0000-00005A6B0000}"/>
    <cellStyle name="Normal 2 46 34" xfId="26671" xr:uid="{00000000-0005-0000-0000-00005B6B0000}"/>
    <cellStyle name="Normal 2 46 35" xfId="26672" xr:uid="{00000000-0005-0000-0000-00005C6B0000}"/>
    <cellStyle name="Normal 2 46 36" xfId="26673" xr:uid="{00000000-0005-0000-0000-00005D6B0000}"/>
    <cellStyle name="Normal 2 46 37" xfId="26674" xr:uid="{00000000-0005-0000-0000-00005E6B0000}"/>
    <cellStyle name="Normal 2 46 38" xfId="26675" xr:uid="{00000000-0005-0000-0000-00005F6B0000}"/>
    <cellStyle name="Normal 2 46 4" xfId="26676" xr:uid="{00000000-0005-0000-0000-0000606B0000}"/>
    <cellStyle name="Normal 2 46 5" xfId="26677" xr:uid="{00000000-0005-0000-0000-0000616B0000}"/>
    <cellStyle name="Normal 2 46 6" xfId="26678" xr:uid="{00000000-0005-0000-0000-0000626B0000}"/>
    <cellStyle name="Normal 2 46 7" xfId="26679" xr:uid="{00000000-0005-0000-0000-0000636B0000}"/>
    <cellStyle name="Normal 2 46 8" xfId="26680" xr:uid="{00000000-0005-0000-0000-0000646B0000}"/>
    <cellStyle name="Normal 2 46 9" xfId="26681" xr:uid="{00000000-0005-0000-0000-0000656B0000}"/>
    <cellStyle name="Normal 2 47" xfId="26682" xr:uid="{00000000-0005-0000-0000-0000666B0000}"/>
    <cellStyle name="Normal 2 47 10" xfId="26683" xr:uid="{00000000-0005-0000-0000-0000676B0000}"/>
    <cellStyle name="Normal 2 47 11" xfId="26684" xr:uid="{00000000-0005-0000-0000-0000686B0000}"/>
    <cellStyle name="Normal 2 47 12" xfId="26685" xr:uid="{00000000-0005-0000-0000-0000696B0000}"/>
    <cellStyle name="Normal 2 47 13" xfId="26686" xr:uid="{00000000-0005-0000-0000-00006A6B0000}"/>
    <cellStyle name="Normal 2 47 14" xfId="26687" xr:uid="{00000000-0005-0000-0000-00006B6B0000}"/>
    <cellStyle name="Normal 2 47 15" xfId="26688" xr:uid="{00000000-0005-0000-0000-00006C6B0000}"/>
    <cellStyle name="Normal 2 47 16" xfId="26689" xr:uid="{00000000-0005-0000-0000-00006D6B0000}"/>
    <cellStyle name="Normal 2 47 17" xfId="26690" xr:uid="{00000000-0005-0000-0000-00006E6B0000}"/>
    <cellStyle name="Normal 2 47 18" xfId="26691" xr:uid="{00000000-0005-0000-0000-00006F6B0000}"/>
    <cellStyle name="Normal 2 47 19" xfId="26692" xr:uid="{00000000-0005-0000-0000-0000706B0000}"/>
    <cellStyle name="Normal 2 47 2" xfId="26693" xr:uid="{00000000-0005-0000-0000-0000716B0000}"/>
    <cellStyle name="Normal 2 47 20" xfId="26694" xr:uid="{00000000-0005-0000-0000-0000726B0000}"/>
    <cellStyle name="Normal 2 47 21" xfId="26695" xr:uid="{00000000-0005-0000-0000-0000736B0000}"/>
    <cellStyle name="Normal 2 47 22" xfId="26696" xr:uid="{00000000-0005-0000-0000-0000746B0000}"/>
    <cellStyle name="Normal 2 47 23" xfId="26697" xr:uid="{00000000-0005-0000-0000-0000756B0000}"/>
    <cellStyle name="Normal 2 47 24" xfId="26698" xr:uid="{00000000-0005-0000-0000-0000766B0000}"/>
    <cellStyle name="Normal 2 47 25" xfId="26699" xr:uid="{00000000-0005-0000-0000-0000776B0000}"/>
    <cellStyle name="Normal 2 47 26" xfId="26700" xr:uid="{00000000-0005-0000-0000-0000786B0000}"/>
    <cellStyle name="Normal 2 47 27" xfId="26701" xr:uid="{00000000-0005-0000-0000-0000796B0000}"/>
    <cellStyle name="Normal 2 47 28" xfId="26702" xr:uid="{00000000-0005-0000-0000-00007A6B0000}"/>
    <cellStyle name="Normal 2 47 29" xfId="26703" xr:uid="{00000000-0005-0000-0000-00007B6B0000}"/>
    <cellStyle name="Normal 2 47 3" xfId="26704" xr:uid="{00000000-0005-0000-0000-00007C6B0000}"/>
    <cellStyle name="Normal 2 47 30" xfId="26705" xr:uid="{00000000-0005-0000-0000-00007D6B0000}"/>
    <cellStyle name="Normal 2 47 31" xfId="26706" xr:uid="{00000000-0005-0000-0000-00007E6B0000}"/>
    <cellStyle name="Normal 2 47 32" xfId="26707" xr:uid="{00000000-0005-0000-0000-00007F6B0000}"/>
    <cellStyle name="Normal 2 47 33" xfId="26708" xr:uid="{00000000-0005-0000-0000-0000806B0000}"/>
    <cellStyle name="Normal 2 47 34" xfId="26709" xr:uid="{00000000-0005-0000-0000-0000816B0000}"/>
    <cellStyle name="Normal 2 47 35" xfId="26710" xr:uid="{00000000-0005-0000-0000-0000826B0000}"/>
    <cellStyle name="Normal 2 47 36" xfId="26711" xr:uid="{00000000-0005-0000-0000-0000836B0000}"/>
    <cellStyle name="Normal 2 47 37" xfId="26712" xr:uid="{00000000-0005-0000-0000-0000846B0000}"/>
    <cellStyle name="Normal 2 47 38" xfId="26713" xr:uid="{00000000-0005-0000-0000-0000856B0000}"/>
    <cellStyle name="Normal 2 47 4" xfId="26714" xr:uid="{00000000-0005-0000-0000-0000866B0000}"/>
    <cellStyle name="Normal 2 47 5" xfId="26715" xr:uid="{00000000-0005-0000-0000-0000876B0000}"/>
    <cellStyle name="Normal 2 47 6" xfId="26716" xr:uid="{00000000-0005-0000-0000-0000886B0000}"/>
    <cellStyle name="Normal 2 47 7" xfId="26717" xr:uid="{00000000-0005-0000-0000-0000896B0000}"/>
    <cellStyle name="Normal 2 47 8" xfId="26718" xr:uid="{00000000-0005-0000-0000-00008A6B0000}"/>
    <cellStyle name="Normal 2 47 9" xfId="26719" xr:uid="{00000000-0005-0000-0000-00008B6B0000}"/>
    <cellStyle name="Normal 2 48" xfId="26720" xr:uid="{00000000-0005-0000-0000-00008C6B0000}"/>
    <cellStyle name="Normal 2 48 10" xfId="26721" xr:uid="{00000000-0005-0000-0000-00008D6B0000}"/>
    <cellStyle name="Normal 2 48 11" xfId="26722" xr:uid="{00000000-0005-0000-0000-00008E6B0000}"/>
    <cellStyle name="Normal 2 48 12" xfId="26723" xr:uid="{00000000-0005-0000-0000-00008F6B0000}"/>
    <cellStyle name="Normal 2 48 13" xfId="26724" xr:uid="{00000000-0005-0000-0000-0000906B0000}"/>
    <cellStyle name="Normal 2 48 14" xfId="26725" xr:uid="{00000000-0005-0000-0000-0000916B0000}"/>
    <cellStyle name="Normal 2 48 15" xfId="26726" xr:uid="{00000000-0005-0000-0000-0000926B0000}"/>
    <cellStyle name="Normal 2 48 16" xfId="26727" xr:uid="{00000000-0005-0000-0000-0000936B0000}"/>
    <cellStyle name="Normal 2 48 17" xfId="26728" xr:uid="{00000000-0005-0000-0000-0000946B0000}"/>
    <cellStyle name="Normal 2 48 18" xfId="26729" xr:uid="{00000000-0005-0000-0000-0000956B0000}"/>
    <cellStyle name="Normal 2 48 19" xfId="26730" xr:uid="{00000000-0005-0000-0000-0000966B0000}"/>
    <cellStyle name="Normal 2 48 2" xfId="26731" xr:uid="{00000000-0005-0000-0000-0000976B0000}"/>
    <cellStyle name="Normal 2 48 20" xfId="26732" xr:uid="{00000000-0005-0000-0000-0000986B0000}"/>
    <cellStyle name="Normal 2 48 21" xfId="26733" xr:uid="{00000000-0005-0000-0000-0000996B0000}"/>
    <cellStyle name="Normal 2 48 22" xfId="26734" xr:uid="{00000000-0005-0000-0000-00009A6B0000}"/>
    <cellStyle name="Normal 2 48 23" xfId="26735" xr:uid="{00000000-0005-0000-0000-00009B6B0000}"/>
    <cellStyle name="Normal 2 48 24" xfId="26736" xr:uid="{00000000-0005-0000-0000-00009C6B0000}"/>
    <cellStyle name="Normal 2 48 25" xfId="26737" xr:uid="{00000000-0005-0000-0000-00009D6B0000}"/>
    <cellStyle name="Normal 2 48 26" xfId="26738" xr:uid="{00000000-0005-0000-0000-00009E6B0000}"/>
    <cellStyle name="Normal 2 48 27" xfId="26739" xr:uid="{00000000-0005-0000-0000-00009F6B0000}"/>
    <cellStyle name="Normal 2 48 28" xfId="26740" xr:uid="{00000000-0005-0000-0000-0000A06B0000}"/>
    <cellStyle name="Normal 2 48 29" xfId="26741" xr:uid="{00000000-0005-0000-0000-0000A16B0000}"/>
    <cellStyle name="Normal 2 48 3" xfId="26742" xr:uid="{00000000-0005-0000-0000-0000A26B0000}"/>
    <cellStyle name="Normal 2 48 30" xfId="26743" xr:uid="{00000000-0005-0000-0000-0000A36B0000}"/>
    <cellStyle name="Normal 2 48 31" xfId="26744" xr:uid="{00000000-0005-0000-0000-0000A46B0000}"/>
    <cellStyle name="Normal 2 48 32" xfId="26745" xr:uid="{00000000-0005-0000-0000-0000A56B0000}"/>
    <cellStyle name="Normal 2 48 33" xfId="26746" xr:uid="{00000000-0005-0000-0000-0000A66B0000}"/>
    <cellStyle name="Normal 2 48 34" xfId="26747" xr:uid="{00000000-0005-0000-0000-0000A76B0000}"/>
    <cellStyle name="Normal 2 48 35" xfId="26748" xr:uid="{00000000-0005-0000-0000-0000A86B0000}"/>
    <cellStyle name="Normal 2 48 36" xfId="26749" xr:uid="{00000000-0005-0000-0000-0000A96B0000}"/>
    <cellStyle name="Normal 2 48 37" xfId="26750" xr:uid="{00000000-0005-0000-0000-0000AA6B0000}"/>
    <cellStyle name="Normal 2 48 38" xfId="26751" xr:uid="{00000000-0005-0000-0000-0000AB6B0000}"/>
    <cellStyle name="Normal 2 48 4" xfId="26752" xr:uid="{00000000-0005-0000-0000-0000AC6B0000}"/>
    <cellStyle name="Normal 2 48 5" xfId="26753" xr:uid="{00000000-0005-0000-0000-0000AD6B0000}"/>
    <cellStyle name="Normal 2 48 6" xfId="26754" xr:uid="{00000000-0005-0000-0000-0000AE6B0000}"/>
    <cellStyle name="Normal 2 48 7" xfId="26755" xr:uid="{00000000-0005-0000-0000-0000AF6B0000}"/>
    <cellStyle name="Normal 2 48 8" xfId="26756" xr:uid="{00000000-0005-0000-0000-0000B06B0000}"/>
    <cellStyle name="Normal 2 48 9" xfId="26757" xr:uid="{00000000-0005-0000-0000-0000B16B0000}"/>
    <cellStyle name="Normal 2 49" xfId="26758" xr:uid="{00000000-0005-0000-0000-0000B26B0000}"/>
    <cellStyle name="Normal 2 49 10" xfId="26759" xr:uid="{00000000-0005-0000-0000-0000B36B0000}"/>
    <cellStyle name="Normal 2 49 11" xfId="26760" xr:uid="{00000000-0005-0000-0000-0000B46B0000}"/>
    <cellStyle name="Normal 2 49 12" xfId="26761" xr:uid="{00000000-0005-0000-0000-0000B56B0000}"/>
    <cellStyle name="Normal 2 49 13" xfId="26762" xr:uid="{00000000-0005-0000-0000-0000B66B0000}"/>
    <cellStyle name="Normal 2 49 14" xfId="26763" xr:uid="{00000000-0005-0000-0000-0000B76B0000}"/>
    <cellStyle name="Normal 2 49 15" xfId="26764" xr:uid="{00000000-0005-0000-0000-0000B86B0000}"/>
    <cellStyle name="Normal 2 49 16" xfId="26765" xr:uid="{00000000-0005-0000-0000-0000B96B0000}"/>
    <cellStyle name="Normal 2 49 17" xfId="26766" xr:uid="{00000000-0005-0000-0000-0000BA6B0000}"/>
    <cellStyle name="Normal 2 49 18" xfId="26767" xr:uid="{00000000-0005-0000-0000-0000BB6B0000}"/>
    <cellStyle name="Normal 2 49 19" xfId="26768" xr:uid="{00000000-0005-0000-0000-0000BC6B0000}"/>
    <cellStyle name="Normal 2 49 2" xfId="26769" xr:uid="{00000000-0005-0000-0000-0000BD6B0000}"/>
    <cellStyle name="Normal 2 49 2 2" xfId="26770" xr:uid="{00000000-0005-0000-0000-0000BE6B0000}"/>
    <cellStyle name="Normal 2 49 2 3" xfId="26771" xr:uid="{00000000-0005-0000-0000-0000BF6B0000}"/>
    <cellStyle name="Normal 2 49 2 4" xfId="26772" xr:uid="{00000000-0005-0000-0000-0000C06B0000}"/>
    <cellStyle name="Normal 2 49 2 5" xfId="26773" xr:uid="{00000000-0005-0000-0000-0000C16B0000}"/>
    <cellStyle name="Normal 2 49 2 6" xfId="26774" xr:uid="{00000000-0005-0000-0000-0000C26B0000}"/>
    <cellStyle name="Normal 2 49 20" xfId="26775" xr:uid="{00000000-0005-0000-0000-0000C36B0000}"/>
    <cellStyle name="Normal 2 49 21" xfId="26776" xr:uid="{00000000-0005-0000-0000-0000C46B0000}"/>
    <cellStyle name="Normal 2 49 22" xfId="26777" xr:uid="{00000000-0005-0000-0000-0000C56B0000}"/>
    <cellStyle name="Normal 2 49 23" xfId="26778" xr:uid="{00000000-0005-0000-0000-0000C66B0000}"/>
    <cellStyle name="Normal 2 49 24" xfId="26779" xr:uid="{00000000-0005-0000-0000-0000C76B0000}"/>
    <cellStyle name="Normal 2 49 25" xfId="26780" xr:uid="{00000000-0005-0000-0000-0000C86B0000}"/>
    <cellStyle name="Normal 2 49 26" xfId="26781" xr:uid="{00000000-0005-0000-0000-0000C96B0000}"/>
    <cellStyle name="Normal 2 49 27" xfId="26782" xr:uid="{00000000-0005-0000-0000-0000CA6B0000}"/>
    <cellStyle name="Normal 2 49 28" xfId="26783" xr:uid="{00000000-0005-0000-0000-0000CB6B0000}"/>
    <cellStyle name="Normal 2 49 29" xfId="26784" xr:uid="{00000000-0005-0000-0000-0000CC6B0000}"/>
    <cellStyle name="Normal 2 49 3" xfId="26785" xr:uid="{00000000-0005-0000-0000-0000CD6B0000}"/>
    <cellStyle name="Normal 2 49 3 2" xfId="26786" xr:uid="{00000000-0005-0000-0000-0000CE6B0000}"/>
    <cellStyle name="Normal 2 49 3 3" xfId="26787" xr:uid="{00000000-0005-0000-0000-0000CF6B0000}"/>
    <cellStyle name="Normal 2 49 3 4" xfId="26788" xr:uid="{00000000-0005-0000-0000-0000D06B0000}"/>
    <cellStyle name="Normal 2 49 3 5" xfId="26789" xr:uid="{00000000-0005-0000-0000-0000D16B0000}"/>
    <cellStyle name="Normal 2 49 3 6" xfId="26790" xr:uid="{00000000-0005-0000-0000-0000D26B0000}"/>
    <cellStyle name="Normal 2 49 30" xfId="26791" xr:uid="{00000000-0005-0000-0000-0000D36B0000}"/>
    <cellStyle name="Normal 2 49 31" xfId="26792" xr:uid="{00000000-0005-0000-0000-0000D46B0000}"/>
    <cellStyle name="Normal 2 49 32" xfId="26793" xr:uid="{00000000-0005-0000-0000-0000D56B0000}"/>
    <cellStyle name="Normal 2 49 33" xfId="26794" xr:uid="{00000000-0005-0000-0000-0000D66B0000}"/>
    <cellStyle name="Normal 2 49 34" xfId="26795" xr:uid="{00000000-0005-0000-0000-0000D76B0000}"/>
    <cellStyle name="Normal 2 49 35" xfId="26796" xr:uid="{00000000-0005-0000-0000-0000D86B0000}"/>
    <cellStyle name="Normal 2 49 4" xfId="26797" xr:uid="{00000000-0005-0000-0000-0000D96B0000}"/>
    <cellStyle name="Normal 2 49 4 2" xfId="26798" xr:uid="{00000000-0005-0000-0000-0000DA6B0000}"/>
    <cellStyle name="Normal 2 49 4 3" xfId="26799" xr:uid="{00000000-0005-0000-0000-0000DB6B0000}"/>
    <cellStyle name="Normal 2 49 4 4" xfId="26800" xr:uid="{00000000-0005-0000-0000-0000DC6B0000}"/>
    <cellStyle name="Normal 2 49 4 5" xfId="26801" xr:uid="{00000000-0005-0000-0000-0000DD6B0000}"/>
    <cellStyle name="Normal 2 49 4 6" xfId="26802" xr:uid="{00000000-0005-0000-0000-0000DE6B0000}"/>
    <cellStyle name="Normal 2 49 5" xfId="26803" xr:uid="{00000000-0005-0000-0000-0000DF6B0000}"/>
    <cellStyle name="Normal 2 49 5 2" xfId="26804" xr:uid="{00000000-0005-0000-0000-0000E06B0000}"/>
    <cellStyle name="Normal 2 49 5 3" xfId="26805" xr:uid="{00000000-0005-0000-0000-0000E16B0000}"/>
    <cellStyle name="Normal 2 49 5 4" xfId="26806" xr:uid="{00000000-0005-0000-0000-0000E26B0000}"/>
    <cellStyle name="Normal 2 49 5 5" xfId="26807" xr:uid="{00000000-0005-0000-0000-0000E36B0000}"/>
    <cellStyle name="Normal 2 49 5 6" xfId="26808" xr:uid="{00000000-0005-0000-0000-0000E46B0000}"/>
    <cellStyle name="Normal 2 49 6" xfId="26809" xr:uid="{00000000-0005-0000-0000-0000E56B0000}"/>
    <cellStyle name="Normal 2 49 6 2" xfId="26810" xr:uid="{00000000-0005-0000-0000-0000E66B0000}"/>
    <cellStyle name="Normal 2 49 6 3" xfId="26811" xr:uid="{00000000-0005-0000-0000-0000E76B0000}"/>
    <cellStyle name="Normal 2 49 6 4" xfId="26812" xr:uid="{00000000-0005-0000-0000-0000E86B0000}"/>
    <cellStyle name="Normal 2 49 6 5" xfId="26813" xr:uid="{00000000-0005-0000-0000-0000E96B0000}"/>
    <cellStyle name="Normal 2 49 6 6" xfId="26814" xr:uid="{00000000-0005-0000-0000-0000EA6B0000}"/>
    <cellStyle name="Normal 2 49 7" xfId="26815" xr:uid="{00000000-0005-0000-0000-0000EB6B0000}"/>
    <cellStyle name="Normal 2 49 8" xfId="26816" xr:uid="{00000000-0005-0000-0000-0000EC6B0000}"/>
    <cellStyle name="Normal 2 49 9" xfId="26817" xr:uid="{00000000-0005-0000-0000-0000ED6B0000}"/>
    <cellStyle name="Normal 2 5" xfId="1074" xr:uid="{00000000-0005-0000-0000-0000EE6B0000}"/>
    <cellStyle name="Normal 2 5 10" xfId="26818" xr:uid="{00000000-0005-0000-0000-0000EF6B0000}"/>
    <cellStyle name="Normal 2 5 11" xfId="26819" xr:uid="{00000000-0005-0000-0000-0000F06B0000}"/>
    <cellStyle name="Normal 2 5 12" xfId="26820" xr:uid="{00000000-0005-0000-0000-0000F16B0000}"/>
    <cellStyle name="Normal 2 5 13" xfId="26821" xr:uid="{00000000-0005-0000-0000-0000F26B0000}"/>
    <cellStyle name="Normal 2 5 14" xfId="26822" xr:uid="{00000000-0005-0000-0000-0000F36B0000}"/>
    <cellStyle name="Normal 2 5 2" xfId="26823" xr:uid="{00000000-0005-0000-0000-0000F46B0000}"/>
    <cellStyle name="Normal 2 5 2 2" xfId="26824" xr:uid="{00000000-0005-0000-0000-0000F56B0000}"/>
    <cellStyle name="Normal 2 5 2 3" xfId="26825" xr:uid="{00000000-0005-0000-0000-0000F66B0000}"/>
    <cellStyle name="Normal 2 5 2 4" xfId="26826" xr:uid="{00000000-0005-0000-0000-0000F76B0000}"/>
    <cellStyle name="Normal 2 5 2 5" xfId="26827" xr:uid="{00000000-0005-0000-0000-0000F86B0000}"/>
    <cellStyle name="Normal 2 5 2 6" xfId="26828" xr:uid="{00000000-0005-0000-0000-0000F96B0000}"/>
    <cellStyle name="Normal 2 5 3" xfId="26829" xr:uid="{00000000-0005-0000-0000-0000FA6B0000}"/>
    <cellStyle name="Normal 2 5 3 2" xfId="26830" xr:uid="{00000000-0005-0000-0000-0000FB6B0000}"/>
    <cellStyle name="Normal 2 5 3 3" xfId="26831" xr:uid="{00000000-0005-0000-0000-0000FC6B0000}"/>
    <cellStyle name="Normal 2 5 3 4" xfId="26832" xr:uid="{00000000-0005-0000-0000-0000FD6B0000}"/>
    <cellStyle name="Normal 2 5 3 5" xfId="26833" xr:uid="{00000000-0005-0000-0000-0000FE6B0000}"/>
    <cellStyle name="Normal 2 5 3 6" xfId="26834" xr:uid="{00000000-0005-0000-0000-0000FF6B0000}"/>
    <cellStyle name="Normal 2 5 4" xfId="26835" xr:uid="{00000000-0005-0000-0000-0000006C0000}"/>
    <cellStyle name="Normal 2 5 4 2" xfId="26836" xr:uid="{00000000-0005-0000-0000-0000016C0000}"/>
    <cellStyle name="Normal 2 5 4 3" xfId="26837" xr:uid="{00000000-0005-0000-0000-0000026C0000}"/>
    <cellStyle name="Normal 2 5 4 4" xfId="26838" xr:uid="{00000000-0005-0000-0000-0000036C0000}"/>
    <cellStyle name="Normal 2 5 4 5" xfId="26839" xr:uid="{00000000-0005-0000-0000-0000046C0000}"/>
    <cellStyle name="Normal 2 5 4 6" xfId="26840" xr:uid="{00000000-0005-0000-0000-0000056C0000}"/>
    <cellStyle name="Normal 2 5 5" xfId="26841" xr:uid="{00000000-0005-0000-0000-0000066C0000}"/>
    <cellStyle name="Normal 2 5 5 2" xfId="26842" xr:uid="{00000000-0005-0000-0000-0000076C0000}"/>
    <cellStyle name="Normal 2 5 5 3" xfId="26843" xr:uid="{00000000-0005-0000-0000-0000086C0000}"/>
    <cellStyle name="Normal 2 5 5 4" xfId="26844" xr:uid="{00000000-0005-0000-0000-0000096C0000}"/>
    <cellStyle name="Normal 2 5 5 5" xfId="26845" xr:uid="{00000000-0005-0000-0000-00000A6C0000}"/>
    <cellStyle name="Normal 2 5 5 6" xfId="26846" xr:uid="{00000000-0005-0000-0000-00000B6C0000}"/>
    <cellStyle name="Normal 2 5 6" xfId="26847" xr:uid="{00000000-0005-0000-0000-00000C6C0000}"/>
    <cellStyle name="Normal 2 5 6 2" xfId="26848" xr:uid="{00000000-0005-0000-0000-00000D6C0000}"/>
    <cellStyle name="Normal 2 5 6 3" xfId="26849" xr:uid="{00000000-0005-0000-0000-00000E6C0000}"/>
    <cellStyle name="Normal 2 5 6 4" xfId="26850" xr:uid="{00000000-0005-0000-0000-00000F6C0000}"/>
    <cellStyle name="Normal 2 5 6 5" xfId="26851" xr:uid="{00000000-0005-0000-0000-0000106C0000}"/>
    <cellStyle name="Normal 2 5 6 6" xfId="26852" xr:uid="{00000000-0005-0000-0000-0000116C0000}"/>
    <cellStyle name="Normal 2 5 7" xfId="26853" xr:uid="{00000000-0005-0000-0000-0000126C0000}"/>
    <cellStyle name="Normal 2 5 7 2" xfId="26854" xr:uid="{00000000-0005-0000-0000-0000136C0000}"/>
    <cellStyle name="Normal 2 5 7 3" xfId="26855" xr:uid="{00000000-0005-0000-0000-0000146C0000}"/>
    <cellStyle name="Normal 2 5 7 4" xfId="26856" xr:uid="{00000000-0005-0000-0000-0000156C0000}"/>
    <cellStyle name="Normal 2 5 7 5" xfId="26857" xr:uid="{00000000-0005-0000-0000-0000166C0000}"/>
    <cellStyle name="Normal 2 5 7 6" xfId="26858" xr:uid="{00000000-0005-0000-0000-0000176C0000}"/>
    <cellStyle name="Normal 2 5 8" xfId="26859" xr:uid="{00000000-0005-0000-0000-0000186C0000}"/>
    <cellStyle name="Normal 2 5 8 2" xfId="26860" xr:uid="{00000000-0005-0000-0000-0000196C0000}"/>
    <cellStyle name="Normal 2 5 8 3" xfId="26861" xr:uid="{00000000-0005-0000-0000-00001A6C0000}"/>
    <cellStyle name="Normal 2 5 8 4" xfId="26862" xr:uid="{00000000-0005-0000-0000-00001B6C0000}"/>
    <cellStyle name="Normal 2 5 8 5" xfId="26863" xr:uid="{00000000-0005-0000-0000-00001C6C0000}"/>
    <cellStyle name="Normal 2 5 8 6" xfId="26864" xr:uid="{00000000-0005-0000-0000-00001D6C0000}"/>
    <cellStyle name="Normal 2 5 9" xfId="26865" xr:uid="{00000000-0005-0000-0000-00001E6C0000}"/>
    <cellStyle name="Normal 2 50" xfId="26866" xr:uid="{00000000-0005-0000-0000-00001F6C0000}"/>
    <cellStyle name="Normal 2 50 2" xfId="26867" xr:uid="{00000000-0005-0000-0000-0000206C0000}"/>
    <cellStyle name="Normal 2 50 3" xfId="26868" xr:uid="{00000000-0005-0000-0000-0000216C0000}"/>
    <cellStyle name="Normal 2 50 4" xfId="26869" xr:uid="{00000000-0005-0000-0000-0000226C0000}"/>
    <cellStyle name="Normal 2 50 5" xfId="26870" xr:uid="{00000000-0005-0000-0000-0000236C0000}"/>
    <cellStyle name="Normal 2 50 6" xfId="26871" xr:uid="{00000000-0005-0000-0000-0000246C0000}"/>
    <cellStyle name="Normal 2 50 7" xfId="26872" xr:uid="{00000000-0005-0000-0000-0000256C0000}"/>
    <cellStyle name="Normal 2 51" xfId="26873" xr:uid="{00000000-0005-0000-0000-0000266C0000}"/>
    <cellStyle name="Normal 2 51 2" xfId="26874" xr:uid="{00000000-0005-0000-0000-0000276C0000}"/>
    <cellStyle name="Normal 2 51 3" xfId="26875" xr:uid="{00000000-0005-0000-0000-0000286C0000}"/>
    <cellStyle name="Normal 2 51 4" xfId="26876" xr:uid="{00000000-0005-0000-0000-0000296C0000}"/>
    <cellStyle name="Normal 2 51 5" xfId="26877" xr:uid="{00000000-0005-0000-0000-00002A6C0000}"/>
    <cellStyle name="Normal 2 51 6" xfId="26878" xr:uid="{00000000-0005-0000-0000-00002B6C0000}"/>
    <cellStyle name="Normal 2 51 7" xfId="26879" xr:uid="{00000000-0005-0000-0000-00002C6C0000}"/>
    <cellStyle name="Normal 2 52" xfId="26880" xr:uid="{00000000-0005-0000-0000-00002D6C0000}"/>
    <cellStyle name="Normal 2 52 2" xfId="26881" xr:uid="{00000000-0005-0000-0000-00002E6C0000}"/>
    <cellStyle name="Normal 2 52 3" xfId="26882" xr:uid="{00000000-0005-0000-0000-00002F6C0000}"/>
    <cellStyle name="Normal 2 52 4" xfId="26883" xr:uid="{00000000-0005-0000-0000-0000306C0000}"/>
    <cellStyle name="Normal 2 52 5" xfId="26884" xr:uid="{00000000-0005-0000-0000-0000316C0000}"/>
    <cellStyle name="Normal 2 52 6" xfId="26885" xr:uid="{00000000-0005-0000-0000-0000326C0000}"/>
    <cellStyle name="Normal 2 52 7" xfId="26886" xr:uid="{00000000-0005-0000-0000-0000336C0000}"/>
    <cellStyle name="Normal 2 53" xfId="26887" xr:uid="{00000000-0005-0000-0000-0000346C0000}"/>
    <cellStyle name="Normal 2 53 2" xfId="26888" xr:uid="{00000000-0005-0000-0000-0000356C0000}"/>
    <cellStyle name="Normal 2 53 3" xfId="26889" xr:uid="{00000000-0005-0000-0000-0000366C0000}"/>
    <cellStyle name="Normal 2 53 4" xfId="26890" xr:uid="{00000000-0005-0000-0000-0000376C0000}"/>
    <cellStyle name="Normal 2 53 5" xfId="26891" xr:uid="{00000000-0005-0000-0000-0000386C0000}"/>
    <cellStyle name="Normal 2 53 6" xfId="26892" xr:uid="{00000000-0005-0000-0000-0000396C0000}"/>
    <cellStyle name="Normal 2 53 7" xfId="26893" xr:uid="{00000000-0005-0000-0000-00003A6C0000}"/>
    <cellStyle name="Normal 2 54" xfId="26894" xr:uid="{00000000-0005-0000-0000-00003B6C0000}"/>
    <cellStyle name="Normal 2 54 2" xfId="26895" xr:uid="{00000000-0005-0000-0000-00003C6C0000}"/>
    <cellStyle name="Normal 2 54 3" xfId="26896" xr:uid="{00000000-0005-0000-0000-00003D6C0000}"/>
    <cellStyle name="Normal 2 54 4" xfId="26897" xr:uid="{00000000-0005-0000-0000-00003E6C0000}"/>
    <cellStyle name="Normal 2 54 5" xfId="26898" xr:uid="{00000000-0005-0000-0000-00003F6C0000}"/>
    <cellStyle name="Normal 2 54 6" xfId="26899" xr:uid="{00000000-0005-0000-0000-0000406C0000}"/>
    <cellStyle name="Normal 2 54 7" xfId="26900" xr:uid="{00000000-0005-0000-0000-0000416C0000}"/>
    <cellStyle name="Normal 2 55" xfId="26901" xr:uid="{00000000-0005-0000-0000-0000426C0000}"/>
    <cellStyle name="Normal 2 55 2" xfId="26902" xr:uid="{00000000-0005-0000-0000-0000436C0000}"/>
    <cellStyle name="Normal 2 55 3" xfId="26903" xr:uid="{00000000-0005-0000-0000-0000446C0000}"/>
    <cellStyle name="Normal 2 55 4" xfId="26904" xr:uid="{00000000-0005-0000-0000-0000456C0000}"/>
    <cellStyle name="Normal 2 55 5" xfId="26905" xr:uid="{00000000-0005-0000-0000-0000466C0000}"/>
    <cellStyle name="Normal 2 55 6" xfId="26906" xr:uid="{00000000-0005-0000-0000-0000476C0000}"/>
    <cellStyle name="Normal 2 55 7" xfId="26907" xr:uid="{00000000-0005-0000-0000-0000486C0000}"/>
    <cellStyle name="Normal 2 56" xfId="26908" xr:uid="{00000000-0005-0000-0000-0000496C0000}"/>
    <cellStyle name="Normal 2 56 2" xfId="26909" xr:uid="{00000000-0005-0000-0000-00004A6C0000}"/>
    <cellStyle name="Normal 2 56 3" xfId="26910" xr:uid="{00000000-0005-0000-0000-00004B6C0000}"/>
    <cellStyle name="Normal 2 56 4" xfId="26911" xr:uid="{00000000-0005-0000-0000-00004C6C0000}"/>
    <cellStyle name="Normal 2 56 5" xfId="26912" xr:uid="{00000000-0005-0000-0000-00004D6C0000}"/>
    <cellStyle name="Normal 2 56 6" xfId="26913" xr:uid="{00000000-0005-0000-0000-00004E6C0000}"/>
    <cellStyle name="Normal 2 56 7" xfId="26914" xr:uid="{00000000-0005-0000-0000-00004F6C0000}"/>
    <cellStyle name="Normal 2 57" xfId="26915" xr:uid="{00000000-0005-0000-0000-0000506C0000}"/>
    <cellStyle name="Normal 2 57 2" xfId="26916" xr:uid="{00000000-0005-0000-0000-0000516C0000}"/>
    <cellStyle name="Normal 2 57 3" xfId="26917" xr:uid="{00000000-0005-0000-0000-0000526C0000}"/>
    <cellStyle name="Normal 2 57 4" xfId="26918" xr:uid="{00000000-0005-0000-0000-0000536C0000}"/>
    <cellStyle name="Normal 2 57 5" xfId="26919" xr:uid="{00000000-0005-0000-0000-0000546C0000}"/>
    <cellStyle name="Normal 2 57 6" xfId="26920" xr:uid="{00000000-0005-0000-0000-0000556C0000}"/>
    <cellStyle name="Normal 2 57 7" xfId="26921" xr:uid="{00000000-0005-0000-0000-0000566C0000}"/>
    <cellStyle name="Normal 2 58" xfId="26922" xr:uid="{00000000-0005-0000-0000-0000576C0000}"/>
    <cellStyle name="Normal 2 58 2" xfId="26923" xr:uid="{00000000-0005-0000-0000-0000586C0000}"/>
    <cellStyle name="Normal 2 58 3" xfId="26924" xr:uid="{00000000-0005-0000-0000-0000596C0000}"/>
    <cellStyle name="Normal 2 58 4" xfId="26925" xr:uid="{00000000-0005-0000-0000-00005A6C0000}"/>
    <cellStyle name="Normal 2 58 5" xfId="26926" xr:uid="{00000000-0005-0000-0000-00005B6C0000}"/>
    <cellStyle name="Normal 2 58 6" xfId="26927" xr:uid="{00000000-0005-0000-0000-00005C6C0000}"/>
    <cellStyle name="Normal 2 58 7" xfId="26928" xr:uid="{00000000-0005-0000-0000-00005D6C0000}"/>
    <cellStyle name="Normal 2 59" xfId="26929" xr:uid="{00000000-0005-0000-0000-00005E6C0000}"/>
    <cellStyle name="Normal 2 59 2" xfId="26930" xr:uid="{00000000-0005-0000-0000-00005F6C0000}"/>
    <cellStyle name="Normal 2 59 3" xfId="26931" xr:uid="{00000000-0005-0000-0000-0000606C0000}"/>
    <cellStyle name="Normal 2 59 4" xfId="26932" xr:uid="{00000000-0005-0000-0000-0000616C0000}"/>
    <cellStyle name="Normal 2 59 5" xfId="26933" xr:uid="{00000000-0005-0000-0000-0000626C0000}"/>
    <cellStyle name="Normal 2 59 6" xfId="26934" xr:uid="{00000000-0005-0000-0000-0000636C0000}"/>
    <cellStyle name="Normal 2 59 7" xfId="26935" xr:uid="{00000000-0005-0000-0000-0000646C0000}"/>
    <cellStyle name="Normal 2 6" xfId="1075" xr:uid="{00000000-0005-0000-0000-0000656C0000}"/>
    <cellStyle name="Normal 2 6 10" xfId="26936" xr:uid="{00000000-0005-0000-0000-0000666C0000}"/>
    <cellStyle name="Normal 2 6 11" xfId="26937" xr:uid="{00000000-0005-0000-0000-0000676C0000}"/>
    <cellStyle name="Normal 2 6 12" xfId="26938" xr:uid="{00000000-0005-0000-0000-0000686C0000}"/>
    <cellStyle name="Normal 2 6 13" xfId="26939" xr:uid="{00000000-0005-0000-0000-0000696C0000}"/>
    <cellStyle name="Normal 2 6 14" xfId="26940" xr:uid="{00000000-0005-0000-0000-00006A6C0000}"/>
    <cellStyle name="Normal 2 6 15" xfId="26941" xr:uid="{00000000-0005-0000-0000-00006B6C0000}"/>
    <cellStyle name="Normal 2 6 16" xfId="26942" xr:uid="{00000000-0005-0000-0000-00006C6C0000}"/>
    <cellStyle name="Normal 2 6 17" xfId="26943" xr:uid="{00000000-0005-0000-0000-00006D6C0000}"/>
    <cellStyle name="Normal 2 6 18" xfId="26944" xr:uid="{00000000-0005-0000-0000-00006E6C0000}"/>
    <cellStyle name="Normal 2 6 19" xfId="26945" xr:uid="{00000000-0005-0000-0000-00006F6C0000}"/>
    <cellStyle name="Normal 2 6 2" xfId="26946" xr:uid="{00000000-0005-0000-0000-0000706C0000}"/>
    <cellStyle name="Normal 2 6 2 10" xfId="26947" xr:uid="{00000000-0005-0000-0000-0000716C0000}"/>
    <cellStyle name="Normal 2 6 2 10 2" xfId="26948" xr:uid="{00000000-0005-0000-0000-0000726C0000}"/>
    <cellStyle name="Normal 2 6 2 10 3" xfId="26949" xr:uid="{00000000-0005-0000-0000-0000736C0000}"/>
    <cellStyle name="Normal 2 6 2 10 4" xfId="26950" xr:uid="{00000000-0005-0000-0000-0000746C0000}"/>
    <cellStyle name="Normal 2 6 2 10 5" xfId="26951" xr:uid="{00000000-0005-0000-0000-0000756C0000}"/>
    <cellStyle name="Normal 2 6 2 10 6" xfId="26952" xr:uid="{00000000-0005-0000-0000-0000766C0000}"/>
    <cellStyle name="Normal 2 6 2 11" xfId="26953" xr:uid="{00000000-0005-0000-0000-0000776C0000}"/>
    <cellStyle name="Normal 2 6 2 11 2" xfId="26954" xr:uid="{00000000-0005-0000-0000-0000786C0000}"/>
    <cellStyle name="Normal 2 6 2 11 3" xfId="26955" xr:uid="{00000000-0005-0000-0000-0000796C0000}"/>
    <cellStyle name="Normal 2 6 2 11 4" xfId="26956" xr:uid="{00000000-0005-0000-0000-00007A6C0000}"/>
    <cellStyle name="Normal 2 6 2 11 5" xfId="26957" xr:uid="{00000000-0005-0000-0000-00007B6C0000}"/>
    <cellStyle name="Normal 2 6 2 11 6" xfId="26958" xr:uid="{00000000-0005-0000-0000-00007C6C0000}"/>
    <cellStyle name="Normal 2 6 2 12" xfId="26959" xr:uid="{00000000-0005-0000-0000-00007D6C0000}"/>
    <cellStyle name="Normal 2 6 2 12 2" xfId="26960" xr:uid="{00000000-0005-0000-0000-00007E6C0000}"/>
    <cellStyle name="Normal 2 6 2 12 3" xfId="26961" xr:uid="{00000000-0005-0000-0000-00007F6C0000}"/>
    <cellStyle name="Normal 2 6 2 12 4" xfId="26962" xr:uid="{00000000-0005-0000-0000-0000806C0000}"/>
    <cellStyle name="Normal 2 6 2 12 5" xfId="26963" xr:uid="{00000000-0005-0000-0000-0000816C0000}"/>
    <cellStyle name="Normal 2 6 2 12 6" xfId="26964" xr:uid="{00000000-0005-0000-0000-0000826C0000}"/>
    <cellStyle name="Normal 2 6 2 13" xfId="26965" xr:uid="{00000000-0005-0000-0000-0000836C0000}"/>
    <cellStyle name="Normal 2 6 2 13 2" xfId="26966" xr:uid="{00000000-0005-0000-0000-0000846C0000}"/>
    <cellStyle name="Normal 2 6 2 13 3" xfId="26967" xr:uid="{00000000-0005-0000-0000-0000856C0000}"/>
    <cellStyle name="Normal 2 6 2 13 4" xfId="26968" xr:uid="{00000000-0005-0000-0000-0000866C0000}"/>
    <cellStyle name="Normal 2 6 2 13 5" xfId="26969" xr:uid="{00000000-0005-0000-0000-0000876C0000}"/>
    <cellStyle name="Normal 2 6 2 13 6" xfId="26970" xr:uid="{00000000-0005-0000-0000-0000886C0000}"/>
    <cellStyle name="Normal 2 6 2 14" xfId="26971" xr:uid="{00000000-0005-0000-0000-0000896C0000}"/>
    <cellStyle name="Normal 2 6 2 14 2" xfId="26972" xr:uid="{00000000-0005-0000-0000-00008A6C0000}"/>
    <cellStyle name="Normal 2 6 2 14 3" xfId="26973" xr:uid="{00000000-0005-0000-0000-00008B6C0000}"/>
    <cellStyle name="Normal 2 6 2 14 4" xfId="26974" xr:uid="{00000000-0005-0000-0000-00008C6C0000}"/>
    <cellStyle name="Normal 2 6 2 14 5" xfId="26975" xr:uid="{00000000-0005-0000-0000-00008D6C0000}"/>
    <cellStyle name="Normal 2 6 2 14 6" xfId="26976" xr:uid="{00000000-0005-0000-0000-00008E6C0000}"/>
    <cellStyle name="Normal 2 6 2 15" xfId="26977" xr:uid="{00000000-0005-0000-0000-00008F6C0000}"/>
    <cellStyle name="Normal 2 6 2 15 2" xfId="26978" xr:uid="{00000000-0005-0000-0000-0000906C0000}"/>
    <cellStyle name="Normal 2 6 2 15 3" xfId="26979" xr:uid="{00000000-0005-0000-0000-0000916C0000}"/>
    <cellStyle name="Normal 2 6 2 15 4" xfId="26980" xr:uid="{00000000-0005-0000-0000-0000926C0000}"/>
    <cellStyle name="Normal 2 6 2 15 5" xfId="26981" xr:uid="{00000000-0005-0000-0000-0000936C0000}"/>
    <cellStyle name="Normal 2 6 2 15 6" xfId="26982" xr:uid="{00000000-0005-0000-0000-0000946C0000}"/>
    <cellStyle name="Normal 2 6 2 16" xfId="26983" xr:uid="{00000000-0005-0000-0000-0000956C0000}"/>
    <cellStyle name="Normal 2 6 2 17" xfId="26984" xr:uid="{00000000-0005-0000-0000-0000966C0000}"/>
    <cellStyle name="Normal 2 6 2 18" xfId="26985" xr:uid="{00000000-0005-0000-0000-0000976C0000}"/>
    <cellStyle name="Normal 2 6 2 19" xfId="26986" xr:uid="{00000000-0005-0000-0000-0000986C0000}"/>
    <cellStyle name="Normal 2 6 2 2" xfId="26987" xr:uid="{00000000-0005-0000-0000-0000996C0000}"/>
    <cellStyle name="Normal 2 6 2 2 2" xfId="26988" xr:uid="{00000000-0005-0000-0000-00009A6C0000}"/>
    <cellStyle name="Normal 2 6 2 2 2 2" xfId="26989" xr:uid="{00000000-0005-0000-0000-00009B6C0000}"/>
    <cellStyle name="Normal 2 6 2 2 2 3" xfId="26990" xr:uid="{00000000-0005-0000-0000-00009C6C0000}"/>
    <cellStyle name="Normal 2 6 2 2 2 4" xfId="26991" xr:uid="{00000000-0005-0000-0000-00009D6C0000}"/>
    <cellStyle name="Normal 2 6 2 2 3" xfId="26992" xr:uid="{00000000-0005-0000-0000-00009E6C0000}"/>
    <cellStyle name="Normal 2 6 2 2 4" xfId="26993" xr:uid="{00000000-0005-0000-0000-00009F6C0000}"/>
    <cellStyle name="Normal 2 6 2 2 5" xfId="26994" xr:uid="{00000000-0005-0000-0000-0000A06C0000}"/>
    <cellStyle name="Normal 2 6 2 20" xfId="26995" xr:uid="{00000000-0005-0000-0000-0000A16C0000}"/>
    <cellStyle name="Normal 2 6 2 3" xfId="26996" xr:uid="{00000000-0005-0000-0000-0000A26C0000}"/>
    <cellStyle name="Normal 2 6 2 3 2" xfId="26997" xr:uid="{00000000-0005-0000-0000-0000A36C0000}"/>
    <cellStyle name="Normal 2 6 2 3 3" xfId="26998" xr:uid="{00000000-0005-0000-0000-0000A46C0000}"/>
    <cellStyle name="Normal 2 6 2 3 4" xfId="26999" xr:uid="{00000000-0005-0000-0000-0000A56C0000}"/>
    <cellStyle name="Normal 2 6 2 4" xfId="27000" xr:uid="{00000000-0005-0000-0000-0000A66C0000}"/>
    <cellStyle name="Normal 2 6 2 5" xfId="27001" xr:uid="{00000000-0005-0000-0000-0000A76C0000}"/>
    <cellStyle name="Normal 2 6 2 6" xfId="27002" xr:uid="{00000000-0005-0000-0000-0000A86C0000}"/>
    <cellStyle name="Normal 2 6 2 7" xfId="27003" xr:uid="{00000000-0005-0000-0000-0000A96C0000}"/>
    <cellStyle name="Normal 2 6 2 8" xfId="27004" xr:uid="{00000000-0005-0000-0000-0000AA6C0000}"/>
    <cellStyle name="Normal 2 6 2 9" xfId="27005" xr:uid="{00000000-0005-0000-0000-0000AB6C0000}"/>
    <cellStyle name="Normal 2 6 2 9 2" xfId="27006" xr:uid="{00000000-0005-0000-0000-0000AC6C0000}"/>
    <cellStyle name="Normal 2 6 2 9 3" xfId="27007" xr:uid="{00000000-0005-0000-0000-0000AD6C0000}"/>
    <cellStyle name="Normal 2 6 2 9 4" xfId="27008" xr:uid="{00000000-0005-0000-0000-0000AE6C0000}"/>
    <cellStyle name="Normal 2 6 2 9 5" xfId="27009" xr:uid="{00000000-0005-0000-0000-0000AF6C0000}"/>
    <cellStyle name="Normal 2 6 2 9 6" xfId="27010" xr:uid="{00000000-0005-0000-0000-0000B06C0000}"/>
    <cellStyle name="Normal 2 6 20" xfId="27011" xr:uid="{00000000-0005-0000-0000-0000B16C0000}"/>
    <cellStyle name="Normal 2 6 21" xfId="27012" xr:uid="{00000000-0005-0000-0000-0000B26C0000}"/>
    <cellStyle name="Normal 2 6 22" xfId="27013" xr:uid="{00000000-0005-0000-0000-0000B36C0000}"/>
    <cellStyle name="Normal 2 6 23" xfId="27014" xr:uid="{00000000-0005-0000-0000-0000B46C0000}"/>
    <cellStyle name="Normal 2 6 24" xfId="27015" xr:uid="{00000000-0005-0000-0000-0000B56C0000}"/>
    <cellStyle name="Normal 2 6 25" xfId="27016" xr:uid="{00000000-0005-0000-0000-0000B66C0000}"/>
    <cellStyle name="Normal 2 6 26" xfId="27017" xr:uid="{00000000-0005-0000-0000-0000B76C0000}"/>
    <cellStyle name="Normal 2 6 27" xfId="27018" xr:uid="{00000000-0005-0000-0000-0000B86C0000}"/>
    <cellStyle name="Normal 2 6 28" xfId="27019" xr:uid="{00000000-0005-0000-0000-0000B96C0000}"/>
    <cellStyle name="Normal 2 6 29" xfId="27020" xr:uid="{00000000-0005-0000-0000-0000BA6C0000}"/>
    <cellStyle name="Normal 2 6 3" xfId="27021" xr:uid="{00000000-0005-0000-0000-0000BB6C0000}"/>
    <cellStyle name="Normal 2 6 3 10" xfId="27022" xr:uid="{00000000-0005-0000-0000-0000BC6C0000}"/>
    <cellStyle name="Normal 2 6 3 11" xfId="27023" xr:uid="{00000000-0005-0000-0000-0000BD6C0000}"/>
    <cellStyle name="Normal 2 6 3 12" xfId="27024" xr:uid="{00000000-0005-0000-0000-0000BE6C0000}"/>
    <cellStyle name="Normal 2 6 3 13" xfId="27025" xr:uid="{00000000-0005-0000-0000-0000BF6C0000}"/>
    <cellStyle name="Normal 2 6 3 2" xfId="27026" xr:uid="{00000000-0005-0000-0000-0000C06C0000}"/>
    <cellStyle name="Normal 2 6 3 2 2" xfId="27027" xr:uid="{00000000-0005-0000-0000-0000C16C0000}"/>
    <cellStyle name="Normal 2 6 3 2 3" xfId="27028" xr:uid="{00000000-0005-0000-0000-0000C26C0000}"/>
    <cellStyle name="Normal 2 6 3 2 4" xfId="27029" xr:uid="{00000000-0005-0000-0000-0000C36C0000}"/>
    <cellStyle name="Normal 2 6 3 2 5" xfId="27030" xr:uid="{00000000-0005-0000-0000-0000C46C0000}"/>
    <cellStyle name="Normal 2 6 3 2 6" xfId="27031" xr:uid="{00000000-0005-0000-0000-0000C56C0000}"/>
    <cellStyle name="Normal 2 6 3 3" xfId="27032" xr:uid="{00000000-0005-0000-0000-0000C66C0000}"/>
    <cellStyle name="Normal 2 6 3 3 2" xfId="27033" xr:uid="{00000000-0005-0000-0000-0000C76C0000}"/>
    <cellStyle name="Normal 2 6 3 3 3" xfId="27034" xr:uid="{00000000-0005-0000-0000-0000C86C0000}"/>
    <cellStyle name="Normal 2 6 3 3 4" xfId="27035" xr:uid="{00000000-0005-0000-0000-0000C96C0000}"/>
    <cellStyle name="Normal 2 6 3 3 5" xfId="27036" xr:uid="{00000000-0005-0000-0000-0000CA6C0000}"/>
    <cellStyle name="Normal 2 6 3 3 6" xfId="27037" xr:uid="{00000000-0005-0000-0000-0000CB6C0000}"/>
    <cellStyle name="Normal 2 6 3 4" xfId="27038" xr:uid="{00000000-0005-0000-0000-0000CC6C0000}"/>
    <cellStyle name="Normal 2 6 3 4 2" xfId="27039" xr:uid="{00000000-0005-0000-0000-0000CD6C0000}"/>
    <cellStyle name="Normal 2 6 3 4 3" xfId="27040" xr:uid="{00000000-0005-0000-0000-0000CE6C0000}"/>
    <cellStyle name="Normal 2 6 3 4 4" xfId="27041" xr:uid="{00000000-0005-0000-0000-0000CF6C0000}"/>
    <cellStyle name="Normal 2 6 3 4 5" xfId="27042" xr:uid="{00000000-0005-0000-0000-0000D06C0000}"/>
    <cellStyle name="Normal 2 6 3 4 6" xfId="27043" xr:uid="{00000000-0005-0000-0000-0000D16C0000}"/>
    <cellStyle name="Normal 2 6 3 5" xfId="27044" xr:uid="{00000000-0005-0000-0000-0000D26C0000}"/>
    <cellStyle name="Normal 2 6 3 5 2" xfId="27045" xr:uid="{00000000-0005-0000-0000-0000D36C0000}"/>
    <cellStyle name="Normal 2 6 3 5 3" xfId="27046" xr:uid="{00000000-0005-0000-0000-0000D46C0000}"/>
    <cellStyle name="Normal 2 6 3 5 4" xfId="27047" xr:uid="{00000000-0005-0000-0000-0000D56C0000}"/>
    <cellStyle name="Normal 2 6 3 5 5" xfId="27048" xr:uid="{00000000-0005-0000-0000-0000D66C0000}"/>
    <cellStyle name="Normal 2 6 3 5 6" xfId="27049" xr:uid="{00000000-0005-0000-0000-0000D76C0000}"/>
    <cellStyle name="Normal 2 6 3 6" xfId="27050" xr:uid="{00000000-0005-0000-0000-0000D86C0000}"/>
    <cellStyle name="Normal 2 6 3 6 2" xfId="27051" xr:uid="{00000000-0005-0000-0000-0000D96C0000}"/>
    <cellStyle name="Normal 2 6 3 6 3" xfId="27052" xr:uid="{00000000-0005-0000-0000-0000DA6C0000}"/>
    <cellStyle name="Normal 2 6 3 6 4" xfId="27053" xr:uid="{00000000-0005-0000-0000-0000DB6C0000}"/>
    <cellStyle name="Normal 2 6 3 6 5" xfId="27054" xr:uid="{00000000-0005-0000-0000-0000DC6C0000}"/>
    <cellStyle name="Normal 2 6 3 6 6" xfId="27055" xr:uid="{00000000-0005-0000-0000-0000DD6C0000}"/>
    <cellStyle name="Normal 2 6 3 7" xfId="27056" xr:uid="{00000000-0005-0000-0000-0000DE6C0000}"/>
    <cellStyle name="Normal 2 6 3 7 2" xfId="27057" xr:uid="{00000000-0005-0000-0000-0000DF6C0000}"/>
    <cellStyle name="Normal 2 6 3 7 3" xfId="27058" xr:uid="{00000000-0005-0000-0000-0000E06C0000}"/>
    <cellStyle name="Normal 2 6 3 7 4" xfId="27059" xr:uid="{00000000-0005-0000-0000-0000E16C0000}"/>
    <cellStyle name="Normal 2 6 3 7 5" xfId="27060" xr:uid="{00000000-0005-0000-0000-0000E26C0000}"/>
    <cellStyle name="Normal 2 6 3 7 6" xfId="27061" xr:uid="{00000000-0005-0000-0000-0000E36C0000}"/>
    <cellStyle name="Normal 2 6 3 8" xfId="27062" xr:uid="{00000000-0005-0000-0000-0000E46C0000}"/>
    <cellStyle name="Normal 2 6 3 8 2" xfId="27063" xr:uid="{00000000-0005-0000-0000-0000E56C0000}"/>
    <cellStyle name="Normal 2 6 3 8 3" xfId="27064" xr:uid="{00000000-0005-0000-0000-0000E66C0000}"/>
    <cellStyle name="Normal 2 6 3 8 4" xfId="27065" xr:uid="{00000000-0005-0000-0000-0000E76C0000}"/>
    <cellStyle name="Normal 2 6 3 8 5" xfId="27066" xr:uid="{00000000-0005-0000-0000-0000E86C0000}"/>
    <cellStyle name="Normal 2 6 3 8 6" xfId="27067" xr:uid="{00000000-0005-0000-0000-0000E96C0000}"/>
    <cellStyle name="Normal 2 6 3 9" xfId="27068" xr:uid="{00000000-0005-0000-0000-0000EA6C0000}"/>
    <cellStyle name="Normal 2 6 30" xfId="27069" xr:uid="{00000000-0005-0000-0000-0000EB6C0000}"/>
    <cellStyle name="Normal 2 6 31" xfId="27070" xr:uid="{00000000-0005-0000-0000-0000EC6C0000}"/>
    <cellStyle name="Normal 2 6 32" xfId="27071" xr:uid="{00000000-0005-0000-0000-0000ED6C0000}"/>
    <cellStyle name="Normal 2 6 33" xfId="27072" xr:uid="{00000000-0005-0000-0000-0000EE6C0000}"/>
    <cellStyle name="Normal 2 6 34" xfId="27073" xr:uid="{00000000-0005-0000-0000-0000EF6C0000}"/>
    <cellStyle name="Normal 2 6 35" xfId="27074" xr:uid="{00000000-0005-0000-0000-0000F06C0000}"/>
    <cellStyle name="Normal 2 6 36" xfId="27075" xr:uid="{00000000-0005-0000-0000-0000F16C0000}"/>
    <cellStyle name="Normal 2 6 37" xfId="27076" xr:uid="{00000000-0005-0000-0000-0000F26C0000}"/>
    <cellStyle name="Normal 2 6 38" xfId="27077" xr:uid="{00000000-0005-0000-0000-0000F36C0000}"/>
    <cellStyle name="Normal 2 6 39" xfId="27078" xr:uid="{00000000-0005-0000-0000-0000F46C0000}"/>
    <cellStyle name="Normal 2 6 4" xfId="27079" xr:uid="{00000000-0005-0000-0000-0000F56C0000}"/>
    <cellStyle name="Normal 2 6 4 10" xfId="27080" xr:uid="{00000000-0005-0000-0000-0000F66C0000}"/>
    <cellStyle name="Normal 2 6 4 11" xfId="27081" xr:uid="{00000000-0005-0000-0000-0000F76C0000}"/>
    <cellStyle name="Normal 2 6 4 12" xfId="27082" xr:uid="{00000000-0005-0000-0000-0000F86C0000}"/>
    <cellStyle name="Normal 2 6 4 13" xfId="27083" xr:uid="{00000000-0005-0000-0000-0000F96C0000}"/>
    <cellStyle name="Normal 2 6 4 2" xfId="27084" xr:uid="{00000000-0005-0000-0000-0000FA6C0000}"/>
    <cellStyle name="Normal 2 6 4 2 2" xfId="27085" xr:uid="{00000000-0005-0000-0000-0000FB6C0000}"/>
    <cellStyle name="Normal 2 6 4 2 3" xfId="27086" xr:uid="{00000000-0005-0000-0000-0000FC6C0000}"/>
    <cellStyle name="Normal 2 6 4 2 4" xfId="27087" xr:uid="{00000000-0005-0000-0000-0000FD6C0000}"/>
    <cellStyle name="Normal 2 6 4 2 5" xfId="27088" xr:uid="{00000000-0005-0000-0000-0000FE6C0000}"/>
    <cellStyle name="Normal 2 6 4 2 6" xfId="27089" xr:uid="{00000000-0005-0000-0000-0000FF6C0000}"/>
    <cellStyle name="Normal 2 6 4 3" xfId="27090" xr:uid="{00000000-0005-0000-0000-0000006D0000}"/>
    <cellStyle name="Normal 2 6 4 3 2" xfId="27091" xr:uid="{00000000-0005-0000-0000-0000016D0000}"/>
    <cellStyle name="Normal 2 6 4 3 3" xfId="27092" xr:uid="{00000000-0005-0000-0000-0000026D0000}"/>
    <cellStyle name="Normal 2 6 4 3 4" xfId="27093" xr:uid="{00000000-0005-0000-0000-0000036D0000}"/>
    <cellStyle name="Normal 2 6 4 3 5" xfId="27094" xr:uid="{00000000-0005-0000-0000-0000046D0000}"/>
    <cellStyle name="Normal 2 6 4 3 6" xfId="27095" xr:uid="{00000000-0005-0000-0000-0000056D0000}"/>
    <cellStyle name="Normal 2 6 4 4" xfId="27096" xr:uid="{00000000-0005-0000-0000-0000066D0000}"/>
    <cellStyle name="Normal 2 6 4 4 2" xfId="27097" xr:uid="{00000000-0005-0000-0000-0000076D0000}"/>
    <cellStyle name="Normal 2 6 4 4 3" xfId="27098" xr:uid="{00000000-0005-0000-0000-0000086D0000}"/>
    <cellStyle name="Normal 2 6 4 4 4" xfId="27099" xr:uid="{00000000-0005-0000-0000-0000096D0000}"/>
    <cellStyle name="Normal 2 6 4 4 5" xfId="27100" xr:uid="{00000000-0005-0000-0000-00000A6D0000}"/>
    <cellStyle name="Normal 2 6 4 4 6" xfId="27101" xr:uid="{00000000-0005-0000-0000-00000B6D0000}"/>
    <cellStyle name="Normal 2 6 4 5" xfId="27102" xr:uid="{00000000-0005-0000-0000-00000C6D0000}"/>
    <cellStyle name="Normal 2 6 4 5 2" xfId="27103" xr:uid="{00000000-0005-0000-0000-00000D6D0000}"/>
    <cellStyle name="Normal 2 6 4 5 3" xfId="27104" xr:uid="{00000000-0005-0000-0000-00000E6D0000}"/>
    <cellStyle name="Normal 2 6 4 5 4" xfId="27105" xr:uid="{00000000-0005-0000-0000-00000F6D0000}"/>
    <cellStyle name="Normal 2 6 4 5 5" xfId="27106" xr:uid="{00000000-0005-0000-0000-0000106D0000}"/>
    <cellStyle name="Normal 2 6 4 5 6" xfId="27107" xr:uid="{00000000-0005-0000-0000-0000116D0000}"/>
    <cellStyle name="Normal 2 6 4 6" xfId="27108" xr:uid="{00000000-0005-0000-0000-0000126D0000}"/>
    <cellStyle name="Normal 2 6 4 6 2" xfId="27109" xr:uid="{00000000-0005-0000-0000-0000136D0000}"/>
    <cellStyle name="Normal 2 6 4 6 3" xfId="27110" xr:uid="{00000000-0005-0000-0000-0000146D0000}"/>
    <cellStyle name="Normal 2 6 4 6 4" xfId="27111" xr:uid="{00000000-0005-0000-0000-0000156D0000}"/>
    <cellStyle name="Normal 2 6 4 6 5" xfId="27112" xr:uid="{00000000-0005-0000-0000-0000166D0000}"/>
    <cellStyle name="Normal 2 6 4 6 6" xfId="27113" xr:uid="{00000000-0005-0000-0000-0000176D0000}"/>
    <cellStyle name="Normal 2 6 4 7" xfId="27114" xr:uid="{00000000-0005-0000-0000-0000186D0000}"/>
    <cellStyle name="Normal 2 6 4 7 2" xfId="27115" xr:uid="{00000000-0005-0000-0000-0000196D0000}"/>
    <cellStyle name="Normal 2 6 4 7 3" xfId="27116" xr:uid="{00000000-0005-0000-0000-00001A6D0000}"/>
    <cellStyle name="Normal 2 6 4 7 4" xfId="27117" xr:uid="{00000000-0005-0000-0000-00001B6D0000}"/>
    <cellStyle name="Normal 2 6 4 7 5" xfId="27118" xr:uid="{00000000-0005-0000-0000-00001C6D0000}"/>
    <cellStyle name="Normal 2 6 4 7 6" xfId="27119" xr:uid="{00000000-0005-0000-0000-00001D6D0000}"/>
    <cellStyle name="Normal 2 6 4 8" xfId="27120" xr:uid="{00000000-0005-0000-0000-00001E6D0000}"/>
    <cellStyle name="Normal 2 6 4 8 2" xfId="27121" xr:uid="{00000000-0005-0000-0000-00001F6D0000}"/>
    <cellStyle name="Normal 2 6 4 8 3" xfId="27122" xr:uid="{00000000-0005-0000-0000-0000206D0000}"/>
    <cellStyle name="Normal 2 6 4 8 4" xfId="27123" xr:uid="{00000000-0005-0000-0000-0000216D0000}"/>
    <cellStyle name="Normal 2 6 4 8 5" xfId="27124" xr:uid="{00000000-0005-0000-0000-0000226D0000}"/>
    <cellStyle name="Normal 2 6 4 8 6" xfId="27125" xr:uid="{00000000-0005-0000-0000-0000236D0000}"/>
    <cellStyle name="Normal 2 6 4 9" xfId="27126" xr:uid="{00000000-0005-0000-0000-0000246D0000}"/>
    <cellStyle name="Normal 2 6 40" xfId="27127" xr:uid="{00000000-0005-0000-0000-0000256D0000}"/>
    <cellStyle name="Normal 2 6 41" xfId="27128" xr:uid="{00000000-0005-0000-0000-0000266D0000}"/>
    <cellStyle name="Normal 2 6 42" xfId="27129" xr:uid="{00000000-0005-0000-0000-0000276D0000}"/>
    <cellStyle name="Normal 2 6 43" xfId="27130" xr:uid="{00000000-0005-0000-0000-0000286D0000}"/>
    <cellStyle name="Normal 2 6 44" xfId="27131" xr:uid="{00000000-0005-0000-0000-0000296D0000}"/>
    <cellStyle name="Normal 2 6 45" xfId="27132" xr:uid="{00000000-0005-0000-0000-00002A6D0000}"/>
    <cellStyle name="Normal 2 6 46" xfId="27133" xr:uid="{00000000-0005-0000-0000-00002B6D0000}"/>
    <cellStyle name="Normal 2 6 47" xfId="27134" xr:uid="{00000000-0005-0000-0000-00002C6D0000}"/>
    <cellStyle name="Normal 2 6 48" xfId="27135" xr:uid="{00000000-0005-0000-0000-00002D6D0000}"/>
    <cellStyle name="Normal 2 6 49" xfId="27136" xr:uid="{00000000-0005-0000-0000-00002E6D0000}"/>
    <cellStyle name="Normal 2 6 5" xfId="27137" xr:uid="{00000000-0005-0000-0000-00002F6D0000}"/>
    <cellStyle name="Normal 2 6 5 10" xfId="27138" xr:uid="{00000000-0005-0000-0000-0000306D0000}"/>
    <cellStyle name="Normal 2 6 5 11" xfId="27139" xr:uid="{00000000-0005-0000-0000-0000316D0000}"/>
    <cellStyle name="Normal 2 6 5 12" xfId="27140" xr:uid="{00000000-0005-0000-0000-0000326D0000}"/>
    <cellStyle name="Normal 2 6 5 13" xfId="27141" xr:uid="{00000000-0005-0000-0000-0000336D0000}"/>
    <cellStyle name="Normal 2 6 5 2" xfId="27142" xr:uid="{00000000-0005-0000-0000-0000346D0000}"/>
    <cellStyle name="Normal 2 6 5 2 2" xfId="27143" xr:uid="{00000000-0005-0000-0000-0000356D0000}"/>
    <cellStyle name="Normal 2 6 5 2 3" xfId="27144" xr:uid="{00000000-0005-0000-0000-0000366D0000}"/>
    <cellStyle name="Normal 2 6 5 2 4" xfId="27145" xr:uid="{00000000-0005-0000-0000-0000376D0000}"/>
    <cellStyle name="Normal 2 6 5 2 5" xfId="27146" xr:uid="{00000000-0005-0000-0000-0000386D0000}"/>
    <cellStyle name="Normal 2 6 5 2 6" xfId="27147" xr:uid="{00000000-0005-0000-0000-0000396D0000}"/>
    <cellStyle name="Normal 2 6 5 3" xfId="27148" xr:uid="{00000000-0005-0000-0000-00003A6D0000}"/>
    <cellStyle name="Normal 2 6 5 3 2" xfId="27149" xr:uid="{00000000-0005-0000-0000-00003B6D0000}"/>
    <cellStyle name="Normal 2 6 5 3 3" xfId="27150" xr:uid="{00000000-0005-0000-0000-00003C6D0000}"/>
    <cellStyle name="Normal 2 6 5 3 4" xfId="27151" xr:uid="{00000000-0005-0000-0000-00003D6D0000}"/>
    <cellStyle name="Normal 2 6 5 3 5" xfId="27152" xr:uid="{00000000-0005-0000-0000-00003E6D0000}"/>
    <cellStyle name="Normal 2 6 5 3 6" xfId="27153" xr:uid="{00000000-0005-0000-0000-00003F6D0000}"/>
    <cellStyle name="Normal 2 6 5 4" xfId="27154" xr:uid="{00000000-0005-0000-0000-0000406D0000}"/>
    <cellStyle name="Normal 2 6 5 4 2" xfId="27155" xr:uid="{00000000-0005-0000-0000-0000416D0000}"/>
    <cellStyle name="Normal 2 6 5 4 3" xfId="27156" xr:uid="{00000000-0005-0000-0000-0000426D0000}"/>
    <cellStyle name="Normal 2 6 5 4 4" xfId="27157" xr:uid="{00000000-0005-0000-0000-0000436D0000}"/>
    <cellStyle name="Normal 2 6 5 4 5" xfId="27158" xr:uid="{00000000-0005-0000-0000-0000446D0000}"/>
    <cellStyle name="Normal 2 6 5 4 6" xfId="27159" xr:uid="{00000000-0005-0000-0000-0000456D0000}"/>
    <cellStyle name="Normal 2 6 5 5" xfId="27160" xr:uid="{00000000-0005-0000-0000-0000466D0000}"/>
    <cellStyle name="Normal 2 6 5 5 2" xfId="27161" xr:uid="{00000000-0005-0000-0000-0000476D0000}"/>
    <cellStyle name="Normal 2 6 5 5 3" xfId="27162" xr:uid="{00000000-0005-0000-0000-0000486D0000}"/>
    <cellStyle name="Normal 2 6 5 5 4" xfId="27163" xr:uid="{00000000-0005-0000-0000-0000496D0000}"/>
    <cellStyle name="Normal 2 6 5 5 5" xfId="27164" xr:uid="{00000000-0005-0000-0000-00004A6D0000}"/>
    <cellStyle name="Normal 2 6 5 5 6" xfId="27165" xr:uid="{00000000-0005-0000-0000-00004B6D0000}"/>
    <cellStyle name="Normal 2 6 5 6" xfId="27166" xr:uid="{00000000-0005-0000-0000-00004C6D0000}"/>
    <cellStyle name="Normal 2 6 5 6 2" xfId="27167" xr:uid="{00000000-0005-0000-0000-00004D6D0000}"/>
    <cellStyle name="Normal 2 6 5 6 3" xfId="27168" xr:uid="{00000000-0005-0000-0000-00004E6D0000}"/>
    <cellStyle name="Normal 2 6 5 6 4" xfId="27169" xr:uid="{00000000-0005-0000-0000-00004F6D0000}"/>
    <cellStyle name="Normal 2 6 5 6 5" xfId="27170" xr:uid="{00000000-0005-0000-0000-0000506D0000}"/>
    <cellStyle name="Normal 2 6 5 6 6" xfId="27171" xr:uid="{00000000-0005-0000-0000-0000516D0000}"/>
    <cellStyle name="Normal 2 6 5 7" xfId="27172" xr:uid="{00000000-0005-0000-0000-0000526D0000}"/>
    <cellStyle name="Normal 2 6 5 7 2" xfId="27173" xr:uid="{00000000-0005-0000-0000-0000536D0000}"/>
    <cellStyle name="Normal 2 6 5 7 3" xfId="27174" xr:uid="{00000000-0005-0000-0000-0000546D0000}"/>
    <cellStyle name="Normal 2 6 5 7 4" xfId="27175" xr:uid="{00000000-0005-0000-0000-0000556D0000}"/>
    <cellStyle name="Normal 2 6 5 7 5" xfId="27176" xr:uid="{00000000-0005-0000-0000-0000566D0000}"/>
    <cellStyle name="Normal 2 6 5 7 6" xfId="27177" xr:uid="{00000000-0005-0000-0000-0000576D0000}"/>
    <cellStyle name="Normal 2 6 5 8" xfId="27178" xr:uid="{00000000-0005-0000-0000-0000586D0000}"/>
    <cellStyle name="Normal 2 6 5 8 2" xfId="27179" xr:uid="{00000000-0005-0000-0000-0000596D0000}"/>
    <cellStyle name="Normal 2 6 5 8 3" xfId="27180" xr:uid="{00000000-0005-0000-0000-00005A6D0000}"/>
    <cellStyle name="Normal 2 6 5 8 4" xfId="27181" xr:uid="{00000000-0005-0000-0000-00005B6D0000}"/>
    <cellStyle name="Normal 2 6 5 8 5" xfId="27182" xr:uid="{00000000-0005-0000-0000-00005C6D0000}"/>
    <cellStyle name="Normal 2 6 5 8 6" xfId="27183" xr:uid="{00000000-0005-0000-0000-00005D6D0000}"/>
    <cellStyle name="Normal 2 6 5 9" xfId="27184" xr:uid="{00000000-0005-0000-0000-00005E6D0000}"/>
    <cellStyle name="Normal 2 6 50" xfId="27185" xr:uid="{00000000-0005-0000-0000-00005F6D0000}"/>
    <cellStyle name="Normal 2 6 51" xfId="27186" xr:uid="{00000000-0005-0000-0000-0000606D0000}"/>
    <cellStyle name="Normal 2 6 52" xfId="27187" xr:uid="{00000000-0005-0000-0000-0000616D0000}"/>
    <cellStyle name="Normal 2 6 53" xfId="27188" xr:uid="{00000000-0005-0000-0000-0000626D0000}"/>
    <cellStyle name="Normal 2 6 6" xfId="27189" xr:uid="{00000000-0005-0000-0000-0000636D0000}"/>
    <cellStyle name="Normal 2 6 6 10" xfId="27190" xr:uid="{00000000-0005-0000-0000-0000646D0000}"/>
    <cellStyle name="Normal 2 6 6 11" xfId="27191" xr:uid="{00000000-0005-0000-0000-0000656D0000}"/>
    <cellStyle name="Normal 2 6 6 12" xfId="27192" xr:uid="{00000000-0005-0000-0000-0000666D0000}"/>
    <cellStyle name="Normal 2 6 6 13" xfId="27193" xr:uid="{00000000-0005-0000-0000-0000676D0000}"/>
    <cellStyle name="Normal 2 6 6 2" xfId="27194" xr:uid="{00000000-0005-0000-0000-0000686D0000}"/>
    <cellStyle name="Normal 2 6 6 2 2" xfId="27195" xr:uid="{00000000-0005-0000-0000-0000696D0000}"/>
    <cellStyle name="Normal 2 6 6 2 3" xfId="27196" xr:uid="{00000000-0005-0000-0000-00006A6D0000}"/>
    <cellStyle name="Normal 2 6 6 2 4" xfId="27197" xr:uid="{00000000-0005-0000-0000-00006B6D0000}"/>
    <cellStyle name="Normal 2 6 6 2 5" xfId="27198" xr:uid="{00000000-0005-0000-0000-00006C6D0000}"/>
    <cellStyle name="Normal 2 6 6 2 6" xfId="27199" xr:uid="{00000000-0005-0000-0000-00006D6D0000}"/>
    <cellStyle name="Normal 2 6 6 3" xfId="27200" xr:uid="{00000000-0005-0000-0000-00006E6D0000}"/>
    <cellStyle name="Normal 2 6 6 3 2" xfId="27201" xr:uid="{00000000-0005-0000-0000-00006F6D0000}"/>
    <cellStyle name="Normal 2 6 6 3 3" xfId="27202" xr:uid="{00000000-0005-0000-0000-0000706D0000}"/>
    <cellStyle name="Normal 2 6 6 3 4" xfId="27203" xr:uid="{00000000-0005-0000-0000-0000716D0000}"/>
    <cellStyle name="Normal 2 6 6 3 5" xfId="27204" xr:uid="{00000000-0005-0000-0000-0000726D0000}"/>
    <cellStyle name="Normal 2 6 6 3 6" xfId="27205" xr:uid="{00000000-0005-0000-0000-0000736D0000}"/>
    <cellStyle name="Normal 2 6 6 4" xfId="27206" xr:uid="{00000000-0005-0000-0000-0000746D0000}"/>
    <cellStyle name="Normal 2 6 6 4 2" xfId="27207" xr:uid="{00000000-0005-0000-0000-0000756D0000}"/>
    <cellStyle name="Normal 2 6 6 4 3" xfId="27208" xr:uid="{00000000-0005-0000-0000-0000766D0000}"/>
    <cellStyle name="Normal 2 6 6 4 4" xfId="27209" xr:uid="{00000000-0005-0000-0000-0000776D0000}"/>
    <cellStyle name="Normal 2 6 6 4 5" xfId="27210" xr:uid="{00000000-0005-0000-0000-0000786D0000}"/>
    <cellStyle name="Normal 2 6 6 4 6" xfId="27211" xr:uid="{00000000-0005-0000-0000-0000796D0000}"/>
    <cellStyle name="Normal 2 6 6 5" xfId="27212" xr:uid="{00000000-0005-0000-0000-00007A6D0000}"/>
    <cellStyle name="Normal 2 6 6 5 2" xfId="27213" xr:uid="{00000000-0005-0000-0000-00007B6D0000}"/>
    <cellStyle name="Normal 2 6 6 5 3" xfId="27214" xr:uid="{00000000-0005-0000-0000-00007C6D0000}"/>
    <cellStyle name="Normal 2 6 6 5 4" xfId="27215" xr:uid="{00000000-0005-0000-0000-00007D6D0000}"/>
    <cellStyle name="Normal 2 6 6 5 5" xfId="27216" xr:uid="{00000000-0005-0000-0000-00007E6D0000}"/>
    <cellStyle name="Normal 2 6 6 5 6" xfId="27217" xr:uid="{00000000-0005-0000-0000-00007F6D0000}"/>
    <cellStyle name="Normal 2 6 6 6" xfId="27218" xr:uid="{00000000-0005-0000-0000-0000806D0000}"/>
    <cellStyle name="Normal 2 6 6 6 2" xfId="27219" xr:uid="{00000000-0005-0000-0000-0000816D0000}"/>
    <cellStyle name="Normal 2 6 6 6 3" xfId="27220" xr:uid="{00000000-0005-0000-0000-0000826D0000}"/>
    <cellStyle name="Normal 2 6 6 6 4" xfId="27221" xr:uid="{00000000-0005-0000-0000-0000836D0000}"/>
    <cellStyle name="Normal 2 6 6 6 5" xfId="27222" xr:uid="{00000000-0005-0000-0000-0000846D0000}"/>
    <cellStyle name="Normal 2 6 6 6 6" xfId="27223" xr:uid="{00000000-0005-0000-0000-0000856D0000}"/>
    <cellStyle name="Normal 2 6 6 7" xfId="27224" xr:uid="{00000000-0005-0000-0000-0000866D0000}"/>
    <cellStyle name="Normal 2 6 6 7 2" xfId="27225" xr:uid="{00000000-0005-0000-0000-0000876D0000}"/>
    <cellStyle name="Normal 2 6 6 7 3" xfId="27226" xr:uid="{00000000-0005-0000-0000-0000886D0000}"/>
    <cellStyle name="Normal 2 6 6 7 4" xfId="27227" xr:uid="{00000000-0005-0000-0000-0000896D0000}"/>
    <cellStyle name="Normal 2 6 6 7 5" xfId="27228" xr:uid="{00000000-0005-0000-0000-00008A6D0000}"/>
    <cellStyle name="Normal 2 6 6 7 6" xfId="27229" xr:uid="{00000000-0005-0000-0000-00008B6D0000}"/>
    <cellStyle name="Normal 2 6 6 8" xfId="27230" xr:uid="{00000000-0005-0000-0000-00008C6D0000}"/>
    <cellStyle name="Normal 2 6 6 8 2" xfId="27231" xr:uid="{00000000-0005-0000-0000-00008D6D0000}"/>
    <cellStyle name="Normal 2 6 6 8 3" xfId="27232" xr:uid="{00000000-0005-0000-0000-00008E6D0000}"/>
    <cellStyle name="Normal 2 6 6 8 4" xfId="27233" xr:uid="{00000000-0005-0000-0000-00008F6D0000}"/>
    <cellStyle name="Normal 2 6 6 8 5" xfId="27234" xr:uid="{00000000-0005-0000-0000-0000906D0000}"/>
    <cellStyle name="Normal 2 6 6 8 6" xfId="27235" xr:uid="{00000000-0005-0000-0000-0000916D0000}"/>
    <cellStyle name="Normal 2 6 6 9" xfId="27236" xr:uid="{00000000-0005-0000-0000-0000926D0000}"/>
    <cellStyle name="Normal 2 6 7" xfId="27237" xr:uid="{00000000-0005-0000-0000-0000936D0000}"/>
    <cellStyle name="Normal 2 6 7 10" xfId="27238" xr:uid="{00000000-0005-0000-0000-0000946D0000}"/>
    <cellStyle name="Normal 2 6 7 11" xfId="27239" xr:uid="{00000000-0005-0000-0000-0000956D0000}"/>
    <cellStyle name="Normal 2 6 7 12" xfId="27240" xr:uid="{00000000-0005-0000-0000-0000966D0000}"/>
    <cellStyle name="Normal 2 6 7 13" xfId="27241" xr:uid="{00000000-0005-0000-0000-0000976D0000}"/>
    <cellStyle name="Normal 2 6 7 2" xfId="27242" xr:uid="{00000000-0005-0000-0000-0000986D0000}"/>
    <cellStyle name="Normal 2 6 7 2 2" xfId="27243" xr:uid="{00000000-0005-0000-0000-0000996D0000}"/>
    <cellStyle name="Normal 2 6 7 2 3" xfId="27244" xr:uid="{00000000-0005-0000-0000-00009A6D0000}"/>
    <cellStyle name="Normal 2 6 7 2 4" xfId="27245" xr:uid="{00000000-0005-0000-0000-00009B6D0000}"/>
    <cellStyle name="Normal 2 6 7 2 5" xfId="27246" xr:uid="{00000000-0005-0000-0000-00009C6D0000}"/>
    <cellStyle name="Normal 2 6 7 2 6" xfId="27247" xr:uid="{00000000-0005-0000-0000-00009D6D0000}"/>
    <cellStyle name="Normal 2 6 7 3" xfId="27248" xr:uid="{00000000-0005-0000-0000-00009E6D0000}"/>
    <cellStyle name="Normal 2 6 7 3 2" xfId="27249" xr:uid="{00000000-0005-0000-0000-00009F6D0000}"/>
    <cellStyle name="Normal 2 6 7 3 3" xfId="27250" xr:uid="{00000000-0005-0000-0000-0000A06D0000}"/>
    <cellStyle name="Normal 2 6 7 3 4" xfId="27251" xr:uid="{00000000-0005-0000-0000-0000A16D0000}"/>
    <cellStyle name="Normal 2 6 7 3 5" xfId="27252" xr:uid="{00000000-0005-0000-0000-0000A26D0000}"/>
    <cellStyle name="Normal 2 6 7 3 6" xfId="27253" xr:uid="{00000000-0005-0000-0000-0000A36D0000}"/>
    <cellStyle name="Normal 2 6 7 4" xfId="27254" xr:uid="{00000000-0005-0000-0000-0000A46D0000}"/>
    <cellStyle name="Normal 2 6 7 4 2" xfId="27255" xr:uid="{00000000-0005-0000-0000-0000A56D0000}"/>
    <cellStyle name="Normal 2 6 7 4 3" xfId="27256" xr:uid="{00000000-0005-0000-0000-0000A66D0000}"/>
    <cellStyle name="Normal 2 6 7 4 4" xfId="27257" xr:uid="{00000000-0005-0000-0000-0000A76D0000}"/>
    <cellStyle name="Normal 2 6 7 4 5" xfId="27258" xr:uid="{00000000-0005-0000-0000-0000A86D0000}"/>
    <cellStyle name="Normal 2 6 7 4 6" xfId="27259" xr:uid="{00000000-0005-0000-0000-0000A96D0000}"/>
    <cellStyle name="Normal 2 6 7 5" xfId="27260" xr:uid="{00000000-0005-0000-0000-0000AA6D0000}"/>
    <cellStyle name="Normal 2 6 7 5 2" xfId="27261" xr:uid="{00000000-0005-0000-0000-0000AB6D0000}"/>
    <cellStyle name="Normal 2 6 7 5 3" xfId="27262" xr:uid="{00000000-0005-0000-0000-0000AC6D0000}"/>
    <cellStyle name="Normal 2 6 7 5 4" xfId="27263" xr:uid="{00000000-0005-0000-0000-0000AD6D0000}"/>
    <cellStyle name="Normal 2 6 7 5 5" xfId="27264" xr:uid="{00000000-0005-0000-0000-0000AE6D0000}"/>
    <cellStyle name="Normal 2 6 7 5 6" xfId="27265" xr:uid="{00000000-0005-0000-0000-0000AF6D0000}"/>
    <cellStyle name="Normal 2 6 7 6" xfId="27266" xr:uid="{00000000-0005-0000-0000-0000B06D0000}"/>
    <cellStyle name="Normal 2 6 7 6 2" xfId="27267" xr:uid="{00000000-0005-0000-0000-0000B16D0000}"/>
    <cellStyle name="Normal 2 6 7 6 3" xfId="27268" xr:uid="{00000000-0005-0000-0000-0000B26D0000}"/>
    <cellStyle name="Normal 2 6 7 6 4" xfId="27269" xr:uid="{00000000-0005-0000-0000-0000B36D0000}"/>
    <cellStyle name="Normal 2 6 7 6 5" xfId="27270" xr:uid="{00000000-0005-0000-0000-0000B46D0000}"/>
    <cellStyle name="Normal 2 6 7 6 6" xfId="27271" xr:uid="{00000000-0005-0000-0000-0000B56D0000}"/>
    <cellStyle name="Normal 2 6 7 7" xfId="27272" xr:uid="{00000000-0005-0000-0000-0000B66D0000}"/>
    <cellStyle name="Normal 2 6 7 7 2" xfId="27273" xr:uid="{00000000-0005-0000-0000-0000B76D0000}"/>
    <cellStyle name="Normal 2 6 7 7 3" xfId="27274" xr:uid="{00000000-0005-0000-0000-0000B86D0000}"/>
    <cellStyle name="Normal 2 6 7 7 4" xfId="27275" xr:uid="{00000000-0005-0000-0000-0000B96D0000}"/>
    <cellStyle name="Normal 2 6 7 7 5" xfId="27276" xr:uid="{00000000-0005-0000-0000-0000BA6D0000}"/>
    <cellStyle name="Normal 2 6 7 7 6" xfId="27277" xr:uid="{00000000-0005-0000-0000-0000BB6D0000}"/>
    <cellStyle name="Normal 2 6 7 8" xfId="27278" xr:uid="{00000000-0005-0000-0000-0000BC6D0000}"/>
    <cellStyle name="Normal 2 6 7 8 2" xfId="27279" xr:uid="{00000000-0005-0000-0000-0000BD6D0000}"/>
    <cellStyle name="Normal 2 6 7 8 3" xfId="27280" xr:uid="{00000000-0005-0000-0000-0000BE6D0000}"/>
    <cellStyle name="Normal 2 6 7 8 4" xfId="27281" xr:uid="{00000000-0005-0000-0000-0000BF6D0000}"/>
    <cellStyle name="Normal 2 6 7 8 5" xfId="27282" xr:uid="{00000000-0005-0000-0000-0000C06D0000}"/>
    <cellStyle name="Normal 2 6 7 8 6" xfId="27283" xr:uid="{00000000-0005-0000-0000-0000C16D0000}"/>
    <cellStyle name="Normal 2 6 7 9" xfId="27284" xr:uid="{00000000-0005-0000-0000-0000C26D0000}"/>
    <cellStyle name="Normal 2 6 8" xfId="27285" xr:uid="{00000000-0005-0000-0000-0000C36D0000}"/>
    <cellStyle name="Normal 2 6 8 10" xfId="27286" xr:uid="{00000000-0005-0000-0000-0000C46D0000}"/>
    <cellStyle name="Normal 2 6 8 11" xfId="27287" xr:uid="{00000000-0005-0000-0000-0000C56D0000}"/>
    <cellStyle name="Normal 2 6 8 12" xfId="27288" xr:uid="{00000000-0005-0000-0000-0000C66D0000}"/>
    <cellStyle name="Normal 2 6 8 13" xfId="27289" xr:uid="{00000000-0005-0000-0000-0000C76D0000}"/>
    <cellStyle name="Normal 2 6 8 2" xfId="27290" xr:uid="{00000000-0005-0000-0000-0000C86D0000}"/>
    <cellStyle name="Normal 2 6 8 2 2" xfId="27291" xr:uid="{00000000-0005-0000-0000-0000C96D0000}"/>
    <cellStyle name="Normal 2 6 8 2 3" xfId="27292" xr:uid="{00000000-0005-0000-0000-0000CA6D0000}"/>
    <cellStyle name="Normal 2 6 8 2 4" xfId="27293" xr:uid="{00000000-0005-0000-0000-0000CB6D0000}"/>
    <cellStyle name="Normal 2 6 8 2 5" xfId="27294" xr:uid="{00000000-0005-0000-0000-0000CC6D0000}"/>
    <cellStyle name="Normal 2 6 8 2 6" xfId="27295" xr:uid="{00000000-0005-0000-0000-0000CD6D0000}"/>
    <cellStyle name="Normal 2 6 8 3" xfId="27296" xr:uid="{00000000-0005-0000-0000-0000CE6D0000}"/>
    <cellStyle name="Normal 2 6 8 3 2" xfId="27297" xr:uid="{00000000-0005-0000-0000-0000CF6D0000}"/>
    <cellStyle name="Normal 2 6 8 3 3" xfId="27298" xr:uid="{00000000-0005-0000-0000-0000D06D0000}"/>
    <cellStyle name="Normal 2 6 8 3 4" xfId="27299" xr:uid="{00000000-0005-0000-0000-0000D16D0000}"/>
    <cellStyle name="Normal 2 6 8 3 5" xfId="27300" xr:uid="{00000000-0005-0000-0000-0000D26D0000}"/>
    <cellStyle name="Normal 2 6 8 3 6" xfId="27301" xr:uid="{00000000-0005-0000-0000-0000D36D0000}"/>
    <cellStyle name="Normal 2 6 8 4" xfId="27302" xr:uid="{00000000-0005-0000-0000-0000D46D0000}"/>
    <cellStyle name="Normal 2 6 8 4 2" xfId="27303" xr:uid="{00000000-0005-0000-0000-0000D56D0000}"/>
    <cellStyle name="Normal 2 6 8 4 3" xfId="27304" xr:uid="{00000000-0005-0000-0000-0000D66D0000}"/>
    <cellStyle name="Normal 2 6 8 4 4" xfId="27305" xr:uid="{00000000-0005-0000-0000-0000D76D0000}"/>
    <cellStyle name="Normal 2 6 8 4 5" xfId="27306" xr:uid="{00000000-0005-0000-0000-0000D86D0000}"/>
    <cellStyle name="Normal 2 6 8 4 6" xfId="27307" xr:uid="{00000000-0005-0000-0000-0000D96D0000}"/>
    <cellStyle name="Normal 2 6 8 5" xfId="27308" xr:uid="{00000000-0005-0000-0000-0000DA6D0000}"/>
    <cellStyle name="Normal 2 6 8 5 2" xfId="27309" xr:uid="{00000000-0005-0000-0000-0000DB6D0000}"/>
    <cellStyle name="Normal 2 6 8 5 3" xfId="27310" xr:uid="{00000000-0005-0000-0000-0000DC6D0000}"/>
    <cellStyle name="Normal 2 6 8 5 4" xfId="27311" xr:uid="{00000000-0005-0000-0000-0000DD6D0000}"/>
    <cellStyle name="Normal 2 6 8 5 5" xfId="27312" xr:uid="{00000000-0005-0000-0000-0000DE6D0000}"/>
    <cellStyle name="Normal 2 6 8 5 6" xfId="27313" xr:uid="{00000000-0005-0000-0000-0000DF6D0000}"/>
    <cellStyle name="Normal 2 6 8 6" xfId="27314" xr:uid="{00000000-0005-0000-0000-0000E06D0000}"/>
    <cellStyle name="Normal 2 6 8 6 2" xfId="27315" xr:uid="{00000000-0005-0000-0000-0000E16D0000}"/>
    <cellStyle name="Normal 2 6 8 6 3" xfId="27316" xr:uid="{00000000-0005-0000-0000-0000E26D0000}"/>
    <cellStyle name="Normal 2 6 8 6 4" xfId="27317" xr:uid="{00000000-0005-0000-0000-0000E36D0000}"/>
    <cellStyle name="Normal 2 6 8 6 5" xfId="27318" xr:uid="{00000000-0005-0000-0000-0000E46D0000}"/>
    <cellStyle name="Normal 2 6 8 6 6" xfId="27319" xr:uid="{00000000-0005-0000-0000-0000E56D0000}"/>
    <cellStyle name="Normal 2 6 8 7" xfId="27320" xr:uid="{00000000-0005-0000-0000-0000E66D0000}"/>
    <cellStyle name="Normal 2 6 8 7 2" xfId="27321" xr:uid="{00000000-0005-0000-0000-0000E76D0000}"/>
    <cellStyle name="Normal 2 6 8 7 3" xfId="27322" xr:uid="{00000000-0005-0000-0000-0000E86D0000}"/>
    <cellStyle name="Normal 2 6 8 7 4" xfId="27323" xr:uid="{00000000-0005-0000-0000-0000E96D0000}"/>
    <cellStyle name="Normal 2 6 8 7 5" xfId="27324" xr:uid="{00000000-0005-0000-0000-0000EA6D0000}"/>
    <cellStyle name="Normal 2 6 8 7 6" xfId="27325" xr:uid="{00000000-0005-0000-0000-0000EB6D0000}"/>
    <cellStyle name="Normal 2 6 8 8" xfId="27326" xr:uid="{00000000-0005-0000-0000-0000EC6D0000}"/>
    <cellStyle name="Normal 2 6 8 8 2" xfId="27327" xr:uid="{00000000-0005-0000-0000-0000ED6D0000}"/>
    <cellStyle name="Normal 2 6 8 8 3" xfId="27328" xr:uid="{00000000-0005-0000-0000-0000EE6D0000}"/>
    <cellStyle name="Normal 2 6 8 8 4" xfId="27329" xr:uid="{00000000-0005-0000-0000-0000EF6D0000}"/>
    <cellStyle name="Normal 2 6 8 8 5" xfId="27330" xr:uid="{00000000-0005-0000-0000-0000F06D0000}"/>
    <cellStyle name="Normal 2 6 8 8 6" xfId="27331" xr:uid="{00000000-0005-0000-0000-0000F16D0000}"/>
    <cellStyle name="Normal 2 6 8 9" xfId="27332" xr:uid="{00000000-0005-0000-0000-0000F26D0000}"/>
    <cellStyle name="Normal 2 6 9" xfId="27333" xr:uid="{00000000-0005-0000-0000-0000F36D0000}"/>
    <cellStyle name="Normal 2 60" xfId="27334" xr:uid="{00000000-0005-0000-0000-0000F46D0000}"/>
    <cellStyle name="Normal 2 60 2" xfId="27335" xr:uid="{00000000-0005-0000-0000-0000F56D0000}"/>
    <cellStyle name="Normal 2 60 3" xfId="27336" xr:uid="{00000000-0005-0000-0000-0000F66D0000}"/>
    <cellStyle name="Normal 2 60 4" xfId="27337" xr:uid="{00000000-0005-0000-0000-0000F76D0000}"/>
    <cellStyle name="Normal 2 60 5" xfId="27338" xr:uid="{00000000-0005-0000-0000-0000F86D0000}"/>
    <cellStyle name="Normal 2 60 6" xfId="27339" xr:uid="{00000000-0005-0000-0000-0000F96D0000}"/>
    <cellStyle name="Normal 2 60 7" xfId="27340" xr:uid="{00000000-0005-0000-0000-0000FA6D0000}"/>
    <cellStyle name="Normal 2 61" xfId="27341" xr:uid="{00000000-0005-0000-0000-0000FB6D0000}"/>
    <cellStyle name="Normal 2 61 2" xfId="27342" xr:uid="{00000000-0005-0000-0000-0000FC6D0000}"/>
    <cellStyle name="Normal 2 61 3" xfId="27343" xr:uid="{00000000-0005-0000-0000-0000FD6D0000}"/>
    <cellStyle name="Normal 2 61 4" xfId="27344" xr:uid="{00000000-0005-0000-0000-0000FE6D0000}"/>
    <cellStyle name="Normal 2 61 5" xfId="27345" xr:uid="{00000000-0005-0000-0000-0000FF6D0000}"/>
    <cellStyle name="Normal 2 61 6" xfId="27346" xr:uid="{00000000-0005-0000-0000-0000006E0000}"/>
    <cellStyle name="Normal 2 61 7" xfId="27347" xr:uid="{00000000-0005-0000-0000-0000016E0000}"/>
    <cellStyle name="Normal 2 62" xfId="27348" xr:uid="{00000000-0005-0000-0000-0000026E0000}"/>
    <cellStyle name="Normal 2 62 2" xfId="27349" xr:uid="{00000000-0005-0000-0000-0000036E0000}"/>
    <cellStyle name="Normal 2 62 3" xfId="27350" xr:uid="{00000000-0005-0000-0000-0000046E0000}"/>
    <cellStyle name="Normal 2 62 4" xfId="27351" xr:uid="{00000000-0005-0000-0000-0000056E0000}"/>
    <cellStyle name="Normal 2 62 5" xfId="27352" xr:uid="{00000000-0005-0000-0000-0000066E0000}"/>
    <cellStyle name="Normal 2 62 6" xfId="27353" xr:uid="{00000000-0005-0000-0000-0000076E0000}"/>
    <cellStyle name="Normal 2 62 7" xfId="27354" xr:uid="{00000000-0005-0000-0000-0000086E0000}"/>
    <cellStyle name="Normal 2 63" xfId="27355" xr:uid="{00000000-0005-0000-0000-0000096E0000}"/>
    <cellStyle name="Normal 2 63 2" xfId="27356" xr:uid="{00000000-0005-0000-0000-00000A6E0000}"/>
    <cellStyle name="Normal 2 63 3" xfId="27357" xr:uid="{00000000-0005-0000-0000-00000B6E0000}"/>
    <cellStyle name="Normal 2 63 4" xfId="27358" xr:uid="{00000000-0005-0000-0000-00000C6E0000}"/>
    <cellStyle name="Normal 2 63 5" xfId="27359" xr:uid="{00000000-0005-0000-0000-00000D6E0000}"/>
    <cellStyle name="Normal 2 63 6" xfId="27360" xr:uid="{00000000-0005-0000-0000-00000E6E0000}"/>
    <cellStyle name="Normal 2 63 7" xfId="27361" xr:uid="{00000000-0005-0000-0000-00000F6E0000}"/>
    <cellStyle name="Normal 2 64" xfId="27362" xr:uid="{00000000-0005-0000-0000-0000106E0000}"/>
    <cellStyle name="Normal 2 65" xfId="27363" xr:uid="{00000000-0005-0000-0000-0000116E0000}"/>
    <cellStyle name="Normal 2 66" xfId="27364" xr:uid="{00000000-0005-0000-0000-0000126E0000}"/>
    <cellStyle name="Normal 2 67" xfId="27365" xr:uid="{00000000-0005-0000-0000-0000136E0000}"/>
    <cellStyle name="Normal 2 68" xfId="27366" xr:uid="{00000000-0005-0000-0000-0000146E0000}"/>
    <cellStyle name="Normal 2 68 2" xfId="27367" xr:uid="{00000000-0005-0000-0000-0000156E0000}"/>
    <cellStyle name="Normal 2 68 2 2" xfId="27368" xr:uid="{00000000-0005-0000-0000-0000166E0000}"/>
    <cellStyle name="Normal 2 68 2 2 2" xfId="27369" xr:uid="{00000000-0005-0000-0000-0000176E0000}"/>
    <cellStyle name="Normal 2 68 2 2 2 2" xfId="27370" xr:uid="{00000000-0005-0000-0000-0000186E0000}"/>
    <cellStyle name="Normal 2 68 2 2 2 3" xfId="27371" xr:uid="{00000000-0005-0000-0000-0000196E0000}"/>
    <cellStyle name="Normal 2 68 2 2 2 4" xfId="27372" xr:uid="{00000000-0005-0000-0000-00001A6E0000}"/>
    <cellStyle name="Normal 2 68 2 2 2 5" xfId="27373" xr:uid="{00000000-0005-0000-0000-00001B6E0000}"/>
    <cellStyle name="Normal 2 68 2 2 2 6" xfId="27374" xr:uid="{00000000-0005-0000-0000-00001C6E0000}"/>
    <cellStyle name="Normal 2 68 2 3" xfId="27375" xr:uid="{00000000-0005-0000-0000-00001D6E0000}"/>
    <cellStyle name="Normal 2 68 2 4" xfId="27376" xr:uid="{00000000-0005-0000-0000-00001E6E0000}"/>
    <cellStyle name="Normal 2 68 2 5" xfId="27377" xr:uid="{00000000-0005-0000-0000-00001F6E0000}"/>
    <cellStyle name="Normal 2 68 2 6" xfId="27378" xr:uid="{00000000-0005-0000-0000-0000206E0000}"/>
    <cellStyle name="Normal 2 68 2 7" xfId="27379" xr:uid="{00000000-0005-0000-0000-0000216E0000}"/>
    <cellStyle name="Normal 2 68 3" xfId="27380" xr:uid="{00000000-0005-0000-0000-0000226E0000}"/>
    <cellStyle name="Normal 2 68 3 2" xfId="27381" xr:uid="{00000000-0005-0000-0000-0000236E0000}"/>
    <cellStyle name="Normal 2 68 3 3" xfId="27382" xr:uid="{00000000-0005-0000-0000-0000246E0000}"/>
    <cellStyle name="Normal 2 68 3 4" xfId="27383" xr:uid="{00000000-0005-0000-0000-0000256E0000}"/>
    <cellStyle name="Normal 2 68 3 5" xfId="27384" xr:uid="{00000000-0005-0000-0000-0000266E0000}"/>
    <cellStyle name="Normal 2 68 3 6" xfId="27385" xr:uid="{00000000-0005-0000-0000-0000276E0000}"/>
    <cellStyle name="Normal 2 69" xfId="27386" xr:uid="{00000000-0005-0000-0000-0000286E0000}"/>
    <cellStyle name="Normal 2 69 2" xfId="27387" xr:uid="{00000000-0005-0000-0000-0000296E0000}"/>
    <cellStyle name="Normal 2 69 3" xfId="27388" xr:uid="{00000000-0005-0000-0000-00002A6E0000}"/>
    <cellStyle name="Normal 2 69 4" xfId="27389" xr:uid="{00000000-0005-0000-0000-00002B6E0000}"/>
    <cellStyle name="Normal 2 69 5" xfId="27390" xr:uid="{00000000-0005-0000-0000-00002C6E0000}"/>
    <cellStyle name="Normal 2 69 6" xfId="27391" xr:uid="{00000000-0005-0000-0000-00002D6E0000}"/>
    <cellStyle name="Normal 2 7" xfId="27392" xr:uid="{00000000-0005-0000-0000-00002E6E0000}"/>
    <cellStyle name="Normal 2 7 10" xfId="27393" xr:uid="{00000000-0005-0000-0000-00002F6E0000}"/>
    <cellStyle name="Normal 2 7 11" xfId="27394" xr:uid="{00000000-0005-0000-0000-0000306E0000}"/>
    <cellStyle name="Normal 2 7 12" xfId="27395" xr:uid="{00000000-0005-0000-0000-0000316E0000}"/>
    <cellStyle name="Normal 2 7 13" xfId="27396" xr:uid="{00000000-0005-0000-0000-0000326E0000}"/>
    <cellStyle name="Normal 2 7 14" xfId="27397" xr:uid="{00000000-0005-0000-0000-0000336E0000}"/>
    <cellStyle name="Normal 2 7 15" xfId="27398" xr:uid="{00000000-0005-0000-0000-0000346E0000}"/>
    <cellStyle name="Normal 2 7 16" xfId="27399" xr:uid="{00000000-0005-0000-0000-0000356E0000}"/>
    <cellStyle name="Normal 2 7 17" xfId="27400" xr:uid="{00000000-0005-0000-0000-0000366E0000}"/>
    <cellStyle name="Normal 2 7 18" xfId="27401" xr:uid="{00000000-0005-0000-0000-0000376E0000}"/>
    <cellStyle name="Normal 2 7 19" xfId="27402" xr:uid="{00000000-0005-0000-0000-0000386E0000}"/>
    <cellStyle name="Normal 2 7 2" xfId="27403" xr:uid="{00000000-0005-0000-0000-0000396E0000}"/>
    <cellStyle name="Normal 2 7 20" xfId="27404" xr:uid="{00000000-0005-0000-0000-00003A6E0000}"/>
    <cellStyle name="Normal 2 7 21" xfId="27405" xr:uid="{00000000-0005-0000-0000-00003B6E0000}"/>
    <cellStyle name="Normal 2 7 22" xfId="27406" xr:uid="{00000000-0005-0000-0000-00003C6E0000}"/>
    <cellStyle name="Normal 2 7 23" xfId="27407" xr:uid="{00000000-0005-0000-0000-00003D6E0000}"/>
    <cellStyle name="Normal 2 7 24" xfId="27408" xr:uid="{00000000-0005-0000-0000-00003E6E0000}"/>
    <cellStyle name="Normal 2 7 25" xfId="27409" xr:uid="{00000000-0005-0000-0000-00003F6E0000}"/>
    <cellStyle name="Normal 2 7 26" xfId="27410" xr:uid="{00000000-0005-0000-0000-0000406E0000}"/>
    <cellStyle name="Normal 2 7 27" xfId="27411" xr:uid="{00000000-0005-0000-0000-0000416E0000}"/>
    <cellStyle name="Normal 2 7 28" xfId="27412" xr:uid="{00000000-0005-0000-0000-0000426E0000}"/>
    <cellStyle name="Normal 2 7 29" xfId="27413" xr:uid="{00000000-0005-0000-0000-0000436E0000}"/>
    <cellStyle name="Normal 2 7 3" xfId="27414" xr:uid="{00000000-0005-0000-0000-0000446E0000}"/>
    <cellStyle name="Normal 2 7 30" xfId="27415" xr:uid="{00000000-0005-0000-0000-0000456E0000}"/>
    <cellStyle name="Normal 2 7 31" xfId="27416" xr:uid="{00000000-0005-0000-0000-0000466E0000}"/>
    <cellStyle name="Normal 2 7 32" xfId="27417" xr:uid="{00000000-0005-0000-0000-0000476E0000}"/>
    <cellStyle name="Normal 2 7 33" xfId="27418" xr:uid="{00000000-0005-0000-0000-0000486E0000}"/>
    <cellStyle name="Normal 2 7 34" xfId="27419" xr:uid="{00000000-0005-0000-0000-0000496E0000}"/>
    <cellStyle name="Normal 2 7 35" xfId="27420" xr:uid="{00000000-0005-0000-0000-00004A6E0000}"/>
    <cellStyle name="Normal 2 7 36" xfId="27421" xr:uid="{00000000-0005-0000-0000-00004B6E0000}"/>
    <cellStyle name="Normal 2 7 37" xfId="27422" xr:uid="{00000000-0005-0000-0000-00004C6E0000}"/>
    <cellStyle name="Normal 2 7 38" xfId="27423" xr:uid="{00000000-0005-0000-0000-00004D6E0000}"/>
    <cellStyle name="Normal 2 7 39" xfId="27424" xr:uid="{00000000-0005-0000-0000-00004E6E0000}"/>
    <cellStyle name="Normal 2 7 4" xfId="27425" xr:uid="{00000000-0005-0000-0000-00004F6E0000}"/>
    <cellStyle name="Normal 2 7 40" xfId="27426" xr:uid="{00000000-0005-0000-0000-0000506E0000}"/>
    <cellStyle name="Normal 2 7 41" xfId="27427" xr:uid="{00000000-0005-0000-0000-0000516E0000}"/>
    <cellStyle name="Normal 2 7 42" xfId="27428" xr:uid="{00000000-0005-0000-0000-0000526E0000}"/>
    <cellStyle name="Normal 2 7 43" xfId="27429" xr:uid="{00000000-0005-0000-0000-0000536E0000}"/>
    <cellStyle name="Normal 2 7 44" xfId="27430" xr:uid="{00000000-0005-0000-0000-0000546E0000}"/>
    <cellStyle name="Normal 2 7 45" xfId="27431" xr:uid="{00000000-0005-0000-0000-0000556E0000}"/>
    <cellStyle name="Normal 2 7 46" xfId="27432" xr:uid="{00000000-0005-0000-0000-0000566E0000}"/>
    <cellStyle name="Normal 2 7 47" xfId="27433" xr:uid="{00000000-0005-0000-0000-0000576E0000}"/>
    <cellStyle name="Normal 2 7 48" xfId="27434" xr:uid="{00000000-0005-0000-0000-0000586E0000}"/>
    <cellStyle name="Normal 2 7 49" xfId="27435" xr:uid="{00000000-0005-0000-0000-0000596E0000}"/>
    <cellStyle name="Normal 2 7 5" xfId="27436" xr:uid="{00000000-0005-0000-0000-00005A6E0000}"/>
    <cellStyle name="Normal 2 7 50" xfId="27437" xr:uid="{00000000-0005-0000-0000-00005B6E0000}"/>
    <cellStyle name="Normal 2 7 51" xfId="27438" xr:uid="{00000000-0005-0000-0000-00005C6E0000}"/>
    <cellStyle name="Normal 2 7 52" xfId="27439" xr:uid="{00000000-0005-0000-0000-00005D6E0000}"/>
    <cellStyle name="Normal 2 7 53" xfId="27440" xr:uid="{00000000-0005-0000-0000-00005E6E0000}"/>
    <cellStyle name="Normal 2 7 6" xfId="27441" xr:uid="{00000000-0005-0000-0000-00005F6E0000}"/>
    <cellStyle name="Normal 2 7 7" xfId="27442" xr:uid="{00000000-0005-0000-0000-0000606E0000}"/>
    <cellStyle name="Normal 2 7 8" xfId="27443" xr:uid="{00000000-0005-0000-0000-0000616E0000}"/>
    <cellStyle name="Normal 2 7 9" xfId="27444" xr:uid="{00000000-0005-0000-0000-0000626E0000}"/>
    <cellStyle name="Normal 2 70" xfId="27445" xr:uid="{00000000-0005-0000-0000-0000636E0000}"/>
    <cellStyle name="Normal 2 70 2" xfId="27446" xr:uid="{00000000-0005-0000-0000-0000646E0000}"/>
    <cellStyle name="Normal 2 70 3" xfId="27447" xr:uid="{00000000-0005-0000-0000-0000656E0000}"/>
    <cellStyle name="Normal 2 70 4" xfId="27448" xr:uid="{00000000-0005-0000-0000-0000666E0000}"/>
    <cellStyle name="Normal 2 70 5" xfId="27449" xr:uid="{00000000-0005-0000-0000-0000676E0000}"/>
    <cellStyle name="Normal 2 70 6" xfId="27450" xr:uid="{00000000-0005-0000-0000-0000686E0000}"/>
    <cellStyle name="Normal 2 71" xfId="27451" xr:uid="{00000000-0005-0000-0000-0000696E0000}"/>
    <cellStyle name="Normal 2 71 2" xfId="27452" xr:uid="{00000000-0005-0000-0000-00006A6E0000}"/>
    <cellStyle name="Normal 2 71 3" xfId="27453" xr:uid="{00000000-0005-0000-0000-00006B6E0000}"/>
    <cellStyle name="Normal 2 71 4" xfId="27454" xr:uid="{00000000-0005-0000-0000-00006C6E0000}"/>
    <cellStyle name="Normal 2 71 5" xfId="27455" xr:uid="{00000000-0005-0000-0000-00006D6E0000}"/>
    <cellStyle name="Normal 2 71 6" xfId="27456" xr:uid="{00000000-0005-0000-0000-00006E6E0000}"/>
    <cellStyle name="Normal 2 72" xfId="27457" xr:uid="{00000000-0005-0000-0000-00006F6E0000}"/>
    <cellStyle name="Normal 2 72 2" xfId="27458" xr:uid="{00000000-0005-0000-0000-0000706E0000}"/>
    <cellStyle name="Normal 2 72 3" xfId="27459" xr:uid="{00000000-0005-0000-0000-0000716E0000}"/>
    <cellStyle name="Normal 2 72 4" xfId="27460" xr:uid="{00000000-0005-0000-0000-0000726E0000}"/>
    <cellStyle name="Normal 2 72 5" xfId="27461" xr:uid="{00000000-0005-0000-0000-0000736E0000}"/>
    <cellStyle name="Normal 2 72 6" xfId="27462" xr:uid="{00000000-0005-0000-0000-0000746E0000}"/>
    <cellStyle name="Normal 2 73" xfId="27463" xr:uid="{00000000-0005-0000-0000-0000756E0000}"/>
    <cellStyle name="Normal 2 73 2" xfId="27464" xr:uid="{00000000-0005-0000-0000-0000766E0000}"/>
    <cellStyle name="Normal 2 73 3" xfId="27465" xr:uid="{00000000-0005-0000-0000-0000776E0000}"/>
    <cellStyle name="Normal 2 73 4" xfId="27466" xr:uid="{00000000-0005-0000-0000-0000786E0000}"/>
    <cellStyle name="Normal 2 73 5" xfId="27467" xr:uid="{00000000-0005-0000-0000-0000796E0000}"/>
    <cellStyle name="Normal 2 73 6" xfId="27468" xr:uid="{00000000-0005-0000-0000-00007A6E0000}"/>
    <cellStyle name="Normal 2 74" xfId="27469" xr:uid="{00000000-0005-0000-0000-00007B6E0000}"/>
    <cellStyle name="Normal 2 74 2" xfId="27470" xr:uid="{00000000-0005-0000-0000-00007C6E0000}"/>
    <cellStyle name="Normal 2 74 3" xfId="27471" xr:uid="{00000000-0005-0000-0000-00007D6E0000}"/>
    <cellStyle name="Normal 2 74 4" xfId="27472" xr:uid="{00000000-0005-0000-0000-00007E6E0000}"/>
    <cellStyle name="Normal 2 74 5" xfId="27473" xr:uid="{00000000-0005-0000-0000-00007F6E0000}"/>
    <cellStyle name="Normal 2 74 6" xfId="27474" xr:uid="{00000000-0005-0000-0000-0000806E0000}"/>
    <cellStyle name="Normal 2 75" xfId="27475" xr:uid="{00000000-0005-0000-0000-0000816E0000}"/>
    <cellStyle name="Normal 2 75 2" xfId="27476" xr:uid="{00000000-0005-0000-0000-0000826E0000}"/>
    <cellStyle name="Normal 2 75 3" xfId="27477" xr:uid="{00000000-0005-0000-0000-0000836E0000}"/>
    <cellStyle name="Normal 2 75 4" xfId="27478" xr:uid="{00000000-0005-0000-0000-0000846E0000}"/>
    <cellStyle name="Normal 2 75 5" xfId="27479" xr:uid="{00000000-0005-0000-0000-0000856E0000}"/>
    <cellStyle name="Normal 2 75 6" xfId="27480" xr:uid="{00000000-0005-0000-0000-0000866E0000}"/>
    <cellStyle name="Normal 2 76" xfId="27481" xr:uid="{00000000-0005-0000-0000-0000876E0000}"/>
    <cellStyle name="Normal 2 76 2" xfId="27482" xr:uid="{00000000-0005-0000-0000-0000886E0000}"/>
    <cellStyle name="Normal 2 76 3" xfId="27483" xr:uid="{00000000-0005-0000-0000-0000896E0000}"/>
    <cellStyle name="Normal 2 76 4" xfId="27484" xr:uid="{00000000-0005-0000-0000-00008A6E0000}"/>
    <cellStyle name="Normal 2 76 5" xfId="27485" xr:uid="{00000000-0005-0000-0000-00008B6E0000}"/>
    <cellStyle name="Normal 2 76 6" xfId="27486" xr:uid="{00000000-0005-0000-0000-00008C6E0000}"/>
    <cellStyle name="Normal 2 77" xfId="27487" xr:uid="{00000000-0005-0000-0000-00008D6E0000}"/>
    <cellStyle name="Normal 2 77 2" xfId="27488" xr:uid="{00000000-0005-0000-0000-00008E6E0000}"/>
    <cellStyle name="Normal 2 77 3" xfId="27489" xr:uid="{00000000-0005-0000-0000-00008F6E0000}"/>
    <cellStyle name="Normal 2 77 4" xfId="27490" xr:uid="{00000000-0005-0000-0000-0000906E0000}"/>
    <cellStyle name="Normal 2 77 5" xfId="27491" xr:uid="{00000000-0005-0000-0000-0000916E0000}"/>
    <cellStyle name="Normal 2 77 6" xfId="27492" xr:uid="{00000000-0005-0000-0000-0000926E0000}"/>
    <cellStyle name="Normal 2 78" xfId="27493" xr:uid="{00000000-0005-0000-0000-0000936E0000}"/>
    <cellStyle name="Normal 2 78 2" xfId="27494" xr:uid="{00000000-0005-0000-0000-0000946E0000}"/>
    <cellStyle name="Normal 2 78 3" xfId="27495" xr:uid="{00000000-0005-0000-0000-0000956E0000}"/>
    <cellStyle name="Normal 2 78 4" xfId="27496" xr:uid="{00000000-0005-0000-0000-0000966E0000}"/>
    <cellStyle name="Normal 2 78 5" xfId="27497" xr:uid="{00000000-0005-0000-0000-0000976E0000}"/>
    <cellStyle name="Normal 2 78 6" xfId="27498" xr:uid="{00000000-0005-0000-0000-0000986E0000}"/>
    <cellStyle name="Normal 2 79" xfId="27499" xr:uid="{00000000-0005-0000-0000-0000996E0000}"/>
    <cellStyle name="Normal 2 79 2" xfId="27500" xr:uid="{00000000-0005-0000-0000-00009A6E0000}"/>
    <cellStyle name="Normal 2 79 3" xfId="27501" xr:uid="{00000000-0005-0000-0000-00009B6E0000}"/>
    <cellStyle name="Normal 2 79 4" xfId="27502" xr:uid="{00000000-0005-0000-0000-00009C6E0000}"/>
    <cellStyle name="Normal 2 79 5" xfId="27503" xr:uid="{00000000-0005-0000-0000-00009D6E0000}"/>
    <cellStyle name="Normal 2 79 6" xfId="27504" xr:uid="{00000000-0005-0000-0000-00009E6E0000}"/>
    <cellStyle name="Normal 2 8" xfId="27505" xr:uid="{00000000-0005-0000-0000-00009F6E0000}"/>
    <cellStyle name="Normal 2 8 10" xfId="27506" xr:uid="{00000000-0005-0000-0000-0000A06E0000}"/>
    <cellStyle name="Normal 2 8 11" xfId="27507" xr:uid="{00000000-0005-0000-0000-0000A16E0000}"/>
    <cellStyle name="Normal 2 8 12" xfId="27508" xr:uid="{00000000-0005-0000-0000-0000A26E0000}"/>
    <cellStyle name="Normal 2 8 13" xfId="27509" xr:uid="{00000000-0005-0000-0000-0000A36E0000}"/>
    <cellStyle name="Normal 2 8 14" xfId="27510" xr:uid="{00000000-0005-0000-0000-0000A46E0000}"/>
    <cellStyle name="Normal 2 8 15" xfId="27511" xr:uid="{00000000-0005-0000-0000-0000A56E0000}"/>
    <cellStyle name="Normal 2 8 16" xfId="27512" xr:uid="{00000000-0005-0000-0000-0000A66E0000}"/>
    <cellStyle name="Normal 2 8 17" xfId="27513" xr:uid="{00000000-0005-0000-0000-0000A76E0000}"/>
    <cellStyle name="Normal 2 8 18" xfId="27514" xr:uid="{00000000-0005-0000-0000-0000A86E0000}"/>
    <cellStyle name="Normal 2 8 19" xfId="27515" xr:uid="{00000000-0005-0000-0000-0000A96E0000}"/>
    <cellStyle name="Normal 2 8 2" xfId="27516" xr:uid="{00000000-0005-0000-0000-0000AA6E0000}"/>
    <cellStyle name="Normal 2 8 20" xfId="27517" xr:uid="{00000000-0005-0000-0000-0000AB6E0000}"/>
    <cellStyle name="Normal 2 8 21" xfId="27518" xr:uid="{00000000-0005-0000-0000-0000AC6E0000}"/>
    <cellStyle name="Normal 2 8 22" xfId="27519" xr:uid="{00000000-0005-0000-0000-0000AD6E0000}"/>
    <cellStyle name="Normal 2 8 23" xfId="27520" xr:uid="{00000000-0005-0000-0000-0000AE6E0000}"/>
    <cellStyle name="Normal 2 8 24" xfId="27521" xr:uid="{00000000-0005-0000-0000-0000AF6E0000}"/>
    <cellStyle name="Normal 2 8 25" xfId="27522" xr:uid="{00000000-0005-0000-0000-0000B06E0000}"/>
    <cellStyle name="Normal 2 8 26" xfId="27523" xr:uid="{00000000-0005-0000-0000-0000B16E0000}"/>
    <cellStyle name="Normal 2 8 27" xfId="27524" xr:uid="{00000000-0005-0000-0000-0000B26E0000}"/>
    <cellStyle name="Normal 2 8 28" xfId="27525" xr:uid="{00000000-0005-0000-0000-0000B36E0000}"/>
    <cellStyle name="Normal 2 8 29" xfId="27526" xr:uid="{00000000-0005-0000-0000-0000B46E0000}"/>
    <cellStyle name="Normal 2 8 3" xfId="27527" xr:uid="{00000000-0005-0000-0000-0000B56E0000}"/>
    <cellStyle name="Normal 2 8 30" xfId="27528" xr:uid="{00000000-0005-0000-0000-0000B66E0000}"/>
    <cellStyle name="Normal 2 8 31" xfId="27529" xr:uid="{00000000-0005-0000-0000-0000B76E0000}"/>
    <cellStyle name="Normal 2 8 32" xfId="27530" xr:uid="{00000000-0005-0000-0000-0000B86E0000}"/>
    <cellStyle name="Normal 2 8 33" xfId="27531" xr:uid="{00000000-0005-0000-0000-0000B96E0000}"/>
    <cellStyle name="Normal 2 8 34" xfId="27532" xr:uid="{00000000-0005-0000-0000-0000BA6E0000}"/>
    <cellStyle name="Normal 2 8 35" xfId="27533" xr:uid="{00000000-0005-0000-0000-0000BB6E0000}"/>
    <cellStyle name="Normal 2 8 36" xfId="27534" xr:uid="{00000000-0005-0000-0000-0000BC6E0000}"/>
    <cellStyle name="Normal 2 8 37" xfId="27535" xr:uid="{00000000-0005-0000-0000-0000BD6E0000}"/>
    <cellStyle name="Normal 2 8 38" xfId="27536" xr:uid="{00000000-0005-0000-0000-0000BE6E0000}"/>
    <cellStyle name="Normal 2 8 39" xfId="27537" xr:uid="{00000000-0005-0000-0000-0000BF6E0000}"/>
    <cellStyle name="Normal 2 8 4" xfId="27538" xr:uid="{00000000-0005-0000-0000-0000C06E0000}"/>
    <cellStyle name="Normal 2 8 40" xfId="27539" xr:uid="{00000000-0005-0000-0000-0000C16E0000}"/>
    <cellStyle name="Normal 2 8 41" xfId="27540" xr:uid="{00000000-0005-0000-0000-0000C26E0000}"/>
    <cellStyle name="Normal 2 8 42" xfId="27541" xr:uid="{00000000-0005-0000-0000-0000C36E0000}"/>
    <cellStyle name="Normal 2 8 43" xfId="27542" xr:uid="{00000000-0005-0000-0000-0000C46E0000}"/>
    <cellStyle name="Normal 2 8 44" xfId="27543" xr:uid="{00000000-0005-0000-0000-0000C56E0000}"/>
    <cellStyle name="Normal 2 8 45" xfId="27544" xr:uid="{00000000-0005-0000-0000-0000C66E0000}"/>
    <cellStyle name="Normal 2 8 46" xfId="27545" xr:uid="{00000000-0005-0000-0000-0000C76E0000}"/>
    <cellStyle name="Normal 2 8 47" xfId="27546" xr:uid="{00000000-0005-0000-0000-0000C86E0000}"/>
    <cellStyle name="Normal 2 8 48" xfId="27547" xr:uid="{00000000-0005-0000-0000-0000C96E0000}"/>
    <cellStyle name="Normal 2 8 49" xfId="27548" xr:uid="{00000000-0005-0000-0000-0000CA6E0000}"/>
    <cellStyle name="Normal 2 8 5" xfId="27549" xr:uid="{00000000-0005-0000-0000-0000CB6E0000}"/>
    <cellStyle name="Normal 2 8 50" xfId="27550" xr:uid="{00000000-0005-0000-0000-0000CC6E0000}"/>
    <cellStyle name="Normal 2 8 51" xfId="27551" xr:uid="{00000000-0005-0000-0000-0000CD6E0000}"/>
    <cellStyle name="Normal 2 8 52" xfId="27552" xr:uid="{00000000-0005-0000-0000-0000CE6E0000}"/>
    <cellStyle name="Normal 2 8 53" xfId="27553" xr:uid="{00000000-0005-0000-0000-0000CF6E0000}"/>
    <cellStyle name="Normal 2 8 6" xfId="27554" xr:uid="{00000000-0005-0000-0000-0000D06E0000}"/>
    <cellStyle name="Normal 2 8 7" xfId="27555" xr:uid="{00000000-0005-0000-0000-0000D16E0000}"/>
    <cellStyle name="Normal 2 8 8" xfId="27556" xr:uid="{00000000-0005-0000-0000-0000D26E0000}"/>
    <cellStyle name="Normal 2 8 9" xfId="27557" xr:uid="{00000000-0005-0000-0000-0000D36E0000}"/>
    <cellStyle name="Normal 2 80" xfId="27558" xr:uid="{00000000-0005-0000-0000-0000D46E0000}"/>
    <cellStyle name="Normal 2 80 2" xfId="27559" xr:uid="{00000000-0005-0000-0000-0000D56E0000}"/>
    <cellStyle name="Normal 2 80 3" xfId="27560" xr:uid="{00000000-0005-0000-0000-0000D66E0000}"/>
    <cellStyle name="Normal 2 80 4" xfId="27561" xr:uid="{00000000-0005-0000-0000-0000D76E0000}"/>
    <cellStyle name="Normal 2 80 5" xfId="27562" xr:uid="{00000000-0005-0000-0000-0000D86E0000}"/>
    <cellStyle name="Normal 2 80 6" xfId="27563" xr:uid="{00000000-0005-0000-0000-0000D96E0000}"/>
    <cellStyle name="Normal 2 81" xfId="27564" xr:uid="{00000000-0005-0000-0000-0000DA6E0000}"/>
    <cellStyle name="Normal 2 81 2" xfId="27565" xr:uid="{00000000-0005-0000-0000-0000DB6E0000}"/>
    <cellStyle name="Normal 2 81 3" xfId="27566" xr:uid="{00000000-0005-0000-0000-0000DC6E0000}"/>
    <cellStyle name="Normal 2 81 4" xfId="27567" xr:uid="{00000000-0005-0000-0000-0000DD6E0000}"/>
    <cellStyle name="Normal 2 81 5" xfId="27568" xr:uid="{00000000-0005-0000-0000-0000DE6E0000}"/>
    <cellStyle name="Normal 2 81 6" xfId="27569" xr:uid="{00000000-0005-0000-0000-0000DF6E0000}"/>
    <cellStyle name="Normal 2 82" xfId="27570" xr:uid="{00000000-0005-0000-0000-0000E06E0000}"/>
    <cellStyle name="Normal 2 82 2" xfId="27571" xr:uid="{00000000-0005-0000-0000-0000E16E0000}"/>
    <cellStyle name="Normal 2 82 3" xfId="27572" xr:uid="{00000000-0005-0000-0000-0000E26E0000}"/>
    <cellStyle name="Normal 2 82 4" xfId="27573" xr:uid="{00000000-0005-0000-0000-0000E36E0000}"/>
    <cellStyle name="Normal 2 82 5" xfId="27574" xr:uid="{00000000-0005-0000-0000-0000E46E0000}"/>
    <cellStyle name="Normal 2 82 6" xfId="27575" xr:uid="{00000000-0005-0000-0000-0000E56E0000}"/>
    <cellStyle name="Normal 2 83" xfId="27576" xr:uid="{00000000-0005-0000-0000-0000E66E0000}"/>
    <cellStyle name="Normal 2 83 2" xfId="27577" xr:uid="{00000000-0005-0000-0000-0000E76E0000}"/>
    <cellStyle name="Normal 2 83 3" xfId="27578" xr:uid="{00000000-0005-0000-0000-0000E86E0000}"/>
    <cellStyle name="Normal 2 83 4" xfId="27579" xr:uid="{00000000-0005-0000-0000-0000E96E0000}"/>
    <cellStyle name="Normal 2 83 5" xfId="27580" xr:uid="{00000000-0005-0000-0000-0000EA6E0000}"/>
    <cellStyle name="Normal 2 83 6" xfId="27581" xr:uid="{00000000-0005-0000-0000-0000EB6E0000}"/>
    <cellStyle name="Normal 2 84" xfId="27582" xr:uid="{00000000-0005-0000-0000-0000EC6E0000}"/>
    <cellStyle name="Normal 2 84 2" xfId="27583" xr:uid="{00000000-0005-0000-0000-0000ED6E0000}"/>
    <cellStyle name="Normal 2 84 3" xfId="27584" xr:uid="{00000000-0005-0000-0000-0000EE6E0000}"/>
    <cellStyle name="Normal 2 84 4" xfId="27585" xr:uid="{00000000-0005-0000-0000-0000EF6E0000}"/>
    <cellStyle name="Normal 2 84 5" xfId="27586" xr:uid="{00000000-0005-0000-0000-0000F06E0000}"/>
    <cellStyle name="Normal 2 84 6" xfId="27587" xr:uid="{00000000-0005-0000-0000-0000F16E0000}"/>
    <cellStyle name="Normal 2 85" xfId="27588" xr:uid="{00000000-0005-0000-0000-0000F26E0000}"/>
    <cellStyle name="Normal 2 85 2" xfId="27589" xr:uid="{00000000-0005-0000-0000-0000F36E0000}"/>
    <cellStyle name="Normal 2 85 3" xfId="27590" xr:uid="{00000000-0005-0000-0000-0000F46E0000}"/>
    <cellStyle name="Normal 2 85 4" xfId="27591" xr:uid="{00000000-0005-0000-0000-0000F56E0000}"/>
    <cellStyle name="Normal 2 85 5" xfId="27592" xr:uid="{00000000-0005-0000-0000-0000F66E0000}"/>
    <cellStyle name="Normal 2 85 6" xfId="27593" xr:uid="{00000000-0005-0000-0000-0000F76E0000}"/>
    <cellStyle name="Normal 2 86" xfId="27594" xr:uid="{00000000-0005-0000-0000-0000F86E0000}"/>
    <cellStyle name="Normal 2 86 2" xfId="27595" xr:uid="{00000000-0005-0000-0000-0000F96E0000}"/>
    <cellStyle name="Normal 2 86 3" xfId="27596" xr:uid="{00000000-0005-0000-0000-0000FA6E0000}"/>
    <cellStyle name="Normal 2 86 4" xfId="27597" xr:uid="{00000000-0005-0000-0000-0000FB6E0000}"/>
    <cellStyle name="Normal 2 86 5" xfId="27598" xr:uid="{00000000-0005-0000-0000-0000FC6E0000}"/>
    <cellStyle name="Normal 2 86 6" xfId="27599" xr:uid="{00000000-0005-0000-0000-0000FD6E0000}"/>
    <cellStyle name="Normal 2 87" xfId="27600" xr:uid="{00000000-0005-0000-0000-0000FE6E0000}"/>
    <cellStyle name="Normal 2 87 2" xfId="27601" xr:uid="{00000000-0005-0000-0000-0000FF6E0000}"/>
    <cellStyle name="Normal 2 87 3" xfId="27602" xr:uid="{00000000-0005-0000-0000-0000006F0000}"/>
    <cellStyle name="Normal 2 87 4" xfId="27603" xr:uid="{00000000-0005-0000-0000-0000016F0000}"/>
    <cellStyle name="Normal 2 87 5" xfId="27604" xr:uid="{00000000-0005-0000-0000-0000026F0000}"/>
    <cellStyle name="Normal 2 87 6" xfId="27605" xr:uid="{00000000-0005-0000-0000-0000036F0000}"/>
    <cellStyle name="Normal 2 88" xfId="27606" xr:uid="{00000000-0005-0000-0000-0000046F0000}"/>
    <cellStyle name="Normal 2 88 2" xfId="27607" xr:uid="{00000000-0005-0000-0000-0000056F0000}"/>
    <cellStyle name="Normal 2 88 2 2" xfId="27608" xr:uid="{00000000-0005-0000-0000-0000066F0000}"/>
    <cellStyle name="Normal 2 88 2 3" xfId="27609" xr:uid="{00000000-0005-0000-0000-0000076F0000}"/>
    <cellStyle name="Normal 2 88 2 4" xfId="27610" xr:uid="{00000000-0005-0000-0000-0000086F0000}"/>
    <cellStyle name="Normal 2 88 2 5" xfId="27611" xr:uid="{00000000-0005-0000-0000-0000096F0000}"/>
    <cellStyle name="Normal 2 88 2 6" xfId="27612" xr:uid="{00000000-0005-0000-0000-00000A6F0000}"/>
    <cellStyle name="Normal 2 89" xfId="27613" xr:uid="{00000000-0005-0000-0000-00000B6F0000}"/>
    <cellStyle name="Normal 2 9" xfId="27614" xr:uid="{00000000-0005-0000-0000-00000C6F0000}"/>
    <cellStyle name="Normal 2 9 10" xfId="27615" xr:uid="{00000000-0005-0000-0000-00000D6F0000}"/>
    <cellStyle name="Normal 2 9 11" xfId="27616" xr:uid="{00000000-0005-0000-0000-00000E6F0000}"/>
    <cellStyle name="Normal 2 9 12" xfId="27617" xr:uid="{00000000-0005-0000-0000-00000F6F0000}"/>
    <cellStyle name="Normal 2 9 13" xfId="27618" xr:uid="{00000000-0005-0000-0000-0000106F0000}"/>
    <cellStyle name="Normal 2 9 14" xfId="27619" xr:uid="{00000000-0005-0000-0000-0000116F0000}"/>
    <cellStyle name="Normal 2 9 15" xfId="27620" xr:uid="{00000000-0005-0000-0000-0000126F0000}"/>
    <cellStyle name="Normal 2 9 16" xfId="27621" xr:uid="{00000000-0005-0000-0000-0000136F0000}"/>
    <cellStyle name="Normal 2 9 17" xfId="27622" xr:uid="{00000000-0005-0000-0000-0000146F0000}"/>
    <cellStyle name="Normal 2 9 18" xfId="27623" xr:uid="{00000000-0005-0000-0000-0000156F0000}"/>
    <cellStyle name="Normal 2 9 19" xfId="27624" xr:uid="{00000000-0005-0000-0000-0000166F0000}"/>
    <cellStyle name="Normal 2 9 2" xfId="27625" xr:uid="{00000000-0005-0000-0000-0000176F0000}"/>
    <cellStyle name="Normal 2 9 20" xfId="27626" xr:uid="{00000000-0005-0000-0000-0000186F0000}"/>
    <cellStyle name="Normal 2 9 21" xfId="27627" xr:uid="{00000000-0005-0000-0000-0000196F0000}"/>
    <cellStyle name="Normal 2 9 22" xfId="27628" xr:uid="{00000000-0005-0000-0000-00001A6F0000}"/>
    <cellStyle name="Normal 2 9 23" xfId="27629" xr:uid="{00000000-0005-0000-0000-00001B6F0000}"/>
    <cellStyle name="Normal 2 9 24" xfId="27630" xr:uid="{00000000-0005-0000-0000-00001C6F0000}"/>
    <cellStyle name="Normal 2 9 25" xfId="27631" xr:uid="{00000000-0005-0000-0000-00001D6F0000}"/>
    <cellStyle name="Normal 2 9 26" xfId="27632" xr:uid="{00000000-0005-0000-0000-00001E6F0000}"/>
    <cellStyle name="Normal 2 9 27" xfId="27633" xr:uid="{00000000-0005-0000-0000-00001F6F0000}"/>
    <cellStyle name="Normal 2 9 28" xfId="27634" xr:uid="{00000000-0005-0000-0000-0000206F0000}"/>
    <cellStyle name="Normal 2 9 29" xfId="27635" xr:uid="{00000000-0005-0000-0000-0000216F0000}"/>
    <cellStyle name="Normal 2 9 3" xfId="27636" xr:uid="{00000000-0005-0000-0000-0000226F0000}"/>
    <cellStyle name="Normal 2 9 30" xfId="27637" xr:uid="{00000000-0005-0000-0000-0000236F0000}"/>
    <cellStyle name="Normal 2 9 31" xfId="27638" xr:uid="{00000000-0005-0000-0000-0000246F0000}"/>
    <cellStyle name="Normal 2 9 32" xfId="27639" xr:uid="{00000000-0005-0000-0000-0000256F0000}"/>
    <cellStyle name="Normal 2 9 33" xfId="27640" xr:uid="{00000000-0005-0000-0000-0000266F0000}"/>
    <cellStyle name="Normal 2 9 34" xfId="27641" xr:uid="{00000000-0005-0000-0000-0000276F0000}"/>
    <cellStyle name="Normal 2 9 35" xfId="27642" xr:uid="{00000000-0005-0000-0000-0000286F0000}"/>
    <cellStyle name="Normal 2 9 36" xfId="27643" xr:uid="{00000000-0005-0000-0000-0000296F0000}"/>
    <cellStyle name="Normal 2 9 37" xfId="27644" xr:uid="{00000000-0005-0000-0000-00002A6F0000}"/>
    <cellStyle name="Normal 2 9 38" xfId="27645" xr:uid="{00000000-0005-0000-0000-00002B6F0000}"/>
    <cellStyle name="Normal 2 9 39" xfId="27646" xr:uid="{00000000-0005-0000-0000-00002C6F0000}"/>
    <cellStyle name="Normal 2 9 4" xfId="27647" xr:uid="{00000000-0005-0000-0000-00002D6F0000}"/>
    <cellStyle name="Normal 2 9 40" xfId="27648" xr:uid="{00000000-0005-0000-0000-00002E6F0000}"/>
    <cellStyle name="Normal 2 9 41" xfId="27649" xr:uid="{00000000-0005-0000-0000-00002F6F0000}"/>
    <cellStyle name="Normal 2 9 42" xfId="27650" xr:uid="{00000000-0005-0000-0000-0000306F0000}"/>
    <cellStyle name="Normal 2 9 43" xfId="27651" xr:uid="{00000000-0005-0000-0000-0000316F0000}"/>
    <cellStyle name="Normal 2 9 44" xfId="27652" xr:uid="{00000000-0005-0000-0000-0000326F0000}"/>
    <cellStyle name="Normal 2 9 45" xfId="27653" xr:uid="{00000000-0005-0000-0000-0000336F0000}"/>
    <cellStyle name="Normal 2 9 46" xfId="27654" xr:uid="{00000000-0005-0000-0000-0000346F0000}"/>
    <cellStyle name="Normal 2 9 47" xfId="27655" xr:uid="{00000000-0005-0000-0000-0000356F0000}"/>
    <cellStyle name="Normal 2 9 48" xfId="27656" xr:uid="{00000000-0005-0000-0000-0000366F0000}"/>
    <cellStyle name="Normal 2 9 49" xfId="27657" xr:uid="{00000000-0005-0000-0000-0000376F0000}"/>
    <cellStyle name="Normal 2 9 5" xfId="27658" xr:uid="{00000000-0005-0000-0000-0000386F0000}"/>
    <cellStyle name="Normal 2 9 50" xfId="27659" xr:uid="{00000000-0005-0000-0000-0000396F0000}"/>
    <cellStyle name="Normal 2 9 51" xfId="27660" xr:uid="{00000000-0005-0000-0000-00003A6F0000}"/>
    <cellStyle name="Normal 2 9 52" xfId="27661" xr:uid="{00000000-0005-0000-0000-00003B6F0000}"/>
    <cellStyle name="Normal 2 9 53" xfId="27662" xr:uid="{00000000-0005-0000-0000-00003C6F0000}"/>
    <cellStyle name="Normal 2 9 6" xfId="27663" xr:uid="{00000000-0005-0000-0000-00003D6F0000}"/>
    <cellStyle name="Normal 2 9 7" xfId="27664" xr:uid="{00000000-0005-0000-0000-00003E6F0000}"/>
    <cellStyle name="Normal 2 9 8" xfId="27665" xr:uid="{00000000-0005-0000-0000-00003F6F0000}"/>
    <cellStyle name="Normal 2 9 9" xfId="27666" xr:uid="{00000000-0005-0000-0000-0000406F0000}"/>
    <cellStyle name="Normal 2 90" xfId="27667" xr:uid="{00000000-0005-0000-0000-0000416F0000}"/>
    <cellStyle name="Normal 2 91" xfId="27668" xr:uid="{00000000-0005-0000-0000-0000426F0000}"/>
    <cellStyle name="Normal 2 92" xfId="27669" xr:uid="{00000000-0005-0000-0000-0000436F0000}"/>
    <cellStyle name="Normal 2 93" xfId="27670" xr:uid="{00000000-0005-0000-0000-0000446F0000}"/>
    <cellStyle name="Normal 2 94" xfId="27671" xr:uid="{00000000-0005-0000-0000-0000456F0000}"/>
    <cellStyle name="Normal 2 95" xfId="27672" xr:uid="{00000000-0005-0000-0000-0000466F0000}"/>
    <cellStyle name="Normal 2 96" xfId="27673" xr:uid="{00000000-0005-0000-0000-0000476F0000}"/>
    <cellStyle name="Normal 2 97" xfId="27674" xr:uid="{00000000-0005-0000-0000-0000486F0000}"/>
    <cellStyle name="Normal 2 98" xfId="27675" xr:uid="{00000000-0005-0000-0000-0000496F0000}"/>
    <cellStyle name="Normal 2 99" xfId="43576" xr:uid="{00000000-0005-0000-0000-00004A6F0000}"/>
    <cellStyle name="Normal 2_07-05-24-fnb- Banco de Preços R14" xfId="1076" xr:uid="{00000000-0005-0000-0000-00004B6F0000}"/>
    <cellStyle name="Normal 20" xfId="1077" xr:uid="{00000000-0005-0000-0000-00004C6F0000}"/>
    <cellStyle name="Normal 20 10" xfId="27676" xr:uid="{00000000-0005-0000-0000-00004D6F0000}"/>
    <cellStyle name="Normal 20 10 10" xfId="27677" xr:uid="{00000000-0005-0000-0000-00004E6F0000}"/>
    <cellStyle name="Normal 20 10 11" xfId="27678" xr:uid="{00000000-0005-0000-0000-00004F6F0000}"/>
    <cellStyle name="Normal 20 10 12" xfId="27679" xr:uid="{00000000-0005-0000-0000-0000506F0000}"/>
    <cellStyle name="Normal 20 10 13" xfId="27680" xr:uid="{00000000-0005-0000-0000-0000516F0000}"/>
    <cellStyle name="Normal 20 10 2" xfId="27681" xr:uid="{00000000-0005-0000-0000-0000526F0000}"/>
    <cellStyle name="Normal 20 10 2 2" xfId="27682" xr:uid="{00000000-0005-0000-0000-0000536F0000}"/>
    <cellStyle name="Normal 20 10 2 3" xfId="27683" xr:uid="{00000000-0005-0000-0000-0000546F0000}"/>
    <cellStyle name="Normal 20 10 2 4" xfId="27684" xr:uid="{00000000-0005-0000-0000-0000556F0000}"/>
    <cellStyle name="Normal 20 10 2 5" xfId="27685" xr:uid="{00000000-0005-0000-0000-0000566F0000}"/>
    <cellStyle name="Normal 20 10 2 6" xfId="27686" xr:uid="{00000000-0005-0000-0000-0000576F0000}"/>
    <cellStyle name="Normal 20 10 3" xfId="27687" xr:uid="{00000000-0005-0000-0000-0000586F0000}"/>
    <cellStyle name="Normal 20 10 3 2" xfId="27688" xr:uid="{00000000-0005-0000-0000-0000596F0000}"/>
    <cellStyle name="Normal 20 10 3 3" xfId="27689" xr:uid="{00000000-0005-0000-0000-00005A6F0000}"/>
    <cellStyle name="Normal 20 10 3 4" xfId="27690" xr:uid="{00000000-0005-0000-0000-00005B6F0000}"/>
    <cellStyle name="Normal 20 10 3 5" xfId="27691" xr:uid="{00000000-0005-0000-0000-00005C6F0000}"/>
    <cellStyle name="Normal 20 10 3 6" xfId="27692" xr:uid="{00000000-0005-0000-0000-00005D6F0000}"/>
    <cellStyle name="Normal 20 10 4" xfId="27693" xr:uid="{00000000-0005-0000-0000-00005E6F0000}"/>
    <cellStyle name="Normal 20 10 4 2" xfId="27694" xr:uid="{00000000-0005-0000-0000-00005F6F0000}"/>
    <cellStyle name="Normal 20 10 4 3" xfId="27695" xr:uid="{00000000-0005-0000-0000-0000606F0000}"/>
    <cellStyle name="Normal 20 10 4 4" xfId="27696" xr:uid="{00000000-0005-0000-0000-0000616F0000}"/>
    <cellStyle name="Normal 20 10 4 5" xfId="27697" xr:uid="{00000000-0005-0000-0000-0000626F0000}"/>
    <cellStyle name="Normal 20 10 4 6" xfId="27698" xr:uid="{00000000-0005-0000-0000-0000636F0000}"/>
    <cellStyle name="Normal 20 10 5" xfId="27699" xr:uid="{00000000-0005-0000-0000-0000646F0000}"/>
    <cellStyle name="Normal 20 10 5 2" xfId="27700" xr:uid="{00000000-0005-0000-0000-0000656F0000}"/>
    <cellStyle name="Normal 20 10 5 3" xfId="27701" xr:uid="{00000000-0005-0000-0000-0000666F0000}"/>
    <cellStyle name="Normal 20 10 5 4" xfId="27702" xr:uid="{00000000-0005-0000-0000-0000676F0000}"/>
    <cellStyle name="Normal 20 10 5 5" xfId="27703" xr:uid="{00000000-0005-0000-0000-0000686F0000}"/>
    <cellStyle name="Normal 20 10 5 6" xfId="27704" xr:uid="{00000000-0005-0000-0000-0000696F0000}"/>
    <cellStyle name="Normal 20 10 6" xfId="27705" xr:uid="{00000000-0005-0000-0000-00006A6F0000}"/>
    <cellStyle name="Normal 20 10 6 2" xfId="27706" xr:uid="{00000000-0005-0000-0000-00006B6F0000}"/>
    <cellStyle name="Normal 20 10 6 3" xfId="27707" xr:uid="{00000000-0005-0000-0000-00006C6F0000}"/>
    <cellStyle name="Normal 20 10 6 4" xfId="27708" xr:uid="{00000000-0005-0000-0000-00006D6F0000}"/>
    <cellStyle name="Normal 20 10 6 5" xfId="27709" xr:uid="{00000000-0005-0000-0000-00006E6F0000}"/>
    <cellStyle name="Normal 20 10 6 6" xfId="27710" xr:uid="{00000000-0005-0000-0000-00006F6F0000}"/>
    <cellStyle name="Normal 20 10 7" xfId="27711" xr:uid="{00000000-0005-0000-0000-0000706F0000}"/>
    <cellStyle name="Normal 20 10 7 2" xfId="27712" xr:uid="{00000000-0005-0000-0000-0000716F0000}"/>
    <cellStyle name="Normal 20 10 7 3" xfId="27713" xr:uid="{00000000-0005-0000-0000-0000726F0000}"/>
    <cellStyle name="Normal 20 10 7 4" xfId="27714" xr:uid="{00000000-0005-0000-0000-0000736F0000}"/>
    <cellStyle name="Normal 20 10 7 5" xfId="27715" xr:uid="{00000000-0005-0000-0000-0000746F0000}"/>
    <cellStyle name="Normal 20 10 7 6" xfId="27716" xr:uid="{00000000-0005-0000-0000-0000756F0000}"/>
    <cellStyle name="Normal 20 10 8" xfId="27717" xr:uid="{00000000-0005-0000-0000-0000766F0000}"/>
    <cellStyle name="Normal 20 10 8 2" xfId="27718" xr:uid="{00000000-0005-0000-0000-0000776F0000}"/>
    <cellStyle name="Normal 20 10 8 3" xfId="27719" xr:uid="{00000000-0005-0000-0000-0000786F0000}"/>
    <cellStyle name="Normal 20 10 8 4" xfId="27720" xr:uid="{00000000-0005-0000-0000-0000796F0000}"/>
    <cellStyle name="Normal 20 10 8 5" xfId="27721" xr:uid="{00000000-0005-0000-0000-00007A6F0000}"/>
    <cellStyle name="Normal 20 10 8 6" xfId="27722" xr:uid="{00000000-0005-0000-0000-00007B6F0000}"/>
    <cellStyle name="Normal 20 10 9" xfId="27723" xr:uid="{00000000-0005-0000-0000-00007C6F0000}"/>
    <cellStyle name="Normal 20 11" xfId="27724" xr:uid="{00000000-0005-0000-0000-00007D6F0000}"/>
    <cellStyle name="Normal 20 11 10" xfId="27725" xr:uid="{00000000-0005-0000-0000-00007E6F0000}"/>
    <cellStyle name="Normal 20 11 11" xfId="27726" xr:uid="{00000000-0005-0000-0000-00007F6F0000}"/>
    <cellStyle name="Normal 20 11 12" xfId="27727" xr:uid="{00000000-0005-0000-0000-0000806F0000}"/>
    <cellStyle name="Normal 20 11 13" xfId="27728" xr:uid="{00000000-0005-0000-0000-0000816F0000}"/>
    <cellStyle name="Normal 20 11 2" xfId="27729" xr:uid="{00000000-0005-0000-0000-0000826F0000}"/>
    <cellStyle name="Normal 20 11 2 2" xfId="27730" xr:uid="{00000000-0005-0000-0000-0000836F0000}"/>
    <cellStyle name="Normal 20 11 2 3" xfId="27731" xr:uid="{00000000-0005-0000-0000-0000846F0000}"/>
    <cellStyle name="Normal 20 11 2 4" xfId="27732" xr:uid="{00000000-0005-0000-0000-0000856F0000}"/>
    <cellStyle name="Normal 20 11 2 5" xfId="27733" xr:uid="{00000000-0005-0000-0000-0000866F0000}"/>
    <cellStyle name="Normal 20 11 2 6" xfId="27734" xr:uid="{00000000-0005-0000-0000-0000876F0000}"/>
    <cellStyle name="Normal 20 11 3" xfId="27735" xr:uid="{00000000-0005-0000-0000-0000886F0000}"/>
    <cellStyle name="Normal 20 11 3 2" xfId="27736" xr:uid="{00000000-0005-0000-0000-0000896F0000}"/>
    <cellStyle name="Normal 20 11 3 3" xfId="27737" xr:uid="{00000000-0005-0000-0000-00008A6F0000}"/>
    <cellStyle name="Normal 20 11 3 4" xfId="27738" xr:uid="{00000000-0005-0000-0000-00008B6F0000}"/>
    <cellStyle name="Normal 20 11 3 5" xfId="27739" xr:uid="{00000000-0005-0000-0000-00008C6F0000}"/>
    <cellStyle name="Normal 20 11 3 6" xfId="27740" xr:uid="{00000000-0005-0000-0000-00008D6F0000}"/>
    <cellStyle name="Normal 20 11 4" xfId="27741" xr:uid="{00000000-0005-0000-0000-00008E6F0000}"/>
    <cellStyle name="Normal 20 11 4 2" xfId="27742" xr:uid="{00000000-0005-0000-0000-00008F6F0000}"/>
    <cellStyle name="Normal 20 11 4 3" xfId="27743" xr:uid="{00000000-0005-0000-0000-0000906F0000}"/>
    <cellStyle name="Normal 20 11 4 4" xfId="27744" xr:uid="{00000000-0005-0000-0000-0000916F0000}"/>
    <cellStyle name="Normal 20 11 4 5" xfId="27745" xr:uid="{00000000-0005-0000-0000-0000926F0000}"/>
    <cellStyle name="Normal 20 11 4 6" xfId="27746" xr:uid="{00000000-0005-0000-0000-0000936F0000}"/>
    <cellStyle name="Normal 20 11 5" xfId="27747" xr:uid="{00000000-0005-0000-0000-0000946F0000}"/>
    <cellStyle name="Normal 20 11 5 2" xfId="27748" xr:uid="{00000000-0005-0000-0000-0000956F0000}"/>
    <cellStyle name="Normal 20 11 5 3" xfId="27749" xr:uid="{00000000-0005-0000-0000-0000966F0000}"/>
    <cellStyle name="Normal 20 11 5 4" xfId="27750" xr:uid="{00000000-0005-0000-0000-0000976F0000}"/>
    <cellStyle name="Normal 20 11 5 5" xfId="27751" xr:uid="{00000000-0005-0000-0000-0000986F0000}"/>
    <cellStyle name="Normal 20 11 5 6" xfId="27752" xr:uid="{00000000-0005-0000-0000-0000996F0000}"/>
    <cellStyle name="Normal 20 11 6" xfId="27753" xr:uid="{00000000-0005-0000-0000-00009A6F0000}"/>
    <cellStyle name="Normal 20 11 6 2" xfId="27754" xr:uid="{00000000-0005-0000-0000-00009B6F0000}"/>
    <cellStyle name="Normal 20 11 6 3" xfId="27755" xr:uid="{00000000-0005-0000-0000-00009C6F0000}"/>
    <cellStyle name="Normal 20 11 6 4" xfId="27756" xr:uid="{00000000-0005-0000-0000-00009D6F0000}"/>
    <cellStyle name="Normal 20 11 6 5" xfId="27757" xr:uid="{00000000-0005-0000-0000-00009E6F0000}"/>
    <cellStyle name="Normal 20 11 6 6" xfId="27758" xr:uid="{00000000-0005-0000-0000-00009F6F0000}"/>
    <cellStyle name="Normal 20 11 7" xfId="27759" xr:uid="{00000000-0005-0000-0000-0000A06F0000}"/>
    <cellStyle name="Normal 20 11 7 2" xfId="27760" xr:uid="{00000000-0005-0000-0000-0000A16F0000}"/>
    <cellStyle name="Normal 20 11 7 3" xfId="27761" xr:uid="{00000000-0005-0000-0000-0000A26F0000}"/>
    <cellStyle name="Normal 20 11 7 4" xfId="27762" xr:uid="{00000000-0005-0000-0000-0000A36F0000}"/>
    <cellStyle name="Normal 20 11 7 5" xfId="27763" xr:uid="{00000000-0005-0000-0000-0000A46F0000}"/>
    <cellStyle name="Normal 20 11 7 6" xfId="27764" xr:uid="{00000000-0005-0000-0000-0000A56F0000}"/>
    <cellStyle name="Normal 20 11 8" xfId="27765" xr:uid="{00000000-0005-0000-0000-0000A66F0000}"/>
    <cellStyle name="Normal 20 11 8 2" xfId="27766" xr:uid="{00000000-0005-0000-0000-0000A76F0000}"/>
    <cellStyle name="Normal 20 11 8 3" xfId="27767" xr:uid="{00000000-0005-0000-0000-0000A86F0000}"/>
    <cellStyle name="Normal 20 11 8 4" xfId="27768" xr:uid="{00000000-0005-0000-0000-0000A96F0000}"/>
    <cellStyle name="Normal 20 11 8 5" xfId="27769" xr:uid="{00000000-0005-0000-0000-0000AA6F0000}"/>
    <cellStyle name="Normal 20 11 8 6" xfId="27770" xr:uid="{00000000-0005-0000-0000-0000AB6F0000}"/>
    <cellStyle name="Normal 20 11 9" xfId="27771" xr:uid="{00000000-0005-0000-0000-0000AC6F0000}"/>
    <cellStyle name="Normal 20 12" xfId="27772" xr:uid="{00000000-0005-0000-0000-0000AD6F0000}"/>
    <cellStyle name="Normal 20 12 10" xfId="27773" xr:uid="{00000000-0005-0000-0000-0000AE6F0000}"/>
    <cellStyle name="Normal 20 12 11" xfId="27774" xr:uid="{00000000-0005-0000-0000-0000AF6F0000}"/>
    <cellStyle name="Normal 20 12 12" xfId="27775" xr:uid="{00000000-0005-0000-0000-0000B06F0000}"/>
    <cellStyle name="Normal 20 12 13" xfId="27776" xr:uid="{00000000-0005-0000-0000-0000B16F0000}"/>
    <cellStyle name="Normal 20 12 2" xfId="27777" xr:uid="{00000000-0005-0000-0000-0000B26F0000}"/>
    <cellStyle name="Normal 20 12 2 2" xfId="27778" xr:uid="{00000000-0005-0000-0000-0000B36F0000}"/>
    <cellStyle name="Normal 20 12 2 3" xfId="27779" xr:uid="{00000000-0005-0000-0000-0000B46F0000}"/>
    <cellStyle name="Normal 20 12 2 4" xfId="27780" xr:uid="{00000000-0005-0000-0000-0000B56F0000}"/>
    <cellStyle name="Normal 20 12 2 5" xfId="27781" xr:uid="{00000000-0005-0000-0000-0000B66F0000}"/>
    <cellStyle name="Normal 20 12 2 6" xfId="27782" xr:uid="{00000000-0005-0000-0000-0000B76F0000}"/>
    <cellStyle name="Normal 20 12 3" xfId="27783" xr:uid="{00000000-0005-0000-0000-0000B86F0000}"/>
    <cellStyle name="Normal 20 12 3 2" xfId="27784" xr:uid="{00000000-0005-0000-0000-0000B96F0000}"/>
    <cellStyle name="Normal 20 12 3 3" xfId="27785" xr:uid="{00000000-0005-0000-0000-0000BA6F0000}"/>
    <cellStyle name="Normal 20 12 3 4" xfId="27786" xr:uid="{00000000-0005-0000-0000-0000BB6F0000}"/>
    <cellStyle name="Normal 20 12 3 5" xfId="27787" xr:uid="{00000000-0005-0000-0000-0000BC6F0000}"/>
    <cellStyle name="Normal 20 12 3 6" xfId="27788" xr:uid="{00000000-0005-0000-0000-0000BD6F0000}"/>
    <cellStyle name="Normal 20 12 4" xfId="27789" xr:uid="{00000000-0005-0000-0000-0000BE6F0000}"/>
    <cellStyle name="Normal 20 12 4 2" xfId="27790" xr:uid="{00000000-0005-0000-0000-0000BF6F0000}"/>
    <cellStyle name="Normal 20 12 4 3" xfId="27791" xr:uid="{00000000-0005-0000-0000-0000C06F0000}"/>
    <cellStyle name="Normal 20 12 4 4" xfId="27792" xr:uid="{00000000-0005-0000-0000-0000C16F0000}"/>
    <cellStyle name="Normal 20 12 4 5" xfId="27793" xr:uid="{00000000-0005-0000-0000-0000C26F0000}"/>
    <cellStyle name="Normal 20 12 4 6" xfId="27794" xr:uid="{00000000-0005-0000-0000-0000C36F0000}"/>
    <cellStyle name="Normal 20 12 5" xfId="27795" xr:uid="{00000000-0005-0000-0000-0000C46F0000}"/>
    <cellStyle name="Normal 20 12 5 2" xfId="27796" xr:uid="{00000000-0005-0000-0000-0000C56F0000}"/>
    <cellStyle name="Normal 20 12 5 3" xfId="27797" xr:uid="{00000000-0005-0000-0000-0000C66F0000}"/>
    <cellStyle name="Normal 20 12 5 4" xfId="27798" xr:uid="{00000000-0005-0000-0000-0000C76F0000}"/>
    <cellStyle name="Normal 20 12 5 5" xfId="27799" xr:uid="{00000000-0005-0000-0000-0000C86F0000}"/>
    <cellStyle name="Normal 20 12 5 6" xfId="27800" xr:uid="{00000000-0005-0000-0000-0000C96F0000}"/>
    <cellStyle name="Normal 20 12 6" xfId="27801" xr:uid="{00000000-0005-0000-0000-0000CA6F0000}"/>
    <cellStyle name="Normal 20 12 6 2" xfId="27802" xr:uid="{00000000-0005-0000-0000-0000CB6F0000}"/>
    <cellStyle name="Normal 20 12 6 3" xfId="27803" xr:uid="{00000000-0005-0000-0000-0000CC6F0000}"/>
    <cellStyle name="Normal 20 12 6 4" xfId="27804" xr:uid="{00000000-0005-0000-0000-0000CD6F0000}"/>
    <cellStyle name="Normal 20 12 6 5" xfId="27805" xr:uid="{00000000-0005-0000-0000-0000CE6F0000}"/>
    <cellStyle name="Normal 20 12 6 6" xfId="27806" xr:uid="{00000000-0005-0000-0000-0000CF6F0000}"/>
    <cellStyle name="Normal 20 12 7" xfId="27807" xr:uid="{00000000-0005-0000-0000-0000D06F0000}"/>
    <cellStyle name="Normal 20 12 7 2" xfId="27808" xr:uid="{00000000-0005-0000-0000-0000D16F0000}"/>
    <cellStyle name="Normal 20 12 7 3" xfId="27809" xr:uid="{00000000-0005-0000-0000-0000D26F0000}"/>
    <cellStyle name="Normal 20 12 7 4" xfId="27810" xr:uid="{00000000-0005-0000-0000-0000D36F0000}"/>
    <cellStyle name="Normal 20 12 7 5" xfId="27811" xr:uid="{00000000-0005-0000-0000-0000D46F0000}"/>
    <cellStyle name="Normal 20 12 7 6" xfId="27812" xr:uid="{00000000-0005-0000-0000-0000D56F0000}"/>
    <cellStyle name="Normal 20 12 8" xfId="27813" xr:uid="{00000000-0005-0000-0000-0000D66F0000}"/>
    <cellStyle name="Normal 20 12 8 2" xfId="27814" xr:uid="{00000000-0005-0000-0000-0000D76F0000}"/>
    <cellStyle name="Normal 20 12 8 3" xfId="27815" xr:uid="{00000000-0005-0000-0000-0000D86F0000}"/>
    <cellStyle name="Normal 20 12 8 4" xfId="27816" xr:uid="{00000000-0005-0000-0000-0000D96F0000}"/>
    <cellStyle name="Normal 20 12 8 5" xfId="27817" xr:uid="{00000000-0005-0000-0000-0000DA6F0000}"/>
    <cellStyle name="Normal 20 12 8 6" xfId="27818" xr:uid="{00000000-0005-0000-0000-0000DB6F0000}"/>
    <cellStyle name="Normal 20 12 9" xfId="27819" xr:uid="{00000000-0005-0000-0000-0000DC6F0000}"/>
    <cellStyle name="Normal 20 13" xfId="27820" xr:uid="{00000000-0005-0000-0000-0000DD6F0000}"/>
    <cellStyle name="Normal 20 13 10" xfId="27821" xr:uid="{00000000-0005-0000-0000-0000DE6F0000}"/>
    <cellStyle name="Normal 20 13 11" xfId="27822" xr:uid="{00000000-0005-0000-0000-0000DF6F0000}"/>
    <cellStyle name="Normal 20 13 12" xfId="27823" xr:uid="{00000000-0005-0000-0000-0000E06F0000}"/>
    <cellStyle name="Normal 20 13 13" xfId="27824" xr:uid="{00000000-0005-0000-0000-0000E16F0000}"/>
    <cellStyle name="Normal 20 13 2" xfId="27825" xr:uid="{00000000-0005-0000-0000-0000E26F0000}"/>
    <cellStyle name="Normal 20 13 2 2" xfId="27826" xr:uid="{00000000-0005-0000-0000-0000E36F0000}"/>
    <cellStyle name="Normal 20 13 2 3" xfId="27827" xr:uid="{00000000-0005-0000-0000-0000E46F0000}"/>
    <cellStyle name="Normal 20 13 2 4" xfId="27828" xr:uid="{00000000-0005-0000-0000-0000E56F0000}"/>
    <cellStyle name="Normal 20 13 2 5" xfId="27829" xr:uid="{00000000-0005-0000-0000-0000E66F0000}"/>
    <cellStyle name="Normal 20 13 2 6" xfId="27830" xr:uid="{00000000-0005-0000-0000-0000E76F0000}"/>
    <cellStyle name="Normal 20 13 3" xfId="27831" xr:uid="{00000000-0005-0000-0000-0000E86F0000}"/>
    <cellStyle name="Normal 20 13 3 2" xfId="27832" xr:uid="{00000000-0005-0000-0000-0000E96F0000}"/>
    <cellStyle name="Normal 20 13 3 3" xfId="27833" xr:uid="{00000000-0005-0000-0000-0000EA6F0000}"/>
    <cellStyle name="Normal 20 13 3 4" xfId="27834" xr:uid="{00000000-0005-0000-0000-0000EB6F0000}"/>
    <cellStyle name="Normal 20 13 3 5" xfId="27835" xr:uid="{00000000-0005-0000-0000-0000EC6F0000}"/>
    <cellStyle name="Normal 20 13 3 6" xfId="27836" xr:uid="{00000000-0005-0000-0000-0000ED6F0000}"/>
    <cellStyle name="Normal 20 13 4" xfId="27837" xr:uid="{00000000-0005-0000-0000-0000EE6F0000}"/>
    <cellStyle name="Normal 20 13 4 2" xfId="27838" xr:uid="{00000000-0005-0000-0000-0000EF6F0000}"/>
    <cellStyle name="Normal 20 13 4 3" xfId="27839" xr:uid="{00000000-0005-0000-0000-0000F06F0000}"/>
    <cellStyle name="Normal 20 13 4 4" xfId="27840" xr:uid="{00000000-0005-0000-0000-0000F16F0000}"/>
    <cellStyle name="Normal 20 13 4 5" xfId="27841" xr:uid="{00000000-0005-0000-0000-0000F26F0000}"/>
    <cellStyle name="Normal 20 13 4 6" xfId="27842" xr:uid="{00000000-0005-0000-0000-0000F36F0000}"/>
    <cellStyle name="Normal 20 13 5" xfId="27843" xr:uid="{00000000-0005-0000-0000-0000F46F0000}"/>
    <cellStyle name="Normal 20 13 5 2" xfId="27844" xr:uid="{00000000-0005-0000-0000-0000F56F0000}"/>
    <cellStyle name="Normal 20 13 5 3" xfId="27845" xr:uid="{00000000-0005-0000-0000-0000F66F0000}"/>
    <cellStyle name="Normal 20 13 5 4" xfId="27846" xr:uid="{00000000-0005-0000-0000-0000F76F0000}"/>
    <cellStyle name="Normal 20 13 5 5" xfId="27847" xr:uid="{00000000-0005-0000-0000-0000F86F0000}"/>
    <cellStyle name="Normal 20 13 5 6" xfId="27848" xr:uid="{00000000-0005-0000-0000-0000F96F0000}"/>
    <cellStyle name="Normal 20 13 6" xfId="27849" xr:uid="{00000000-0005-0000-0000-0000FA6F0000}"/>
    <cellStyle name="Normal 20 13 6 2" xfId="27850" xr:uid="{00000000-0005-0000-0000-0000FB6F0000}"/>
    <cellStyle name="Normal 20 13 6 3" xfId="27851" xr:uid="{00000000-0005-0000-0000-0000FC6F0000}"/>
    <cellStyle name="Normal 20 13 6 4" xfId="27852" xr:uid="{00000000-0005-0000-0000-0000FD6F0000}"/>
    <cellStyle name="Normal 20 13 6 5" xfId="27853" xr:uid="{00000000-0005-0000-0000-0000FE6F0000}"/>
    <cellStyle name="Normal 20 13 6 6" xfId="27854" xr:uid="{00000000-0005-0000-0000-0000FF6F0000}"/>
    <cellStyle name="Normal 20 13 7" xfId="27855" xr:uid="{00000000-0005-0000-0000-000000700000}"/>
    <cellStyle name="Normal 20 13 7 2" xfId="27856" xr:uid="{00000000-0005-0000-0000-000001700000}"/>
    <cellStyle name="Normal 20 13 7 3" xfId="27857" xr:uid="{00000000-0005-0000-0000-000002700000}"/>
    <cellStyle name="Normal 20 13 7 4" xfId="27858" xr:uid="{00000000-0005-0000-0000-000003700000}"/>
    <cellStyle name="Normal 20 13 7 5" xfId="27859" xr:uid="{00000000-0005-0000-0000-000004700000}"/>
    <cellStyle name="Normal 20 13 7 6" xfId="27860" xr:uid="{00000000-0005-0000-0000-000005700000}"/>
    <cellStyle name="Normal 20 13 8" xfId="27861" xr:uid="{00000000-0005-0000-0000-000006700000}"/>
    <cellStyle name="Normal 20 13 8 2" xfId="27862" xr:uid="{00000000-0005-0000-0000-000007700000}"/>
    <cellStyle name="Normal 20 13 8 3" xfId="27863" xr:uid="{00000000-0005-0000-0000-000008700000}"/>
    <cellStyle name="Normal 20 13 8 4" xfId="27864" xr:uid="{00000000-0005-0000-0000-000009700000}"/>
    <cellStyle name="Normal 20 13 8 5" xfId="27865" xr:uid="{00000000-0005-0000-0000-00000A700000}"/>
    <cellStyle name="Normal 20 13 8 6" xfId="27866" xr:uid="{00000000-0005-0000-0000-00000B700000}"/>
    <cellStyle name="Normal 20 13 9" xfId="27867" xr:uid="{00000000-0005-0000-0000-00000C700000}"/>
    <cellStyle name="Normal 20 14" xfId="27868" xr:uid="{00000000-0005-0000-0000-00000D700000}"/>
    <cellStyle name="Normal 20 14 10" xfId="27869" xr:uid="{00000000-0005-0000-0000-00000E700000}"/>
    <cellStyle name="Normal 20 14 11" xfId="27870" xr:uid="{00000000-0005-0000-0000-00000F700000}"/>
    <cellStyle name="Normal 20 14 12" xfId="27871" xr:uid="{00000000-0005-0000-0000-000010700000}"/>
    <cellStyle name="Normal 20 14 13" xfId="27872" xr:uid="{00000000-0005-0000-0000-000011700000}"/>
    <cellStyle name="Normal 20 14 2" xfId="27873" xr:uid="{00000000-0005-0000-0000-000012700000}"/>
    <cellStyle name="Normal 20 14 2 2" xfId="27874" xr:uid="{00000000-0005-0000-0000-000013700000}"/>
    <cellStyle name="Normal 20 14 2 3" xfId="27875" xr:uid="{00000000-0005-0000-0000-000014700000}"/>
    <cellStyle name="Normal 20 14 2 4" xfId="27876" xr:uid="{00000000-0005-0000-0000-000015700000}"/>
    <cellStyle name="Normal 20 14 2 5" xfId="27877" xr:uid="{00000000-0005-0000-0000-000016700000}"/>
    <cellStyle name="Normal 20 14 2 6" xfId="27878" xr:uid="{00000000-0005-0000-0000-000017700000}"/>
    <cellStyle name="Normal 20 14 3" xfId="27879" xr:uid="{00000000-0005-0000-0000-000018700000}"/>
    <cellStyle name="Normal 20 14 3 2" xfId="27880" xr:uid="{00000000-0005-0000-0000-000019700000}"/>
    <cellStyle name="Normal 20 14 3 3" xfId="27881" xr:uid="{00000000-0005-0000-0000-00001A700000}"/>
    <cellStyle name="Normal 20 14 3 4" xfId="27882" xr:uid="{00000000-0005-0000-0000-00001B700000}"/>
    <cellStyle name="Normal 20 14 3 5" xfId="27883" xr:uid="{00000000-0005-0000-0000-00001C700000}"/>
    <cellStyle name="Normal 20 14 3 6" xfId="27884" xr:uid="{00000000-0005-0000-0000-00001D700000}"/>
    <cellStyle name="Normal 20 14 4" xfId="27885" xr:uid="{00000000-0005-0000-0000-00001E700000}"/>
    <cellStyle name="Normal 20 14 4 2" xfId="27886" xr:uid="{00000000-0005-0000-0000-00001F700000}"/>
    <cellStyle name="Normal 20 14 4 3" xfId="27887" xr:uid="{00000000-0005-0000-0000-000020700000}"/>
    <cellStyle name="Normal 20 14 4 4" xfId="27888" xr:uid="{00000000-0005-0000-0000-000021700000}"/>
    <cellStyle name="Normal 20 14 4 5" xfId="27889" xr:uid="{00000000-0005-0000-0000-000022700000}"/>
    <cellStyle name="Normal 20 14 4 6" xfId="27890" xr:uid="{00000000-0005-0000-0000-000023700000}"/>
    <cellStyle name="Normal 20 14 5" xfId="27891" xr:uid="{00000000-0005-0000-0000-000024700000}"/>
    <cellStyle name="Normal 20 14 5 2" xfId="27892" xr:uid="{00000000-0005-0000-0000-000025700000}"/>
    <cellStyle name="Normal 20 14 5 3" xfId="27893" xr:uid="{00000000-0005-0000-0000-000026700000}"/>
    <cellStyle name="Normal 20 14 5 4" xfId="27894" xr:uid="{00000000-0005-0000-0000-000027700000}"/>
    <cellStyle name="Normal 20 14 5 5" xfId="27895" xr:uid="{00000000-0005-0000-0000-000028700000}"/>
    <cellStyle name="Normal 20 14 5 6" xfId="27896" xr:uid="{00000000-0005-0000-0000-000029700000}"/>
    <cellStyle name="Normal 20 14 6" xfId="27897" xr:uid="{00000000-0005-0000-0000-00002A700000}"/>
    <cellStyle name="Normal 20 14 6 2" xfId="27898" xr:uid="{00000000-0005-0000-0000-00002B700000}"/>
    <cellStyle name="Normal 20 14 6 3" xfId="27899" xr:uid="{00000000-0005-0000-0000-00002C700000}"/>
    <cellStyle name="Normal 20 14 6 4" xfId="27900" xr:uid="{00000000-0005-0000-0000-00002D700000}"/>
    <cellStyle name="Normal 20 14 6 5" xfId="27901" xr:uid="{00000000-0005-0000-0000-00002E700000}"/>
    <cellStyle name="Normal 20 14 6 6" xfId="27902" xr:uid="{00000000-0005-0000-0000-00002F700000}"/>
    <cellStyle name="Normal 20 14 7" xfId="27903" xr:uid="{00000000-0005-0000-0000-000030700000}"/>
    <cellStyle name="Normal 20 14 7 2" xfId="27904" xr:uid="{00000000-0005-0000-0000-000031700000}"/>
    <cellStyle name="Normal 20 14 7 3" xfId="27905" xr:uid="{00000000-0005-0000-0000-000032700000}"/>
    <cellStyle name="Normal 20 14 7 4" xfId="27906" xr:uid="{00000000-0005-0000-0000-000033700000}"/>
    <cellStyle name="Normal 20 14 7 5" xfId="27907" xr:uid="{00000000-0005-0000-0000-000034700000}"/>
    <cellStyle name="Normal 20 14 7 6" xfId="27908" xr:uid="{00000000-0005-0000-0000-000035700000}"/>
    <cellStyle name="Normal 20 14 8" xfId="27909" xr:uid="{00000000-0005-0000-0000-000036700000}"/>
    <cellStyle name="Normal 20 14 8 2" xfId="27910" xr:uid="{00000000-0005-0000-0000-000037700000}"/>
    <cellStyle name="Normal 20 14 8 3" xfId="27911" xr:uid="{00000000-0005-0000-0000-000038700000}"/>
    <cellStyle name="Normal 20 14 8 4" xfId="27912" xr:uid="{00000000-0005-0000-0000-000039700000}"/>
    <cellStyle name="Normal 20 14 8 5" xfId="27913" xr:uid="{00000000-0005-0000-0000-00003A700000}"/>
    <cellStyle name="Normal 20 14 8 6" xfId="27914" xr:uid="{00000000-0005-0000-0000-00003B700000}"/>
    <cellStyle name="Normal 20 14 9" xfId="27915" xr:uid="{00000000-0005-0000-0000-00003C700000}"/>
    <cellStyle name="Normal 20 15" xfId="27916" xr:uid="{00000000-0005-0000-0000-00003D700000}"/>
    <cellStyle name="Normal 20 15 10" xfId="27917" xr:uid="{00000000-0005-0000-0000-00003E700000}"/>
    <cellStyle name="Normal 20 15 11" xfId="27918" xr:uid="{00000000-0005-0000-0000-00003F700000}"/>
    <cellStyle name="Normal 20 15 12" xfId="27919" xr:uid="{00000000-0005-0000-0000-000040700000}"/>
    <cellStyle name="Normal 20 15 13" xfId="27920" xr:uid="{00000000-0005-0000-0000-000041700000}"/>
    <cellStyle name="Normal 20 15 2" xfId="27921" xr:uid="{00000000-0005-0000-0000-000042700000}"/>
    <cellStyle name="Normal 20 15 2 2" xfId="27922" xr:uid="{00000000-0005-0000-0000-000043700000}"/>
    <cellStyle name="Normal 20 15 2 3" xfId="27923" xr:uid="{00000000-0005-0000-0000-000044700000}"/>
    <cellStyle name="Normal 20 15 2 4" xfId="27924" xr:uid="{00000000-0005-0000-0000-000045700000}"/>
    <cellStyle name="Normal 20 15 2 5" xfId="27925" xr:uid="{00000000-0005-0000-0000-000046700000}"/>
    <cellStyle name="Normal 20 15 2 6" xfId="27926" xr:uid="{00000000-0005-0000-0000-000047700000}"/>
    <cellStyle name="Normal 20 15 3" xfId="27927" xr:uid="{00000000-0005-0000-0000-000048700000}"/>
    <cellStyle name="Normal 20 15 3 2" xfId="27928" xr:uid="{00000000-0005-0000-0000-000049700000}"/>
    <cellStyle name="Normal 20 15 3 3" xfId="27929" xr:uid="{00000000-0005-0000-0000-00004A700000}"/>
    <cellStyle name="Normal 20 15 3 4" xfId="27930" xr:uid="{00000000-0005-0000-0000-00004B700000}"/>
    <cellStyle name="Normal 20 15 3 5" xfId="27931" xr:uid="{00000000-0005-0000-0000-00004C700000}"/>
    <cellStyle name="Normal 20 15 3 6" xfId="27932" xr:uid="{00000000-0005-0000-0000-00004D700000}"/>
    <cellStyle name="Normal 20 15 4" xfId="27933" xr:uid="{00000000-0005-0000-0000-00004E700000}"/>
    <cellStyle name="Normal 20 15 4 2" xfId="27934" xr:uid="{00000000-0005-0000-0000-00004F700000}"/>
    <cellStyle name="Normal 20 15 4 3" xfId="27935" xr:uid="{00000000-0005-0000-0000-000050700000}"/>
    <cellStyle name="Normal 20 15 4 4" xfId="27936" xr:uid="{00000000-0005-0000-0000-000051700000}"/>
    <cellStyle name="Normal 20 15 4 5" xfId="27937" xr:uid="{00000000-0005-0000-0000-000052700000}"/>
    <cellStyle name="Normal 20 15 4 6" xfId="27938" xr:uid="{00000000-0005-0000-0000-000053700000}"/>
    <cellStyle name="Normal 20 15 5" xfId="27939" xr:uid="{00000000-0005-0000-0000-000054700000}"/>
    <cellStyle name="Normal 20 15 5 2" xfId="27940" xr:uid="{00000000-0005-0000-0000-000055700000}"/>
    <cellStyle name="Normal 20 15 5 3" xfId="27941" xr:uid="{00000000-0005-0000-0000-000056700000}"/>
    <cellStyle name="Normal 20 15 5 4" xfId="27942" xr:uid="{00000000-0005-0000-0000-000057700000}"/>
    <cellStyle name="Normal 20 15 5 5" xfId="27943" xr:uid="{00000000-0005-0000-0000-000058700000}"/>
    <cellStyle name="Normal 20 15 5 6" xfId="27944" xr:uid="{00000000-0005-0000-0000-000059700000}"/>
    <cellStyle name="Normal 20 15 6" xfId="27945" xr:uid="{00000000-0005-0000-0000-00005A700000}"/>
    <cellStyle name="Normal 20 15 6 2" xfId="27946" xr:uid="{00000000-0005-0000-0000-00005B700000}"/>
    <cellStyle name="Normal 20 15 6 3" xfId="27947" xr:uid="{00000000-0005-0000-0000-00005C700000}"/>
    <cellStyle name="Normal 20 15 6 4" xfId="27948" xr:uid="{00000000-0005-0000-0000-00005D700000}"/>
    <cellStyle name="Normal 20 15 6 5" xfId="27949" xr:uid="{00000000-0005-0000-0000-00005E700000}"/>
    <cellStyle name="Normal 20 15 6 6" xfId="27950" xr:uid="{00000000-0005-0000-0000-00005F700000}"/>
    <cellStyle name="Normal 20 15 7" xfId="27951" xr:uid="{00000000-0005-0000-0000-000060700000}"/>
    <cellStyle name="Normal 20 15 7 2" xfId="27952" xr:uid="{00000000-0005-0000-0000-000061700000}"/>
    <cellStyle name="Normal 20 15 7 3" xfId="27953" xr:uid="{00000000-0005-0000-0000-000062700000}"/>
    <cellStyle name="Normal 20 15 7 4" xfId="27954" xr:uid="{00000000-0005-0000-0000-000063700000}"/>
    <cellStyle name="Normal 20 15 7 5" xfId="27955" xr:uid="{00000000-0005-0000-0000-000064700000}"/>
    <cellStyle name="Normal 20 15 7 6" xfId="27956" xr:uid="{00000000-0005-0000-0000-000065700000}"/>
    <cellStyle name="Normal 20 15 8" xfId="27957" xr:uid="{00000000-0005-0000-0000-000066700000}"/>
    <cellStyle name="Normal 20 15 8 2" xfId="27958" xr:uid="{00000000-0005-0000-0000-000067700000}"/>
    <cellStyle name="Normal 20 15 8 3" xfId="27959" xr:uid="{00000000-0005-0000-0000-000068700000}"/>
    <cellStyle name="Normal 20 15 8 4" xfId="27960" xr:uid="{00000000-0005-0000-0000-000069700000}"/>
    <cellStyle name="Normal 20 15 8 5" xfId="27961" xr:uid="{00000000-0005-0000-0000-00006A700000}"/>
    <cellStyle name="Normal 20 15 8 6" xfId="27962" xr:uid="{00000000-0005-0000-0000-00006B700000}"/>
    <cellStyle name="Normal 20 15 9" xfId="27963" xr:uid="{00000000-0005-0000-0000-00006C700000}"/>
    <cellStyle name="Normal 20 16" xfId="27964" xr:uid="{00000000-0005-0000-0000-00006D700000}"/>
    <cellStyle name="Normal 20 16 10" xfId="27965" xr:uid="{00000000-0005-0000-0000-00006E700000}"/>
    <cellStyle name="Normal 20 16 11" xfId="27966" xr:uid="{00000000-0005-0000-0000-00006F700000}"/>
    <cellStyle name="Normal 20 16 12" xfId="27967" xr:uid="{00000000-0005-0000-0000-000070700000}"/>
    <cellStyle name="Normal 20 16 13" xfId="27968" xr:uid="{00000000-0005-0000-0000-000071700000}"/>
    <cellStyle name="Normal 20 16 2" xfId="27969" xr:uid="{00000000-0005-0000-0000-000072700000}"/>
    <cellStyle name="Normal 20 16 2 2" xfId="27970" xr:uid="{00000000-0005-0000-0000-000073700000}"/>
    <cellStyle name="Normal 20 16 2 3" xfId="27971" xr:uid="{00000000-0005-0000-0000-000074700000}"/>
    <cellStyle name="Normal 20 16 2 4" xfId="27972" xr:uid="{00000000-0005-0000-0000-000075700000}"/>
    <cellStyle name="Normal 20 16 2 5" xfId="27973" xr:uid="{00000000-0005-0000-0000-000076700000}"/>
    <cellStyle name="Normal 20 16 2 6" xfId="27974" xr:uid="{00000000-0005-0000-0000-000077700000}"/>
    <cellStyle name="Normal 20 16 3" xfId="27975" xr:uid="{00000000-0005-0000-0000-000078700000}"/>
    <cellStyle name="Normal 20 16 3 2" xfId="27976" xr:uid="{00000000-0005-0000-0000-000079700000}"/>
    <cellStyle name="Normal 20 16 3 3" xfId="27977" xr:uid="{00000000-0005-0000-0000-00007A700000}"/>
    <cellStyle name="Normal 20 16 3 4" xfId="27978" xr:uid="{00000000-0005-0000-0000-00007B700000}"/>
    <cellStyle name="Normal 20 16 3 5" xfId="27979" xr:uid="{00000000-0005-0000-0000-00007C700000}"/>
    <cellStyle name="Normal 20 16 3 6" xfId="27980" xr:uid="{00000000-0005-0000-0000-00007D700000}"/>
    <cellStyle name="Normal 20 16 4" xfId="27981" xr:uid="{00000000-0005-0000-0000-00007E700000}"/>
    <cellStyle name="Normal 20 16 4 2" xfId="27982" xr:uid="{00000000-0005-0000-0000-00007F700000}"/>
    <cellStyle name="Normal 20 16 4 3" xfId="27983" xr:uid="{00000000-0005-0000-0000-000080700000}"/>
    <cellStyle name="Normal 20 16 4 4" xfId="27984" xr:uid="{00000000-0005-0000-0000-000081700000}"/>
    <cellStyle name="Normal 20 16 4 5" xfId="27985" xr:uid="{00000000-0005-0000-0000-000082700000}"/>
    <cellStyle name="Normal 20 16 4 6" xfId="27986" xr:uid="{00000000-0005-0000-0000-000083700000}"/>
    <cellStyle name="Normal 20 16 5" xfId="27987" xr:uid="{00000000-0005-0000-0000-000084700000}"/>
    <cellStyle name="Normal 20 16 5 2" xfId="27988" xr:uid="{00000000-0005-0000-0000-000085700000}"/>
    <cellStyle name="Normal 20 16 5 3" xfId="27989" xr:uid="{00000000-0005-0000-0000-000086700000}"/>
    <cellStyle name="Normal 20 16 5 4" xfId="27990" xr:uid="{00000000-0005-0000-0000-000087700000}"/>
    <cellStyle name="Normal 20 16 5 5" xfId="27991" xr:uid="{00000000-0005-0000-0000-000088700000}"/>
    <cellStyle name="Normal 20 16 5 6" xfId="27992" xr:uid="{00000000-0005-0000-0000-000089700000}"/>
    <cellStyle name="Normal 20 16 6" xfId="27993" xr:uid="{00000000-0005-0000-0000-00008A700000}"/>
    <cellStyle name="Normal 20 16 6 2" xfId="27994" xr:uid="{00000000-0005-0000-0000-00008B700000}"/>
    <cellStyle name="Normal 20 16 6 3" xfId="27995" xr:uid="{00000000-0005-0000-0000-00008C700000}"/>
    <cellStyle name="Normal 20 16 6 4" xfId="27996" xr:uid="{00000000-0005-0000-0000-00008D700000}"/>
    <cellStyle name="Normal 20 16 6 5" xfId="27997" xr:uid="{00000000-0005-0000-0000-00008E700000}"/>
    <cellStyle name="Normal 20 16 6 6" xfId="27998" xr:uid="{00000000-0005-0000-0000-00008F700000}"/>
    <cellStyle name="Normal 20 16 7" xfId="27999" xr:uid="{00000000-0005-0000-0000-000090700000}"/>
    <cellStyle name="Normal 20 16 7 2" xfId="28000" xr:uid="{00000000-0005-0000-0000-000091700000}"/>
    <cellStyle name="Normal 20 16 7 3" xfId="28001" xr:uid="{00000000-0005-0000-0000-000092700000}"/>
    <cellStyle name="Normal 20 16 7 4" xfId="28002" xr:uid="{00000000-0005-0000-0000-000093700000}"/>
    <cellStyle name="Normal 20 16 7 5" xfId="28003" xr:uid="{00000000-0005-0000-0000-000094700000}"/>
    <cellStyle name="Normal 20 16 7 6" xfId="28004" xr:uid="{00000000-0005-0000-0000-000095700000}"/>
    <cellStyle name="Normal 20 16 8" xfId="28005" xr:uid="{00000000-0005-0000-0000-000096700000}"/>
    <cellStyle name="Normal 20 16 8 2" xfId="28006" xr:uid="{00000000-0005-0000-0000-000097700000}"/>
    <cellStyle name="Normal 20 16 8 3" xfId="28007" xr:uid="{00000000-0005-0000-0000-000098700000}"/>
    <cellStyle name="Normal 20 16 8 4" xfId="28008" xr:uid="{00000000-0005-0000-0000-000099700000}"/>
    <cellStyle name="Normal 20 16 8 5" xfId="28009" xr:uid="{00000000-0005-0000-0000-00009A700000}"/>
    <cellStyle name="Normal 20 16 8 6" xfId="28010" xr:uid="{00000000-0005-0000-0000-00009B700000}"/>
    <cellStyle name="Normal 20 16 9" xfId="28011" xr:uid="{00000000-0005-0000-0000-00009C700000}"/>
    <cellStyle name="Normal 20 17" xfId="28012" xr:uid="{00000000-0005-0000-0000-00009D700000}"/>
    <cellStyle name="Normal 20 17 10" xfId="28013" xr:uid="{00000000-0005-0000-0000-00009E700000}"/>
    <cellStyle name="Normal 20 17 11" xfId="28014" xr:uid="{00000000-0005-0000-0000-00009F700000}"/>
    <cellStyle name="Normal 20 17 12" xfId="28015" xr:uid="{00000000-0005-0000-0000-0000A0700000}"/>
    <cellStyle name="Normal 20 17 13" xfId="28016" xr:uid="{00000000-0005-0000-0000-0000A1700000}"/>
    <cellStyle name="Normal 20 17 2" xfId="28017" xr:uid="{00000000-0005-0000-0000-0000A2700000}"/>
    <cellStyle name="Normal 20 17 2 2" xfId="28018" xr:uid="{00000000-0005-0000-0000-0000A3700000}"/>
    <cellStyle name="Normal 20 17 2 3" xfId="28019" xr:uid="{00000000-0005-0000-0000-0000A4700000}"/>
    <cellStyle name="Normal 20 17 2 4" xfId="28020" xr:uid="{00000000-0005-0000-0000-0000A5700000}"/>
    <cellStyle name="Normal 20 17 2 5" xfId="28021" xr:uid="{00000000-0005-0000-0000-0000A6700000}"/>
    <cellStyle name="Normal 20 17 2 6" xfId="28022" xr:uid="{00000000-0005-0000-0000-0000A7700000}"/>
    <cellStyle name="Normal 20 17 3" xfId="28023" xr:uid="{00000000-0005-0000-0000-0000A8700000}"/>
    <cellStyle name="Normal 20 17 3 2" xfId="28024" xr:uid="{00000000-0005-0000-0000-0000A9700000}"/>
    <cellStyle name="Normal 20 17 3 3" xfId="28025" xr:uid="{00000000-0005-0000-0000-0000AA700000}"/>
    <cellStyle name="Normal 20 17 3 4" xfId="28026" xr:uid="{00000000-0005-0000-0000-0000AB700000}"/>
    <cellStyle name="Normal 20 17 3 5" xfId="28027" xr:uid="{00000000-0005-0000-0000-0000AC700000}"/>
    <cellStyle name="Normal 20 17 3 6" xfId="28028" xr:uid="{00000000-0005-0000-0000-0000AD700000}"/>
    <cellStyle name="Normal 20 17 4" xfId="28029" xr:uid="{00000000-0005-0000-0000-0000AE700000}"/>
    <cellStyle name="Normal 20 17 4 2" xfId="28030" xr:uid="{00000000-0005-0000-0000-0000AF700000}"/>
    <cellStyle name="Normal 20 17 4 3" xfId="28031" xr:uid="{00000000-0005-0000-0000-0000B0700000}"/>
    <cellStyle name="Normal 20 17 4 4" xfId="28032" xr:uid="{00000000-0005-0000-0000-0000B1700000}"/>
    <cellStyle name="Normal 20 17 4 5" xfId="28033" xr:uid="{00000000-0005-0000-0000-0000B2700000}"/>
    <cellStyle name="Normal 20 17 4 6" xfId="28034" xr:uid="{00000000-0005-0000-0000-0000B3700000}"/>
    <cellStyle name="Normal 20 17 5" xfId="28035" xr:uid="{00000000-0005-0000-0000-0000B4700000}"/>
    <cellStyle name="Normal 20 17 5 2" xfId="28036" xr:uid="{00000000-0005-0000-0000-0000B5700000}"/>
    <cellStyle name="Normal 20 17 5 3" xfId="28037" xr:uid="{00000000-0005-0000-0000-0000B6700000}"/>
    <cellStyle name="Normal 20 17 5 4" xfId="28038" xr:uid="{00000000-0005-0000-0000-0000B7700000}"/>
    <cellStyle name="Normal 20 17 5 5" xfId="28039" xr:uid="{00000000-0005-0000-0000-0000B8700000}"/>
    <cellStyle name="Normal 20 17 5 6" xfId="28040" xr:uid="{00000000-0005-0000-0000-0000B9700000}"/>
    <cellStyle name="Normal 20 17 6" xfId="28041" xr:uid="{00000000-0005-0000-0000-0000BA700000}"/>
    <cellStyle name="Normal 20 17 6 2" xfId="28042" xr:uid="{00000000-0005-0000-0000-0000BB700000}"/>
    <cellStyle name="Normal 20 17 6 3" xfId="28043" xr:uid="{00000000-0005-0000-0000-0000BC700000}"/>
    <cellStyle name="Normal 20 17 6 4" xfId="28044" xr:uid="{00000000-0005-0000-0000-0000BD700000}"/>
    <cellStyle name="Normal 20 17 6 5" xfId="28045" xr:uid="{00000000-0005-0000-0000-0000BE700000}"/>
    <cellStyle name="Normal 20 17 6 6" xfId="28046" xr:uid="{00000000-0005-0000-0000-0000BF700000}"/>
    <cellStyle name="Normal 20 17 7" xfId="28047" xr:uid="{00000000-0005-0000-0000-0000C0700000}"/>
    <cellStyle name="Normal 20 17 7 2" xfId="28048" xr:uid="{00000000-0005-0000-0000-0000C1700000}"/>
    <cellStyle name="Normal 20 17 7 3" xfId="28049" xr:uid="{00000000-0005-0000-0000-0000C2700000}"/>
    <cellStyle name="Normal 20 17 7 4" xfId="28050" xr:uid="{00000000-0005-0000-0000-0000C3700000}"/>
    <cellStyle name="Normal 20 17 7 5" xfId="28051" xr:uid="{00000000-0005-0000-0000-0000C4700000}"/>
    <cellStyle name="Normal 20 17 7 6" xfId="28052" xr:uid="{00000000-0005-0000-0000-0000C5700000}"/>
    <cellStyle name="Normal 20 17 8" xfId="28053" xr:uid="{00000000-0005-0000-0000-0000C6700000}"/>
    <cellStyle name="Normal 20 17 8 2" xfId="28054" xr:uid="{00000000-0005-0000-0000-0000C7700000}"/>
    <cellStyle name="Normal 20 17 8 3" xfId="28055" xr:uid="{00000000-0005-0000-0000-0000C8700000}"/>
    <cellStyle name="Normal 20 17 8 4" xfId="28056" xr:uid="{00000000-0005-0000-0000-0000C9700000}"/>
    <cellStyle name="Normal 20 17 8 5" xfId="28057" xr:uid="{00000000-0005-0000-0000-0000CA700000}"/>
    <cellStyle name="Normal 20 17 8 6" xfId="28058" xr:uid="{00000000-0005-0000-0000-0000CB700000}"/>
    <cellStyle name="Normal 20 17 9" xfId="28059" xr:uid="{00000000-0005-0000-0000-0000CC700000}"/>
    <cellStyle name="Normal 20 18" xfId="28060" xr:uid="{00000000-0005-0000-0000-0000CD700000}"/>
    <cellStyle name="Normal 20 18 10" xfId="28061" xr:uid="{00000000-0005-0000-0000-0000CE700000}"/>
    <cellStyle name="Normal 20 18 11" xfId="28062" xr:uid="{00000000-0005-0000-0000-0000CF700000}"/>
    <cellStyle name="Normal 20 18 12" xfId="28063" xr:uid="{00000000-0005-0000-0000-0000D0700000}"/>
    <cellStyle name="Normal 20 18 13" xfId="28064" xr:uid="{00000000-0005-0000-0000-0000D1700000}"/>
    <cellStyle name="Normal 20 18 2" xfId="28065" xr:uid="{00000000-0005-0000-0000-0000D2700000}"/>
    <cellStyle name="Normal 20 18 2 2" xfId="28066" xr:uid="{00000000-0005-0000-0000-0000D3700000}"/>
    <cellStyle name="Normal 20 18 2 3" xfId="28067" xr:uid="{00000000-0005-0000-0000-0000D4700000}"/>
    <cellStyle name="Normal 20 18 2 4" xfId="28068" xr:uid="{00000000-0005-0000-0000-0000D5700000}"/>
    <cellStyle name="Normal 20 18 2 5" xfId="28069" xr:uid="{00000000-0005-0000-0000-0000D6700000}"/>
    <cellStyle name="Normal 20 18 2 6" xfId="28070" xr:uid="{00000000-0005-0000-0000-0000D7700000}"/>
    <cellStyle name="Normal 20 18 3" xfId="28071" xr:uid="{00000000-0005-0000-0000-0000D8700000}"/>
    <cellStyle name="Normal 20 18 3 2" xfId="28072" xr:uid="{00000000-0005-0000-0000-0000D9700000}"/>
    <cellStyle name="Normal 20 18 3 3" xfId="28073" xr:uid="{00000000-0005-0000-0000-0000DA700000}"/>
    <cellStyle name="Normal 20 18 3 4" xfId="28074" xr:uid="{00000000-0005-0000-0000-0000DB700000}"/>
    <cellStyle name="Normal 20 18 3 5" xfId="28075" xr:uid="{00000000-0005-0000-0000-0000DC700000}"/>
    <cellStyle name="Normal 20 18 3 6" xfId="28076" xr:uid="{00000000-0005-0000-0000-0000DD700000}"/>
    <cellStyle name="Normal 20 18 4" xfId="28077" xr:uid="{00000000-0005-0000-0000-0000DE700000}"/>
    <cellStyle name="Normal 20 18 4 2" xfId="28078" xr:uid="{00000000-0005-0000-0000-0000DF700000}"/>
    <cellStyle name="Normal 20 18 4 3" xfId="28079" xr:uid="{00000000-0005-0000-0000-0000E0700000}"/>
    <cellStyle name="Normal 20 18 4 4" xfId="28080" xr:uid="{00000000-0005-0000-0000-0000E1700000}"/>
    <cellStyle name="Normal 20 18 4 5" xfId="28081" xr:uid="{00000000-0005-0000-0000-0000E2700000}"/>
    <cellStyle name="Normal 20 18 4 6" xfId="28082" xr:uid="{00000000-0005-0000-0000-0000E3700000}"/>
    <cellStyle name="Normal 20 18 5" xfId="28083" xr:uid="{00000000-0005-0000-0000-0000E4700000}"/>
    <cellStyle name="Normal 20 18 5 2" xfId="28084" xr:uid="{00000000-0005-0000-0000-0000E5700000}"/>
    <cellStyle name="Normal 20 18 5 3" xfId="28085" xr:uid="{00000000-0005-0000-0000-0000E6700000}"/>
    <cellStyle name="Normal 20 18 5 4" xfId="28086" xr:uid="{00000000-0005-0000-0000-0000E7700000}"/>
    <cellStyle name="Normal 20 18 5 5" xfId="28087" xr:uid="{00000000-0005-0000-0000-0000E8700000}"/>
    <cellStyle name="Normal 20 18 5 6" xfId="28088" xr:uid="{00000000-0005-0000-0000-0000E9700000}"/>
    <cellStyle name="Normal 20 18 6" xfId="28089" xr:uid="{00000000-0005-0000-0000-0000EA700000}"/>
    <cellStyle name="Normal 20 18 6 2" xfId="28090" xr:uid="{00000000-0005-0000-0000-0000EB700000}"/>
    <cellStyle name="Normal 20 18 6 3" xfId="28091" xr:uid="{00000000-0005-0000-0000-0000EC700000}"/>
    <cellStyle name="Normal 20 18 6 4" xfId="28092" xr:uid="{00000000-0005-0000-0000-0000ED700000}"/>
    <cellStyle name="Normal 20 18 6 5" xfId="28093" xr:uid="{00000000-0005-0000-0000-0000EE700000}"/>
    <cellStyle name="Normal 20 18 6 6" xfId="28094" xr:uid="{00000000-0005-0000-0000-0000EF700000}"/>
    <cellStyle name="Normal 20 18 7" xfId="28095" xr:uid="{00000000-0005-0000-0000-0000F0700000}"/>
    <cellStyle name="Normal 20 18 7 2" xfId="28096" xr:uid="{00000000-0005-0000-0000-0000F1700000}"/>
    <cellStyle name="Normal 20 18 7 3" xfId="28097" xr:uid="{00000000-0005-0000-0000-0000F2700000}"/>
    <cellStyle name="Normal 20 18 7 4" xfId="28098" xr:uid="{00000000-0005-0000-0000-0000F3700000}"/>
    <cellStyle name="Normal 20 18 7 5" xfId="28099" xr:uid="{00000000-0005-0000-0000-0000F4700000}"/>
    <cellStyle name="Normal 20 18 7 6" xfId="28100" xr:uid="{00000000-0005-0000-0000-0000F5700000}"/>
    <cellStyle name="Normal 20 18 8" xfId="28101" xr:uid="{00000000-0005-0000-0000-0000F6700000}"/>
    <cellStyle name="Normal 20 18 8 2" xfId="28102" xr:uid="{00000000-0005-0000-0000-0000F7700000}"/>
    <cellStyle name="Normal 20 18 8 3" xfId="28103" xr:uid="{00000000-0005-0000-0000-0000F8700000}"/>
    <cellStyle name="Normal 20 18 8 4" xfId="28104" xr:uid="{00000000-0005-0000-0000-0000F9700000}"/>
    <cellStyle name="Normal 20 18 8 5" xfId="28105" xr:uid="{00000000-0005-0000-0000-0000FA700000}"/>
    <cellStyle name="Normal 20 18 8 6" xfId="28106" xr:uid="{00000000-0005-0000-0000-0000FB700000}"/>
    <cellStyle name="Normal 20 18 9" xfId="28107" xr:uid="{00000000-0005-0000-0000-0000FC700000}"/>
    <cellStyle name="Normal 20 19" xfId="28108" xr:uid="{00000000-0005-0000-0000-0000FD700000}"/>
    <cellStyle name="Normal 20 19 10" xfId="28109" xr:uid="{00000000-0005-0000-0000-0000FE700000}"/>
    <cellStyle name="Normal 20 19 11" xfId="28110" xr:uid="{00000000-0005-0000-0000-0000FF700000}"/>
    <cellStyle name="Normal 20 19 12" xfId="28111" xr:uid="{00000000-0005-0000-0000-000000710000}"/>
    <cellStyle name="Normal 20 19 13" xfId="28112" xr:uid="{00000000-0005-0000-0000-000001710000}"/>
    <cellStyle name="Normal 20 19 2" xfId="28113" xr:uid="{00000000-0005-0000-0000-000002710000}"/>
    <cellStyle name="Normal 20 19 2 2" xfId="28114" xr:uid="{00000000-0005-0000-0000-000003710000}"/>
    <cellStyle name="Normal 20 19 2 3" xfId="28115" xr:uid="{00000000-0005-0000-0000-000004710000}"/>
    <cellStyle name="Normal 20 19 2 4" xfId="28116" xr:uid="{00000000-0005-0000-0000-000005710000}"/>
    <cellStyle name="Normal 20 19 2 5" xfId="28117" xr:uid="{00000000-0005-0000-0000-000006710000}"/>
    <cellStyle name="Normal 20 19 2 6" xfId="28118" xr:uid="{00000000-0005-0000-0000-000007710000}"/>
    <cellStyle name="Normal 20 19 3" xfId="28119" xr:uid="{00000000-0005-0000-0000-000008710000}"/>
    <cellStyle name="Normal 20 19 3 2" xfId="28120" xr:uid="{00000000-0005-0000-0000-000009710000}"/>
    <cellStyle name="Normal 20 19 3 3" xfId="28121" xr:uid="{00000000-0005-0000-0000-00000A710000}"/>
    <cellStyle name="Normal 20 19 3 4" xfId="28122" xr:uid="{00000000-0005-0000-0000-00000B710000}"/>
    <cellStyle name="Normal 20 19 3 5" xfId="28123" xr:uid="{00000000-0005-0000-0000-00000C710000}"/>
    <cellStyle name="Normal 20 19 3 6" xfId="28124" xr:uid="{00000000-0005-0000-0000-00000D710000}"/>
    <cellStyle name="Normal 20 19 4" xfId="28125" xr:uid="{00000000-0005-0000-0000-00000E710000}"/>
    <cellStyle name="Normal 20 19 4 2" xfId="28126" xr:uid="{00000000-0005-0000-0000-00000F710000}"/>
    <cellStyle name="Normal 20 19 4 3" xfId="28127" xr:uid="{00000000-0005-0000-0000-000010710000}"/>
    <cellStyle name="Normal 20 19 4 4" xfId="28128" xr:uid="{00000000-0005-0000-0000-000011710000}"/>
    <cellStyle name="Normal 20 19 4 5" xfId="28129" xr:uid="{00000000-0005-0000-0000-000012710000}"/>
    <cellStyle name="Normal 20 19 4 6" xfId="28130" xr:uid="{00000000-0005-0000-0000-000013710000}"/>
    <cellStyle name="Normal 20 19 5" xfId="28131" xr:uid="{00000000-0005-0000-0000-000014710000}"/>
    <cellStyle name="Normal 20 19 5 2" xfId="28132" xr:uid="{00000000-0005-0000-0000-000015710000}"/>
    <cellStyle name="Normal 20 19 5 3" xfId="28133" xr:uid="{00000000-0005-0000-0000-000016710000}"/>
    <cellStyle name="Normal 20 19 5 4" xfId="28134" xr:uid="{00000000-0005-0000-0000-000017710000}"/>
    <cellStyle name="Normal 20 19 5 5" xfId="28135" xr:uid="{00000000-0005-0000-0000-000018710000}"/>
    <cellStyle name="Normal 20 19 5 6" xfId="28136" xr:uid="{00000000-0005-0000-0000-000019710000}"/>
    <cellStyle name="Normal 20 19 6" xfId="28137" xr:uid="{00000000-0005-0000-0000-00001A710000}"/>
    <cellStyle name="Normal 20 19 6 2" xfId="28138" xr:uid="{00000000-0005-0000-0000-00001B710000}"/>
    <cellStyle name="Normal 20 19 6 3" xfId="28139" xr:uid="{00000000-0005-0000-0000-00001C710000}"/>
    <cellStyle name="Normal 20 19 6 4" xfId="28140" xr:uid="{00000000-0005-0000-0000-00001D710000}"/>
    <cellStyle name="Normal 20 19 6 5" xfId="28141" xr:uid="{00000000-0005-0000-0000-00001E710000}"/>
    <cellStyle name="Normal 20 19 6 6" xfId="28142" xr:uid="{00000000-0005-0000-0000-00001F710000}"/>
    <cellStyle name="Normal 20 19 7" xfId="28143" xr:uid="{00000000-0005-0000-0000-000020710000}"/>
    <cellStyle name="Normal 20 19 7 2" xfId="28144" xr:uid="{00000000-0005-0000-0000-000021710000}"/>
    <cellStyle name="Normal 20 19 7 3" xfId="28145" xr:uid="{00000000-0005-0000-0000-000022710000}"/>
    <cellStyle name="Normal 20 19 7 4" xfId="28146" xr:uid="{00000000-0005-0000-0000-000023710000}"/>
    <cellStyle name="Normal 20 19 7 5" xfId="28147" xr:uid="{00000000-0005-0000-0000-000024710000}"/>
    <cellStyle name="Normal 20 19 7 6" xfId="28148" xr:uid="{00000000-0005-0000-0000-000025710000}"/>
    <cellStyle name="Normal 20 19 8" xfId="28149" xr:uid="{00000000-0005-0000-0000-000026710000}"/>
    <cellStyle name="Normal 20 19 8 2" xfId="28150" xr:uid="{00000000-0005-0000-0000-000027710000}"/>
    <cellStyle name="Normal 20 19 8 3" xfId="28151" xr:uid="{00000000-0005-0000-0000-000028710000}"/>
    <cellStyle name="Normal 20 19 8 4" xfId="28152" xr:uid="{00000000-0005-0000-0000-000029710000}"/>
    <cellStyle name="Normal 20 19 8 5" xfId="28153" xr:uid="{00000000-0005-0000-0000-00002A710000}"/>
    <cellStyle name="Normal 20 19 8 6" xfId="28154" xr:uid="{00000000-0005-0000-0000-00002B710000}"/>
    <cellStyle name="Normal 20 19 9" xfId="28155" xr:uid="{00000000-0005-0000-0000-00002C710000}"/>
    <cellStyle name="Normal 20 2" xfId="28156" xr:uid="{00000000-0005-0000-0000-00002D710000}"/>
    <cellStyle name="Normal 20 2 10" xfId="28157" xr:uid="{00000000-0005-0000-0000-00002E710000}"/>
    <cellStyle name="Normal 20 2 11" xfId="28158" xr:uid="{00000000-0005-0000-0000-00002F710000}"/>
    <cellStyle name="Normal 20 2 12" xfId="28159" xr:uid="{00000000-0005-0000-0000-000030710000}"/>
    <cellStyle name="Normal 20 2 13" xfId="28160" xr:uid="{00000000-0005-0000-0000-000031710000}"/>
    <cellStyle name="Normal 20 2 2" xfId="28161" xr:uid="{00000000-0005-0000-0000-000032710000}"/>
    <cellStyle name="Normal 20 2 2 2" xfId="28162" xr:uid="{00000000-0005-0000-0000-000033710000}"/>
    <cellStyle name="Normal 20 2 2 3" xfId="28163" xr:uid="{00000000-0005-0000-0000-000034710000}"/>
    <cellStyle name="Normal 20 2 2 4" xfId="28164" xr:uid="{00000000-0005-0000-0000-000035710000}"/>
    <cellStyle name="Normal 20 2 2 5" xfId="28165" xr:uid="{00000000-0005-0000-0000-000036710000}"/>
    <cellStyle name="Normal 20 2 2 6" xfId="28166" xr:uid="{00000000-0005-0000-0000-000037710000}"/>
    <cellStyle name="Normal 20 2 3" xfId="28167" xr:uid="{00000000-0005-0000-0000-000038710000}"/>
    <cellStyle name="Normal 20 2 3 2" xfId="28168" xr:uid="{00000000-0005-0000-0000-000039710000}"/>
    <cellStyle name="Normal 20 2 3 3" xfId="28169" xr:uid="{00000000-0005-0000-0000-00003A710000}"/>
    <cellStyle name="Normal 20 2 3 4" xfId="28170" xr:uid="{00000000-0005-0000-0000-00003B710000}"/>
    <cellStyle name="Normal 20 2 3 5" xfId="28171" xr:uid="{00000000-0005-0000-0000-00003C710000}"/>
    <cellStyle name="Normal 20 2 3 6" xfId="28172" xr:uid="{00000000-0005-0000-0000-00003D710000}"/>
    <cellStyle name="Normal 20 2 4" xfId="28173" xr:uid="{00000000-0005-0000-0000-00003E710000}"/>
    <cellStyle name="Normal 20 2 4 2" xfId="28174" xr:uid="{00000000-0005-0000-0000-00003F710000}"/>
    <cellStyle name="Normal 20 2 4 3" xfId="28175" xr:uid="{00000000-0005-0000-0000-000040710000}"/>
    <cellStyle name="Normal 20 2 4 4" xfId="28176" xr:uid="{00000000-0005-0000-0000-000041710000}"/>
    <cellStyle name="Normal 20 2 4 5" xfId="28177" xr:uid="{00000000-0005-0000-0000-000042710000}"/>
    <cellStyle name="Normal 20 2 4 6" xfId="28178" xr:uid="{00000000-0005-0000-0000-000043710000}"/>
    <cellStyle name="Normal 20 2 5" xfId="28179" xr:uid="{00000000-0005-0000-0000-000044710000}"/>
    <cellStyle name="Normal 20 2 5 2" xfId="28180" xr:uid="{00000000-0005-0000-0000-000045710000}"/>
    <cellStyle name="Normal 20 2 5 3" xfId="28181" xr:uid="{00000000-0005-0000-0000-000046710000}"/>
    <cellStyle name="Normal 20 2 5 4" xfId="28182" xr:uid="{00000000-0005-0000-0000-000047710000}"/>
    <cellStyle name="Normal 20 2 5 5" xfId="28183" xr:uid="{00000000-0005-0000-0000-000048710000}"/>
    <cellStyle name="Normal 20 2 5 6" xfId="28184" xr:uid="{00000000-0005-0000-0000-000049710000}"/>
    <cellStyle name="Normal 20 2 6" xfId="28185" xr:uid="{00000000-0005-0000-0000-00004A710000}"/>
    <cellStyle name="Normal 20 2 6 2" xfId="28186" xr:uid="{00000000-0005-0000-0000-00004B710000}"/>
    <cellStyle name="Normal 20 2 6 3" xfId="28187" xr:uid="{00000000-0005-0000-0000-00004C710000}"/>
    <cellStyle name="Normal 20 2 6 4" xfId="28188" xr:uid="{00000000-0005-0000-0000-00004D710000}"/>
    <cellStyle name="Normal 20 2 6 5" xfId="28189" xr:uid="{00000000-0005-0000-0000-00004E710000}"/>
    <cellStyle name="Normal 20 2 6 6" xfId="28190" xr:uid="{00000000-0005-0000-0000-00004F710000}"/>
    <cellStyle name="Normal 20 2 7" xfId="28191" xr:uid="{00000000-0005-0000-0000-000050710000}"/>
    <cellStyle name="Normal 20 2 7 2" xfId="28192" xr:uid="{00000000-0005-0000-0000-000051710000}"/>
    <cellStyle name="Normal 20 2 7 3" xfId="28193" xr:uid="{00000000-0005-0000-0000-000052710000}"/>
    <cellStyle name="Normal 20 2 7 4" xfId="28194" xr:uid="{00000000-0005-0000-0000-000053710000}"/>
    <cellStyle name="Normal 20 2 7 5" xfId="28195" xr:uid="{00000000-0005-0000-0000-000054710000}"/>
    <cellStyle name="Normal 20 2 7 6" xfId="28196" xr:uid="{00000000-0005-0000-0000-000055710000}"/>
    <cellStyle name="Normal 20 2 8" xfId="28197" xr:uid="{00000000-0005-0000-0000-000056710000}"/>
    <cellStyle name="Normal 20 2 8 2" xfId="28198" xr:uid="{00000000-0005-0000-0000-000057710000}"/>
    <cellStyle name="Normal 20 2 8 3" xfId="28199" xr:uid="{00000000-0005-0000-0000-000058710000}"/>
    <cellStyle name="Normal 20 2 8 4" xfId="28200" xr:uid="{00000000-0005-0000-0000-000059710000}"/>
    <cellStyle name="Normal 20 2 8 5" xfId="28201" xr:uid="{00000000-0005-0000-0000-00005A710000}"/>
    <cellStyle name="Normal 20 2 8 6" xfId="28202" xr:uid="{00000000-0005-0000-0000-00005B710000}"/>
    <cellStyle name="Normal 20 2 9" xfId="28203" xr:uid="{00000000-0005-0000-0000-00005C710000}"/>
    <cellStyle name="Normal 20 20" xfId="28204" xr:uid="{00000000-0005-0000-0000-00005D710000}"/>
    <cellStyle name="Normal 20 20 10" xfId="28205" xr:uid="{00000000-0005-0000-0000-00005E710000}"/>
    <cellStyle name="Normal 20 20 11" xfId="28206" xr:uid="{00000000-0005-0000-0000-00005F710000}"/>
    <cellStyle name="Normal 20 20 12" xfId="28207" xr:uid="{00000000-0005-0000-0000-000060710000}"/>
    <cellStyle name="Normal 20 20 13" xfId="28208" xr:uid="{00000000-0005-0000-0000-000061710000}"/>
    <cellStyle name="Normal 20 20 2" xfId="28209" xr:uid="{00000000-0005-0000-0000-000062710000}"/>
    <cellStyle name="Normal 20 20 2 2" xfId="28210" xr:uid="{00000000-0005-0000-0000-000063710000}"/>
    <cellStyle name="Normal 20 20 2 3" xfId="28211" xr:uid="{00000000-0005-0000-0000-000064710000}"/>
    <cellStyle name="Normal 20 20 2 4" xfId="28212" xr:uid="{00000000-0005-0000-0000-000065710000}"/>
    <cellStyle name="Normal 20 20 2 5" xfId="28213" xr:uid="{00000000-0005-0000-0000-000066710000}"/>
    <cellStyle name="Normal 20 20 2 6" xfId="28214" xr:uid="{00000000-0005-0000-0000-000067710000}"/>
    <cellStyle name="Normal 20 20 3" xfId="28215" xr:uid="{00000000-0005-0000-0000-000068710000}"/>
    <cellStyle name="Normal 20 20 3 2" xfId="28216" xr:uid="{00000000-0005-0000-0000-000069710000}"/>
    <cellStyle name="Normal 20 20 3 3" xfId="28217" xr:uid="{00000000-0005-0000-0000-00006A710000}"/>
    <cellStyle name="Normal 20 20 3 4" xfId="28218" xr:uid="{00000000-0005-0000-0000-00006B710000}"/>
    <cellStyle name="Normal 20 20 3 5" xfId="28219" xr:uid="{00000000-0005-0000-0000-00006C710000}"/>
    <cellStyle name="Normal 20 20 3 6" xfId="28220" xr:uid="{00000000-0005-0000-0000-00006D710000}"/>
    <cellStyle name="Normal 20 20 4" xfId="28221" xr:uid="{00000000-0005-0000-0000-00006E710000}"/>
    <cellStyle name="Normal 20 20 4 2" xfId="28222" xr:uid="{00000000-0005-0000-0000-00006F710000}"/>
    <cellStyle name="Normal 20 20 4 3" xfId="28223" xr:uid="{00000000-0005-0000-0000-000070710000}"/>
    <cellStyle name="Normal 20 20 4 4" xfId="28224" xr:uid="{00000000-0005-0000-0000-000071710000}"/>
    <cellStyle name="Normal 20 20 4 5" xfId="28225" xr:uid="{00000000-0005-0000-0000-000072710000}"/>
    <cellStyle name="Normal 20 20 4 6" xfId="28226" xr:uid="{00000000-0005-0000-0000-000073710000}"/>
    <cellStyle name="Normal 20 20 5" xfId="28227" xr:uid="{00000000-0005-0000-0000-000074710000}"/>
    <cellStyle name="Normal 20 20 5 2" xfId="28228" xr:uid="{00000000-0005-0000-0000-000075710000}"/>
    <cellStyle name="Normal 20 20 5 3" xfId="28229" xr:uid="{00000000-0005-0000-0000-000076710000}"/>
    <cellStyle name="Normal 20 20 5 4" xfId="28230" xr:uid="{00000000-0005-0000-0000-000077710000}"/>
    <cellStyle name="Normal 20 20 5 5" xfId="28231" xr:uid="{00000000-0005-0000-0000-000078710000}"/>
    <cellStyle name="Normal 20 20 5 6" xfId="28232" xr:uid="{00000000-0005-0000-0000-000079710000}"/>
    <cellStyle name="Normal 20 20 6" xfId="28233" xr:uid="{00000000-0005-0000-0000-00007A710000}"/>
    <cellStyle name="Normal 20 20 6 2" xfId="28234" xr:uid="{00000000-0005-0000-0000-00007B710000}"/>
    <cellStyle name="Normal 20 20 6 3" xfId="28235" xr:uid="{00000000-0005-0000-0000-00007C710000}"/>
    <cellStyle name="Normal 20 20 6 4" xfId="28236" xr:uid="{00000000-0005-0000-0000-00007D710000}"/>
    <cellStyle name="Normal 20 20 6 5" xfId="28237" xr:uid="{00000000-0005-0000-0000-00007E710000}"/>
    <cellStyle name="Normal 20 20 6 6" xfId="28238" xr:uid="{00000000-0005-0000-0000-00007F710000}"/>
    <cellStyle name="Normal 20 20 7" xfId="28239" xr:uid="{00000000-0005-0000-0000-000080710000}"/>
    <cellStyle name="Normal 20 20 7 2" xfId="28240" xr:uid="{00000000-0005-0000-0000-000081710000}"/>
    <cellStyle name="Normal 20 20 7 3" xfId="28241" xr:uid="{00000000-0005-0000-0000-000082710000}"/>
    <cellStyle name="Normal 20 20 7 4" xfId="28242" xr:uid="{00000000-0005-0000-0000-000083710000}"/>
    <cellStyle name="Normal 20 20 7 5" xfId="28243" xr:uid="{00000000-0005-0000-0000-000084710000}"/>
    <cellStyle name="Normal 20 20 7 6" xfId="28244" xr:uid="{00000000-0005-0000-0000-000085710000}"/>
    <cellStyle name="Normal 20 20 8" xfId="28245" xr:uid="{00000000-0005-0000-0000-000086710000}"/>
    <cellStyle name="Normal 20 20 8 2" xfId="28246" xr:uid="{00000000-0005-0000-0000-000087710000}"/>
    <cellStyle name="Normal 20 20 8 3" xfId="28247" xr:uid="{00000000-0005-0000-0000-000088710000}"/>
    <cellStyle name="Normal 20 20 8 4" xfId="28248" xr:uid="{00000000-0005-0000-0000-000089710000}"/>
    <cellStyle name="Normal 20 20 8 5" xfId="28249" xr:uid="{00000000-0005-0000-0000-00008A710000}"/>
    <cellStyle name="Normal 20 20 8 6" xfId="28250" xr:uid="{00000000-0005-0000-0000-00008B710000}"/>
    <cellStyle name="Normal 20 20 9" xfId="28251" xr:uid="{00000000-0005-0000-0000-00008C710000}"/>
    <cellStyle name="Normal 20 21" xfId="28252" xr:uid="{00000000-0005-0000-0000-00008D710000}"/>
    <cellStyle name="Normal 20 21 10" xfId="28253" xr:uid="{00000000-0005-0000-0000-00008E710000}"/>
    <cellStyle name="Normal 20 21 11" xfId="28254" xr:uid="{00000000-0005-0000-0000-00008F710000}"/>
    <cellStyle name="Normal 20 21 12" xfId="28255" xr:uid="{00000000-0005-0000-0000-000090710000}"/>
    <cellStyle name="Normal 20 21 13" xfId="28256" xr:uid="{00000000-0005-0000-0000-000091710000}"/>
    <cellStyle name="Normal 20 21 2" xfId="28257" xr:uid="{00000000-0005-0000-0000-000092710000}"/>
    <cellStyle name="Normal 20 21 2 2" xfId="28258" xr:uid="{00000000-0005-0000-0000-000093710000}"/>
    <cellStyle name="Normal 20 21 2 3" xfId="28259" xr:uid="{00000000-0005-0000-0000-000094710000}"/>
    <cellStyle name="Normal 20 21 2 4" xfId="28260" xr:uid="{00000000-0005-0000-0000-000095710000}"/>
    <cellStyle name="Normal 20 21 2 5" xfId="28261" xr:uid="{00000000-0005-0000-0000-000096710000}"/>
    <cellStyle name="Normal 20 21 2 6" xfId="28262" xr:uid="{00000000-0005-0000-0000-000097710000}"/>
    <cellStyle name="Normal 20 21 3" xfId="28263" xr:uid="{00000000-0005-0000-0000-000098710000}"/>
    <cellStyle name="Normal 20 21 3 2" xfId="28264" xr:uid="{00000000-0005-0000-0000-000099710000}"/>
    <cellStyle name="Normal 20 21 3 3" xfId="28265" xr:uid="{00000000-0005-0000-0000-00009A710000}"/>
    <cellStyle name="Normal 20 21 3 4" xfId="28266" xr:uid="{00000000-0005-0000-0000-00009B710000}"/>
    <cellStyle name="Normal 20 21 3 5" xfId="28267" xr:uid="{00000000-0005-0000-0000-00009C710000}"/>
    <cellStyle name="Normal 20 21 3 6" xfId="28268" xr:uid="{00000000-0005-0000-0000-00009D710000}"/>
    <cellStyle name="Normal 20 21 4" xfId="28269" xr:uid="{00000000-0005-0000-0000-00009E710000}"/>
    <cellStyle name="Normal 20 21 4 2" xfId="28270" xr:uid="{00000000-0005-0000-0000-00009F710000}"/>
    <cellStyle name="Normal 20 21 4 3" xfId="28271" xr:uid="{00000000-0005-0000-0000-0000A0710000}"/>
    <cellStyle name="Normal 20 21 4 4" xfId="28272" xr:uid="{00000000-0005-0000-0000-0000A1710000}"/>
    <cellStyle name="Normal 20 21 4 5" xfId="28273" xr:uid="{00000000-0005-0000-0000-0000A2710000}"/>
    <cellStyle name="Normal 20 21 4 6" xfId="28274" xr:uid="{00000000-0005-0000-0000-0000A3710000}"/>
    <cellStyle name="Normal 20 21 5" xfId="28275" xr:uid="{00000000-0005-0000-0000-0000A4710000}"/>
    <cellStyle name="Normal 20 21 5 2" xfId="28276" xr:uid="{00000000-0005-0000-0000-0000A5710000}"/>
    <cellStyle name="Normal 20 21 5 3" xfId="28277" xr:uid="{00000000-0005-0000-0000-0000A6710000}"/>
    <cellStyle name="Normal 20 21 5 4" xfId="28278" xr:uid="{00000000-0005-0000-0000-0000A7710000}"/>
    <cellStyle name="Normal 20 21 5 5" xfId="28279" xr:uid="{00000000-0005-0000-0000-0000A8710000}"/>
    <cellStyle name="Normal 20 21 5 6" xfId="28280" xr:uid="{00000000-0005-0000-0000-0000A9710000}"/>
    <cellStyle name="Normal 20 21 6" xfId="28281" xr:uid="{00000000-0005-0000-0000-0000AA710000}"/>
    <cellStyle name="Normal 20 21 6 2" xfId="28282" xr:uid="{00000000-0005-0000-0000-0000AB710000}"/>
    <cellStyle name="Normal 20 21 6 3" xfId="28283" xr:uid="{00000000-0005-0000-0000-0000AC710000}"/>
    <cellStyle name="Normal 20 21 6 4" xfId="28284" xr:uid="{00000000-0005-0000-0000-0000AD710000}"/>
    <cellStyle name="Normal 20 21 6 5" xfId="28285" xr:uid="{00000000-0005-0000-0000-0000AE710000}"/>
    <cellStyle name="Normal 20 21 6 6" xfId="28286" xr:uid="{00000000-0005-0000-0000-0000AF710000}"/>
    <cellStyle name="Normal 20 21 7" xfId="28287" xr:uid="{00000000-0005-0000-0000-0000B0710000}"/>
    <cellStyle name="Normal 20 21 7 2" xfId="28288" xr:uid="{00000000-0005-0000-0000-0000B1710000}"/>
    <cellStyle name="Normal 20 21 7 3" xfId="28289" xr:uid="{00000000-0005-0000-0000-0000B2710000}"/>
    <cellStyle name="Normal 20 21 7 4" xfId="28290" xr:uid="{00000000-0005-0000-0000-0000B3710000}"/>
    <cellStyle name="Normal 20 21 7 5" xfId="28291" xr:uid="{00000000-0005-0000-0000-0000B4710000}"/>
    <cellStyle name="Normal 20 21 7 6" xfId="28292" xr:uid="{00000000-0005-0000-0000-0000B5710000}"/>
    <cellStyle name="Normal 20 21 8" xfId="28293" xr:uid="{00000000-0005-0000-0000-0000B6710000}"/>
    <cellStyle name="Normal 20 21 8 2" xfId="28294" xr:uid="{00000000-0005-0000-0000-0000B7710000}"/>
    <cellStyle name="Normal 20 21 8 3" xfId="28295" xr:uid="{00000000-0005-0000-0000-0000B8710000}"/>
    <cellStyle name="Normal 20 21 8 4" xfId="28296" xr:uid="{00000000-0005-0000-0000-0000B9710000}"/>
    <cellStyle name="Normal 20 21 8 5" xfId="28297" xr:uid="{00000000-0005-0000-0000-0000BA710000}"/>
    <cellStyle name="Normal 20 21 8 6" xfId="28298" xr:uid="{00000000-0005-0000-0000-0000BB710000}"/>
    <cellStyle name="Normal 20 21 9" xfId="28299" xr:uid="{00000000-0005-0000-0000-0000BC710000}"/>
    <cellStyle name="Normal 20 22" xfId="28300" xr:uid="{00000000-0005-0000-0000-0000BD710000}"/>
    <cellStyle name="Normal 20 22 10" xfId="28301" xr:uid="{00000000-0005-0000-0000-0000BE710000}"/>
    <cellStyle name="Normal 20 22 11" xfId="28302" xr:uid="{00000000-0005-0000-0000-0000BF710000}"/>
    <cellStyle name="Normal 20 22 12" xfId="28303" xr:uid="{00000000-0005-0000-0000-0000C0710000}"/>
    <cellStyle name="Normal 20 22 13" xfId="28304" xr:uid="{00000000-0005-0000-0000-0000C1710000}"/>
    <cellStyle name="Normal 20 22 2" xfId="28305" xr:uid="{00000000-0005-0000-0000-0000C2710000}"/>
    <cellStyle name="Normal 20 22 2 2" xfId="28306" xr:uid="{00000000-0005-0000-0000-0000C3710000}"/>
    <cellStyle name="Normal 20 22 2 3" xfId="28307" xr:uid="{00000000-0005-0000-0000-0000C4710000}"/>
    <cellStyle name="Normal 20 22 2 4" xfId="28308" xr:uid="{00000000-0005-0000-0000-0000C5710000}"/>
    <cellStyle name="Normal 20 22 2 5" xfId="28309" xr:uid="{00000000-0005-0000-0000-0000C6710000}"/>
    <cellStyle name="Normal 20 22 2 6" xfId="28310" xr:uid="{00000000-0005-0000-0000-0000C7710000}"/>
    <cellStyle name="Normal 20 22 3" xfId="28311" xr:uid="{00000000-0005-0000-0000-0000C8710000}"/>
    <cellStyle name="Normal 20 22 3 2" xfId="28312" xr:uid="{00000000-0005-0000-0000-0000C9710000}"/>
    <cellStyle name="Normal 20 22 3 3" xfId="28313" xr:uid="{00000000-0005-0000-0000-0000CA710000}"/>
    <cellStyle name="Normal 20 22 3 4" xfId="28314" xr:uid="{00000000-0005-0000-0000-0000CB710000}"/>
    <cellStyle name="Normal 20 22 3 5" xfId="28315" xr:uid="{00000000-0005-0000-0000-0000CC710000}"/>
    <cellStyle name="Normal 20 22 3 6" xfId="28316" xr:uid="{00000000-0005-0000-0000-0000CD710000}"/>
    <cellStyle name="Normal 20 22 4" xfId="28317" xr:uid="{00000000-0005-0000-0000-0000CE710000}"/>
    <cellStyle name="Normal 20 22 4 2" xfId="28318" xr:uid="{00000000-0005-0000-0000-0000CF710000}"/>
    <cellStyle name="Normal 20 22 4 3" xfId="28319" xr:uid="{00000000-0005-0000-0000-0000D0710000}"/>
    <cellStyle name="Normal 20 22 4 4" xfId="28320" xr:uid="{00000000-0005-0000-0000-0000D1710000}"/>
    <cellStyle name="Normal 20 22 4 5" xfId="28321" xr:uid="{00000000-0005-0000-0000-0000D2710000}"/>
    <cellStyle name="Normal 20 22 4 6" xfId="28322" xr:uid="{00000000-0005-0000-0000-0000D3710000}"/>
    <cellStyle name="Normal 20 22 5" xfId="28323" xr:uid="{00000000-0005-0000-0000-0000D4710000}"/>
    <cellStyle name="Normal 20 22 5 2" xfId="28324" xr:uid="{00000000-0005-0000-0000-0000D5710000}"/>
    <cellStyle name="Normal 20 22 5 3" xfId="28325" xr:uid="{00000000-0005-0000-0000-0000D6710000}"/>
    <cellStyle name="Normal 20 22 5 4" xfId="28326" xr:uid="{00000000-0005-0000-0000-0000D7710000}"/>
    <cellStyle name="Normal 20 22 5 5" xfId="28327" xr:uid="{00000000-0005-0000-0000-0000D8710000}"/>
    <cellStyle name="Normal 20 22 5 6" xfId="28328" xr:uid="{00000000-0005-0000-0000-0000D9710000}"/>
    <cellStyle name="Normal 20 22 6" xfId="28329" xr:uid="{00000000-0005-0000-0000-0000DA710000}"/>
    <cellStyle name="Normal 20 22 6 2" xfId="28330" xr:uid="{00000000-0005-0000-0000-0000DB710000}"/>
    <cellStyle name="Normal 20 22 6 3" xfId="28331" xr:uid="{00000000-0005-0000-0000-0000DC710000}"/>
    <cellStyle name="Normal 20 22 6 4" xfId="28332" xr:uid="{00000000-0005-0000-0000-0000DD710000}"/>
    <cellStyle name="Normal 20 22 6 5" xfId="28333" xr:uid="{00000000-0005-0000-0000-0000DE710000}"/>
    <cellStyle name="Normal 20 22 6 6" xfId="28334" xr:uid="{00000000-0005-0000-0000-0000DF710000}"/>
    <cellStyle name="Normal 20 22 7" xfId="28335" xr:uid="{00000000-0005-0000-0000-0000E0710000}"/>
    <cellStyle name="Normal 20 22 7 2" xfId="28336" xr:uid="{00000000-0005-0000-0000-0000E1710000}"/>
    <cellStyle name="Normal 20 22 7 3" xfId="28337" xr:uid="{00000000-0005-0000-0000-0000E2710000}"/>
    <cellStyle name="Normal 20 22 7 4" xfId="28338" xr:uid="{00000000-0005-0000-0000-0000E3710000}"/>
    <cellStyle name="Normal 20 22 7 5" xfId="28339" xr:uid="{00000000-0005-0000-0000-0000E4710000}"/>
    <cellStyle name="Normal 20 22 7 6" xfId="28340" xr:uid="{00000000-0005-0000-0000-0000E5710000}"/>
    <cellStyle name="Normal 20 22 8" xfId="28341" xr:uid="{00000000-0005-0000-0000-0000E6710000}"/>
    <cellStyle name="Normal 20 22 8 2" xfId="28342" xr:uid="{00000000-0005-0000-0000-0000E7710000}"/>
    <cellStyle name="Normal 20 22 8 3" xfId="28343" xr:uid="{00000000-0005-0000-0000-0000E8710000}"/>
    <cellStyle name="Normal 20 22 8 4" xfId="28344" xr:uid="{00000000-0005-0000-0000-0000E9710000}"/>
    <cellStyle name="Normal 20 22 8 5" xfId="28345" xr:uid="{00000000-0005-0000-0000-0000EA710000}"/>
    <cellStyle name="Normal 20 22 8 6" xfId="28346" xr:uid="{00000000-0005-0000-0000-0000EB710000}"/>
    <cellStyle name="Normal 20 22 9" xfId="28347" xr:uid="{00000000-0005-0000-0000-0000EC710000}"/>
    <cellStyle name="Normal 20 23" xfId="28348" xr:uid="{00000000-0005-0000-0000-0000ED710000}"/>
    <cellStyle name="Normal 20 23 10" xfId="28349" xr:uid="{00000000-0005-0000-0000-0000EE710000}"/>
    <cellStyle name="Normal 20 23 11" xfId="28350" xr:uid="{00000000-0005-0000-0000-0000EF710000}"/>
    <cellStyle name="Normal 20 23 12" xfId="28351" xr:uid="{00000000-0005-0000-0000-0000F0710000}"/>
    <cellStyle name="Normal 20 23 13" xfId="28352" xr:uid="{00000000-0005-0000-0000-0000F1710000}"/>
    <cellStyle name="Normal 20 23 2" xfId="28353" xr:uid="{00000000-0005-0000-0000-0000F2710000}"/>
    <cellStyle name="Normal 20 23 2 2" xfId="28354" xr:uid="{00000000-0005-0000-0000-0000F3710000}"/>
    <cellStyle name="Normal 20 23 2 3" xfId="28355" xr:uid="{00000000-0005-0000-0000-0000F4710000}"/>
    <cellStyle name="Normal 20 23 2 4" xfId="28356" xr:uid="{00000000-0005-0000-0000-0000F5710000}"/>
    <cellStyle name="Normal 20 23 2 5" xfId="28357" xr:uid="{00000000-0005-0000-0000-0000F6710000}"/>
    <cellStyle name="Normal 20 23 2 6" xfId="28358" xr:uid="{00000000-0005-0000-0000-0000F7710000}"/>
    <cellStyle name="Normal 20 23 3" xfId="28359" xr:uid="{00000000-0005-0000-0000-0000F8710000}"/>
    <cellStyle name="Normal 20 23 3 2" xfId="28360" xr:uid="{00000000-0005-0000-0000-0000F9710000}"/>
    <cellStyle name="Normal 20 23 3 3" xfId="28361" xr:uid="{00000000-0005-0000-0000-0000FA710000}"/>
    <cellStyle name="Normal 20 23 3 4" xfId="28362" xr:uid="{00000000-0005-0000-0000-0000FB710000}"/>
    <cellStyle name="Normal 20 23 3 5" xfId="28363" xr:uid="{00000000-0005-0000-0000-0000FC710000}"/>
    <cellStyle name="Normal 20 23 3 6" xfId="28364" xr:uid="{00000000-0005-0000-0000-0000FD710000}"/>
    <cellStyle name="Normal 20 23 4" xfId="28365" xr:uid="{00000000-0005-0000-0000-0000FE710000}"/>
    <cellStyle name="Normal 20 23 4 2" xfId="28366" xr:uid="{00000000-0005-0000-0000-0000FF710000}"/>
    <cellStyle name="Normal 20 23 4 3" xfId="28367" xr:uid="{00000000-0005-0000-0000-000000720000}"/>
    <cellStyle name="Normal 20 23 4 4" xfId="28368" xr:uid="{00000000-0005-0000-0000-000001720000}"/>
    <cellStyle name="Normal 20 23 4 5" xfId="28369" xr:uid="{00000000-0005-0000-0000-000002720000}"/>
    <cellStyle name="Normal 20 23 4 6" xfId="28370" xr:uid="{00000000-0005-0000-0000-000003720000}"/>
    <cellStyle name="Normal 20 23 5" xfId="28371" xr:uid="{00000000-0005-0000-0000-000004720000}"/>
    <cellStyle name="Normal 20 23 5 2" xfId="28372" xr:uid="{00000000-0005-0000-0000-000005720000}"/>
    <cellStyle name="Normal 20 23 5 3" xfId="28373" xr:uid="{00000000-0005-0000-0000-000006720000}"/>
    <cellStyle name="Normal 20 23 5 4" xfId="28374" xr:uid="{00000000-0005-0000-0000-000007720000}"/>
    <cellStyle name="Normal 20 23 5 5" xfId="28375" xr:uid="{00000000-0005-0000-0000-000008720000}"/>
    <cellStyle name="Normal 20 23 5 6" xfId="28376" xr:uid="{00000000-0005-0000-0000-000009720000}"/>
    <cellStyle name="Normal 20 23 6" xfId="28377" xr:uid="{00000000-0005-0000-0000-00000A720000}"/>
    <cellStyle name="Normal 20 23 6 2" xfId="28378" xr:uid="{00000000-0005-0000-0000-00000B720000}"/>
    <cellStyle name="Normal 20 23 6 3" xfId="28379" xr:uid="{00000000-0005-0000-0000-00000C720000}"/>
    <cellStyle name="Normal 20 23 6 4" xfId="28380" xr:uid="{00000000-0005-0000-0000-00000D720000}"/>
    <cellStyle name="Normal 20 23 6 5" xfId="28381" xr:uid="{00000000-0005-0000-0000-00000E720000}"/>
    <cellStyle name="Normal 20 23 6 6" xfId="28382" xr:uid="{00000000-0005-0000-0000-00000F720000}"/>
    <cellStyle name="Normal 20 23 7" xfId="28383" xr:uid="{00000000-0005-0000-0000-000010720000}"/>
    <cellStyle name="Normal 20 23 7 2" xfId="28384" xr:uid="{00000000-0005-0000-0000-000011720000}"/>
    <cellStyle name="Normal 20 23 7 3" xfId="28385" xr:uid="{00000000-0005-0000-0000-000012720000}"/>
    <cellStyle name="Normal 20 23 7 4" xfId="28386" xr:uid="{00000000-0005-0000-0000-000013720000}"/>
    <cellStyle name="Normal 20 23 7 5" xfId="28387" xr:uid="{00000000-0005-0000-0000-000014720000}"/>
    <cellStyle name="Normal 20 23 7 6" xfId="28388" xr:uid="{00000000-0005-0000-0000-000015720000}"/>
    <cellStyle name="Normal 20 23 8" xfId="28389" xr:uid="{00000000-0005-0000-0000-000016720000}"/>
    <cellStyle name="Normal 20 23 8 2" xfId="28390" xr:uid="{00000000-0005-0000-0000-000017720000}"/>
    <cellStyle name="Normal 20 23 8 3" xfId="28391" xr:uid="{00000000-0005-0000-0000-000018720000}"/>
    <cellStyle name="Normal 20 23 8 4" xfId="28392" xr:uid="{00000000-0005-0000-0000-000019720000}"/>
    <cellStyle name="Normal 20 23 8 5" xfId="28393" xr:uid="{00000000-0005-0000-0000-00001A720000}"/>
    <cellStyle name="Normal 20 23 8 6" xfId="28394" xr:uid="{00000000-0005-0000-0000-00001B720000}"/>
    <cellStyle name="Normal 20 23 9" xfId="28395" xr:uid="{00000000-0005-0000-0000-00001C720000}"/>
    <cellStyle name="Normal 20 24" xfId="28396" xr:uid="{00000000-0005-0000-0000-00001D720000}"/>
    <cellStyle name="Normal 20 24 10" xfId="28397" xr:uid="{00000000-0005-0000-0000-00001E720000}"/>
    <cellStyle name="Normal 20 24 11" xfId="28398" xr:uid="{00000000-0005-0000-0000-00001F720000}"/>
    <cellStyle name="Normal 20 24 12" xfId="28399" xr:uid="{00000000-0005-0000-0000-000020720000}"/>
    <cellStyle name="Normal 20 24 13" xfId="28400" xr:uid="{00000000-0005-0000-0000-000021720000}"/>
    <cellStyle name="Normal 20 24 2" xfId="28401" xr:uid="{00000000-0005-0000-0000-000022720000}"/>
    <cellStyle name="Normal 20 24 2 2" xfId="28402" xr:uid="{00000000-0005-0000-0000-000023720000}"/>
    <cellStyle name="Normal 20 24 2 3" xfId="28403" xr:uid="{00000000-0005-0000-0000-000024720000}"/>
    <cellStyle name="Normal 20 24 2 4" xfId="28404" xr:uid="{00000000-0005-0000-0000-000025720000}"/>
    <cellStyle name="Normal 20 24 2 5" xfId="28405" xr:uid="{00000000-0005-0000-0000-000026720000}"/>
    <cellStyle name="Normal 20 24 2 6" xfId="28406" xr:uid="{00000000-0005-0000-0000-000027720000}"/>
    <cellStyle name="Normal 20 24 3" xfId="28407" xr:uid="{00000000-0005-0000-0000-000028720000}"/>
    <cellStyle name="Normal 20 24 3 2" xfId="28408" xr:uid="{00000000-0005-0000-0000-000029720000}"/>
    <cellStyle name="Normal 20 24 3 3" xfId="28409" xr:uid="{00000000-0005-0000-0000-00002A720000}"/>
    <cellStyle name="Normal 20 24 3 4" xfId="28410" xr:uid="{00000000-0005-0000-0000-00002B720000}"/>
    <cellStyle name="Normal 20 24 3 5" xfId="28411" xr:uid="{00000000-0005-0000-0000-00002C720000}"/>
    <cellStyle name="Normal 20 24 3 6" xfId="28412" xr:uid="{00000000-0005-0000-0000-00002D720000}"/>
    <cellStyle name="Normal 20 24 4" xfId="28413" xr:uid="{00000000-0005-0000-0000-00002E720000}"/>
    <cellStyle name="Normal 20 24 4 2" xfId="28414" xr:uid="{00000000-0005-0000-0000-00002F720000}"/>
    <cellStyle name="Normal 20 24 4 3" xfId="28415" xr:uid="{00000000-0005-0000-0000-000030720000}"/>
    <cellStyle name="Normal 20 24 4 4" xfId="28416" xr:uid="{00000000-0005-0000-0000-000031720000}"/>
    <cellStyle name="Normal 20 24 4 5" xfId="28417" xr:uid="{00000000-0005-0000-0000-000032720000}"/>
    <cellStyle name="Normal 20 24 4 6" xfId="28418" xr:uid="{00000000-0005-0000-0000-000033720000}"/>
    <cellStyle name="Normal 20 24 5" xfId="28419" xr:uid="{00000000-0005-0000-0000-000034720000}"/>
    <cellStyle name="Normal 20 24 5 2" xfId="28420" xr:uid="{00000000-0005-0000-0000-000035720000}"/>
    <cellStyle name="Normal 20 24 5 3" xfId="28421" xr:uid="{00000000-0005-0000-0000-000036720000}"/>
    <cellStyle name="Normal 20 24 5 4" xfId="28422" xr:uid="{00000000-0005-0000-0000-000037720000}"/>
    <cellStyle name="Normal 20 24 5 5" xfId="28423" xr:uid="{00000000-0005-0000-0000-000038720000}"/>
    <cellStyle name="Normal 20 24 5 6" xfId="28424" xr:uid="{00000000-0005-0000-0000-000039720000}"/>
    <cellStyle name="Normal 20 24 6" xfId="28425" xr:uid="{00000000-0005-0000-0000-00003A720000}"/>
    <cellStyle name="Normal 20 24 6 2" xfId="28426" xr:uid="{00000000-0005-0000-0000-00003B720000}"/>
    <cellStyle name="Normal 20 24 6 3" xfId="28427" xr:uid="{00000000-0005-0000-0000-00003C720000}"/>
    <cellStyle name="Normal 20 24 6 4" xfId="28428" xr:uid="{00000000-0005-0000-0000-00003D720000}"/>
    <cellStyle name="Normal 20 24 6 5" xfId="28429" xr:uid="{00000000-0005-0000-0000-00003E720000}"/>
    <cellStyle name="Normal 20 24 6 6" xfId="28430" xr:uid="{00000000-0005-0000-0000-00003F720000}"/>
    <cellStyle name="Normal 20 24 7" xfId="28431" xr:uid="{00000000-0005-0000-0000-000040720000}"/>
    <cellStyle name="Normal 20 24 7 2" xfId="28432" xr:uid="{00000000-0005-0000-0000-000041720000}"/>
    <cellStyle name="Normal 20 24 7 3" xfId="28433" xr:uid="{00000000-0005-0000-0000-000042720000}"/>
    <cellStyle name="Normal 20 24 7 4" xfId="28434" xr:uid="{00000000-0005-0000-0000-000043720000}"/>
    <cellStyle name="Normal 20 24 7 5" xfId="28435" xr:uid="{00000000-0005-0000-0000-000044720000}"/>
    <cellStyle name="Normal 20 24 7 6" xfId="28436" xr:uid="{00000000-0005-0000-0000-000045720000}"/>
    <cellStyle name="Normal 20 24 8" xfId="28437" xr:uid="{00000000-0005-0000-0000-000046720000}"/>
    <cellStyle name="Normal 20 24 8 2" xfId="28438" xr:uid="{00000000-0005-0000-0000-000047720000}"/>
    <cellStyle name="Normal 20 24 8 3" xfId="28439" xr:uid="{00000000-0005-0000-0000-000048720000}"/>
    <cellStyle name="Normal 20 24 8 4" xfId="28440" xr:uid="{00000000-0005-0000-0000-000049720000}"/>
    <cellStyle name="Normal 20 24 8 5" xfId="28441" xr:uid="{00000000-0005-0000-0000-00004A720000}"/>
    <cellStyle name="Normal 20 24 8 6" xfId="28442" xr:uid="{00000000-0005-0000-0000-00004B720000}"/>
    <cellStyle name="Normal 20 24 9" xfId="28443" xr:uid="{00000000-0005-0000-0000-00004C720000}"/>
    <cellStyle name="Normal 20 25" xfId="28444" xr:uid="{00000000-0005-0000-0000-00004D720000}"/>
    <cellStyle name="Normal 20 25 2" xfId="28445" xr:uid="{00000000-0005-0000-0000-00004E720000}"/>
    <cellStyle name="Normal 20 25 3" xfId="28446" xr:uid="{00000000-0005-0000-0000-00004F720000}"/>
    <cellStyle name="Normal 20 25 4" xfId="28447" xr:uid="{00000000-0005-0000-0000-000050720000}"/>
    <cellStyle name="Normal 20 25 5" xfId="28448" xr:uid="{00000000-0005-0000-0000-000051720000}"/>
    <cellStyle name="Normal 20 25 6" xfId="28449" xr:uid="{00000000-0005-0000-0000-000052720000}"/>
    <cellStyle name="Normal 20 26" xfId="28450" xr:uid="{00000000-0005-0000-0000-000053720000}"/>
    <cellStyle name="Normal 20 26 2" xfId="28451" xr:uid="{00000000-0005-0000-0000-000054720000}"/>
    <cellStyle name="Normal 20 26 3" xfId="28452" xr:uid="{00000000-0005-0000-0000-000055720000}"/>
    <cellStyle name="Normal 20 26 4" xfId="28453" xr:uid="{00000000-0005-0000-0000-000056720000}"/>
    <cellStyle name="Normal 20 26 5" xfId="28454" xr:uid="{00000000-0005-0000-0000-000057720000}"/>
    <cellStyle name="Normal 20 26 6" xfId="28455" xr:uid="{00000000-0005-0000-0000-000058720000}"/>
    <cellStyle name="Normal 20 27" xfId="28456" xr:uid="{00000000-0005-0000-0000-000059720000}"/>
    <cellStyle name="Normal 20 27 2" xfId="28457" xr:uid="{00000000-0005-0000-0000-00005A720000}"/>
    <cellStyle name="Normal 20 27 3" xfId="28458" xr:uid="{00000000-0005-0000-0000-00005B720000}"/>
    <cellStyle name="Normal 20 27 4" xfId="28459" xr:uid="{00000000-0005-0000-0000-00005C720000}"/>
    <cellStyle name="Normal 20 27 5" xfId="28460" xr:uid="{00000000-0005-0000-0000-00005D720000}"/>
    <cellStyle name="Normal 20 27 6" xfId="28461" xr:uid="{00000000-0005-0000-0000-00005E720000}"/>
    <cellStyle name="Normal 20 28" xfId="28462" xr:uid="{00000000-0005-0000-0000-00005F720000}"/>
    <cellStyle name="Normal 20 28 2" xfId="28463" xr:uid="{00000000-0005-0000-0000-000060720000}"/>
    <cellStyle name="Normal 20 28 3" xfId="28464" xr:uid="{00000000-0005-0000-0000-000061720000}"/>
    <cellStyle name="Normal 20 28 4" xfId="28465" xr:uid="{00000000-0005-0000-0000-000062720000}"/>
    <cellStyle name="Normal 20 28 5" xfId="28466" xr:uid="{00000000-0005-0000-0000-000063720000}"/>
    <cellStyle name="Normal 20 28 6" xfId="28467" xr:uid="{00000000-0005-0000-0000-000064720000}"/>
    <cellStyle name="Normal 20 29" xfId="28468" xr:uid="{00000000-0005-0000-0000-000065720000}"/>
    <cellStyle name="Normal 20 29 2" xfId="28469" xr:uid="{00000000-0005-0000-0000-000066720000}"/>
    <cellStyle name="Normal 20 29 3" xfId="28470" xr:uid="{00000000-0005-0000-0000-000067720000}"/>
    <cellStyle name="Normal 20 29 4" xfId="28471" xr:uid="{00000000-0005-0000-0000-000068720000}"/>
    <cellStyle name="Normal 20 29 5" xfId="28472" xr:uid="{00000000-0005-0000-0000-000069720000}"/>
    <cellStyle name="Normal 20 29 6" xfId="28473" xr:uid="{00000000-0005-0000-0000-00006A720000}"/>
    <cellStyle name="Normal 20 3" xfId="28474" xr:uid="{00000000-0005-0000-0000-00006B720000}"/>
    <cellStyle name="Normal 20 3 10" xfId="28475" xr:uid="{00000000-0005-0000-0000-00006C720000}"/>
    <cellStyle name="Normal 20 3 11" xfId="28476" xr:uid="{00000000-0005-0000-0000-00006D720000}"/>
    <cellStyle name="Normal 20 3 12" xfId="28477" xr:uid="{00000000-0005-0000-0000-00006E720000}"/>
    <cellStyle name="Normal 20 3 13" xfId="28478" xr:uid="{00000000-0005-0000-0000-00006F720000}"/>
    <cellStyle name="Normal 20 3 2" xfId="28479" xr:uid="{00000000-0005-0000-0000-000070720000}"/>
    <cellStyle name="Normal 20 3 2 2" xfId="28480" xr:uid="{00000000-0005-0000-0000-000071720000}"/>
    <cellStyle name="Normal 20 3 2 3" xfId="28481" xr:uid="{00000000-0005-0000-0000-000072720000}"/>
    <cellStyle name="Normal 20 3 2 4" xfId="28482" xr:uid="{00000000-0005-0000-0000-000073720000}"/>
    <cellStyle name="Normal 20 3 2 5" xfId="28483" xr:uid="{00000000-0005-0000-0000-000074720000}"/>
    <cellStyle name="Normal 20 3 2 6" xfId="28484" xr:uid="{00000000-0005-0000-0000-000075720000}"/>
    <cellStyle name="Normal 20 3 3" xfId="28485" xr:uid="{00000000-0005-0000-0000-000076720000}"/>
    <cellStyle name="Normal 20 3 3 2" xfId="28486" xr:uid="{00000000-0005-0000-0000-000077720000}"/>
    <cellStyle name="Normal 20 3 3 3" xfId="28487" xr:uid="{00000000-0005-0000-0000-000078720000}"/>
    <cellStyle name="Normal 20 3 3 4" xfId="28488" xr:uid="{00000000-0005-0000-0000-000079720000}"/>
    <cellStyle name="Normal 20 3 3 5" xfId="28489" xr:uid="{00000000-0005-0000-0000-00007A720000}"/>
    <cellStyle name="Normal 20 3 3 6" xfId="28490" xr:uid="{00000000-0005-0000-0000-00007B720000}"/>
    <cellStyle name="Normal 20 3 4" xfId="28491" xr:uid="{00000000-0005-0000-0000-00007C720000}"/>
    <cellStyle name="Normal 20 3 4 2" xfId="28492" xr:uid="{00000000-0005-0000-0000-00007D720000}"/>
    <cellStyle name="Normal 20 3 4 3" xfId="28493" xr:uid="{00000000-0005-0000-0000-00007E720000}"/>
    <cellStyle name="Normal 20 3 4 4" xfId="28494" xr:uid="{00000000-0005-0000-0000-00007F720000}"/>
    <cellStyle name="Normal 20 3 4 5" xfId="28495" xr:uid="{00000000-0005-0000-0000-000080720000}"/>
    <cellStyle name="Normal 20 3 4 6" xfId="28496" xr:uid="{00000000-0005-0000-0000-000081720000}"/>
    <cellStyle name="Normal 20 3 5" xfId="28497" xr:uid="{00000000-0005-0000-0000-000082720000}"/>
    <cellStyle name="Normal 20 3 5 2" xfId="28498" xr:uid="{00000000-0005-0000-0000-000083720000}"/>
    <cellStyle name="Normal 20 3 5 3" xfId="28499" xr:uid="{00000000-0005-0000-0000-000084720000}"/>
    <cellStyle name="Normal 20 3 5 4" xfId="28500" xr:uid="{00000000-0005-0000-0000-000085720000}"/>
    <cellStyle name="Normal 20 3 5 5" xfId="28501" xr:uid="{00000000-0005-0000-0000-000086720000}"/>
    <cellStyle name="Normal 20 3 5 6" xfId="28502" xr:uid="{00000000-0005-0000-0000-000087720000}"/>
    <cellStyle name="Normal 20 3 6" xfId="28503" xr:uid="{00000000-0005-0000-0000-000088720000}"/>
    <cellStyle name="Normal 20 3 6 2" xfId="28504" xr:uid="{00000000-0005-0000-0000-000089720000}"/>
    <cellStyle name="Normal 20 3 6 3" xfId="28505" xr:uid="{00000000-0005-0000-0000-00008A720000}"/>
    <cellStyle name="Normal 20 3 6 4" xfId="28506" xr:uid="{00000000-0005-0000-0000-00008B720000}"/>
    <cellStyle name="Normal 20 3 6 5" xfId="28507" xr:uid="{00000000-0005-0000-0000-00008C720000}"/>
    <cellStyle name="Normal 20 3 6 6" xfId="28508" xr:uid="{00000000-0005-0000-0000-00008D720000}"/>
    <cellStyle name="Normal 20 3 7" xfId="28509" xr:uid="{00000000-0005-0000-0000-00008E720000}"/>
    <cellStyle name="Normal 20 3 7 2" xfId="28510" xr:uid="{00000000-0005-0000-0000-00008F720000}"/>
    <cellStyle name="Normal 20 3 7 3" xfId="28511" xr:uid="{00000000-0005-0000-0000-000090720000}"/>
    <cellStyle name="Normal 20 3 7 4" xfId="28512" xr:uid="{00000000-0005-0000-0000-000091720000}"/>
    <cellStyle name="Normal 20 3 7 5" xfId="28513" xr:uid="{00000000-0005-0000-0000-000092720000}"/>
    <cellStyle name="Normal 20 3 7 6" xfId="28514" xr:uid="{00000000-0005-0000-0000-000093720000}"/>
    <cellStyle name="Normal 20 3 8" xfId="28515" xr:uid="{00000000-0005-0000-0000-000094720000}"/>
    <cellStyle name="Normal 20 3 8 2" xfId="28516" xr:uid="{00000000-0005-0000-0000-000095720000}"/>
    <cellStyle name="Normal 20 3 8 3" xfId="28517" xr:uid="{00000000-0005-0000-0000-000096720000}"/>
    <cellStyle name="Normal 20 3 8 4" xfId="28518" xr:uid="{00000000-0005-0000-0000-000097720000}"/>
    <cellStyle name="Normal 20 3 8 5" xfId="28519" xr:uid="{00000000-0005-0000-0000-000098720000}"/>
    <cellStyle name="Normal 20 3 8 6" xfId="28520" xr:uid="{00000000-0005-0000-0000-000099720000}"/>
    <cellStyle name="Normal 20 3 9" xfId="28521" xr:uid="{00000000-0005-0000-0000-00009A720000}"/>
    <cellStyle name="Normal 20 30" xfId="28522" xr:uid="{00000000-0005-0000-0000-00009B720000}"/>
    <cellStyle name="Normal 20 30 2" xfId="28523" xr:uid="{00000000-0005-0000-0000-00009C720000}"/>
    <cellStyle name="Normal 20 30 3" xfId="28524" xr:uid="{00000000-0005-0000-0000-00009D720000}"/>
    <cellStyle name="Normal 20 30 4" xfId="28525" xr:uid="{00000000-0005-0000-0000-00009E720000}"/>
    <cellStyle name="Normal 20 30 5" xfId="28526" xr:uid="{00000000-0005-0000-0000-00009F720000}"/>
    <cellStyle name="Normal 20 30 6" xfId="28527" xr:uid="{00000000-0005-0000-0000-0000A0720000}"/>
    <cellStyle name="Normal 20 31" xfId="28528" xr:uid="{00000000-0005-0000-0000-0000A1720000}"/>
    <cellStyle name="Normal 20 31 2" xfId="28529" xr:uid="{00000000-0005-0000-0000-0000A2720000}"/>
    <cellStyle name="Normal 20 31 3" xfId="28530" xr:uid="{00000000-0005-0000-0000-0000A3720000}"/>
    <cellStyle name="Normal 20 31 4" xfId="28531" xr:uid="{00000000-0005-0000-0000-0000A4720000}"/>
    <cellStyle name="Normal 20 31 5" xfId="28532" xr:uid="{00000000-0005-0000-0000-0000A5720000}"/>
    <cellStyle name="Normal 20 31 6" xfId="28533" xr:uid="{00000000-0005-0000-0000-0000A6720000}"/>
    <cellStyle name="Normal 20 32" xfId="28534" xr:uid="{00000000-0005-0000-0000-0000A7720000}"/>
    <cellStyle name="Normal 20 33" xfId="28535" xr:uid="{00000000-0005-0000-0000-0000A8720000}"/>
    <cellStyle name="Normal 20 34" xfId="28536" xr:uid="{00000000-0005-0000-0000-0000A9720000}"/>
    <cellStyle name="Normal 20 35" xfId="28537" xr:uid="{00000000-0005-0000-0000-0000AA720000}"/>
    <cellStyle name="Normal 20 36" xfId="28538" xr:uid="{00000000-0005-0000-0000-0000AB720000}"/>
    <cellStyle name="Normal 20 4" xfId="28539" xr:uid="{00000000-0005-0000-0000-0000AC720000}"/>
    <cellStyle name="Normal 20 4 10" xfId="28540" xr:uid="{00000000-0005-0000-0000-0000AD720000}"/>
    <cellStyle name="Normal 20 4 11" xfId="28541" xr:uid="{00000000-0005-0000-0000-0000AE720000}"/>
    <cellStyle name="Normal 20 4 12" xfId="28542" xr:uid="{00000000-0005-0000-0000-0000AF720000}"/>
    <cellStyle name="Normal 20 4 13" xfId="28543" xr:uid="{00000000-0005-0000-0000-0000B0720000}"/>
    <cellStyle name="Normal 20 4 2" xfId="28544" xr:uid="{00000000-0005-0000-0000-0000B1720000}"/>
    <cellStyle name="Normal 20 4 2 2" xfId="28545" xr:uid="{00000000-0005-0000-0000-0000B2720000}"/>
    <cellStyle name="Normal 20 4 2 3" xfId="28546" xr:uid="{00000000-0005-0000-0000-0000B3720000}"/>
    <cellStyle name="Normal 20 4 2 4" xfId="28547" xr:uid="{00000000-0005-0000-0000-0000B4720000}"/>
    <cellStyle name="Normal 20 4 2 5" xfId="28548" xr:uid="{00000000-0005-0000-0000-0000B5720000}"/>
    <cellStyle name="Normal 20 4 2 6" xfId="28549" xr:uid="{00000000-0005-0000-0000-0000B6720000}"/>
    <cellStyle name="Normal 20 4 3" xfId="28550" xr:uid="{00000000-0005-0000-0000-0000B7720000}"/>
    <cellStyle name="Normal 20 4 3 2" xfId="28551" xr:uid="{00000000-0005-0000-0000-0000B8720000}"/>
    <cellStyle name="Normal 20 4 3 3" xfId="28552" xr:uid="{00000000-0005-0000-0000-0000B9720000}"/>
    <cellStyle name="Normal 20 4 3 4" xfId="28553" xr:uid="{00000000-0005-0000-0000-0000BA720000}"/>
    <cellStyle name="Normal 20 4 3 5" xfId="28554" xr:uid="{00000000-0005-0000-0000-0000BB720000}"/>
    <cellStyle name="Normal 20 4 3 6" xfId="28555" xr:uid="{00000000-0005-0000-0000-0000BC720000}"/>
    <cellStyle name="Normal 20 4 4" xfId="28556" xr:uid="{00000000-0005-0000-0000-0000BD720000}"/>
    <cellStyle name="Normal 20 4 4 2" xfId="28557" xr:uid="{00000000-0005-0000-0000-0000BE720000}"/>
    <cellStyle name="Normal 20 4 4 3" xfId="28558" xr:uid="{00000000-0005-0000-0000-0000BF720000}"/>
    <cellStyle name="Normal 20 4 4 4" xfId="28559" xr:uid="{00000000-0005-0000-0000-0000C0720000}"/>
    <cellStyle name="Normal 20 4 4 5" xfId="28560" xr:uid="{00000000-0005-0000-0000-0000C1720000}"/>
    <cellStyle name="Normal 20 4 4 6" xfId="28561" xr:uid="{00000000-0005-0000-0000-0000C2720000}"/>
    <cellStyle name="Normal 20 4 5" xfId="28562" xr:uid="{00000000-0005-0000-0000-0000C3720000}"/>
    <cellStyle name="Normal 20 4 5 2" xfId="28563" xr:uid="{00000000-0005-0000-0000-0000C4720000}"/>
    <cellStyle name="Normal 20 4 5 3" xfId="28564" xr:uid="{00000000-0005-0000-0000-0000C5720000}"/>
    <cellStyle name="Normal 20 4 5 4" xfId="28565" xr:uid="{00000000-0005-0000-0000-0000C6720000}"/>
    <cellStyle name="Normal 20 4 5 5" xfId="28566" xr:uid="{00000000-0005-0000-0000-0000C7720000}"/>
    <cellStyle name="Normal 20 4 5 6" xfId="28567" xr:uid="{00000000-0005-0000-0000-0000C8720000}"/>
    <cellStyle name="Normal 20 4 6" xfId="28568" xr:uid="{00000000-0005-0000-0000-0000C9720000}"/>
    <cellStyle name="Normal 20 4 6 2" xfId="28569" xr:uid="{00000000-0005-0000-0000-0000CA720000}"/>
    <cellStyle name="Normal 20 4 6 3" xfId="28570" xr:uid="{00000000-0005-0000-0000-0000CB720000}"/>
    <cellStyle name="Normal 20 4 6 4" xfId="28571" xr:uid="{00000000-0005-0000-0000-0000CC720000}"/>
    <cellStyle name="Normal 20 4 6 5" xfId="28572" xr:uid="{00000000-0005-0000-0000-0000CD720000}"/>
    <cellStyle name="Normal 20 4 6 6" xfId="28573" xr:uid="{00000000-0005-0000-0000-0000CE720000}"/>
    <cellStyle name="Normal 20 4 7" xfId="28574" xr:uid="{00000000-0005-0000-0000-0000CF720000}"/>
    <cellStyle name="Normal 20 4 7 2" xfId="28575" xr:uid="{00000000-0005-0000-0000-0000D0720000}"/>
    <cellStyle name="Normal 20 4 7 3" xfId="28576" xr:uid="{00000000-0005-0000-0000-0000D1720000}"/>
    <cellStyle name="Normal 20 4 7 4" xfId="28577" xr:uid="{00000000-0005-0000-0000-0000D2720000}"/>
    <cellStyle name="Normal 20 4 7 5" xfId="28578" xr:uid="{00000000-0005-0000-0000-0000D3720000}"/>
    <cellStyle name="Normal 20 4 7 6" xfId="28579" xr:uid="{00000000-0005-0000-0000-0000D4720000}"/>
    <cellStyle name="Normal 20 4 8" xfId="28580" xr:uid="{00000000-0005-0000-0000-0000D5720000}"/>
    <cellStyle name="Normal 20 4 8 2" xfId="28581" xr:uid="{00000000-0005-0000-0000-0000D6720000}"/>
    <cellStyle name="Normal 20 4 8 3" xfId="28582" xr:uid="{00000000-0005-0000-0000-0000D7720000}"/>
    <cellStyle name="Normal 20 4 8 4" xfId="28583" xr:uid="{00000000-0005-0000-0000-0000D8720000}"/>
    <cellStyle name="Normal 20 4 8 5" xfId="28584" xr:uid="{00000000-0005-0000-0000-0000D9720000}"/>
    <cellStyle name="Normal 20 4 8 6" xfId="28585" xr:uid="{00000000-0005-0000-0000-0000DA720000}"/>
    <cellStyle name="Normal 20 4 9" xfId="28586" xr:uid="{00000000-0005-0000-0000-0000DB720000}"/>
    <cellStyle name="Normal 20 5" xfId="28587" xr:uid="{00000000-0005-0000-0000-0000DC720000}"/>
    <cellStyle name="Normal 20 5 10" xfId="28588" xr:uid="{00000000-0005-0000-0000-0000DD720000}"/>
    <cellStyle name="Normal 20 5 11" xfId="28589" xr:uid="{00000000-0005-0000-0000-0000DE720000}"/>
    <cellStyle name="Normal 20 5 12" xfId="28590" xr:uid="{00000000-0005-0000-0000-0000DF720000}"/>
    <cellStyle name="Normal 20 5 13" xfId="28591" xr:uid="{00000000-0005-0000-0000-0000E0720000}"/>
    <cellStyle name="Normal 20 5 2" xfId="28592" xr:uid="{00000000-0005-0000-0000-0000E1720000}"/>
    <cellStyle name="Normal 20 5 2 2" xfId="28593" xr:uid="{00000000-0005-0000-0000-0000E2720000}"/>
    <cellStyle name="Normal 20 5 2 3" xfId="28594" xr:uid="{00000000-0005-0000-0000-0000E3720000}"/>
    <cellStyle name="Normal 20 5 2 4" xfId="28595" xr:uid="{00000000-0005-0000-0000-0000E4720000}"/>
    <cellStyle name="Normal 20 5 2 5" xfId="28596" xr:uid="{00000000-0005-0000-0000-0000E5720000}"/>
    <cellStyle name="Normal 20 5 2 6" xfId="28597" xr:uid="{00000000-0005-0000-0000-0000E6720000}"/>
    <cellStyle name="Normal 20 5 3" xfId="28598" xr:uid="{00000000-0005-0000-0000-0000E7720000}"/>
    <cellStyle name="Normal 20 5 3 2" xfId="28599" xr:uid="{00000000-0005-0000-0000-0000E8720000}"/>
    <cellStyle name="Normal 20 5 3 3" xfId="28600" xr:uid="{00000000-0005-0000-0000-0000E9720000}"/>
    <cellStyle name="Normal 20 5 3 4" xfId="28601" xr:uid="{00000000-0005-0000-0000-0000EA720000}"/>
    <cellStyle name="Normal 20 5 3 5" xfId="28602" xr:uid="{00000000-0005-0000-0000-0000EB720000}"/>
    <cellStyle name="Normal 20 5 3 6" xfId="28603" xr:uid="{00000000-0005-0000-0000-0000EC720000}"/>
    <cellStyle name="Normal 20 5 4" xfId="28604" xr:uid="{00000000-0005-0000-0000-0000ED720000}"/>
    <cellStyle name="Normal 20 5 4 2" xfId="28605" xr:uid="{00000000-0005-0000-0000-0000EE720000}"/>
    <cellStyle name="Normal 20 5 4 3" xfId="28606" xr:uid="{00000000-0005-0000-0000-0000EF720000}"/>
    <cellStyle name="Normal 20 5 4 4" xfId="28607" xr:uid="{00000000-0005-0000-0000-0000F0720000}"/>
    <cellStyle name="Normal 20 5 4 5" xfId="28608" xr:uid="{00000000-0005-0000-0000-0000F1720000}"/>
    <cellStyle name="Normal 20 5 4 6" xfId="28609" xr:uid="{00000000-0005-0000-0000-0000F2720000}"/>
    <cellStyle name="Normal 20 5 5" xfId="28610" xr:uid="{00000000-0005-0000-0000-0000F3720000}"/>
    <cellStyle name="Normal 20 5 5 2" xfId="28611" xr:uid="{00000000-0005-0000-0000-0000F4720000}"/>
    <cellStyle name="Normal 20 5 5 3" xfId="28612" xr:uid="{00000000-0005-0000-0000-0000F5720000}"/>
    <cellStyle name="Normal 20 5 5 4" xfId="28613" xr:uid="{00000000-0005-0000-0000-0000F6720000}"/>
    <cellStyle name="Normal 20 5 5 5" xfId="28614" xr:uid="{00000000-0005-0000-0000-0000F7720000}"/>
    <cellStyle name="Normal 20 5 5 6" xfId="28615" xr:uid="{00000000-0005-0000-0000-0000F8720000}"/>
    <cellStyle name="Normal 20 5 6" xfId="28616" xr:uid="{00000000-0005-0000-0000-0000F9720000}"/>
    <cellStyle name="Normal 20 5 6 2" xfId="28617" xr:uid="{00000000-0005-0000-0000-0000FA720000}"/>
    <cellStyle name="Normal 20 5 6 3" xfId="28618" xr:uid="{00000000-0005-0000-0000-0000FB720000}"/>
    <cellStyle name="Normal 20 5 6 4" xfId="28619" xr:uid="{00000000-0005-0000-0000-0000FC720000}"/>
    <cellStyle name="Normal 20 5 6 5" xfId="28620" xr:uid="{00000000-0005-0000-0000-0000FD720000}"/>
    <cellStyle name="Normal 20 5 6 6" xfId="28621" xr:uid="{00000000-0005-0000-0000-0000FE720000}"/>
    <cellStyle name="Normal 20 5 7" xfId="28622" xr:uid="{00000000-0005-0000-0000-0000FF720000}"/>
    <cellStyle name="Normal 20 5 7 2" xfId="28623" xr:uid="{00000000-0005-0000-0000-000000730000}"/>
    <cellStyle name="Normal 20 5 7 3" xfId="28624" xr:uid="{00000000-0005-0000-0000-000001730000}"/>
    <cellStyle name="Normal 20 5 7 4" xfId="28625" xr:uid="{00000000-0005-0000-0000-000002730000}"/>
    <cellStyle name="Normal 20 5 7 5" xfId="28626" xr:uid="{00000000-0005-0000-0000-000003730000}"/>
    <cellStyle name="Normal 20 5 7 6" xfId="28627" xr:uid="{00000000-0005-0000-0000-000004730000}"/>
    <cellStyle name="Normal 20 5 8" xfId="28628" xr:uid="{00000000-0005-0000-0000-000005730000}"/>
    <cellStyle name="Normal 20 5 8 2" xfId="28629" xr:uid="{00000000-0005-0000-0000-000006730000}"/>
    <cellStyle name="Normal 20 5 8 3" xfId="28630" xr:uid="{00000000-0005-0000-0000-000007730000}"/>
    <cellStyle name="Normal 20 5 8 4" xfId="28631" xr:uid="{00000000-0005-0000-0000-000008730000}"/>
    <cellStyle name="Normal 20 5 8 5" xfId="28632" xr:uid="{00000000-0005-0000-0000-000009730000}"/>
    <cellStyle name="Normal 20 5 8 6" xfId="28633" xr:uid="{00000000-0005-0000-0000-00000A730000}"/>
    <cellStyle name="Normal 20 5 9" xfId="28634" xr:uid="{00000000-0005-0000-0000-00000B730000}"/>
    <cellStyle name="Normal 20 6" xfId="28635" xr:uid="{00000000-0005-0000-0000-00000C730000}"/>
    <cellStyle name="Normal 20 6 10" xfId="28636" xr:uid="{00000000-0005-0000-0000-00000D730000}"/>
    <cellStyle name="Normal 20 6 11" xfId="28637" xr:uid="{00000000-0005-0000-0000-00000E730000}"/>
    <cellStyle name="Normal 20 6 12" xfId="28638" xr:uid="{00000000-0005-0000-0000-00000F730000}"/>
    <cellStyle name="Normal 20 6 13" xfId="28639" xr:uid="{00000000-0005-0000-0000-000010730000}"/>
    <cellStyle name="Normal 20 6 2" xfId="28640" xr:uid="{00000000-0005-0000-0000-000011730000}"/>
    <cellStyle name="Normal 20 6 2 2" xfId="28641" xr:uid="{00000000-0005-0000-0000-000012730000}"/>
    <cellStyle name="Normal 20 6 2 3" xfId="28642" xr:uid="{00000000-0005-0000-0000-000013730000}"/>
    <cellStyle name="Normal 20 6 2 4" xfId="28643" xr:uid="{00000000-0005-0000-0000-000014730000}"/>
    <cellStyle name="Normal 20 6 2 5" xfId="28644" xr:uid="{00000000-0005-0000-0000-000015730000}"/>
    <cellStyle name="Normal 20 6 2 6" xfId="28645" xr:uid="{00000000-0005-0000-0000-000016730000}"/>
    <cellStyle name="Normal 20 6 3" xfId="28646" xr:uid="{00000000-0005-0000-0000-000017730000}"/>
    <cellStyle name="Normal 20 6 3 2" xfId="28647" xr:uid="{00000000-0005-0000-0000-000018730000}"/>
    <cellStyle name="Normal 20 6 3 3" xfId="28648" xr:uid="{00000000-0005-0000-0000-000019730000}"/>
    <cellStyle name="Normal 20 6 3 4" xfId="28649" xr:uid="{00000000-0005-0000-0000-00001A730000}"/>
    <cellStyle name="Normal 20 6 3 5" xfId="28650" xr:uid="{00000000-0005-0000-0000-00001B730000}"/>
    <cellStyle name="Normal 20 6 3 6" xfId="28651" xr:uid="{00000000-0005-0000-0000-00001C730000}"/>
    <cellStyle name="Normal 20 6 4" xfId="28652" xr:uid="{00000000-0005-0000-0000-00001D730000}"/>
    <cellStyle name="Normal 20 6 4 2" xfId="28653" xr:uid="{00000000-0005-0000-0000-00001E730000}"/>
    <cellStyle name="Normal 20 6 4 3" xfId="28654" xr:uid="{00000000-0005-0000-0000-00001F730000}"/>
    <cellStyle name="Normal 20 6 4 4" xfId="28655" xr:uid="{00000000-0005-0000-0000-000020730000}"/>
    <cellStyle name="Normal 20 6 4 5" xfId="28656" xr:uid="{00000000-0005-0000-0000-000021730000}"/>
    <cellStyle name="Normal 20 6 4 6" xfId="28657" xr:uid="{00000000-0005-0000-0000-000022730000}"/>
    <cellStyle name="Normal 20 6 5" xfId="28658" xr:uid="{00000000-0005-0000-0000-000023730000}"/>
    <cellStyle name="Normal 20 6 5 2" xfId="28659" xr:uid="{00000000-0005-0000-0000-000024730000}"/>
    <cellStyle name="Normal 20 6 5 3" xfId="28660" xr:uid="{00000000-0005-0000-0000-000025730000}"/>
    <cellStyle name="Normal 20 6 5 4" xfId="28661" xr:uid="{00000000-0005-0000-0000-000026730000}"/>
    <cellStyle name="Normal 20 6 5 5" xfId="28662" xr:uid="{00000000-0005-0000-0000-000027730000}"/>
    <cellStyle name="Normal 20 6 5 6" xfId="28663" xr:uid="{00000000-0005-0000-0000-000028730000}"/>
    <cellStyle name="Normal 20 6 6" xfId="28664" xr:uid="{00000000-0005-0000-0000-000029730000}"/>
    <cellStyle name="Normal 20 6 6 2" xfId="28665" xr:uid="{00000000-0005-0000-0000-00002A730000}"/>
    <cellStyle name="Normal 20 6 6 3" xfId="28666" xr:uid="{00000000-0005-0000-0000-00002B730000}"/>
    <cellStyle name="Normal 20 6 6 4" xfId="28667" xr:uid="{00000000-0005-0000-0000-00002C730000}"/>
    <cellStyle name="Normal 20 6 6 5" xfId="28668" xr:uid="{00000000-0005-0000-0000-00002D730000}"/>
    <cellStyle name="Normal 20 6 6 6" xfId="28669" xr:uid="{00000000-0005-0000-0000-00002E730000}"/>
    <cellStyle name="Normal 20 6 7" xfId="28670" xr:uid="{00000000-0005-0000-0000-00002F730000}"/>
    <cellStyle name="Normal 20 6 7 2" xfId="28671" xr:uid="{00000000-0005-0000-0000-000030730000}"/>
    <cellStyle name="Normal 20 6 7 3" xfId="28672" xr:uid="{00000000-0005-0000-0000-000031730000}"/>
    <cellStyle name="Normal 20 6 7 4" xfId="28673" xr:uid="{00000000-0005-0000-0000-000032730000}"/>
    <cellStyle name="Normal 20 6 7 5" xfId="28674" xr:uid="{00000000-0005-0000-0000-000033730000}"/>
    <cellStyle name="Normal 20 6 7 6" xfId="28675" xr:uid="{00000000-0005-0000-0000-000034730000}"/>
    <cellStyle name="Normal 20 6 8" xfId="28676" xr:uid="{00000000-0005-0000-0000-000035730000}"/>
    <cellStyle name="Normal 20 6 8 2" xfId="28677" xr:uid="{00000000-0005-0000-0000-000036730000}"/>
    <cellStyle name="Normal 20 6 8 3" xfId="28678" xr:uid="{00000000-0005-0000-0000-000037730000}"/>
    <cellStyle name="Normal 20 6 8 4" xfId="28679" xr:uid="{00000000-0005-0000-0000-000038730000}"/>
    <cellStyle name="Normal 20 6 8 5" xfId="28680" xr:uid="{00000000-0005-0000-0000-000039730000}"/>
    <cellStyle name="Normal 20 6 8 6" xfId="28681" xr:uid="{00000000-0005-0000-0000-00003A730000}"/>
    <cellStyle name="Normal 20 6 9" xfId="28682" xr:uid="{00000000-0005-0000-0000-00003B730000}"/>
    <cellStyle name="Normal 20 7" xfId="28683" xr:uid="{00000000-0005-0000-0000-00003C730000}"/>
    <cellStyle name="Normal 20 7 10" xfId="28684" xr:uid="{00000000-0005-0000-0000-00003D730000}"/>
    <cellStyle name="Normal 20 7 11" xfId="28685" xr:uid="{00000000-0005-0000-0000-00003E730000}"/>
    <cellStyle name="Normal 20 7 12" xfId="28686" xr:uid="{00000000-0005-0000-0000-00003F730000}"/>
    <cellStyle name="Normal 20 7 13" xfId="28687" xr:uid="{00000000-0005-0000-0000-000040730000}"/>
    <cellStyle name="Normal 20 7 2" xfId="28688" xr:uid="{00000000-0005-0000-0000-000041730000}"/>
    <cellStyle name="Normal 20 7 2 2" xfId="28689" xr:uid="{00000000-0005-0000-0000-000042730000}"/>
    <cellStyle name="Normal 20 7 2 3" xfId="28690" xr:uid="{00000000-0005-0000-0000-000043730000}"/>
    <cellStyle name="Normal 20 7 2 4" xfId="28691" xr:uid="{00000000-0005-0000-0000-000044730000}"/>
    <cellStyle name="Normal 20 7 2 5" xfId="28692" xr:uid="{00000000-0005-0000-0000-000045730000}"/>
    <cellStyle name="Normal 20 7 2 6" xfId="28693" xr:uid="{00000000-0005-0000-0000-000046730000}"/>
    <cellStyle name="Normal 20 7 3" xfId="28694" xr:uid="{00000000-0005-0000-0000-000047730000}"/>
    <cellStyle name="Normal 20 7 3 2" xfId="28695" xr:uid="{00000000-0005-0000-0000-000048730000}"/>
    <cellStyle name="Normal 20 7 3 3" xfId="28696" xr:uid="{00000000-0005-0000-0000-000049730000}"/>
    <cellStyle name="Normal 20 7 3 4" xfId="28697" xr:uid="{00000000-0005-0000-0000-00004A730000}"/>
    <cellStyle name="Normal 20 7 3 5" xfId="28698" xr:uid="{00000000-0005-0000-0000-00004B730000}"/>
    <cellStyle name="Normal 20 7 3 6" xfId="28699" xr:uid="{00000000-0005-0000-0000-00004C730000}"/>
    <cellStyle name="Normal 20 7 4" xfId="28700" xr:uid="{00000000-0005-0000-0000-00004D730000}"/>
    <cellStyle name="Normal 20 7 4 2" xfId="28701" xr:uid="{00000000-0005-0000-0000-00004E730000}"/>
    <cellStyle name="Normal 20 7 4 3" xfId="28702" xr:uid="{00000000-0005-0000-0000-00004F730000}"/>
    <cellStyle name="Normal 20 7 4 4" xfId="28703" xr:uid="{00000000-0005-0000-0000-000050730000}"/>
    <cellStyle name="Normal 20 7 4 5" xfId="28704" xr:uid="{00000000-0005-0000-0000-000051730000}"/>
    <cellStyle name="Normal 20 7 4 6" xfId="28705" xr:uid="{00000000-0005-0000-0000-000052730000}"/>
    <cellStyle name="Normal 20 7 5" xfId="28706" xr:uid="{00000000-0005-0000-0000-000053730000}"/>
    <cellStyle name="Normal 20 7 5 2" xfId="28707" xr:uid="{00000000-0005-0000-0000-000054730000}"/>
    <cellStyle name="Normal 20 7 5 3" xfId="28708" xr:uid="{00000000-0005-0000-0000-000055730000}"/>
    <cellStyle name="Normal 20 7 5 4" xfId="28709" xr:uid="{00000000-0005-0000-0000-000056730000}"/>
    <cellStyle name="Normal 20 7 5 5" xfId="28710" xr:uid="{00000000-0005-0000-0000-000057730000}"/>
    <cellStyle name="Normal 20 7 5 6" xfId="28711" xr:uid="{00000000-0005-0000-0000-000058730000}"/>
    <cellStyle name="Normal 20 7 6" xfId="28712" xr:uid="{00000000-0005-0000-0000-000059730000}"/>
    <cellStyle name="Normal 20 7 6 2" xfId="28713" xr:uid="{00000000-0005-0000-0000-00005A730000}"/>
    <cellStyle name="Normal 20 7 6 3" xfId="28714" xr:uid="{00000000-0005-0000-0000-00005B730000}"/>
    <cellStyle name="Normal 20 7 6 4" xfId="28715" xr:uid="{00000000-0005-0000-0000-00005C730000}"/>
    <cellStyle name="Normal 20 7 6 5" xfId="28716" xr:uid="{00000000-0005-0000-0000-00005D730000}"/>
    <cellStyle name="Normal 20 7 6 6" xfId="28717" xr:uid="{00000000-0005-0000-0000-00005E730000}"/>
    <cellStyle name="Normal 20 7 7" xfId="28718" xr:uid="{00000000-0005-0000-0000-00005F730000}"/>
    <cellStyle name="Normal 20 7 7 2" xfId="28719" xr:uid="{00000000-0005-0000-0000-000060730000}"/>
    <cellStyle name="Normal 20 7 7 3" xfId="28720" xr:uid="{00000000-0005-0000-0000-000061730000}"/>
    <cellStyle name="Normal 20 7 7 4" xfId="28721" xr:uid="{00000000-0005-0000-0000-000062730000}"/>
    <cellStyle name="Normal 20 7 7 5" xfId="28722" xr:uid="{00000000-0005-0000-0000-000063730000}"/>
    <cellStyle name="Normal 20 7 7 6" xfId="28723" xr:uid="{00000000-0005-0000-0000-000064730000}"/>
    <cellStyle name="Normal 20 7 8" xfId="28724" xr:uid="{00000000-0005-0000-0000-000065730000}"/>
    <cellStyle name="Normal 20 7 8 2" xfId="28725" xr:uid="{00000000-0005-0000-0000-000066730000}"/>
    <cellStyle name="Normal 20 7 8 3" xfId="28726" xr:uid="{00000000-0005-0000-0000-000067730000}"/>
    <cellStyle name="Normal 20 7 8 4" xfId="28727" xr:uid="{00000000-0005-0000-0000-000068730000}"/>
    <cellStyle name="Normal 20 7 8 5" xfId="28728" xr:uid="{00000000-0005-0000-0000-000069730000}"/>
    <cellStyle name="Normal 20 7 8 6" xfId="28729" xr:uid="{00000000-0005-0000-0000-00006A730000}"/>
    <cellStyle name="Normal 20 7 9" xfId="28730" xr:uid="{00000000-0005-0000-0000-00006B730000}"/>
    <cellStyle name="Normal 20 8" xfId="28731" xr:uid="{00000000-0005-0000-0000-00006C730000}"/>
    <cellStyle name="Normal 20 8 10" xfId="28732" xr:uid="{00000000-0005-0000-0000-00006D730000}"/>
    <cellStyle name="Normal 20 8 11" xfId="28733" xr:uid="{00000000-0005-0000-0000-00006E730000}"/>
    <cellStyle name="Normal 20 8 12" xfId="28734" xr:uid="{00000000-0005-0000-0000-00006F730000}"/>
    <cellStyle name="Normal 20 8 13" xfId="28735" xr:uid="{00000000-0005-0000-0000-000070730000}"/>
    <cellStyle name="Normal 20 8 2" xfId="28736" xr:uid="{00000000-0005-0000-0000-000071730000}"/>
    <cellStyle name="Normal 20 8 2 2" xfId="28737" xr:uid="{00000000-0005-0000-0000-000072730000}"/>
    <cellStyle name="Normal 20 8 2 3" xfId="28738" xr:uid="{00000000-0005-0000-0000-000073730000}"/>
    <cellStyle name="Normal 20 8 2 4" xfId="28739" xr:uid="{00000000-0005-0000-0000-000074730000}"/>
    <cellStyle name="Normal 20 8 2 5" xfId="28740" xr:uid="{00000000-0005-0000-0000-000075730000}"/>
    <cellStyle name="Normal 20 8 2 6" xfId="28741" xr:uid="{00000000-0005-0000-0000-000076730000}"/>
    <cellStyle name="Normal 20 8 3" xfId="28742" xr:uid="{00000000-0005-0000-0000-000077730000}"/>
    <cellStyle name="Normal 20 8 3 2" xfId="28743" xr:uid="{00000000-0005-0000-0000-000078730000}"/>
    <cellStyle name="Normal 20 8 3 3" xfId="28744" xr:uid="{00000000-0005-0000-0000-000079730000}"/>
    <cellStyle name="Normal 20 8 3 4" xfId="28745" xr:uid="{00000000-0005-0000-0000-00007A730000}"/>
    <cellStyle name="Normal 20 8 3 5" xfId="28746" xr:uid="{00000000-0005-0000-0000-00007B730000}"/>
    <cellStyle name="Normal 20 8 3 6" xfId="28747" xr:uid="{00000000-0005-0000-0000-00007C730000}"/>
    <cellStyle name="Normal 20 8 4" xfId="28748" xr:uid="{00000000-0005-0000-0000-00007D730000}"/>
    <cellStyle name="Normal 20 8 4 2" xfId="28749" xr:uid="{00000000-0005-0000-0000-00007E730000}"/>
    <cellStyle name="Normal 20 8 4 3" xfId="28750" xr:uid="{00000000-0005-0000-0000-00007F730000}"/>
    <cellStyle name="Normal 20 8 4 4" xfId="28751" xr:uid="{00000000-0005-0000-0000-000080730000}"/>
    <cellStyle name="Normal 20 8 4 5" xfId="28752" xr:uid="{00000000-0005-0000-0000-000081730000}"/>
    <cellStyle name="Normal 20 8 4 6" xfId="28753" xr:uid="{00000000-0005-0000-0000-000082730000}"/>
    <cellStyle name="Normal 20 8 5" xfId="28754" xr:uid="{00000000-0005-0000-0000-000083730000}"/>
    <cellStyle name="Normal 20 8 5 2" xfId="28755" xr:uid="{00000000-0005-0000-0000-000084730000}"/>
    <cellStyle name="Normal 20 8 5 3" xfId="28756" xr:uid="{00000000-0005-0000-0000-000085730000}"/>
    <cellStyle name="Normal 20 8 5 4" xfId="28757" xr:uid="{00000000-0005-0000-0000-000086730000}"/>
    <cellStyle name="Normal 20 8 5 5" xfId="28758" xr:uid="{00000000-0005-0000-0000-000087730000}"/>
    <cellStyle name="Normal 20 8 5 6" xfId="28759" xr:uid="{00000000-0005-0000-0000-000088730000}"/>
    <cellStyle name="Normal 20 8 6" xfId="28760" xr:uid="{00000000-0005-0000-0000-000089730000}"/>
    <cellStyle name="Normal 20 8 6 2" xfId="28761" xr:uid="{00000000-0005-0000-0000-00008A730000}"/>
    <cellStyle name="Normal 20 8 6 3" xfId="28762" xr:uid="{00000000-0005-0000-0000-00008B730000}"/>
    <cellStyle name="Normal 20 8 6 4" xfId="28763" xr:uid="{00000000-0005-0000-0000-00008C730000}"/>
    <cellStyle name="Normal 20 8 6 5" xfId="28764" xr:uid="{00000000-0005-0000-0000-00008D730000}"/>
    <cellStyle name="Normal 20 8 6 6" xfId="28765" xr:uid="{00000000-0005-0000-0000-00008E730000}"/>
    <cellStyle name="Normal 20 8 7" xfId="28766" xr:uid="{00000000-0005-0000-0000-00008F730000}"/>
    <cellStyle name="Normal 20 8 7 2" xfId="28767" xr:uid="{00000000-0005-0000-0000-000090730000}"/>
    <cellStyle name="Normal 20 8 7 3" xfId="28768" xr:uid="{00000000-0005-0000-0000-000091730000}"/>
    <cellStyle name="Normal 20 8 7 4" xfId="28769" xr:uid="{00000000-0005-0000-0000-000092730000}"/>
    <cellStyle name="Normal 20 8 7 5" xfId="28770" xr:uid="{00000000-0005-0000-0000-000093730000}"/>
    <cellStyle name="Normal 20 8 7 6" xfId="28771" xr:uid="{00000000-0005-0000-0000-000094730000}"/>
    <cellStyle name="Normal 20 8 8" xfId="28772" xr:uid="{00000000-0005-0000-0000-000095730000}"/>
    <cellStyle name="Normal 20 8 8 2" xfId="28773" xr:uid="{00000000-0005-0000-0000-000096730000}"/>
    <cellStyle name="Normal 20 8 8 3" xfId="28774" xr:uid="{00000000-0005-0000-0000-000097730000}"/>
    <cellStyle name="Normal 20 8 8 4" xfId="28775" xr:uid="{00000000-0005-0000-0000-000098730000}"/>
    <cellStyle name="Normal 20 8 8 5" xfId="28776" xr:uid="{00000000-0005-0000-0000-000099730000}"/>
    <cellStyle name="Normal 20 8 8 6" xfId="28777" xr:uid="{00000000-0005-0000-0000-00009A730000}"/>
    <cellStyle name="Normal 20 8 9" xfId="28778" xr:uid="{00000000-0005-0000-0000-00009B730000}"/>
    <cellStyle name="Normal 20 9" xfId="28779" xr:uid="{00000000-0005-0000-0000-00009C730000}"/>
    <cellStyle name="Normal 20 9 10" xfId="28780" xr:uid="{00000000-0005-0000-0000-00009D730000}"/>
    <cellStyle name="Normal 20 9 11" xfId="28781" xr:uid="{00000000-0005-0000-0000-00009E730000}"/>
    <cellStyle name="Normal 20 9 12" xfId="28782" xr:uid="{00000000-0005-0000-0000-00009F730000}"/>
    <cellStyle name="Normal 20 9 13" xfId="28783" xr:uid="{00000000-0005-0000-0000-0000A0730000}"/>
    <cellStyle name="Normal 20 9 2" xfId="28784" xr:uid="{00000000-0005-0000-0000-0000A1730000}"/>
    <cellStyle name="Normal 20 9 2 2" xfId="28785" xr:uid="{00000000-0005-0000-0000-0000A2730000}"/>
    <cellStyle name="Normal 20 9 2 3" xfId="28786" xr:uid="{00000000-0005-0000-0000-0000A3730000}"/>
    <cellStyle name="Normal 20 9 2 4" xfId="28787" xr:uid="{00000000-0005-0000-0000-0000A4730000}"/>
    <cellStyle name="Normal 20 9 2 5" xfId="28788" xr:uid="{00000000-0005-0000-0000-0000A5730000}"/>
    <cellStyle name="Normal 20 9 2 6" xfId="28789" xr:uid="{00000000-0005-0000-0000-0000A6730000}"/>
    <cellStyle name="Normal 20 9 3" xfId="28790" xr:uid="{00000000-0005-0000-0000-0000A7730000}"/>
    <cellStyle name="Normal 20 9 3 2" xfId="28791" xr:uid="{00000000-0005-0000-0000-0000A8730000}"/>
    <cellStyle name="Normal 20 9 3 3" xfId="28792" xr:uid="{00000000-0005-0000-0000-0000A9730000}"/>
    <cellStyle name="Normal 20 9 3 4" xfId="28793" xr:uid="{00000000-0005-0000-0000-0000AA730000}"/>
    <cellStyle name="Normal 20 9 3 5" xfId="28794" xr:uid="{00000000-0005-0000-0000-0000AB730000}"/>
    <cellStyle name="Normal 20 9 3 6" xfId="28795" xr:uid="{00000000-0005-0000-0000-0000AC730000}"/>
    <cellStyle name="Normal 20 9 4" xfId="28796" xr:uid="{00000000-0005-0000-0000-0000AD730000}"/>
    <cellStyle name="Normal 20 9 4 2" xfId="28797" xr:uid="{00000000-0005-0000-0000-0000AE730000}"/>
    <cellStyle name="Normal 20 9 4 3" xfId="28798" xr:uid="{00000000-0005-0000-0000-0000AF730000}"/>
    <cellStyle name="Normal 20 9 4 4" xfId="28799" xr:uid="{00000000-0005-0000-0000-0000B0730000}"/>
    <cellStyle name="Normal 20 9 4 5" xfId="28800" xr:uid="{00000000-0005-0000-0000-0000B1730000}"/>
    <cellStyle name="Normal 20 9 4 6" xfId="28801" xr:uid="{00000000-0005-0000-0000-0000B2730000}"/>
    <cellStyle name="Normal 20 9 5" xfId="28802" xr:uid="{00000000-0005-0000-0000-0000B3730000}"/>
    <cellStyle name="Normal 20 9 5 2" xfId="28803" xr:uid="{00000000-0005-0000-0000-0000B4730000}"/>
    <cellStyle name="Normal 20 9 5 3" xfId="28804" xr:uid="{00000000-0005-0000-0000-0000B5730000}"/>
    <cellStyle name="Normal 20 9 5 4" xfId="28805" xr:uid="{00000000-0005-0000-0000-0000B6730000}"/>
    <cellStyle name="Normal 20 9 5 5" xfId="28806" xr:uid="{00000000-0005-0000-0000-0000B7730000}"/>
    <cellStyle name="Normal 20 9 5 6" xfId="28807" xr:uid="{00000000-0005-0000-0000-0000B8730000}"/>
    <cellStyle name="Normal 20 9 6" xfId="28808" xr:uid="{00000000-0005-0000-0000-0000B9730000}"/>
    <cellStyle name="Normal 20 9 6 2" xfId="28809" xr:uid="{00000000-0005-0000-0000-0000BA730000}"/>
    <cellStyle name="Normal 20 9 6 3" xfId="28810" xr:uid="{00000000-0005-0000-0000-0000BB730000}"/>
    <cellStyle name="Normal 20 9 6 4" xfId="28811" xr:uid="{00000000-0005-0000-0000-0000BC730000}"/>
    <cellStyle name="Normal 20 9 6 5" xfId="28812" xr:uid="{00000000-0005-0000-0000-0000BD730000}"/>
    <cellStyle name="Normal 20 9 6 6" xfId="28813" xr:uid="{00000000-0005-0000-0000-0000BE730000}"/>
    <cellStyle name="Normal 20 9 7" xfId="28814" xr:uid="{00000000-0005-0000-0000-0000BF730000}"/>
    <cellStyle name="Normal 20 9 7 2" xfId="28815" xr:uid="{00000000-0005-0000-0000-0000C0730000}"/>
    <cellStyle name="Normal 20 9 7 3" xfId="28816" xr:uid="{00000000-0005-0000-0000-0000C1730000}"/>
    <cellStyle name="Normal 20 9 7 4" xfId="28817" xr:uid="{00000000-0005-0000-0000-0000C2730000}"/>
    <cellStyle name="Normal 20 9 7 5" xfId="28818" xr:uid="{00000000-0005-0000-0000-0000C3730000}"/>
    <cellStyle name="Normal 20 9 7 6" xfId="28819" xr:uid="{00000000-0005-0000-0000-0000C4730000}"/>
    <cellStyle name="Normal 20 9 8" xfId="28820" xr:uid="{00000000-0005-0000-0000-0000C5730000}"/>
    <cellStyle name="Normal 20 9 8 2" xfId="28821" xr:uid="{00000000-0005-0000-0000-0000C6730000}"/>
    <cellStyle name="Normal 20 9 8 3" xfId="28822" xr:uid="{00000000-0005-0000-0000-0000C7730000}"/>
    <cellStyle name="Normal 20 9 8 4" xfId="28823" xr:uid="{00000000-0005-0000-0000-0000C8730000}"/>
    <cellStyle name="Normal 20 9 8 5" xfId="28824" xr:uid="{00000000-0005-0000-0000-0000C9730000}"/>
    <cellStyle name="Normal 20 9 8 6" xfId="28825" xr:uid="{00000000-0005-0000-0000-0000CA730000}"/>
    <cellStyle name="Normal 20 9 9" xfId="28826" xr:uid="{00000000-0005-0000-0000-0000CB730000}"/>
    <cellStyle name="Normal 21" xfId="1078" xr:uid="{00000000-0005-0000-0000-0000CC730000}"/>
    <cellStyle name="Normal 21 10" xfId="28827" xr:uid="{00000000-0005-0000-0000-0000CD730000}"/>
    <cellStyle name="Normal 21 10 10" xfId="28828" xr:uid="{00000000-0005-0000-0000-0000CE730000}"/>
    <cellStyle name="Normal 21 10 11" xfId="28829" xr:uid="{00000000-0005-0000-0000-0000CF730000}"/>
    <cellStyle name="Normal 21 10 12" xfId="28830" xr:uid="{00000000-0005-0000-0000-0000D0730000}"/>
    <cellStyle name="Normal 21 10 13" xfId="28831" xr:uid="{00000000-0005-0000-0000-0000D1730000}"/>
    <cellStyle name="Normal 21 10 2" xfId="28832" xr:uid="{00000000-0005-0000-0000-0000D2730000}"/>
    <cellStyle name="Normal 21 10 2 2" xfId="28833" xr:uid="{00000000-0005-0000-0000-0000D3730000}"/>
    <cellStyle name="Normal 21 10 2 3" xfId="28834" xr:uid="{00000000-0005-0000-0000-0000D4730000}"/>
    <cellStyle name="Normal 21 10 2 4" xfId="28835" xr:uid="{00000000-0005-0000-0000-0000D5730000}"/>
    <cellStyle name="Normal 21 10 2 5" xfId="28836" xr:uid="{00000000-0005-0000-0000-0000D6730000}"/>
    <cellStyle name="Normal 21 10 2 6" xfId="28837" xr:uid="{00000000-0005-0000-0000-0000D7730000}"/>
    <cellStyle name="Normal 21 10 3" xfId="28838" xr:uid="{00000000-0005-0000-0000-0000D8730000}"/>
    <cellStyle name="Normal 21 10 3 2" xfId="28839" xr:uid="{00000000-0005-0000-0000-0000D9730000}"/>
    <cellStyle name="Normal 21 10 3 3" xfId="28840" xr:uid="{00000000-0005-0000-0000-0000DA730000}"/>
    <cellStyle name="Normal 21 10 3 4" xfId="28841" xr:uid="{00000000-0005-0000-0000-0000DB730000}"/>
    <cellStyle name="Normal 21 10 3 5" xfId="28842" xr:uid="{00000000-0005-0000-0000-0000DC730000}"/>
    <cellStyle name="Normal 21 10 3 6" xfId="28843" xr:uid="{00000000-0005-0000-0000-0000DD730000}"/>
    <cellStyle name="Normal 21 10 4" xfId="28844" xr:uid="{00000000-0005-0000-0000-0000DE730000}"/>
    <cellStyle name="Normal 21 10 4 2" xfId="28845" xr:uid="{00000000-0005-0000-0000-0000DF730000}"/>
    <cellStyle name="Normal 21 10 4 3" xfId="28846" xr:uid="{00000000-0005-0000-0000-0000E0730000}"/>
    <cellStyle name="Normal 21 10 4 4" xfId="28847" xr:uid="{00000000-0005-0000-0000-0000E1730000}"/>
    <cellStyle name="Normal 21 10 4 5" xfId="28848" xr:uid="{00000000-0005-0000-0000-0000E2730000}"/>
    <cellStyle name="Normal 21 10 4 6" xfId="28849" xr:uid="{00000000-0005-0000-0000-0000E3730000}"/>
    <cellStyle name="Normal 21 10 5" xfId="28850" xr:uid="{00000000-0005-0000-0000-0000E4730000}"/>
    <cellStyle name="Normal 21 10 5 2" xfId="28851" xr:uid="{00000000-0005-0000-0000-0000E5730000}"/>
    <cellStyle name="Normal 21 10 5 3" xfId="28852" xr:uid="{00000000-0005-0000-0000-0000E6730000}"/>
    <cellStyle name="Normal 21 10 5 4" xfId="28853" xr:uid="{00000000-0005-0000-0000-0000E7730000}"/>
    <cellStyle name="Normal 21 10 5 5" xfId="28854" xr:uid="{00000000-0005-0000-0000-0000E8730000}"/>
    <cellStyle name="Normal 21 10 5 6" xfId="28855" xr:uid="{00000000-0005-0000-0000-0000E9730000}"/>
    <cellStyle name="Normal 21 10 6" xfId="28856" xr:uid="{00000000-0005-0000-0000-0000EA730000}"/>
    <cellStyle name="Normal 21 10 6 2" xfId="28857" xr:uid="{00000000-0005-0000-0000-0000EB730000}"/>
    <cellStyle name="Normal 21 10 6 3" xfId="28858" xr:uid="{00000000-0005-0000-0000-0000EC730000}"/>
    <cellStyle name="Normal 21 10 6 4" xfId="28859" xr:uid="{00000000-0005-0000-0000-0000ED730000}"/>
    <cellStyle name="Normal 21 10 6 5" xfId="28860" xr:uid="{00000000-0005-0000-0000-0000EE730000}"/>
    <cellStyle name="Normal 21 10 6 6" xfId="28861" xr:uid="{00000000-0005-0000-0000-0000EF730000}"/>
    <cellStyle name="Normal 21 10 7" xfId="28862" xr:uid="{00000000-0005-0000-0000-0000F0730000}"/>
    <cellStyle name="Normal 21 10 7 2" xfId="28863" xr:uid="{00000000-0005-0000-0000-0000F1730000}"/>
    <cellStyle name="Normal 21 10 7 3" xfId="28864" xr:uid="{00000000-0005-0000-0000-0000F2730000}"/>
    <cellStyle name="Normal 21 10 7 4" xfId="28865" xr:uid="{00000000-0005-0000-0000-0000F3730000}"/>
    <cellStyle name="Normal 21 10 7 5" xfId="28866" xr:uid="{00000000-0005-0000-0000-0000F4730000}"/>
    <cellStyle name="Normal 21 10 7 6" xfId="28867" xr:uid="{00000000-0005-0000-0000-0000F5730000}"/>
    <cellStyle name="Normal 21 10 8" xfId="28868" xr:uid="{00000000-0005-0000-0000-0000F6730000}"/>
    <cellStyle name="Normal 21 10 8 2" xfId="28869" xr:uid="{00000000-0005-0000-0000-0000F7730000}"/>
    <cellStyle name="Normal 21 10 8 3" xfId="28870" xr:uid="{00000000-0005-0000-0000-0000F8730000}"/>
    <cellStyle name="Normal 21 10 8 4" xfId="28871" xr:uid="{00000000-0005-0000-0000-0000F9730000}"/>
    <cellStyle name="Normal 21 10 8 5" xfId="28872" xr:uid="{00000000-0005-0000-0000-0000FA730000}"/>
    <cellStyle name="Normal 21 10 8 6" xfId="28873" xr:uid="{00000000-0005-0000-0000-0000FB730000}"/>
    <cellStyle name="Normal 21 10 9" xfId="28874" xr:uid="{00000000-0005-0000-0000-0000FC730000}"/>
    <cellStyle name="Normal 21 11" xfId="28875" xr:uid="{00000000-0005-0000-0000-0000FD730000}"/>
    <cellStyle name="Normal 21 11 10" xfId="28876" xr:uid="{00000000-0005-0000-0000-0000FE730000}"/>
    <cellStyle name="Normal 21 11 11" xfId="28877" xr:uid="{00000000-0005-0000-0000-0000FF730000}"/>
    <cellStyle name="Normal 21 11 12" xfId="28878" xr:uid="{00000000-0005-0000-0000-000000740000}"/>
    <cellStyle name="Normal 21 11 13" xfId="28879" xr:uid="{00000000-0005-0000-0000-000001740000}"/>
    <cellStyle name="Normal 21 11 2" xfId="28880" xr:uid="{00000000-0005-0000-0000-000002740000}"/>
    <cellStyle name="Normal 21 11 2 2" xfId="28881" xr:uid="{00000000-0005-0000-0000-000003740000}"/>
    <cellStyle name="Normal 21 11 2 3" xfId="28882" xr:uid="{00000000-0005-0000-0000-000004740000}"/>
    <cellStyle name="Normal 21 11 2 4" xfId="28883" xr:uid="{00000000-0005-0000-0000-000005740000}"/>
    <cellStyle name="Normal 21 11 2 5" xfId="28884" xr:uid="{00000000-0005-0000-0000-000006740000}"/>
    <cellStyle name="Normal 21 11 2 6" xfId="28885" xr:uid="{00000000-0005-0000-0000-000007740000}"/>
    <cellStyle name="Normal 21 11 3" xfId="28886" xr:uid="{00000000-0005-0000-0000-000008740000}"/>
    <cellStyle name="Normal 21 11 3 2" xfId="28887" xr:uid="{00000000-0005-0000-0000-000009740000}"/>
    <cellStyle name="Normal 21 11 3 3" xfId="28888" xr:uid="{00000000-0005-0000-0000-00000A740000}"/>
    <cellStyle name="Normal 21 11 3 4" xfId="28889" xr:uid="{00000000-0005-0000-0000-00000B740000}"/>
    <cellStyle name="Normal 21 11 3 5" xfId="28890" xr:uid="{00000000-0005-0000-0000-00000C740000}"/>
    <cellStyle name="Normal 21 11 3 6" xfId="28891" xr:uid="{00000000-0005-0000-0000-00000D740000}"/>
    <cellStyle name="Normal 21 11 4" xfId="28892" xr:uid="{00000000-0005-0000-0000-00000E740000}"/>
    <cellStyle name="Normal 21 11 4 2" xfId="28893" xr:uid="{00000000-0005-0000-0000-00000F740000}"/>
    <cellStyle name="Normal 21 11 4 3" xfId="28894" xr:uid="{00000000-0005-0000-0000-000010740000}"/>
    <cellStyle name="Normal 21 11 4 4" xfId="28895" xr:uid="{00000000-0005-0000-0000-000011740000}"/>
    <cellStyle name="Normal 21 11 4 5" xfId="28896" xr:uid="{00000000-0005-0000-0000-000012740000}"/>
    <cellStyle name="Normal 21 11 4 6" xfId="28897" xr:uid="{00000000-0005-0000-0000-000013740000}"/>
    <cellStyle name="Normal 21 11 5" xfId="28898" xr:uid="{00000000-0005-0000-0000-000014740000}"/>
    <cellStyle name="Normal 21 11 5 2" xfId="28899" xr:uid="{00000000-0005-0000-0000-000015740000}"/>
    <cellStyle name="Normal 21 11 5 3" xfId="28900" xr:uid="{00000000-0005-0000-0000-000016740000}"/>
    <cellStyle name="Normal 21 11 5 4" xfId="28901" xr:uid="{00000000-0005-0000-0000-000017740000}"/>
    <cellStyle name="Normal 21 11 5 5" xfId="28902" xr:uid="{00000000-0005-0000-0000-000018740000}"/>
    <cellStyle name="Normal 21 11 5 6" xfId="28903" xr:uid="{00000000-0005-0000-0000-000019740000}"/>
    <cellStyle name="Normal 21 11 6" xfId="28904" xr:uid="{00000000-0005-0000-0000-00001A740000}"/>
    <cellStyle name="Normal 21 11 6 2" xfId="28905" xr:uid="{00000000-0005-0000-0000-00001B740000}"/>
    <cellStyle name="Normal 21 11 6 3" xfId="28906" xr:uid="{00000000-0005-0000-0000-00001C740000}"/>
    <cellStyle name="Normal 21 11 6 4" xfId="28907" xr:uid="{00000000-0005-0000-0000-00001D740000}"/>
    <cellStyle name="Normal 21 11 6 5" xfId="28908" xr:uid="{00000000-0005-0000-0000-00001E740000}"/>
    <cellStyle name="Normal 21 11 6 6" xfId="28909" xr:uid="{00000000-0005-0000-0000-00001F740000}"/>
    <cellStyle name="Normal 21 11 7" xfId="28910" xr:uid="{00000000-0005-0000-0000-000020740000}"/>
    <cellStyle name="Normal 21 11 7 2" xfId="28911" xr:uid="{00000000-0005-0000-0000-000021740000}"/>
    <cellStyle name="Normal 21 11 7 3" xfId="28912" xr:uid="{00000000-0005-0000-0000-000022740000}"/>
    <cellStyle name="Normal 21 11 7 4" xfId="28913" xr:uid="{00000000-0005-0000-0000-000023740000}"/>
    <cellStyle name="Normal 21 11 7 5" xfId="28914" xr:uid="{00000000-0005-0000-0000-000024740000}"/>
    <cellStyle name="Normal 21 11 7 6" xfId="28915" xr:uid="{00000000-0005-0000-0000-000025740000}"/>
    <cellStyle name="Normal 21 11 8" xfId="28916" xr:uid="{00000000-0005-0000-0000-000026740000}"/>
    <cellStyle name="Normal 21 11 8 2" xfId="28917" xr:uid="{00000000-0005-0000-0000-000027740000}"/>
    <cellStyle name="Normal 21 11 8 3" xfId="28918" xr:uid="{00000000-0005-0000-0000-000028740000}"/>
    <cellStyle name="Normal 21 11 8 4" xfId="28919" xr:uid="{00000000-0005-0000-0000-000029740000}"/>
    <cellStyle name="Normal 21 11 8 5" xfId="28920" xr:uid="{00000000-0005-0000-0000-00002A740000}"/>
    <cellStyle name="Normal 21 11 8 6" xfId="28921" xr:uid="{00000000-0005-0000-0000-00002B740000}"/>
    <cellStyle name="Normal 21 11 9" xfId="28922" xr:uid="{00000000-0005-0000-0000-00002C740000}"/>
    <cellStyle name="Normal 21 12" xfId="28923" xr:uid="{00000000-0005-0000-0000-00002D740000}"/>
    <cellStyle name="Normal 21 12 10" xfId="28924" xr:uid="{00000000-0005-0000-0000-00002E740000}"/>
    <cellStyle name="Normal 21 12 11" xfId="28925" xr:uid="{00000000-0005-0000-0000-00002F740000}"/>
    <cellStyle name="Normal 21 12 12" xfId="28926" xr:uid="{00000000-0005-0000-0000-000030740000}"/>
    <cellStyle name="Normal 21 12 13" xfId="28927" xr:uid="{00000000-0005-0000-0000-000031740000}"/>
    <cellStyle name="Normal 21 12 2" xfId="28928" xr:uid="{00000000-0005-0000-0000-000032740000}"/>
    <cellStyle name="Normal 21 12 2 2" xfId="28929" xr:uid="{00000000-0005-0000-0000-000033740000}"/>
    <cellStyle name="Normal 21 12 2 3" xfId="28930" xr:uid="{00000000-0005-0000-0000-000034740000}"/>
    <cellStyle name="Normal 21 12 2 4" xfId="28931" xr:uid="{00000000-0005-0000-0000-000035740000}"/>
    <cellStyle name="Normal 21 12 2 5" xfId="28932" xr:uid="{00000000-0005-0000-0000-000036740000}"/>
    <cellStyle name="Normal 21 12 2 6" xfId="28933" xr:uid="{00000000-0005-0000-0000-000037740000}"/>
    <cellStyle name="Normal 21 12 3" xfId="28934" xr:uid="{00000000-0005-0000-0000-000038740000}"/>
    <cellStyle name="Normal 21 12 3 2" xfId="28935" xr:uid="{00000000-0005-0000-0000-000039740000}"/>
    <cellStyle name="Normal 21 12 3 3" xfId="28936" xr:uid="{00000000-0005-0000-0000-00003A740000}"/>
    <cellStyle name="Normal 21 12 3 4" xfId="28937" xr:uid="{00000000-0005-0000-0000-00003B740000}"/>
    <cellStyle name="Normal 21 12 3 5" xfId="28938" xr:uid="{00000000-0005-0000-0000-00003C740000}"/>
    <cellStyle name="Normal 21 12 3 6" xfId="28939" xr:uid="{00000000-0005-0000-0000-00003D740000}"/>
    <cellStyle name="Normal 21 12 4" xfId="28940" xr:uid="{00000000-0005-0000-0000-00003E740000}"/>
    <cellStyle name="Normal 21 12 4 2" xfId="28941" xr:uid="{00000000-0005-0000-0000-00003F740000}"/>
    <cellStyle name="Normal 21 12 4 3" xfId="28942" xr:uid="{00000000-0005-0000-0000-000040740000}"/>
    <cellStyle name="Normal 21 12 4 4" xfId="28943" xr:uid="{00000000-0005-0000-0000-000041740000}"/>
    <cellStyle name="Normal 21 12 4 5" xfId="28944" xr:uid="{00000000-0005-0000-0000-000042740000}"/>
    <cellStyle name="Normal 21 12 4 6" xfId="28945" xr:uid="{00000000-0005-0000-0000-000043740000}"/>
    <cellStyle name="Normal 21 12 5" xfId="28946" xr:uid="{00000000-0005-0000-0000-000044740000}"/>
    <cellStyle name="Normal 21 12 5 2" xfId="28947" xr:uid="{00000000-0005-0000-0000-000045740000}"/>
    <cellStyle name="Normal 21 12 5 3" xfId="28948" xr:uid="{00000000-0005-0000-0000-000046740000}"/>
    <cellStyle name="Normal 21 12 5 4" xfId="28949" xr:uid="{00000000-0005-0000-0000-000047740000}"/>
    <cellStyle name="Normal 21 12 5 5" xfId="28950" xr:uid="{00000000-0005-0000-0000-000048740000}"/>
    <cellStyle name="Normal 21 12 5 6" xfId="28951" xr:uid="{00000000-0005-0000-0000-000049740000}"/>
    <cellStyle name="Normal 21 12 6" xfId="28952" xr:uid="{00000000-0005-0000-0000-00004A740000}"/>
    <cellStyle name="Normal 21 12 6 2" xfId="28953" xr:uid="{00000000-0005-0000-0000-00004B740000}"/>
    <cellStyle name="Normal 21 12 6 3" xfId="28954" xr:uid="{00000000-0005-0000-0000-00004C740000}"/>
    <cellStyle name="Normal 21 12 6 4" xfId="28955" xr:uid="{00000000-0005-0000-0000-00004D740000}"/>
    <cellStyle name="Normal 21 12 6 5" xfId="28956" xr:uid="{00000000-0005-0000-0000-00004E740000}"/>
    <cellStyle name="Normal 21 12 6 6" xfId="28957" xr:uid="{00000000-0005-0000-0000-00004F740000}"/>
    <cellStyle name="Normal 21 12 7" xfId="28958" xr:uid="{00000000-0005-0000-0000-000050740000}"/>
    <cellStyle name="Normal 21 12 7 2" xfId="28959" xr:uid="{00000000-0005-0000-0000-000051740000}"/>
    <cellStyle name="Normal 21 12 7 3" xfId="28960" xr:uid="{00000000-0005-0000-0000-000052740000}"/>
    <cellStyle name="Normal 21 12 7 4" xfId="28961" xr:uid="{00000000-0005-0000-0000-000053740000}"/>
    <cellStyle name="Normal 21 12 7 5" xfId="28962" xr:uid="{00000000-0005-0000-0000-000054740000}"/>
    <cellStyle name="Normal 21 12 7 6" xfId="28963" xr:uid="{00000000-0005-0000-0000-000055740000}"/>
    <cellStyle name="Normal 21 12 8" xfId="28964" xr:uid="{00000000-0005-0000-0000-000056740000}"/>
    <cellStyle name="Normal 21 12 8 2" xfId="28965" xr:uid="{00000000-0005-0000-0000-000057740000}"/>
    <cellStyle name="Normal 21 12 8 3" xfId="28966" xr:uid="{00000000-0005-0000-0000-000058740000}"/>
    <cellStyle name="Normal 21 12 8 4" xfId="28967" xr:uid="{00000000-0005-0000-0000-000059740000}"/>
    <cellStyle name="Normal 21 12 8 5" xfId="28968" xr:uid="{00000000-0005-0000-0000-00005A740000}"/>
    <cellStyle name="Normal 21 12 8 6" xfId="28969" xr:uid="{00000000-0005-0000-0000-00005B740000}"/>
    <cellStyle name="Normal 21 12 9" xfId="28970" xr:uid="{00000000-0005-0000-0000-00005C740000}"/>
    <cellStyle name="Normal 21 13" xfId="28971" xr:uid="{00000000-0005-0000-0000-00005D740000}"/>
    <cellStyle name="Normal 21 13 10" xfId="28972" xr:uid="{00000000-0005-0000-0000-00005E740000}"/>
    <cellStyle name="Normal 21 13 11" xfId="28973" xr:uid="{00000000-0005-0000-0000-00005F740000}"/>
    <cellStyle name="Normal 21 13 12" xfId="28974" xr:uid="{00000000-0005-0000-0000-000060740000}"/>
    <cellStyle name="Normal 21 13 13" xfId="28975" xr:uid="{00000000-0005-0000-0000-000061740000}"/>
    <cellStyle name="Normal 21 13 2" xfId="28976" xr:uid="{00000000-0005-0000-0000-000062740000}"/>
    <cellStyle name="Normal 21 13 2 2" xfId="28977" xr:uid="{00000000-0005-0000-0000-000063740000}"/>
    <cellStyle name="Normal 21 13 2 3" xfId="28978" xr:uid="{00000000-0005-0000-0000-000064740000}"/>
    <cellStyle name="Normal 21 13 2 4" xfId="28979" xr:uid="{00000000-0005-0000-0000-000065740000}"/>
    <cellStyle name="Normal 21 13 2 5" xfId="28980" xr:uid="{00000000-0005-0000-0000-000066740000}"/>
    <cellStyle name="Normal 21 13 2 6" xfId="28981" xr:uid="{00000000-0005-0000-0000-000067740000}"/>
    <cellStyle name="Normal 21 13 3" xfId="28982" xr:uid="{00000000-0005-0000-0000-000068740000}"/>
    <cellStyle name="Normal 21 13 3 2" xfId="28983" xr:uid="{00000000-0005-0000-0000-000069740000}"/>
    <cellStyle name="Normal 21 13 3 3" xfId="28984" xr:uid="{00000000-0005-0000-0000-00006A740000}"/>
    <cellStyle name="Normal 21 13 3 4" xfId="28985" xr:uid="{00000000-0005-0000-0000-00006B740000}"/>
    <cellStyle name="Normal 21 13 3 5" xfId="28986" xr:uid="{00000000-0005-0000-0000-00006C740000}"/>
    <cellStyle name="Normal 21 13 3 6" xfId="28987" xr:uid="{00000000-0005-0000-0000-00006D740000}"/>
    <cellStyle name="Normal 21 13 4" xfId="28988" xr:uid="{00000000-0005-0000-0000-00006E740000}"/>
    <cellStyle name="Normal 21 13 4 2" xfId="28989" xr:uid="{00000000-0005-0000-0000-00006F740000}"/>
    <cellStyle name="Normal 21 13 4 3" xfId="28990" xr:uid="{00000000-0005-0000-0000-000070740000}"/>
    <cellStyle name="Normal 21 13 4 4" xfId="28991" xr:uid="{00000000-0005-0000-0000-000071740000}"/>
    <cellStyle name="Normal 21 13 4 5" xfId="28992" xr:uid="{00000000-0005-0000-0000-000072740000}"/>
    <cellStyle name="Normal 21 13 4 6" xfId="28993" xr:uid="{00000000-0005-0000-0000-000073740000}"/>
    <cellStyle name="Normal 21 13 5" xfId="28994" xr:uid="{00000000-0005-0000-0000-000074740000}"/>
    <cellStyle name="Normal 21 13 5 2" xfId="28995" xr:uid="{00000000-0005-0000-0000-000075740000}"/>
    <cellStyle name="Normal 21 13 5 3" xfId="28996" xr:uid="{00000000-0005-0000-0000-000076740000}"/>
    <cellStyle name="Normal 21 13 5 4" xfId="28997" xr:uid="{00000000-0005-0000-0000-000077740000}"/>
    <cellStyle name="Normal 21 13 5 5" xfId="28998" xr:uid="{00000000-0005-0000-0000-000078740000}"/>
    <cellStyle name="Normal 21 13 5 6" xfId="28999" xr:uid="{00000000-0005-0000-0000-000079740000}"/>
    <cellStyle name="Normal 21 13 6" xfId="29000" xr:uid="{00000000-0005-0000-0000-00007A740000}"/>
    <cellStyle name="Normal 21 13 6 2" xfId="29001" xr:uid="{00000000-0005-0000-0000-00007B740000}"/>
    <cellStyle name="Normal 21 13 6 3" xfId="29002" xr:uid="{00000000-0005-0000-0000-00007C740000}"/>
    <cellStyle name="Normal 21 13 6 4" xfId="29003" xr:uid="{00000000-0005-0000-0000-00007D740000}"/>
    <cellStyle name="Normal 21 13 6 5" xfId="29004" xr:uid="{00000000-0005-0000-0000-00007E740000}"/>
    <cellStyle name="Normal 21 13 6 6" xfId="29005" xr:uid="{00000000-0005-0000-0000-00007F740000}"/>
    <cellStyle name="Normal 21 13 7" xfId="29006" xr:uid="{00000000-0005-0000-0000-000080740000}"/>
    <cellStyle name="Normal 21 13 7 2" xfId="29007" xr:uid="{00000000-0005-0000-0000-000081740000}"/>
    <cellStyle name="Normal 21 13 7 3" xfId="29008" xr:uid="{00000000-0005-0000-0000-000082740000}"/>
    <cellStyle name="Normal 21 13 7 4" xfId="29009" xr:uid="{00000000-0005-0000-0000-000083740000}"/>
    <cellStyle name="Normal 21 13 7 5" xfId="29010" xr:uid="{00000000-0005-0000-0000-000084740000}"/>
    <cellStyle name="Normal 21 13 7 6" xfId="29011" xr:uid="{00000000-0005-0000-0000-000085740000}"/>
    <cellStyle name="Normal 21 13 8" xfId="29012" xr:uid="{00000000-0005-0000-0000-000086740000}"/>
    <cellStyle name="Normal 21 13 8 2" xfId="29013" xr:uid="{00000000-0005-0000-0000-000087740000}"/>
    <cellStyle name="Normal 21 13 8 3" xfId="29014" xr:uid="{00000000-0005-0000-0000-000088740000}"/>
    <cellStyle name="Normal 21 13 8 4" xfId="29015" xr:uid="{00000000-0005-0000-0000-000089740000}"/>
    <cellStyle name="Normal 21 13 8 5" xfId="29016" xr:uid="{00000000-0005-0000-0000-00008A740000}"/>
    <cellStyle name="Normal 21 13 8 6" xfId="29017" xr:uid="{00000000-0005-0000-0000-00008B740000}"/>
    <cellStyle name="Normal 21 13 9" xfId="29018" xr:uid="{00000000-0005-0000-0000-00008C740000}"/>
    <cellStyle name="Normal 21 14" xfId="29019" xr:uid="{00000000-0005-0000-0000-00008D740000}"/>
    <cellStyle name="Normal 21 14 10" xfId="29020" xr:uid="{00000000-0005-0000-0000-00008E740000}"/>
    <cellStyle name="Normal 21 14 11" xfId="29021" xr:uid="{00000000-0005-0000-0000-00008F740000}"/>
    <cellStyle name="Normal 21 14 12" xfId="29022" xr:uid="{00000000-0005-0000-0000-000090740000}"/>
    <cellStyle name="Normal 21 14 13" xfId="29023" xr:uid="{00000000-0005-0000-0000-000091740000}"/>
    <cellStyle name="Normal 21 14 2" xfId="29024" xr:uid="{00000000-0005-0000-0000-000092740000}"/>
    <cellStyle name="Normal 21 14 2 2" xfId="29025" xr:uid="{00000000-0005-0000-0000-000093740000}"/>
    <cellStyle name="Normal 21 14 2 3" xfId="29026" xr:uid="{00000000-0005-0000-0000-000094740000}"/>
    <cellStyle name="Normal 21 14 2 4" xfId="29027" xr:uid="{00000000-0005-0000-0000-000095740000}"/>
    <cellStyle name="Normal 21 14 2 5" xfId="29028" xr:uid="{00000000-0005-0000-0000-000096740000}"/>
    <cellStyle name="Normal 21 14 2 6" xfId="29029" xr:uid="{00000000-0005-0000-0000-000097740000}"/>
    <cellStyle name="Normal 21 14 3" xfId="29030" xr:uid="{00000000-0005-0000-0000-000098740000}"/>
    <cellStyle name="Normal 21 14 3 2" xfId="29031" xr:uid="{00000000-0005-0000-0000-000099740000}"/>
    <cellStyle name="Normal 21 14 3 3" xfId="29032" xr:uid="{00000000-0005-0000-0000-00009A740000}"/>
    <cellStyle name="Normal 21 14 3 4" xfId="29033" xr:uid="{00000000-0005-0000-0000-00009B740000}"/>
    <cellStyle name="Normal 21 14 3 5" xfId="29034" xr:uid="{00000000-0005-0000-0000-00009C740000}"/>
    <cellStyle name="Normal 21 14 3 6" xfId="29035" xr:uid="{00000000-0005-0000-0000-00009D740000}"/>
    <cellStyle name="Normal 21 14 4" xfId="29036" xr:uid="{00000000-0005-0000-0000-00009E740000}"/>
    <cellStyle name="Normal 21 14 4 2" xfId="29037" xr:uid="{00000000-0005-0000-0000-00009F740000}"/>
    <cellStyle name="Normal 21 14 4 3" xfId="29038" xr:uid="{00000000-0005-0000-0000-0000A0740000}"/>
    <cellStyle name="Normal 21 14 4 4" xfId="29039" xr:uid="{00000000-0005-0000-0000-0000A1740000}"/>
    <cellStyle name="Normal 21 14 4 5" xfId="29040" xr:uid="{00000000-0005-0000-0000-0000A2740000}"/>
    <cellStyle name="Normal 21 14 4 6" xfId="29041" xr:uid="{00000000-0005-0000-0000-0000A3740000}"/>
    <cellStyle name="Normal 21 14 5" xfId="29042" xr:uid="{00000000-0005-0000-0000-0000A4740000}"/>
    <cellStyle name="Normal 21 14 5 2" xfId="29043" xr:uid="{00000000-0005-0000-0000-0000A5740000}"/>
    <cellStyle name="Normal 21 14 5 3" xfId="29044" xr:uid="{00000000-0005-0000-0000-0000A6740000}"/>
    <cellStyle name="Normal 21 14 5 4" xfId="29045" xr:uid="{00000000-0005-0000-0000-0000A7740000}"/>
    <cellStyle name="Normal 21 14 5 5" xfId="29046" xr:uid="{00000000-0005-0000-0000-0000A8740000}"/>
    <cellStyle name="Normal 21 14 5 6" xfId="29047" xr:uid="{00000000-0005-0000-0000-0000A9740000}"/>
    <cellStyle name="Normal 21 14 6" xfId="29048" xr:uid="{00000000-0005-0000-0000-0000AA740000}"/>
    <cellStyle name="Normal 21 14 6 2" xfId="29049" xr:uid="{00000000-0005-0000-0000-0000AB740000}"/>
    <cellStyle name="Normal 21 14 6 3" xfId="29050" xr:uid="{00000000-0005-0000-0000-0000AC740000}"/>
    <cellStyle name="Normal 21 14 6 4" xfId="29051" xr:uid="{00000000-0005-0000-0000-0000AD740000}"/>
    <cellStyle name="Normal 21 14 6 5" xfId="29052" xr:uid="{00000000-0005-0000-0000-0000AE740000}"/>
    <cellStyle name="Normal 21 14 6 6" xfId="29053" xr:uid="{00000000-0005-0000-0000-0000AF740000}"/>
    <cellStyle name="Normal 21 14 7" xfId="29054" xr:uid="{00000000-0005-0000-0000-0000B0740000}"/>
    <cellStyle name="Normal 21 14 7 2" xfId="29055" xr:uid="{00000000-0005-0000-0000-0000B1740000}"/>
    <cellStyle name="Normal 21 14 7 3" xfId="29056" xr:uid="{00000000-0005-0000-0000-0000B2740000}"/>
    <cellStyle name="Normal 21 14 7 4" xfId="29057" xr:uid="{00000000-0005-0000-0000-0000B3740000}"/>
    <cellStyle name="Normal 21 14 7 5" xfId="29058" xr:uid="{00000000-0005-0000-0000-0000B4740000}"/>
    <cellStyle name="Normal 21 14 7 6" xfId="29059" xr:uid="{00000000-0005-0000-0000-0000B5740000}"/>
    <cellStyle name="Normal 21 14 8" xfId="29060" xr:uid="{00000000-0005-0000-0000-0000B6740000}"/>
    <cellStyle name="Normal 21 14 8 2" xfId="29061" xr:uid="{00000000-0005-0000-0000-0000B7740000}"/>
    <cellStyle name="Normal 21 14 8 3" xfId="29062" xr:uid="{00000000-0005-0000-0000-0000B8740000}"/>
    <cellStyle name="Normal 21 14 8 4" xfId="29063" xr:uid="{00000000-0005-0000-0000-0000B9740000}"/>
    <cellStyle name="Normal 21 14 8 5" xfId="29064" xr:uid="{00000000-0005-0000-0000-0000BA740000}"/>
    <cellStyle name="Normal 21 14 8 6" xfId="29065" xr:uid="{00000000-0005-0000-0000-0000BB740000}"/>
    <cellStyle name="Normal 21 14 9" xfId="29066" xr:uid="{00000000-0005-0000-0000-0000BC740000}"/>
    <cellStyle name="Normal 21 15" xfId="29067" xr:uid="{00000000-0005-0000-0000-0000BD740000}"/>
    <cellStyle name="Normal 21 15 10" xfId="29068" xr:uid="{00000000-0005-0000-0000-0000BE740000}"/>
    <cellStyle name="Normal 21 15 11" xfId="29069" xr:uid="{00000000-0005-0000-0000-0000BF740000}"/>
    <cellStyle name="Normal 21 15 12" xfId="29070" xr:uid="{00000000-0005-0000-0000-0000C0740000}"/>
    <cellStyle name="Normal 21 15 13" xfId="29071" xr:uid="{00000000-0005-0000-0000-0000C1740000}"/>
    <cellStyle name="Normal 21 15 2" xfId="29072" xr:uid="{00000000-0005-0000-0000-0000C2740000}"/>
    <cellStyle name="Normal 21 15 2 2" xfId="29073" xr:uid="{00000000-0005-0000-0000-0000C3740000}"/>
    <cellStyle name="Normal 21 15 2 3" xfId="29074" xr:uid="{00000000-0005-0000-0000-0000C4740000}"/>
    <cellStyle name="Normal 21 15 2 4" xfId="29075" xr:uid="{00000000-0005-0000-0000-0000C5740000}"/>
    <cellStyle name="Normal 21 15 2 5" xfId="29076" xr:uid="{00000000-0005-0000-0000-0000C6740000}"/>
    <cellStyle name="Normal 21 15 2 6" xfId="29077" xr:uid="{00000000-0005-0000-0000-0000C7740000}"/>
    <cellStyle name="Normal 21 15 3" xfId="29078" xr:uid="{00000000-0005-0000-0000-0000C8740000}"/>
    <cellStyle name="Normal 21 15 3 2" xfId="29079" xr:uid="{00000000-0005-0000-0000-0000C9740000}"/>
    <cellStyle name="Normal 21 15 3 3" xfId="29080" xr:uid="{00000000-0005-0000-0000-0000CA740000}"/>
    <cellStyle name="Normal 21 15 3 4" xfId="29081" xr:uid="{00000000-0005-0000-0000-0000CB740000}"/>
    <cellStyle name="Normal 21 15 3 5" xfId="29082" xr:uid="{00000000-0005-0000-0000-0000CC740000}"/>
    <cellStyle name="Normal 21 15 3 6" xfId="29083" xr:uid="{00000000-0005-0000-0000-0000CD740000}"/>
    <cellStyle name="Normal 21 15 4" xfId="29084" xr:uid="{00000000-0005-0000-0000-0000CE740000}"/>
    <cellStyle name="Normal 21 15 4 2" xfId="29085" xr:uid="{00000000-0005-0000-0000-0000CF740000}"/>
    <cellStyle name="Normal 21 15 4 3" xfId="29086" xr:uid="{00000000-0005-0000-0000-0000D0740000}"/>
    <cellStyle name="Normal 21 15 4 4" xfId="29087" xr:uid="{00000000-0005-0000-0000-0000D1740000}"/>
    <cellStyle name="Normal 21 15 4 5" xfId="29088" xr:uid="{00000000-0005-0000-0000-0000D2740000}"/>
    <cellStyle name="Normal 21 15 4 6" xfId="29089" xr:uid="{00000000-0005-0000-0000-0000D3740000}"/>
    <cellStyle name="Normal 21 15 5" xfId="29090" xr:uid="{00000000-0005-0000-0000-0000D4740000}"/>
    <cellStyle name="Normal 21 15 5 2" xfId="29091" xr:uid="{00000000-0005-0000-0000-0000D5740000}"/>
    <cellStyle name="Normal 21 15 5 3" xfId="29092" xr:uid="{00000000-0005-0000-0000-0000D6740000}"/>
    <cellStyle name="Normal 21 15 5 4" xfId="29093" xr:uid="{00000000-0005-0000-0000-0000D7740000}"/>
    <cellStyle name="Normal 21 15 5 5" xfId="29094" xr:uid="{00000000-0005-0000-0000-0000D8740000}"/>
    <cellStyle name="Normal 21 15 5 6" xfId="29095" xr:uid="{00000000-0005-0000-0000-0000D9740000}"/>
    <cellStyle name="Normal 21 15 6" xfId="29096" xr:uid="{00000000-0005-0000-0000-0000DA740000}"/>
    <cellStyle name="Normal 21 15 6 2" xfId="29097" xr:uid="{00000000-0005-0000-0000-0000DB740000}"/>
    <cellStyle name="Normal 21 15 6 3" xfId="29098" xr:uid="{00000000-0005-0000-0000-0000DC740000}"/>
    <cellStyle name="Normal 21 15 6 4" xfId="29099" xr:uid="{00000000-0005-0000-0000-0000DD740000}"/>
    <cellStyle name="Normal 21 15 6 5" xfId="29100" xr:uid="{00000000-0005-0000-0000-0000DE740000}"/>
    <cellStyle name="Normal 21 15 6 6" xfId="29101" xr:uid="{00000000-0005-0000-0000-0000DF740000}"/>
    <cellStyle name="Normal 21 15 7" xfId="29102" xr:uid="{00000000-0005-0000-0000-0000E0740000}"/>
    <cellStyle name="Normal 21 15 7 2" xfId="29103" xr:uid="{00000000-0005-0000-0000-0000E1740000}"/>
    <cellStyle name="Normal 21 15 7 3" xfId="29104" xr:uid="{00000000-0005-0000-0000-0000E2740000}"/>
    <cellStyle name="Normal 21 15 7 4" xfId="29105" xr:uid="{00000000-0005-0000-0000-0000E3740000}"/>
    <cellStyle name="Normal 21 15 7 5" xfId="29106" xr:uid="{00000000-0005-0000-0000-0000E4740000}"/>
    <cellStyle name="Normal 21 15 7 6" xfId="29107" xr:uid="{00000000-0005-0000-0000-0000E5740000}"/>
    <cellStyle name="Normal 21 15 8" xfId="29108" xr:uid="{00000000-0005-0000-0000-0000E6740000}"/>
    <cellStyle name="Normal 21 15 8 2" xfId="29109" xr:uid="{00000000-0005-0000-0000-0000E7740000}"/>
    <cellStyle name="Normal 21 15 8 3" xfId="29110" xr:uid="{00000000-0005-0000-0000-0000E8740000}"/>
    <cellStyle name="Normal 21 15 8 4" xfId="29111" xr:uid="{00000000-0005-0000-0000-0000E9740000}"/>
    <cellStyle name="Normal 21 15 8 5" xfId="29112" xr:uid="{00000000-0005-0000-0000-0000EA740000}"/>
    <cellStyle name="Normal 21 15 8 6" xfId="29113" xr:uid="{00000000-0005-0000-0000-0000EB740000}"/>
    <cellStyle name="Normal 21 15 9" xfId="29114" xr:uid="{00000000-0005-0000-0000-0000EC740000}"/>
    <cellStyle name="Normal 21 16" xfId="29115" xr:uid="{00000000-0005-0000-0000-0000ED740000}"/>
    <cellStyle name="Normal 21 16 10" xfId="29116" xr:uid="{00000000-0005-0000-0000-0000EE740000}"/>
    <cellStyle name="Normal 21 16 11" xfId="29117" xr:uid="{00000000-0005-0000-0000-0000EF740000}"/>
    <cellStyle name="Normal 21 16 12" xfId="29118" xr:uid="{00000000-0005-0000-0000-0000F0740000}"/>
    <cellStyle name="Normal 21 16 13" xfId="29119" xr:uid="{00000000-0005-0000-0000-0000F1740000}"/>
    <cellStyle name="Normal 21 16 2" xfId="29120" xr:uid="{00000000-0005-0000-0000-0000F2740000}"/>
    <cellStyle name="Normal 21 16 2 2" xfId="29121" xr:uid="{00000000-0005-0000-0000-0000F3740000}"/>
    <cellStyle name="Normal 21 16 2 3" xfId="29122" xr:uid="{00000000-0005-0000-0000-0000F4740000}"/>
    <cellStyle name="Normal 21 16 2 4" xfId="29123" xr:uid="{00000000-0005-0000-0000-0000F5740000}"/>
    <cellStyle name="Normal 21 16 2 5" xfId="29124" xr:uid="{00000000-0005-0000-0000-0000F6740000}"/>
    <cellStyle name="Normal 21 16 2 6" xfId="29125" xr:uid="{00000000-0005-0000-0000-0000F7740000}"/>
    <cellStyle name="Normal 21 16 3" xfId="29126" xr:uid="{00000000-0005-0000-0000-0000F8740000}"/>
    <cellStyle name="Normal 21 16 3 2" xfId="29127" xr:uid="{00000000-0005-0000-0000-0000F9740000}"/>
    <cellStyle name="Normal 21 16 3 3" xfId="29128" xr:uid="{00000000-0005-0000-0000-0000FA740000}"/>
    <cellStyle name="Normal 21 16 3 4" xfId="29129" xr:uid="{00000000-0005-0000-0000-0000FB740000}"/>
    <cellStyle name="Normal 21 16 3 5" xfId="29130" xr:uid="{00000000-0005-0000-0000-0000FC740000}"/>
    <cellStyle name="Normal 21 16 3 6" xfId="29131" xr:uid="{00000000-0005-0000-0000-0000FD740000}"/>
    <cellStyle name="Normal 21 16 4" xfId="29132" xr:uid="{00000000-0005-0000-0000-0000FE740000}"/>
    <cellStyle name="Normal 21 16 4 2" xfId="29133" xr:uid="{00000000-0005-0000-0000-0000FF740000}"/>
    <cellStyle name="Normal 21 16 4 3" xfId="29134" xr:uid="{00000000-0005-0000-0000-000000750000}"/>
    <cellStyle name="Normal 21 16 4 4" xfId="29135" xr:uid="{00000000-0005-0000-0000-000001750000}"/>
    <cellStyle name="Normal 21 16 4 5" xfId="29136" xr:uid="{00000000-0005-0000-0000-000002750000}"/>
    <cellStyle name="Normal 21 16 4 6" xfId="29137" xr:uid="{00000000-0005-0000-0000-000003750000}"/>
    <cellStyle name="Normal 21 16 5" xfId="29138" xr:uid="{00000000-0005-0000-0000-000004750000}"/>
    <cellStyle name="Normal 21 16 5 2" xfId="29139" xr:uid="{00000000-0005-0000-0000-000005750000}"/>
    <cellStyle name="Normal 21 16 5 3" xfId="29140" xr:uid="{00000000-0005-0000-0000-000006750000}"/>
    <cellStyle name="Normal 21 16 5 4" xfId="29141" xr:uid="{00000000-0005-0000-0000-000007750000}"/>
    <cellStyle name="Normal 21 16 5 5" xfId="29142" xr:uid="{00000000-0005-0000-0000-000008750000}"/>
    <cellStyle name="Normal 21 16 5 6" xfId="29143" xr:uid="{00000000-0005-0000-0000-000009750000}"/>
    <cellStyle name="Normal 21 16 6" xfId="29144" xr:uid="{00000000-0005-0000-0000-00000A750000}"/>
    <cellStyle name="Normal 21 16 6 2" xfId="29145" xr:uid="{00000000-0005-0000-0000-00000B750000}"/>
    <cellStyle name="Normal 21 16 6 3" xfId="29146" xr:uid="{00000000-0005-0000-0000-00000C750000}"/>
    <cellStyle name="Normal 21 16 6 4" xfId="29147" xr:uid="{00000000-0005-0000-0000-00000D750000}"/>
    <cellStyle name="Normal 21 16 6 5" xfId="29148" xr:uid="{00000000-0005-0000-0000-00000E750000}"/>
    <cellStyle name="Normal 21 16 6 6" xfId="29149" xr:uid="{00000000-0005-0000-0000-00000F750000}"/>
    <cellStyle name="Normal 21 16 7" xfId="29150" xr:uid="{00000000-0005-0000-0000-000010750000}"/>
    <cellStyle name="Normal 21 16 7 2" xfId="29151" xr:uid="{00000000-0005-0000-0000-000011750000}"/>
    <cellStyle name="Normal 21 16 7 3" xfId="29152" xr:uid="{00000000-0005-0000-0000-000012750000}"/>
    <cellStyle name="Normal 21 16 7 4" xfId="29153" xr:uid="{00000000-0005-0000-0000-000013750000}"/>
    <cellStyle name="Normal 21 16 7 5" xfId="29154" xr:uid="{00000000-0005-0000-0000-000014750000}"/>
    <cellStyle name="Normal 21 16 7 6" xfId="29155" xr:uid="{00000000-0005-0000-0000-000015750000}"/>
    <cellStyle name="Normal 21 16 8" xfId="29156" xr:uid="{00000000-0005-0000-0000-000016750000}"/>
    <cellStyle name="Normal 21 16 8 2" xfId="29157" xr:uid="{00000000-0005-0000-0000-000017750000}"/>
    <cellStyle name="Normal 21 16 8 3" xfId="29158" xr:uid="{00000000-0005-0000-0000-000018750000}"/>
    <cellStyle name="Normal 21 16 8 4" xfId="29159" xr:uid="{00000000-0005-0000-0000-000019750000}"/>
    <cellStyle name="Normal 21 16 8 5" xfId="29160" xr:uid="{00000000-0005-0000-0000-00001A750000}"/>
    <cellStyle name="Normal 21 16 8 6" xfId="29161" xr:uid="{00000000-0005-0000-0000-00001B750000}"/>
    <cellStyle name="Normal 21 16 9" xfId="29162" xr:uid="{00000000-0005-0000-0000-00001C750000}"/>
    <cellStyle name="Normal 21 17" xfId="29163" xr:uid="{00000000-0005-0000-0000-00001D750000}"/>
    <cellStyle name="Normal 21 17 10" xfId="29164" xr:uid="{00000000-0005-0000-0000-00001E750000}"/>
    <cellStyle name="Normal 21 17 11" xfId="29165" xr:uid="{00000000-0005-0000-0000-00001F750000}"/>
    <cellStyle name="Normal 21 17 12" xfId="29166" xr:uid="{00000000-0005-0000-0000-000020750000}"/>
    <cellStyle name="Normal 21 17 13" xfId="29167" xr:uid="{00000000-0005-0000-0000-000021750000}"/>
    <cellStyle name="Normal 21 17 2" xfId="29168" xr:uid="{00000000-0005-0000-0000-000022750000}"/>
    <cellStyle name="Normal 21 17 2 2" xfId="29169" xr:uid="{00000000-0005-0000-0000-000023750000}"/>
    <cellStyle name="Normal 21 17 2 3" xfId="29170" xr:uid="{00000000-0005-0000-0000-000024750000}"/>
    <cellStyle name="Normal 21 17 2 4" xfId="29171" xr:uid="{00000000-0005-0000-0000-000025750000}"/>
    <cellStyle name="Normal 21 17 2 5" xfId="29172" xr:uid="{00000000-0005-0000-0000-000026750000}"/>
    <cellStyle name="Normal 21 17 2 6" xfId="29173" xr:uid="{00000000-0005-0000-0000-000027750000}"/>
    <cellStyle name="Normal 21 17 3" xfId="29174" xr:uid="{00000000-0005-0000-0000-000028750000}"/>
    <cellStyle name="Normal 21 17 3 2" xfId="29175" xr:uid="{00000000-0005-0000-0000-000029750000}"/>
    <cellStyle name="Normal 21 17 3 3" xfId="29176" xr:uid="{00000000-0005-0000-0000-00002A750000}"/>
    <cellStyle name="Normal 21 17 3 4" xfId="29177" xr:uid="{00000000-0005-0000-0000-00002B750000}"/>
    <cellStyle name="Normal 21 17 3 5" xfId="29178" xr:uid="{00000000-0005-0000-0000-00002C750000}"/>
    <cellStyle name="Normal 21 17 3 6" xfId="29179" xr:uid="{00000000-0005-0000-0000-00002D750000}"/>
    <cellStyle name="Normal 21 17 4" xfId="29180" xr:uid="{00000000-0005-0000-0000-00002E750000}"/>
    <cellStyle name="Normal 21 17 4 2" xfId="29181" xr:uid="{00000000-0005-0000-0000-00002F750000}"/>
    <cellStyle name="Normal 21 17 4 3" xfId="29182" xr:uid="{00000000-0005-0000-0000-000030750000}"/>
    <cellStyle name="Normal 21 17 4 4" xfId="29183" xr:uid="{00000000-0005-0000-0000-000031750000}"/>
    <cellStyle name="Normal 21 17 4 5" xfId="29184" xr:uid="{00000000-0005-0000-0000-000032750000}"/>
    <cellStyle name="Normal 21 17 4 6" xfId="29185" xr:uid="{00000000-0005-0000-0000-000033750000}"/>
    <cellStyle name="Normal 21 17 5" xfId="29186" xr:uid="{00000000-0005-0000-0000-000034750000}"/>
    <cellStyle name="Normal 21 17 5 2" xfId="29187" xr:uid="{00000000-0005-0000-0000-000035750000}"/>
    <cellStyle name="Normal 21 17 5 3" xfId="29188" xr:uid="{00000000-0005-0000-0000-000036750000}"/>
    <cellStyle name="Normal 21 17 5 4" xfId="29189" xr:uid="{00000000-0005-0000-0000-000037750000}"/>
    <cellStyle name="Normal 21 17 5 5" xfId="29190" xr:uid="{00000000-0005-0000-0000-000038750000}"/>
    <cellStyle name="Normal 21 17 5 6" xfId="29191" xr:uid="{00000000-0005-0000-0000-000039750000}"/>
    <cellStyle name="Normal 21 17 6" xfId="29192" xr:uid="{00000000-0005-0000-0000-00003A750000}"/>
    <cellStyle name="Normal 21 17 6 2" xfId="29193" xr:uid="{00000000-0005-0000-0000-00003B750000}"/>
    <cellStyle name="Normal 21 17 6 3" xfId="29194" xr:uid="{00000000-0005-0000-0000-00003C750000}"/>
    <cellStyle name="Normal 21 17 6 4" xfId="29195" xr:uid="{00000000-0005-0000-0000-00003D750000}"/>
    <cellStyle name="Normal 21 17 6 5" xfId="29196" xr:uid="{00000000-0005-0000-0000-00003E750000}"/>
    <cellStyle name="Normal 21 17 6 6" xfId="29197" xr:uid="{00000000-0005-0000-0000-00003F750000}"/>
    <cellStyle name="Normal 21 17 7" xfId="29198" xr:uid="{00000000-0005-0000-0000-000040750000}"/>
    <cellStyle name="Normal 21 17 7 2" xfId="29199" xr:uid="{00000000-0005-0000-0000-000041750000}"/>
    <cellStyle name="Normal 21 17 7 3" xfId="29200" xr:uid="{00000000-0005-0000-0000-000042750000}"/>
    <cellStyle name="Normal 21 17 7 4" xfId="29201" xr:uid="{00000000-0005-0000-0000-000043750000}"/>
    <cellStyle name="Normal 21 17 7 5" xfId="29202" xr:uid="{00000000-0005-0000-0000-000044750000}"/>
    <cellStyle name="Normal 21 17 7 6" xfId="29203" xr:uid="{00000000-0005-0000-0000-000045750000}"/>
    <cellStyle name="Normal 21 17 8" xfId="29204" xr:uid="{00000000-0005-0000-0000-000046750000}"/>
    <cellStyle name="Normal 21 17 8 2" xfId="29205" xr:uid="{00000000-0005-0000-0000-000047750000}"/>
    <cellStyle name="Normal 21 17 8 3" xfId="29206" xr:uid="{00000000-0005-0000-0000-000048750000}"/>
    <cellStyle name="Normal 21 17 8 4" xfId="29207" xr:uid="{00000000-0005-0000-0000-000049750000}"/>
    <cellStyle name="Normal 21 17 8 5" xfId="29208" xr:uid="{00000000-0005-0000-0000-00004A750000}"/>
    <cellStyle name="Normal 21 17 8 6" xfId="29209" xr:uid="{00000000-0005-0000-0000-00004B750000}"/>
    <cellStyle name="Normal 21 17 9" xfId="29210" xr:uid="{00000000-0005-0000-0000-00004C750000}"/>
    <cellStyle name="Normal 21 18" xfId="29211" xr:uid="{00000000-0005-0000-0000-00004D750000}"/>
    <cellStyle name="Normal 21 18 10" xfId="29212" xr:uid="{00000000-0005-0000-0000-00004E750000}"/>
    <cellStyle name="Normal 21 18 11" xfId="29213" xr:uid="{00000000-0005-0000-0000-00004F750000}"/>
    <cellStyle name="Normal 21 18 12" xfId="29214" xr:uid="{00000000-0005-0000-0000-000050750000}"/>
    <cellStyle name="Normal 21 18 13" xfId="29215" xr:uid="{00000000-0005-0000-0000-000051750000}"/>
    <cellStyle name="Normal 21 18 2" xfId="29216" xr:uid="{00000000-0005-0000-0000-000052750000}"/>
    <cellStyle name="Normal 21 18 2 2" xfId="29217" xr:uid="{00000000-0005-0000-0000-000053750000}"/>
    <cellStyle name="Normal 21 18 2 3" xfId="29218" xr:uid="{00000000-0005-0000-0000-000054750000}"/>
    <cellStyle name="Normal 21 18 2 4" xfId="29219" xr:uid="{00000000-0005-0000-0000-000055750000}"/>
    <cellStyle name="Normal 21 18 2 5" xfId="29220" xr:uid="{00000000-0005-0000-0000-000056750000}"/>
    <cellStyle name="Normal 21 18 2 6" xfId="29221" xr:uid="{00000000-0005-0000-0000-000057750000}"/>
    <cellStyle name="Normal 21 18 3" xfId="29222" xr:uid="{00000000-0005-0000-0000-000058750000}"/>
    <cellStyle name="Normal 21 18 3 2" xfId="29223" xr:uid="{00000000-0005-0000-0000-000059750000}"/>
    <cellStyle name="Normal 21 18 3 3" xfId="29224" xr:uid="{00000000-0005-0000-0000-00005A750000}"/>
    <cellStyle name="Normal 21 18 3 4" xfId="29225" xr:uid="{00000000-0005-0000-0000-00005B750000}"/>
    <cellStyle name="Normal 21 18 3 5" xfId="29226" xr:uid="{00000000-0005-0000-0000-00005C750000}"/>
    <cellStyle name="Normal 21 18 3 6" xfId="29227" xr:uid="{00000000-0005-0000-0000-00005D750000}"/>
    <cellStyle name="Normal 21 18 4" xfId="29228" xr:uid="{00000000-0005-0000-0000-00005E750000}"/>
    <cellStyle name="Normal 21 18 4 2" xfId="29229" xr:uid="{00000000-0005-0000-0000-00005F750000}"/>
    <cellStyle name="Normal 21 18 4 3" xfId="29230" xr:uid="{00000000-0005-0000-0000-000060750000}"/>
    <cellStyle name="Normal 21 18 4 4" xfId="29231" xr:uid="{00000000-0005-0000-0000-000061750000}"/>
    <cellStyle name="Normal 21 18 4 5" xfId="29232" xr:uid="{00000000-0005-0000-0000-000062750000}"/>
    <cellStyle name="Normal 21 18 4 6" xfId="29233" xr:uid="{00000000-0005-0000-0000-000063750000}"/>
    <cellStyle name="Normal 21 18 5" xfId="29234" xr:uid="{00000000-0005-0000-0000-000064750000}"/>
    <cellStyle name="Normal 21 18 5 2" xfId="29235" xr:uid="{00000000-0005-0000-0000-000065750000}"/>
    <cellStyle name="Normal 21 18 5 3" xfId="29236" xr:uid="{00000000-0005-0000-0000-000066750000}"/>
    <cellStyle name="Normal 21 18 5 4" xfId="29237" xr:uid="{00000000-0005-0000-0000-000067750000}"/>
    <cellStyle name="Normal 21 18 5 5" xfId="29238" xr:uid="{00000000-0005-0000-0000-000068750000}"/>
    <cellStyle name="Normal 21 18 5 6" xfId="29239" xr:uid="{00000000-0005-0000-0000-000069750000}"/>
    <cellStyle name="Normal 21 18 6" xfId="29240" xr:uid="{00000000-0005-0000-0000-00006A750000}"/>
    <cellStyle name="Normal 21 18 6 2" xfId="29241" xr:uid="{00000000-0005-0000-0000-00006B750000}"/>
    <cellStyle name="Normal 21 18 6 3" xfId="29242" xr:uid="{00000000-0005-0000-0000-00006C750000}"/>
    <cellStyle name="Normal 21 18 6 4" xfId="29243" xr:uid="{00000000-0005-0000-0000-00006D750000}"/>
    <cellStyle name="Normal 21 18 6 5" xfId="29244" xr:uid="{00000000-0005-0000-0000-00006E750000}"/>
    <cellStyle name="Normal 21 18 6 6" xfId="29245" xr:uid="{00000000-0005-0000-0000-00006F750000}"/>
    <cellStyle name="Normal 21 18 7" xfId="29246" xr:uid="{00000000-0005-0000-0000-000070750000}"/>
    <cellStyle name="Normal 21 18 7 2" xfId="29247" xr:uid="{00000000-0005-0000-0000-000071750000}"/>
    <cellStyle name="Normal 21 18 7 3" xfId="29248" xr:uid="{00000000-0005-0000-0000-000072750000}"/>
    <cellStyle name="Normal 21 18 7 4" xfId="29249" xr:uid="{00000000-0005-0000-0000-000073750000}"/>
    <cellStyle name="Normal 21 18 7 5" xfId="29250" xr:uid="{00000000-0005-0000-0000-000074750000}"/>
    <cellStyle name="Normal 21 18 7 6" xfId="29251" xr:uid="{00000000-0005-0000-0000-000075750000}"/>
    <cellStyle name="Normal 21 18 8" xfId="29252" xr:uid="{00000000-0005-0000-0000-000076750000}"/>
    <cellStyle name="Normal 21 18 8 2" xfId="29253" xr:uid="{00000000-0005-0000-0000-000077750000}"/>
    <cellStyle name="Normal 21 18 8 3" xfId="29254" xr:uid="{00000000-0005-0000-0000-000078750000}"/>
    <cellStyle name="Normal 21 18 8 4" xfId="29255" xr:uid="{00000000-0005-0000-0000-000079750000}"/>
    <cellStyle name="Normal 21 18 8 5" xfId="29256" xr:uid="{00000000-0005-0000-0000-00007A750000}"/>
    <cellStyle name="Normal 21 18 8 6" xfId="29257" xr:uid="{00000000-0005-0000-0000-00007B750000}"/>
    <cellStyle name="Normal 21 18 9" xfId="29258" xr:uid="{00000000-0005-0000-0000-00007C750000}"/>
    <cellStyle name="Normal 21 19" xfId="29259" xr:uid="{00000000-0005-0000-0000-00007D750000}"/>
    <cellStyle name="Normal 21 19 10" xfId="29260" xr:uid="{00000000-0005-0000-0000-00007E750000}"/>
    <cellStyle name="Normal 21 19 11" xfId="29261" xr:uid="{00000000-0005-0000-0000-00007F750000}"/>
    <cellStyle name="Normal 21 19 12" xfId="29262" xr:uid="{00000000-0005-0000-0000-000080750000}"/>
    <cellStyle name="Normal 21 19 13" xfId="29263" xr:uid="{00000000-0005-0000-0000-000081750000}"/>
    <cellStyle name="Normal 21 19 2" xfId="29264" xr:uid="{00000000-0005-0000-0000-000082750000}"/>
    <cellStyle name="Normal 21 19 2 2" xfId="29265" xr:uid="{00000000-0005-0000-0000-000083750000}"/>
    <cellStyle name="Normal 21 19 2 3" xfId="29266" xr:uid="{00000000-0005-0000-0000-000084750000}"/>
    <cellStyle name="Normal 21 19 2 4" xfId="29267" xr:uid="{00000000-0005-0000-0000-000085750000}"/>
    <cellStyle name="Normal 21 19 2 5" xfId="29268" xr:uid="{00000000-0005-0000-0000-000086750000}"/>
    <cellStyle name="Normal 21 19 2 6" xfId="29269" xr:uid="{00000000-0005-0000-0000-000087750000}"/>
    <cellStyle name="Normal 21 19 3" xfId="29270" xr:uid="{00000000-0005-0000-0000-000088750000}"/>
    <cellStyle name="Normal 21 19 3 2" xfId="29271" xr:uid="{00000000-0005-0000-0000-000089750000}"/>
    <cellStyle name="Normal 21 19 3 3" xfId="29272" xr:uid="{00000000-0005-0000-0000-00008A750000}"/>
    <cellStyle name="Normal 21 19 3 4" xfId="29273" xr:uid="{00000000-0005-0000-0000-00008B750000}"/>
    <cellStyle name="Normal 21 19 3 5" xfId="29274" xr:uid="{00000000-0005-0000-0000-00008C750000}"/>
    <cellStyle name="Normal 21 19 3 6" xfId="29275" xr:uid="{00000000-0005-0000-0000-00008D750000}"/>
    <cellStyle name="Normal 21 19 4" xfId="29276" xr:uid="{00000000-0005-0000-0000-00008E750000}"/>
    <cellStyle name="Normal 21 19 4 2" xfId="29277" xr:uid="{00000000-0005-0000-0000-00008F750000}"/>
    <cellStyle name="Normal 21 19 4 3" xfId="29278" xr:uid="{00000000-0005-0000-0000-000090750000}"/>
    <cellStyle name="Normal 21 19 4 4" xfId="29279" xr:uid="{00000000-0005-0000-0000-000091750000}"/>
    <cellStyle name="Normal 21 19 4 5" xfId="29280" xr:uid="{00000000-0005-0000-0000-000092750000}"/>
    <cellStyle name="Normal 21 19 4 6" xfId="29281" xr:uid="{00000000-0005-0000-0000-000093750000}"/>
    <cellStyle name="Normal 21 19 5" xfId="29282" xr:uid="{00000000-0005-0000-0000-000094750000}"/>
    <cellStyle name="Normal 21 19 5 2" xfId="29283" xr:uid="{00000000-0005-0000-0000-000095750000}"/>
    <cellStyle name="Normal 21 19 5 3" xfId="29284" xr:uid="{00000000-0005-0000-0000-000096750000}"/>
    <cellStyle name="Normal 21 19 5 4" xfId="29285" xr:uid="{00000000-0005-0000-0000-000097750000}"/>
    <cellStyle name="Normal 21 19 5 5" xfId="29286" xr:uid="{00000000-0005-0000-0000-000098750000}"/>
    <cellStyle name="Normal 21 19 5 6" xfId="29287" xr:uid="{00000000-0005-0000-0000-000099750000}"/>
    <cellStyle name="Normal 21 19 6" xfId="29288" xr:uid="{00000000-0005-0000-0000-00009A750000}"/>
    <cellStyle name="Normal 21 19 6 2" xfId="29289" xr:uid="{00000000-0005-0000-0000-00009B750000}"/>
    <cellStyle name="Normal 21 19 6 3" xfId="29290" xr:uid="{00000000-0005-0000-0000-00009C750000}"/>
    <cellStyle name="Normal 21 19 6 4" xfId="29291" xr:uid="{00000000-0005-0000-0000-00009D750000}"/>
    <cellStyle name="Normal 21 19 6 5" xfId="29292" xr:uid="{00000000-0005-0000-0000-00009E750000}"/>
    <cellStyle name="Normal 21 19 6 6" xfId="29293" xr:uid="{00000000-0005-0000-0000-00009F750000}"/>
    <cellStyle name="Normal 21 19 7" xfId="29294" xr:uid="{00000000-0005-0000-0000-0000A0750000}"/>
    <cellStyle name="Normal 21 19 7 2" xfId="29295" xr:uid="{00000000-0005-0000-0000-0000A1750000}"/>
    <cellStyle name="Normal 21 19 7 3" xfId="29296" xr:uid="{00000000-0005-0000-0000-0000A2750000}"/>
    <cellStyle name="Normal 21 19 7 4" xfId="29297" xr:uid="{00000000-0005-0000-0000-0000A3750000}"/>
    <cellStyle name="Normal 21 19 7 5" xfId="29298" xr:uid="{00000000-0005-0000-0000-0000A4750000}"/>
    <cellStyle name="Normal 21 19 7 6" xfId="29299" xr:uid="{00000000-0005-0000-0000-0000A5750000}"/>
    <cellStyle name="Normal 21 19 8" xfId="29300" xr:uid="{00000000-0005-0000-0000-0000A6750000}"/>
    <cellStyle name="Normal 21 19 8 2" xfId="29301" xr:uid="{00000000-0005-0000-0000-0000A7750000}"/>
    <cellStyle name="Normal 21 19 8 3" xfId="29302" xr:uid="{00000000-0005-0000-0000-0000A8750000}"/>
    <cellStyle name="Normal 21 19 8 4" xfId="29303" xr:uid="{00000000-0005-0000-0000-0000A9750000}"/>
    <cellStyle name="Normal 21 19 8 5" xfId="29304" xr:uid="{00000000-0005-0000-0000-0000AA750000}"/>
    <cellStyle name="Normal 21 19 8 6" xfId="29305" xr:uid="{00000000-0005-0000-0000-0000AB750000}"/>
    <cellStyle name="Normal 21 19 9" xfId="29306" xr:uid="{00000000-0005-0000-0000-0000AC750000}"/>
    <cellStyle name="Normal 21 2" xfId="29307" xr:uid="{00000000-0005-0000-0000-0000AD750000}"/>
    <cellStyle name="Normal 21 2 10" xfId="29308" xr:uid="{00000000-0005-0000-0000-0000AE750000}"/>
    <cellStyle name="Normal 21 2 11" xfId="29309" xr:uid="{00000000-0005-0000-0000-0000AF750000}"/>
    <cellStyle name="Normal 21 2 12" xfId="29310" xr:uid="{00000000-0005-0000-0000-0000B0750000}"/>
    <cellStyle name="Normal 21 2 13" xfId="29311" xr:uid="{00000000-0005-0000-0000-0000B1750000}"/>
    <cellStyle name="Normal 21 2 2" xfId="29312" xr:uid="{00000000-0005-0000-0000-0000B2750000}"/>
    <cellStyle name="Normal 21 2 2 2" xfId="29313" xr:uid="{00000000-0005-0000-0000-0000B3750000}"/>
    <cellStyle name="Normal 21 2 2 3" xfId="29314" xr:uid="{00000000-0005-0000-0000-0000B4750000}"/>
    <cellStyle name="Normal 21 2 2 4" xfId="29315" xr:uid="{00000000-0005-0000-0000-0000B5750000}"/>
    <cellStyle name="Normal 21 2 2 5" xfId="29316" xr:uid="{00000000-0005-0000-0000-0000B6750000}"/>
    <cellStyle name="Normal 21 2 2 6" xfId="29317" xr:uid="{00000000-0005-0000-0000-0000B7750000}"/>
    <cellStyle name="Normal 21 2 3" xfId="29318" xr:uid="{00000000-0005-0000-0000-0000B8750000}"/>
    <cellStyle name="Normal 21 2 3 2" xfId="29319" xr:uid="{00000000-0005-0000-0000-0000B9750000}"/>
    <cellStyle name="Normal 21 2 3 3" xfId="29320" xr:uid="{00000000-0005-0000-0000-0000BA750000}"/>
    <cellStyle name="Normal 21 2 3 4" xfId="29321" xr:uid="{00000000-0005-0000-0000-0000BB750000}"/>
    <cellStyle name="Normal 21 2 3 5" xfId="29322" xr:uid="{00000000-0005-0000-0000-0000BC750000}"/>
    <cellStyle name="Normal 21 2 3 6" xfId="29323" xr:uid="{00000000-0005-0000-0000-0000BD750000}"/>
    <cellStyle name="Normal 21 2 4" xfId="29324" xr:uid="{00000000-0005-0000-0000-0000BE750000}"/>
    <cellStyle name="Normal 21 2 4 2" xfId="29325" xr:uid="{00000000-0005-0000-0000-0000BF750000}"/>
    <cellStyle name="Normal 21 2 4 3" xfId="29326" xr:uid="{00000000-0005-0000-0000-0000C0750000}"/>
    <cellStyle name="Normal 21 2 4 4" xfId="29327" xr:uid="{00000000-0005-0000-0000-0000C1750000}"/>
    <cellStyle name="Normal 21 2 4 5" xfId="29328" xr:uid="{00000000-0005-0000-0000-0000C2750000}"/>
    <cellStyle name="Normal 21 2 4 6" xfId="29329" xr:uid="{00000000-0005-0000-0000-0000C3750000}"/>
    <cellStyle name="Normal 21 2 5" xfId="29330" xr:uid="{00000000-0005-0000-0000-0000C4750000}"/>
    <cellStyle name="Normal 21 2 5 2" xfId="29331" xr:uid="{00000000-0005-0000-0000-0000C5750000}"/>
    <cellStyle name="Normal 21 2 5 3" xfId="29332" xr:uid="{00000000-0005-0000-0000-0000C6750000}"/>
    <cellStyle name="Normal 21 2 5 4" xfId="29333" xr:uid="{00000000-0005-0000-0000-0000C7750000}"/>
    <cellStyle name="Normal 21 2 5 5" xfId="29334" xr:uid="{00000000-0005-0000-0000-0000C8750000}"/>
    <cellStyle name="Normal 21 2 5 6" xfId="29335" xr:uid="{00000000-0005-0000-0000-0000C9750000}"/>
    <cellStyle name="Normal 21 2 6" xfId="29336" xr:uid="{00000000-0005-0000-0000-0000CA750000}"/>
    <cellStyle name="Normal 21 2 6 2" xfId="29337" xr:uid="{00000000-0005-0000-0000-0000CB750000}"/>
    <cellStyle name="Normal 21 2 6 3" xfId="29338" xr:uid="{00000000-0005-0000-0000-0000CC750000}"/>
    <cellStyle name="Normal 21 2 6 4" xfId="29339" xr:uid="{00000000-0005-0000-0000-0000CD750000}"/>
    <cellStyle name="Normal 21 2 6 5" xfId="29340" xr:uid="{00000000-0005-0000-0000-0000CE750000}"/>
    <cellStyle name="Normal 21 2 6 6" xfId="29341" xr:uid="{00000000-0005-0000-0000-0000CF750000}"/>
    <cellStyle name="Normal 21 2 7" xfId="29342" xr:uid="{00000000-0005-0000-0000-0000D0750000}"/>
    <cellStyle name="Normal 21 2 7 2" xfId="29343" xr:uid="{00000000-0005-0000-0000-0000D1750000}"/>
    <cellStyle name="Normal 21 2 7 3" xfId="29344" xr:uid="{00000000-0005-0000-0000-0000D2750000}"/>
    <cellStyle name="Normal 21 2 7 4" xfId="29345" xr:uid="{00000000-0005-0000-0000-0000D3750000}"/>
    <cellStyle name="Normal 21 2 7 5" xfId="29346" xr:uid="{00000000-0005-0000-0000-0000D4750000}"/>
    <cellStyle name="Normal 21 2 7 6" xfId="29347" xr:uid="{00000000-0005-0000-0000-0000D5750000}"/>
    <cellStyle name="Normal 21 2 8" xfId="29348" xr:uid="{00000000-0005-0000-0000-0000D6750000}"/>
    <cellStyle name="Normal 21 2 8 2" xfId="29349" xr:uid="{00000000-0005-0000-0000-0000D7750000}"/>
    <cellStyle name="Normal 21 2 8 3" xfId="29350" xr:uid="{00000000-0005-0000-0000-0000D8750000}"/>
    <cellStyle name="Normal 21 2 8 4" xfId="29351" xr:uid="{00000000-0005-0000-0000-0000D9750000}"/>
    <cellStyle name="Normal 21 2 8 5" xfId="29352" xr:uid="{00000000-0005-0000-0000-0000DA750000}"/>
    <cellStyle name="Normal 21 2 8 6" xfId="29353" xr:uid="{00000000-0005-0000-0000-0000DB750000}"/>
    <cellStyle name="Normal 21 2 9" xfId="29354" xr:uid="{00000000-0005-0000-0000-0000DC750000}"/>
    <cellStyle name="Normal 21 20" xfId="29355" xr:uid="{00000000-0005-0000-0000-0000DD750000}"/>
    <cellStyle name="Normal 21 20 10" xfId="29356" xr:uid="{00000000-0005-0000-0000-0000DE750000}"/>
    <cellStyle name="Normal 21 20 11" xfId="29357" xr:uid="{00000000-0005-0000-0000-0000DF750000}"/>
    <cellStyle name="Normal 21 20 12" xfId="29358" xr:uid="{00000000-0005-0000-0000-0000E0750000}"/>
    <cellStyle name="Normal 21 20 13" xfId="29359" xr:uid="{00000000-0005-0000-0000-0000E1750000}"/>
    <cellStyle name="Normal 21 20 2" xfId="29360" xr:uid="{00000000-0005-0000-0000-0000E2750000}"/>
    <cellStyle name="Normal 21 20 2 2" xfId="29361" xr:uid="{00000000-0005-0000-0000-0000E3750000}"/>
    <cellStyle name="Normal 21 20 2 3" xfId="29362" xr:uid="{00000000-0005-0000-0000-0000E4750000}"/>
    <cellStyle name="Normal 21 20 2 4" xfId="29363" xr:uid="{00000000-0005-0000-0000-0000E5750000}"/>
    <cellStyle name="Normal 21 20 2 5" xfId="29364" xr:uid="{00000000-0005-0000-0000-0000E6750000}"/>
    <cellStyle name="Normal 21 20 2 6" xfId="29365" xr:uid="{00000000-0005-0000-0000-0000E7750000}"/>
    <cellStyle name="Normal 21 20 3" xfId="29366" xr:uid="{00000000-0005-0000-0000-0000E8750000}"/>
    <cellStyle name="Normal 21 20 3 2" xfId="29367" xr:uid="{00000000-0005-0000-0000-0000E9750000}"/>
    <cellStyle name="Normal 21 20 3 3" xfId="29368" xr:uid="{00000000-0005-0000-0000-0000EA750000}"/>
    <cellStyle name="Normal 21 20 3 4" xfId="29369" xr:uid="{00000000-0005-0000-0000-0000EB750000}"/>
    <cellStyle name="Normal 21 20 3 5" xfId="29370" xr:uid="{00000000-0005-0000-0000-0000EC750000}"/>
    <cellStyle name="Normal 21 20 3 6" xfId="29371" xr:uid="{00000000-0005-0000-0000-0000ED750000}"/>
    <cellStyle name="Normal 21 20 4" xfId="29372" xr:uid="{00000000-0005-0000-0000-0000EE750000}"/>
    <cellStyle name="Normal 21 20 4 2" xfId="29373" xr:uid="{00000000-0005-0000-0000-0000EF750000}"/>
    <cellStyle name="Normal 21 20 4 3" xfId="29374" xr:uid="{00000000-0005-0000-0000-0000F0750000}"/>
    <cellStyle name="Normal 21 20 4 4" xfId="29375" xr:uid="{00000000-0005-0000-0000-0000F1750000}"/>
    <cellStyle name="Normal 21 20 4 5" xfId="29376" xr:uid="{00000000-0005-0000-0000-0000F2750000}"/>
    <cellStyle name="Normal 21 20 4 6" xfId="29377" xr:uid="{00000000-0005-0000-0000-0000F3750000}"/>
    <cellStyle name="Normal 21 20 5" xfId="29378" xr:uid="{00000000-0005-0000-0000-0000F4750000}"/>
    <cellStyle name="Normal 21 20 5 2" xfId="29379" xr:uid="{00000000-0005-0000-0000-0000F5750000}"/>
    <cellStyle name="Normal 21 20 5 3" xfId="29380" xr:uid="{00000000-0005-0000-0000-0000F6750000}"/>
    <cellStyle name="Normal 21 20 5 4" xfId="29381" xr:uid="{00000000-0005-0000-0000-0000F7750000}"/>
    <cellStyle name="Normal 21 20 5 5" xfId="29382" xr:uid="{00000000-0005-0000-0000-0000F8750000}"/>
    <cellStyle name="Normal 21 20 5 6" xfId="29383" xr:uid="{00000000-0005-0000-0000-0000F9750000}"/>
    <cellStyle name="Normal 21 20 6" xfId="29384" xr:uid="{00000000-0005-0000-0000-0000FA750000}"/>
    <cellStyle name="Normal 21 20 6 2" xfId="29385" xr:uid="{00000000-0005-0000-0000-0000FB750000}"/>
    <cellStyle name="Normal 21 20 6 3" xfId="29386" xr:uid="{00000000-0005-0000-0000-0000FC750000}"/>
    <cellStyle name="Normal 21 20 6 4" xfId="29387" xr:uid="{00000000-0005-0000-0000-0000FD750000}"/>
    <cellStyle name="Normal 21 20 6 5" xfId="29388" xr:uid="{00000000-0005-0000-0000-0000FE750000}"/>
    <cellStyle name="Normal 21 20 6 6" xfId="29389" xr:uid="{00000000-0005-0000-0000-0000FF750000}"/>
    <cellStyle name="Normal 21 20 7" xfId="29390" xr:uid="{00000000-0005-0000-0000-000000760000}"/>
    <cellStyle name="Normal 21 20 7 2" xfId="29391" xr:uid="{00000000-0005-0000-0000-000001760000}"/>
    <cellStyle name="Normal 21 20 7 3" xfId="29392" xr:uid="{00000000-0005-0000-0000-000002760000}"/>
    <cellStyle name="Normal 21 20 7 4" xfId="29393" xr:uid="{00000000-0005-0000-0000-000003760000}"/>
    <cellStyle name="Normal 21 20 7 5" xfId="29394" xr:uid="{00000000-0005-0000-0000-000004760000}"/>
    <cellStyle name="Normal 21 20 7 6" xfId="29395" xr:uid="{00000000-0005-0000-0000-000005760000}"/>
    <cellStyle name="Normal 21 20 8" xfId="29396" xr:uid="{00000000-0005-0000-0000-000006760000}"/>
    <cellStyle name="Normal 21 20 8 2" xfId="29397" xr:uid="{00000000-0005-0000-0000-000007760000}"/>
    <cellStyle name="Normal 21 20 8 3" xfId="29398" xr:uid="{00000000-0005-0000-0000-000008760000}"/>
    <cellStyle name="Normal 21 20 8 4" xfId="29399" xr:uid="{00000000-0005-0000-0000-000009760000}"/>
    <cellStyle name="Normal 21 20 8 5" xfId="29400" xr:uid="{00000000-0005-0000-0000-00000A760000}"/>
    <cellStyle name="Normal 21 20 8 6" xfId="29401" xr:uid="{00000000-0005-0000-0000-00000B760000}"/>
    <cellStyle name="Normal 21 20 9" xfId="29402" xr:uid="{00000000-0005-0000-0000-00000C760000}"/>
    <cellStyle name="Normal 21 21" xfId="29403" xr:uid="{00000000-0005-0000-0000-00000D760000}"/>
    <cellStyle name="Normal 21 21 10" xfId="29404" xr:uid="{00000000-0005-0000-0000-00000E760000}"/>
    <cellStyle name="Normal 21 21 11" xfId="29405" xr:uid="{00000000-0005-0000-0000-00000F760000}"/>
    <cellStyle name="Normal 21 21 12" xfId="29406" xr:uid="{00000000-0005-0000-0000-000010760000}"/>
    <cellStyle name="Normal 21 21 13" xfId="29407" xr:uid="{00000000-0005-0000-0000-000011760000}"/>
    <cellStyle name="Normal 21 21 2" xfId="29408" xr:uid="{00000000-0005-0000-0000-000012760000}"/>
    <cellStyle name="Normal 21 21 2 2" xfId="29409" xr:uid="{00000000-0005-0000-0000-000013760000}"/>
    <cellStyle name="Normal 21 21 2 3" xfId="29410" xr:uid="{00000000-0005-0000-0000-000014760000}"/>
    <cellStyle name="Normal 21 21 2 4" xfId="29411" xr:uid="{00000000-0005-0000-0000-000015760000}"/>
    <cellStyle name="Normal 21 21 2 5" xfId="29412" xr:uid="{00000000-0005-0000-0000-000016760000}"/>
    <cellStyle name="Normal 21 21 2 6" xfId="29413" xr:uid="{00000000-0005-0000-0000-000017760000}"/>
    <cellStyle name="Normal 21 21 3" xfId="29414" xr:uid="{00000000-0005-0000-0000-000018760000}"/>
    <cellStyle name="Normal 21 21 3 2" xfId="29415" xr:uid="{00000000-0005-0000-0000-000019760000}"/>
    <cellStyle name="Normal 21 21 3 3" xfId="29416" xr:uid="{00000000-0005-0000-0000-00001A760000}"/>
    <cellStyle name="Normal 21 21 3 4" xfId="29417" xr:uid="{00000000-0005-0000-0000-00001B760000}"/>
    <cellStyle name="Normal 21 21 3 5" xfId="29418" xr:uid="{00000000-0005-0000-0000-00001C760000}"/>
    <cellStyle name="Normal 21 21 3 6" xfId="29419" xr:uid="{00000000-0005-0000-0000-00001D760000}"/>
    <cellStyle name="Normal 21 21 4" xfId="29420" xr:uid="{00000000-0005-0000-0000-00001E760000}"/>
    <cellStyle name="Normal 21 21 4 2" xfId="29421" xr:uid="{00000000-0005-0000-0000-00001F760000}"/>
    <cellStyle name="Normal 21 21 4 3" xfId="29422" xr:uid="{00000000-0005-0000-0000-000020760000}"/>
    <cellStyle name="Normal 21 21 4 4" xfId="29423" xr:uid="{00000000-0005-0000-0000-000021760000}"/>
    <cellStyle name="Normal 21 21 4 5" xfId="29424" xr:uid="{00000000-0005-0000-0000-000022760000}"/>
    <cellStyle name="Normal 21 21 4 6" xfId="29425" xr:uid="{00000000-0005-0000-0000-000023760000}"/>
    <cellStyle name="Normal 21 21 5" xfId="29426" xr:uid="{00000000-0005-0000-0000-000024760000}"/>
    <cellStyle name="Normal 21 21 5 2" xfId="29427" xr:uid="{00000000-0005-0000-0000-000025760000}"/>
    <cellStyle name="Normal 21 21 5 3" xfId="29428" xr:uid="{00000000-0005-0000-0000-000026760000}"/>
    <cellStyle name="Normal 21 21 5 4" xfId="29429" xr:uid="{00000000-0005-0000-0000-000027760000}"/>
    <cellStyle name="Normal 21 21 5 5" xfId="29430" xr:uid="{00000000-0005-0000-0000-000028760000}"/>
    <cellStyle name="Normal 21 21 5 6" xfId="29431" xr:uid="{00000000-0005-0000-0000-000029760000}"/>
    <cellStyle name="Normal 21 21 6" xfId="29432" xr:uid="{00000000-0005-0000-0000-00002A760000}"/>
    <cellStyle name="Normal 21 21 6 2" xfId="29433" xr:uid="{00000000-0005-0000-0000-00002B760000}"/>
    <cellStyle name="Normal 21 21 6 3" xfId="29434" xr:uid="{00000000-0005-0000-0000-00002C760000}"/>
    <cellStyle name="Normal 21 21 6 4" xfId="29435" xr:uid="{00000000-0005-0000-0000-00002D760000}"/>
    <cellStyle name="Normal 21 21 6 5" xfId="29436" xr:uid="{00000000-0005-0000-0000-00002E760000}"/>
    <cellStyle name="Normal 21 21 6 6" xfId="29437" xr:uid="{00000000-0005-0000-0000-00002F760000}"/>
    <cellStyle name="Normal 21 21 7" xfId="29438" xr:uid="{00000000-0005-0000-0000-000030760000}"/>
    <cellStyle name="Normal 21 21 7 2" xfId="29439" xr:uid="{00000000-0005-0000-0000-000031760000}"/>
    <cellStyle name="Normal 21 21 7 3" xfId="29440" xr:uid="{00000000-0005-0000-0000-000032760000}"/>
    <cellStyle name="Normal 21 21 7 4" xfId="29441" xr:uid="{00000000-0005-0000-0000-000033760000}"/>
    <cellStyle name="Normal 21 21 7 5" xfId="29442" xr:uid="{00000000-0005-0000-0000-000034760000}"/>
    <cellStyle name="Normal 21 21 7 6" xfId="29443" xr:uid="{00000000-0005-0000-0000-000035760000}"/>
    <cellStyle name="Normal 21 21 8" xfId="29444" xr:uid="{00000000-0005-0000-0000-000036760000}"/>
    <cellStyle name="Normal 21 21 8 2" xfId="29445" xr:uid="{00000000-0005-0000-0000-000037760000}"/>
    <cellStyle name="Normal 21 21 8 3" xfId="29446" xr:uid="{00000000-0005-0000-0000-000038760000}"/>
    <cellStyle name="Normal 21 21 8 4" xfId="29447" xr:uid="{00000000-0005-0000-0000-000039760000}"/>
    <cellStyle name="Normal 21 21 8 5" xfId="29448" xr:uid="{00000000-0005-0000-0000-00003A760000}"/>
    <cellStyle name="Normal 21 21 8 6" xfId="29449" xr:uid="{00000000-0005-0000-0000-00003B760000}"/>
    <cellStyle name="Normal 21 21 9" xfId="29450" xr:uid="{00000000-0005-0000-0000-00003C760000}"/>
    <cellStyle name="Normal 21 22" xfId="29451" xr:uid="{00000000-0005-0000-0000-00003D760000}"/>
    <cellStyle name="Normal 21 22 10" xfId="29452" xr:uid="{00000000-0005-0000-0000-00003E760000}"/>
    <cellStyle name="Normal 21 22 11" xfId="29453" xr:uid="{00000000-0005-0000-0000-00003F760000}"/>
    <cellStyle name="Normal 21 22 12" xfId="29454" xr:uid="{00000000-0005-0000-0000-000040760000}"/>
    <cellStyle name="Normal 21 22 13" xfId="29455" xr:uid="{00000000-0005-0000-0000-000041760000}"/>
    <cellStyle name="Normal 21 22 2" xfId="29456" xr:uid="{00000000-0005-0000-0000-000042760000}"/>
    <cellStyle name="Normal 21 22 2 2" xfId="29457" xr:uid="{00000000-0005-0000-0000-000043760000}"/>
    <cellStyle name="Normal 21 22 2 3" xfId="29458" xr:uid="{00000000-0005-0000-0000-000044760000}"/>
    <cellStyle name="Normal 21 22 2 4" xfId="29459" xr:uid="{00000000-0005-0000-0000-000045760000}"/>
    <cellStyle name="Normal 21 22 2 5" xfId="29460" xr:uid="{00000000-0005-0000-0000-000046760000}"/>
    <cellStyle name="Normal 21 22 2 6" xfId="29461" xr:uid="{00000000-0005-0000-0000-000047760000}"/>
    <cellStyle name="Normal 21 22 3" xfId="29462" xr:uid="{00000000-0005-0000-0000-000048760000}"/>
    <cellStyle name="Normal 21 22 3 2" xfId="29463" xr:uid="{00000000-0005-0000-0000-000049760000}"/>
    <cellStyle name="Normal 21 22 3 3" xfId="29464" xr:uid="{00000000-0005-0000-0000-00004A760000}"/>
    <cellStyle name="Normal 21 22 3 4" xfId="29465" xr:uid="{00000000-0005-0000-0000-00004B760000}"/>
    <cellStyle name="Normal 21 22 3 5" xfId="29466" xr:uid="{00000000-0005-0000-0000-00004C760000}"/>
    <cellStyle name="Normal 21 22 3 6" xfId="29467" xr:uid="{00000000-0005-0000-0000-00004D760000}"/>
    <cellStyle name="Normal 21 22 4" xfId="29468" xr:uid="{00000000-0005-0000-0000-00004E760000}"/>
    <cellStyle name="Normal 21 22 4 2" xfId="29469" xr:uid="{00000000-0005-0000-0000-00004F760000}"/>
    <cellStyle name="Normal 21 22 4 3" xfId="29470" xr:uid="{00000000-0005-0000-0000-000050760000}"/>
    <cellStyle name="Normal 21 22 4 4" xfId="29471" xr:uid="{00000000-0005-0000-0000-000051760000}"/>
    <cellStyle name="Normal 21 22 4 5" xfId="29472" xr:uid="{00000000-0005-0000-0000-000052760000}"/>
    <cellStyle name="Normal 21 22 4 6" xfId="29473" xr:uid="{00000000-0005-0000-0000-000053760000}"/>
    <cellStyle name="Normal 21 22 5" xfId="29474" xr:uid="{00000000-0005-0000-0000-000054760000}"/>
    <cellStyle name="Normal 21 22 5 2" xfId="29475" xr:uid="{00000000-0005-0000-0000-000055760000}"/>
    <cellStyle name="Normal 21 22 5 3" xfId="29476" xr:uid="{00000000-0005-0000-0000-000056760000}"/>
    <cellStyle name="Normal 21 22 5 4" xfId="29477" xr:uid="{00000000-0005-0000-0000-000057760000}"/>
    <cellStyle name="Normal 21 22 5 5" xfId="29478" xr:uid="{00000000-0005-0000-0000-000058760000}"/>
    <cellStyle name="Normal 21 22 5 6" xfId="29479" xr:uid="{00000000-0005-0000-0000-000059760000}"/>
    <cellStyle name="Normal 21 22 6" xfId="29480" xr:uid="{00000000-0005-0000-0000-00005A760000}"/>
    <cellStyle name="Normal 21 22 6 2" xfId="29481" xr:uid="{00000000-0005-0000-0000-00005B760000}"/>
    <cellStyle name="Normal 21 22 6 3" xfId="29482" xr:uid="{00000000-0005-0000-0000-00005C760000}"/>
    <cellStyle name="Normal 21 22 6 4" xfId="29483" xr:uid="{00000000-0005-0000-0000-00005D760000}"/>
    <cellStyle name="Normal 21 22 6 5" xfId="29484" xr:uid="{00000000-0005-0000-0000-00005E760000}"/>
    <cellStyle name="Normal 21 22 6 6" xfId="29485" xr:uid="{00000000-0005-0000-0000-00005F760000}"/>
    <cellStyle name="Normal 21 22 7" xfId="29486" xr:uid="{00000000-0005-0000-0000-000060760000}"/>
    <cellStyle name="Normal 21 22 7 2" xfId="29487" xr:uid="{00000000-0005-0000-0000-000061760000}"/>
    <cellStyle name="Normal 21 22 7 3" xfId="29488" xr:uid="{00000000-0005-0000-0000-000062760000}"/>
    <cellStyle name="Normal 21 22 7 4" xfId="29489" xr:uid="{00000000-0005-0000-0000-000063760000}"/>
    <cellStyle name="Normal 21 22 7 5" xfId="29490" xr:uid="{00000000-0005-0000-0000-000064760000}"/>
    <cellStyle name="Normal 21 22 7 6" xfId="29491" xr:uid="{00000000-0005-0000-0000-000065760000}"/>
    <cellStyle name="Normal 21 22 8" xfId="29492" xr:uid="{00000000-0005-0000-0000-000066760000}"/>
    <cellStyle name="Normal 21 22 8 2" xfId="29493" xr:uid="{00000000-0005-0000-0000-000067760000}"/>
    <cellStyle name="Normal 21 22 8 3" xfId="29494" xr:uid="{00000000-0005-0000-0000-000068760000}"/>
    <cellStyle name="Normal 21 22 8 4" xfId="29495" xr:uid="{00000000-0005-0000-0000-000069760000}"/>
    <cellStyle name="Normal 21 22 8 5" xfId="29496" xr:uid="{00000000-0005-0000-0000-00006A760000}"/>
    <cellStyle name="Normal 21 22 8 6" xfId="29497" xr:uid="{00000000-0005-0000-0000-00006B760000}"/>
    <cellStyle name="Normal 21 22 9" xfId="29498" xr:uid="{00000000-0005-0000-0000-00006C760000}"/>
    <cellStyle name="Normal 21 23" xfId="29499" xr:uid="{00000000-0005-0000-0000-00006D760000}"/>
    <cellStyle name="Normal 21 23 10" xfId="29500" xr:uid="{00000000-0005-0000-0000-00006E760000}"/>
    <cellStyle name="Normal 21 23 11" xfId="29501" xr:uid="{00000000-0005-0000-0000-00006F760000}"/>
    <cellStyle name="Normal 21 23 12" xfId="29502" xr:uid="{00000000-0005-0000-0000-000070760000}"/>
    <cellStyle name="Normal 21 23 13" xfId="29503" xr:uid="{00000000-0005-0000-0000-000071760000}"/>
    <cellStyle name="Normal 21 23 2" xfId="29504" xr:uid="{00000000-0005-0000-0000-000072760000}"/>
    <cellStyle name="Normal 21 23 2 2" xfId="29505" xr:uid="{00000000-0005-0000-0000-000073760000}"/>
    <cellStyle name="Normal 21 23 2 3" xfId="29506" xr:uid="{00000000-0005-0000-0000-000074760000}"/>
    <cellStyle name="Normal 21 23 2 4" xfId="29507" xr:uid="{00000000-0005-0000-0000-000075760000}"/>
    <cellStyle name="Normal 21 23 2 5" xfId="29508" xr:uid="{00000000-0005-0000-0000-000076760000}"/>
    <cellStyle name="Normal 21 23 2 6" xfId="29509" xr:uid="{00000000-0005-0000-0000-000077760000}"/>
    <cellStyle name="Normal 21 23 3" xfId="29510" xr:uid="{00000000-0005-0000-0000-000078760000}"/>
    <cellStyle name="Normal 21 23 3 2" xfId="29511" xr:uid="{00000000-0005-0000-0000-000079760000}"/>
    <cellStyle name="Normal 21 23 3 3" xfId="29512" xr:uid="{00000000-0005-0000-0000-00007A760000}"/>
    <cellStyle name="Normal 21 23 3 4" xfId="29513" xr:uid="{00000000-0005-0000-0000-00007B760000}"/>
    <cellStyle name="Normal 21 23 3 5" xfId="29514" xr:uid="{00000000-0005-0000-0000-00007C760000}"/>
    <cellStyle name="Normal 21 23 3 6" xfId="29515" xr:uid="{00000000-0005-0000-0000-00007D760000}"/>
    <cellStyle name="Normal 21 23 4" xfId="29516" xr:uid="{00000000-0005-0000-0000-00007E760000}"/>
    <cellStyle name="Normal 21 23 4 2" xfId="29517" xr:uid="{00000000-0005-0000-0000-00007F760000}"/>
    <cellStyle name="Normal 21 23 4 3" xfId="29518" xr:uid="{00000000-0005-0000-0000-000080760000}"/>
    <cellStyle name="Normal 21 23 4 4" xfId="29519" xr:uid="{00000000-0005-0000-0000-000081760000}"/>
    <cellStyle name="Normal 21 23 4 5" xfId="29520" xr:uid="{00000000-0005-0000-0000-000082760000}"/>
    <cellStyle name="Normal 21 23 4 6" xfId="29521" xr:uid="{00000000-0005-0000-0000-000083760000}"/>
    <cellStyle name="Normal 21 23 5" xfId="29522" xr:uid="{00000000-0005-0000-0000-000084760000}"/>
    <cellStyle name="Normal 21 23 5 2" xfId="29523" xr:uid="{00000000-0005-0000-0000-000085760000}"/>
    <cellStyle name="Normal 21 23 5 3" xfId="29524" xr:uid="{00000000-0005-0000-0000-000086760000}"/>
    <cellStyle name="Normal 21 23 5 4" xfId="29525" xr:uid="{00000000-0005-0000-0000-000087760000}"/>
    <cellStyle name="Normal 21 23 5 5" xfId="29526" xr:uid="{00000000-0005-0000-0000-000088760000}"/>
    <cellStyle name="Normal 21 23 5 6" xfId="29527" xr:uid="{00000000-0005-0000-0000-000089760000}"/>
    <cellStyle name="Normal 21 23 6" xfId="29528" xr:uid="{00000000-0005-0000-0000-00008A760000}"/>
    <cellStyle name="Normal 21 23 6 2" xfId="29529" xr:uid="{00000000-0005-0000-0000-00008B760000}"/>
    <cellStyle name="Normal 21 23 6 3" xfId="29530" xr:uid="{00000000-0005-0000-0000-00008C760000}"/>
    <cellStyle name="Normal 21 23 6 4" xfId="29531" xr:uid="{00000000-0005-0000-0000-00008D760000}"/>
    <cellStyle name="Normal 21 23 6 5" xfId="29532" xr:uid="{00000000-0005-0000-0000-00008E760000}"/>
    <cellStyle name="Normal 21 23 6 6" xfId="29533" xr:uid="{00000000-0005-0000-0000-00008F760000}"/>
    <cellStyle name="Normal 21 23 7" xfId="29534" xr:uid="{00000000-0005-0000-0000-000090760000}"/>
    <cellStyle name="Normal 21 23 7 2" xfId="29535" xr:uid="{00000000-0005-0000-0000-000091760000}"/>
    <cellStyle name="Normal 21 23 7 3" xfId="29536" xr:uid="{00000000-0005-0000-0000-000092760000}"/>
    <cellStyle name="Normal 21 23 7 4" xfId="29537" xr:uid="{00000000-0005-0000-0000-000093760000}"/>
    <cellStyle name="Normal 21 23 7 5" xfId="29538" xr:uid="{00000000-0005-0000-0000-000094760000}"/>
    <cellStyle name="Normal 21 23 7 6" xfId="29539" xr:uid="{00000000-0005-0000-0000-000095760000}"/>
    <cellStyle name="Normal 21 23 8" xfId="29540" xr:uid="{00000000-0005-0000-0000-000096760000}"/>
    <cellStyle name="Normal 21 23 8 2" xfId="29541" xr:uid="{00000000-0005-0000-0000-000097760000}"/>
    <cellStyle name="Normal 21 23 8 3" xfId="29542" xr:uid="{00000000-0005-0000-0000-000098760000}"/>
    <cellStyle name="Normal 21 23 8 4" xfId="29543" xr:uid="{00000000-0005-0000-0000-000099760000}"/>
    <cellStyle name="Normal 21 23 8 5" xfId="29544" xr:uid="{00000000-0005-0000-0000-00009A760000}"/>
    <cellStyle name="Normal 21 23 8 6" xfId="29545" xr:uid="{00000000-0005-0000-0000-00009B760000}"/>
    <cellStyle name="Normal 21 23 9" xfId="29546" xr:uid="{00000000-0005-0000-0000-00009C760000}"/>
    <cellStyle name="Normal 21 24" xfId="29547" xr:uid="{00000000-0005-0000-0000-00009D760000}"/>
    <cellStyle name="Normal 21 24 10" xfId="29548" xr:uid="{00000000-0005-0000-0000-00009E760000}"/>
    <cellStyle name="Normal 21 24 11" xfId="29549" xr:uid="{00000000-0005-0000-0000-00009F760000}"/>
    <cellStyle name="Normal 21 24 12" xfId="29550" xr:uid="{00000000-0005-0000-0000-0000A0760000}"/>
    <cellStyle name="Normal 21 24 13" xfId="29551" xr:uid="{00000000-0005-0000-0000-0000A1760000}"/>
    <cellStyle name="Normal 21 24 2" xfId="29552" xr:uid="{00000000-0005-0000-0000-0000A2760000}"/>
    <cellStyle name="Normal 21 24 2 2" xfId="29553" xr:uid="{00000000-0005-0000-0000-0000A3760000}"/>
    <cellStyle name="Normal 21 24 2 3" xfId="29554" xr:uid="{00000000-0005-0000-0000-0000A4760000}"/>
    <cellStyle name="Normal 21 24 2 4" xfId="29555" xr:uid="{00000000-0005-0000-0000-0000A5760000}"/>
    <cellStyle name="Normal 21 24 2 5" xfId="29556" xr:uid="{00000000-0005-0000-0000-0000A6760000}"/>
    <cellStyle name="Normal 21 24 2 6" xfId="29557" xr:uid="{00000000-0005-0000-0000-0000A7760000}"/>
    <cellStyle name="Normal 21 24 3" xfId="29558" xr:uid="{00000000-0005-0000-0000-0000A8760000}"/>
    <cellStyle name="Normal 21 24 3 2" xfId="29559" xr:uid="{00000000-0005-0000-0000-0000A9760000}"/>
    <cellStyle name="Normal 21 24 3 3" xfId="29560" xr:uid="{00000000-0005-0000-0000-0000AA760000}"/>
    <cellStyle name="Normal 21 24 3 4" xfId="29561" xr:uid="{00000000-0005-0000-0000-0000AB760000}"/>
    <cellStyle name="Normal 21 24 3 5" xfId="29562" xr:uid="{00000000-0005-0000-0000-0000AC760000}"/>
    <cellStyle name="Normal 21 24 3 6" xfId="29563" xr:uid="{00000000-0005-0000-0000-0000AD760000}"/>
    <cellStyle name="Normal 21 24 4" xfId="29564" xr:uid="{00000000-0005-0000-0000-0000AE760000}"/>
    <cellStyle name="Normal 21 24 4 2" xfId="29565" xr:uid="{00000000-0005-0000-0000-0000AF760000}"/>
    <cellStyle name="Normal 21 24 4 3" xfId="29566" xr:uid="{00000000-0005-0000-0000-0000B0760000}"/>
    <cellStyle name="Normal 21 24 4 4" xfId="29567" xr:uid="{00000000-0005-0000-0000-0000B1760000}"/>
    <cellStyle name="Normal 21 24 4 5" xfId="29568" xr:uid="{00000000-0005-0000-0000-0000B2760000}"/>
    <cellStyle name="Normal 21 24 4 6" xfId="29569" xr:uid="{00000000-0005-0000-0000-0000B3760000}"/>
    <cellStyle name="Normal 21 24 5" xfId="29570" xr:uid="{00000000-0005-0000-0000-0000B4760000}"/>
    <cellStyle name="Normal 21 24 5 2" xfId="29571" xr:uid="{00000000-0005-0000-0000-0000B5760000}"/>
    <cellStyle name="Normal 21 24 5 3" xfId="29572" xr:uid="{00000000-0005-0000-0000-0000B6760000}"/>
    <cellStyle name="Normal 21 24 5 4" xfId="29573" xr:uid="{00000000-0005-0000-0000-0000B7760000}"/>
    <cellStyle name="Normal 21 24 5 5" xfId="29574" xr:uid="{00000000-0005-0000-0000-0000B8760000}"/>
    <cellStyle name="Normal 21 24 5 6" xfId="29575" xr:uid="{00000000-0005-0000-0000-0000B9760000}"/>
    <cellStyle name="Normal 21 24 6" xfId="29576" xr:uid="{00000000-0005-0000-0000-0000BA760000}"/>
    <cellStyle name="Normal 21 24 6 2" xfId="29577" xr:uid="{00000000-0005-0000-0000-0000BB760000}"/>
    <cellStyle name="Normal 21 24 6 3" xfId="29578" xr:uid="{00000000-0005-0000-0000-0000BC760000}"/>
    <cellStyle name="Normal 21 24 6 4" xfId="29579" xr:uid="{00000000-0005-0000-0000-0000BD760000}"/>
    <cellStyle name="Normal 21 24 6 5" xfId="29580" xr:uid="{00000000-0005-0000-0000-0000BE760000}"/>
    <cellStyle name="Normal 21 24 6 6" xfId="29581" xr:uid="{00000000-0005-0000-0000-0000BF760000}"/>
    <cellStyle name="Normal 21 24 7" xfId="29582" xr:uid="{00000000-0005-0000-0000-0000C0760000}"/>
    <cellStyle name="Normal 21 24 7 2" xfId="29583" xr:uid="{00000000-0005-0000-0000-0000C1760000}"/>
    <cellStyle name="Normal 21 24 7 3" xfId="29584" xr:uid="{00000000-0005-0000-0000-0000C2760000}"/>
    <cellStyle name="Normal 21 24 7 4" xfId="29585" xr:uid="{00000000-0005-0000-0000-0000C3760000}"/>
    <cellStyle name="Normal 21 24 7 5" xfId="29586" xr:uid="{00000000-0005-0000-0000-0000C4760000}"/>
    <cellStyle name="Normal 21 24 7 6" xfId="29587" xr:uid="{00000000-0005-0000-0000-0000C5760000}"/>
    <cellStyle name="Normal 21 24 8" xfId="29588" xr:uid="{00000000-0005-0000-0000-0000C6760000}"/>
    <cellStyle name="Normal 21 24 8 2" xfId="29589" xr:uid="{00000000-0005-0000-0000-0000C7760000}"/>
    <cellStyle name="Normal 21 24 8 3" xfId="29590" xr:uid="{00000000-0005-0000-0000-0000C8760000}"/>
    <cellStyle name="Normal 21 24 8 4" xfId="29591" xr:uid="{00000000-0005-0000-0000-0000C9760000}"/>
    <cellStyle name="Normal 21 24 8 5" xfId="29592" xr:uid="{00000000-0005-0000-0000-0000CA760000}"/>
    <cellStyle name="Normal 21 24 8 6" xfId="29593" xr:uid="{00000000-0005-0000-0000-0000CB760000}"/>
    <cellStyle name="Normal 21 24 9" xfId="29594" xr:uid="{00000000-0005-0000-0000-0000CC760000}"/>
    <cellStyle name="Normal 21 25" xfId="29595" xr:uid="{00000000-0005-0000-0000-0000CD760000}"/>
    <cellStyle name="Normal 21 25 2" xfId="29596" xr:uid="{00000000-0005-0000-0000-0000CE760000}"/>
    <cellStyle name="Normal 21 25 3" xfId="29597" xr:uid="{00000000-0005-0000-0000-0000CF760000}"/>
    <cellStyle name="Normal 21 25 4" xfId="29598" xr:uid="{00000000-0005-0000-0000-0000D0760000}"/>
    <cellStyle name="Normal 21 25 5" xfId="29599" xr:uid="{00000000-0005-0000-0000-0000D1760000}"/>
    <cellStyle name="Normal 21 25 6" xfId="29600" xr:uid="{00000000-0005-0000-0000-0000D2760000}"/>
    <cellStyle name="Normal 21 26" xfId="29601" xr:uid="{00000000-0005-0000-0000-0000D3760000}"/>
    <cellStyle name="Normal 21 26 2" xfId="29602" xr:uid="{00000000-0005-0000-0000-0000D4760000}"/>
    <cellStyle name="Normal 21 26 3" xfId="29603" xr:uid="{00000000-0005-0000-0000-0000D5760000}"/>
    <cellStyle name="Normal 21 26 4" xfId="29604" xr:uid="{00000000-0005-0000-0000-0000D6760000}"/>
    <cellStyle name="Normal 21 26 5" xfId="29605" xr:uid="{00000000-0005-0000-0000-0000D7760000}"/>
    <cellStyle name="Normal 21 26 6" xfId="29606" xr:uid="{00000000-0005-0000-0000-0000D8760000}"/>
    <cellStyle name="Normal 21 27" xfId="29607" xr:uid="{00000000-0005-0000-0000-0000D9760000}"/>
    <cellStyle name="Normal 21 27 2" xfId="29608" xr:uid="{00000000-0005-0000-0000-0000DA760000}"/>
    <cellStyle name="Normal 21 27 3" xfId="29609" xr:uid="{00000000-0005-0000-0000-0000DB760000}"/>
    <cellStyle name="Normal 21 27 4" xfId="29610" xr:uid="{00000000-0005-0000-0000-0000DC760000}"/>
    <cellStyle name="Normal 21 27 5" xfId="29611" xr:uid="{00000000-0005-0000-0000-0000DD760000}"/>
    <cellStyle name="Normal 21 27 6" xfId="29612" xr:uid="{00000000-0005-0000-0000-0000DE760000}"/>
    <cellStyle name="Normal 21 28" xfId="29613" xr:uid="{00000000-0005-0000-0000-0000DF760000}"/>
    <cellStyle name="Normal 21 28 2" xfId="29614" xr:uid="{00000000-0005-0000-0000-0000E0760000}"/>
    <cellStyle name="Normal 21 28 3" xfId="29615" xr:uid="{00000000-0005-0000-0000-0000E1760000}"/>
    <cellStyle name="Normal 21 28 4" xfId="29616" xr:uid="{00000000-0005-0000-0000-0000E2760000}"/>
    <cellStyle name="Normal 21 28 5" xfId="29617" xr:uid="{00000000-0005-0000-0000-0000E3760000}"/>
    <cellStyle name="Normal 21 28 6" xfId="29618" xr:uid="{00000000-0005-0000-0000-0000E4760000}"/>
    <cellStyle name="Normal 21 29" xfId="29619" xr:uid="{00000000-0005-0000-0000-0000E5760000}"/>
    <cellStyle name="Normal 21 29 2" xfId="29620" xr:uid="{00000000-0005-0000-0000-0000E6760000}"/>
    <cellStyle name="Normal 21 29 3" xfId="29621" xr:uid="{00000000-0005-0000-0000-0000E7760000}"/>
    <cellStyle name="Normal 21 29 4" xfId="29622" xr:uid="{00000000-0005-0000-0000-0000E8760000}"/>
    <cellStyle name="Normal 21 29 5" xfId="29623" xr:uid="{00000000-0005-0000-0000-0000E9760000}"/>
    <cellStyle name="Normal 21 29 6" xfId="29624" xr:uid="{00000000-0005-0000-0000-0000EA760000}"/>
    <cellStyle name="Normal 21 3" xfId="29625" xr:uid="{00000000-0005-0000-0000-0000EB760000}"/>
    <cellStyle name="Normal 21 3 10" xfId="29626" xr:uid="{00000000-0005-0000-0000-0000EC760000}"/>
    <cellStyle name="Normal 21 3 11" xfId="29627" xr:uid="{00000000-0005-0000-0000-0000ED760000}"/>
    <cellStyle name="Normal 21 3 12" xfId="29628" xr:uid="{00000000-0005-0000-0000-0000EE760000}"/>
    <cellStyle name="Normal 21 3 13" xfId="29629" xr:uid="{00000000-0005-0000-0000-0000EF760000}"/>
    <cellStyle name="Normal 21 3 2" xfId="29630" xr:uid="{00000000-0005-0000-0000-0000F0760000}"/>
    <cellStyle name="Normal 21 3 2 2" xfId="29631" xr:uid="{00000000-0005-0000-0000-0000F1760000}"/>
    <cellStyle name="Normal 21 3 2 3" xfId="29632" xr:uid="{00000000-0005-0000-0000-0000F2760000}"/>
    <cellStyle name="Normal 21 3 2 4" xfId="29633" xr:uid="{00000000-0005-0000-0000-0000F3760000}"/>
    <cellStyle name="Normal 21 3 2 5" xfId="29634" xr:uid="{00000000-0005-0000-0000-0000F4760000}"/>
    <cellStyle name="Normal 21 3 2 6" xfId="29635" xr:uid="{00000000-0005-0000-0000-0000F5760000}"/>
    <cellStyle name="Normal 21 3 3" xfId="29636" xr:uid="{00000000-0005-0000-0000-0000F6760000}"/>
    <cellStyle name="Normal 21 3 3 2" xfId="29637" xr:uid="{00000000-0005-0000-0000-0000F7760000}"/>
    <cellStyle name="Normal 21 3 3 3" xfId="29638" xr:uid="{00000000-0005-0000-0000-0000F8760000}"/>
    <cellStyle name="Normal 21 3 3 4" xfId="29639" xr:uid="{00000000-0005-0000-0000-0000F9760000}"/>
    <cellStyle name="Normal 21 3 3 5" xfId="29640" xr:uid="{00000000-0005-0000-0000-0000FA760000}"/>
    <cellStyle name="Normal 21 3 3 6" xfId="29641" xr:uid="{00000000-0005-0000-0000-0000FB760000}"/>
    <cellStyle name="Normal 21 3 4" xfId="29642" xr:uid="{00000000-0005-0000-0000-0000FC760000}"/>
    <cellStyle name="Normal 21 3 4 2" xfId="29643" xr:uid="{00000000-0005-0000-0000-0000FD760000}"/>
    <cellStyle name="Normal 21 3 4 3" xfId="29644" xr:uid="{00000000-0005-0000-0000-0000FE760000}"/>
    <cellStyle name="Normal 21 3 4 4" xfId="29645" xr:uid="{00000000-0005-0000-0000-0000FF760000}"/>
    <cellStyle name="Normal 21 3 4 5" xfId="29646" xr:uid="{00000000-0005-0000-0000-000000770000}"/>
    <cellStyle name="Normal 21 3 4 6" xfId="29647" xr:uid="{00000000-0005-0000-0000-000001770000}"/>
    <cellStyle name="Normal 21 3 5" xfId="29648" xr:uid="{00000000-0005-0000-0000-000002770000}"/>
    <cellStyle name="Normal 21 3 5 2" xfId="29649" xr:uid="{00000000-0005-0000-0000-000003770000}"/>
    <cellStyle name="Normal 21 3 5 3" xfId="29650" xr:uid="{00000000-0005-0000-0000-000004770000}"/>
    <cellStyle name="Normal 21 3 5 4" xfId="29651" xr:uid="{00000000-0005-0000-0000-000005770000}"/>
    <cellStyle name="Normal 21 3 5 5" xfId="29652" xr:uid="{00000000-0005-0000-0000-000006770000}"/>
    <cellStyle name="Normal 21 3 5 6" xfId="29653" xr:uid="{00000000-0005-0000-0000-000007770000}"/>
    <cellStyle name="Normal 21 3 6" xfId="29654" xr:uid="{00000000-0005-0000-0000-000008770000}"/>
    <cellStyle name="Normal 21 3 6 2" xfId="29655" xr:uid="{00000000-0005-0000-0000-000009770000}"/>
    <cellStyle name="Normal 21 3 6 3" xfId="29656" xr:uid="{00000000-0005-0000-0000-00000A770000}"/>
    <cellStyle name="Normal 21 3 6 4" xfId="29657" xr:uid="{00000000-0005-0000-0000-00000B770000}"/>
    <cellStyle name="Normal 21 3 6 5" xfId="29658" xr:uid="{00000000-0005-0000-0000-00000C770000}"/>
    <cellStyle name="Normal 21 3 6 6" xfId="29659" xr:uid="{00000000-0005-0000-0000-00000D770000}"/>
    <cellStyle name="Normal 21 3 7" xfId="29660" xr:uid="{00000000-0005-0000-0000-00000E770000}"/>
    <cellStyle name="Normal 21 3 7 2" xfId="29661" xr:uid="{00000000-0005-0000-0000-00000F770000}"/>
    <cellStyle name="Normal 21 3 7 3" xfId="29662" xr:uid="{00000000-0005-0000-0000-000010770000}"/>
    <cellStyle name="Normal 21 3 7 4" xfId="29663" xr:uid="{00000000-0005-0000-0000-000011770000}"/>
    <cellStyle name="Normal 21 3 7 5" xfId="29664" xr:uid="{00000000-0005-0000-0000-000012770000}"/>
    <cellStyle name="Normal 21 3 7 6" xfId="29665" xr:uid="{00000000-0005-0000-0000-000013770000}"/>
    <cellStyle name="Normal 21 3 8" xfId="29666" xr:uid="{00000000-0005-0000-0000-000014770000}"/>
    <cellStyle name="Normal 21 3 8 2" xfId="29667" xr:uid="{00000000-0005-0000-0000-000015770000}"/>
    <cellStyle name="Normal 21 3 8 3" xfId="29668" xr:uid="{00000000-0005-0000-0000-000016770000}"/>
    <cellStyle name="Normal 21 3 8 4" xfId="29669" xr:uid="{00000000-0005-0000-0000-000017770000}"/>
    <cellStyle name="Normal 21 3 8 5" xfId="29670" xr:uid="{00000000-0005-0000-0000-000018770000}"/>
    <cellStyle name="Normal 21 3 8 6" xfId="29671" xr:uid="{00000000-0005-0000-0000-000019770000}"/>
    <cellStyle name="Normal 21 3 9" xfId="29672" xr:uid="{00000000-0005-0000-0000-00001A770000}"/>
    <cellStyle name="Normal 21 30" xfId="29673" xr:uid="{00000000-0005-0000-0000-00001B770000}"/>
    <cellStyle name="Normal 21 30 2" xfId="29674" xr:uid="{00000000-0005-0000-0000-00001C770000}"/>
    <cellStyle name="Normal 21 30 3" xfId="29675" xr:uid="{00000000-0005-0000-0000-00001D770000}"/>
    <cellStyle name="Normal 21 30 4" xfId="29676" xr:uid="{00000000-0005-0000-0000-00001E770000}"/>
    <cellStyle name="Normal 21 30 5" xfId="29677" xr:uid="{00000000-0005-0000-0000-00001F770000}"/>
    <cellStyle name="Normal 21 30 6" xfId="29678" xr:uid="{00000000-0005-0000-0000-000020770000}"/>
    <cellStyle name="Normal 21 31" xfId="29679" xr:uid="{00000000-0005-0000-0000-000021770000}"/>
    <cellStyle name="Normal 21 31 2" xfId="29680" xr:uid="{00000000-0005-0000-0000-000022770000}"/>
    <cellStyle name="Normal 21 31 3" xfId="29681" xr:uid="{00000000-0005-0000-0000-000023770000}"/>
    <cellStyle name="Normal 21 31 4" xfId="29682" xr:uid="{00000000-0005-0000-0000-000024770000}"/>
    <cellStyle name="Normal 21 31 5" xfId="29683" xr:uid="{00000000-0005-0000-0000-000025770000}"/>
    <cellStyle name="Normal 21 31 6" xfId="29684" xr:uid="{00000000-0005-0000-0000-000026770000}"/>
    <cellStyle name="Normal 21 32" xfId="29685" xr:uid="{00000000-0005-0000-0000-000027770000}"/>
    <cellStyle name="Normal 21 33" xfId="29686" xr:uid="{00000000-0005-0000-0000-000028770000}"/>
    <cellStyle name="Normal 21 34" xfId="29687" xr:uid="{00000000-0005-0000-0000-000029770000}"/>
    <cellStyle name="Normal 21 35" xfId="29688" xr:uid="{00000000-0005-0000-0000-00002A770000}"/>
    <cellStyle name="Normal 21 36" xfId="29689" xr:uid="{00000000-0005-0000-0000-00002B770000}"/>
    <cellStyle name="Normal 21 4" xfId="29690" xr:uid="{00000000-0005-0000-0000-00002C770000}"/>
    <cellStyle name="Normal 21 4 10" xfId="29691" xr:uid="{00000000-0005-0000-0000-00002D770000}"/>
    <cellStyle name="Normal 21 4 11" xfId="29692" xr:uid="{00000000-0005-0000-0000-00002E770000}"/>
    <cellStyle name="Normal 21 4 12" xfId="29693" xr:uid="{00000000-0005-0000-0000-00002F770000}"/>
    <cellStyle name="Normal 21 4 13" xfId="29694" xr:uid="{00000000-0005-0000-0000-000030770000}"/>
    <cellStyle name="Normal 21 4 2" xfId="29695" xr:uid="{00000000-0005-0000-0000-000031770000}"/>
    <cellStyle name="Normal 21 4 2 2" xfId="29696" xr:uid="{00000000-0005-0000-0000-000032770000}"/>
    <cellStyle name="Normal 21 4 2 3" xfId="29697" xr:uid="{00000000-0005-0000-0000-000033770000}"/>
    <cellStyle name="Normal 21 4 2 4" xfId="29698" xr:uid="{00000000-0005-0000-0000-000034770000}"/>
    <cellStyle name="Normal 21 4 2 5" xfId="29699" xr:uid="{00000000-0005-0000-0000-000035770000}"/>
    <cellStyle name="Normal 21 4 2 6" xfId="29700" xr:uid="{00000000-0005-0000-0000-000036770000}"/>
    <cellStyle name="Normal 21 4 3" xfId="29701" xr:uid="{00000000-0005-0000-0000-000037770000}"/>
    <cellStyle name="Normal 21 4 3 2" xfId="29702" xr:uid="{00000000-0005-0000-0000-000038770000}"/>
    <cellStyle name="Normal 21 4 3 3" xfId="29703" xr:uid="{00000000-0005-0000-0000-000039770000}"/>
    <cellStyle name="Normal 21 4 3 4" xfId="29704" xr:uid="{00000000-0005-0000-0000-00003A770000}"/>
    <cellStyle name="Normal 21 4 3 5" xfId="29705" xr:uid="{00000000-0005-0000-0000-00003B770000}"/>
    <cellStyle name="Normal 21 4 3 6" xfId="29706" xr:uid="{00000000-0005-0000-0000-00003C770000}"/>
    <cellStyle name="Normal 21 4 4" xfId="29707" xr:uid="{00000000-0005-0000-0000-00003D770000}"/>
    <cellStyle name="Normal 21 4 4 2" xfId="29708" xr:uid="{00000000-0005-0000-0000-00003E770000}"/>
    <cellStyle name="Normal 21 4 4 3" xfId="29709" xr:uid="{00000000-0005-0000-0000-00003F770000}"/>
    <cellStyle name="Normal 21 4 4 4" xfId="29710" xr:uid="{00000000-0005-0000-0000-000040770000}"/>
    <cellStyle name="Normal 21 4 4 5" xfId="29711" xr:uid="{00000000-0005-0000-0000-000041770000}"/>
    <cellStyle name="Normal 21 4 4 6" xfId="29712" xr:uid="{00000000-0005-0000-0000-000042770000}"/>
    <cellStyle name="Normal 21 4 5" xfId="29713" xr:uid="{00000000-0005-0000-0000-000043770000}"/>
    <cellStyle name="Normal 21 4 5 2" xfId="29714" xr:uid="{00000000-0005-0000-0000-000044770000}"/>
    <cellStyle name="Normal 21 4 5 3" xfId="29715" xr:uid="{00000000-0005-0000-0000-000045770000}"/>
    <cellStyle name="Normal 21 4 5 4" xfId="29716" xr:uid="{00000000-0005-0000-0000-000046770000}"/>
    <cellStyle name="Normal 21 4 5 5" xfId="29717" xr:uid="{00000000-0005-0000-0000-000047770000}"/>
    <cellStyle name="Normal 21 4 5 6" xfId="29718" xr:uid="{00000000-0005-0000-0000-000048770000}"/>
    <cellStyle name="Normal 21 4 6" xfId="29719" xr:uid="{00000000-0005-0000-0000-000049770000}"/>
    <cellStyle name="Normal 21 4 6 2" xfId="29720" xr:uid="{00000000-0005-0000-0000-00004A770000}"/>
    <cellStyle name="Normal 21 4 6 3" xfId="29721" xr:uid="{00000000-0005-0000-0000-00004B770000}"/>
    <cellStyle name="Normal 21 4 6 4" xfId="29722" xr:uid="{00000000-0005-0000-0000-00004C770000}"/>
    <cellStyle name="Normal 21 4 6 5" xfId="29723" xr:uid="{00000000-0005-0000-0000-00004D770000}"/>
    <cellStyle name="Normal 21 4 6 6" xfId="29724" xr:uid="{00000000-0005-0000-0000-00004E770000}"/>
    <cellStyle name="Normal 21 4 7" xfId="29725" xr:uid="{00000000-0005-0000-0000-00004F770000}"/>
    <cellStyle name="Normal 21 4 7 2" xfId="29726" xr:uid="{00000000-0005-0000-0000-000050770000}"/>
    <cellStyle name="Normal 21 4 7 3" xfId="29727" xr:uid="{00000000-0005-0000-0000-000051770000}"/>
    <cellStyle name="Normal 21 4 7 4" xfId="29728" xr:uid="{00000000-0005-0000-0000-000052770000}"/>
    <cellStyle name="Normal 21 4 7 5" xfId="29729" xr:uid="{00000000-0005-0000-0000-000053770000}"/>
    <cellStyle name="Normal 21 4 7 6" xfId="29730" xr:uid="{00000000-0005-0000-0000-000054770000}"/>
    <cellStyle name="Normal 21 4 8" xfId="29731" xr:uid="{00000000-0005-0000-0000-000055770000}"/>
    <cellStyle name="Normal 21 4 8 2" xfId="29732" xr:uid="{00000000-0005-0000-0000-000056770000}"/>
    <cellStyle name="Normal 21 4 8 3" xfId="29733" xr:uid="{00000000-0005-0000-0000-000057770000}"/>
    <cellStyle name="Normal 21 4 8 4" xfId="29734" xr:uid="{00000000-0005-0000-0000-000058770000}"/>
    <cellStyle name="Normal 21 4 8 5" xfId="29735" xr:uid="{00000000-0005-0000-0000-000059770000}"/>
    <cellStyle name="Normal 21 4 8 6" xfId="29736" xr:uid="{00000000-0005-0000-0000-00005A770000}"/>
    <cellStyle name="Normal 21 4 9" xfId="29737" xr:uid="{00000000-0005-0000-0000-00005B770000}"/>
    <cellStyle name="Normal 21 5" xfId="29738" xr:uid="{00000000-0005-0000-0000-00005C770000}"/>
    <cellStyle name="Normal 21 5 10" xfId="29739" xr:uid="{00000000-0005-0000-0000-00005D770000}"/>
    <cellStyle name="Normal 21 5 11" xfId="29740" xr:uid="{00000000-0005-0000-0000-00005E770000}"/>
    <cellStyle name="Normal 21 5 12" xfId="29741" xr:uid="{00000000-0005-0000-0000-00005F770000}"/>
    <cellStyle name="Normal 21 5 13" xfId="29742" xr:uid="{00000000-0005-0000-0000-000060770000}"/>
    <cellStyle name="Normal 21 5 2" xfId="29743" xr:uid="{00000000-0005-0000-0000-000061770000}"/>
    <cellStyle name="Normal 21 5 2 2" xfId="29744" xr:uid="{00000000-0005-0000-0000-000062770000}"/>
    <cellStyle name="Normal 21 5 2 3" xfId="29745" xr:uid="{00000000-0005-0000-0000-000063770000}"/>
    <cellStyle name="Normal 21 5 2 4" xfId="29746" xr:uid="{00000000-0005-0000-0000-000064770000}"/>
    <cellStyle name="Normal 21 5 2 5" xfId="29747" xr:uid="{00000000-0005-0000-0000-000065770000}"/>
    <cellStyle name="Normal 21 5 2 6" xfId="29748" xr:uid="{00000000-0005-0000-0000-000066770000}"/>
    <cellStyle name="Normal 21 5 3" xfId="29749" xr:uid="{00000000-0005-0000-0000-000067770000}"/>
    <cellStyle name="Normal 21 5 3 2" xfId="29750" xr:uid="{00000000-0005-0000-0000-000068770000}"/>
    <cellStyle name="Normal 21 5 3 3" xfId="29751" xr:uid="{00000000-0005-0000-0000-000069770000}"/>
    <cellStyle name="Normal 21 5 3 4" xfId="29752" xr:uid="{00000000-0005-0000-0000-00006A770000}"/>
    <cellStyle name="Normal 21 5 3 5" xfId="29753" xr:uid="{00000000-0005-0000-0000-00006B770000}"/>
    <cellStyle name="Normal 21 5 3 6" xfId="29754" xr:uid="{00000000-0005-0000-0000-00006C770000}"/>
    <cellStyle name="Normal 21 5 4" xfId="29755" xr:uid="{00000000-0005-0000-0000-00006D770000}"/>
    <cellStyle name="Normal 21 5 4 2" xfId="29756" xr:uid="{00000000-0005-0000-0000-00006E770000}"/>
    <cellStyle name="Normal 21 5 4 3" xfId="29757" xr:uid="{00000000-0005-0000-0000-00006F770000}"/>
    <cellStyle name="Normal 21 5 4 4" xfId="29758" xr:uid="{00000000-0005-0000-0000-000070770000}"/>
    <cellStyle name="Normal 21 5 4 5" xfId="29759" xr:uid="{00000000-0005-0000-0000-000071770000}"/>
    <cellStyle name="Normal 21 5 4 6" xfId="29760" xr:uid="{00000000-0005-0000-0000-000072770000}"/>
    <cellStyle name="Normal 21 5 5" xfId="29761" xr:uid="{00000000-0005-0000-0000-000073770000}"/>
    <cellStyle name="Normal 21 5 5 2" xfId="29762" xr:uid="{00000000-0005-0000-0000-000074770000}"/>
    <cellStyle name="Normal 21 5 5 3" xfId="29763" xr:uid="{00000000-0005-0000-0000-000075770000}"/>
    <cellStyle name="Normal 21 5 5 4" xfId="29764" xr:uid="{00000000-0005-0000-0000-000076770000}"/>
    <cellStyle name="Normal 21 5 5 5" xfId="29765" xr:uid="{00000000-0005-0000-0000-000077770000}"/>
    <cellStyle name="Normal 21 5 5 6" xfId="29766" xr:uid="{00000000-0005-0000-0000-000078770000}"/>
    <cellStyle name="Normal 21 5 6" xfId="29767" xr:uid="{00000000-0005-0000-0000-000079770000}"/>
    <cellStyle name="Normal 21 5 6 2" xfId="29768" xr:uid="{00000000-0005-0000-0000-00007A770000}"/>
    <cellStyle name="Normal 21 5 6 3" xfId="29769" xr:uid="{00000000-0005-0000-0000-00007B770000}"/>
    <cellStyle name="Normal 21 5 6 4" xfId="29770" xr:uid="{00000000-0005-0000-0000-00007C770000}"/>
    <cellStyle name="Normal 21 5 6 5" xfId="29771" xr:uid="{00000000-0005-0000-0000-00007D770000}"/>
    <cellStyle name="Normal 21 5 6 6" xfId="29772" xr:uid="{00000000-0005-0000-0000-00007E770000}"/>
    <cellStyle name="Normal 21 5 7" xfId="29773" xr:uid="{00000000-0005-0000-0000-00007F770000}"/>
    <cellStyle name="Normal 21 5 7 2" xfId="29774" xr:uid="{00000000-0005-0000-0000-000080770000}"/>
    <cellStyle name="Normal 21 5 7 3" xfId="29775" xr:uid="{00000000-0005-0000-0000-000081770000}"/>
    <cellStyle name="Normal 21 5 7 4" xfId="29776" xr:uid="{00000000-0005-0000-0000-000082770000}"/>
    <cellStyle name="Normal 21 5 7 5" xfId="29777" xr:uid="{00000000-0005-0000-0000-000083770000}"/>
    <cellStyle name="Normal 21 5 7 6" xfId="29778" xr:uid="{00000000-0005-0000-0000-000084770000}"/>
    <cellStyle name="Normal 21 5 8" xfId="29779" xr:uid="{00000000-0005-0000-0000-000085770000}"/>
    <cellStyle name="Normal 21 5 8 2" xfId="29780" xr:uid="{00000000-0005-0000-0000-000086770000}"/>
    <cellStyle name="Normal 21 5 8 3" xfId="29781" xr:uid="{00000000-0005-0000-0000-000087770000}"/>
    <cellStyle name="Normal 21 5 8 4" xfId="29782" xr:uid="{00000000-0005-0000-0000-000088770000}"/>
    <cellStyle name="Normal 21 5 8 5" xfId="29783" xr:uid="{00000000-0005-0000-0000-000089770000}"/>
    <cellStyle name="Normal 21 5 8 6" xfId="29784" xr:uid="{00000000-0005-0000-0000-00008A770000}"/>
    <cellStyle name="Normal 21 5 9" xfId="29785" xr:uid="{00000000-0005-0000-0000-00008B770000}"/>
    <cellStyle name="Normal 21 6" xfId="29786" xr:uid="{00000000-0005-0000-0000-00008C770000}"/>
    <cellStyle name="Normal 21 6 10" xfId="29787" xr:uid="{00000000-0005-0000-0000-00008D770000}"/>
    <cellStyle name="Normal 21 6 11" xfId="29788" xr:uid="{00000000-0005-0000-0000-00008E770000}"/>
    <cellStyle name="Normal 21 6 12" xfId="29789" xr:uid="{00000000-0005-0000-0000-00008F770000}"/>
    <cellStyle name="Normal 21 6 13" xfId="29790" xr:uid="{00000000-0005-0000-0000-000090770000}"/>
    <cellStyle name="Normal 21 6 2" xfId="29791" xr:uid="{00000000-0005-0000-0000-000091770000}"/>
    <cellStyle name="Normal 21 6 2 2" xfId="29792" xr:uid="{00000000-0005-0000-0000-000092770000}"/>
    <cellStyle name="Normal 21 6 2 3" xfId="29793" xr:uid="{00000000-0005-0000-0000-000093770000}"/>
    <cellStyle name="Normal 21 6 2 4" xfId="29794" xr:uid="{00000000-0005-0000-0000-000094770000}"/>
    <cellStyle name="Normal 21 6 2 5" xfId="29795" xr:uid="{00000000-0005-0000-0000-000095770000}"/>
    <cellStyle name="Normal 21 6 2 6" xfId="29796" xr:uid="{00000000-0005-0000-0000-000096770000}"/>
    <cellStyle name="Normal 21 6 3" xfId="29797" xr:uid="{00000000-0005-0000-0000-000097770000}"/>
    <cellStyle name="Normal 21 6 3 2" xfId="29798" xr:uid="{00000000-0005-0000-0000-000098770000}"/>
    <cellStyle name="Normal 21 6 3 3" xfId="29799" xr:uid="{00000000-0005-0000-0000-000099770000}"/>
    <cellStyle name="Normal 21 6 3 4" xfId="29800" xr:uid="{00000000-0005-0000-0000-00009A770000}"/>
    <cellStyle name="Normal 21 6 3 5" xfId="29801" xr:uid="{00000000-0005-0000-0000-00009B770000}"/>
    <cellStyle name="Normal 21 6 3 6" xfId="29802" xr:uid="{00000000-0005-0000-0000-00009C770000}"/>
    <cellStyle name="Normal 21 6 4" xfId="29803" xr:uid="{00000000-0005-0000-0000-00009D770000}"/>
    <cellStyle name="Normal 21 6 4 2" xfId="29804" xr:uid="{00000000-0005-0000-0000-00009E770000}"/>
    <cellStyle name="Normal 21 6 4 3" xfId="29805" xr:uid="{00000000-0005-0000-0000-00009F770000}"/>
    <cellStyle name="Normal 21 6 4 4" xfId="29806" xr:uid="{00000000-0005-0000-0000-0000A0770000}"/>
    <cellStyle name="Normal 21 6 4 5" xfId="29807" xr:uid="{00000000-0005-0000-0000-0000A1770000}"/>
    <cellStyle name="Normal 21 6 4 6" xfId="29808" xr:uid="{00000000-0005-0000-0000-0000A2770000}"/>
    <cellStyle name="Normal 21 6 5" xfId="29809" xr:uid="{00000000-0005-0000-0000-0000A3770000}"/>
    <cellStyle name="Normal 21 6 5 2" xfId="29810" xr:uid="{00000000-0005-0000-0000-0000A4770000}"/>
    <cellStyle name="Normal 21 6 5 3" xfId="29811" xr:uid="{00000000-0005-0000-0000-0000A5770000}"/>
    <cellStyle name="Normal 21 6 5 4" xfId="29812" xr:uid="{00000000-0005-0000-0000-0000A6770000}"/>
    <cellStyle name="Normal 21 6 5 5" xfId="29813" xr:uid="{00000000-0005-0000-0000-0000A7770000}"/>
    <cellStyle name="Normal 21 6 5 6" xfId="29814" xr:uid="{00000000-0005-0000-0000-0000A8770000}"/>
    <cellStyle name="Normal 21 6 6" xfId="29815" xr:uid="{00000000-0005-0000-0000-0000A9770000}"/>
    <cellStyle name="Normal 21 6 6 2" xfId="29816" xr:uid="{00000000-0005-0000-0000-0000AA770000}"/>
    <cellStyle name="Normal 21 6 6 3" xfId="29817" xr:uid="{00000000-0005-0000-0000-0000AB770000}"/>
    <cellStyle name="Normal 21 6 6 4" xfId="29818" xr:uid="{00000000-0005-0000-0000-0000AC770000}"/>
    <cellStyle name="Normal 21 6 6 5" xfId="29819" xr:uid="{00000000-0005-0000-0000-0000AD770000}"/>
    <cellStyle name="Normal 21 6 6 6" xfId="29820" xr:uid="{00000000-0005-0000-0000-0000AE770000}"/>
    <cellStyle name="Normal 21 6 7" xfId="29821" xr:uid="{00000000-0005-0000-0000-0000AF770000}"/>
    <cellStyle name="Normal 21 6 7 2" xfId="29822" xr:uid="{00000000-0005-0000-0000-0000B0770000}"/>
    <cellStyle name="Normal 21 6 7 3" xfId="29823" xr:uid="{00000000-0005-0000-0000-0000B1770000}"/>
    <cellStyle name="Normal 21 6 7 4" xfId="29824" xr:uid="{00000000-0005-0000-0000-0000B2770000}"/>
    <cellStyle name="Normal 21 6 7 5" xfId="29825" xr:uid="{00000000-0005-0000-0000-0000B3770000}"/>
    <cellStyle name="Normal 21 6 7 6" xfId="29826" xr:uid="{00000000-0005-0000-0000-0000B4770000}"/>
    <cellStyle name="Normal 21 6 8" xfId="29827" xr:uid="{00000000-0005-0000-0000-0000B5770000}"/>
    <cellStyle name="Normal 21 6 8 2" xfId="29828" xr:uid="{00000000-0005-0000-0000-0000B6770000}"/>
    <cellStyle name="Normal 21 6 8 3" xfId="29829" xr:uid="{00000000-0005-0000-0000-0000B7770000}"/>
    <cellStyle name="Normal 21 6 8 4" xfId="29830" xr:uid="{00000000-0005-0000-0000-0000B8770000}"/>
    <cellStyle name="Normal 21 6 8 5" xfId="29831" xr:uid="{00000000-0005-0000-0000-0000B9770000}"/>
    <cellStyle name="Normal 21 6 8 6" xfId="29832" xr:uid="{00000000-0005-0000-0000-0000BA770000}"/>
    <cellStyle name="Normal 21 6 9" xfId="29833" xr:uid="{00000000-0005-0000-0000-0000BB770000}"/>
    <cellStyle name="Normal 21 7" xfId="29834" xr:uid="{00000000-0005-0000-0000-0000BC770000}"/>
    <cellStyle name="Normal 21 7 10" xfId="29835" xr:uid="{00000000-0005-0000-0000-0000BD770000}"/>
    <cellStyle name="Normal 21 7 11" xfId="29836" xr:uid="{00000000-0005-0000-0000-0000BE770000}"/>
    <cellStyle name="Normal 21 7 12" xfId="29837" xr:uid="{00000000-0005-0000-0000-0000BF770000}"/>
    <cellStyle name="Normal 21 7 13" xfId="29838" xr:uid="{00000000-0005-0000-0000-0000C0770000}"/>
    <cellStyle name="Normal 21 7 2" xfId="29839" xr:uid="{00000000-0005-0000-0000-0000C1770000}"/>
    <cellStyle name="Normal 21 7 2 2" xfId="29840" xr:uid="{00000000-0005-0000-0000-0000C2770000}"/>
    <cellStyle name="Normal 21 7 2 3" xfId="29841" xr:uid="{00000000-0005-0000-0000-0000C3770000}"/>
    <cellStyle name="Normal 21 7 2 4" xfId="29842" xr:uid="{00000000-0005-0000-0000-0000C4770000}"/>
    <cellStyle name="Normal 21 7 2 5" xfId="29843" xr:uid="{00000000-0005-0000-0000-0000C5770000}"/>
    <cellStyle name="Normal 21 7 2 6" xfId="29844" xr:uid="{00000000-0005-0000-0000-0000C6770000}"/>
    <cellStyle name="Normal 21 7 3" xfId="29845" xr:uid="{00000000-0005-0000-0000-0000C7770000}"/>
    <cellStyle name="Normal 21 7 3 2" xfId="29846" xr:uid="{00000000-0005-0000-0000-0000C8770000}"/>
    <cellStyle name="Normal 21 7 3 3" xfId="29847" xr:uid="{00000000-0005-0000-0000-0000C9770000}"/>
    <cellStyle name="Normal 21 7 3 4" xfId="29848" xr:uid="{00000000-0005-0000-0000-0000CA770000}"/>
    <cellStyle name="Normal 21 7 3 5" xfId="29849" xr:uid="{00000000-0005-0000-0000-0000CB770000}"/>
    <cellStyle name="Normal 21 7 3 6" xfId="29850" xr:uid="{00000000-0005-0000-0000-0000CC770000}"/>
    <cellStyle name="Normal 21 7 4" xfId="29851" xr:uid="{00000000-0005-0000-0000-0000CD770000}"/>
    <cellStyle name="Normal 21 7 4 2" xfId="29852" xr:uid="{00000000-0005-0000-0000-0000CE770000}"/>
    <cellStyle name="Normal 21 7 4 3" xfId="29853" xr:uid="{00000000-0005-0000-0000-0000CF770000}"/>
    <cellStyle name="Normal 21 7 4 4" xfId="29854" xr:uid="{00000000-0005-0000-0000-0000D0770000}"/>
    <cellStyle name="Normal 21 7 4 5" xfId="29855" xr:uid="{00000000-0005-0000-0000-0000D1770000}"/>
    <cellStyle name="Normal 21 7 4 6" xfId="29856" xr:uid="{00000000-0005-0000-0000-0000D2770000}"/>
    <cellStyle name="Normal 21 7 5" xfId="29857" xr:uid="{00000000-0005-0000-0000-0000D3770000}"/>
    <cellStyle name="Normal 21 7 5 2" xfId="29858" xr:uid="{00000000-0005-0000-0000-0000D4770000}"/>
    <cellStyle name="Normal 21 7 5 3" xfId="29859" xr:uid="{00000000-0005-0000-0000-0000D5770000}"/>
    <cellStyle name="Normal 21 7 5 4" xfId="29860" xr:uid="{00000000-0005-0000-0000-0000D6770000}"/>
    <cellStyle name="Normal 21 7 5 5" xfId="29861" xr:uid="{00000000-0005-0000-0000-0000D7770000}"/>
    <cellStyle name="Normal 21 7 5 6" xfId="29862" xr:uid="{00000000-0005-0000-0000-0000D8770000}"/>
    <cellStyle name="Normal 21 7 6" xfId="29863" xr:uid="{00000000-0005-0000-0000-0000D9770000}"/>
    <cellStyle name="Normal 21 7 6 2" xfId="29864" xr:uid="{00000000-0005-0000-0000-0000DA770000}"/>
    <cellStyle name="Normal 21 7 6 3" xfId="29865" xr:uid="{00000000-0005-0000-0000-0000DB770000}"/>
    <cellStyle name="Normal 21 7 6 4" xfId="29866" xr:uid="{00000000-0005-0000-0000-0000DC770000}"/>
    <cellStyle name="Normal 21 7 6 5" xfId="29867" xr:uid="{00000000-0005-0000-0000-0000DD770000}"/>
    <cellStyle name="Normal 21 7 6 6" xfId="29868" xr:uid="{00000000-0005-0000-0000-0000DE770000}"/>
    <cellStyle name="Normal 21 7 7" xfId="29869" xr:uid="{00000000-0005-0000-0000-0000DF770000}"/>
    <cellStyle name="Normal 21 7 7 2" xfId="29870" xr:uid="{00000000-0005-0000-0000-0000E0770000}"/>
    <cellStyle name="Normal 21 7 7 3" xfId="29871" xr:uid="{00000000-0005-0000-0000-0000E1770000}"/>
    <cellStyle name="Normal 21 7 7 4" xfId="29872" xr:uid="{00000000-0005-0000-0000-0000E2770000}"/>
    <cellStyle name="Normal 21 7 7 5" xfId="29873" xr:uid="{00000000-0005-0000-0000-0000E3770000}"/>
    <cellStyle name="Normal 21 7 7 6" xfId="29874" xr:uid="{00000000-0005-0000-0000-0000E4770000}"/>
    <cellStyle name="Normal 21 7 8" xfId="29875" xr:uid="{00000000-0005-0000-0000-0000E5770000}"/>
    <cellStyle name="Normal 21 7 8 2" xfId="29876" xr:uid="{00000000-0005-0000-0000-0000E6770000}"/>
    <cellStyle name="Normal 21 7 8 3" xfId="29877" xr:uid="{00000000-0005-0000-0000-0000E7770000}"/>
    <cellStyle name="Normal 21 7 8 4" xfId="29878" xr:uid="{00000000-0005-0000-0000-0000E8770000}"/>
    <cellStyle name="Normal 21 7 8 5" xfId="29879" xr:uid="{00000000-0005-0000-0000-0000E9770000}"/>
    <cellStyle name="Normal 21 7 8 6" xfId="29880" xr:uid="{00000000-0005-0000-0000-0000EA770000}"/>
    <cellStyle name="Normal 21 7 9" xfId="29881" xr:uid="{00000000-0005-0000-0000-0000EB770000}"/>
    <cellStyle name="Normal 21 8" xfId="29882" xr:uid="{00000000-0005-0000-0000-0000EC770000}"/>
    <cellStyle name="Normal 21 8 10" xfId="29883" xr:uid="{00000000-0005-0000-0000-0000ED770000}"/>
    <cellStyle name="Normal 21 8 11" xfId="29884" xr:uid="{00000000-0005-0000-0000-0000EE770000}"/>
    <cellStyle name="Normal 21 8 12" xfId="29885" xr:uid="{00000000-0005-0000-0000-0000EF770000}"/>
    <cellStyle name="Normal 21 8 13" xfId="29886" xr:uid="{00000000-0005-0000-0000-0000F0770000}"/>
    <cellStyle name="Normal 21 8 2" xfId="29887" xr:uid="{00000000-0005-0000-0000-0000F1770000}"/>
    <cellStyle name="Normal 21 8 2 2" xfId="29888" xr:uid="{00000000-0005-0000-0000-0000F2770000}"/>
    <cellStyle name="Normal 21 8 2 3" xfId="29889" xr:uid="{00000000-0005-0000-0000-0000F3770000}"/>
    <cellStyle name="Normal 21 8 2 4" xfId="29890" xr:uid="{00000000-0005-0000-0000-0000F4770000}"/>
    <cellStyle name="Normal 21 8 2 5" xfId="29891" xr:uid="{00000000-0005-0000-0000-0000F5770000}"/>
    <cellStyle name="Normal 21 8 2 6" xfId="29892" xr:uid="{00000000-0005-0000-0000-0000F6770000}"/>
    <cellStyle name="Normal 21 8 3" xfId="29893" xr:uid="{00000000-0005-0000-0000-0000F7770000}"/>
    <cellStyle name="Normal 21 8 3 2" xfId="29894" xr:uid="{00000000-0005-0000-0000-0000F8770000}"/>
    <cellStyle name="Normal 21 8 3 3" xfId="29895" xr:uid="{00000000-0005-0000-0000-0000F9770000}"/>
    <cellStyle name="Normal 21 8 3 4" xfId="29896" xr:uid="{00000000-0005-0000-0000-0000FA770000}"/>
    <cellStyle name="Normal 21 8 3 5" xfId="29897" xr:uid="{00000000-0005-0000-0000-0000FB770000}"/>
    <cellStyle name="Normal 21 8 3 6" xfId="29898" xr:uid="{00000000-0005-0000-0000-0000FC770000}"/>
    <cellStyle name="Normal 21 8 4" xfId="29899" xr:uid="{00000000-0005-0000-0000-0000FD770000}"/>
    <cellStyle name="Normal 21 8 4 2" xfId="29900" xr:uid="{00000000-0005-0000-0000-0000FE770000}"/>
    <cellStyle name="Normal 21 8 4 3" xfId="29901" xr:uid="{00000000-0005-0000-0000-0000FF770000}"/>
    <cellStyle name="Normal 21 8 4 4" xfId="29902" xr:uid="{00000000-0005-0000-0000-000000780000}"/>
    <cellStyle name="Normal 21 8 4 5" xfId="29903" xr:uid="{00000000-0005-0000-0000-000001780000}"/>
    <cellStyle name="Normal 21 8 4 6" xfId="29904" xr:uid="{00000000-0005-0000-0000-000002780000}"/>
    <cellStyle name="Normal 21 8 5" xfId="29905" xr:uid="{00000000-0005-0000-0000-000003780000}"/>
    <cellStyle name="Normal 21 8 5 2" xfId="29906" xr:uid="{00000000-0005-0000-0000-000004780000}"/>
    <cellStyle name="Normal 21 8 5 3" xfId="29907" xr:uid="{00000000-0005-0000-0000-000005780000}"/>
    <cellStyle name="Normal 21 8 5 4" xfId="29908" xr:uid="{00000000-0005-0000-0000-000006780000}"/>
    <cellStyle name="Normal 21 8 5 5" xfId="29909" xr:uid="{00000000-0005-0000-0000-000007780000}"/>
    <cellStyle name="Normal 21 8 5 6" xfId="29910" xr:uid="{00000000-0005-0000-0000-000008780000}"/>
    <cellStyle name="Normal 21 8 6" xfId="29911" xr:uid="{00000000-0005-0000-0000-000009780000}"/>
    <cellStyle name="Normal 21 8 6 2" xfId="29912" xr:uid="{00000000-0005-0000-0000-00000A780000}"/>
    <cellStyle name="Normal 21 8 6 3" xfId="29913" xr:uid="{00000000-0005-0000-0000-00000B780000}"/>
    <cellStyle name="Normal 21 8 6 4" xfId="29914" xr:uid="{00000000-0005-0000-0000-00000C780000}"/>
    <cellStyle name="Normal 21 8 6 5" xfId="29915" xr:uid="{00000000-0005-0000-0000-00000D780000}"/>
    <cellStyle name="Normal 21 8 6 6" xfId="29916" xr:uid="{00000000-0005-0000-0000-00000E780000}"/>
    <cellStyle name="Normal 21 8 7" xfId="29917" xr:uid="{00000000-0005-0000-0000-00000F780000}"/>
    <cellStyle name="Normal 21 8 7 2" xfId="29918" xr:uid="{00000000-0005-0000-0000-000010780000}"/>
    <cellStyle name="Normal 21 8 7 3" xfId="29919" xr:uid="{00000000-0005-0000-0000-000011780000}"/>
    <cellStyle name="Normal 21 8 7 4" xfId="29920" xr:uid="{00000000-0005-0000-0000-000012780000}"/>
    <cellStyle name="Normal 21 8 7 5" xfId="29921" xr:uid="{00000000-0005-0000-0000-000013780000}"/>
    <cellStyle name="Normal 21 8 7 6" xfId="29922" xr:uid="{00000000-0005-0000-0000-000014780000}"/>
    <cellStyle name="Normal 21 8 8" xfId="29923" xr:uid="{00000000-0005-0000-0000-000015780000}"/>
    <cellStyle name="Normal 21 8 8 2" xfId="29924" xr:uid="{00000000-0005-0000-0000-000016780000}"/>
    <cellStyle name="Normal 21 8 8 3" xfId="29925" xr:uid="{00000000-0005-0000-0000-000017780000}"/>
    <cellStyle name="Normal 21 8 8 4" xfId="29926" xr:uid="{00000000-0005-0000-0000-000018780000}"/>
    <cellStyle name="Normal 21 8 8 5" xfId="29927" xr:uid="{00000000-0005-0000-0000-000019780000}"/>
    <cellStyle name="Normal 21 8 8 6" xfId="29928" xr:uid="{00000000-0005-0000-0000-00001A780000}"/>
    <cellStyle name="Normal 21 8 9" xfId="29929" xr:uid="{00000000-0005-0000-0000-00001B780000}"/>
    <cellStyle name="Normal 21 9" xfId="29930" xr:uid="{00000000-0005-0000-0000-00001C780000}"/>
    <cellStyle name="Normal 21 9 10" xfId="29931" xr:uid="{00000000-0005-0000-0000-00001D780000}"/>
    <cellStyle name="Normal 21 9 11" xfId="29932" xr:uid="{00000000-0005-0000-0000-00001E780000}"/>
    <cellStyle name="Normal 21 9 12" xfId="29933" xr:uid="{00000000-0005-0000-0000-00001F780000}"/>
    <cellStyle name="Normal 21 9 13" xfId="29934" xr:uid="{00000000-0005-0000-0000-000020780000}"/>
    <cellStyle name="Normal 21 9 2" xfId="29935" xr:uid="{00000000-0005-0000-0000-000021780000}"/>
    <cellStyle name="Normal 21 9 2 2" xfId="29936" xr:uid="{00000000-0005-0000-0000-000022780000}"/>
    <cellStyle name="Normal 21 9 2 3" xfId="29937" xr:uid="{00000000-0005-0000-0000-000023780000}"/>
    <cellStyle name="Normal 21 9 2 4" xfId="29938" xr:uid="{00000000-0005-0000-0000-000024780000}"/>
    <cellStyle name="Normal 21 9 2 5" xfId="29939" xr:uid="{00000000-0005-0000-0000-000025780000}"/>
    <cellStyle name="Normal 21 9 2 6" xfId="29940" xr:uid="{00000000-0005-0000-0000-000026780000}"/>
    <cellStyle name="Normal 21 9 3" xfId="29941" xr:uid="{00000000-0005-0000-0000-000027780000}"/>
    <cellStyle name="Normal 21 9 3 2" xfId="29942" xr:uid="{00000000-0005-0000-0000-000028780000}"/>
    <cellStyle name="Normal 21 9 3 3" xfId="29943" xr:uid="{00000000-0005-0000-0000-000029780000}"/>
    <cellStyle name="Normal 21 9 3 4" xfId="29944" xr:uid="{00000000-0005-0000-0000-00002A780000}"/>
    <cellStyle name="Normal 21 9 3 5" xfId="29945" xr:uid="{00000000-0005-0000-0000-00002B780000}"/>
    <cellStyle name="Normal 21 9 3 6" xfId="29946" xr:uid="{00000000-0005-0000-0000-00002C780000}"/>
    <cellStyle name="Normal 21 9 4" xfId="29947" xr:uid="{00000000-0005-0000-0000-00002D780000}"/>
    <cellStyle name="Normal 21 9 4 2" xfId="29948" xr:uid="{00000000-0005-0000-0000-00002E780000}"/>
    <cellStyle name="Normal 21 9 4 3" xfId="29949" xr:uid="{00000000-0005-0000-0000-00002F780000}"/>
    <cellStyle name="Normal 21 9 4 4" xfId="29950" xr:uid="{00000000-0005-0000-0000-000030780000}"/>
    <cellStyle name="Normal 21 9 4 5" xfId="29951" xr:uid="{00000000-0005-0000-0000-000031780000}"/>
    <cellStyle name="Normal 21 9 4 6" xfId="29952" xr:uid="{00000000-0005-0000-0000-000032780000}"/>
    <cellStyle name="Normal 21 9 5" xfId="29953" xr:uid="{00000000-0005-0000-0000-000033780000}"/>
    <cellStyle name="Normal 21 9 5 2" xfId="29954" xr:uid="{00000000-0005-0000-0000-000034780000}"/>
    <cellStyle name="Normal 21 9 5 3" xfId="29955" xr:uid="{00000000-0005-0000-0000-000035780000}"/>
    <cellStyle name="Normal 21 9 5 4" xfId="29956" xr:uid="{00000000-0005-0000-0000-000036780000}"/>
    <cellStyle name="Normal 21 9 5 5" xfId="29957" xr:uid="{00000000-0005-0000-0000-000037780000}"/>
    <cellStyle name="Normal 21 9 5 6" xfId="29958" xr:uid="{00000000-0005-0000-0000-000038780000}"/>
    <cellStyle name="Normal 21 9 6" xfId="29959" xr:uid="{00000000-0005-0000-0000-000039780000}"/>
    <cellStyle name="Normal 21 9 6 2" xfId="29960" xr:uid="{00000000-0005-0000-0000-00003A780000}"/>
    <cellStyle name="Normal 21 9 6 3" xfId="29961" xr:uid="{00000000-0005-0000-0000-00003B780000}"/>
    <cellStyle name="Normal 21 9 6 4" xfId="29962" xr:uid="{00000000-0005-0000-0000-00003C780000}"/>
    <cellStyle name="Normal 21 9 6 5" xfId="29963" xr:uid="{00000000-0005-0000-0000-00003D780000}"/>
    <cellStyle name="Normal 21 9 6 6" xfId="29964" xr:uid="{00000000-0005-0000-0000-00003E780000}"/>
    <cellStyle name="Normal 21 9 7" xfId="29965" xr:uid="{00000000-0005-0000-0000-00003F780000}"/>
    <cellStyle name="Normal 21 9 7 2" xfId="29966" xr:uid="{00000000-0005-0000-0000-000040780000}"/>
    <cellStyle name="Normal 21 9 7 3" xfId="29967" xr:uid="{00000000-0005-0000-0000-000041780000}"/>
    <cellStyle name="Normal 21 9 7 4" xfId="29968" xr:uid="{00000000-0005-0000-0000-000042780000}"/>
    <cellStyle name="Normal 21 9 7 5" xfId="29969" xr:uid="{00000000-0005-0000-0000-000043780000}"/>
    <cellStyle name="Normal 21 9 7 6" xfId="29970" xr:uid="{00000000-0005-0000-0000-000044780000}"/>
    <cellStyle name="Normal 21 9 8" xfId="29971" xr:uid="{00000000-0005-0000-0000-000045780000}"/>
    <cellStyle name="Normal 21 9 8 2" xfId="29972" xr:uid="{00000000-0005-0000-0000-000046780000}"/>
    <cellStyle name="Normal 21 9 8 3" xfId="29973" xr:uid="{00000000-0005-0000-0000-000047780000}"/>
    <cellStyle name="Normal 21 9 8 4" xfId="29974" xr:uid="{00000000-0005-0000-0000-000048780000}"/>
    <cellStyle name="Normal 21 9 8 5" xfId="29975" xr:uid="{00000000-0005-0000-0000-000049780000}"/>
    <cellStyle name="Normal 21 9 8 6" xfId="29976" xr:uid="{00000000-0005-0000-0000-00004A780000}"/>
    <cellStyle name="Normal 21 9 9" xfId="29977" xr:uid="{00000000-0005-0000-0000-00004B780000}"/>
    <cellStyle name="Normal 22" xfId="1079" xr:uid="{00000000-0005-0000-0000-00004C780000}"/>
    <cellStyle name="Normal 22 10" xfId="29978" xr:uid="{00000000-0005-0000-0000-00004D780000}"/>
    <cellStyle name="Normal 22 11" xfId="29979" xr:uid="{00000000-0005-0000-0000-00004E780000}"/>
    <cellStyle name="Normal 22 12" xfId="29980" xr:uid="{00000000-0005-0000-0000-00004F780000}"/>
    <cellStyle name="Normal 22 13" xfId="29981" xr:uid="{00000000-0005-0000-0000-000050780000}"/>
    <cellStyle name="Normal 22 14" xfId="29982" xr:uid="{00000000-0005-0000-0000-000051780000}"/>
    <cellStyle name="Normal 22 15" xfId="29983" xr:uid="{00000000-0005-0000-0000-000052780000}"/>
    <cellStyle name="Normal 22 16" xfId="29984" xr:uid="{00000000-0005-0000-0000-000053780000}"/>
    <cellStyle name="Normal 22 17" xfId="29985" xr:uid="{00000000-0005-0000-0000-000054780000}"/>
    <cellStyle name="Normal 22 18" xfId="29986" xr:uid="{00000000-0005-0000-0000-000055780000}"/>
    <cellStyle name="Normal 22 19" xfId="29987" xr:uid="{00000000-0005-0000-0000-000056780000}"/>
    <cellStyle name="Normal 22 2" xfId="29988" xr:uid="{00000000-0005-0000-0000-000057780000}"/>
    <cellStyle name="Normal 22 20" xfId="29989" xr:uid="{00000000-0005-0000-0000-000058780000}"/>
    <cellStyle name="Normal 22 21" xfId="29990" xr:uid="{00000000-0005-0000-0000-000059780000}"/>
    <cellStyle name="Normal 22 22" xfId="29991" xr:uid="{00000000-0005-0000-0000-00005A780000}"/>
    <cellStyle name="Normal 22 23" xfId="29992" xr:uid="{00000000-0005-0000-0000-00005B780000}"/>
    <cellStyle name="Normal 22 24" xfId="29993" xr:uid="{00000000-0005-0000-0000-00005C780000}"/>
    <cellStyle name="Normal 22 25" xfId="29994" xr:uid="{00000000-0005-0000-0000-00005D780000}"/>
    <cellStyle name="Normal 22 26" xfId="29995" xr:uid="{00000000-0005-0000-0000-00005E780000}"/>
    <cellStyle name="Normal 22 27" xfId="29996" xr:uid="{00000000-0005-0000-0000-00005F780000}"/>
    <cellStyle name="Normal 22 28" xfId="29997" xr:uid="{00000000-0005-0000-0000-000060780000}"/>
    <cellStyle name="Normal 22 29" xfId="29998" xr:uid="{00000000-0005-0000-0000-000061780000}"/>
    <cellStyle name="Normal 22 3" xfId="29999" xr:uid="{00000000-0005-0000-0000-000062780000}"/>
    <cellStyle name="Normal 22 30" xfId="30000" xr:uid="{00000000-0005-0000-0000-000063780000}"/>
    <cellStyle name="Normal 22 31" xfId="30001" xr:uid="{00000000-0005-0000-0000-000064780000}"/>
    <cellStyle name="Normal 22 32" xfId="30002" xr:uid="{00000000-0005-0000-0000-000065780000}"/>
    <cellStyle name="Normal 22 33" xfId="30003" xr:uid="{00000000-0005-0000-0000-000066780000}"/>
    <cellStyle name="Normal 22 34" xfId="30004" xr:uid="{00000000-0005-0000-0000-000067780000}"/>
    <cellStyle name="Normal 22 35" xfId="30005" xr:uid="{00000000-0005-0000-0000-000068780000}"/>
    <cellStyle name="Normal 22 36" xfId="30006" xr:uid="{00000000-0005-0000-0000-000069780000}"/>
    <cellStyle name="Normal 22 37" xfId="30007" xr:uid="{00000000-0005-0000-0000-00006A780000}"/>
    <cellStyle name="Normal 22 38" xfId="30008" xr:uid="{00000000-0005-0000-0000-00006B780000}"/>
    <cellStyle name="Normal 22 39" xfId="30009" xr:uid="{00000000-0005-0000-0000-00006C780000}"/>
    <cellStyle name="Normal 22 4" xfId="30010" xr:uid="{00000000-0005-0000-0000-00006D780000}"/>
    <cellStyle name="Normal 22 40" xfId="30011" xr:uid="{00000000-0005-0000-0000-00006E780000}"/>
    <cellStyle name="Normal 22 41" xfId="30012" xr:uid="{00000000-0005-0000-0000-00006F780000}"/>
    <cellStyle name="Normal 22 42" xfId="30013" xr:uid="{00000000-0005-0000-0000-000070780000}"/>
    <cellStyle name="Normal 22 43" xfId="30014" xr:uid="{00000000-0005-0000-0000-000071780000}"/>
    <cellStyle name="Normal 22 5" xfId="30015" xr:uid="{00000000-0005-0000-0000-000072780000}"/>
    <cellStyle name="Normal 22 6" xfId="30016" xr:uid="{00000000-0005-0000-0000-000073780000}"/>
    <cellStyle name="Normal 22 7" xfId="30017" xr:uid="{00000000-0005-0000-0000-000074780000}"/>
    <cellStyle name="Normal 22 8" xfId="30018" xr:uid="{00000000-0005-0000-0000-000075780000}"/>
    <cellStyle name="Normal 22 9" xfId="30019" xr:uid="{00000000-0005-0000-0000-000076780000}"/>
    <cellStyle name="Normal 23" xfId="1080" xr:uid="{00000000-0005-0000-0000-000077780000}"/>
    <cellStyle name="Normal 23 10" xfId="30020" xr:uid="{00000000-0005-0000-0000-000078780000}"/>
    <cellStyle name="Normal 23 11" xfId="30021" xr:uid="{00000000-0005-0000-0000-000079780000}"/>
    <cellStyle name="Normal 23 12" xfId="30022" xr:uid="{00000000-0005-0000-0000-00007A780000}"/>
    <cellStyle name="Normal 23 13" xfId="30023" xr:uid="{00000000-0005-0000-0000-00007B780000}"/>
    <cellStyle name="Normal 23 14" xfId="30024" xr:uid="{00000000-0005-0000-0000-00007C780000}"/>
    <cellStyle name="Normal 23 15" xfId="30025" xr:uid="{00000000-0005-0000-0000-00007D780000}"/>
    <cellStyle name="Normal 23 16" xfId="30026" xr:uid="{00000000-0005-0000-0000-00007E780000}"/>
    <cellStyle name="Normal 23 17" xfId="30027" xr:uid="{00000000-0005-0000-0000-00007F780000}"/>
    <cellStyle name="Normal 23 18" xfId="30028" xr:uid="{00000000-0005-0000-0000-000080780000}"/>
    <cellStyle name="Normal 23 19" xfId="30029" xr:uid="{00000000-0005-0000-0000-000081780000}"/>
    <cellStyle name="Normal 23 2" xfId="30030" xr:uid="{00000000-0005-0000-0000-000082780000}"/>
    <cellStyle name="Normal 23 20" xfId="30031" xr:uid="{00000000-0005-0000-0000-000083780000}"/>
    <cellStyle name="Normal 23 21" xfId="30032" xr:uid="{00000000-0005-0000-0000-000084780000}"/>
    <cellStyle name="Normal 23 22" xfId="30033" xr:uid="{00000000-0005-0000-0000-000085780000}"/>
    <cellStyle name="Normal 23 23" xfId="30034" xr:uid="{00000000-0005-0000-0000-000086780000}"/>
    <cellStyle name="Normal 23 24" xfId="30035" xr:uid="{00000000-0005-0000-0000-000087780000}"/>
    <cellStyle name="Normal 23 25" xfId="30036" xr:uid="{00000000-0005-0000-0000-000088780000}"/>
    <cellStyle name="Normal 23 26" xfId="30037" xr:uid="{00000000-0005-0000-0000-000089780000}"/>
    <cellStyle name="Normal 23 27" xfId="30038" xr:uid="{00000000-0005-0000-0000-00008A780000}"/>
    <cellStyle name="Normal 23 28" xfId="30039" xr:uid="{00000000-0005-0000-0000-00008B780000}"/>
    <cellStyle name="Normal 23 29" xfId="30040" xr:uid="{00000000-0005-0000-0000-00008C780000}"/>
    <cellStyle name="Normal 23 3" xfId="30041" xr:uid="{00000000-0005-0000-0000-00008D780000}"/>
    <cellStyle name="Normal 23 30" xfId="30042" xr:uid="{00000000-0005-0000-0000-00008E780000}"/>
    <cellStyle name="Normal 23 31" xfId="30043" xr:uid="{00000000-0005-0000-0000-00008F780000}"/>
    <cellStyle name="Normal 23 32" xfId="30044" xr:uid="{00000000-0005-0000-0000-000090780000}"/>
    <cellStyle name="Normal 23 33" xfId="30045" xr:uid="{00000000-0005-0000-0000-000091780000}"/>
    <cellStyle name="Normal 23 34" xfId="30046" xr:uid="{00000000-0005-0000-0000-000092780000}"/>
    <cellStyle name="Normal 23 35" xfId="30047" xr:uid="{00000000-0005-0000-0000-000093780000}"/>
    <cellStyle name="Normal 23 36" xfId="30048" xr:uid="{00000000-0005-0000-0000-000094780000}"/>
    <cellStyle name="Normal 23 37" xfId="30049" xr:uid="{00000000-0005-0000-0000-000095780000}"/>
    <cellStyle name="Normal 23 38" xfId="30050" xr:uid="{00000000-0005-0000-0000-000096780000}"/>
    <cellStyle name="Normal 23 39" xfId="30051" xr:uid="{00000000-0005-0000-0000-000097780000}"/>
    <cellStyle name="Normal 23 4" xfId="30052" xr:uid="{00000000-0005-0000-0000-000098780000}"/>
    <cellStyle name="Normal 23 40" xfId="30053" xr:uid="{00000000-0005-0000-0000-000099780000}"/>
    <cellStyle name="Normal 23 41" xfId="30054" xr:uid="{00000000-0005-0000-0000-00009A780000}"/>
    <cellStyle name="Normal 23 42" xfId="30055" xr:uid="{00000000-0005-0000-0000-00009B780000}"/>
    <cellStyle name="Normal 23 43" xfId="30056" xr:uid="{00000000-0005-0000-0000-00009C780000}"/>
    <cellStyle name="Normal 23 5" xfId="30057" xr:uid="{00000000-0005-0000-0000-00009D780000}"/>
    <cellStyle name="Normal 23 6" xfId="30058" xr:uid="{00000000-0005-0000-0000-00009E780000}"/>
    <cellStyle name="Normal 23 7" xfId="30059" xr:uid="{00000000-0005-0000-0000-00009F780000}"/>
    <cellStyle name="Normal 23 8" xfId="30060" xr:uid="{00000000-0005-0000-0000-0000A0780000}"/>
    <cellStyle name="Normal 23 9" xfId="30061" xr:uid="{00000000-0005-0000-0000-0000A1780000}"/>
    <cellStyle name="Normal 24" xfId="1081" xr:uid="{00000000-0005-0000-0000-0000A2780000}"/>
    <cellStyle name="Normal 24 10" xfId="30062" xr:uid="{00000000-0005-0000-0000-0000A3780000}"/>
    <cellStyle name="Normal 24 11" xfId="30063" xr:uid="{00000000-0005-0000-0000-0000A4780000}"/>
    <cellStyle name="Normal 24 12" xfId="30064" xr:uid="{00000000-0005-0000-0000-0000A5780000}"/>
    <cellStyle name="Normal 24 13" xfId="30065" xr:uid="{00000000-0005-0000-0000-0000A6780000}"/>
    <cellStyle name="Normal 24 14" xfId="30066" xr:uid="{00000000-0005-0000-0000-0000A7780000}"/>
    <cellStyle name="Normal 24 15" xfId="30067" xr:uid="{00000000-0005-0000-0000-0000A8780000}"/>
    <cellStyle name="Normal 24 16" xfId="30068" xr:uid="{00000000-0005-0000-0000-0000A9780000}"/>
    <cellStyle name="Normal 24 17" xfId="30069" xr:uid="{00000000-0005-0000-0000-0000AA780000}"/>
    <cellStyle name="Normal 24 18" xfId="30070" xr:uid="{00000000-0005-0000-0000-0000AB780000}"/>
    <cellStyle name="Normal 24 19" xfId="30071" xr:uid="{00000000-0005-0000-0000-0000AC780000}"/>
    <cellStyle name="Normal 24 2" xfId="30072" xr:uid="{00000000-0005-0000-0000-0000AD780000}"/>
    <cellStyle name="Normal 24 20" xfId="30073" xr:uid="{00000000-0005-0000-0000-0000AE780000}"/>
    <cellStyle name="Normal 24 21" xfId="30074" xr:uid="{00000000-0005-0000-0000-0000AF780000}"/>
    <cellStyle name="Normal 24 22" xfId="30075" xr:uid="{00000000-0005-0000-0000-0000B0780000}"/>
    <cellStyle name="Normal 24 23" xfId="30076" xr:uid="{00000000-0005-0000-0000-0000B1780000}"/>
    <cellStyle name="Normal 24 24" xfId="30077" xr:uid="{00000000-0005-0000-0000-0000B2780000}"/>
    <cellStyle name="Normal 24 25" xfId="30078" xr:uid="{00000000-0005-0000-0000-0000B3780000}"/>
    <cellStyle name="Normal 24 26" xfId="30079" xr:uid="{00000000-0005-0000-0000-0000B4780000}"/>
    <cellStyle name="Normal 24 27" xfId="30080" xr:uid="{00000000-0005-0000-0000-0000B5780000}"/>
    <cellStyle name="Normal 24 28" xfId="30081" xr:uid="{00000000-0005-0000-0000-0000B6780000}"/>
    <cellStyle name="Normal 24 29" xfId="30082" xr:uid="{00000000-0005-0000-0000-0000B7780000}"/>
    <cellStyle name="Normal 24 3" xfId="30083" xr:uid="{00000000-0005-0000-0000-0000B8780000}"/>
    <cellStyle name="Normal 24 30" xfId="30084" xr:uid="{00000000-0005-0000-0000-0000B9780000}"/>
    <cellStyle name="Normal 24 31" xfId="30085" xr:uid="{00000000-0005-0000-0000-0000BA780000}"/>
    <cellStyle name="Normal 24 32" xfId="30086" xr:uid="{00000000-0005-0000-0000-0000BB780000}"/>
    <cellStyle name="Normal 24 33" xfId="30087" xr:uid="{00000000-0005-0000-0000-0000BC780000}"/>
    <cellStyle name="Normal 24 34" xfId="30088" xr:uid="{00000000-0005-0000-0000-0000BD780000}"/>
    <cellStyle name="Normal 24 35" xfId="30089" xr:uid="{00000000-0005-0000-0000-0000BE780000}"/>
    <cellStyle name="Normal 24 36" xfId="30090" xr:uid="{00000000-0005-0000-0000-0000BF780000}"/>
    <cellStyle name="Normal 24 37" xfId="30091" xr:uid="{00000000-0005-0000-0000-0000C0780000}"/>
    <cellStyle name="Normal 24 38" xfId="30092" xr:uid="{00000000-0005-0000-0000-0000C1780000}"/>
    <cellStyle name="Normal 24 39" xfId="30093" xr:uid="{00000000-0005-0000-0000-0000C2780000}"/>
    <cellStyle name="Normal 24 4" xfId="30094" xr:uid="{00000000-0005-0000-0000-0000C3780000}"/>
    <cellStyle name="Normal 24 40" xfId="30095" xr:uid="{00000000-0005-0000-0000-0000C4780000}"/>
    <cellStyle name="Normal 24 41" xfId="30096" xr:uid="{00000000-0005-0000-0000-0000C5780000}"/>
    <cellStyle name="Normal 24 42" xfId="30097" xr:uid="{00000000-0005-0000-0000-0000C6780000}"/>
    <cellStyle name="Normal 24 43" xfId="30098" xr:uid="{00000000-0005-0000-0000-0000C7780000}"/>
    <cellStyle name="Normal 24 5" xfId="30099" xr:uid="{00000000-0005-0000-0000-0000C8780000}"/>
    <cellStyle name="Normal 24 6" xfId="30100" xr:uid="{00000000-0005-0000-0000-0000C9780000}"/>
    <cellStyle name="Normal 24 7" xfId="30101" xr:uid="{00000000-0005-0000-0000-0000CA780000}"/>
    <cellStyle name="Normal 24 8" xfId="30102" xr:uid="{00000000-0005-0000-0000-0000CB780000}"/>
    <cellStyle name="Normal 24 9" xfId="30103" xr:uid="{00000000-0005-0000-0000-0000CC780000}"/>
    <cellStyle name="Normal 25" xfId="1082" xr:uid="{00000000-0005-0000-0000-0000CD780000}"/>
    <cellStyle name="Normal 25 10" xfId="30104" xr:uid="{00000000-0005-0000-0000-0000CE780000}"/>
    <cellStyle name="Normal 25 11" xfId="30105" xr:uid="{00000000-0005-0000-0000-0000CF780000}"/>
    <cellStyle name="Normal 25 12" xfId="30106" xr:uid="{00000000-0005-0000-0000-0000D0780000}"/>
    <cellStyle name="Normal 25 13" xfId="30107" xr:uid="{00000000-0005-0000-0000-0000D1780000}"/>
    <cellStyle name="Normal 25 14" xfId="30108" xr:uid="{00000000-0005-0000-0000-0000D2780000}"/>
    <cellStyle name="Normal 25 15" xfId="30109" xr:uid="{00000000-0005-0000-0000-0000D3780000}"/>
    <cellStyle name="Normal 25 16" xfId="30110" xr:uid="{00000000-0005-0000-0000-0000D4780000}"/>
    <cellStyle name="Normal 25 17" xfId="30111" xr:uid="{00000000-0005-0000-0000-0000D5780000}"/>
    <cellStyle name="Normal 25 18" xfId="30112" xr:uid="{00000000-0005-0000-0000-0000D6780000}"/>
    <cellStyle name="Normal 25 19" xfId="30113" xr:uid="{00000000-0005-0000-0000-0000D7780000}"/>
    <cellStyle name="Normal 25 2" xfId="30114" xr:uid="{00000000-0005-0000-0000-0000D8780000}"/>
    <cellStyle name="Normal 25 20" xfId="30115" xr:uid="{00000000-0005-0000-0000-0000D9780000}"/>
    <cellStyle name="Normal 25 21" xfId="30116" xr:uid="{00000000-0005-0000-0000-0000DA780000}"/>
    <cellStyle name="Normal 25 22" xfId="30117" xr:uid="{00000000-0005-0000-0000-0000DB780000}"/>
    <cellStyle name="Normal 25 23" xfId="30118" xr:uid="{00000000-0005-0000-0000-0000DC780000}"/>
    <cellStyle name="Normal 25 24" xfId="30119" xr:uid="{00000000-0005-0000-0000-0000DD780000}"/>
    <cellStyle name="Normal 25 25" xfId="30120" xr:uid="{00000000-0005-0000-0000-0000DE780000}"/>
    <cellStyle name="Normal 25 26" xfId="30121" xr:uid="{00000000-0005-0000-0000-0000DF780000}"/>
    <cellStyle name="Normal 25 27" xfId="30122" xr:uid="{00000000-0005-0000-0000-0000E0780000}"/>
    <cellStyle name="Normal 25 28" xfId="30123" xr:uid="{00000000-0005-0000-0000-0000E1780000}"/>
    <cellStyle name="Normal 25 29" xfId="30124" xr:uid="{00000000-0005-0000-0000-0000E2780000}"/>
    <cellStyle name="Normal 25 3" xfId="30125" xr:uid="{00000000-0005-0000-0000-0000E3780000}"/>
    <cellStyle name="Normal 25 30" xfId="30126" xr:uid="{00000000-0005-0000-0000-0000E4780000}"/>
    <cellStyle name="Normal 25 31" xfId="30127" xr:uid="{00000000-0005-0000-0000-0000E5780000}"/>
    <cellStyle name="Normal 25 32" xfId="30128" xr:uid="{00000000-0005-0000-0000-0000E6780000}"/>
    <cellStyle name="Normal 25 33" xfId="30129" xr:uid="{00000000-0005-0000-0000-0000E7780000}"/>
    <cellStyle name="Normal 25 34" xfId="30130" xr:uid="{00000000-0005-0000-0000-0000E8780000}"/>
    <cellStyle name="Normal 25 35" xfId="30131" xr:uid="{00000000-0005-0000-0000-0000E9780000}"/>
    <cellStyle name="Normal 25 36" xfId="30132" xr:uid="{00000000-0005-0000-0000-0000EA780000}"/>
    <cellStyle name="Normal 25 37" xfId="30133" xr:uid="{00000000-0005-0000-0000-0000EB780000}"/>
    <cellStyle name="Normal 25 38" xfId="30134" xr:uid="{00000000-0005-0000-0000-0000EC780000}"/>
    <cellStyle name="Normal 25 39" xfId="30135" xr:uid="{00000000-0005-0000-0000-0000ED780000}"/>
    <cellStyle name="Normal 25 4" xfId="30136" xr:uid="{00000000-0005-0000-0000-0000EE780000}"/>
    <cellStyle name="Normal 25 40" xfId="30137" xr:uid="{00000000-0005-0000-0000-0000EF780000}"/>
    <cellStyle name="Normal 25 41" xfId="30138" xr:uid="{00000000-0005-0000-0000-0000F0780000}"/>
    <cellStyle name="Normal 25 42" xfId="30139" xr:uid="{00000000-0005-0000-0000-0000F1780000}"/>
    <cellStyle name="Normal 25 43" xfId="30140" xr:uid="{00000000-0005-0000-0000-0000F2780000}"/>
    <cellStyle name="Normal 25 5" xfId="30141" xr:uid="{00000000-0005-0000-0000-0000F3780000}"/>
    <cellStyle name="Normal 25 6" xfId="30142" xr:uid="{00000000-0005-0000-0000-0000F4780000}"/>
    <cellStyle name="Normal 25 7" xfId="30143" xr:uid="{00000000-0005-0000-0000-0000F5780000}"/>
    <cellStyle name="Normal 25 8" xfId="30144" xr:uid="{00000000-0005-0000-0000-0000F6780000}"/>
    <cellStyle name="Normal 25 9" xfId="30145" xr:uid="{00000000-0005-0000-0000-0000F7780000}"/>
    <cellStyle name="Normal 26" xfId="1486" xr:uid="{00000000-0005-0000-0000-0000F8780000}"/>
    <cellStyle name="Normal 26 10" xfId="30146" xr:uid="{00000000-0005-0000-0000-0000F9780000}"/>
    <cellStyle name="Normal 26 10 10" xfId="30147" xr:uid="{00000000-0005-0000-0000-0000FA780000}"/>
    <cellStyle name="Normal 26 10 11" xfId="30148" xr:uid="{00000000-0005-0000-0000-0000FB780000}"/>
    <cellStyle name="Normal 26 10 12" xfId="30149" xr:uid="{00000000-0005-0000-0000-0000FC780000}"/>
    <cellStyle name="Normal 26 10 13" xfId="30150" xr:uid="{00000000-0005-0000-0000-0000FD780000}"/>
    <cellStyle name="Normal 26 10 2" xfId="30151" xr:uid="{00000000-0005-0000-0000-0000FE780000}"/>
    <cellStyle name="Normal 26 10 2 2" xfId="30152" xr:uid="{00000000-0005-0000-0000-0000FF780000}"/>
    <cellStyle name="Normal 26 10 2 3" xfId="30153" xr:uid="{00000000-0005-0000-0000-000000790000}"/>
    <cellStyle name="Normal 26 10 2 4" xfId="30154" xr:uid="{00000000-0005-0000-0000-000001790000}"/>
    <cellStyle name="Normal 26 10 2 5" xfId="30155" xr:uid="{00000000-0005-0000-0000-000002790000}"/>
    <cellStyle name="Normal 26 10 2 6" xfId="30156" xr:uid="{00000000-0005-0000-0000-000003790000}"/>
    <cellStyle name="Normal 26 10 3" xfId="30157" xr:uid="{00000000-0005-0000-0000-000004790000}"/>
    <cellStyle name="Normal 26 10 3 2" xfId="30158" xr:uid="{00000000-0005-0000-0000-000005790000}"/>
    <cellStyle name="Normal 26 10 3 3" xfId="30159" xr:uid="{00000000-0005-0000-0000-000006790000}"/>
    <cellStyle name="Normal 26 10 3 4" xfId="30160" xr:uid="{00000000-0005-0000-0000-000007790000}"/>
    <cellStyle name="Normal 26 10 3 5" xfId="30161" xr:uid="{00000000-0005-0000-0000-000008790000}"/>
    <cellStyle name="Normal 26 10 3 6" xfId="30162" xr:uid="{00000000-0005-0000-0000-000009790000}"/>
    <cellStyle name="Normal 26 10 4" xfId="30163" xr:uid="{00000000-0005-0000-0000-00000A790000}"/>
    <cellStyle name="Normal 26 10 4 2" xfId="30164" xr:uid="{00000000-0005-0000-0000-00000B790000}"/>
    <cellStyle name="Normal 26 10 4 3" xfId="30165" xr:uid="{00000000-0005-0000-0000-00000C790000}"/>
    <cellStyle name="Normal 26 10 4 4" xfId="30166" xr:uid="{00000000-0005-0000-0000-00000D790000}"/>
    <cellStyle name="Normal 26 10 4 5" xfId="30167" xr:uid="{00000000-0005-0000-0000-00000E790000}"/>
    <cellStyle name="Normal 26 10 4 6" xfId="30168" xr:uid="{00000000-0005-0000-0000-00000F790000}"/>
    <cellStyle name="Normal 26 10 5" xfId="30169" xr:uid="{00000000-0005-0000-0000-000010790000}"/>
    <cellStyle name="Normal 26 10 5 2" xfId="30170" xr:uid="{00000000-0005-0000-0000-000011790000}"/>
    <cellStyle name="Normal 26 10 5 3" xfId="30171" xr:uid="{00000000-0005-0000-0000-000012790000}"/>
    <cellStyle name="Normal 26 10 5 4" xfId="30172" xr:uid="{00000000-0005-0000-0000-000013790000}"/>
    <cellStyle name="Normal 26 10 5 5" xfId="30173" xr:uid="{00000000-0005-0000-0000-000014790000}"/>
    <cellStyle name="Normal 26 10 5 6" xfId="30174" xr:uid="{00000000-0005-0000-0000-000015790000}"/>
    <cellStyle name="Normal 26 10 6" xfId="30175" xr:uid="{00000000-0005-0000-0000-000016790000}"/>
    <cellStyle name="Normal 26 10 6 2" xfId="30176" xr:uid="{00000000-0005-0000-0000-000017790000}"/>
    <cellStyle name="Normal 26 10 6 3" xfId="30177" xr:uid="{00000000-0005-0000-0000-000018790000}"/>
    <cellStyle name="Normal 26 10 6 4" xfId="30178" xr:uid="{00000000-0005-0000-0000-000019790000}"/>
    <cellStyle name="Normal 26 10 6 5" xfId="30179" xr:uid="{00000000-0005-0000-0000-00001A790000}"/>
    <cellStyle name="Normal 26 10 6 6" xfId="30180" xr:uid="{00000000-0005-0000-0000-00001B790000}"/>
    <cellStyle name="Normal 26 10 7" xfId="30181" xr:uid="{00000000-0005-0000-0000-00001C790000}"/>
    <cellStyle name="Normal 26 10 7 2" xfId="30182" xr:uid="{00000000-0005-0000-0000-00001D790000}"/>
    <cellStyle name="Normal 26 10 7 3" xfId="30183" xr:uid="{00000000-0005-0000-0000-00001E790000}"/>
    <cellStyle name="Normal 26 10 7 4" xfId="30184" xr:uid="{00000000-0005-0000-0000-00001F790000}"/>
    <cellStyle name="Normal 26 10 7 5" xfId="30185" xr:uid="{00000000-0005-0000-0000-000020790000}"/>
    <cellStyle name="Normal 26 10 7 6" xfId="30186" xr:uid="{00000000-0005-0000-0000-000021790000}"/>
    <cellStyle name="Normal 26 10 8" xfId="30187" xr:uid="{00000000-0005-0000-0000-000022790000}"/>
    <cellStyle name="Normal 26 10 8 2" xfId="30188" xr:uid="{00000000-0005-0000-0000-000023790000}"/>
    <cellStyle name="Normal 26 10 8 3" xfId="30189" xr:uid="{00000000-0005-0000-0000-000024790000}"/>
    <cellStyle name="Normal 26 10 8 4" xfId="30190" xr:uid="{00000000-0005-0000-0000-000025790000}"/>
    <cellStyle name="Normal 26 10 8 5" xfId="30191" xr:uid="{00000000-0005-0000-0000-000026790000}"/>
    <cellStyle name="Normal 26 10 8 6" xfId="30192" xr:uid="{00000000-0005-0000-0000-000027790000}"/>
    <cellStyle name="Normal 26 10 9" xfId="30193" xr:uid="{00000000-0005-0000-0000-000028790000}"/>
    <cellStyle name="Normal 26 11" xfId="30194" xr:uid="{00000000-0005-0000-0000-000029790000}"/>
    <cellStyle name="Normal 26 11 10" xfId="30195" xr:uid="{00000000-0005-0000-0000-00002A790000}"/>
    <cellStyle name="Normal 26 11 11" xfId="30196" xr:uid="{00000000-0005-0000-0000-00002B790000}"/>
    <cellStyle name="Normal 26 11 12" xfId="30197" xr:uid="{00000000-0005-0000-0000-00002C790000}"/>
    <cellStyle name="Normal 26 11 13" xfId="30198" xr:uid="{00000000-0005-0000-0000-00002D790000}"/>
    <cellStyle name="Normal 26 11 2" xfId="30199" xr:uid="{00000000-0005-0000-0000-00002E790000}"/>
    <cellStyle name="Normal 26 11 2 2" xfId="30200" xr:uid="{00000000-0005-0000-0000-00002F790000}"/>
    <cellStyle name="Normal 26 11 2 3" xfId="30201" xr:uid="{00000000-0005-0000-0000-000030790000}"/>
    <cellStyle name="Normal 26 11 2 4" xfId="30202" xr:uid="{00000000-0005-0000-0000-000031790000}"/>
    <cellStyle name="Normal 26 11 2 5" xfId="30203" xr:uid="{00000000-0005-0000-0000-000032790000}"/>
    <cellStyle name="Normal 26 11 2 6" xfId="30204" xr:uid="{00000000-0005-0000-0000-000033790000}"/>
    <cellStyle name="Normal 26 11 3" xfId="30205" xr:uid="{00000000-0005-0000-0000-000034790000}"/>
    <cellStyle name="Normal 26 11 3 2" xfId="30206" xr:uid="{00000000-0005-0000-0000-000035790000}"/>
    <cellStyle name="Normal 26 11 3 3" xfId="30207" xr:uid="{00000000-0005-0000-0000-000036790000}"/>
    <cellStyle name="Normal 26 11 3 4" xfId="30208" xr:uid="{00000000-0005-0000-0000-000037790000}"/>
    <cellStyle name="Normal 26 11 3 5" xfId="30209" xr:uid="{00000000-0005-0000-0000-000038790000}"/>
    <cellStyle name="Normal 26 11 3 6" xfId="30210" xr:uid="{00000000-0005-0000-0000-000039790000}"/>
    <cellStyle name="Normal 26 11 4" xfId="30211" xr:uid="{00000000-0005-0000-0000-00003A790000}"/>
    <cellStyle name="Normal 26 11 4 2" xfId="30212" xr:uid="{00000000-0005-0000-0000-00003B790000}"/>
    <cellStyle name="Normal 26 11 4 3" xfId="30213" xr:uid="{00000000-0005-0000-0000-00003C790000}"/>
    <cellStyle name="Normal 26 11 4 4" xfId="30214" xr:uid="{00000000-0005-0000-0000-00003D790000}"/>
    <cellStyle name="Normal 26 11 4 5" xfId="30215" xr:uid="{00000000-0005-0000-0000-00003E790000}"/>
    <cellStyle name="Normal 26 11 4 6" xfId="30216" xr:uid="{00000000-0005-0000-0000-00003F790000}"/>
    <cellStyle name="Normal 26 11 5" xfId="30217" xr:uid="{00000000-0005-0000-0000-000040790000}"/>
    <cellStyle name="Normal 26 11 5 2" xfId="30218" xr:uid="{00000000-0005-0000-0000-000041790000}"/>
    <cellStyle name="Normal 26 11 5 3" xfId="30219" xr:uid="{00000000-0005-0000-0000-000042790000}"/>
    <cellStyle name="Normal 26 11 5 4" xfId="30220" xr:uid="{00000000-0005-0000-0000-000043790000}"/>
    <cellStyle name="Normal 26 11 5 5" xfId="30221" xr:uid="{00000000-0005-0000-0000-000044790000}"/>
    <cellStyle name="Normal 26 11 5 6" xfId="30222" xr:uid="{00000000-0005-0000-0000-000045790000}"/>
    <cellStyle name="Normal 26 11 6" xfId="30223" xr:uid="{00000000-0005-0000-0000-000046790000}"/>
    <cellStyle name="Normal 26 11 6 2" xfId="30224" xr:uid="{00000000-0005-0000-0000-000047790000}"/>
    <cellStyle name="Normal 26 11 6 3" xfId="30225" xr:uid="{00000000-0005-0000-0000-000048790000}"/>
    <cellStyle name="Normal 26 11 6 4" xfId="30226" xr:uid="{00000000-0005-0000-0000-000049790000}"/>
    <cellStyle name="Normal 26 11 6 5" xfId="30227" xr:uid="{00000000-0005-0000-0000-00004A790000}"/>
    <cellStyle name="Normal 26 11 6 6" xfId="30228" xr:uid="{00000000-0005-0000-0000-00004B790000}"/>
    <cellStyle name="Normal 26 11 7" xfId="30229" xr:uid="{00000000-0005-0000-0000-00004C790000}"/>
    <cellStyle name="Normal 26 11 7 2" xfId="30230" xr:uid="{00000000-0005-0000-0000-00004D790000}"/>
    <cellStyle name="Normal 26 11 7 3" xfId="30231" xr:uid="{00000000-0005-0000-0000-00004E790000}"/>
    <cellStyle name="Normal 26 11 7 4" xfId="30232" xr:uid="{00000000-0005-0000-0000-00004F790000}"/>
    <cellStyle name="Normal 26 11 7 5" xfId="30233" xr:uid="{00000000-0005-0000-0000-000050790000}"/>
    <cellStyle name="Normal 26 11 7 6" xfId="30234" xr:uid="{00000000-0005-0000-0000-000051790000}"/>
    <cellStyle name="Normal 26 11 8" xfId="30235" xr:uid="{00000000-0005-0000-0000-000052790000}"/>
    <cellStyle name="Normal 26 11 8 2" xfId="30236" xr:uid="{00000000-0005-0000-0000-000053790000}"/>
    <cellStyle name="Normal 26 11 8 3" xfId="30237" xr:uid="{00000000-0005-0000-0000-000054790000}"/>
    <cellStyle name="Normal 26 11 8 4" xfId="30238" xr:uid="{00000000-0005-0000-0000-000055790000}"/>
    <cellStyle name="Normal 26 11 8 5" xfId="30239" xr:uid="{00000000-0005-0000-0000-000056790000}"/>
    <cellStyle name="Normal 26 11 8 6" xfId="30240" xr:uid="{00000000-0005-0000-0000-000057790000}"/>
    <cellStyle name="Normal 26 11 9" xfId="30241" xr:uid="{00000000-0005-0000-0000-000058790000}"/>
    <cellStyle name="Normal 26 12" xfId="30242" xr:uid="{00000000-0005-0000-0000-000059790000}"/>
    <cellStyle name="Normal 26 12 10" xfId="30243" xr:uid="{00000000-0005-0000-0000-00005A790000}"/>
    <cellStyle name="Normal 26 12 11" xfId="30244" xr:uid="{00000000-0005-0000-0000-00005B790000}"/>
    <cellStyle name="Normal 26 12 12" xfId="30245" xr:uid="{00000000-0005-0000-0000-00005C790000}"/>
    <cellStyle name="Normal 26 12 13" xfId="30246" xr:uid="{00000000-0005-0000-0000-00005D790000}"/>
    <cellStyle name="Normal 26 12 2" xfId="30247" xr:uid="{00000000-0005-0000-0000-00005E790000}"/>
    <cellStyle name="Normal 26 12 2 2" xfId="30248" xr:uid="{00000000-0005-0000-0000-00005F790000}"/>
    <cellStyle name="Normal 26 12 2 3" xfId="30249" xr:uid="{00000000-0005-0000-0000-000060790000}"/>
    <cellStyle name="Normal 26 12 2 4" xfId="30250" xr:uid="{00000000-0005-0000-0000-000061790000}"/>
    <cellStyle name="Normal 26 12 2 5" xfId="30251" xr:uid="{00000000-0005-0000-0000-000062790000}"/>
    <cellStyle name="Normal 26 12 2 6" xfId="30252" xr:uid="{00000000-0005-0000-0000-000063790000}"/>
    <cellStyle name="Normal 26 12 3" xfId="30253" xr:uid="{00000000-0005-0000-0000-000064790000}"/>
    <cellStyle name="Normal 26 12 3 2" xfId="30254" xr:uid="{00000000-0005-0000-0000-000065790000}"/>
    <cellStyle name="Normal 26 12 3 3" xfId="30255" xr:uid="{00000000-0005-0000-0000-000066790000}"/>
    <cellStyle name="Normal 26 12 3 4" xfId="30256" xr:uid="{00000000-0005-0000-0000-000067790000}"/>
    <cellStyle name="Normal 26 12 3 5" xfId="30257" xr:uid="{00000000-0005-0000-0000-000068790000}"/>
    <cellStyle name="Normal 26 12 3 6" xfId="30258" xr:uid="{00000000-0005-0000-0000-000069790000}"/>
    <cellStyle name="Normal 26 12 4" xfId="30259" xr:uid="{00000000-0005-0000-0000-00006A790000}"/>
    <cellStyle name="Normal 26 12 4 2" xfId="30260" xr:uid="{00000000-0005-0000-0000-00006B790000}"/>
    <cellStyle name="Normal 26 12 4 3" xfId="30261" xr:uid="{00000000-0005-0000-0000-00006C790000}"/>
    <cellStyle name="Normal 26 12 4 4" xfId="30262" xr:uid="{00000000-0005-0000-0000-00006D790000}"/>
    <cellStyle name="Normal 26 12 4 5" xfId="30263" xr:uid="{00000000-0005-0000-0000-00006E790000}"/>
    <cellStyle name="Normal 26 12 4 6" xfId="30264" xr:uid="{00000000-0005-0000-0000-00006F790000}"/>
    <cellStyle name="Normal 26 12 5" xfId="30265" xr:uid="{00000000-0005-0000-0000-000070790000}"/>
    <cellStyle name="Normal 26 12 5 2" xfId="30266" xr:uid="{00000000-0005-0000-0000-000071790000}"/>
    <cellStyle name="Normal 26 12 5 3" xfId="30267" xr:uid="{00000000-0005-0000-0000-000072790000}"/>
    <cellStyle name="Normal 26 12 5 4" xfId="30268" xr:uid="{00000000-0005-0000-0000-000073790000}"/>
    <cellStyle name="Normal 26 12 5 5" xfId="30269" xr:uid="{00000000-0005-0000-0000-000074790000}"/>
    <cellStyle name="Normal 26 12 5 6" xfId="30270" xr:uid="{00000000-0005-0000-0000-000075790000}"/>
    <cellStyle name="Normal 26 12 6" xfId="30271" xr:uid="{00000000-0005-0000-0000-000076790000}"/>
    <cellStyle name="Normal 26 12 6 2" xfId="30272" xr:uid="{00000000-0005-0000-0000-000077790000}"/>
    <cellStyle name="Normal 26 12 6 3" xfId="30273" xr:uid="{00000000-0005-0000-0000-000078790000}"/>
    <cellStyle name="Normal 26 12 6 4" xfId="30274" xr:uid="{00000000-0005-0000-0000-000079790000}"/>
    <cellStyle name="Normal 26 12 6 5" xfId="30275" xr:uid="{00000000-0005-0000-0000-00007A790000}"/>
    <cellStyle name="Normal 26 12 6 6" xfId="30276" xr:uid="{00000000-0005-0000-0000-00007B790000}"/>
    <cellStyle name="Normal 26 12 7" xfId="30277" xr:uid="{00000000-0005-0000-0000-00007C790000}"/>
    <cellStyle name="Normal 26 12 7 2" xfId="30278" xr:uid="{00000000-0005-0000-0000-00007D790000}"/>
    <cellStyle name="Normal 26 12 7 3" xfId="30279" xr:uid="{00000000-0005-0000-0000-00007E790000}"/>
    <cellStyle name="Normal 26 12 7 4" xfId="30280" xr:uid="{00000000-0005-0000-0000-00007F790000}"/>
    <cellStyle name="Normal 26 12 7 5" xfId="30281" xr:uid="{00000000-0005-0000-0000-000080790000}"/>
    <cellStyle name="Normal 26 12 7 6" xfId="30282" xr:uid="{00000000-0005-0000-0000-000081790000}"/>
    <cellStyle name="Normal 26 12 8" xfId="30283" xr:uid="{00000000-0005-0000-0000-000082790000}"/>
    <cellStyle name="Normal 26 12 8 2" xfId="30284" xr:uid="{00000000-0005-0000-0000-000083790000}"/>
    <cellStyle name="Normal 26 12 8 3" xfId="30285" xr:uid="{00000000-0005-0000-0000-000084790000}"/>
    <cellStyle name="Normal 26 12 8 4" xfId="30286" xr:uid="{00000000-0005-0000-0000-000085790000}"/>
    <cellStyle name="Normal 26 12 8 5" xfId="30287" xr:uid="{00000000-0005-0000-0000-000086790000}"/>
    <cellStyle name="Normal 26 12 8 6" xfId="30288" xr:uid="{00000000-0005-0000-0000-000087790000}"/>
    <cellStyle name="Normal 26 12 9" xfId="30289" xr:uid="{00000000-0005-0000-0000-000088790000}"/>
    <cellStyle name="Normal 26 13" xfId="30290" xr:uid="{00000000-0005-0000-0000-000089790000}"/>
    <cellStyle name="Normal 26 13 10" xfId="30291" xr:uid="{00000000-0005-0000-0000-00008A790000}"/>
    <cellStyle name="Normal 26 13 11" xfId="30292" xr:uid="{00000000-0005-0000-0000-00008B790000}"/>
    <cellStyle name="Normal 26 13 12" xfId="30293" xr:uid="{00000000-0005-0000-0000-00008C790000}"/>
    <cellStyle name="Normal 26 13 13" xfId="30294" xr:uid="{00000000-0005-0000-0000-00008D790000}"/>
    <cellStyle name="Normal 26 13 2" xfId="30295" xr:uid="{00000000-0005-0000-0000-00008E790000}"/>
    <cellStyle name="Normal 26 13 2 2" xfId="30296" xr:uid="{00000000-0005-0000-0000-00008F790000}"/>
    <cellStyle name="Normal 26 13 2 3" xfId="30297" xr:uid="{00000000-0005-0000-0000-000090790000}"/>
    <cellStyle name="Normal 26 13 2 4" xfId="30298" xr:uid="{00000000-0005-0000-0000-000091790000}"/>
    <cellStyle name="Normal 26 13 2 5" xfId="30299" xr:uid="{00000000-0005-0000-0000-000092790000}"/>
    <cellStyle name="Normal 26 13 2 6" xfId="30300" xr:uid="{00000000-0005-0000-0000-000093790000}"/>
    <cellStyle name="Normal 26 13 3" xfId="30301" xr:uid="{00000000-0005-0000-0000-000094790000}"/>
    <cellStyle name="Normal 26 13 3 2" xfId="30302" xr:uid="{00000000-0005-0000-0000-000095790000}"/>
    <cellStyle name="Normal 26 13 3 3" xfId="30303" xr:uid="{00000000-0005-0000-0000-000096790000}"/>
    <cellStyle name="Normal 26 13 3 4" xfId="30304" xr:uid="{00000000-0005-0000-0000-000097790000}"/>
    <cellStyle name="Normal 26 13 3 5" xfId="30305" xr:uid="{00000000-0005-0000-0000-000098790000}"/>
    <cellStyle name="Normal 26 13 3 6" xfId="30306" xr:uid="{00000000-0005-0000-0000-000099790000}"/>
    <cellStyle name="Normal 26 13 4" xfId="30307" xr:uid="{00000000-0005-0000-0000-00009A790000}"/>
    <cellStyle name="Normal 26 13 4 2" xfId="30308" xr:uid="{00000000-0005-0000-0000-00009B790000}"/>
    <cellStyle name="Normal 26 13 4 3" xfId="30309" xr:uid="{00000000-0005-0000-0000-00009C790000}"/>
    <cellStyle name="Normal 26 13 4 4" xfId="30310" xr:uid="{00000000-0005-0000-0000-00009D790000}"/>
    <cellStyle name="Normal 26 13 4 5" xfId="30311" xr:uid="{00000000-0005-0000-0000-00009E790000}"/>
    <cellStyle name="Normal 26 13 4 6" xfId="30312" xr:uid="{00000000-0005-0000-0000-00009F790000}"/>
    <cellStyle name="Normal 26 13 5" xfId="30313" xr:uid="{00000000-0005-0000-0000-0000A0790000}"/>
    <cellStyle name="Normal 26 13 5 2" xfId="30314" xr:uid="{00000000-0005-0000-0000-0000A1790000}"/>
    <cellStyle name="Normal 26 13 5 3" xfId="30315" xr:uid="{00000000-0005-0000-0000-0000A2790000}"/>
    <cellStyle name="Normal 26 13 5 4" xfId="30316" xr:uid="{00000000-0005-0000-0000-0000A3790000}"/>
    <cellStyle name="Normal 26 13 5 5" xfId="30317" xr:uid="{00000000-0005-0000-0000-0000A4790000}"/>
    <cellStyle name="Normal 26 13 5 6" xfId="30318" xr:uid="{00000000-0005-0000-0000-0000A5790000}"/>
    <cellStyle name="Normal 26 13 6" xfId="30319" xr:uid="{00000000-0005-0000-0000-0000A6790000}"/>
    <cellStyle name="Normal 26 13 6 2" xfId="30320" xr:uid="{00000000-0005-0000-0000-0000A7790000}"/>
    <cellStyle name="Normal 26 13 6 3" xfId="30321" xr:uid="{00000000-0005-0000-0000-0000A8790000}"/>
    <cellStyle name="Normal 26 13 6 4" xfId="30322" xr:uid="{00000000-0005-0000-0000-0000A9790000}"/>
    <cellStyle name="Normal 26 13 6 5" xfId="30323" xr:uid="{00000000-0005-0000-0000-0000AA790000}"/>
    <cellStyle name="Normal 26 13 6 6" xfId="30324" xr:uid="{00000000-0005-0000-0000-0000AB790000}"/>
    <cellStyle name="Normal 26 13 7" xfId="30325" xr:uid="{00000000-0005-0000-0000-0000AC790000}"/>
    <cellStyle name="Normal 26 13 7 2" xfId="30326" xr:uid="{00000000-0005-0000-0000-0000AD790000}"/>
    <cellStyle name="Normal 26 13 7 3" xfId="30327" xr:uid="{00000000-0005-0000-0000-0000AE790000}"/>
    <cellStyle name="Normal 26 13 7 4" xfId="30328" xr:uid="{00000000-0005-0000-0000-0000AF790000}"/>
    <cellStyle name="Normal 26 13 7 5" xfId="30329" xr:uid="{00000000-0005-0000-0000-0000B0790000}"/>
    <cellStyle name="Normal 26 13 7 6" xfId="30330" xr:uid="{00000000-0005-0000-0000-0000B1790000}"/>
    <cellStyle name="Normal 26 13 8" xfId="30331" xr:uid="{00000000-0005-0000-0000-0000B2790000}"/>
    <cellStyle name="Normal 26 13 8 2" xfId="30332" xr:uid="{00000000-0005-0000-0000-0000B3790000}"/>
    <cellStyle name="Normal 26 13 8 3" xfId="30333" xr:uid="{00000000-0005-0000-0000-0000B4790000}"/>
    <cellStyle name="Normal 26 13 8 4" xfId="30334" xr:uid="{00000000-0005-0000-0000-0000B5790000}"/>
    <cellStyle name="Normal 26 13 8 5" xfId="30335" xr:uid="{00000000-0005-0000-0000-0000B6790000}"/>
    <cellStyle name="Normal 26 13 8 6" xfId="30336" xr:uid="{00000000-0005-0000-0000-0000B7790000}"/>
    <cellStyle name="Normal 26 13 9" xfId="30337" xr:uid="{00000000-0005-0000-0000-0000B8790000}"/>
    <cellStyle name="Normal 26 14" xfId="30338" xr:uid="{00000000-0005-0000-0000-0000B9790000}"/>
    <cellStyle name="Normal 26 14 10" xfId="30339" xr:uid="{00000000-0005-0000-0000-0000BA790000}"/>
    <cellStyle name="Normal 26 14 11" xfId="30340" xr:uid="{00000000-0005-0000-0000-0000BB790000}"/>
    <cellStyle name="Normal 26 14 12" xfId="30341" xr:uid="{00000000-0005-0000-0000-0000BC790000}"/>
    <cellStyle name="Normal 26 14 13" xfId="30342" xr:uid="{00000000-0005-0000-0000-0000BD790000}"/>
    <cellStyle name="Normal 26 14 2" xfId="30343" xr:uid="{00000000-0005-0000-0000-0000BE790000}"/>
    <cellStyle name="Normal 26 14 2 2" xfId="30344" xr:uid="{00000000-0005-0000-0000-0000BF790000}"/>
    <cellStyle name="Normal 26 14 2 3" xfId="30345" xr:uid="{00000000-0005-0000-0000-0000C0790000}"/>
    <cellStyle name="Normal 26 14 2 4" xfId="30346" xr:uid="{00000000-0005-0000-0000-0000C1790000}"/>
    <cellStyle name="Normal 26 14 2 5" xfId="30347" xr:uid="{00000000-0005-0000-0000-0000C2790000}"/>
    <cellStyle name="Normal 26 14 2 6" xfId="30348" xr:uid="{00000000-0005-0000-0000-0000C3790000}"/>
    <cellStyle name="Normal 26 14 3" xfId="30349" xr:uid="{00000000-0005-0000-0000-0000C4790000}"/>
    <cellStyle name="Normal 26 14 3 2" xfId="30350" xr:uid="{00000000-0005-0000-0000-0000C5790000}"/>
    <cellStyle name="Normal 26 14 3 3" xfId="30351" xr:uid="{00000000-0005-0000-0000-0000C6790000}"/>
    <cellStyle name="Normal 26 14 3 4" xfId="30352" xr:uid="{00000000-0005-0000-0000-0000C7790000}"/>
    <cellStyle name="Normal 26 14 3 5" xfId="30353" xr:uid="{00000000-0005-0000-0000-0000C8790000}"/>
    <cellStyle name="Normal 26 14 3 6" xfId="30354" xr:uid="{00000000-0005-0000-0000-0000C9790000}"/>
    <cellStyle name="Normal 26 14 4" xfId="30355" xr:uid="{00000000-0005-0000-0000-0000CA790000}"/>
    <cellStyle name="Normal 26 14 4 2" xfId="30356" xr:uid="{00000000-0005-0000-0000-0000CB790000}"/>
    <cellStyle name="Normal 26 14 4 3" xfId="30357" xr:uid="{00000000-0005-0000-0000-0000CC790000}"/>
    <cellStyle name="Normal 26 14 4 4" xfId="30358" xr:uid="{00000000-0005-0000-0000-0000CD790000}"/>
    <cellStyle name="Normal 26 14 4 5" xfId="30359" xr:uid="{00000000-0005-0000-0000-0000CE790000}"/>
    <cellStyle name="Normal 26 14 4 6" xfId="30360" xr:uid="{00000000-0005-0000-0000-0000CF790000}"/>
    <cellStyle name="Normal 26 14 5" xfId="30361" xr:uid="{00000000-0005-0000-0000-0000D0790000}"/>
    <cellStyle name="Normal 26 14 5 2" xfId="30362" xr:uid="{00000000-0005-0000-0000-0000D1790000}"/>
    <cellStyle name="Normal 26 14 5 3" xfId="30363" xr:uid="{00000000-0005-0000-0000-0000D2790000}"/>
    <cellStyle name="Normal 26 14 5 4" xfId="30364" xr:uid="{00000000-0005-0000-0000-0000D3790000}"/>
    <cellStyle name="Normal 26 14 5 5" xfId="30365" xr:uid="{00000000-0005-0000-0000-0000D4790000}"/>
    <cellStyle name="Normal 26 14 5 6" xfId="30366" xr:uid="{00000000-0005-0000-0000-0000D5790000}"/>
    <cellStyle name="Normal 26 14 6" xfId="30367" xr:uid="{00000000-0005-0000-0000-0000D6790000}"/>
    <cellStyle name="Normal 26 14 6 2" xfId="30368" xr:uid="{00000000-0005-0000-0000-0000D7790000}"/>
    <cellStyle name="Normal 26 14 6 3" xfId="30369" xr:uid="{00000000-0005-0000-0000-0000D8790000}"/>
    <cellStyle name="Normal 26 14 6 4" xfId="30370" xr:uid="{00000000-0005-0000-0000-0000D9790000}"/>
    <cellStyle name="Normal 26 14 6 5" xfId="30371" xr:uid="{00000000-0005-0000-0000-0000DA790000}"/>
    <cellStyle name="Normal 26 14 6 6" xfId="30372" xr:uid="{00000000-0005-0000-0000-0000DB790000}"/>
    <cellStyle name="Normal 26 14 7" xfId="30373" xr:uid="{00000000-0005-0000-0000-0000DC790000}"/>
    <cellStyle name="Normal 26 14 7 2" xfId="30374" xr:uid="{00000000-0005-0000-0000-0000DD790000}"/>
    <cellStyle name="Normal 26 14 7 3" xfId="30375" xr:uid="{00000000-0005-0000-0000-0000DE790000}"/>
    <cellStyle name="Normal 26 14 7 4" xfId="30376" xr:uid="{00000000-0005-0000-0000-0000DF790000}"/>
    <cellStyle name="Normal 26 14 7 5" xfId="30377" xr:uid="{00000000-0005-0000-0000-0000E0790000}"/>
    <cellStyle name="Normal 26 14 7 6" xfId="30378" xr:uid="{00000000-0005-0000-0000-0000E1790000}"/>
    <cellStyle name="Normal 26 14 8" xfId="30379" xr:uid="{00000000-0005-0000-0000-0000E2790000}"/>
    <cellStyle name="Normal 26 14 8 2" xfId="30380" xr:uid="{00000000-0005-0000-0000-0000E3790000}"/>
    <cellStyle name="Normal 26 14 8 3" xfId="30381" xr:uid="{00000000-0005-0000-0000-0000E4790000}"/>
    <cellStyle name="Normal 26 14 8 4" xfId="30382" xr:uid="{00000000-0005-0000-0000-0000E5790000}"/>
    <cellStyle name="Normal 26 14 8 5" xfId="30383" xr:uid="{00000000-0005-0000-0000-0000E6790000}"/>
    <cellStyle name="Normal 26 14 8 6" xfId="30384" xr:uid="{00000000-0005-0000-0000-0000E7790000}"/>
    <cellStyle name="Normal 26 14 9" xfId="30385" xr:uid="{00000000-0005-0000-0000-0000E8790000}"/>
    <cellStyle name="Normal 26 15" xfId="30386" xr:uid="{00000000-0005-0000-0000-0000E9790000}"/>
    <cellStyle name="Normal 26 15 10" xfId="30387" xr:uid="{00000000-0005-0000-0000-0000EA790000}"/>
    <cellStyle name="Normal 26 15 11" xfId="30388" xr:uid="{00000000-0005-0000-0000-0000EB790000}"/>
    <cellStyle name="Normal 26 15 12" xfId="30389" xr:uid="{00000000-0005-0000-0000-0000EC790000}"/>
    <cellStyle name="Normal 26 15 13" xfId="30390" xr:uid="{00000000-0005-0000-0000-0000ED790000}"/>
    <cellStyle name="Normal 26 15 2" xfId="30391" xr:uid="{00000000-0005-0000-0000-0000EE790000}"/>
    <cellStyle name="Normal 26 15 2 2" xfId="30392" xr:uid="{00000000-0005-0000-0000-0000EF790000}"/>
    <cellStyle name="Normal 26 15 2 3" xfId="30393" xr:uid="{00000000-0005-0000-0000-0000F0790000}"/>
    <cellStyle name="Normal 26 15 2 4" xfId="30394" xr:uid="{00000000-0005-0000-0000-0000F1790000}"/>
    <cellStyle name="Normal 26 15 2 5" xfId="30395" xr:uid="{00000000-0005-0000-0000-0000F2790000}"/>
    <cellStyle name="Normal 26 15 2 6" xfId="30396" xr:uid="{00000000-0005-0000-0000-0000F3790000}"/>
    <cellStyle name="Normal 26 15 3" xfId="30397" xr:uid="{00000000-0005-0000-0000-0000F4790000}"/>
    <cellStyle name="Normal 26 15 3 2" xfId="30398" xr:uid="{00000000-0005-0000-0000-0000F5790000}"/>
    <cellStyle name="Normal 26 15 3 3" xfId="30399" xr:uid="{00000000-0005-0000-0000-0000F6790000}"/>
    <cellStyle name="Normal 26 15 3 4" xfId="30400" xr:uid="{00000000-0005-0000-0000-0000F7790000}"/>
    <cellStyle name="Normal 26 15 3 5" xfId="30401" xr:uid="{00000000-0005-0000-0000-0000F8790000}"/>
    <cellStyle name="Normal 26 15 3 6" xfId="30402" xr:uid="{00000000-0005-0000-0000-0000F9790000}"/>
    <cellStyle name="Normal 26 15 4" xfId="30403" xr:uid="{00000000-0005-0000-0000-0000FA790000}"/>
    <cellStyle name="Normal 26 15 4 2" xfId="30404" xr:uid="{00000000-0005-0000-0000-0000FB790000}"/>
    <cellStyle name="Normal 26 15 4 3" xfId="30405" xr:uid="{00000000-0005-0000-0000-0000FC790000}"/>
    <cellStyle name="Normal 26 15 4 4" xfId="30406" xr:uid="{00000000-0005-0000-0000-0000FD790000}"/>
    <cellStyle name="Normal 26 15 4 5" xfId="30407" xr:uid="{00000000-0005-0000-0000-0000FE790000}"/>
    <cellStyle name="Normal 26 15 4 6" xfId="30408" xr:uid="{00000000-0005-0000-0000-0000FF790000}"/>
    <cellStyle name="Normal 26 15 5" xfId="30409" xr:uid="{00000000-0005-0000-0000-0000007A0000}"/>
    <cellStyle name="Normal 26 15 5 2" xfId="30410" xr:uid="{00000000-0005-0000-0000-0000017A0000}"/>
    <cellStyle name="Normal 26 15 5 3" xfId="30411" xr:uid="{00000000-0005-0000-0000-0000027A0000}"/>
    <cellStyle name="Normal 26 15 5 4" xfId="30412" xr:uid="{00000000-0005-0000-0000-0000037A0000}"/>
    <cellStyle name="Normal 26 15 5 5" xfId="30413" xr:uid="{00000000-0005-0000-0000-0000047A0000}"/>
    <cellStyle name="Normal 26 15 5 6" xfId="30414" xr:uid="{00000000-0005-0000-0000-0000057A0000}"/>
    <cellStyle name="Normal 26 15 6" xfId="30415" xr:uid="{00000000-0005-0000-0000-0000067A0000}"/>
    <cellStyle name="Normal 26 15 6 2" xfId="30416" xr:uid="{00000000-0005-0000-0000-0000077A0000}"/>
    <cellStyle name="Normal 26 15 6 3" xfId="30417" xr:uid="{00000000-0005-0000-0000-0000087A0000}"/>
    <cellStyle name="Normal 26 15 6 4" xfId="30418" xr:uid="{00000000-0005-0000-0000-0000097A0000}"/>
    <cellStyle name="Normal 26 15 6 5" xfId="30419" xr:uid="{00000000-0005-0000-0000-00000A7A0000}"/>
    <cellStyle name="Normal 26 15 6 6" xfId="30420" xr:uid="{00000000-0005-0000-0000-00000B7A0000}"/>
    <cellStyle name="Normal 26 15 7" xfId="30421" xr:uid="{00000000-0005-0000-0000-00000C7A0000}"/>
    <cellStyle name="Normal 26 15 7 2" xfId="30422" xr:uid="{00000000-0005-0000-0000-00000D7A0000}"/>
    <cellStyle name="Normal 26 15 7 3" xfId="30423" xr:uid="{00000000-0005-0000-0000-00000E7A0000}"/>
    <cellStyle name="Normal 26 15 7 4" xfId="30424" xr:uid="{00000000-0005-0000-0000-00000F7A0000}"/>
    <cellStyle name="Normal 26 15 7 5" xfId="30425" xr:uid="{00000000-0005-0000-0000-0000107A0000}"/>
    <cellStyle name="Normal 26 15 7 6" xfId="30426" xr:uid="{00000000-0005-0000-0000-0000117A0000}"/>
    <cellStyle name="Normal 26 15 8" xfId="30427" xr:uid="{00000000-0005-0000-0000-0000127A0000}"/>
    <cellStyle name="Normal 26 15 8 2" xfId="30428" xr:uid="{00000000-0005-0000-0000-0000137A0000}"/>
    <cellStyle name="Normal 26 15 8 3" xfId="30429" xr:uid="{00000000-0005-0000-0000-0000147A0000}"/>
    <cellStyle name="Normal 26 15 8 4" xfId="30430" xr:uid="{00000000-0005-0000-0000-0000157A0000}"/>
    <cellStyle name="Normal 26 15 8 5" xfId="30431" xr:uid="{00000000-0005-0000-0000-0000167A0000}"/>
    <cellStyle name="Normal 26 15 8 6" xfId="30432" xr:uid="{00000000-0005-0000-0000-0000177A0000}"/>
    <cellStyle name="Normal 26 15 9" xfId="30433" xr:uid="{00000000-0005-0000-0000-0000187A0000}"/>
    <cellStyle name="Normal 26 16" xfId="30434" xr:uid="{00000000-0005-0000-0000-0000197A0000}"/>
    <cellStyle name="Normal 26 16 10" xfId="30435" xr:uid="{00000000-0005-0000-0000-00001A7A0000}"/>
    <cellStyle name="Normal 26 16 11" xfId="30436" xr:uid="{00000000-0005-0000-0000-00001B7A0000}"/>
    <cellStyle name="Normal 26 16 12" xfId="30437" xr:uid="{00000000-0005-0000-0000-00001C7A0000}"/>
    <cellStyle name="Normal 26 16 13" xfId="30438" xr:uid="{00000000-0005-0000-0000-00001D7A0000}"/>
    <cellStyle name="Normal 26 16 2" xfId="30439" xr:uid="{00000000-0005-0000-0000-00001E7A0000}"/>
    <cellStyle name="Normal 26 16 2 2" xfId="30440" xr:uid="{00000000-0005-0000-0000-00001F7A0000}"/>
    <cellStyle name="Normal 26 16 2 3" xfId="30441" xr:uid="{00000000-0005-0000-0000-0000207A0000}"/>
    <cellStyle name="Normal 26 16 2 4" xfId="30442" xr:uid="{00000000-0005-0000-0000-0000217A0000}"/>
    <cellStyle name="Normal 26 16 2 5" xfId="30443" xr:uid="{00000000-0005-0000-0000-0000227A0000}"/>
    <cellStyle name="Normal 26 16 2 6" xfId="30444" xr:uid="{00000000-0005-0000-0000-0000237A0000}"/>
    <cellStyle name="Normal 26 16 3" xfId="30445" xr:uid="{00000000-0005-0000-0000-0000247A0000}"/>
    <cellStyle name="Normal 26 16 3 2" xfId="30446" xr:uid="{00000000-0005-0000-0000-0000257A0000}"/>
    <cellStyle name="Normal 26 16 3 3" xfId="30447" xr:uid="{00000000-0005-0000-0000-0000267A0000}"/>
    <cellStyle name="Normal 26 16 3 4" xfId="30448" xr:uid="{00000000-0005-0000-0000-0000277A0000}"/>
    <cellStyle name="Normal 26 16 3 5" xfId="30449" xr:uid="{00000000-0005-0000-0000-0000287A0000}"/>
    <cellStyle name="Normal 26 16 3 6" xfId="30450" xr:uid="{00000000-0005-0000-0000-0000297A0000}"/>
    <cellStyle name="Normal 26 16 4" xfId="30451" xr:uid="{00000000-0005-0000-0000-00002A7A0000}"/>
    <cellStyle name="Normal 26 16 4 2" xfId="30452" xr:uid="{00000000-0005-0000-0000-00002B7A0000}"/>
    <cellStyle name="Normal 26 16 4 3" xfId="30453" xr:uid="{00000000-0005-0000-0000-00002C7A0000}"/>
    <cellStyle name="Normal 26 16 4 4" xfId="30454" xr:uid="{00000000-0005-0000-0000-00002D7A0000}"/>
    <cellStyle name="Normal 26 16 4 5" xfId="30455" xr:uid="{00000000-0005-0000-0000-00002E7A0000}"/>
    <cellStyle name="Normal 26 16 4 6" xfId="30456" xr:uid="{00000000-0005-0000-0000-00002F7A0000}"/>
    <cellStyle name="Normal 26 16 5" xfId="30457" xr:uid="{00000000-0005-0000-0000-0000307A0000}"/>
    <cellStyle name="Normal 26 16 5 2" xfId="30458" xr:uid="{00000000-0005-0000-0000-0000317A0000}"/>
    <cellStyle name="Normal 26 16 5 3" xfId="30459" xr:uid="{00000000-0005-0000-0000-0000327A0000}"/>
    <cellStyle name="Normal 26 16 5 4" xfId="30460" xr:uid="{00000000-0005-0000-0000-0000337A0000}"/>
    <cellStyle name="Normal 26 16 5 5" xfId="30461" xr:uid="{00000000-0005-0000-0000-0000347A0000}"/>
    <cellStyle name="Normal 26 16 5 6" xfId="30462" xr:uid="{00000000-0005-0000-0000-0000357A0000}"/>
    <cellStyle name="Normal 26 16 6" xfId="30463" xr:uid="{00000000-0005-0000-0000-0000367A0000}"/>
    <cellStyle name="Normal 26 16 6 2" xfId="30464" xr:uid="{00000000-0005-0000-0000-0000377A0000}"/>
    <cellStyle name="Normal 26 16 6 3" xfId="30465" xr:uid="{00000000-0005-0000-0000-0000387A0000}"/>
    <cellStyle name="Normal 26 16 6 4" xfId="30466" xr:uid="{00000000-0005-0000-0000-0000397A0000}"/>
    <cellStyle name="Normal 26 16 6 5" xfId="30467" xr:uid="{00000000-0005-0000-0000-00003A7A0000}"/>
    <cellStyle name="Normal 26 16 6 6" xfId="30468" xr:uid="{00000000-0005-0000-0000-00003B7A0000}"/>
    <cellStyle name="Normal 26 16 7" xfId="30469" xr:uid="{00000000-0005-0000-0000-00003C7A0000}"/>
    <cellStyle name="Normal 26 16 7 2" xfId="30470" xr:uid="{00000000-0005-0000-0000-00003D7A0000}"/>
    <cellStyle name="Normal 26 16 7 3" xfId="30471" xr:uid="{00000000-0005-0000-0000-00003E7A0000}"/>
    <cellStyle name="Normal 26 16 7 4" xfId="30472" xr:uid="{00000000-0005-0000-0000-00003F7A0000}"/>
    <cellStyle name="Normal 26 16 7 5" xfId="30473" xr:uid="{00000000-0005-0000-0000-0000407A0000}"/>
    <cellStyle name="Normal 26 16 7 6" xfId="30474" xr:uid="{00000000-0005-0000-0000-0000417A0000}"/>
    <cellStyle name="Normal 26 16 8" xfId="30475" xr:uid="{00000000-0005-0000-0000-0000427A0000}"/>
    <cellStyle name="Normal 26 16 8 2" xfId="30476" xr:uid="{00000000-0005-0000-0000-0000437A0000}"/>
    <cellStyle name="Normal 26 16 8 3" xfId="30477" xr:uid="{00000000-0005-0000-0000-0000447A0000}"/>
    <cellStyle name="Normal 26 16 8 4" xfId="30478" xr:uid="{00000000-0005-0000-0000-0000457A0000}"/>
    <cellStyle name="Normal 26 16 8 5" xfId="30479" xr:uid="{00000000-0005-0000-0000-0000467A0000}"/>
    <cellStyle name="Normal 26 16 8 6" xfId="30480" xr:uid="{00000000-0005-0000-0000-0000477A0000}"/>
    <cellStyle name="Normal 26 16 9" xfId="30481" xr:uid="{00000000-0005-0000-0000-0000487A0000}"/>
    <cellStyle name="Normal 26 17" xfId="30482" xr:uid="{00000000-0005-0000-0000-0000497A0000}"/>
    <cellStyle name="Normal 26 17 10" xfId="30483" xr:uid="{00000000-0005-0000-0000-00004A7A0000}"/>
    <cellStyle name="Normal 26 17 11" xfId="30484" xr:uid="{00000000-0005-0000-0000-00004B7A0000}"/>
    <cellStyle name="Normal 26 17 12" xfId="30485" xr:uid="{00000000-0005-0000-0000-00004C7A0000}"/>
    <cellStyle name="Normal 26 17 13" xfId="30486" xr:uid="{00000000-0005-0000-0000-00004D7A0000}"/>
    <cellStyle name="Normal 26 17 2" xfId="30487" xr:uid="{00000000-0005-0000-0000-00004E7A0000}"/>
    <cellStyle name="Normal 26 17 2 2" xfId="30488" xr:uid="{00000000-0005-0000-0000-00004F7A0000}"/>
    <cellStyle name="Normal 26 17 2 3" xfId="30489" xr:uid="{00000000-0005-0000-0000-0000507A0000}"/>
    <cellStyle name="Normal 26 17 2 4" xfId="30490" xr:uid="{00000000-0005-0000-0000-0000517A0000}"/>
    <cellStyle name="Normal 26 17 2 5" xfId="30491" xr:uid="{00000000-0005-0000-0000-0000527A0000}"/>
    <cellStyle name="Normal 26 17 2 6" xfId="30492" xr:uid="{00000000-0005-0000-0000-0000537A0000}"/>
    <cellStyle name="Normal 26 17 3" xfId="30493" xr:uid="{00000000-0005-0000-0000-0000547A0000}"/>
    <cellStyle name="Normal 26 17 3 2" xfId="30494" xr:uid="{00000000-0005-0000-0000-0000557A0000}"/>
    <cellStyle name="Normal 26 17 3 3" xfId="30495" xr:uid="{00000000-0005-0000-0000-0000567A0000}"/>
    <cellStyle name="Normal 26 17 3 4" xfId="30496" xr:uid="{00000000-0005-0000-0000-0000577A0000}"/>
    <cellStyle name="Normal 26 17 3 5" xfId="30497" xr:uid="{00000000-0005-0000-0000-0000587A0000}"/>
    <cellStyle name="Normal 26 17 3 6" xfId="30498" xr:uid="{00000000-0005-0000-0000-0000597A0000}"/>
    <cellStyle name="Normal 26 17 4" xfId="30499" xr:uid="{00000000-0005-0000-0000-00005A7A0000}"/>
    <cellStyle name="Normal 26 17 4 2" xfId="30500" xr:uid="{00000000-0005-0000-0000-00005B7A0000}"/>
    <cellStyle name="Normal 26 17 4 3" xfId="30501" xr:uid="{00000000-0005-0000-0000-00005C7A0000}"/>
    <cellStyle name="Normal 26 17 4 4" xfId="30502" xr:uid="{00000000-0005-0000-0000-00005D7A0000}"/>
    <cellStyle name="Normal 26 17 4 5" xfId="30503" xr:uid="{00000000-0005-0000-0000-00005E7A0000}"/>
    <cellStyle name="Normal 26 17 4 6" xfId="30504" xr:uid="{00000000-0005-0000-0000-00005F7A0000}"/>
    <cellStyle name="Normal 26 17 5" xfId="30505" xr:uid="{00000000-0005-0000-0000-0000607A0000}"/>
    <cellStyle name="Normal 26 17 5 2" xfId="30506" xr:uid="{00000000-0005-0000-0000-0000617A0000}"/>
    <cellStyle name="Normal 26 17 5 3" xfId="30507" xr:uid="{00000000-0005-0000-0000-0000627A0000}"/>
    <cellStyle name="Normal 26 17 5 4" xfId="30508" xr:uid="{00000000-0005-0000-0000-0000637A0000}"/>
    <cellStyle name="Normal 26 17 5 5" xfId="30509" xr:uid="{00000000-0005-0000-0000-0000647A0000}"/>
    <cellStyle name="Normal 26 17 5 6" xfId="30510" xr:uid="{00000000-0005-0000-0000-0000657A0000}"/>
    <cellStyle name="Normal 26 17 6" xfId="30511" xr:uid="{00000000-0005-0000-0000-0000667A0000}"/>
    <cellStyle name="Normal 26 17 6 2" xfId="30512" xr:uid="{00000000-0005-0000-0000-0000677A0000}"/>
    <cellStyle name="Normal 26 17 6 3" xfId="30513" xr:uid="{00000000-0005-0000-0000-0000687A0000}"/>
    <cellStyle name="Normal 26 17 6 4" xfId="30514" xr:uid="{00000000-0005-0000-0000-0000697A0000}"/>
    <cellStyle name="Normal 26 17 6 5" xfId="30515" xr:uid="{00000000-0005-0000-0000-00006A7A0000}"/>
    <cellStyle name="Normal 26 17 6 6" xfId="30516" xr:uid="{00000000-0005-0000-0000-00006B7A0000}"/>
    <cellStyle name="Normal 26 17 7" xfId="30517" xr:uid="{00000000-0005-0000-0000-00006C7A0000}"/>
    <cellStyle name="Normal 26 17 7 2" xfId="30518" xr:uid="{00000000-0005-0000-0000-00006D7A0000}"/>
    <cellStyle name="Normal 26 17 7 3" xfId="30519" xr:uid="{00000000-0005-0000-0000-00006E7A0000}"/>
    <cellStyle name="Normal 26 17 7 4" xfId="30520" xr:uid="{00000000-0005-0000-0000-00006F7A0000}"/>
    <cellStyle name="Normal 26 17 7 5" xfId="30521" xr:uid="{00000000-0005-0000-0000-0000707A0000}"/>
    <cellStyle name="Normal 26 17 7 6" xfId="30522" xr:uid="{00000000-0005-0000-0000-0000717A0000}"/>
    <cellStyle name="Normal 26 17 8" xfId="30523" xr:uid="{00000000-0005-0000-0000-0000727A0000}"/>
    <cellStyle name="Normal 26 17 8 2" xfId="30524" xr:uid="{00000000-0005-0000-0000-0000737A0000}"/>
    <cellStyle name="Normal 26 17 8 3" xfId="30525" xr:uid="{00000000-0005-0000-0000-0000747A0000}"/>
    <cellStyle name="Normal 26 17 8 4" xfId="30526" xr:uid="{00000000-0005-0000-0000-0000757A0000}"/>
    <cellStyle name="Normal 26 17 8 5" xfId="30527" xr:uid="{00000000-0005-0000-0000-0000767A0000}"/>
    <cellStyle name="Normal 26 17 8 6" xfId="30528" xr:uid="{00000000-0005-0000-0000-0000777A0000}"/>
    <cellStyle name="Normal 26 17 9" xfId="30529" xr:uid="{00000000-0005-0000-0000-0000787A0000}"/>
    <cellStyle name="Normal 26 18" xfId="30530" xr:uid="{00000000-0005-0000-0000-0000797A0000}"/>
    <cellStyle name="Normal 26 18 2" xfId="30531" xr:uid="{00000000-0005-0000-0000-00007A7A0000}"/>
    <cellStyle name="Normal 26 18 3" xfId="30532" xr:uid="{00000000-0005-0000-0000-00007B7A0000}"/>
    <cellStyle name="Normal 26 18 4" xfId="30533" xr:uid="{00000000-0005-0000-0000-00007C7A0000}"/>
    <cellStyle name="Normal 26 18 5" xfId="30534" xr:uid="{00000000-0005-0000-0000-00007D7A0000}"/>
    <cellStyle name="Normal 26 18 6" xfId="30535" xr:uid="{00000000-0005-0000-0000-00007E7A0000}"/>
    <cellStyle name="Normal 26 19" xfId="30536" xr:uid="{00000000-0005-0000-0000-00007F7A0000}"/>
    <cellStyle name="Normal 26 19 2" xfId="30537" xr:uid="{00000000-0005-0000-0000-0000807A0000}"/>
    <cellStyle name="Normal 26 19 3" xfId="30538" xr:uid="{00000000-0005-0000-0000-0000817A0000}"/>
    <cellStyle name="Normal 26 19 4" xfId="30539" xr:uid="{00000000-0005-0000-0000-0000827A0000}"/>
    <cellStyle name="Normal 26 19 5" xfId="30540" xr:uid="{00000000-0005-0000-0000-0000837A0000}"/>
    <cellStyle name="Normal 26 19 6" xfId="30541" xr:uid="{00000000-0005-0000-0000-0000847A0000}"/>
    <cellStyle name="Normal 26 2" xfId="30542" xr:uid="{00000000-0005-0000-0000-0000857A0000}"/>
    <cellStyle name="Normal 26 2 10" xfId="30543" xr:uid="{00000000-0005-0000-0000-0000867A0000}"/>
    <cellStyle name="Normal 26 2 11" xfId="30544" xr:uid="{00000000-0005-0000-0000-0000877A0000}"/>
    <cellStyle name="Normal 26 2 12" xfId="30545" xr:uid="{00000000-0005-0000-0000-0000887A0000}"/>
    <cellStyle name="Normal 26 2 13" xfId="30546" xr:uid="{00000000-0005-0000-0000-0000897A0000}"/>
    <cellStyle name="Normal 26 2 2" xfId="30547" xr:uid="{00000000-0005-0000-0000-00008A7A0000}"/>
    <cellStyle name="Normal 26 2 2 2" xfId="30548" xr:uid="{00000000-0005-0000-0000-00008B7A0000}"/>
    <cellStyle name="Normal 26 2 2 3" xfId="30549" xr:uid="{00000000-0005-0000-0000-00008C7A0000}"/>
    <cellStyle name="Normal 26 2 2 4" xfId="30550" xr:uid="{00000000-0005-0000-0000-00008D7A0000}"/>
    <cellStyle name="Normal 26 2 2 5" xfId="30551" xr:uid="{00000000-0005-0000-0000-00008E7A0000}"/>
    <cellStyle name="Normal 26 2 2 6" xfId="30552" xr:uid="{00000000-0005-0000-0000-00008F7A0000}"/>
    <cellStyle name="Normal 26 2 3" xfId="30553" xr:uid="{00000000-0005-0000-0000-0000907A0000}"/>
    <cellStyle name="Normal 26 2 3 2" xfId="30554" xr:uid="{00000000-0005-0000-0000-0000917A0000}"/>
    <cellStyle name="Normal 26 2 3 3" xfId="30555" xr:uid="{00000000-0005-0000-0000-0000927A0000}"/>
    <cellStyle name="Normal 26 2 3 4" xfId="30556" xr:uid="{00000000-0005-0000-0000-0000937A0000}"/>
    <cellStyle name="Normal 26 2 3 5" xfId="30557" xr:uid="{00000000-0005-0000-0000-0000947A0000}"/>
    <cellStyle name="Normal 26 2 3 6" xfId="30558" xr:uid="{00000000-0005-0000-0000-0000957A0000}"/>
    <cellStyle name="Normal 26 2 4" xfId="30559" xr:uid="{00000000-0005-0000-0000-0000967A0000}"/>
    <cellStyle name="Normal 26 2 4 2" xfId="30560" xr:uid="{00000000-0005-0000-0000-0000977A0000}"/>
    <cellStyle name="Normal 26 2 4 3" xfId="30561" xr:uid="{00000000-0005-0000-0000-0000987A0000}"/>
    <cellStyle name="Normal 26 2 4 4" xfId="30562" xr:uid="{00000000-0005-0000-0000-0000997A0000}"/>
    <cellStyle name="Normal 26 2 4 5" xfId="30563" xr:uid="{00000000-0005-0000-0000-00009A7A0000}"/>
    <cellStyle name="Normal 26 2 4 6" xfId="30564" xr:uid="{00000000-0005-0000-0000-00009B7A0000}"/>
    <cellStyle name="Normal 26 2 5" xfId="30565" xr:uid="{00000000-0005-0000-0000-00009C7A0000}"/>
    <cellStyle name="Normal 26 2 5 2" xfId="30566" xr:uid="{00000000-0005-0000-0000-00009D7A0000}"/>
    <cellStyle name="Normal 26 2 5 3" xfId="30567" xr:uid="{00000000-0005-0000-0000-00009E7A0000}"/>
    <cellStyle name="Normal 26 2 5 4" xfId="30568" xr:uid="{00000000-0005-0000-0000-00009F7A0000}"/>
    <cellStyle name="Normal 26 2 5 5" xfId="30569" xr:uid="{00000000-0005-0000-0000-0000A07A0000}"/>
    <cellStyle name="Normal 26 2 5 6" xfId="30570" xr:uid="{00000000-0005-0000-0000-0000A17A0000}"/>
    <cellStyle name="Normal 26 2 6" xfId="30571" xr:uid="{00000000-0005-0000-0000-0000A27A0000}"/>
    <cellStyle name="Normal 26 2 6 2" xfId="30572" xr:uid="{00000000-0005-0000-0000-0000A37A0000}"/>
    <cellStyle name="Normal 26 2 6 3" xfId="30573" xr:uid="{00000000-0005-0000-0000-0000A47A0000}"/>
    <cellStyle name="Normal 26 2 6 4" xfId="30574" xr:uid="{00000000-0005-0000-0000-0000A57A0000}"/>
    <cellStyle name="Normal 26 2 6 5" xfId="30575" xr:uid="{00000000-0005-0000-0000-0000A67A0000}"/>
    <cellStyle name="Normal 26 2 6 6" xfId="30576" xr:uid="{00000000-0005-0000-0000-0000A77A0000}"/>
    <cellStyle name="Normal 26 2 7" xfId="30577" xr:uid="{00000000-0005-0000-0000-0000A87A0000}"/>
    <cellStyle name="Normal 26 2 7 2" xfId="30578" xr:uid="{00000000-0005-0000-0000-0000A97A0000}"/>
    <cellStyle name="Normal 26 2 7 3" xfId="30579" xr:uid="{00000000-0005-0000-0000-0000AA7A0000}"/>
    <cellStyle name="Normal 26 2 7 4" xfId="30580" xr:uid="{00000000-0005-0000-0000-0000AB7A0000}"/>
    <cellStyle name="Normal 26 2 7 5" xfId="30581" xr:uid="{00000000-0005-0000-0000-0000AC7A0000}"/>
    <cellStyle name="Normal 26 2 7 6" xfId="30582" xr:uid="{00000000-0005-0000-0000-0000AD7A0000}"/>
    <cellStyle name="Normal 26 2 8" xfId="30583" xr:uid="{00000000-0005-0000-0000-0000AE7A0000}"/>
    <cellStyle name="Normal 26 2 8 2" xfId="30584" xr:uid="{00000000-0005-0000-0000-0000AF7A0000}"/>
    <cellStyle name="Normal 26 2 8 3" xfId="30585" xr:uid="{00000000-0005-0000-0000-0000B07A0000}"/>
    <cellStyle name="Normal 26 2 8 4" xfId="30586" xr:uid="{00000000-0005-0000-0000-0000B17A0000}"/>
    <cellStyle name="Normal 26 2 8 5" xfId="30587" xr:uid="{00000000-0005-0000-0000-0000B27A0000}"/>
    <cellStyle name="Normal 26 2 8 6" xfId="30588" xr:uid="{00000000-0005-0000-0000-0000B37A0000}"/>
    <cellStyle name="Normal 26 2 9" xfId="30589" xr:uid="{00000000-0005-0000-0000-0000B47A0000}"/>
    <cellStyle name="Normal 26 20" xfId="30590" xr:uid="{00000000-0005-0000-0000-0000B57A0000}"/>
    <cellStyle name="Normal 26 20 2" xfId="30591" xr:uid="{00000000-0005-0000-0000-0000B67A0000}"/>
    <cellStyle name="Normal 26 20 3" xfId="30592" xr:uid="{00000000-0005-0000-0000-0000B77A0000}"/>
    <cellStyle name="Normal 26 20 4" xfId="30593" xr:uid="{00000000-0005-0000-0000-0000B87A0000}"/>
    <cellStyle name="Normal 26 20 5" xfId="30594" xr:uid="{00000000-0005-0000-0000-0000B97A0000}"/>
    <cellStyle name="Normal 26 20 6" xfId="30595" xr:uid="{00000000-0005-0000-0000-0000BA7A0000}"/>
    <cellStyle name="Normal 26 21" xfId="30596" xr:uid="{00000000-0005-0000-0000-0000BB7A0000}"/>
    <cellStyle name="Normal 26 21 2" xfId="30597" xr:uid="{00000000-0005-0000-0000-0000BC7A0000}"/>
    <cellStyle name="Normal 26 21 3" xfId="30598" xr:uid="{00000000-0005-0000-0000-0000BD7A0000}"/>
    <cellStyle name="Normal 26 21 4" xfId="30599" xr:uid="{00000000-0005-0000-0000-0000BE7A0000}"/>
    <cellStyle name="Normal 26 21 5" xfId="30600" xr:uid="{00000000-0005-0000-0000-0000BF7A0000}"/>
    <cellStyle name="Normal 26 21 6" xfId="30601" xr:uid="{00000000-0005-0000-0000-0000C07A0000}"/>
    <cellStyle name="Normal 26 22" xfId="30602" xr:uid="{00000000-0005-0000-0000-0000C17A0000}"/>
    <cellStyle name="Normal 26 22 2" xfId="30603" xr:uid="{00000000-0005-0000-0000-0000C27A0000}"/>
    <cellStyle name="Normal 26 22 3" xfId="30604" xr:uid="{00000000-0005-0000-0000-0000C37A0000}"/>
    <cellStyle name="Normal 26 22 4" xfId="30605" xr:uid="{00000000-0005-0000-0000-0000C47A0000}"/>
    <cellStyle name="Normal 26 22 5" xfId="30606" xr:uid="{00000000-0005-0000-0000-0000C57A0000}"/>
    <cellStyle name="Normal 26 22 6" xfId="30607" xr:uid="{00000000-0005-0000-0000-0000C67A0000}"/>
    <cellStyle name="Normal 26 23" xfId="30608" xr:uid="{00000000-0005-0000-0000-0000C77A0000}"/>
    <cellStyle name="Normal 26 23 2" xfId="30609" xr:uid="{00000000-0005-0000-0000-0000C87A0000}"/>
    <cellStyle name="Normal 26 23 3" xfId="30610" xr:uid="{00000000-0005-0000-0000-0000C97A0000}"/>
    <cellStyle name="Normal 26 23 4" xfId="30611" xr:uid="{00000000-0005-0000-0000-0000CA7A0000}"/>
    <cellStyle name="Normal 26 23 5" xfId="30612" xr:uid="{00000000-0005-0000-0000-0000CB7A0000}"/>
    <cellStyle name="Normal 26 23 6" xfId="30613" xr:uid="{00000000-0005-0000-0000-0000CC7A0000}"/>
    <cellStyle name="Normal 26 24" xfId="30614" xr:uid="{00000000-0005-0000-0000-0000CD7A0000}"/>
    <cellStyle name="Normal 26 24 2" xfId="30615" xr:uid="{00000000-0005-0000-0000-0000CE7A0000}"/>
    <cellStyle name="Normal 26 24 3" xfId="30616" xr:uid="{00000000-0005-0000-0000-0000CF7A0000}"/>
    <cellStyle name="Normal 26 24 4" xfId="30617" xr:uid="{00000000-0005-0000-0000-0000D07A0000}"/>
    <cellStyle name="Normal 26 24 5" xfId="30618" xr:uid="{00000000-0005-0000-0000-0000D17A0000}"/>
    <cellStyle name="Normal 26 24 6" xfId="30619" xr:uid="{00000000-0005-0000-0000-0000D27A0000}"/>
    <cellStyle name="Normal 26 25" xfId="30620" xr:uid="{00000000-0005-0000-0000-0000D37A0000}"/>
    <cellStyle name="Normal 26 26" xfId="30621" xr:uid="{00000000-0005-0000-0000-0000D47A0000}"/>
    <cellStyle name="Normal 26 27" xfId="30622" xr:uid="{00000000-0005-0000-0000-0000D57A0000}"/>
    <cellStyle name="Normal 26 28" xfId="30623" xr:uid="{00000000-0005-0000-0000-0000D67A0000}"/>
    <cellStyle name="Normal 26 29" xfId="30624" xr:uid="{00000000-0005-0000-0000-0000D77A0000}"/>
    <cellStyle name="Normal 26 3" xfId="30625" xr:uid="{00000000-0005-0000-0000-0000D87A0000}"/>
    <cellStyle name="Normal 26 3 10" xfId="30626" xr:uid="{00000000-0005-0000-0000-0000D97A0000}"/>
    <cellStyle name="Normal 26 3 11" xfId="30627" xr:uid="{00000000-0005-0000-0000-0000DA7A0000}"/>
    <cellStyle name="Normal 26 3 12" xfId="30628" xr:uid="{00000000-0005-0000-0000-0000DB7A0000}"/>
    <cellStyle name="Normal 26 3 13" xfId="30629" xr:uid="{00000000-0005-0000-0000-0000DC7A0000}"/>
    <cellStyle name="Normal 26 3 2" xfId="30630" xr:uid="{00000000-0005-0000-0000-0000DD7A0000}"/>
    <cellStyle name="Normal 26 3 2 2" xfId="30631" xr:uid="{00000000-0005-0000-0000-0000DE7A0000}"/>
    <cellStyle name="Normal 26 3 2 3" xfId="30632" xr:uid="{00000000-0005-0000-0000-0000DF7A0000}"/>
    <cellStyle name="Normal 26 3 2 4" xfId="30633" xr:uid="{00000000-0005-0000-0000-0000E07A0000}"/>
    <cellStyle name="Normal 26 3 2 5" xfId="30634" xr:uid="{00000000-0005-0000-0000-0000E17A0000}"/>
    <cellStyle name="Normal 26 3 2 6" xfId="30635" xr:uid="{00000000-0005-0000-0000-0000E27A0000}"/>
    <cellStyle name="Normal 26 3 3" xfId="30636" xr:uid="{00000000-0005-0000-0000-0000E37A0000}"/>
    <cellStyle name="Normal 26 3 3 2" xfId="30637" xr:uid="{00000000-0005-0000-0000-0000E47A0000}"/>
    <cellStyle name="Normal 26 3 3 3" xfId="30638" xr:uid="{00000000-0005-0000-0000-0000E57A0000}"/>
    <cellStyle name="Normal 26 3 3 4" xfId="30639" xr:uid="{00000000-0005-0000-0000-0000E67A0000}"/>
    <cellStyle name="Normal 26 3 3 5" xfId="30640" xr:uid="{00000000-0005-0000-0000-0000E77A0000}"/>
    <cellStyle name="Normal 26 3 3 6" xfId="30641" xr:uid="{00000000-0005-0000-0000-0000E87A0000}"/>
    <cellStyle name="Normal 26 3 4" xfId="30642" xr:uid="{00000000-0005-0000-0000-0000E97A0000}"/>
    <cellStyle name="Normal 26 3 4 2" xfId="30643" xr:uid="{00000000-0005-0000-0000-0000EA7A0000}"/>
    <cellStyle name="Normal 26 3 4 3" xfId="30644" xr:uid="{00000000-0005-0000-0000-0000EB7A0000}"/>
    <cellStyle name="Normal 26 3 4 4" xfId="30645" xr:uid="{00000000-0005-0000-0000-0000EC7A0000}"/>
    <cellStyle name="Normal 26 3 4 5" xfId="30646" xr:uid="{00000000-0005-0000-0000-0000ED7A0000}"/>
    <cellStyle name="Normal 26 3 4 6" xfId="30647" xr:uid="{00000000-0005-0000-0000-0000EE7A0000}"/>
    <cellStyle name="Normal 26 3 5" xfId="30648" xr:uid="{00000000-0005-0000-0000-0000EF7A0000}"/>
    <cellStyle name="Normal 26 3 5 2" xfId="30649" xr:uid="{00000000-0005-0000-0000-0000F07A0000}"/>
    <cellStyle name="Normal 26 3 5 3" xfId="30650" xr:uid="{00000000-0005-0000-0000-0000F17A0000}"/>
    <cellStyle name="Normal 26 3 5 4" xfId="30651" xr:uid="{00000000-0005-0000-0000-0000F27A0000}"/>
    <cellStyle name="Normal 26 3 5 5" xfId="30652" xr:uid="{00000000-0005-0000-0000-0000F37A0000}"/>
    <cellStyle name="Normal 26 3 5 6" xfId="30653" xr:uid="{00000000-0005-0000-0000-0000F47A0000}"/>
    <cellStyle name="Normal 26 3 6" xfId="30654" xr:uid="{00000000-0005-0000-0000-0000F57A0000}"/>
    <cellStyle name="Normal 26 3 6 2" xfId="30655" xr:uid="{00000000-0005-0000-0000-0000F67A0000}"/>
    <cellStyle name="Normal 26 3 6 3" xfId="30656" xr:uid="{00000000-0005-0000-0000-0000F77A0000}"/>
    <cellStyle name="Normal 26 3 6 4" xfId="30657" xr:uid="{00000000-0005-0000-0000-0000F87A0000}"/>
    <cellStyle name="Normal 26 3 6 5" xfId="30658" xr:uid="{00000000-0005-0000-0000-0000F97A0000}"/>
    <cellStyle name="Normal 26 3 6 6" xfId="30659" xr:uid="{00000000-0005-0000-0000-0000FA7A0000}"/>
    <cellStyle name="Normal 26 3 7" xfId="30660" xr:uid="{00000000-0005-0000-0000-0000FB7A0000}"/>
    <cellStyle name="Normal 26 3 7 2" xfId="30661" xr:uid="{00000000-0005-0000-0000-0000FC7A0000}"/>
    <cellStyle name="Normal 26 3 7 3" xfId="30662" xr:uid="{00000000-0005-0000-0000-0000FD7A0000}"/>
    <cellStyle name="Normal 26 3 7 4" xfId="30663" xr:uid="{00000000-0005-0000-0000-0000FE7A0000}"/>
    <cellStyle name="Normal 26 3 7 5" xfId="30664" xr:uid="{00000000-0005-0000-0000-0000FF7A0000}"/>
    <cellStyle name="Normal 26 3 7 6" xfId="30665" xr:uid="{00000000-0005-0000-0000-0000007B0000}"/>
    <cellStyle name="Normal 26 3 8" xfId="30666" xr:uid="{00000000-0005-0000-0000-0000017B0000}"/>
    <cellStyle name="Normal 26 3 8 2" xfId="30667" xr:uid="{00000000-0005-0000-0000-0000027B0000}"/>
    <cellStyle name="Normal 26 3 8 3" xfId="30668" xr:uid="{00000000-0005-0000-0000-0000037B0000}"/>
    <cellStyle name="Normal 26 3 8 4" xfId="30669" xr:uid="{00000000-0005-0000-0000-0000047B0000}"/>
    <cellStyle name="Normal 26 3 8 5" xfId="30670" xr:uid="{00000000-0005-0000-0000-0000057B0000}"/>
    <cellStyle name="Normal 26 3 8 6" xfId="30671" xr:uid="{00000000-0005-0000-0000-0000067B0000}"/>
    <cellStyle name="Normal 26 3 9" xfId="30672" xr:uid="{00000000-0005-0000-0000-0000077B0000}"/>
    <cellStyle name="Normal 26 4" xfId="30673" xr:uid="{00000000-0005-0000-0000-0000087B0000}"/>
    <cellStyle name="Normal 26 4 10" xfId="30674" xr:uid="{00000000-0005-0000-0000-0000097B0000}"/>
    <cellStyle name="Normal 26 4 11" xfId="30675" xr:uid="{00000000-0005-0000-0000-00000A7B0000}"/>
    <cellStyle name="Normal 26 4 12" xfId="30676" xr:uid="{00000000-0005-0000-0000-00000B7B0000}"/>
    <cellStyle name="Normal 26 4 13" xfId="30677" xr:uid="{00000000-0005-0000-0000-00000C7B0000}"/>
    <cellStyle name="Normal 26 4 2" xfId="30678" xr:uid="{00000000-0005-0000-0000-00000D7B0000}"/>
    <cellStyle name="Normal 26 4 2 2" xfId="30679" xr:uid="{00000000-0005-0000-0000-00000E7B0000}"/>
    <cellStyle name="Normal 26 4 2 3" xfId="30680" xr:uid="{00000000-0005-0000-0000-00000F7B0000}"/>
    <cellStyle name="Normal 26 4 2 4" xfId="30681" xr:uid="{00000000-0005-0000-0000-0000107B0000}"/>
    <cellStyle name="Normal 26 4 2 5" xfId="30682" xr:uid="{00000000-0005-0000-0000-0000117B0000}"/>
    <cellStyle name="Normal 26 4 2 6" xfId="30683" xr:uid="{00000000-0005-0000-0000-0000127B0000}"/>
    <cellStyle name="Normal 26 4 3" xfId="30684" xr:uid="{00000000-0005-0000-0000-0000137B0000}"/>
    <cellStyle name="Normal 26 4 3 2" xfId="30685" xr:uid="{00000000-0005-0000-0000-0000147B0000}"/>
    <cellStyle name="Normal 26 4 3 3" xfId="30686" xr:uid="{00000000-0005-0000-0000-0000157B0000}"/>
    <cellStyle name="Normal 26 4 3 4" xfId="30687" xr:uid="{00000000-0005-0000-0000-0000167B0000}"/>
    <cellStyle name="Normal 26 4 3 5" xfId="30688" xr:uid="{00000000-0005-0000-0000-0000177B0000}"/>
    <cellStyle name="Normal 26 4 3 6" xfId="30689" xr:uid="{00000000-0005-0000-0000-0000187B0000}"/>
    <cellStyle name="Normal 26 4 4" xfId="30690" xr:uid="{00000000-0005-0000-0000-0000197B0000}"/>
    <cellStyle name="Normal 26 4 4 2" xfId="30691" xr:uid="{00000000-0005-0000-0000-00001A7B0000}"/>
    <cellStyle name="Normal 26 4 4 3" xfId="30692" xr:uid="{00000000-0005-0000-0000-00001B7B0000}"/>
    <cellStyle name="Normal 26 4 4 4" xfId="30693" xr:uid="{00000000-0005-0000-0000-00001C7B0000}"/>
    <cellStyle name="Normal 26 4 4 5" xfId="30694" xr:uid="{00000000-0005-0000-0000-00001D7B0000}"/>
    <cellStyle name="Normal 26 4 4 6" xfId="30695" xr:uid="{00000000-0005-0000-0000-00001E7B0000}"/>
    <cellStyle name="Normal 26 4 5" xfId="30696" xr:uid="{00000000-0005-0000-0000-00001F7B0000}"/>
    <cellStyle name="Normal 26 4 5 2" xfId="30697" xr:uid="{00000000-0005-0000-0000-0000207B0000}"/>
    <cellStyle name="Normal 26 4 5 3" xfId="30698" xr:uid="{00000000-0005-0000-0000-0000217B0000}"/>
    <cellStyle name="Normal 26 4 5 4" xfId="30699" xr:uid="{00000000-0005-0000-0000-0000227B0000}"/>
    <cellStyle name="Normal 26 4 5 5" xfId="30700" xr:uid="{00000000-0005-0000-0000-0000237B0000}"/>
    <cellStyle name="Normal 26 4 5 6" xfId="30701" xr:uid="{00000000-0005-0000-0000-0000247B0000}"/>
    <cellStyle name="Normal 26 4 6" xfId="30702" xr:uid="{00000000-0005-0000-0000-0000257B0000}"/>
    <cellStyle name="Normal 26 4 6 2" xfId="30703" xr:uid="{00000000-0005-0000-0000-0000267B0000}"/>
    <cellStyle name="Normal 26 4 6 3" xfId="30704" xr:uid="{00000000-0005-0000-0000-0000277B0000}"/>
    <cellStyle name="Normal 26 4 6 4" xfId="30705" xr:uid="{00000000-0005-0000-0000-0000287B0000}"/>
    <cellStyle name="Normal 26 4 6 5" xfId="30706" xr:uid="{00000000-0005-0000-0000-0000297B0000}"/>
    <cellStyle name="Normal 26 4 6 6" xfId="30707" xr:uid="{00000000-0005-0000-0000-00002A7B0000}"/>
    <cellStyle name="Normal 26 4 7" xfId="30708" xr:uid="{00000000-0005-0000-0000-00002B7B0000}"/>
    <cellStyle name="Normal 26 4 7 2" xfId="30709" xr:uid="{00000000-0005-0000-0000-00002C7B0000}"/>
    <cellStyle name="Normal 26 4 7 3" xfId="30710" xr:uid="{00000000-0005-0000-0000-00002D7B0000}"/>
    <cellStyle name="Normal 26 4 7 4" xfId="30711" xr:uid="{00000000-0005-0000-0000-00002E7B0000}"/>
    <cellStyle name="Normal 26 4 7 5" xfId="30712" xr:uid="{00000000-0005-0000-0000-00002F7B0000}"/>
    <cellStyle name="Normal 26 4 7 6" xfId="30713" xr:uid="{00000000-0005-0000-0000-0000307B0000}"/>
    <cellStyle name="Normal 26 4 8" xfId="30714" xr:uid="{00000000-0005-0000-0000-0000317B0000}"/>
    <cellStyle name="Normal 26 4 8 2" xfId="30715" xr:uid="{00000000-0005-0000-0000-0000327B0000}"/>
    <cellStyle name="Normal 26 4 8 3" xfId="30716" xr:uid="{00000000-0005-0000-0000-0000337B0000}"/>
    <cellStyle name="Normal 26 4 8 4" xfId="30717" xr:uid="{00000000-0005-0000-0000-0000347B0000}"/>
    <cellStyle name="Normal 26 4 8 5" xfId="30718" xr:uid="{00000000-0005-0000-0000-0000357B0000}"/>
    <cellStyle name="Normal 26 4 8 6" xfId="30719" xr:uid="{00000000-0005-0000-0000-0000367B0000}"/>
    <cellStyle name="Normal 26 4 9" xfId="30720" xr:uid="{00000000-0005-0000-0000-0000377B0000}"/>
    <cellStyle name="Normal 26 5" xfId="30721" xr:uid="{00000000-0005-0000-0000-0000387B0000}"/>
    <cellStyle name="Normal 26 5 10" xfId="30722" xr:uid="{00000000-0005-0000-0000-0000397B0000}"/>
    <cellStyle name="Normal 26 5 11" xfId="30723" xr:uid="{00000000-0005-0000-0000-00003A7B0000}"/>
    <cellStyle name="Normal 26 5 12" xfId="30724" xr:uid="{00000000-0005-0000-0000-00003B7B0000}"/>
    <cellStyle name="Normal 26 5 13" xfId="30725" xr:uid="{00000000-0005-0000-0000-00003C7B0000}"/>
    <cellStyle name="Normal 26 5 2" xfId="30726" xr:uid="{00000000-0005-0000-0000-00003D7B0000}"/>
    <cellStyle name="Normal 26 5 2 2" xfId="30727" xr:uid="{00000000-0005-0000-0000-00003E7B0000}"/>
    <cellStyle name="Normal 26 5 2 3" xfId="30728" xr:uid="{00000000-0005-0000-0000-00003F7B0000}"/>
    <cellStyle name="Normal 26 5 2 4" xfId="30729" xr:uid="{00000000-0005-0000-0000-0000407B0000}"/>
    <cellStyle name="Normal 26 5 2 5" xfId="30730" xr:uid="{00000000-0005-0000-0000-0000417B0000}"/>
    <cellStyle name="Normal 26 5 2 6" xfId="30731" xr:uid="{00000000-0005-0000-0000-0000427B0000}"/>
    <cellStyle name="Normal 26 5 3" xfId="30732" xr:uid="{00000000-0005-0000-0000-0000437B0000}"/>
    <cellStyle name="Normal 26 5 3 2" xfId="30733" xr:uid="{00000000-0005-0000-0000-0000447B0000}"/>
    <cellStyle name="Normal 26 5 3 3" xfId="30734" xr:uid="{00000000-0005-0000-0000-0000457B0000}"/>
    <cellStyle name="Normal 26 5 3 4" xfId="30735" xr:uid="{00000000-0005-0000-0000-0000467B0000}"/>
    <cellStyle name="Normal 26 5 3 5" xfId="30736" xr:uid="{00000000-0005-0000-0000-0000477B0000}"/>
    <cellStyle name="Normal 26 5 3 6" xfId="30737" xr:uid="{00000000-0005-0000-0000-0000487B0000}"/>
    <cellStyle name="Normal 26 5 4" xfId="30738" xr:uid="{00000000-0005-0000-0000-0000497B0000}"/>
    <cellStyle name="Normal 26 5 4 2" xfId="30739" xr:uid="{00000000-0005-0000-0000-00004A7B0000}"/>
    <cellStyle name="Normal 26 5 4 3" xfId="30740" xr:uid="{00000000-0005-0000-0000-00004B7B0000}"/>
    <cellStyle name="Normal 26 5 4 4" xfId="30741" xr:uid="{00000000-0005-0000-0000-00004C7B0000}"/>
    <cellStyle name="Normal 26 5 4 5" xfId="30742" xr:uid="{00000000-0005-0000-0000-00004D7B0000}"/>
    <cellStyle name="Normal 26 5 4 6" xfId="30743" xr:uid="{00000000-0005-0000-0000-00004E7B0000}"/>
    <cellStyle name="Normal 26 5 5" xfId="30744" xr:uid="{00000000-0005-0000-0000-00004F7B0000}"/>
    <cellStyle name="Normal 26 5 5 2" xfId="30745" xr:uid="{00000000-0005-0000-0000-0000507B0000}"/>
    <cellStyle name="Normal 26 5 5 3" xfId="30746" xr:uid="{00000000-0005-0000-0000-0000517B0000}"/>
    <cellStyle name="Normal 26 5 5 4" xfId="30747" xr:uid="{00000000-0005-0000-0000-0000527B0000}"/>
    <cellStyle name="Normal 26 5 5 5" xfId="30748" xr:uid="{00000000-0005-0000-0000-0000537B0000}"/>
    <cellStyle name="Normal 26 5 5 6" xfId="30749" xr:uid="{00000000-0005-0000-0000-0000547B0000}"/>
    <cellStyle name="Normal 26 5 6" xfId="30750" xr:uid="{00000000-0005-0000-0000-0000557B0000}"/>
    <cellStyle name="Normal 26 5 6 2" xfId="30751" xr:uid="{00000000-0005-0000-0000-0000567B0000}"/>
    <cellStyle name="Normal 26 5 6 3" xfId="30752" xr:uid="{00000000-0005-0000-0000-0000577B0000}"/>
    <cellStyle name="Normal 26 5 6 4" xfId="30753" xr:uid="{00000000-0005-0000-0000-0000587B0000}"/>
    <cellStyle name="Normal 26 5 6 5" xfId="30754" xr:uid="{00000000-0005-0000-0000-0000597B0000}"/>
    <cellStyle name="Normal 26 5 6 6" xfId="30755" xr:uid="{00000000-0005-0000-0000-00005A7B0000}"/>
    <cellStyle name="Normal 26 5 7" xfId="30756" xr:uid="{00000000-0005-0000-0000-00005B7B0000}"/>
    <cellStyle name="Normal 26 5 7 2" xfId="30757" xr:uid="{00000000-0005-0000-0000-00005C7B0000}"/>
    <cellStyle name="Normal 26 5 7 3" xfId="30758" xr:uid="{00000000-0005-0000-0000-00005D7B0000}"/>
    <cellStyle name="Normal 26 5 7 4" xfId="30759" xr:uid="{00000000-0005-0000-0000-00005E7B0000}"/>
    <cellStyle name="Normal 26 5 7 5" xfId="30760" xr:uid="{00000000-0005-0000-0000-00005F7B0000}"/>
    <cellStyle name="Normal 26 5 7 6" xfId="30761" xr:uid="{00000000-0005-0000-0000-0000607B0000}"/>
    <cellStyle name="Normal 26 5 8" xfId="30762" xr:uid="{00000000-0005-0000-0000-0000617B0000}"/>
    <cellStyle name="Normal 26 5 8 2" xfId="30763" xr:uid="{00000000-0005-0000-0000-0000627B0000}"/>
    <cellStyle name="Normal 26 5 8 3" xfId="30764" xr:uid="{00000000-0005-0000-0000-0000637B0000}"/>
    <cellStyle name="Normal 26 5 8 4" xfId="30765" xr:uid="{00000000-0005-0000-0000-0000647B0000}"/>
    <cellStyle name="Normal 26 5 8 5" xfId="30766" xr:uid="{00000000-0005-0000-0000-0000657B0000}"/>
    <cellStyle name="Normal 26 5 8 6" xfId="30767" xr:uid="{00000000-0005-0000-0000-0000667B0000}"/>
    <cellStyle name="Normal 26 5 9" xfId="30768" xr:uid="{00000000-0005-0000-0000-0000677B0000}"/>
    <cellStyle name="Normal 26 6" xfId="30769" xr:uid="{00000000-0005-0000-0000-0000687B0000}"/>
    <cellStyle name="Normal 26 6 10" xfId="30770" xr:uid="{00000000-0005-0000-0000-0000697B0000}"/>
    <cellStyle name="Normal 26 6 11" xfId="30771" xr:uid="{00000000-0005-0000-0000-00006A7B0000}"/>
    <cellStyle name="Normal 26 6 12" xfId="30772" xr:uid="{00000000-0005-0000-0000-00006B7B0000}"/>
    <cellStyle name="Normal 26 6 13" xfId="30773" xr:uid="{00000000-0005-0000-0000-00006C7B0000}"/>
    <cellStyle name="Normal 26 6 2" xfId="30774" xr:uid="{00000000-0005-0000-0000-00006D7B0000}"/>
    <cellStyle name="Normal 26 6 2 2" xfId="30775" xr:uid="{00000000-0005-0000-0000-00006E7B0000}"/>
    <cellStyle name="Normal 26 6 2 3" xfId="30776" xr:uid="{00000000-0005-0000-0000-00006F7B0000}"/>
    <cellStyle name="Normal 26 6 2 4" xfId="30777" xr:uid="{00000000-0005-0000-0000-0000707B0000}"/>
    <cellStyle name="Normal 26 6 2 5" xfId="30778" xr:uid="{00000000-0005-0000-0000-0000717B0000}"/>
    <cellStyle name="Normal 26 6 2 6" xfId="30779" xr:uid="{00000000-0005-0000-0000-0000727B0000}"/>
    <cellStyle name="Normal 26 6 3" xfId="30780" xr:uid="{00000000-0005-0000-0000-0000737B0000}"/>
    <cellStyle name="Normal 26 6 3 2" xfId="30781" xr:uid="{00000000-0005-0000-0000-0000747B0000}"/>
    <cellStyle name="Normal 26 6 3 3" xfId="30782" xr:uid="{00000000-0005-0000-0000-0000757B0000}"/>
    <cellStyle name="Normal 26 6 3 4" xfId="30783" xr:uid="{00000000-0005-0000-0000-0000767B0000}"/>
    <cellStyle name="Normal 26 6 3 5" xfId="30784" xr:uid="{00000000-0005-0000-0000-0000777B0000}"/>
    <cellStyle name="Normal 26 6 3 6" xfId="30785" xr:uid="{00000000-0005-0000-0000-0000787B0000}"/>
    <cellStyle name="Normal 26 6 4" xfId="30786" xr:uid="{00000000-0005-0000-0000-0000797B0000}"/>
    <cellStyle name="Normal 26 6 4 2" xfId="30787" xr:uid="{00000000-0005-0000-0000-00007A7B0000}"/>
    <cellStyle name="Normal 26 6 4 3" xfId="30788" xr:uid="{00000000-0005-0000-0000-00007B7B0000}"/>
    <cellStyle name="Normal 26 6 4 4" xfId="30789" xr:uid="{00000000-0005-0000-0000-00007C7B0000}"/>
    <cellStyle name="Normal 26 6 4 5" xfId="30790" xr:uid="{00000000-0005-0000-0000-00007D7B0000}"/>
    <cellStyle name="Normal 26 6 4 6" xfId="30791" xr:uid="{00000000-0005-0000-0000-00007E7B0000}"/>
    <cellStyle name="Normal 26 6 5" xfId="30792" xr:uid="{00000000-0005-0000-0000-00007F7B0000}"/>
    <cellStyle name="Normal 26 6 5 2" xfId="30793" xr:uid="{00000000-0005-0000-0000-0000807B0000}"/>
    <cellStyle name="Normal 26 6 5 3" xfId="30794" xr:uid="{00000000-0005-0000-0000-0000817B0000}"/>
    <cellStyle name="Normal 26 6 5 4" xfId="30795" xr:uid="{00000000-0005-0000-0000-0000827B0000}"/>
    <cellStyle name="Normal 26 6 5 5" xfId="30796" xr:uid="{00000000-0005-0000-0000-0000837B0000}"/>
    <cellStyle name="Normal 26 6 5 6" xfId="30797" xr:uid="{00000000-0005-0000-0000-0000847B0000}"/>
    <cellStyle name="Normal 26 6 6" xfId="30798" xr:uid="{00000000-0005-0000-0000-0000857B0000}"/>
    <cellStyle name="Normal 26 6 6 2" xfId="30799" xr:uid="{00000000-0005-0000-0000-0000867B0000}"/>
    <cellStyle name="Normal 26 6 6 3" xfId="30800" xr:uid="{00000000-0005-0000-0000-0000877B0000}"/>
    <cellStyle name="Normal 26 6 6 4" xfId="30801" xr:uid="{00000000-0005-0000-0000-0000887B0000}"/>
    <cellStyle name="Normal 26 6 6 5" xfId="30802" xr:uid="{00000000-0005-0000-0000-0000897B0000}"/>
    <cellStyle name="Normal 26 6 6 6" xfId="30803" xr:uid="{00000000-0005-0000-0000-00008A7B0000}"/>
    <cellStyle name="Normal 26 6 7" xfId="30804" xr:uid="{00000000-0005-0000-0000-00008B7B0000}"/>
    <cellStyle name="Normal 26 6 7 2" xfId="30805" xr:uid="{00000000-0005-0000-0000-00008C7B0000}"/>
    <cellStyle name="Normal 26 6 7 3" xfId="30806" xr:uid="{00000000-0005-0000-0000-00008D7B0000}"/>
    <cellStyle name="Normal 26 6 7 4" xfId="30807" xr:uid="{00000000-0005-0000-0000-00008E7B0000}"/>
    <cellStyle name="Normal 26 6 7 5" xfId="30808" xr:uid="{00000000-0005-0000-0000-00008F7B0000}"/>
    <cellStyle name="Normal 26 6 7 6" xfId="30809" xr:uid="{00000000-0005-0000-0000-0000907B0000}"/>
    <cellStyle name="Normal 26 6 8" xfId="30810" xr:uid="{00000000-0005-0000-0000-0000917B0000}"/>
    <cellStyle name="Normal 26 6 8 2" xfId="30811" xr:uid="{00000000-0005-0000-0000-0000927B0000}"/>
    <cellStyle name="Normal 26 6 8 3" xfId="30812" xr:uid="{00000000-0005-0000-0000-0000937B0000}"/>
    <cellStyle name="Normal 26 6 8 4" xfId="30813" xr:uid="{00000000-0005-0000-0000-0000947B0000}"/>
    <cellStyle name="Normal 26 6 8 5" xfId="30814" xr:uid="{00000000-0005-0000-0000-0000957B0000}"/>
    <cellStyle name="Normal 26 6 8 6" xfId="30815" xr:uid="{00000000-0005-0000-0000-0000967B0000}"/>
    <cellStyle name="Normal 26 6 9" xfId="30816" xr:uid="{00000000-0005-0000-0000-0000977B0000}"/>
    <cellStyle name="Normal 26 7" xfId="30817" xr:uid="{00000000-0005-0000-0000-0000987B0000}"/>
    <cellStyle name="Normal 26 7 10" xfId="30818" xr:uid="{00000000-0005-0000-0000-0000997B0000}"/>
    <cellStyle name="Normal 26 7 11" xfId="30819" xr:uid="{00000000-0005-0000-0000-00009A7B0000}"/>
    <cellStyle name="Normal 26 7 12" xfId="30820" xr:uid="{00000000-0005-0000-0000-00009B7B0000}"/>
    <cellStyle name="Normal 26 7 13" xfId="30821" xr:uid="{00000000-0005-0000-0000-00009C7B0000}"/>
    <cellStyle name="Normal 26 7 2" xfId="30822" xr:uid="{00000000-0005-0000-0000-00009D7B0000}"/>
    <cellStyle name="Normal 26 7 2 2" xfId="30823" xr:uid="{00000000-0005-0000-0000-00009E7B0000}"/>
    <cellStyle name="Normal 26 7 2 3" xfId="30824" xr:uid="{00000000-0005-0000-0000-00009F7B0000}"/>
    <cellStyle name="Normal 26 7 2 4" xfId="30825" xr:uid="{00000000-0005-0000-0000-0000A07B0000}"/>
    <cellStyle name="Normal 26 7 2 5" xfId="30826" xr:uid="{00000000-0005-0000-0000-0000A17B0000}"/>
    <cellStyle name="Normal 26 7 2 6" xfId="30827" xr:uid="{00000000-0005-0000-0000-0000A27B0000}"/>
    <cellStyle name="Normal 26 7 3" xfId="30828" xr:uid="{00000000-0005-0000-0000-0000A37B0000}"/>
    <cellStyle name="Normal 26 7 3 2" xfId="30829" xr:uid="{00000000-0005-0000-0000-0000A47B0000}"/>
    <cellStyle name="Normal 26 7 3 3" xfId="30830" xr:uid="{00000000-0005-0000-0000-0000A57B0000}"/>
    <cellStyle name="Normal 26 7 3 4" xfId="30831" xr:uid="{00000000-0005-0000-0000-0000A67B0000}"/>
    <cellStyle name="Normal 26 7 3 5" xfId="30832" xr:uid="{00000000-0005-0000-0000-0000A77B0000}"/>
    <cellStyle name="Normal 26 7 3 6" xfId="30833" xr:uid="{00000000-0005-0000-0000-0000A87B0000}"/>
    <cellStyle name="Normal 26 7 4" xfId="30834" xr:uid="{00000000-0005-0000-0000-0000A97B0000}"/>
    <cellStyle name="Normal 26 7 4 2" xfId="30835" xr:uid="{00000000-0005-0000-0000-0000AA7B0000}"/>
    <cellStyle name="Normal 26 7 4 3" xfId="30836" xr:uid="{00000000-0005-0000-0000-0000AB7B0000}"/>
    <cellStyle name="Normal 26 7 4 4" xfId="30837" xr:uid="{00000000-0005-0000-0000-0000AC7B0000}"/>
    <cellStyle name="Normal 26 7 4 5" xfId="30838" xr:uid="{00000000-0005-0000-0000-0000AD7B0000}"/>
    <cellStyle name="Normal 26 7 4 6" xfId="30839" xr:uid="{00000000-0005-0000-0000-0000AE7B0000}"/>
    <cellStyle name="Normal 26 7 5" xfId="30840" xr:uid="{00000000-0005-0000-0000-0000AF7B0000}"/>
    <cellStyle name="Normal 26 7 5 2" xfId="30841" xr:uid="{00000000-0005-0000-0000-0000B07B0000}"/>
    <cellStyle name="Normal 26 7 5 3" xfId="30842" xr:uid="{00000000-0005-0000-0000-0000B17B0000}"/>
    <cellStyle name="Normal 26 7 5 4" xfId="30843" xr:uid="{00000000-0005-0000-0000-0000B27B0000}"/>
    <cellStyle name="Normal 26 7 5 5" xfId="30844" xr:uid="{00000000-0005-0000-0000-0000B37B0000}"/>
    <cellStyle name="Normal 26 7 5 6" xfId="30845" xr:uid="{00000000-0005-0000-0000-0000B47B0000}"/>
    <cellStyle name="Normal 26 7 6" xfId="30846" xr:uid="{00000000-0005-0000-0000-0000B57B0000}"/>
    <cellStyle name="Normal 26 7 6 2" xfId="30847" xr:uid="{00000000-0005-0000-0000-0000B67B0000}"/>
    <cellStyle name="Normal 26 7 6 3" xfId="30848" xr:uid="{00000000-0005-0000-0000-0000B77B0000}"/>
    <cellStyle name="Normal 26 7 6 4" xfId="30849" xr:uid="{00000000-0005-0000-0000-0000B87B0000}"/>
    <cellStyle name="Normal 26 7 6 5" xfId="30850" xr:uid="{00000000-0005-0000-0000-0000B97B0000}"/>
    <cellStyle name="Normal 26 7 6 6" xfId="30851" xr:uid="{00000000-0005-0000-0000-0000BA7B0000}"/>
    <cellStyle name="Normal 26 7 7" xfId="30852" xr:uid="{00000000-0005-0000-0000-0000BB7B0000}"/>
    <cellStyle name="Normal 26 7 7 2" xfId="30853" xr:uid="{00000000-0005-0000-0000-0000BC7B0000}"/>
    <cellStyle name="Normal 26 7 7 3" xfId="30854" xr:uid="{00000000-0005-0000-0000-0000BD7B0000}"/>
    <cellStyle name="Normal 26 7 7 4" xfId="30855" xr:uid="{00000000-0005-0000-0000-0000BE7B0000}"/>
    <cellStyle name="Normal 26 7 7 5" xfId="30856" xr:uid="{00000000-0005-0000-0000-0000BF7B0000}"/>
    <cellStyle name="Normal 26 7 7 6" xfId="30857" xr:uid="{00000000-0005-0000-0000-0000C07B0000}"/>
    <cellStyle name="Normal 26 7 8" xfId="30858" xr:uid="{00000000-0005-0000-0000-0000C17B0000}"/>
    <cellStyle name="Normal 26 7 8 2" xfId="30859" xr:uid="{00000000-0005-0000-0000-0000C27B0000}"/>
    <cellStyle name="Normal 26 7 8 3" xfId="30860" xr:uid="{00000000-0005-0000-0000-0000C37B0000}"/>
    <cellStyle name="Normal 26 7 8 4" xfId="30861" xr:uid="{00000000-0005-0000-0000-0000C47B0000}"/>
    <cellStyle name="Normal 26 7 8 5" xfId="30862" xr:uid="{00000000-0005-0000-0000-0000C57B0000}"/>
    <cellStyle name="Normal 26 7 8 6" xfId="30863" xr:uid="{00000000-0005-0000-0000-0000C67B0000}"/>
    <cellStyle name="Normal 26 7 9" xfId="30864" xr:uid="{00000000-0005-0000-0000-0000C77B0000}"/>
    <cellStyle name="Normal 26 8" xfId="30865" xr:uid="{00000000-0005-0000-0000-0000C87B0000}"/>
    <cellStyle name="Normal 26 8 10" xfId="30866" xr:uid="{00000000-0005-0000-0000-0000C97B0000}"/>
    <cellStyle name="Normal 26 8 11" xfId="30867" xr:uid="{00000000-0005-0000-0000-0000CA7B0000}"/>
    <cellStyle name="Normal 26 8 12" xfId="30868" xr:uid="{00000000-0005-0000-0000-0000CB7B0000}"/>
    <cellStyle name="Normal 26 8 13" xfId="30869" xr:uid="{00000000-0005-0000-0000-0000CC7B0000}"/>
    <cellStyle name="Normal 26 8 2" xfId="30870" xr:uid="{00000000-0005-0000-0000-0000CD7B0000}"/>
    <cellStyle name="Normal 26 8 2 2" xfId="30871" xr:uid="{00000000-0005-0000-0000-0000CE7B0000}"/>
    <cellStyle name="Normal 26 8 2 3" xfId="30872" xr:uid="{00000000-0005-0000-0000-0000CF7B0000}"/>
    <cellStyle name="Normal 26 8 2 4" xfId="30873" xr:uid="{00000000-0005-0000-0000-0000D07B0000}"/>
    <cellStyle name="Normal 26 8 2 5" xfId="30874" xr:uid="{00000000-0005-0000-0000-0000D17B0000}"/>
    <cellStyle name="Normal 26 8 2 6" xfId="30875" xr:uid="{00000000-0005-0000-0000-0000D27B0000}"/>
    <cellStyle name="Normal 26 8 3" xfId="30876" xr:uid="{00000000-0005-0000-0000-0000D37B0000}"/>
    <cellStyle name="Normal 26 8 3 2" xfId="30877" xr:uid="{00000000-0005-0000-0000-0000D47B0000}"/>
    <cellStyle name="Normal 26 8 3 3" xfId="30878" xr:uid="{00000000-0005-0000-0000-0000D57B0000}"/>
    <cellStyle name="Normal 26 8 3 4" xfId="30879" xr:uid="{00000000-0005-0000-0000-0000D67B0000}"/>
    <cellStyle name="Normal 26 8 3 5" xfId="30880" xr:uid="{00000000-0005-0000-0000-0000D77B0000}"/>
    <cellStyle name="Normal 26 8 3 6" xfId="30881" xr:uid="{00000000-0005-0000-0000-0000D87B0000}"/>
    <cellStyle name="Normal 26 8 4" xfId="30882" xr:uid="{00000000-0005-0000-0000-0000D97B0000}"/>
    <cellStyle name="Normal 26 8 4 2" xfId="30883" xr:uid="{00000000-0005-0000-0000-0000DA7B0000}"/>
    <cellStyle name="Normal 26 8 4 3" xfId="30884" xr:uid="{00000000-0005-0000-0000-0000DB7B0000}"/>
    <cellStyle name="Normal 26 8 4 4" xfId="30885" xr:uid="{00000000-0005-0000-0000-0000DC7B0000}"/>
    <cellStyle name="Normal 26 8 4 5" xfId="30886" xr:uid="{00000000-0005-0000-0000-0000DD7B0000}"/>
    <cellStyle name="Normal 26 8 4 6" xfId="30887" xr:uid="{00000000-0005-0000-0000-0000DE7B0000}"/>
    <cellStyle name="Normal 26 8 5" xfId="30888" xr:uid="{00000000-0005-0000-0000-0000DF7B0000}"/>
    <cellStyle name="Normal 26 8 5 2" xfId="30889" xr:uid="{00000000-0005-0000-0000-0000E07B0000}"/>
    <cellStyle name="Normal 26 8 5 3" xfId="30890" xr:uid="{00000000-0005-0000-0000-0000E17B0000}"/>
    <cellStyle name="Normal 26 8 5 4" xfId="30891" xr:uid="{00000000-0005-0000-0000-0000E27B0000}"/>
    <cellStyle name="Normal 26 8 5 5" xfId="30892" xr:uid="{00000000-0005-0000-0000-0000E37B0000}"/>
    <cellStyle name="Normal 26 8 5 6" xfId="30893" xr:uid="{00000000-0005-0000-0000-0000E47B0000}"/>
    <cellStyle name="Normal 26 8 6" xfId="30894" xr:uid="{00000000-0005-0000-0000-0000E57B0000}"/>
    <cellStyle name="Normal 26 8 6 2" xfId="30895" xr:uid="{00000000-0005-0000-0000-0000E67B0000}"/>
    <cellStyle name="Normal 26 8 6 3" xfId="30896" xr:uid="{00000000-0005-0000-0000-0000E77B0000}"/>
    <cellStyle name="Normal 26 8 6 4" xfId="30897" xr:uid="{00000000-0005-0000-0000-0000E87B0000}"/>
    <cellStyle name="Normal 26 8 6 5" xfId="30898" xr:uid="{00000000-0005-0000-0000-0000E97B0000}"/>
    <cellStyle name="Normal 26 8 6 6" xfId="30899" xr:uid="{00000000-0005-0000-0000-0000EA7B0000}"/>
    <cellStyle name="Normal 26 8 7" xfId="30900" xr:uid="{00000000-0005-0000-0000-0000EB7B0000}"/>
    <cellStyle name="Normal 26 8 7 2" xfId="30901" xr:uid="{00000000-0005-0000-0000-0000EC7B0000}"/>
    <cellStyle name="Normal 26 8 7 3" xfId="30902" xr:uid="{00000000-0005-0000-0000-0000ED7B0000}"/>
    <cellStyle name="Normal 26 8 7 4" xfId="30903" xr:uid="{00000000-0005-0000-0000-0000EE7B0000}"/>
    <cellStyle name="Normal 26 8 7 5" xfId="30904" xr:uid="{00000000-0005-0000-0000-0000EF7B0000}"/>
    <cellStyle name="Normal 26 8 7 6" xfId="30905" xr:uid="{00000000-0005-0000-0000-0000F07B0000}"/>
    <cellStyle name="Normal 26 8 8" xfId="30906" xr:uid="{00000000-0005-0000-0000-0000F17B0000}"/>
    <cellStyle name="Normal 26 8 8 2" xfId="30907" xr:uid="{00000000-0005-0000-0000-0000F27B0000}"/>
    <cellStyle name="Normal 26 8 8 3" xfId="30908" xr:uid="{00000000-0005-0000-0000-0000F37B0000}"/>
    <cellStyle name="Normal 26 8 8 4" xfId="30909" xr:uid="{00000000-0005-0000-0000-0000F47B0000}"/>
    <cellStyle name="Normal 26 8 8 5" xfId="30910" xr:uid="{00000000-0005-0000-0000-0000F57B0000}"/>
    <cellStyle name="Normal 26 8 8 6" xfId="30911" xr:uid="{00000000-0005-0000-0000-0000F67B0000}"/>
    <cellStyle name="Normal 26 8 9" xfId="30912" xr:uid="{00000000-0005-0000-0000-0000F77B0000}"/>
    <cellStyle name="Normal 26 9" xfId="30913" xr:uid="{00000000-0005-0000-0000-0000F87B0000}"/>
    <cellStyle name="Normal 26 9 10" xfId="30914" xr:uid="{00000000-0005-0000-0000-0000F97B0000}"/>
    <cellStyle name="Normal 26 9 11" xfId="30915" xr:uid="{00000000-0005-0000-0000-0000FA7B0000}"/>
    <cellStyle name="Normal 26 9 12" xfId="30916" xr:uid="{00000000-0005-0000-0000-0000FB7B0000}"/>
    <cellStyle name="Normal 26 9 13" xfId="30917" xr:uid="{00000000-0005-0000-0000-0000FC7B0000}"/>
    <cellStyle name="Normal 26 9 2" xfId="30918" xr:uid="{00000000-0005-0000-0000-0000FD7B0000}"/>
    <cellStyle name="Normal 26 9 2 2" xfId="30919" xr:uid="{00000000-0005-0000-0000-0000FE7B0000}"/>
    <cellStyle name="Normal 26 9 2 3" xfId="30920" xr:uid="{00000000-0005-0000-0000-0000FF7B0000}"/>
    <cellStyle name="Normal 26 9 2 4" xfId="30921" xr:uid="{00000000-0005-0000-0000-0000007C0000}"/>
    <cellStyle name="Normal 26 9 2 5" xfId="30922" xr:uid="{00000000-0005-0000-0000-0000017C0000}"/>
    <cellStyle name="Normal 26 9 2 6" xfId="30923" xr:uid="{00000000-0005-0000-0000-0000027C0000}"/>
    <cellStyle name="Normal 26 9 3" xfId="30924" xr:uid="{00000000-0005-0000-0000-0000037C0000}"/>
    <cellStyle name="Normal 26 9 3 2" xfId="30925" xr:uid="{00000000-0005-0000-0000-0000047C0000}"/>
    <cellStyle name="Normal 26 9 3 3" xfId="30926" xr:uid="{00000000-0005-0000-0000-0000057C0000}"/>
    <cellStyle name="Normal 26 9 3 4" xfId="30927" xr:uid="{00000000-0005-0000-0000-0000067C0000}"/>
    <cellStyle name="Normal 26 9 3 5" xfId="30928" xr:uid="{00000000-0005-0000-0000-0000077C0000}"/>
    <cellStyle name="Normal 26 9 3 6" xfId="30929" xr:uid="{00000000-0005-0000-0000-0000087C0000}"/>
    <cellStyle name="Normal 26 9 4" xfId="30930" xr:uid="{00000000-0005-0000-0000-0000097C0000}"/>
    <cellStyle name="Normal 26 9 4 2" xfId="30931" xr:uid="{00000000-0005-0000-0000-00000A7C0000}"/>
    <cellStyle name="Normal 26 9 4 3" xfId="30932" xr:uid="{00000000-0005-0000-0000-00000B7C0000}"/>
    <cellStyle name="Normal 26 9 4 4" xfId="30933" xr:uid="{00000000-0005-0000-0000-00000C7C0000}"/>
    <cellStyle name="Normal 26 9 4 5" xfId="30934" xr:uid="{00000000-0005-0000-0000-00000D7C0000}"/>
    <cellStyle name="Normal 26 9 4 6" xfId="30935" xr:uid="{00000000-0005-0000-0000-00000E7C0000}"/>
    <cellStyle name="Normal 26 9 5" xfId="30936" xr:uid="{00000000-0005-0000-0000-00000F7C0000}"/>
    <cellStyle name="Normal 26 9 5 2" xfId="30937" xr:uid="{00000000-0005-0000-0000-0000107C0000}"/>
    <cellStyle name="Normal 26 9 5 3" xfId="30938" xr:uid="{00000000-0005-0000-0000-0000117C0000}"/>
    <cellStyle name="Normal 26 9 5 4" xfId="30939" xr:uid="{00000000-0005-0000-0000-0000127C0000}"/>
    <cellStyle name="Normal 26 9 5 5" xfId="30940" xr:uid="{00000000-0005-0000-0000-0000137C0000}"/>
    <cellStyle name="Normal 26 9 5 6" xfId="30941" xr:uid="{00000000-0005-0000-0000-0000147C0000}"/>
    <cellStyle name="Normal 26 9 6" xfId="30942" xr:uid="{00000000-0005-0000-0000-0000157C0000}"/>
    <cellStyle name="Normal 26 9 6 2" xfId="30943" xr:uid="{00000000-0005-0000-0000-0000167C0000}"/>
    <cellStyle name="Normal 26 9 6 3" xfId="30944" xr:uid="{00000000-0005-0000-0000-0000177C0000}"/>
    <cellStyle name="Normal 26 9 6 4" xfId="30945" xr:uid="{00000000-0005-0000-0000-0000187C0000}"/>
    <cellStyle name="Normal 26 9 6 5" xfId="30946" xr:uid="{00000000-0005-0000-0000-0000197C0000}"/>
    <cellStyle name="Normal 26 9 6 6" xfId="30947" xr:uid="{00000000-0005-0000-0000-00001A7C0000}"/>
    <cellStyle name="Normal 26 9 7" xfId="30948" xr:uid="{00000000-0005-0000-0000-00001B7C0000}"/>
    <cellStyle name="Normal 26 9 7 2" xfId="30949" xr:uid="{00000000-0005-0000-0000-00001C7C0000}"/>
    <cellStyle name="Normal 26 9 7 3" xfId="30950" xr:uid="{00000000-0005-0000-0000-00001D7C0000}"/>
    <cellStyle name="Normal 26 9 7 4" xfId="30951" xr:uid="{00000000-0005-0000-0000-00001E7C0000}"/>
    <cellStyle name="Normal 26 9 7 5" xfId="30952" xr:uid="{00000000-0005-0000-0000-00001F7C0000}"/>
    <cellStyle name="Normal 26 9 7 6" xfId="30953" xr:uid="{00000000-0005-0000-0000-0000207C0000}"/>
    <cellStyle name="Normal 26 9 8" xfId="30954" xr:uid="{00000000-0005-0000-0000-0000217C0000}"/>
    <cellStyle name="Normal 26 9 8 2" xfId="30955" xr:uid="{00000000-0005-0000-0000-0000227C0000}"/>
    <cellStyle name="Normal 26 9 8 3" xfId="30956" xr:uid="{00000000-0005-0000-0000-0000237C0000}"/>
    <cellStyle name="Normal 26 9 8 4" xfId="30957" xr:uid="{00000000-0005-0000-0000-0000247C0000}"/>
    <cellStyle name="Normal 26 9 8 5" xfId="30958" xr:uid="{00000000-0005-0000-0000-0000257C0000}"/>
    <cellStyle name="Normal 26 9 8 6" xfId="30959" xr:uid="{00000000-0005-0000-0000-0000267C0000}"/>
    <cellStyle name="Normal 26 9 9" xfId="30960" xr:uid="{00000000-0005-0000-0000-0000277C0000}"/>
    <cellStyle name="Normal 27" xfId="1784" xr:uid="{00000000-0005-0000-0000-0000287C0000}"/>
    <cellStyle name="Normal 27 10" xfId="30961" xr:uid="{00000000-0005-0000-0000-0000297C0000}"/>
    <cellStyle name="Normal 27 10 10" xfId="30962" xr:uid="{00000000-0005-0000-0000-00002A7C0000}"/>
    <cellStyle name="Normal 27 10 11" xfId="30963" xr:uid="{00000000-0005-0000-0000-00002B7C0000}"/>
    <cellStyle name="Normal 27 10 12" xfId="30964" xr:uid="{00000000-0005-0000-0000-00002C7C0000}"/>
    <cellStyle name="Normal 27 10 13" xfId="30965" xr:uid="{00000000-0005-0000-0000-00002D7C0000}"/>
    <cellStyle name="Normal 27 10 2" xfId="30966" xr:uid="{00000000-0005-0000-0000-00002E7C0000}"/>
    <cellStyle name="Normal 27 10 2 2" xfId="30967" xr:uid="{00000000-0005-0000-0000-00002F7C0000}"/>
    <cellStyle name="Normal 27 10 2 3" xfId="30968" xr:uid="{00000000-0005-0000-0000-0000307C0000}"/>
    <cellStyle name="Normal 27 10 2 4" xfId="30969" xr:uid="{00000000-0005-0000-0000-0000317C0000}"/>
    <cellStyle name="Normal 27 10 2 5" xfId="30970" xr:uid="{00000000-0005-0000-0000-0000327C0000}"/>
    <cellStyle name="Normal 27 10 2 6" xfId="30971" xr:uid="{00000000-0005-0000-0000-0000337C0000}"/>
    <cellStyle name="Normal 27 10 3" xfId="30972" xr:uid="{00000000-0005-0000-0000-0000347C0000}"/>
    <cellStyle name="Normal 27 10 3 2" xfId="30973" xr:uid="{00000000-0005-0000-0000-0000357C0000}"/>
    <cellStyle name="Normal 27 10 3 3" xfId="30974" xr:uid="{00000000-0005-0000-0000-0000367C0000}"/>
    <cellStyle name="Normal 27 10 3 4" xfId="30975" xr:uid="{00000000-0005-0000-0000-0000377C0000}"/>
    <cellStyle name="Normal 27 10 3 5" xfId="30976" xr:uid="{00000000-0005-0000-0000-0000387C0000}"/>
    <cellStyle name="Normal 27 10 3 6" xfId="30977" xr:uid="{00000000-0005-0000-0000-0000397C0000}"/>
    <cellStyle name="Normal 27 10 4" xfId="30978" xr:uid="{00000000-0005-0000-0000-00003A7C0000}"/>
    <cellStyle name="Normal 27 10 4 2" xfId="30979" xr:uid="{00000000-0005-0000-0000-00003B7C0000}"/>
    <cellStyle name="Normal 27 10 4 3" xfId="30980" xr:uid="{00000000-0005-0000-0000-00003C7C0000}"/>
    <cellStyle name="Normal 27 10 4 4" xfId="30981" xr:uid="{00000000-0005-0000-0000-00003D7C0000}"/>
    <cellStyle name="Normal 27 10 4 5" xfId="30982" xr:uid="{00000000-0005-0000-0000-00003E7C0000}"/>
    <cellStyle name="Normal 27 10 4 6" xfId="30983" xr:uid="{00000000-0005-0000-0000-00003F7C0000}"/>
    <cellStyle name="Normal 27 10 5" xfId="30984" xr:uid="{00000000-0005-0000-0000-0000407C0000}"/>
    <cellStyle name="Normal 27 10 5 2" xfId="30985" xr:uid="{00000000-0005-0000-0000-0000417C0000}"/>
    <cellStyle name="Normal 27 10 5 3" xfId="30986" xr:uid="{00000000-0005-0000-0000-0000427C0000}"/>
    <cellStyle name="Normal 27 10 5 4" xfId="30987" xr:uid="{00000000-0005-0000-0000-0000437C0000}"/>
    <cellStyle name="Normal 27 10 5 5" xfId="30988" xr:uid="{00000000-0005-0000-0000-0000447C0000}"/>
    <cellStyle name="Normal 27 10 5 6" xfId="30989" xr:uid="{00000000-0005-0000-0000-0000457C0000}"/>
    <cellStyle name="Normal 27 10 6" xfId="30990" xr:uid="{00000000-0005-0000-0000-0000467C0000}"/>
    <cellStyle name="Normal 27 10 6 2" xfId="30991" xr:uid="{00000000-0005-0000-0000-0000477C0000}"/>
    <cellStyle name="Normal 27 10 6 3" xfId="30992" xr:uid="{00000000-0005-0000-0000-0000487C0000}"/>
    <cellStyle name="Normal 27 10 6 4" xfId="30993" xr:uid="{00000000-0005-0000-0000-0000497C0000}"/>
    <cellStyle name="Normal 27 10 6 5" xfId="30994" xr:uid="{00000000-0005-0000-0000-00004A7C0000}"/>
    <cellStyle name="Normal 27 10 6 6" xfId="30995" xr:uid="{00000000-0005-0000-0000-00004B7C0000}"/>
    <cellStyle name="Normal 27 10 7" xfId="30996" xr:uid="{00000000-0005-0000-0000-00004C7C0000}"/>
    <cellStyle name="Normal 27 10 7 2" xfId="30997" xr:uid="{00000000-0005-0000-0000-00004D7C0000}"/>
    <cellStyle name="Normal 27 10 7 3" xfId="30998" xr:uid="{00000000-0005-0000-0000-00004E7C0000}"/>
    <cellStyle name="Normal 27 10 7 4" xfId="30999" xr:uid="{00000000-0005-0000-0000-00004F7C0000}"/>
    <cellStyle name="Normal 27 10 7 5" xfId="31000" xr:uid="{00000000-0005-0000-0000-0000507C0000}"/>
    <cellStyle name="Normal 27 10 7 6" xfId="31001" xr:uid="{00000000-0005-0000-0000-0000517C0000}"/>
    <cellStyle name="Normal 27 10 8" xfId="31002" xr:uid="{00000000-0005-0000-0000-0000527C0000}"/>
    <cellStyle name="Normal 27 10 8 2" xfId="31003" xr:uid="{00000000-0005-0000-0000-0000537C0000}"/>
    <cellStyle name="Normal 27 10 8 3" xfId="31004" xr:uid="{00000000-0005-0000-0000-0000547C0000}"/>
    <cellStyle name="Normal 27 10 8 4" xfId="31005" xr:uid="{00000000-0005-0000-0000-0000557C0000}"/>
    <cellStyle name="Normal 27 10 8 5" xfId="31006" xr:uid="{00000000-0005-0000-0000-0000567C0000}"/>
    <cellStyle name="Normal 27 10 8 6" xfId="31007" xr:uid="{00000000-0005-0000-0000-0000577C0000}"/>
    <cellStyle name="Normal 27 10 9" xfId="31008" xr:uid="{00000000-0005-0000-0000-0000587C0000}"/>
    <cellStyle name="Normal 27 11" xfId="31009" xr:uid="{00000000-0005-0000-0000-0000597C0000}"/>
    <cellStyle name="Normal 27 11 10" xfId="31010" xr:uid="{00000000-0005-0000-0000-00005A7C0000}"/>
    <cellStyle name="Normal 27 11 11" xfId="31011" xr:uid="{00000000-0005-0000-0000-00005B7C0000}"/>
    <cellStyle name="Normal 27 11 12" xfId="31012" xr:uid="{00000000-0005-0000-0000-00005C7C0000}"/>
    <cellStyle name="Normal 27 11 13" xfId="31013" xr:uid="{00000000-0005-0000-0000-00005D7C0000}"/>
    <cellStyle name="Normal 27 11 2" xfId="31014" xr:uid="{00000000-0005-0000-0000-00005E7C0000}"/>
    <cellStyle name="Normal 27 11 2 2" xfId="31015" xr:uid="{00000000-0005-0000-0000-00005F7C0000}"/>
    <cellStyle name="Normal 27 11 2 3" xfId="31016" xr:uid="{00000000-0005-0000-0000-0000607C0000}"/>
    <cellStyle name="Normal 27 11 2 4" xfId="31017" xr:uid="{00000000-0005-0000-0000-0000617C0000}"/>
    <cellStyle name="Normal 27 11 2 5" xfId="31018" xr:uid="{00000000-0005-0000-0000-0000627C0000}"/>
    <cellStyle name="Normal 27 11 2 6" xfId="31019" xr:uid="{00000000-0005-0000-0000-0000637C0000}"/>
    <cellStyle name="Normal 27 11 3" xfId="31020" xr:uid="{00000000-0005-0000-0000-0000647C0000}"/>
    <cellStyle name="Normal 27 11 3 2" xfId="31021" xr:uid="{00000000-0005-0000-0000-0000657C0000}"/>
    <cellStyle name="Normal 27 11 3 3" xfId="31022" xr:uid="{00000000-0005-0000-0000-0000667C0000}"/>
    <cellStyle name="Normal 27 11 3 4" xfId="31023" xr:uid="{00000000-0005-0000-0000-0000677C0000}"/>
    <cellStyle name="Normal 27 11 3 5" xfId="31024" xr:uid="{00000000-0005-0000-0000-0000687C0000}"/>
    <cellStyle name="Normal 27 11 3 6" xfId="31025" xr:uid="{00000000-0005-0000-0000-0000697C0000}"/>
    <cellStyle name="Normal 27 11 4" xfId="31026" xr:uid="{00000000-0005-0000-0000-00006A7C0000}"/>
    <cellStyle name="Normal 27 11 4 2" xfId="31027" xr:uid="{00000000-0005-0000-0000-00006B7C0000}"/>
    <cellStyle name="Normal 27 11 4 3" xfId="31028" xr:uid="{00000000-0005-0000-0000-00006C7C0000}"/>
    <cellStyle name="Normal 27 11 4 4" xfId="31029" xr:uid="{00000000-0005-0000-0000-00006D7C0000}"/>
    <cellStyle name="Normal 27 11 4 5" xfId="31030" xr:uid="{00000000-0005-0000-0000-00006E7C0000}"/>
    <cellStyle name="Normal 27 11 4 6" xfId="31031" xr:uid="{00000000-0005-0000-0000-00006F7C0000}"/>
    <cellStyle name="Normal 27 11 5" xfId="31032" xr:uid="{00000000-0005-0000-0000-0000707C0000}"/>
    <cellStyle name="Normal 27 11 5 2" xfId="31033" xr:uid="{00000000-0005-0000-0000-0000717C0000}"/>
    <cellStyle name="Normal 27 11 5 3" xfId="31034" xr:uid="{00000000-0005-0000-0000-0000727C0000}"/>
    <cellStyle name="Normal 27 11 5 4" xfId="31035" xr:uid="{00000000-0005-0000-0000-0000737C0000}"/>
    <cellStyle name="Normal 27 11 5 5" xfId="31036" xr:uid="{00000000-0005-0000-0000-0000747C0000}"/>
    <cellStyle name="Normal 27 11 5 6" xfId="31037" xr:uid="{00000000-0005-0000-0000-0000757C0000}"/>
    <cellStyle name="Normal 27 11 6" xfId="31038" xr:uid="{00000000-0005-0000-0000-0000767C0000}"/>
    <cellStyle name="Normal 27 11 6 2" xfId="31039" xr:uid="{00000000-0005-0000-0000-0000777C0000}"/>
    <cellStyle name="Normal 27 11 6 3" xfId="31040" xr:uid="{00000000-0005-0000-0000-0000787C0000}"/>
    <cellStyle name="Normal 27 11 6 4" xfId="31041" xr:uid="{00000000-0005-0000-0000-0000797C0000}"/>
    <cellStyle name="Normal 27 11 6 5" xfId="31042" xr:uid="{00000000-0005-0000-0000-00007A7C0000}"/>
    <cellStyle name="Normal 27 11 6 6" xfId="31043" xr:uid="{00000000-0005-0000-0000-00007B7C0000}"/>
    <cellStyle name="Normal 27 11 7" xfId="31044" xr:uid="{00000000-0005-0000-0000-00007C7C0000}"/>
    <cellStyle name="Normal 27 11 7 2" xfId="31045" xr:uid="{00000000-0005-0000-0000-00007D7C0000}"/>
    <cellStyle name="Normal 27 11 7 3" xfId="31046" xr:uid="{00000000-0005-0000-0000-00007E7C0000}"/>
    <cellStyle name="Normal 27 11 7 4" xfId="31047" xr:uid="{00000000-0005-0000-0000-00007F7C0000}"/>
    <cellStyle name="Normal 27 11 7 5" xfId="31048" xr:uid="{00000000-0005-0000-0000-0000807C0000}"/>
    <cellStyle name="Normal 27 11 7 6" xfId="31049" xr:uid="{00000000-0005-0000-0000-0000817C0000}"/>
    <cellStyle name="Normal 27 11 8" xfId="31050" xr:uid="{00000000-0005-0000-0000-0000827C0000}"/>
    <cellStyle name="Normal 27 11 8 2" xfId="31051" xr:uid="{00000000-0005-0000-0000-0000837C0000}"/>
    <cellStyle name="Normal 27 11 8 3" xfId="31052" xr:uid="{00000000-0005-0000-0000-0000847C0000}"/>
    <cellStyle name="Normal 27 11 8 4" xfId="31053" xr:uid="{00000000-0005-0000-0000-0000857C0000}"/>
    <cellStyle name="Normal 27 11 8 5" xfId="31054" xr:uid="{00000000-0005-0000-0000-0000867C0000}"/>
    <cellStyle name="Normal 27 11 8 6" xfId="31055" xr:uid="{00000000-0005-0000-0000-0000877C0000}"/>
    <cellStyle name="Normal 27 11 9" xfId="31056" xr:uid="{00000000-0005-0000-0000-0000887C0000}"/>
    <cellStyle name="Normal 27 12" xfId="31057" xr:uid="{00000000-0005-0000-0000-0000897C0000}"/>
    <cellStyle name="Normal 27 12 10" xfId="31058" xr:uid="{00000000-0005-0000-0000-00008A7C0000}"/>
    <cellStyle name="Normal 27 12 11" xfId="31059" xr:uid="{00000000-0005-0000-0000-00008B7C0000}"/>
    <cellStyle name="Normal 27 12 12" xfId="31060" xr:uid="{00000000-0005-0000-0000-00008C7C0000}"/>
    <cellStyle name="Normal 27 12 13" xfId="31061" xr:uid="{00000000-0005-0000-0000-00008D7C0000}"/>
    <cellStyle name="Normal 27 12 2" xfId="31062" xr:uid="{00000000-0005-0000-0000-00008E7C0000}"/>
    <cellStyle name="Normal 27 12 2 2" xfId="31063" xr:uid="{00000000-0005-0000-0000-00008F7C0000}"/>
    <cellStyle name="Normal 27 12 2 3" xfId="31064" xr:uid="{00000000-0005-0000-0000-0000907C0000}"/>
    <cellStyle name="Normal 27 12 2 4" xfId="31065" xr:uid="{00000000-0005-0000-0000-0000917C0000}"/>
    <cellStyle name="Normal 27 12 2 5" xfId="31066" xr:uid="{00000000-0005-0000-0000-0000927C0000}"/>
    <cellStyle name="Normal 27 12 2 6" xfId="31067" xr:uid="{00000000-0005-0000-0000-0000937C0000}"/>
    <cellStyle name="Normal 27 12 3" xfId="31068" xr:uid="{00000000-0005-0000-0000-0000947C0000}"/>
    <cellStyle name="Normal 27 12 3 2" xfId="31069" xr:uid="{00000000-0005-0000-0000-0000957C0000}"/>
    <cellStyle name="Normal 27 12 3 3" xfId="31070" xr:uid="{00000000-0005-0000-0000-0000967C0000}"/>
    <cellStyle name="Normal 27 12 3 4" xfId="31071" xr:uid="{00000000-0005-0000-0000-0000977C0000}"/>
    <cellStyle name="Normal 27 12 3 5" xfId="31072" xr:uid="{00000000-0005-0000-0000-0000987C0000}"/>
    <cellStyle name="Normal 27 12 3 6" xfId="31073" xr:uid="{00000000-0005-0000-0000-0000997C0000}"/>
    <cellStyle name="Normal 27 12 4" xfId="31074" xr:uid="{00000000-0005-0000-0000-00009A7C0000}"/>
    <cellStyle name="Normal 27 12 4 2" xfId="31075" xr:uid="{00000000-0005-0000-0000-00009B7C0000}"/>
    <cellStyle name="Normal 27 12 4 3" xfId="31076" xr:uid="{00000000-0005-0000-0000-00009C7C0000}"/>
    <cellStyle name="Normal 27 12 4 4" xfId="31077" xr:uid="{00000000-0005-0000-0000-00009D7C0000}"/>
    <cellStyle name="Normal 27 12 4 5" xfId="31078" xr:uid="{00000000-0005-0000-0000-00009E7C0000}"/>
    <cellStyle name="Normal 27 12 4 6" xfId="31079" xr:uid="{00000000-0005-0000-0000-00009F7C0000}"/>
    <cellStyle name="Normal 27 12 5" xfId="31080" xr:uid="{00000000-0005-0000-0000-0000A07C0000}"/>
    <cellStyle name="Normal 27 12 5 2" xfId="31081" xr:uid="{00000000-0005-0000-0000-0000A17C0000}"/>
    <cellStyle name="Normal 27 12 5 3" xfId="31082" xr:uid="{00000000-0005-0000-0000-0000A27C0000}"/>
    <cellStyle name="Normal 27 12 5 4" xfId="31083" xr:uid="{00000000-0005-0000-0000-0000A37C0000}"/>
    <cellStyle name="Normal 27 12 5 5" xfId="31084" xr:uid="{00000000-0005-0000-0000-0000A47C0000}"/>
    <cellStyle name="Normal 27 12 5 6" xfId="31085" xr:uid="{00000000-0005-0000-0000-0000A57C0000}"/>
    <cellStyle name="Normal 27 12 6" xfId="31086" xr:uid="{00000000-0005-0000-0000-0000A67C0000}"/>
    <cellStyle name="Normal 27 12 6 2" xfId="31087" xr:uid="{00000000-0005-0000-0000-0000A77C0000}"/>
    <cellStyle name="Normal 27 12 6 3" xfId="31088" xr:uid="{00000000-0005-0000-0000-0000A87C0000}"/>
    <cellStyle name="Normal 27 12 6 4" xfId="31089" xr:uid="{00000000-0005-0000-0000-0000A97C0000}"/>
    <cellStyle name="Normal 27 12 6 5" xfId="31090" xr:uid="{00000000-0005-0000-0000-0000AA7C0000}"/>
    <cellStyle name="Normal 27 12 6 6" xfId="31091" xr:uid="{00000000-0005-0000-0000-0000AB7C0000}"/>
    <cellStyle name="Normal 27 12 7" xfId="31092" xr:uid="{00000000-0005-0000-0000-0000AC7C0000}"/>
    <cellStyle name="Normal 27 12 7 2" xfId="31093" xr:uid="{00000000-0005-0000-0000-0000AD7C0000}"/>
    <cellStyle name="Normal 27 12 7 3" xfId="31094" xr:uid="{00000000-0005-0000-0000-0000AE7C0000}"/>
    <cellStyle name="Normal 27 12 7 4" xfId="31095" xr:uid="{00000000-0005-0000-0000-0000AF7C0000}"/>
    <cellStyle name="Normal 27 12 7 5" xfId="31096" xr:uid="{00000000-0005-0000-0000-0000B07C0000}"/>
    <cellStyle name="Normal 27 12 7 6" xfId="31097" xr:uid="{00000000-0005-0000-0000-0000B17C0000}"/>
    <cellStyle name="Normal 27 12 8" xfId="31098" xr:uid="{00000000-0005-0000-0000-0000B27C0000}"/>
    <cellStyle name="Normal 27 12 8 2" xfId="31099" xr:uid="{00000000-0005-0000-0000-0000B37C0000}"/>
    <cellStyle name="Normal 27 12 8 3" xfId="31100" xr:uid="{00000000-0005-0000-0000-0000B47C0000}"/>
    <cellStyle name="Normal 27 12 8 4" xfId="31101" xr:uid="{00000000-0005-0000-0000-0000B57C0000}"/>
    <cellStyle name="Normal 27 12 8 5" xfId="31102" xr:uid="{00000000-0005-0000-0000-0000B67C0000}"/>
    <cellStyle name="Normal 27 12 8 6" xfId="31103" xr:uid="{00000000-0005-0000-0000-0000B77C0000}"/>
    <cellStyle name="Normal 27 12 9" xfId="31104" xr:uid="{00000000-0005-0000-0000-0000B87C0000}"/>
    <cellStyle name="Normal 27 13" xfId="31105" xr:uid="{00000000-0005-0000-0000-0000B97C0000}"/>
    <cellStyle name="Normal 27 13 10" xfId="31106" xr:uid="{00000000-0005-0000-0000-0000BA7C0000}"/>
    <cellStyle name="Normal 27 13 11" xfId="31107" xr:uid="{00000000-0005-0000-0000-0000BB7C0000}"/>
    <cellStyle name="Normal 27 13 12" xfId="31108" xr:uid="{00000000-0005-0000-0000-0000BC7C0000}"/>
    <cellStyle name="Normal 27 13 13" xfId="31109" xr:uid="{00000000-0005-0000-0000-0000BD7C0000}"/>
    <cellStyle name="Normal 27 13 2" xfId="31110" xr:uid="{00000000-0005-0000-0000-0000BE7C0000}"/>
    <cellStyle name="Normal 27 13 2 2" xfId="31111" xr:uid="{00000000-0005-0000-0000-0000BF7C0000}"/>
    <cellStyle name="Normal 27 13 2 3" xfId="31112" xr:uid="{00000000-0005-0000-0000-0000C07C0000}"/>
    <cellStyle name="Normal 27 13 2 4" xfId="31113" xr:uid="{00000000-0005-0000-0000-0000C17C0000}"/>
    <cellStyle name="Normal 27 13 2 5" xfId="31114" xr:uid="{00000000-0005-0000-0000-0000C27C0000}"/>
    <cellStyle name="Normal 27 13 2 6" xfId="31115" xr:uid="{00000000-0005-0000-0000-0000C37C0000}"/>
    <cellStyle name="Normal 27 13 3" xfId="31116" xr:uid="{00000000-0005-0000-0000-0000C47C0000}"/>
    <cellStyle name="Normal 27 13 3 2" xfId="31117" xr:uid="{00000000-0005-0000-0000-0000C57C0000}"/>
    <cellStyle name="Normal 27 13 3 3" xfId="31118" xr:uid="{00000000-0005-0000-0000-0000C67C0000}"/>
    <cellStyle name="Normal 27 13 3 4" xfId="31119" xr:uid="{00000000-0005-0000-0000-0000C77C0000}"/>
    <cellStyle name="Normal 27 13 3 5" xfId="31120" xr:uid="{00000000-0005-0000-0000-0000C87C0000}"/>
    <cellStyle name="Normal 27 13 3 6" xfId="31121" xr:uid="{00000000-0005-0000-0000-0000C97C0000}"/>
    <cellStyle name="Normal 27 13 4" xfId="31122" xr:uid="{00000000-0005-0000-0000-0000CA7C0000}"/>
    <cellStyle name="Normal 27 13 4 2" xfId="31123" xr:uid="{00000000-0005-0000-0000-0000CB7C0000}"/>
    <cellStyle name="Normal 27 13 4 3" xfId="31124" xr:uid="{00000000-0005-0000-0000-0000CC7C0000}"/>
    <cellStyle name="Normal 27 13 4 4" xfId="31125" xr:uid="{00000000-0005-0000-0000-0000CD7C0000}"/>
    <cellStyle name="Normal 27 13 4 5" xfId="31126" xr:uid="{00000000-0005-0000-0000-0000CE7C0000}"/>
    <cellStyle name="Normal 27 13 4 6" xfId="31127" xr:uid="{00000000-0005-0000-0000-0000CF7C0000}"/>
    <cellStyle name="Normal 27 13 5" xfId="31128" xr:uid="{00000000-0005-0000-0000-0000D07C0000}"/>
    <cellStyle name="Normal 27 13 5 2" xfId="31129" xr:uid="{00000000-0005-0000-0000-0000D17C0000}"/>
    <cellStyle name="Normal 27 13 5 3" xfId="31130" xr:uid="{00000000-0005-0000-0000-0000D27C0000}"/>
    <cellStyle name="Normal 27 13 5 4" xfId="31131" xr:uid="{00000000-0005-0000-0000-0000D37C0000}"/>
    <cellStyle name="Normal 27 13 5 5" xfId="31132" xr:uid="{00000000-0005-0000-0000-0000D47C0000}"/>
    <cellStyle name="Normal 27 13 5 6" xfId="31133" xr:uid="{00000000-0005-0000-0000-0000D57C0000}"/>
    <cellStyle name="Normal 27 13 6" xfId="31134" xr:uid="{00000000-0005-0000-0000-0000D67C0000}"/>
    <cellStyle name="Normal 27 13 6 2" xfId="31135" xr:uid="{00000000-0005-0000-0000-0000D77C0000}"/>
    <cellStyle name="Normal 27 13 6 3" xfId="31136" xr:uid="{00000000-0005-0000-0000-0000D87C0000}"/>
    <cellStyle name="Normal 27 13 6 4" xfId="31137" xr:uid="{00000000-0005-0000-0000-0000D97C0000}"/>
    <cellStyle name="Normal 27 13 6 5" xfId="31138" xr:uid="{00000000-0005-0000-0000-0000DA7C0000}"/>
    <cellStyle name="Normal 27 13 6 6" xfId="31139" xr:uid="{00000000-0005-0000-0000-0000DB7C0000}"/>
    <cellStyle name="Normal 27 13 7" xfId="31140" xr:uid="{00000000-0005-0000-0000-0000DC7C0000}"/>
    <cellStyle name="Normal 27 13 7 2" xfId="31141" xr:uid="{00000000-0005-0000-0000-0000DD7C0000}"/>
    <cellStyle name="Normal 27 13 7 3" xfId="31142" xr:uid="{00000000-0005-0000-0000-0000DE7C0000}"/>
    <cellStyle name="Normal 27 13 7 4" xfId="31143" xr:uid="{00000000-0005-0000-0000-0000DF7C0000}"/>
    <cellStyle name="Normal 27 13 7 5" xfId="31144" xr:uid="{00000000-0005-0000-0000-0000E07C0000}"/>
    <cellStyle name="Normal 27 13 7 6" xfId="31145" xr:uid="{00000000-0005-0000-0000-0000E17C0000}"/>
    <cellStyle name="Normal 27 13 8" xfId="31146" xr:uid="{00000000-0005-0000-0000-0000E27C0000}"/>
    <cellStyle name="Normal 27 13 8 2" xfId="31147" xr:uid="{00000000-0005-0000-0000-0000E37C0000}"/>
    <cellStyle name="Normal 27 13 8 3" xfId="31148" xr:uid="{00000000-0005-0000-0000-0000E47C0000}"/>
    <cellStyle name="Normal 27 13 8 4" xfId="31149" xr:uid="{00000000-0005-0000-0000-0000E57C0000}"/>
    <cellStyle name="Normal 27 13 8 5" xfId="31150" xr:uid="{00000000-0005-0000-0000-0000E67C0000}"/>
    <cellStyle name="Normal 27 13 8 6" xfId="31151" xr:uid="{00000000-0005-0000-0000-0000E77C0000}"/>
    <cellStyle name="Normal 27 13 9" xfId="31152" xr:uid="{00000000-0005-0000-0000-0000E87C0000}"/>
    <cellStyle name="Normal 27 14" xfId="31153" xr:uid="{00000000-0005-0000-0000-0000E97C0000}"/>
    <cellStyle name="Normal 27 14 10" xfId="31154" xr:uid="{00000000-0005-0000-0000-0000EA7C0000}"/>
    <cellStyle name="Normal 27 14 11" xfId="31155" xr:uid="{00000000-0005-0000-0000-0000EB7C0000}"/>
    <cellStyle name="Normal 27 14 12" xfId="31156" xr:uid="{00000000-0005-0000-0000-0000EC7C0000}"/>
    <cellStyle name="Normal 27 14 13" xfId="31157" xr:uid="{00000000-0005-0000-0000-0000ED7C0000}"/>
    <cellStyle name="Normal 27 14 2" xfId="31158" xr:uid="{00000000-0005-0000-0000-0000EE7C0000}"/>
    <cellStyle name="Normal 27 14 2 2" xfId="31159" xr:uid="{00000000-0005-0000-0000-0000EF7C0000}"/>
    <cellStyle name="Normal 27 14 2 3" xfId="31160" xr:uid="{00000000-0005-0000-0000-0000F07C0000}"/>
    <cellStyle name="Normal 27 14 2 4" xfId="31161" xr:uid="{00000000-0005-0000-0000-0000F17C0000}"/>
    <cellStyle name="Normal 27 14 2 5" xfId="31162" xr:uid="{00000000-0005-0000-0000-0000F27C0000}"/>
    <cellStyle name="Normal 27 14 2 6" xfId="31163" xr:uid="{00000000-0005-0000-0000-0000F37C0000}"/>
    <cellStyle name="Normal 27 14 3" xfId="31164" xr:uid="{00000000-0005-0000-0000-0000F47C0000}"/>
    <cellStyle name="Normal 27 14 3 2" xfId="31165" xr:uid="{00000000-0005-0000-0000-0000F57C0000}"/>
    <cellStyle name="Normal 27 14 3 3" xfId="31166" xr:uid="{00000000-0005-0000-0000-0000F67C0000}"/>
    <cellStyle name="Normal 27 14 3 4" xfId="31167" xr:uid="{00000000-0005-0000-0000-0000F77C0000}"/>
    <cellStyle name="Normal 27 14 3 5" xfId="31168" xr:uid="{00000000-0005-0000-0000-0000F87C0000}"/>
    <cellStyle name="Normal 27 14 3 6" xfId="31169" xr:uid="{00000000-0005-0000-0000-0000F97C0000}"/>
    <cellStyle name="Normal 27 14 4" xfId="31170" xr:uid="{00000000-0005-0000-0000-0000FA7C0000}"/>
    <cellStyle name="Normal 27 14 4 2" xfId="31171" xr:uid="{00000000-0005-0000-0000-0000FB7C0000}"/>
    <cellStyle name="Normal 27 14 4 3" xfId="31172" xr:uid="{00000000-0005-0000-0000-0000FC7C0000}"/>
    <cellStyle name="Normal 27 14 4 4" xfId="31173" xr:uid="{00000000-0005-0000-0000-0000FD7C0000}"/>
    <cellStyle name="Normal 27 14 4 5" xfId="31174" xr:uid="{00000000-0005-0000-0000-0000FE7C0000}"/>
    <cellStyle name="Normal 27 14 4 6" xfId="31175" xr:uid="{00000000-0005-0000-0000-0000FF7C0000}"/>
    <cellStyle name="Normal 27 14 5" xfId="31176" xr:uid="{00000000-0005-0000-0000-0000007D0000}"/>
    <cellStyle name="Normal 27 14 5 2" xfId="31177" xr:uid="{00000000-0005-0000-0000-0000017D0000}"/>
    <cellStyle name="Normal 27 14 5 3" xfId="31178" xr:uid="{00000000-0005-0000-0000-0000027D0000}"/>
    <cellStyle name="Normal 27 14 5 4" xfId="31179" xr:uid="{00000000-0005-0000-0000-0000037D0000}"/>
    <cellStyle name="Normal 27 14 5 5" xfId="31180" xr:uid="{00000000-0005-0000-0000-0000047D0000}"/>
    <cellStyle name="Normal 27 14 5 6" xfId="31181" xr:uid="{00000000-0005-0000-0000-0000057D0000}"/>
    <cellStyle name="Normal 27 14 6" xfId="31182" xr:uid="{00000000-0005-0000-0000-0000067D0000}"/>
    <cellStyle name="Normal 27 14 6 2" xfId="31183" xr:uid="{00000000-0005-0000-0000-0000077D0000}"/>
    <cellStyle name="Normal 27 14 6 3" xfId="31184" xr:uid="{00000000-0005-0000-0000-0000087D0000}"/>
    <cellStyle name="Normal 27 14 6 4" xfId="31185" xr:uid="{00000000-0005-0000-0000-0000097D0000}"/>
    <cellStyle name="Normal 27 14 6 5" xfId="31186" xr:uid="{00000000-0005-0000-0000-00000A7D0000}"/>
    <cellStyle name="Normal 27 14 6 6" xfId="31187" xr:uid="{00000000-0005-0000-0000-00000B7D0000}"/>
    <cellStyle name="Normal 27 14 7" xfId="31188" xr:uid="{00000000-0005-0000-0000-00000C7D0000}"/>
    <cellStyle name="Normal 27 14 7 2" xfId="31189" xr:uid="{00000000-0005-0000-0000-00000D7D0000}"/>
    <cellStyle name="Normal 27 14 7 3" xfId="31190" xr:uid="{00000000-0005-0000-0000-00000E7D0000}"/>
    <cellStyle name="Normal 27 14 7 4" xfId="31191" xr:uid="{00000000-0005-0000-0000-00000F7D0000}"/>
    <cellStyle name="Normal 27 14 7 5" xfId="31192" xr:uid="{00000000-0005-0000-0000-0000107D0000}"/>
    <cellStyle name="Normal 27 14 7 6" xfId="31193" xr:uid="{00000000-0005-0000-0000-0000117D0000}"/>
    <cellStyle name="Normal 27 14 8" xfId="31194" xr:uid="{00000000-0005-0000-0000-0000127D0000}"/>
    <cellStyle name="Normal 27 14 8 2" xfId="31195" xr:uid="{00000000-0005-0000-0000-0000137D0000}"/>
    <cellStyle name="Normal 27 14 8 3" xfId="31196" xr:uid="{00000000-0005-0000-0000-0000147D0000}"/>
    <cellStyle name="Normal 27 14 8 4" xfId="31197" xr:uid="{00000000-0005-0000-0000-0000157D0000}"/>
    <cellStyle name="Normal 27 14 8 5" xfId="31198" xr:uid="{00000000-0005-0000-0000-0000167D0000}"/>
    <cellStyle name="Normal 27 14 8 6" xfId="31199" xr:uid="{00000000-0005-0000-0000-0000177D0000}"/>
    <cellStyle name="Normal 27 14 9" xfId="31200" xr:uid="{00000000-0005-0000-0000-0000187D0000}"/>
    <cellStyle name="Normal 27 15" xfId="31201" xr:uid="{00000000-0005-0000-0000-0000197D0000}"/>
    <cellStyle name="Normal 27 15 10" xfId="31202" xr:uid="{00000000-0005-0000-0000-00001A7D0000}"/>
    <cellStyle name="Normal 27 15 11" xfId="31203" xr:uid="{00000000-0005-0000-0000-00001B7D0000}"/>
    <cellStyle name="Normal 27 15 12" xfId="31204" xr:uid="{00000000-0005-0000-0000-00001C7D0000}"/>
    <cellStyle name="Normal 27 15 13" xfId="31205" xr:uid="{00000000-0005-0000-0000-00001D7D0000}"/>
    <cellStyle name="Normal 27 15 2" xfId="31206" xr:uid="{00000000-0005-0000-0000-00001E7D0000}"/>
    <cellStyle name="Normal 27 15 2 2" xfId="31207" xr:uid="{00000000-0005-0000-0000-00001F7D0000}"/>
    <cellStyle name="Normal 27 15 2 3" xfId="31208" xr:uid="{00000000-0005-0000-0000-0000207D0000}"/>
    <cellStyle name="Normal 27 15 2 4" xfId="31209" xr:uid="{00000000-0005-0000-0000-0000217D0000}"/>
    <cellStyle name="Normal 27 15 2 5" xfId="31210" xr:uid="{00000000-0005-0000-0000-0000227D0000}"/>
    <cellStyle name="Normal 27 15 2 6" xfId="31211" xr:uid="{00000000-0005-0000-0000-0000237D0000}"/>
    <cellStyle name="Normal 27 15 3" xfId="31212" xr:uid="{00000000-0005-0000-0000-0000247D0000}"/>
    <cellStyle name="Normal 27 15 3 2" xfId="31213" xr:uid="{00000000-0005-0000-0000-0000257D0000}"/>
    <cellStyle name="Normal 27 15 3 3" xfId="31214" xr:uid="{00000000-0005-0000-0000-0000267D0000}"/>
    <cellStyle name="Normal 27 15 3 4" xfId="31215" xr:uid="{00000000-0005-0000-0000-0000277D0000}"/>
    <cellStyle name="Normal 27 15 3 5" xfId="31216" xr:uid="{00000000-0005-0000-0000-0000287D0000}"/>
    <cellStyle name="Normal 27 15 3 6" xfId="31217" xr:uid="{00000000-0005-0000-0000-0000297D0000}"/>
    <cellStyle name="Normal 27 15 4" xfId="31218" xr:uid="{00000000-0005-0000-0000-00002A7D0000}"/>
    <cellStyle name="Normal 27 15 4 2" xfId="31219" xr:uid="{00000000-0005-0000-0000-00002B7D0000}"/>
    <cellStyle name="Normal 27 15 4 3" xfId="31220" xr:uid="{00000000-0005-0000-0000-00002C7D0000}"/>
    <cellStyle name="Normal 27 15 4 4" xfId="31221" xr:uid="{00000000-0005-0000-0000-00002D7D0000}"/>
    <cellStyle name="Normal 27 15 4 5" xfId="31222" xr:uid="{00000000-0005-0000-0000-00002E7D0000}"/>
    <cellStyle name="Normal 27 15 4 6" xfId="31223" xr:uid="{00000000-0005-0000-0000-00002F7D0000}"/>
    <cellStyle name="Normal 27 15 5" xfId="31224" xr:uid="{00000000-0005-0000-0000-0000307D0000}"/>
    <cellStyle name="Normal 27 15 5 2" xfId="31225" xr:uid="{00000000-0005-0000-0000-0000317D0000}"/>
    <cellStyle name="Normal 27 15 5 3" xfId="31226" xr:uid="{00000000-0005-0000-0000-0000327D0000}"/>
    <cellStyle name="Normal 27 15 5 4" xfId="31227" xr:uid="{00000000-0005-0000-0000-0000337D0000}"/>
    <cellStyle name="Normal 27 15 5 5" xfId="31228" xr:uid="{00000000-0005-0000-0000-0000347D0000}"/>
    <cellStyle name="Normal 27 15 5 6" xfId="31229" xr:uid="{00000000-0005-0000-0000-0000357D0000}"/>
    <cellStyle name="Normal 27 15 6" xfId="31230" xr:uid="{00000000-0005-0000-0000-0000367D0000}"/>
    <cellStyle name="Normal 27 15 6 2" xfId="31231" xr:uid="{00000000-0005-0000-0000-0000377D0000}"/>
    <cellStyle name="Normal 27 15 6 3" xfId="31232" xr:uid="{00000000-0005-0000-0000-0000387D0000}"/>
    <cellStyle name="Normal 27 15 6 4" xfId="31233" xr:uid="{00000000-0005-0000-0000-0000397D0000}"/>
    <cellStyle name="Normal 27 15 6 5" xfId="31234" xr:uid="{00000000-0005-0000-0000-00003A7D0000}"/>
    <cellStyle name="Normal 27 15 6 6" xfId="31235" xr:uid="{00000000-0005-0000-0000-00003B7D0000}"/>
    <cellStyle name="Normal 27 15 7" xfId="31236" xr:uid="{00000000-0005-0000-0000-00003C7D0000}"/>
    <cellStyle name="Normal 27 15 7 2" xfId="31237" xr:uid="{00000000-0005-0000-0000-00003D7D0000}"/>
    <cellStyle name="Normal 27 15 7 3" xfId="31238" xr:uid="{00000000-0005-0000-0000-00003E7D0000}"/>
    <cellStyle name="Normal 27 15 7 4" xfId="31239" xr:uid="{00000000-0005-0000-0000-00003F7D0000}"/>
    <cellStyle name="Normal 27 15 7 5" xfId="31240" xr:uid="{00000000-0005-0000-0000-0000407D0000}"/>
    <cellStyle name="Normal 27 15 7 6" xfId="31241" xr:uid="{00000000-0005-0000-0000-0000417D0000}"/>
    <cellStyle name="Normal 27 15 8" xfId="31242" xr:uid="{00000000-0005-0000-0000-0000427D0000}"/>
    <cellStyle name="Normal 27 15 8 2" xfId="31243" xr:uid="{00000000-0005-0000-0000-0000437D0000}"/>
    <cellStyle name="Normal 27 15 8 3" xfId="31244" xr:uid="{00000000-0005-0000-0000-0000447D0000}"/>
    <cellStyle name="Normal 27 15 8 4" xfId="31245" xr:uid="{00000000-0005-0000-0000-0000457D0000}"/>
    <cellStyle name="Normal 27 15 8 5" xfId="31246" xr:uid="{00000000-0005-0000-0000-0000467D0000}"/>
    <cellStyle name="Normal 27 15 8 6" xfId="31247" xr:uid="{00000000-0005-0000-0000-0000477D0000}"/>
    <cellStyle name="Normal 27 15 9" xfId="31248" xr:uid="{00000000-0005-0000-0000-0000487D0000}"/>
    <cellStyle name="Normal 27 16" xfId="31249" xr:uid="{00000000-0005-0000-0000-0000497D0000}"/>
    <cellStyle name="Normal 27 16 10" xfId="31250" xr:uid="{00000000-0005-0000-0000-00004A7D0000}"/>
    <cellStyle name="Normal 27 16 11" xfId="31251" xr:uid="{00000000-0005-0000-0000-00004B7D0000}"/>
    <cellStyle name="Normal 27 16 12" xfId="31252" xr:uid="{00000000-0005-0000-0000-00004C7D0000}"/>
    <cellStyle name="Normal 27 16 13" xfId="31253" xr:uid="{00000000-0005-0000-0000-00004D7D0000}"/>
    <cellStyle name="Normal 27 16 2" xfId="31254" xr:uid="{00000000-0005-0000-0000-00004E7D0000}"/>
    <cellStyle name="Normal 27 16 2 2" xfId="31255" xr:uid="{00000000-0005-0000-0000-00004F7D0000}"/>
    <cellStyle name="Normal 27 16 2 3" xfId="31256" xr:uid="{00000000-0005-0000-0000-0000507D0000}"/>
    <cellStyle name="Normal 27 16 2 4" xfId="31257" xr:uid="{00000000-0005-0000-0000-0000517D0000}"/>
    <cellStyle name="Normal 27 16 2 5" xfId="31258" xr:uid="{00000000-0005-0000-0000-0000527D0000}"/>
    <cellStyle name="Normal 27 16 2 6" xfId="31259" xr:uid="{00000000-0005-0000-0000-0000537D0000}"/>
    <cellStyle name="Normal 27 16 3" xfId="31260" xr:uid="{00000000-0005-0000-0000-0000547D0000}"/>
    <cellStyle name="Normal 27 16 3 2" xfId="31261" xr:uid="{00000000-0005-0000-0000-0000557D0000}"/>
    <cellStyle name="Normal 27 16 3 3" xfId="31262" xr:uid="{00000000-0005-0000-0000-0000567D0000}"/>
    <cellStyle name="Normal 27 16 3 4" xfId="31263" xr:uid="{00000000-0005-0000-0000-0000577D0000}"/>
    <cellStyle name="Normal 27 16 3 5" xfId="31264" xr:uid="{00000000-0005-0000-0000-0000587D0000}"/>
    <cellStyle name="Normal 27 16 3 6" xfId="31265" xr:uid="{00000000-0005-0000-0000-0000597D0000}"/>
    <cellStyle name="Normal 27 16 4" xfId="31266" xr:uid="{00000000-0005-0000-0000-00005A7D0000}"/>
    <cellStyle name="Normal 27 16 4 2" xfId="31267" xr:uid="{00000000-0005-0000-0000-00005B7D0000}"/>
    <cellStyle name="Normal 27 16 4 3" xfId="31268" xr:uid="{00000000-0005-0000-0000-00005C7D0000}"/>
    <cellStyle name="Normal 27 16 4 4" xfId="31269" xr:uid="{00000000-0005-0000-0000-00005D7D0000}"/>
    <cellStyle name="Normal 27 16 4 5" xfId="31270" xr:uid="{00000000-0005-0000-0000-00005E7D0000}"/>
    <cellStyle name="Normal 27 16 4 6" xfId="31271" xr:uid="{00000000-0005-0000-0000-00005F7D0000}"/>
    <cellStyle name="Normal 27 16 5" xfId="31272" xr:uid="{00000000-0005-0000-0000-0000607D0000}"/>
    <cellStyle name="Normal 27 16 5 2" xfId="31273" xr:uid="{00000000-0005-0000-0000-0000617D0000}"/>
    <cellStyle name="Normal 27 16 5 3" xfId="31274" xr:uid="{00000000-0005-0000-0000-0000627D0000}"/>
    <cellStyle name="Normal 27 16 5 4" xfId="31275" xr:uid="{00000000-0005-0000-0000-0000637D0000}"/>
    <cellStyle name="Normal 27 16 5 5" xfId="31276" xr:uid="{00000000-0005-0000-0000-0000647D0000}"/>
    <cellStyle name="Normal 27 16 5 6" xfId="31277" xr:uid="{00000000-0005-0000-0000-0000657D0000}"/>
    <cellStyle name="Normal 27 16 6" xfId="31278" xr:uid="{00000000-0005-0000-0000-0000667D0000}"/>
    <cellStyle name="Normal 27 16 6 2" xfId="31279" xr:uid="{00000000-0005-0000-0000-0000677D0000}"/>
    <cellStyle name="Normal 27 16 6 3" xfId="31280" xr:uid="{00000000-0005-0000-0000-0000687D0000}"/>
    <cellStyle name="Normal 27 16 6 4" xfId="31281" xr:uid="{00000000-0005-0000-0000-0000697D0000}"/>
    <cellStyle name="Normal 27 16 6 5" xfId="31282" xr:uid="{00000000-0005-0000-0000-00006A7D0000}"/>
    <cellStyle name="Normal 27 16 6 6" xfId="31283" xr:uid="{00000000-0005-0000-0000-00006B7D0000}"/>
    <cellStyle name="Normal 27 16 7" xfId="31284" xr:uid="{00000000-0005-0000-0000-00006C7D0000}"/>
    <cellStyle name="Normal 27 16 7 2" xfId="31285" xr:uid="{00000000-0005-0000-0000-00006D7D0000}"/>
    <cellStyle name="Normal 27 16 7 3" xfId="31286" xr:uid="{00000000-0005-0000-0000-00006E7D0000}"/>
    <cellStyle name="Normal 27 16 7 4" xfId="31287" xr:uid="{00000000-0005-0000-0000-00006F7D0000}"/>
    <cellStyle name="Normal 27 16 7 5" xfId="31288" xr:uid="{00000000-0005-0000-0000-0000707D0000}"/>
    <cellStyle name="Normal 27 16 7 6" xfId="31289" xr:uid="{00000000-0005-0000-0000-0000717D0000}"/>
    <cellStyle name="Normal 27 16 8" xfId="31290" xr:uid="{00000000-0005-0000-0000-0000727D0000}"/>
    <cellStyle name="Normal 27 16 8 2" xfId="31291" xr:uid="{00000000-0005-0000-0000-0000737D0000}"/>
    <cellStyle name="Normal 27 16 8 3" xfId="31292" xr:uid="{00000000-0005-0000-0000-0000747D0000}"/>
    <cellStyle name="Normal 27 16 8 4" xfId="31293" xr:uid="{00000000-0005-0000-0000-0000757D0000}"/>
    <cellStyle name="Normal 27 16 8 5" xfId="31294" xr:uid="{00000000-0005-0000-0000-0000767D0000}"/>
    <cellStyle name="Normal 27 16 8 6" xfId="31295" xr:uid="{00000000-0005-0000-0000-0000777D0000}"/>
    <cellStyle name="Normal 27 16 9" xfId="31296" xr:uid="{00000000-0005-0000-0000-0000787D0000}"/>
    <cellStyle name="Normal 27 17" xfId="31297" xr:uid="{00000000-0005-0000-0000-0000797D0000}"/>
    <cellStyle name="Normal 27 17 10" xfId="31298" xr:uid="{00000000-0005-0000-0000-00007A7D0000}"/>
    <cellStyle name="Normal 27 17 11" xfId="31299" xr:uid="{00000000-0005-0000-0000-00007B7D0000}"/>
    <cellStyle name="Normal 27 17 12" xfId="31300" xr:uid="{00000000-0005-0000-0000-00007C7D0000}"/>
    <cellStyle name="Normal 27 17 13" xfId="31301" xr:uid="{00000000-0005-0000-0000-00007D7D0000}"/>
    <cellStyle name="Normal 27 17 2" xfId="31302" xr:uid="{00000000-0005-0000-0000-00007E7D0000}"/>
    <cellStyle name="Normal 27 17 2 2" xfId="31303" xr:uid="{00000000-0005-0000-0000-00007F7D0000}"/>
    <cellStyle name="Normal 27 17 2 3" xfId="31304" xr:uid="{00000000-0005-0000-0000-0000807D0000}"/>
    <cellStyle name="Normal 27 17 2 4" xfId="31305" xr:uid="{00000000-0005-0000-0000-0000817D0000}"/>
    <cellStyle name="Normal 27 17 2 5" xfId="31306" xr:uid="{00000000-0005-0000-0000-0000827D0000}"/>
    <cellStyle name="Normal 27 17 2 6" xfId="31307" xr:uid="{00000000-0005-0000-0000-0000837D0000}"/>
    <cellStyle name="Normal 27 17 3" xfId="31308" xr:uid="{00000000-0005-0000-0000-0000847D0000}"/>
    <cellStyle name="Normal 27 17 3 2" xfId="31309" xr:uid="{00000000-0005-0000-0000-0000857D0000}"/>
    <cellStyle name="Normal 27 17 3 3" xfId="31310" xr:uid="{00000000-0005-0000-0000-0000867D0000}"/>
    <cellStyle name="Normal 27 17 3 4" xfId="31311" xr:uid="{00000000-0005-0000-0000-0000877D0000}"/>
    <cellStyle name="Normal 27 17 3 5" xfId="31312" xr:uid="{00000000-0005-0000-0000-0000887D0000}"/>
    <cellStyle name="Normal 27 17 3 6" xfId="31313" xr:uid="{00000000-0005-0000-0000-0000897D0000}"/>
    <cellStyle name="Normal 27 17 4" xfId="31314" xr:uid="{00000000-0005-0000-0000-00008A7D0000}"/>
    <cellStyle name="Normal 27 17 4 2" xfId="31315" xr:uid="{00000000-0005-0000-0000-00008B7D0000}"/>
    <cellStyle name="Normal 27 17 4 3" xfId="31316" xr:uid="{00000000-0005-0000-0000-00008C7D0000}"/>
    <cellStyle name="Normal 27 17 4 4" xfId="31317" xr:uid="{00000000-0005-0000-0000-00008D7D0000}"/>
    <cellStyle name="Normal 27 17 4 5" xfId="31318" xr:uid="{00000000-0005-0000-0000-00008E7D0000}"/>
    <cellStyle name="Normal 27 17 4 6" xfId="31319" xr:uid="{00000000-0005-0000-0000-00008F7D0000}"/>
    <cellStyle name="Normal 27 17 5" xfId="31320" xr:uid="{00000000-0005-0000-0000-0000907D0000}"/>
    <cellStyle name="Normal 27 17 5 2" xfId="31321" xr:uid="{00000000-0005-0000-0000-0000917D0000}"/>
    <cellStyle name="Normal 27 17 5 3" xfId="31322" xr:uid="{00000000-0005-0000-0000-0000927D0000}"/>
    <cellStyle name="Normal 27 17 5 4" xfId="31323" xr:uid="{00000000-0005-0000-0000-0000937D0000}"/>
    <cellStyle name="Normal 27 17 5 5" xfId="31324" xr:uid="{00000000-0005-0000-0000-0000947D0000}"/>
    <cellStyle name="Normal 27 17 5 6" xfId="31325" xr:uid="{00000000-0005-0000-0000-0000957D0000}"/>
    <cellStyle name="Normal 27 17 6" xfId="31326" xr:uid="{00000000-0005-0000-0000-0000967D0000}"/>
    <cellStyle name="Normal 27 17 6 2" xfId="31327" xr:uid="{00000000-0005-0000-0000-0000977D0000}"/>
    <cellStyle name="Normal 27 17 6 3" xfId="31328" xr:uid="{00000000-0005-0000-0000-0000987D0000}"/>
    <cellStyle name="Normal 27 17 6 4" xfId="31329" xr:uid="{00000000-0005-0000-0000-0000997D0000}"/>
    <cellStyle name="Normal 27 17 6 5" xfId="31330" xr:uid="{00000000-0005-0000-0000-00009A7D0000}"/>
    <cellStyle name="Normal 27 17 6 6" xfId="31331" xr:uid="{00000000-0005-0000-0000-00009B7D0000}"/>
    <cellStyle name="Normal 27 17 7" xfId="31332" xr:uid="{00000000-0005-0000-0000-00009C7D0000}"/>
    <cellStyle name="Normal 27 17 7 2" xfId="31333" xr:uid="{00000000-0005-0000-0000-00009D7D0000}"/>
    <cellStyle name="Normal 27 17 7 3" xfId="31334" xr:uid="{00000000-0005-0000-0000-00009E7D0000}"/>
    <cellStyle name="Normal 27 17 7 4" xfId="31335" xr:uid="{00000000-0005-0000-0000-00009F7D0000}"/>
    <cellStyle name="Normal 27 17 7 5" xfId="31336" xr:uid="{00000000-0005-0000-0000-0000A07D0000}"/>
    <cellStyle name="Normal 27 17 7 6" xfId="31337" xr:uid="{00000000-0005-0000-0000-0000A17D0000}"/>
    <cellStyle name="Normal 27 17 8" xfId="31338" xr:uid="{00000000-0005-0000-0000-0000A27D0000}"/>
    <cellStyle name="Normal 27 17 8 2" xfId="31339" xr:uid="{00000000-0005-0000-0000-0000A37D0000}"/>
    <cellStyle name="Normal 27 17 8 3" xfId="31340" xr:uid="{00000000-0005-0000-0000-0000A47D0000}"/>
    <cellStyle name="Normal 27 17 8 4" xfId="31341" xr:uid="{00000000-0005-0000-0000-0000A57D0000}"/>
    <cellStyle name="Normal 27 17 8 5" xfId="31342" xr:uid="{00000000-0005-0000-0000-0000A67D0000}"/>
    <cellStyle name="Normal 27 17 8 6" xfId="31343" xr:uid="{00000000-0005-0000-0000-0000A77D0000}"/>
    <cellStyle name="Normal 27 17 9" xfId="31344" xr:uid="{00000000-0005-0000-0000-0000A87D0000}"/>
    <cellStyle name="Normal 27 18" xfId="31345" xr:uid="{00000000-0005-0000-0000-0000A97D0000}"/>
    <cellStyle name="Normal 27 18 2" xfId="31346" xr:uid="{00000000-0005-0000-0000-0000AA7D0000}"/>
    <cellStyle name="Normal 27 18 3" xfId="31347" xr:uid="{00000000-0005-0000-0000-0000AB7D0000}"/>
    <cellStyle name="Normal 27 18 4" xfId="31348" xr:uid="{00000000-0005-0000-0000-0000AC7D0000}"/>
    <cellStyle name="Normal 27 18 5" xfId="31349" xr:uid="{00000000-0005-0000-0000-0000AD7D0000}"/>
    <cellStyle name="Normal 27 18 6" xfId="31350" xr:uid="{00000000-0005-0000-0000-0000AE7D0000}"/>
    <cellStyle name="Normal 27 19" xfId="31351" xr:uid="{00000000-0005-0000-0000-0000AF7D0000}"/>
    <cellStyle name="Normal 27 19 2" xfId="31352" xr:uid="{00000000-0005-0000-0000-0000B07D0000}"/>
    <cellStyle name="Normal 27 19 3" xfId="31353" xr:uid="{00000000-0005-0000-0000-0000B17D0000}"/>
    <cellStyle name="Normal 27 19 4" xfId="31354" xr:uid="{00000000-0005-0000-0000-0000B27D0000}"/>
    <cellStyle name="Normal 27 19 5" xfId="31355" xr:uid="{00000000-0005-0000-0000-0000B37D0000}"/>
    <cellStyle name="Normal 27 19 6" xfId="31356" xr:uid="{00000000-0005-0000-0000-0000B47D0000}"/>
    <cellStyle name="Normal 27 2" xfId="31357" xr:uid="{00000000-0005-0000-0000-0000B57D0000}"/>
    <cellStyle name="Normal 27 2 10" xfId="31358" xr:uid="{00000000-0005-0000-0000-0000B67D0000}"/>
    <cellStyle name="Normal 27 2 11" xfId="31359" xr:uid="{00000000-0005-0000-0000-0000B77D0000}"/>
    <cellStyle name="Normal 27 2 12" xfId="31360" xr:uid="{00000000-0005-0000-0000-0000B87D0000}"/>
    <cellStyle name="Normal 27 2 13" xfId="31361" xr:uid="{00000000-0005-0000-0000-0000B97D0000}"/>
    <cellStyle name="Normal 27 2 2" xfId="31362" xr:uid="{00000000-0005-0000-0000-0000BA7D0000}"/>
    <cellStyle name="Normal 27 2 2 2" xfId="31363" xr:uid="{00000000-0005-0000-0000-0000BB7D0000}"/>
    <cellStyle name="Normal 27 2 2 3" xfId="31364" xr:uid="{00000000-0005-0000-0000-0000BC7D0000}"/>
    <cellStyle name="Normal 27 2 2 4" xfId="31365" xr:uid="{00000000-0005-0000-0000-0000BD7D0000}"/>
    <cellStyle name="Normal 27 2 2 5" xfId="31366" xr:uid="{00000000-0005-0000-0000-0000BE7D0000}"/>
    <cellStyle name="Normal 27 2 2 6" xfId="31367" xr:uid="{00000000-0005-0000-0000-0000BF7D0000}"/>
    <cellStyle name="Normal 27 2 3" xfId="31368" xr:uid="{00000000-0005-0000-0000-0000C07D0000}"/>
    <cellStyle name="Normal 27 2 3 2" xfId="31369" xr:uid="{00000000-0005-0000-0000-0000C17D0000}"/>
    <cellStyle name="Normal 27 2 3 3" xfId="31370" xr:uid="{00000000-0005-0000-0000-0000C27D0000}"/>
    <cellStyle name="Normal 27 2 3 4" xfId="31371" xr:uid="{00000000-0005-0000-0000-0000C37D0000}"/>
    <cellStyle name="Normal 27 2 3 5" xfId="31372" xr:uid="{00000000-0005-0000-0000-0000C47D0000}"/>
    <cellStyle name="Normal 27 2 3 6" xfId="31373" xr:uid="{00000000-0005-0000-0000-0000C57D0000}"/>
    <cellStyle name="Normal 27 2 4" xfId="31374" xr:uid="{00000000-0005-0000-0000-0000C67D0000}"/>
    <cellStyle name="Normal 27 2 4 2" xfId="31375" xr:uid="{00000000-0005-0000-0000-0000C77D0000}"/>
    <cellStyle name="Normal 27 2 4 3" xfId="31376" xr:uid="{00000000-0005-0000-0000-0000C87D0000}"/>
    <cellStyle name="Normal 27 2 4 4" xfId="31377" xr:uid="{00000000-0005-0000-0000-0000C97D0000}"/>
    <cellStyle name="Normal 27 2 4 5" xfId="31378" xr:uid="{00000000-0005-0000-0000-0000CA7D0000}"/>
    <cellStyle name="Normal 27 2 4 6" xfId="31379" xr:uid="{00000000-0005-0000-0000-0000CB7D0000}"/>
    <cellStyle name="Normal 27 2 5" xfId="31380" xr:uid="{00000000-0005-0000-0000-0000CC7D0000}"/>
    <cellStyle name="Normal 27 2 5 2" xfId="31381" xr:uid="{00000000-0005-0000-0000-0000CD7D0000}"/>
    <cellStyle name="Normal 27 2 5 3" xfId="31382" xr:uid="{00000000-0005-0000-0000-0000CE7D0000}"/>
    <cellStyle name="Normal 27 2 5 4" xfId="31383" xr:uid="{00000000-0005-0000-0000-0000CF7D0000}"/>
    <cellStyle name="Normal 27 2 5 5" xfId="31384" xr:uid="{00000000-0005-0000-0000-0000D07D0000}"/>
    <cellStyle name="Normal 27 2 5 6" xfId="31385" xr:uid="{00000000-0005-0000-0000-0000D17D0000}"/>
    <cellStyle name="Normal 27 2 6" xfId="31386" xr:uid="{00000000-0005-0000-0000-0000D27D0000}"/>
    <cellStyle name="Normal 27 2 6 2" xfId="31387" xr:uid="{00000000-0005-0000-0000-0000D37D0000}"/>
    <cellStyle name="Normal 27 2 6 3" xfId="31388" xr:uid="{00000000-0005-0000-0000-0000D47D0000}"/>
    <cellStyle name="Normal 27 2 6 4" xfId="31389" xr:uid="{00000000-0005-0000-0000-0000D57D0000}"/>
    <cellStyle name="Normal 27 2 6 5" xfId="31390" xr:uid="{00000000-0005-0000-0000-0000D67D0000}"/>
    <cellStyle name="Normal 27 2 6 6" xfId="31391" xr:uid="{00000000-0005-0000-0000-0000D77D0000}"/>
    <cellStyle name="Normal 27 2 7" xfId="31392" xr:uid="{00000000-0005-0000-0000-0000D87D0000}"/>
    <cellStyle name="Normal 27 2 7 2" xfId="31393" xr:uid="{00000000-0005-0000-0000-0000D97D0000}"/>
    <cellStyle name="Normal 27 2 7 3" xfId="31394" xr:uid="{00000000-0005-0000-0000-0000DA7D0000}"/>
    <cellStyle name="Normal 27 2 7 4" xfId="31395" xr:uid="{00000000-0005-0000-0000-0000DB7D0000}"/>
    <cellStyle name="Normal 27 2 7 5" xfId="31396" xr:uid="{00000000-0005-0000-0000-0000DC7D0000}"/>
    <cellStyle name="Normal 27 2 7 6" xfId="31397" xr:uid="{00000000-0005-0000-0000-0000DD7D0000}"/>
    <cellStyle name="Normal 27 2 8" xfId="31398" xr:uid="{00000000-0005-0000-0000-0000DE7D0000}"/>
    <cellStyle name="Normal 27 2 8 2" xfId="31399" xr:uid="{00000000-0005-0000-0000-0000DF7D0000}"/>
    <cellStyle name="Normal 27 2 8 3" xfId="31400" xr:uid="{00000000-0005-0000-0000-0000E07D0000}"/>
    <cellStyle name="Normal 27 2 8 4" xfId="31401" xr:uid="{00000000-0005-0000-0000-0000E17D0000}"/>
    <cellStyle name="Normal 27 2 8 5" xfId="31402" xr:uid="{00000000-0005-0000-0000-0000E27D0000}"/>
    <cellStyle name="Normal 27 2 8 6" xfId="31403" xr:uid="{00000000-0005-0000-0000-0000E37D0000}"/>
    <cellStyle name="Normal 27 2 9" xfId="31404" xr:uid="{00000000-0005-0000-0000-0000E47D0000}"/>
    <cellStyle name="Normal 27 20" xfId="31405" xr:uid="{00000000-0005-0000-0000-0000E57D0000}"/>
    <cellStyle name="Normal 27 20 2" xfId="31406" xr:uid="{00000000-0005-0000-0000-0000E67D0000}"/>
    <cellStyle name="Normal 27 20 3" xfId="31407" xr:uid="{00000000-0005-0000-0000-0000E77D0000}"/>
    <cellStyle name="Normal 27 20 4" xfId="31408" xr:uid="{00000000-0005-0000-0000-0000E87D0000}"/>
    <cellStyle name="Normal 27 20 5" xfId="31409" xr:uid="{00000000-0005-0000-0000-0000E97D0000}"/>
    <cellStyle name="Normal 27 20 6" xfId="31410" xr:uid="{00000000-0005-0000-0000-0000EA7D0000}"/>
    <cellStyle name="Normal 27 21" xfId="31411" xr:uid="{00000000-0005-0000-0000-0000EB7D0000}"/>
    <cellStyle name="Normal 27 21 2" xfId="31412" xr:uid="{00000000-0005-0000-0000-0000EC7D0000}"/>
    <cellStyle name="Normal 27 21 3" xfId="31413" xr:uid="{00000000-0005-0000-0000-0000ED7D0000}"/>
    <cellStyle name="Normal 27 21 4" xfId="31414" xr:uid="{00000000-0005-0000-0000-0000EE7D0000}"/>
    <cellStyle name="Normal 27 21 5" xfId="31415" xr:uid="{00000000-0005-0000-0000-0000EF7D0000}"/>
    <cellStyle name="Normal 27 21 6" xfId="31416" xr:uid="{00000000-0005-0000-0000-0000F07D0000}"/>
    <cellStyle name="Normal 27 22" xfId="31417" xr:uid="{00000000-0005-0000-0000-0000F17D0000}"/>
    <cellStyle name="Normal 27 22 2" xfId="31418" xr:uid="{00000000-0005-0000-0000-0000F27D0000}"/>
    <cellStyle name="Normal 27 22 3" xfId="31419" xr:uid="{00000000-0005-0000-0000-0000F37D0000}"/>
    <cellStyle name="Normal 27 22 4" xfId="31420" xr:uid="{00000000-0005-0000-0000-0000F47D0000}"/>
    <cellStyle name="Normal 27 22 5" xfId="31421" xr:uid="{00000000-0005-0000-0000-0000F57D0000}"/>
    <cellStyle name="Normal 27 22 6" xfId="31422" xr:uid="{00000000-0005-0000-0000-0000F67D0000}"/>
    <cellStyle name="Normal 27 23" xfId="31423" xr:uid="{00000000-0005-0000-0000-0000F77D0000}"/>
    <cellStyle name="Normal 27 23 2" xfId="31424" xr:uid="{00000000-0005-0000-0000-0000F87D0000}"/>
    <cellStyle name="Normal 27 23 3" xfId="31425" xr:uid="{00000000-0005-0000-0000-0000F97D0000}"/>
    <cellStyle name="Normal 27 23 4" xfId="31426" xr:uid="{00000000-0005-0000-0000-0000FA7D0000}"/>
    <cellStyle name="Normal 27 23 5" xfId="31427" xr:uid="{00000000-0005-0000-0000-0000FB7D0000}"/>
    <cellStyle name="Normal 27 23 6" xfId="31428" xr:uid="{00000000-0005-0000-0000-0000FC7D0000}"/>
    <cellStyle name="Normal 27 24" xfId="31429" xr:uid="{00000000-0005-0000-0000-0000FD7D0000}"/>
    <cellStyle name="Normal 27 24 2" xfId="31430" xr:uid="{00000000-0005-0000-0000-0000FE7D0000}"/>
    <cellStyle name="Normal 27 24 3" xfId="31431" xr:uid="{00000000-0005-0000-0000-0000FF7D0000}"/>
    <cellStyle name="Normal 27 24 4" xfId="31432" xr:uid="{00000000-0005-0000-0000-0000007E0000}"/>
    <cellStyle name="Normal 27 24 5" xfId="31433" xr:uid="{00000000-0005-0000-0000-0000017E0000}"/>
    <cellStyle name="Normal 27 24 6" xfId="31434" xr:uid="{00000000-0005-0000-0000-0000027E0000}"/>
    <cellStyle name="Normal 27 25" xfId="31435" xr:uid="{00000000-0005-0000-0000-0000037E0000}"/>
    <cellStyle name="Normal 27 26" xfId="31436" xr:uid="{00000000-0005-0000-0000-0000047E0000}"/>
    <cellStyle name="Normal 27 27" xfId="31437" xr:uid="{00000000-0005-0000-0000-0000057E0000}"/>
    <cellStyle name="Normal 27 28" xfId="31438" xr:uid="{00000000-0005-0000-0000-0000067E0000}"/>
    <cellStyle name="Normal 27 29" xfId="31439" xr:uid="{00000000-0005-0000-0000-0000077E0000}"/>
    <cellStyle name="Normal 27 3" xfId="31440" xr:uid="{00000000-0005-0000-0000-0000087E0000}"/>
    <cellStyle name="Normal 27 3 10" xfId="31441" xr:uid="{00000000-0005-0000-0000-0000097E0000}"/>
    <cellStyle name="Normal 27 3 11" xfId="31442" xr:uid="{00000000-0005-0000-0000-00000A7E0000}"/>
    <cellStyle name="Normal 27 3 12" xfId="31443" xr:uid="{00000000-0005-0000-0000-00000B7E0000}"/>
    <cellStyle name="Normal 27 3 13" xfId="31444" xr:uid="{00000000-0005-0000-0000-00000C7E0000}"/>
    <cellStyle name="Normal 27 3 2" xfId="31445" xr:uid="{00000000-0005-0000-0000-00000D7E0000}"/>
    <cellStyle name="Normal 27 3 2 2" xfId="31446" xr:uid="{00000000-0005-0000-0000-00000E7E0000}"/>
    <cellStyle name="Normal 27 3 2 3" xfId="31447" xr:uid="{00000000-0005-0000-0000-00000F7E0000}"/>
    <cellStyle name="Normal 27 3 2 4" xfId="31448" xr:uid="{00000000-0005-0000-0000-0000107E0000}"/>
    <cellStyle name="Normal 27 3 2 5" xfId="31449" xr:uid="{00000000-0005-0000-0000-0000117E0000}"/>
    <cellStyle name="Normal 27 3 2 6" xfId="31450" xr:uid="{00000000-0005-0000-0000-0000127E0000}"/>
    <cellStyle name="Normal 27 3 3" xfId="31451" xr:uid="{00000000-0005-0000-0000-0000137E0000}"/>
    <cellStyle name="Normal 27 3 3 2" xfId="31452" xr:uid="{00000000-0005-0000-0000-0000147E0000}"/>
    <cellStyle name="Normal 27 3 3 3" xfId="31453" xr:uid="{00000000-0005-0000-0000-0000157E0000}"/>
    <cellStyle name="Normal 27 3 3 4" xfId="31454" xr:uid="{00000000-0005-0000-0000-0000167E0000}"/>
    <cellStyle name="Normal 27 3 3 5" xfId="31455" xr:uid="{00000000-0005-0000-0000-0000177E0000}"/>
    <cellStyle name="Normal 27 3 3 6" xfId="31456" xr:uid="{00000000-0005-0000-0000-0000187E0000}"/>
    <cellStyle name="Normal 27 3 4" xfId="31457" xr:uid="{00000000-0005-0000-0000-0000197E0000}"/>
    <cellStyle name="Normal 27 3 4 2" xfId="31458" xr:uid="{00000000-0005-0000-0000-00001A7E0000}"/>
    <cellStyle name="Normal 27 3 4 3" xfId="31459" xr:uid="{00000000-0005-0000-0000-00001B7E0000}"/>
    <cellStyle name="Normal 27 3 4 4" xfId="31460" xr:uid="{00000000-0005-0000-0000-00001C7E0000}"/>
    <cellStyle name="Normal 27 3 4 5" xfId="31461" xr:uid="{00000000-0005-0000-0000-00001D7E0000}"/>
    <cellStyle name="Normal 27 3 4 6" xfId="31462" xr:uid="{00000000-0005-0000-0000-00001E7E0000}"/>
    <cellStyle name="Normal 27 3 5" xfId="31463" xr:uid="{00000000-0005-0000-0000-00001F7E0000}"/>
    <cellStyle name="Normal 27 3 5 2" xfId="31464" xr:uid="{00000000-0005-0000-0000-0000207E0000}"/>
    <cellStyle name="Normal 27 3 5 3" xfId="31465" xr:uid="{00000000-0005-0000-0000-0000217E0000}"/>
    <cellStyle name="Normal 27 3 5 4" xfId="31466" xr:uid="{00000000-0005-0000-0000-0000227E0000}"/>
    <cellStyle name="Normal 27 3 5 5" xfId="31467" xr:uid="{00000000-0005-0000-0000-0000237E0000}"/>
    <cellStyle name="Normal 27 3 5 6" xfId="31468" xr:uid="{00000000-0005-0000-0000-0000247E0000}"/>
    <cellStyle name="Normal 27 3 6" xfId="31469" xr:uid="{00000000-0005-0000-0000-0000257E0000}"/>
    <cellStyle name="Normal 27 3 6 2" xfId="31470" xr:uid="{00000000-0005-0000-0000-0000267E0000}"/>
    <cellStyle name="Normal 27 3 6 3" xfId="31471" xr:uid="{00000000-0005-0000-0000-0000277E0000}"/>
    <cellStyle name="Normal 27 3 6 4" xfId="31472" xr:uid="{00000000-0005-0000-0000-0000287E0000}"/>
    <cellStyle name="Normal 27 3 6 5" xfId="31473" xr:uid="{00000000-0005-0000-0000-0000297E0000}"/>
    <cellStyle name="Normal 27 3 6 6" xfId="31474" xr:uid="{00000000-0005-0000-0000-00002A7E0000}"/>
    <cellStyle name="Normal 27 3 7" xfId="31475" xr:uid="{00000000-0005-0000-0000-00002B7E0000}"/>
    <cellStyle name="Normal 27 3 7 2" xfId="31476" xr:uid="{00000000-0005-0000-0000-00002C7E0000}"/>
    <cellStyle name="Normal 27 3 7 3" xfId="31477" xr:uid="{00000000-0005-0000-0000-00002D7E0000}"/>
    <cellStyle name="Normal 27 3 7 4" xfId="31478" xr:uid="{00000000-0005-0000-0000-00002E7E0000}"/>
    <cellStyle name="Normal 27 3 7 5" xfId="31479" xr:uid="{00000000-0005-0000-0000-00002F7E0000}"/>
    <cellStyle name="Normal 27 3 7 6" xfId="31480" xr:uid="{00000000-0005-0000-0000-0000307E0000}"/>
    <cellStyle name="Normal 27 3 8" xfId="31481" xr:uid="{00000000-0005-0000-0000-0000317E0000}"/>
    <cellStyle name="Normal 27 3 8 2" xfId="31482" xr:uid="{00000000-0005-0000-0000-0000327E0000}"/>
    <cellStyle name="Normal 27 3 8 3" xfId="31483" xr:uid="{00000000-0005-0000-0000-0000337E0000}"/>
    <cellStyle name="Normal 27 3 8 4" xfId="31484" xr:uid="{00000000-0005-0000-0000-0000347E0000}"/>
    <cellStyle name="Normal 27 3 8 5" xfId="31485" xr:uid="{00000000-0005-0000-0000-0000357E0000}"/>
    <cellStyle name="Normal 27 3 8 6" xfId="31486" xr:uid="{00000000-0005-0000-0000-0000367E0000}"/>
    <cellStyle name="Normal 27 3 9" xfId="31487" xr:uid="{00000000-0005-0000-0000-0000377E0000}"/>
    <cellStyle name="Normal 27 4" xfId="31488" xr:uid="{00000000-0005-0000-0000-0000387E0000}"/>
    <cellStyle name="Normal 27 4 10" xfId="31489" xr:uid="{00000000-0005-0000-0000-0000397E0000}"/>
    <cellStyle name="Normal 27 4 11" xfId="31490" xr:uid="{00000000-0005-0000-0000-00003A7E0000}"/>
    <cellStyle name="Normal 27 4 12" xfId="31491" xr:uid="{00000000-0005-0000-0000-00003B7E0000}"/>
    <cellStyle name="Normal 27 4 13" xfId="31492" xr:uid="{00000000-0005-0000-0000-00003C7E0000}"/>
    <cellStyle name="Normal 27 4 2" xfId="31493" xr:uid="{00000000-0005-0000-0000-00003D7E0000}"/>
    <cellStyle name="Normal 27 4 2 2" xfId="31494" xr:uid="{00000000-0005-0000-0000-00003E7E0000}"/>
    <cellStyle name="Normal 27 4 2 3" xfId="31495" xr:uid="{00000000-0005-0000-0000-00003F7E0000}"/>
    <cellStyle name="Normal 27 4 2 4" xfId="31496" xr:uid="{00000000-0005-0000-0000-0000407E0000}"/>
    <cellStyle name="Normal 27 4 2 5" xfId="31497" xr:uid="{00000000-0005-0000-0000-0000417E0000}"/>
    <cellStyle name="Normal 27 4 2 6" xfId="31498" xr:uid="{00000000-0005-0000-0000-0000427E0000}"/>
    <cellStyle name="Normal 27 4 3" xfId="31499" xr:uid="{00000000-0005-0000-0000-0000437E0000}"/>
    <cellStyle name="Normal 27 4 3 2" xfId="31500" xr:uid="{00000000-0005-0000-0000-0000447E0000}"/>
    <cellStyle name="Normal 27 4 3 3" xfId="31501" xr:uid="{00000000-0005-0000-0000-0000457E0000}"/>
    <cellStyle name="Normal 27 4 3 4" xfId="31502" xr:uid="{00000000-0005-0000-0000-0000467E0000}"/>
    <cellStyle name="Normal 27 4 3 5" xfId="31503" xr:uid="{00000000-0005-0000-0000-0000477E0000}"/>
    <cellStyle name="Normal 27 4 3 6" xfId="31504" xr:uid="{00000000-0005-0000-0000-0000487E0000}"/>
    <cellStyle name="Normal 27 4 4" xfId="31505" xr:uid="{00000000-0005-0000-0000-0000497E0000}"/>
    <cellStyle name="Normal 27 4 4 2" xfId="31506" xr:uid="{00000000-0005-0000-0000-00004A7E0000}"/>
    <cellStyle name="Normal 27 4 4 3" xfId="31507" xr:uid="{00000000-0005-0000-0000-00004B7E0000}"/>
    <cellStyle name="Normal 27 4 4 4" xfId="31508" xr:uid="{00000000-0005-0000-0000-00004C7E0000}"/>
    <cellStyle name="Normal 27 4 4 5" xfId="31509" xr:uid="{00000000-0005-0000-0000-00004D7E0000}"/>
    <cellStyle name="Normal 27 4 4 6" xfId="31510" xr:uid="{00000000-0005-0000-0000-00004E7E0000}"/>
    <cellStyle name="Normal 27 4 5" xfId="31511" xr:uid="{00000000-0005-0000-0000-00004F7E0000}"/>
    <cellStyle name="Normal 27 4 5 2" xfId="31512" xr:uid="{00000000-0005-0000-0000-0000507E0000}"/>
    <cellStyle name="Normal 27 4 5 3" xfId="31513" xr:uid="{00000000-0005-0000-0000-0000517E0000}"/>
    <cellStyle name="Normal 27 4 5 4" xfId="31514" xr:uid="{00000000-0005-0000-0000-0000527E0000}"/>
    <cellStyle name="Normal 27 4 5 5" xfId="31515" xr:uid="{00000000-0005-0000-0000-0000537E0000}"/>
    <cellStyle name="Normal 27 4 5 6" xfId="31516" xr:uid="{00000000-0005-0000-0000-0000547E0000}"/>
    <cellStyle name="Normal 27 4 6" xfId="31517" xr:uid="{00000000-0005-0000-0000-0000557E0000}"/>
    <cellStyle name="Normal 27 4 6 2" xfId="31518" xr:uid="{00000000-0005-0000-0000-0000567E0000}"/>
    <cellStyle name="Normal 27 4 6 3" xfId="31519" xr:uid="{00000000-0005-0000-0000-0000577E0000}"/>
    <cellStyle name="Normal 27 4 6 4" xfId="31520" xr:uid="{00000000-0005-0000-0000-0000587E0000}"/>
    <cellStyle name="Normal 27 4 6 5" xfId="31521" xr:uid="{00000000-0005-0000-0000-0000597E0000}"/>
    <cellStyle name="Normal 27 4 6 6" xfId="31522" xr:uid="{00000000-0005-0000-0000-00005A7E0000}"/>
    <cellStyle name="Normal 27 4 7" xfId="31523" xr:uid="{00000000-0005-0000-0000-00005B7E0000}"/>
    <cellStyle name="Normal 27 4 7 2" xfId="31524" xr:uid="{00000000-0005-0000-0000-00005C7E0000}"/>
    <cellStyle name="Normal 27 4 7 3" xfId="31525" xr:uid="{00000000-0005-0000-0000-00005D7E0000}"/>
    <cellStyle name="Normal 27 4 7 4" xfId="31526" xr:uid="{00000000-0005-0000-0000-00005E7E0000}"/>
    <cellStyle name="Normal 27 4 7 5" xfId="31527" xr:uid="{00000000-0005-0000-0000-00005F7E0000}"/>
    <cellStyle name="Normal 27 4 7 6" xfId="31528" xr:uid="{00000000-0005-0000-0000-0000607E0000}"/>
    <cellStyle name="Normal 27 4 8" xfId="31529" xr:uid="{00000000-0005-0000-0000-0000617E0000}"/>
    <cellStyle name="Normal 27 4 8 2" xfId="31530" xr:uid="{00000000-0005-0000-0000-0000627E0000}"/>
    <cellStyle name="Normal 27 4 8 3" xfId="31531" xr:uid="{00000000-0005-0000-0000-0000637E0000}"/>
    <cellStyle name="Normal 27 4 8 4" xfId="31532" xr:uid="{00000000-0005-0000-0000-0000647E0000}"/>
    <cellStyle name="Normal 27 4 8 5" xfId="31533" xr:uid="{00000000-0005-0000-0000-0000657E0000}"/>
    <cellStyle name="Normal 27 4 8 6" xfId="31534" xr:uid="{00000000-0005-0000-0000-0000667E0000}"/>
    <cellStyle name="Normal 27 4 9" xfId="31535" xr:uid="{00000000-0005-0000-0000-0000677E0000}"/>
    <cellStyle name="Normal 27 5" xfId="31536" xr:uid="{00000000-0005-0000-0000-0000687E0000}"/>
    <cellStyle name="Normal 27 5 10" xfId="31537" xr:uid="{00000000-0005-0000-0000-0000697E0000}"/>
    <cellStyle name="Normal 27 5 11" xfId="31538" xr:uid="{00000000-0005-0000-0000-00006A7E0000}"/>
    <cellStyle name="Normal 27 5 12" xfId="31539" xr:uid="{00000000-0005-0000-0000-00006B7E0000}"/>
    <cellStyle name="Normal 27 5 13" xfId="31540" xr:uid="{00000000-0005-0000-0000-00006C7E0000}"/>
    <cellStyle name="Normal 27 5 2" xfId="31541" xr:uid="{00000000-0005-0000-0000-00006D7E0000}"/>
    <cellStyle name="Normal 27 5 2 2" xfId="31542" xr:uid="{00000000-0005-0000-0000-00006E7E0000}"/>
    <cellStyle name="Normal 27 5 2 3" xfId="31543" xr:uid="{00000000-0005-0000-0000-00006F7E0000}"/>
    <cellStyle name="Normal 27 5 2 4" xfId="31544" xr:uid="{00000000-0005-0000-0000-0000707E0000}"/>
    <cellStyle name="Normal 27 5 2 5" xfId="31545" xr:uid="{00000000-0005-0000-0000-0000717E0000}"/>
    <cellStyle name="Normal 27 5 2 6" xfId="31546" xr:uid="{00000000-0005-0000-0000-0000727E0000}"/>
    <cellStyle name="Normal 27 5 3" xfId="31547" xr:uid="{00000000-0005-0000-0000-0000737E0000}"/>
    <cellStyle name="Normal 27 5 3 2" xfId="31548" xr:uid="{00000000-0005-0000-0000-0000747E0000}"/>
    <cellStyle name="Normal 27 5 3 3" xfId="31549" xr:uid="{00000000-0005-0000-0000-0000757E0000}"/>
    <cellStyle name="Normal 27 5 3 4" xfId="31550" xr:uid="{00000000-0005-0000-0000-0000767E0000}"/>
    <cellStyle name="Normal 27 5 3 5" xfId="31551" xr:uid="{00000000-0005-0000-0000-0000777E0000}"/>
    <cellStyle name="Normal 27 5 3 6" xfId="31552" xr:uid="{00000000-0005-0000-0000-0000787E0000}"/>
    <cellStyle name="Normal 27 5 4" xfId="31553" xr:uid="{00000000-0005-0000-0000-0000797E0000}"/>
    <cellStyle name="Normal 27 5 4 2" xfId="31554" xr:uid="{00000000-0005-0000-0000-00007A7E0000}"/>
    <cellStyle name="Normal 27 5 4 3" xfId="31555" xr:uid="{00000000-0005-0000-0000-00007B7E0000}"/>
    <cellStyle name="Normal 27 5 4 4" xfId="31556" xr:uid="{00000000-0005-0000-0000-00007C7E0000}"/>
    <cellStyle name="Normal 27 5 4 5" xfId="31557" xr:uid="{00000000-0005-0000-0000-00007D7E0000}"/>
    <cellStyle name="Normal 27 5 4 6" xfId="31558" xr:uid="{00000000-0005-0000-0000-00007E7E0000}"/>
    <cellStyle name="Normal 27 5 5" xfId="31559" xr:uid="{00000000-0005-0000-0000-00007F7E0000}"/>
    <cellStyle name="Normal 27 5 5 2" xfId="31560" xr:uid="{00000000-0005-0000-0000-0000807E0000}"/>
    <cellStyle name="Normal 27 5 5 3" xfId="31561" xr:uid="{00000000-0005-0000-0000-0000817E0000}"/>
    <cellStyle name="Normal 27 5 5 4" xfId="31562" xr:uid="{00000000-0005-0000-0000-0000827E0000}"/>
    <cellStyle name="Normal 27 5 5 5" xfId="31563" xr:uid="{00000000-0005-0000-0000-0000837E0000}"/>
    <cellStyle name="Normal 27 5 5 6" xfId="31564" xr:uid="{00000000-0005-0000-0000-0000847E0000}"/>
    <cellStyle name="Normal 27 5 6" xfId="31565" xr:uid="{00000000-0005-0000-0000-0000857E0000}"/>
    <cellStyle name="Normal 27 5 6 2" xfId="31566" xr:uid="{00000000-0005-0000-0000-0000867E0000}"/>
    <cellStyle name="Normal 27 5 6 3" xfId="31567" xr:uid="{00000000-0005-0000-0000-0000877E0000}"/>
    <cellStyle name="Normal 27 5 6 4" xfId="31568" xr:uid="{00000000-0005-0000-0000-0000887E0000}"/>
    <cellStyle name="Normal 27 5 6 5" xfId="31569" xr:uid="{00000000-0005-0000-0000-0000897E0000}"/>
    <cellStyle name="Normal 27 5 6 6" xfId="31570" xr:uid="{00000000-0005-0000-0000-00008A7E0000}"/>
    <cellStyle name="Normal 27 5 7" xfId="31571" xr:uid="{00000000-0005-0000-0000-00008B7E0000}"/>
    <cellStyle name="Normal 27 5 7 2" xfId="31572" xr:uid="{00000000-0005-0000-0000-00008C7E0000}"/>
    <cellStyle name="Normal 27 5 7 3" xfId="31573" xr:uid="{00000000-0005-0000-0000-00008D7E0000}"/>
    <cellStyle name="Normal 27 5 7 4" xfId="31574" xr:uid="{00000000-0005-0000-0000-00008E7E0000}"/>
    <cellStyle name="Normal 27 5 7 5" xfId="31575" xr:uid="{00000000-0005-0000-0000-00008F7E0000}"/>
    <cellStyle name="Normal 27 5 7 6" xfId="31576" xr:uid="{00000000-0005-0000-0000-0000907E0000}"/>
    <cellStyle name="Normal 27 5 8" xfId="31577" xr:uid="{00000000-0005-0000-0000-0000917E0000}"/>
    <cellStyle name="Normal 27 5 8 2" xfId="31578" xr:uid="{00000000-0005-0000-0000-0000927E0000}"/>
    <cellStyle name="Normal 27 5 8 3" xfId="31579" xr:uid="{00000000-0005-0000-0000-0000937E0000}"/>
    <cellStyle name="Normal 27 5 8 4" xfId="31580" xr:uid="{00000000-0005-0000-0000-0000947E0000}"/>
    <cellStyle name="Normal 27 5 8 5" xfId="31581" xr:uid="{00000000-0005-0000-0000-0000957E0000}"/>
    <cellStyle name="Normal 27 5 8 6" xfId="31582" xr:uid="{00000000-0005-0000-0000-0000967E0000}"/>
    <cellStyle name="Normal 27 5 9" xfId="31583" xr:uid="{00000000-0005-0000-0000-0000977E0000}"/>
    <cellStyle name="Normal 27 6" xfId="31584" xr:uid="{00000000-0005-0000-0000-0000987E0000}"/>
    <cellStyle name="Normal 27 6 10" xfId="31585" xr:uid="{00000000-0005-0000-0000-0000997E0000}"/>
    <cellStyle name="Normal 27 6 11" xfId="31586" xr:uid="{00000000-0005-0000-0000-00009A7E0000}"/>
    <cellStyle name="Normal 27 6 12" xfId="31587" xr:uid="{00000000-0005-0000-0000-00009B7E0000}"/>
    <cellStyle name="Normal 27 6 13" xfId="31588" xr:uid="{00000000-0005-0000-0000-00009C7E0000}"/>
    <cellStyle name="Normal 27 6 2" xfId="31589" xr:uid="{00000000-0005-0000-0000-00009D7E0000}"/>
    <cellStyle name="Normal 27 6 2 2" xfId="31590" xr:uid="{00000000-0005-0000-0000-00009E7E0000}"/>
    <cellStyle name="Normal 27 6 2 3" xfId="31591" xr:uid="{00000000-0005-0000-0000-00009F7E0000}"/>
    <cellStyle name="Normal 27 6 2 4" xfId="31592" xr:uid="{00000000-0005-0000-0000-0000A07E0000}"/>
    <cellStyle name="Normal 27 6 2 5" xfId="31593" xr:uid="{00000000-0005-0000-0000-0000A17E0000}"/>
    <cellStyle name="Normal 27 6 2 6" xfId="31594" xr:uid="{00000000-0005-0000-0000-0000A27E0000}"/>
    <cellStyle name="Normal 27 6 3" xfId="31595" xr:uid="{00000000-0005-0000-0000-0000A37E0000}"/>
    <cellStyle name="Normal 27 6 3 2" xfId="31596" xr:uid="{00000000-0005-0000-0000-0000A47E0000}"/>
    <cellStyle name="Normal 27 6 3 3" xfId="31597" xr:uid="{00000000-0005-0000-0000-0000A57E0000}"/>
    <cellStyle name="Normal 27 6 3 4" xfId="31598" xr:uid="{00000000-0005-0000-0000-0000A67E0000}"/>
    <cellStyle name="Normal 27 6 3 5" xfId="31599" xr:uid="{00000000-0005-0000-0000-0000A77E0000}"/>
    <cellStyle name="Normal 27 6 3 6" xfId="31600" xr:uid="{00000000-0005-0000-0000-0000A87E0000}"/>
    <cellStyle name="Normal 27 6 4" xfId="31601" xr:uid="{00000000-0005-0000-0000-0000A97E0000}"/>
    <cellStyle name="Normal 27 6 4 2" xfId="31602" xr:uid="{00000000-0005-0000-0000-0000AA7E0000}"/>
    <cellStyle name="Normal 27 6 4 3" xfId="31603" xr:uid="{00000000-0005-0000-0000-0000AB7E0000}"/>
    <cellStyle name="Normal 27 6 4 4" xfId="31604" xr:uid="{00000000-0005-0000-0000-0000AC7E0000}"/>
    <cellStyle name="Normal 27 6 4 5" xfId="31605" xr:uid="{00000000-0005-0000-0000-0000AD7E0000}"/>
    <cellStyle name="Normal 27 6 4 6" xfId="31606" xr:uid="{00000000-0005-0000-0000-0000AE7E0000}"/>
    <cellStyle name="Normal 27 6 5" xfId="31607" xr:uid="{00000000-0005-0000-0000-0000AF7E0000}"/>
    <cellStyle name="Normal 27 6 5 2" xfId="31608" xr:uid="{00000000-0005-0000-0000-0000B07E0000}"/>
    <cellStyle name="Normal 27 6 5 3" xfId="31609" xr:uid="{00000000-0005-0000-0000-0000B17E0000}"/>
    <cellStyle name="Normal 27 6 5 4" xfId="31610" xr:uid="{00000000-0005-0000-0000-0000B27E0000}"/>
    <cellStyle name="Normal 27 6 5 5" xfId="31611" xr:uid="{00000000-0005-0000-0000-0000B37E0000}"/>
    <cellStyle name="Normal 27 6 5 6" xfId="31612" xr:uid="{00000000-0005-0000-0000-0000B47E0000}"/>
    <cellStyle name="Normal 27 6 6" xfId="31613" xr:uid="{00000000-0005-0000-0000-0000B57E0000}"/>
    <cellStyle name="Normal 27 6 6 2" xfId="31614" xr:uid="{00000000-0005-0000-0000-0000B67E0000}"/>
    <cellStyle name="Normal 27 6 6 3" xfId="31615" xr:uid="{00000000-0005-0000-0000-0000B77E0000}"/>
    <cellStyle name="Normal 27 6 6 4" xfId="31616" xr:uid="{00000000-0005-0000-0000-0000B87E0000}"/>
    <cellStyle name="Normal 27 6 6 5" xfId="31617" xr:uid="{00000000-0005-0000-0000-0000B97E0000}"/>
    <cellStyle name="Normal 27 6 6 6" xfId="31618" xr:uid="{00000000-0005-0000-0000-0000BA7E0000}"/>
    <cellStyle name="Normal 27 6 7" xfId="31619" xr:uid="{00000000-0005-0000-0000-0000BB7E0000}"/>
    <cellStyle name="Normal 27 6 7 2" xfId="31620" xr:uid="{00000000-0005-0000-0000-0000BC7E0000}"/>
    <cellStyle name="Normal 27 6 7 3" xfId="31621" xr:uid="{00000000-0005-0000-0000-0000BD7E0000}"/>
    <cellStyle name="Normal 27 6 7 4" xfId="31622" xr:uid="{00000000-0005-0000-0000-0000BE7E0000}"/>
    <cellStyle name="Normal 27 6 7 5" xfId="31623" xr:uid="{00000000-0005-0000-0000-0000BF7E0000}"/>
    <cellStyle name="Normal 27 6 7 6" xfId="31624" xr:uid="{00000000-0005-0000-0000-0000C07E0000}"/>
    <cellStyle name="Normal 27 6 8" xfId="31625" xr:uid="{00000000-0005-0000-0000-0000C17E0000}"/>
    <cellStyle name="Normal 27 6 8 2" xfId="31626" xr:uid="{00000000-0005-0000-0000-0000C27E0000}"/>
    <cellStyle name="Normal 27 6 8 3" xfId="31627" xr:uid="{00000000-0005-0000-0000-0000C37E0000}"/>
    <cellStyle name="Normal 27 6 8 4" xfId="31628" xr:uid="{00000000-0005-0000-0000-0000C47E0000}"/>
    <cellStyle name="Normal 27 6 8 5" xfId="31629" xr:uid="{00000000-0005-0000-0000-0000C57E0000}"/>
    <cellStyle name="Normal 27 6 8 6" xfId="31630" xr:uid="{00000000-0005-0000-0000-0000C67E0000}"/>
    <cellStyle name="Normal 27 6 9" xfId="31631" xr:uid="{00000000-0005-0000-0000-0000C77E0000}"/>
    <cellStyle name="Normal 27 7" xfId="31632" xr:uid="{00000000-0005-0000-0000-0000C87E0000}"/>
    <cellStyle name="Normal 27 7 10" xfId="31633" xr:uid="{00000000-0005-0000-0000-0000C97E0000}"/>
    <cellStyle name="Normal 27 7 11" xfId="31634" xr:uid="{00000000-0005-0000-0000-0000CA7E0000}"/>
    <cellStyle name="Normal 27 7 12" xfId="31635" xr:uid="{00000000-0005-0000-0000-0000CB7E0000}"/>
    <cellStyle name="Normal 27 7 13" xfId="31636" xr:uid="{00000000-0005-0000-0000-0000CC7E0000}"/>
    <cellStyle name="Normal 27 7 2" xfId="31637" xr:uid="{00000000-0005-0000-0000-0000CD7E0000}"/>
    <cellStyle name="Normal 27 7 2 2" xfId="31638" xr:uid="{00000000-0005-0000-0000-0000CE7E0000}"/>
    <cellStyle name="Normal 27 7 2 3" xfId="31639" xr:uid="{00000000-0005-0000-0000-0000CF7E0000}"/>
    <cellStyle name="Normal 27 7 2 4" xfId="31640" xr:uid="{00000000-0005-0000-0000-0000D07E0000}"/>
    <cellStyle name="Normal 27 7 2 5" xfId="31641" xr:uid="{00000000-0005-0000-0000-0000D17E0000}"/>
    <cellStyle name="Normal 27 7 2 6" xfId="31642" xr:uid="{00000000-0005-0000-0000-0000D27E0000}"/>
    <cellStyle name="Normal 27 7 3" xfId="31643" xr:uid="{00000000-0005-0000-0000-0000D37E0000}"/>
    <cellStyle name="Normal 27 7 3 2" xfId="31644" xr:uid="{00000000-0005-0000-0000-0000D47E0000}"/>
    <cellStyle name="Normal 27 7 3 3" xfId="31645" xr:uid="{00000000-0005-0000-0000-0000D57E0000}"/>
    <cellStyle name="Normal 27 7 3 4" xfId="31646" xr:uid="{00000000-0005-0000-0000-0000D67E0000}"/>
    <cellStyle name="Normal 27 7 3 5" xfId="31647" xr:uid="{00000000-0005-0000-0000-0000D77E0000}"/>
    <cellStyle name="Normal 27 7 3 6" xfId="31648" xr:uid="{00000000-0005-0000-0000-0000D87E0000}"/>
    <cellStyle name="Normal 27 7 4" xfId="31649" xr:uid="{00000000-0005-0000-0000-0000D97E0000}"/>
    <cellStyle name="Normal 27 7 4 2" xfId="31650" xr:uid="{00000000-0005-0000-0000-0000DA7E0000}"/>
    <cellStyle name="Normal 27 7 4 3" xfId="31651" xr:uid="{00000000-0005-0000-0000-0000DB7E0000}"/>
    <cellStyle name="Normal 27 7 4 4" xfId="31652" xr:uid="{00000000-0005-0000-0000-0000DC7E0000}"/>
    <cellStyle name="Normal 27 7 4 5" xfId="31653" xr:uid="{00000000-0005-0000-0000-0000DD7E0000}"/>
    <cellStyle name="Normal 27 7 4 6" xfId="31654" xr:uid="{00000000-0005-0000-0000-0000DE7E0000}"/>
    <cellStyle name="Normal 27 7 5" xfId="31655" xr:uid="{00000000-0005-0000-0000-0000DF7E0000}"/>
    <cellStyle name="Normal 27 7 5 2" xfId="31656" xr:uid="{00000000-0005-0000-0000-0000E07E0000}"/>
    <cellStyle name="Normal 27 7 5 3" xfId="31657" xr:uid="{00000000-0005-0000-0000-0000E17E0000}"/>
    <cellStyle name="Normal 27 7 5 4" xfId="31658" xr:uid="{00000000-0005-0000-0000-0000E27E0000}"/>
    <cellStyle name="Normal 27 7 5 5" xfId="31659" xr:uid="{00000000-0005-0000-0000-0000E37E0000}"/>
    <cellStyle name="Normal 27 7 5 6" xfId="31660" xr:uid="{00000000-0005-0000-0000-0000E47E0000}"/>
    <cellStyle name="Normal 27 7 6" xfId="31661" xr:uid="{00000000-0005-0000-0000-0000E57E0000}"/>
    <cellStyle name="Normal 27 7 6 2" xfId="31662" xr:uid="{00000000-0005-0000-0000-0000E67E0000}"/>
    <cellStyle name="Normal 27 7 6 3" xfId="31663" xr:uid="{00000000-0005-0000-0000-0000E77E0000}"/>
    <cellStyle name="Normal 27 7 6 4" xfId="31664" xr:uid="{00000000-0005-0000-0000-0000E87E0000}"/>
    <cellStyle name="Normal 27 7 6 5" xfId="31665" xr:uid="{00000000-0005-0000-0000-0000E97E0000}"/>
    <cellStyle name="Normal 27 7 6 6" xfId="31666" xr:uid="{00000000-0005-0000-0000-0000EA7E0000}"/>
    <cellStyle name="Normal 27 7 7" xfId="31667" xr:uid="{00000000-0005-0000-0000-0000EB7E0000}"/>
    <cellStyle name="Normal 27 7 7 2" xfId="31668" xr:uid="{00000000-0005-0000-0000-0000EC7E0000}"/>
    <cellStyle name="Normal 27 7 7 3" xfId="31669" xr:uid="{00000000-0005-0000-0000-0000ED7E0000}"/>
    <cellStyle name="Normal 27 7 7 4" xfId="31670" xr:uid="{00000000-0005-0000-0000-0000EE7E0000}"/>
    <cellStyle name="Normal 27 7 7 5" xfId="31671" xr:uid="{00000000-0005-0000-0000-0000EF7E0000}"/>
    <cellStyle name="Normal 27 7 7 6" xfId="31672" xr:uid="{00000000-0005-0000-0000-0000F07E0000}"/>
    <cellStyle name="Normal 27 7 8" xfId="31673" xr:uid="{00000000-0005-0000-0000-0000F17E0000}"/>
    <cellStyle name="Normal 27 7 8 2" xfId="31674" xr:uid="{00000000-0005-0000-0000-0000F27E0000}"/>
    <cellStyle name="Normal 27 7 8 3" xfId="31675" xr:uid="{00000000-0005-0000-0000-0000F37E0000}"/>
    <cellStyle name="Normal 27 7 8 4" xfId="31676" xr:uid="{00000000-0005-0000-0000-0000F47E0000}"/>
    <cellStyle name="Normal 27 7 8 5" xfId="31677" xr:uid="{00000000-0005-0000-0000-0000F57E0000}"/>
    <cellStyle name="Normal 27 7 8 6" xfId="31678" xr:uid="{00000000-0005-0000-0000-0000F67E0000}"/>
    <cellStyle name="Normal 27 7 9" xfId="31679" xr:uid="{00000000-0005-0000-0000-0000F77E0000}"/>
    <cellStyle name="Normal 27 8" xfId="31680" xr:uid="{00000000-0005-0000-0000-0000F87E0000}"/>
    <cellStyle name="Normal 27 8 10" xfId="31681" xr:uid="{00000000-0005-0000-0000-0000F97E0000}"/>
    <cellStyle name="Normal 27 8 11" xfId="31682" xr:uid="{00000000-0005-0000-0000-0000FA7E0000}"/>
    <cellStyle name="Normal 27 8 12" xfId="31683" xr:uid="{00000000-0005-0000-0000-0000FB7E0000}"/>
    <cellStyle name="Normal 27 8 13" xfId="31684" xr:uid="{00000000-0005-0000-0000-0000FC7E0000}"/>
    <cellStyle name="Normal 27 8 2" xfId="31685" xr:uid="{00000000-0005-0000-0000-0000FD7E0000}"/>
    <cellStyle name="Normal 27 8 2 2" xfId="31686" xr:uid="{00000000-0005-0000-0000-0000FE7E0000}"/>
    <cellStyle name="Normal 27 8 2 3" xfId="31687" xr:uid="{00000000-0005-0000-0000-0000FF7E0000}"/>
    <cellStyle name="Normal 27 8 2 4" xfId="31688" xr:uid="{00000000-0005-0000-0000-0000007F0000}"/>
    <cellStyle name="Normal 27 8 2 5" xfId="31689" xr:uid="{00000000-0005-0000-0000-0000017F0000}"/>
    <cellStyle name="Normal 27 8 2 6" xfId="31690" xr:uid="{00000000-0005-0000-0000-0000027F0000}"/>
    <cellStyle name="Normal 27 8 3" xfId="31691" xr:uid="{00000000-0005-0000-0000-0000037F0000}"/>
    <cellStyle name="Normal 27 8 3 2" xfId="31692" xr:uid="{00000000-0005-0000-0000-0000047F0000}"/>
    <cellStyle name="Normal 27 8 3 3" xfId="31693" xr:uid="{00000000-0005-0000-0000-0000057F0000}"/>
    <cellStyle name="Normal 27 8 3 4" xfId="31694" xr:uid="{00000000-0005-0000-0000-0000067F0000}"/>
    <cellStyle name="Normal 27 8 3 5" xfId="31695" xr:uid="{00000000-0005-0000-0000-0000077F0000}"/>
    <cellStyle name="Normal 27 8 3 6" xfId="31696" xr:uid="{00000000-0005-0000-0000-0000087F0000}"/>
    <cellStyle name="Normal 27 8 4" xfId="31697" xr:uid="{00000000-0005-0000-0000-0000097F0000}"/>
    <cellStyle name="Normal 27 8 4 2" xfId="31698" xr:uid="{00000000-0005-0000-0000-00000A7F0000}"/>
    <cellStyle name="Normal 27 8 4 3" xfId="31699" xr:uid="{00000000-0005-0000-0000-00000B7F0000}"/>
    <cellStyle name="Normal 27 8 4 4" xfId="31700" xr:uid="{00000000-0005-0000-0000-00000C7F0000}"/>
    <cellStyle name="Normal 27 8 4 5" xfId="31701" xr:uid="{00000000-0005-0000-0000-00000D7F0000}"/>
    <cellStyle name="Normal 27 8 4 6" xfId="31702" xr:uid="{00000000-0005-0000-0000-00000E7F0000}"/>
    <cellStyle name="Normal 27 8 5" xfId="31703" xr:uid="{00000000-0005-0000-0000-00000F7F0000}"/>
    <cellStyle name="Normal 27 8 5 2" xfId="31704" xr:uid="{00000000-0005-0000-0000-0000107F0000}"/>
    <cellStyle name="Normal 27 8 5 3" xfId="31705" xr:uid="{00000000-0005-0000-0000-0000117F0000}"/>
    <cellStyle name="Normal 27 8 5 4" xfId="31706" xr:uid="{00000000-0005-0000-0000-0000127F0000}"/>
    <cellStyle name="Normal 27 8 5 5" xfId="31707" xr:uid="{00000000-0005-0000-0000-0000137F0000}"/>
    <cellStyle name="Normal 27 8 5 6" xfId="31708" xr:uid="{00000000-0005-0000-0000-0000147F0000}"/>
    <cellStyle name="Normal 27 8 6" xfId="31709" xr:uid="{00000000-0005-0000-0000-0000157F0000}"/>
    <cellStyle name="Normal 27 8 6 2" xfId="31710" xr:uid="{00000000-0005-0000-0000-0000167F0000}"/>
    <cellStyle name="Normal 27 8 6 3" xfId="31711" xr:uid="{00000000-0005-0000-0000-0000177F0000}"/>
    <cellStyle name="Normal 27 8 6 4" xfId="31712" xr:uid="{00000000-0005-0000-0000-0000187F0000}"/>
    <cellStyle name="Normal 27 8 6 5" xfId="31713" xr:uid="{00000000-0005-0000-0000-0000197F0000}"/>
    <cellStyle name="Normal 27 8 6 6" xfId="31714" xr:uid="{00000000-0005-0000-0000-00001A7F0000}"/>
    <cellStyle name="Normal 27 8 7" xfId="31715" xr:uid="{00000000-0005-0000-0000-00001B7F0000}"/>
    <cellStyle name="Normal 27 8 7 2" xfId="31716" xr:uid="{00000000-0005-0000-0000-00001C7F0000}"/>
    <cellStyle name="Normal 27 8 7 3" xfId="31717" xr:uid="{00000000-0005-0000-0000-00001D7F0000}"/>
    <cellStyle name="Normal 27 8 7 4" xfId="31718" xr:uid="{00000000-0005-0000-0000-00001E7F0000}"/>
    <cellStyle name="Normal 27 8 7 5" xfId="31719" xr:uid="{00000000-0005-0000-0000-00001F7F0000}"/>
    <cellStyle name="Normal 27 8 7 6" xfId="31720" xr:uid="{00000000-0005-0000-0000-0000207F0000}"/>
    <cellStyle name="Normal 27 8 8" xfId="31721" xr:uid="{00000000-0005-0000-0000-0000217F0000}"/>
    <cellStyle name="Normal 27 8 8 2" xfId="31722" xr:uid="{00000000-0005-0000-0000-0000227F0000}"/>
    <cellStyle name="Normal 27 8 8 3" xfId="31723" xr:uid="{00000000-0005-0000-0000-0000237F0000}"/>
    <cellStyle name="Normal 27 8 8 4" xfId="31724" xr:uid="{00000000-0005-0000-0000-0000247F0000}"/>
    <cellStyle name="Normal 27 8 8 5" xfId="31725" xr:uid="{00000000-0005-0000-0000-0000257F0000}"/>
    <cellStyle name="Normal 27 8 8 6" xfId="31726" xr:uid="{00000000-0005-0000-0000-0000267F0000}"/>
    <cellStyle name="Normal 27 8 9" xfId="31727" xr:uid="{00000000-0005-0000-0000-0000277F0000}"/>
    <cellStyle name="Normal 27 9" xfId="31728" xr:uid="{00000000-0005-0000-0000-0000287F0000}"/>
    <cellStyle name="Normal 27 9 10" xfId="31729" xr:uid="{00000000-0005-0000-0000-0000297F0000}"/>
    <cellStyle name="Normal 27 9 11" xfId="31730" xr:uid="{00000000-0005-0000-0000-00002A7F0000}"/>
    <cellStyle name="Normal 27 9 12" xfId="31731" xr:uid="{00000000-0005-0000-0000-00002B7F0000}"/>
    <cellStyle name="Normal 27 9 13" xfId="31732" xr:uid="{00000000-0005-0000-0000-00002C7F0000}"/>
    <cellStyle name="Normal 27 9 2" xfId="31733" xr:uid="{00000000-0005-0000-0000-00002D7F0000}"/>
    <cellStyle name="Normal 27 9 2 2" xfId="31734" xr:uid="{00000000-0005-0000-0000-00002E7F0000}"/>
    <cellStyle name="Normal 27 9 2 3" xfId="31735" xr:uid="{00000000-0005-0000-0000-00002F7F0000}"/>
    <cellStyle name="Normal 27 9 2 4" xfId="31736" xr:uid="{00000000-0005-0000-0000-0000307F0000}"/>
    <cellStyle name="Normal 27 9 2 5" xfId="31737" xr:uid="{00000000-0005-0000-0000-0000317F0000}"/>
    <cellStyle name="Normal 27 9 2 6" xfId="31738" xr:uid="{00000000-0005-0000-0000-0000327F0000}"/>
    <cellStyle name="Normal 27 9 3" xfId="31739" xr:uid="{00000000-0005-0000-0000-0000337F0000}"/>
    <cellStyle name="Normal 27 9 3 2" xfId="31740" xr:uid="{00000000-0005-0000-0000-0000347F0000}"/>
    <cellStyle name="Normal 27 9 3 3" xfId="31741" xr:uid="{00000000-0005-0000-0000-0000357F0000}"/>
    <cellStyle name="Normal 27 9 3 4" xfId="31742" xr:uid="{00000000-0005-0000-0000-0000367F0000}"/>
    <cellStyle name="Normal 27 9 3 5" xfId="31743" xr:uid="{00000000-0005-0000-0000-0000377F0000}"/>
    <cellStyle name="Normal 27 9 3 6" xfId="31744" xr:uid="{00000000-0005-0000-0000-0000387F0000}"/>
    <cellStyle name="Normal 27 9 4" xfId="31745" xr:uid="{00000000-0005-0000-0000-0000397F0000}"/>
    <cellStyle name="Normal 27 9 4 2" xfId="31746" xr:uid="{00000000-0005-0000-0000-00003A7F0000}"/>
    <cellStyle name="Normal 27 9 4 3" xfId="31747" xr:uid="{00000000-0005-0000-0000-00003B7F0000}"/>
    <cellStyle name="Normal 27 9 4 4" xfId="31748" xr:uid="{00000000-0005-0000-0000-00003C7F0000}"/>
    <cellStyle name="Normal 27 9 4 5" xfId="31749" xr:uid="{00000000-0005-0000-0000-00003D7F0000}"/>
    <cellStyle name="Normal 27 9 4 6" xfId="31750" xr:uid="{00000000-0005-0000-0000-00003E7F0000}"/>
    <cellStyle name="Normal 27 9 5" xfId="31751" xr:uid="{00000000-0005-0000-0000-00003F7F0000}"/>
    <cellStyle name="Normal 27 9 5 2" xfId="31752" xr:uid="{00000000-0005-0000-0000-0000407F0000}"/>
    <cellStyle name="Normal 27 9 5 3" xfId="31753" xr:uid="{00000000-0005-0000-0000-0000417F0000}"/>
    <cellStyle name="Normal 27 9 5 4" xfId="31754" xr:uid="{00000000-0005-0000-0000-0000427F0000}"/>
    <cellStyle name="Normal 27 9 5 5" xfId="31755" xr:uid="{00000000-0005-0000-0000-0000437F0000}"/>
    <cellStyle name="Normal 27 9 5 6" xfId="31756" xr:uid="{00000000-0005-0000-0000-0000447F0000}"/>
    <cellStyle name="Normal 27 9 6" xfId="31757" xr:uid="{00000000-0005-0000-0000-0000457F0000}"/>
    <cellStyle name="Normal 27 9 6 2" xfId="31758" xr:uid="{00000000-0005-0000-0000-0000467F0000}"/>
    <cellStyle name="Normal 27 9 6 3" xfId="31759" xr:uid="{00000000-0005-0000-0000-0000477F0000}"/>
    <cellStyle name="Normal 27 9 6 4" xfId="31760" xr:uid="{00000000-0005-0000-0000-0000487F0000}"/>
    <cellStyle name="Normal 27 9 6 5" xfId="31761" xr:uid="{00000000-0005-0000-0000-0000497F0000}"/>
    <cellStyle name="Normal 27 9 6 6" xfId="31762" xr:uid="{00000000-0005-0000-0000-00004A7F0000}"/>
    <cellStyle name="Normal 27 9 7" xfId="31763" xr:uid="{00000000-0005-0000-0000-00004B7F0000}"/>
    <cellStyle name="Normal 27 9 7 2" xfId="31764" xr:uid="{00000000-0005-0000-0000-00004C7F0000}"/>
    <cellStyle name="Normal 27 9 7 3" xfId="31765" xr:uid="{00000000-0005-0000-0000-00004D7F0000}"/>
    <cellStyle name="Normal 27 9 7 4" xfId="31766" xr:uid="{00000000-0005-0000-0000-00004E7F0000}"/>
    <cellStyle name="Normal 27 9 7 5" xfId="31767" xr:uid="{00000000-0005-0000-0000-00004F7F0000}"/>
    <cellStyle name="Normal 27 9 7 6" xfId="31768" xr:uid="{00000000-0005-0000-0000-0000507F0000}"/>
    <cellStyle name="Normal 27 9 8" xfId="31769" xr:uid="{00000000-0005-0000-0000-0000517F0000}"/>
    <cellStyle name="Normal 27 9 8 2" xfId="31770" xr:uid="{00000000-0005-0000-0000-0000527F0000}"/>
    <cellStyle name="Normal 27 9 8 3" xfId="31771" xr:uid="{00000000-0005-0000-0000-0000537F0000}"/>
    <cellStyle name="Normal 27 9 8 4" xfId="31772" xr:uid="{00000000-0005-0000-0000-0000547F0000}"/>
    <cellStyle name="Normal 27 9 8 5" xfId="31773" xr:uid="{00000000-0005-0000-0000-0000557F0000}"/>
    <cellStyle name="Normal 27 9 8 6" xfId="31774" xr:uid="{00000000-0005-0000-0000-0000567F0000}"/>
    <cellStyle name="Normal 27 9 9" xfId="31775" xr:uid="{00000000-0005-0000-0000-0000577F0000}"/>
    <cellStyle name="Normal 28" xfId="31776" xr:uid="{00000000-0005-0000-0000-0000587F0000}"/>
    <cellStyle name="Normal 28 10" xfId="31777" xr:uid="{00000000-0005-0000-0000-0000597F0000}"/>
    <cellStyle name="Normal 28 10 10" xfId="31778" xr:uid="{00000000-0005-0000-0000-00005A7F0000}"/>
    <cellStyle name="Normal 28 10 11" xfId="31779" xr:uid="{00000000-0005-0000-0000-00005B7F0000}"/>
    <cellStyle name="Normal 28 10 12" xfId="31780" xr:uid="{00000000-0005-0000-0000-00005C7F0000}"/>
    <cellStyle name="Normal 28 10 13" xfId="31781" xr:uid="{00000000-0005-0000-0000-00005D7F0000}"/>
    <cellStyle name="Normal 28 10 2" xfId="31782" xr:uid="{00000000-0005-0000-0000-00005E7F0000}"/>
    <cellStyle name="Normal 28 10 2 2" xfId="31783" xr:uid="{00000000-0005-0000-0000-00005F7F0000}"/>
    <cellStyle name="Normal 28 10 2 3" xfId="31784" xr:uid="{00000000-0005-0000-0000-0000607F0000}"/>
    <cellStyle name="Normal 28 10 2 4" xfId="31785" xr:uid="{00000000-0005-0000-0000-0000617F0000}"/>
    <cellStyle name="Normal 28 10 2 5" xfId="31786" xr:uid="{00000000-0005-0000-0000-0000627F0000}"/>
    <cellStyle name="Normal 28 10 2 6" xfId="31787" xr:uid="{00000000-0005-0000-0000-0000637F0000}"/>
    <cellStyle name="Normal 28 10 3" xfId="31788" xr:uid="{00000000-0005-0000-0000-0000647F0000}"/>
    <cellStyle name="Normal 28 10 3 2" xfId="31789" xr:uid="{00000000-0005-0000-0000-0000657F0000}"/>
    <cellStyle name="Normal 28 10 3 3" xfId="31790" xr:uid="{00000000-0005-0000-0000-0000667F0000}"/>
    <cellStyle name="Normal 28 10 3 4" xfId="31791" xr:uid="{00000000-0005-0000-0000-0000677F0000}"/>
    <cellStyle name="Normal 28 10 3 5" xfId="31792" xr:uid="{00000000-0005-0000-0000-0000687F0000}"/>
    <cellStyle name="Normal 28 10 3 6" xfId="31793" xr:uid="{00000000-0005-0000-0000-0000697F0000}"/>
    <cellStyle name="Normal 28 10 4" xfId="31794" xr:uid="{00000000-0005-0000-0000-00006A7F0000}"/>
    <cellStyle name="Normal 28 10 4 2" xfId="31795" xr:uid="{00000000-0005-0000-0000-00006B7F0000}"/>
    <cellStyle name="Normal 28 10 4 3" xfId="31796" xr:uid="{00000000-0005-0000-0000-00006C7F0000}"/>
    <cellStyle name="Normal 28 10 4 4" xfId="31797" xr:uid="{00000000-0005-0000-0000-00006D7F0000}"/>
    <cellStyle name="Normal 28 10 4 5" xfId="31798" xr:uid="{00000000-0005-0000-0000-00006E7F0000}"/>
    <cellStyle name="Normal 28 10 4 6" xfId="31799" xr:uid="{00000000-0005-0000-0000-00006F7F0000}"/>
    <cellStyle name="Normal 28 10 5" xfId="31800" xr:uid="{00000000-0005-0000-0000-0000707F0000}"/>
    <cellStyle name="Normal 28 10 5 2" xfId="31801" xr:uid="{00000000-0005-0000-0000-0000717F0000}"/>
    <cellStyle name="Normal 28 10 5 3" xfId="31802" xr:uid="{00000000-0005-0000-0000-0000727F0000}"/>
    <cellStyle name="Normal 28 10 5 4" xfId="31803" xr:uid="{00000000-0005-0000-0000-0000737F0000}"/>
    <cellStyle name="Normal 28 10 5 5" xfId="31804" xr:uid="{00000000-0005-0000-0000-0000747F0000}"/>
    <cellStyle name="Normal 28 10 5 6" xfId="31805" xr:uid="{00000000-0005-0000-0000-0000757F0000}"/>
    <cellStyle name="Normal 28 10 6" xfId="31806" xr:uid="{00000000-0005-0000-0000-0000767F0000}"/>
    <cellStyle name="Normal 28 10 6 2" xfId="31807" xr:uid="{00000000-0005-0000-0000-0000777F0000}"/>
    <cellStyle name="Normal 28 10 6 3" xfId="31808" xr:uid="{00000000-0005-0000-0000-0000787F0000}"/>
    <cellStyle name="Normal 28 10 6 4" xfId="31809" xr:uid="{00000000-0005-0000-0000-0000797F0000}"/>
    <cellStyle name="Normal 28 10 6 5" xfId="31810" xr:uid="{00000000-0005-0000-0000-00007A7F0000}"/>
    <cellStyle name="Normal 28 10 6 6" xfId="31811" xr:uid="{00000000-0005-0000-0000-00007B7F0000}"/>
    <cellStyle name="Normal 28 10 7" xfId="31812" xr:uid="{00000000-0005-0000-0000-00007C7F0000}"/>
    <cellStyle name="Normal 28 10 7 2" xfId="31813" xr:uid="{00000000-0005-0000-0000-00007D7F0000}"/>
    <cellStyle name="Normal 28 10 7 3" xfId="31814" xr:uid="{00000000-0005-0000-0000-00007E7F0000}"/>
    <cellStyle name="Normal 28 10 7 4" xfId="31815" xr:uid="{00000000-0005-0000-0000-00007F7F0000}"/>
    <cellStyle name="Normal 28 10 7 5" xfId="31816" xr:uid="{00000000-0005-0000-0000-0000807F0000}"/>
    <cellStyle name="Normal 28 10 7 6" xfId="31817" xr:uid="{00000000-0005-0000-0000-0000817F0000}"/>
    <cellStyle name="Normal 28 10 8" xfId="31818" xr:uid="{00000000-0005-0000-0000-0000827F0000}"/>
    <cellStyle name="Normal 28 10 8 2" xfId="31819" xr:uid="{00000000-0005-0000-0000-0000837F0000}"/>
    <cellStyle name="Normal 28 10 8 3" xfId="31820" xr:uid="{00000000-0005-0000-0000-0000847F0000}"/>
    <cellStyle name="Normal 28 10 8 4" xfId="31821" xr:uid="{00000000-0005-0000-0000-0000857F0000}"/>
    <cellStyle name="Normal 28 10 8 5" xfId="31822" xr:uid="{00000000-0005-0000-0000-0000867F0000}"/>
    <cellStyle name="Normal 28 10 8 6" xfId="31823" xr:uid="{00000000-0005-0000-0000-0000877F0000}"/>
    <cellStyle name="Normal 28 10 9" xfId="31824" xr:uid="{00000000-0005-0000-0000-0000887F0000}"/>
    <cellStyle name="Normal 28 11" xfId="31825" xr:uid="{00000000-0005-0000-0000-0000897F0000}"/>
    <cellStyle name="Normal 28 11 10" xfId="31826" xr:uid="{00000000-0005-0000-0000-00008A7F0000}"/>
    <cellStyle name="Normal 28 11 11" xfId="31827" xr:uid="{00000000-0005-0000-0000-00008B7F0000}"/>
    <cellStyle name="Normal 28 11 12" xfId="31828" xr:uid="{00000000-0005-0000-0000-00008C7F0000}"/>
    <cellStyle name="Normal 28 11 13" xfId="31829" xr:uid="{00000000-0005-0000-0000-00008D7F0000}"/>
    <cellStyle name="Normal 28 11 2" xfId="31830" xr:uid="{00000000-0005-0000-0000-00008E7F0000}"/>
    <cellStyle name="Normal 28 11 2 2" xfId="31831" xr:uid="{00000000-0005-0000-0000-00008F7F0000}"/>
    <cellStyle name="Normal 28 11 2 3" xfId="31832" xr:uid="{00000000-0005-0000-0000-0000907F0000}"/>
    <cellStyle name="Normal 28 11 2 4" xfId="31833" xr:uid="{00000000-0005-0000-0000-0000917F0000}"/>
    <cellStyle name="Normal 28 11 2 5" xfId="31834" xr:uid="{00000000-0005-0000-0000-0000927F0000}"/>
    <cellStyle name="Normal 28 11 2 6" xfId="31835" xr:uid="{00000000-0005-0000-0000-0000937F0000}"/>
    <cellStyle name="Normal 28 11 3" xfId="31836" xr:uid="{00000000-0005-0000-0000-0000947F0000}"/>
    <cellStyle name="Normal 28 11 3 2" xfId="31837" xr:uid="{00000000-0005-0000-0000-0000957F0000}"/>
    <cellStyle name="Normal 28 11 3 3" xfId="31838" xr:uid="{00000000-0005-0000-0000-0000967F0000}"/>
    <cellStyle name="Normal 28 11 3 4" xfId="31839" xr:uid="{00000000-0005-0000-0000-0000977F0000}"/>
    <cellStyle name="Normal 28 11 3 5" xfId="31840" xr:uid="{00000000-0005-0000-0000-0000987F0000}"/>
    <cellStyle name="Normal 28 11 3 6" xfId="31841" xr:uid="{00000000-0005-0000-0000-0000997F0000}"/>
    <cellStyle name="Normal 28 11 4" xfId="31842" xr:uid="{00000000-0005-0000-0000-00009A7F0000}"/>
    <cellStyle name="Normal 28 11 4 2" xfId="31843" xr:uid="{00000000-0005-0000-0000-00009B7F0000}"/>
    <cellStyle name="Normal 28 11 4 3" xfId="31844" xr:uid="{00000000-0005-0000-0000-00009C7F0000}"/>
    <cellStyle name="Normal 28 11 4 4" xfId="31845" xr:uid="{00000000-0005-0000-0000-00009D7F0000}"/>
    <cellStyle name="Normal 28 11 4 5" xfId="31846" xr:uid="{00000000-0005-0000-0000-00009E7F0000}"/>
    <cellStyle name="Normal 28 11 4 6" xfId="31847" xr:uid="{00000000-0005-0000-0000-00009F7F0000}"/>
    <cellStyle name="Normal 28 11 5" xfId="31848" xr:uid="{00000000-0005-0000-0000-0000A07F0000}"/>
    <cellStyle name="Normal 28 11 5 2" xfId="31849" xr:uid="{00000000-0005-0000-0000-0000A17F0000}"/>
    <cellStyle name="Normal 28 11 5 3" xfId="31850" xr:uid="{00000000-0005-0000-0000-0000A27F0000}"/>
    <cellStyle name="Normal 28 11 5 4" xfId="31851" xr:uid="{00000000-0005-0000-0000-0000A37F0000}"/>
    <cellStyle name="Normal 28 11 5 5" xfId="31852" xr:uid="{00000000-0005-0000-0000-0000A47F0000}"/>
    <cellStyle name="Normal 28 11 5 6" xfId="31853" xr:uid="{00000000-0005-0000-0000-0000A57F0000}"/>
    <cellStyle name="Normal 28 11 6" xfId="31854" xr:uid="{00000000-0005-0000-0000-0000A67F0000}"/>
    <cellStyle name="Normal 28 11 6 2" xfId="31855" xr:uid="{00000000-0005-0000-0000-0000A77F0000}"/>
    <cellStyle name="Normal 28 11 6 3" xfId="31856" xr:uid="{00000000-0005-0000-0000-0000A87F0000}"/>
    <cellStyle name="Normal 28 11 6 4" xfId="31857" xr:uid="{00000000-0005-0000-0000-0000A97F0000}"/>
    <cellStyle name="Normal 28 11 6 5" xfId="31858" xr:uid="{00000000-0005-0000-0000-0000AA7F0000}"/>
    <cellStyle name="Normal 28 11 6 6" xfId="31859" xr:uid="{00000000-0005-0000-0000-0000AB7F0000}"/>
    <cellStyle name="Normal 28 11 7" xfId="31860" xr:uid="{00000000-0005-0000-0000-0000AC7F0000}"/>
    <cellStyle name="Normal 28 11 7 2" xfId="31861" xr:uid="{00000000-0005-0000-0000-0000AD7F0000}"/>
    <cellStyle name="Normal 28 11 7 3" xfId="31862" xr:uid="{00000000-0005-0000-0000-0000AE7F0000}"/>
    <cellStyle name="Normal 28 11 7 4" xfId="31863" xr:uid="{00000000-0005-0000-0000-0000AF7F0000}"/>
    <cellStyle name="Normal 28 11 7 5" xfId="31864" xr:uid="{00000000-0005-0000-0000-0000B07F0000}"/>
    <cellStyle name="Normal 28 11 7 6" xfId="31865" xr:uid="{00000000-0005-0000-0000-0000B17F0000}"/>
    <cellStyle name="Normal 28 11 8" xfId="31866" xr:uid="{00000000-0005-0000-0000-0000B27F0000}"/>
    <cellStyle name="Normal 28 11 8 2" xfId="31867" xr:uid="{00000000-0005-0000-0000-0000B37F0000}"/>
    <cellStyle name="Normal 28 11 8 3" xfId="31868" xr:uid="{00000000-0005-0000-0000-0000B47F0000}"/>
    <cellStyle name="Normal 28 11 8 4" xfId="31869" xr:uid="{00000000-0005-0000-0000-0000B57F0000}"/>
    <cellStyle name="Normal 28 11 8 5" xfId="31870" xr:uid="{00000000-0005-0000-0000-0000B67F0000}"/>
    <cellStyle name="Normal 28 11 8 6" xfId="31871" xr:uid="{00000000-0005-0000-0000-0000B77F0000}"/>
    <cellStyle name="Normal 28 11 9" xfId="31872" xr:uid="{00000000-0005-0000-0000-0000B87F0000}"/>
    <cellStyle name="Normal 28 12" xfId="31873" xr:uid="{00000000-0005-0000-0000-0000B97F0000}"/>
    <cellStyle name="Normal 28 12 10" xfId="31874" xr:uid="{00000000-0005-0000-0000-0000BA7F0000}"/>
    <cellStyle name="Normal 28 12 11" xfId="31875" xr:uid="{00000000-0005-0000-0000-0000BB7F0000}"/>
    <cellStyle name="Normal 28 12 12" xfId="31876" xr:uid="{00000000-0005-0000-0000-0000BC7F0000}"/>
    <cellStyle name="Normal 28 12 13" xfId="31877" xr:uid="{00000000-0005-0000-0000-0000BD7F0000}"/>
    <cellStyle name="Normal 28 12 2" xfId="31878" xr:uid="{00000000-0005-0000-0000-0000BE7F0000}"/>
    <cellStyle name="Normal 28 12 2 2" xfId="31879" xr:uid="{00000000-0005-0000-0000-0000BF7F0000}"/>
    <cellStyle name="Normal 28 12 2 3" xfId="31880" xr:uid="{00000000-0005-0000-0000-0000C07F0000}"/>
    <cellStyle name="Normal 28 12 2 4" xfId="31881" xr:uid="{00000000-0005-0000-0000-0000C17F0000}"/>
    <cellStyle name="Normal 28 12 2 5" xfId="31882" xr:uid="{00000000-0005-0000-0000-0000C27F0000}"/>
    <cellStyle name="Normal 28 12 2 6" xfId="31883" xr:uid="{00000000-0005-0000-0000-0000C37F0000}"/>
    <cellStyle name="Normal 28 12 3" xfId="31884" xr:uid="{00000000-0005-0000-0000-0000C47F0000}"/>
    <cellStyle name="Normal 28 12 3 2" xfId="31885" xr:uid="{00000000-0005-0000-0000-0000C57F0000}"/>
    <cellStyle name="Normal 28 12 3 3" xfId="31886" xr:uid="{00000000-0005-0000-0000-0000C67F0000}"/>
    <cellStyle name="Normal 28 12 3 4" xfId="31887" xr:uid="{00000000-0005-0000-0000-0000C77F0000}"/>
    <cellStyle name="Normal 28 12 3 5" xfId="31888" xr:uid="{00000000-0005-0000-0000-0000C87F0000}"/>
    <cellStyle name="Normal 28 12 3 6" xfId="31889" xr:uid="{00000000-0005-0000-0000-0000C97F0000}"/>
    <cellStyle name="Normal 28 12 4" xfId="31890" xr:uid="{00000000-0005-0000-0000-0000CA7F0000}"/>
    <cellStyle name="Normal 28 12 4 2" xfId="31891" xr:uid="{00000000-0005-0000-0000-0000CB7F0000}"/>
    <cellStyle name="Normal 28 12 4 3" xfId="31892" xr:uid="{00000000-0005-0000-0000-0000CC7F0000}"/>
    <cellStyle name="Normal 28 12 4 4" xfId="31893" xr:uid="{00000000-0005-0000-0000-0000CD7F0000}"/>
    <cellStyle name="Normal 28 12 4 5" xfId="31894" xr:uid="{00000000-0005-0000-0000-0000CE7F0000}"/>
    <cellStyle name="Normal 28 12 4 6" xfId="31895" xr:uid="{00000000-0005-0000-0000-0000CF7F0000}"/>
    <cellStyle name="Normal 28 12 5" xfId="31896" xr:uid="{00000000-0005-0000-0000-0000D07F0000}"/>
    <cellStyle name="Normal 28 12 5 2" xfId="31897" xr:uid="{00000000-0005-0000-0000-0000D17F0000}"/>
    <cellStyle name="Normal 28 12 5 3" xfId="31898" xr:uid="{00000000-0005-0000-0000-0000D27F0000}"/>
    <cellStyle name="Normal 28 12 5 4" xfId="31899" xr:uid="{00000000-0005-0000-0000-0000D37F0000}"/>
    <cellStyle name="Normal 28 12 5 5" xfId="31900" xr:uid="{00000000-0005-0000-0000-0000D47F0000}"/>
    <cellStyle name="Normal 28 12 5 6" xfId="31901" xr:uid="{00000000-0005-0000-0000-0000D57F0000}"/>
    <cellStyle name="Normal 28 12 6" xfId="31902" xr:uid="{00000000-0005-0000-0000-0000D67F0000}"/>
    <cellStyle name="Normal 28 12 6 2" xfId="31903" xr:uid="{00000000-0005-0000-0000-0000D77F0000}"/>
    <cellStyle name="Normal 28 12 6 3" xfId="31904" xr:uid="{00000000-0005-0000-0000-0000D87F0000}"/>
    <cellStyle name="Normal 28 12 6 4" xfId="31905" xr:uid="{00000000-0005-0000-0000-0000D97F0000}"/>
    <cellStyle name="Normal 28 12 6 5" xfId="31906" xr:uid="{00000000-0005-0000-0000-0000DA7F0000}"/>
    <cellStyle name="Normal 28 12 6 6" xfId="31907" xr:uid="{00000000-0005-0000-0000-0000DB7F0000}"/>
    <cellStyle name="Normal 28 12 7" xfId="31908" xr:uid="{00000000-0005-0000-0000-0000DC7F0000}"/>
    <cellStyle name="Normal 28 12 7 2" xfId="31909" xr:uid="{00000000-0005-0000-0000-0000DD7F0000}"/>
    <cellStyle name="Normal 28 12 7 3" xfId="31910" xr:uid="{00000000-0005-0000-0000-0000DE7F0000}"/>
    <cellStyle name="Normal 28 12 7 4" xfId="31911" xr:uid="{00000000-0005-0000-0000-0000DF7F0000}"/>
    <cellStyle name="Normal 28 12 7 5" xfId="31912" xr:uid="{00000000-0005-0000-0000-0000E07F0000}"/>
    <cellStyle name="Normal 28 12 7 6" xfId="31913" xr:uid="{00000000-0005-0000-0000-0000E17F0000}"/>
    <cellStyle name="Normal 28 12 8" xfId="31914" xr:uid="{00000000-0005-0000-0000-0000E27F0000}"/>
    <cellStyle name="Normal 28 12 8 2" xfId="31915" xr:uid="{00000000-0005-0000-0000-0000E37F0000}"/>
    <cellStyle name="Normal 28 12 8 3" xfId="31916" xr:uid="{00000000-0005-0000-0000-0000E47F0000}"/>
    <cellStyle name="Normal 28 12 8 4" xfId="31917" xr:uid="{00000000-0005-0000-0000-0000E57F0000}"/>
    <cellStyle name="Normal 28 12 8 5" xfId="31918" xr:uid="{00000000-0005-0000-0000-0000E67F0000}"/>
    <cellStyle name="Normal 28 12 8 6" xfId="31919" xr:uid="{00000000-0005-0000-0000-0000E77F0000}"/>
    <cellStyle name="Normal 28 12 9" xfId="31920" xr:uid="{00000000-0005-0000-0000-0000E87F0000}"/>
    <cellStyle name="Normal 28 13" xfId="31921" xr:uid="{00000000-0005-0000-0000-0000E97F0000}"/>
    <cellStyle name="Normal 28 13 10" xfId="31922" xr:uid="{00000000-0005-0000-0000-0000EA7F0000}"/>
    <cellStyle name="Normal 28 13 11" xfId="31923" xr:uid="{00000000-0005-0000-0000-0000EB7F0000}"/>
    <cellStyle name="Normal 28 13 12" xfId="31924" xr:uid="{00000000-0005-0000-0000-0000EC7F0000}"/>
    <cellStyle name="Normal 28 13 13" xfId="31925" xr:uid="{00000000-0005-0000-0000-0000ED7F0000}"/>
    <cellStyle name="Normal 28 13 2" xfId="31926" xr:uid="{00000000-0005-0000-0000-0000EE7F0000}"/>
    <cellStyle name="Normal 28 13 2 2" xfId="31927" xr:uid="{00000000-0005-0000-0000-0000EF7F0000}"/>
    <cellStyle name="Normal 28 13 2 3" xfId="31928" xr:uid="{00000000-0005-0000-0000-0000F07F0000}"/>
    <cellStyle name="Normal 28 13 2 4" xfId="31929" xr:uid="{00000000-0005-0000-0000-0000F17F0000}"/>
    <cellStyle name="Normal 28 13 2 5" xfId="31930" xr:uid="{00000000-0005-0000-0000-0000F27F0000}"/>
    <cellStyle name="Normal 28 13 2 6" xfId="31931" xr:uid="{00000000-0005-0000-0000-0000F37F0000}"/>
    <cellStyle name="Normal 28 13 3" xfId="31932" xr:uid="{00000000-0005-0000-0000-0000F47F0000}"/>
    <cellStyle name="Normal 28 13 3 2" xfId="31933" xr:uid="{00000000-0005-0000-0000-0000F57F0000}"/>
    <cellStyle name="Normal 28 13 3 3" xfId="31934" xr:uid="{00000000-0005-0000-0000-0000F67F0000}"/>
    <cellStyle name="Normal 28 13 3 4" xfId="31935" xr:uid="{00000000-0005-0000-0000-0000F77F0000}"/>
    <cellStyle name="Normal 28 13 3 5" xfId="31936" xr:uid="{00000000-0005-0000-0000-0000F87F0000}"/>
    <cellStyle name="Normal 28 13 3 6" xfId="31937" xr:uid="{00000000-0005-0000-0000-0000F97F0000}"/>
    <cellStyle name="Normal 28 13 4" xfId="31938" xr:uid="{00000000-0005-0000-0000-0000FA7F0000}"/>
    <cellStyle name="Normal 28 13 4 2" xfId="31939" xr:uid="{00000000-0005-0000-0000-0000FB7F0000}"/>
    <cellStyle name="Normal 28 13 4 3" xfId="31940" xr:uid="{00000000-0005-0000-0000-0000FC7F0000}"/>
    <cellStyle name="Normal 28 13 4 4" xfId="31941" xr:uid="{00000000-0005-0000-0000-0000FD7F0000}"/>
    <cellStyle name="Normal 28 13 4 5" xfId="31942" xr:uid="{00000000-0005-0000-0000-0000FE7F0000}"/>
    <cellStyle name="Normal 28 13 4 6" xfId="31943" xr:uid="{00000000-0005-0000-0000-0000FF7F0000}"/>
    <cellStyle name="Normal 28 13 5" xfId="31944" xr:uid="{00000000-0005-0000-0000-000000800000}"/>
    <cellStyle name="Normal 28 13 5 2" xfId="31945" xr:uid="{00000000-0005-0000-0000-000001800000}"/>
    <cellStyle name="Normal 28 13 5 3" xfId="31946" xr:uid="{00000000-0005-0000-0000-000002800000}"/>
    <cellStyle name="Normal 28 13 5 4" xfId="31947" xr:uid="{00000000-0005-0000-0000-000003800000}"/>
    <cellStyle name="Normal 28 13 5 5" xfId="31948" xr:uid="{00000000-0005-0000-0000-000004800000}"/>
    <cellStyle name="Normal 28 13 5 6" xfId="31949" xr:uid="{00000000-0005-0000-0000-000005800000}"/>
    <cellStyle name="Normal 28 13 6" xfId="31950" xr:uid="{00000000-0005-0000-0000-000006800000}"/>
    <cellStyle name="Normal 28 13 6 2" xfId="31951" xr:uid="{00000000-0005-0000-0000-000007800000}"/>
    <cellStyle name="Normal 28 13 6 3" xfId="31952" xr:uid="{00000000-0005-0000-0000-000008800000}"/>
    <cellStyle name="Normal 28 13 6 4" xfId="31953" xr:uid="{00000000-0005-0000-0000-000009800000}"/>
    <cellStyle name="Normal 28 13 6 5" xfId="31954" xr:uid="{00000000-0005-0000-0000-00000A800000}"/>
    <cellStyle name="Normal 28 13 6 6" xfId="31955" xr:uid="{00000000-0005-0000-0000-00000B800000}"/>
    <cellStyle name="Normal 28 13 7" xfId="31956" xr:uid="{00000000-0005-0000-0000-00000C800000}"/>
    <cellStyle name="Normal 28 13 7 2" xfId="31957" xr:uid="{00000000-0005-0000-0000-00000D800000}"/>
    <cellStyle name="Normal 28 13 7 3" xfId="31958" xr:uid="{00000000-0005-0000-0000-00000E800000}"/>
    <cellStyle name="Normal 28 13 7 4" xfId="31959" xr:uid="{00000000-0005-0000-0000-00000F800000}"/>
    <cellStyle name="Normal 28 13 7 5" xfId="31960" xr:uid="{00000000-0005-0000-0000-000010800000}"/>
    <cellStyle name="Normal 28 13 7 6" xfId="31961" xr:uid="{00000000-0005-0000-0000-000011800000}"/>
    <cellStyle name="Normal 28 13 8" xfId="31962" xr:uid="{00000000-0005-0000-0000-000012800000}"/>
    <cellStyle name="Normal 28 13 8 2" xfId="31963" xr:uid="{00000000-0005-0000-0000-000013800000}"/>
    <cellStyle name="Normal 28 13 8 3" xfId="31964" xr:uid="{00000000-0005-0000-0000-000014800000}"/>
    <cellStyle name="Normal 28 13 8 4" xfId="31965" xr:uid="{00000000-0005-0000-0000-000015800000}"/>
    <cellStyle name="Normal 28 13 8 5" xfId="31966" xr:uid="{00000000-0005-0000-0000-000016800000}"/>
    <cellStyle name="Normal 28 13 8 6" xfId="31967" xr:uid="{00000000-0005-0000-0000-000017800000}"/>
    <cellStyle name="Normal 28 13 9" xfId="31968" xr:uid="{00000000-0005-0000-0000-000018800000}"/>
    <cellStyle name="Normal 28 14" xfId="31969" xr:uid="{00000000-0005-0000-0000-000019800000}"/>
    <cellStyle name="Normal 28 14 10" xfId="31970" xr:uid="{00000000-0005-0000-0000-00001A800000}"/>
    <cellStyle name="Normal 28 14 11" xfId="31971" xr:uid="{00000000-0005-0000-0000-00001B800000}"/>
    <cellStyle name="Normal 28 14 12" xfId="31972" xr:uid="{00000000-0005-0000-0000-00001C800000}"/>
    <cellStyle name="Normal 28 14 13" xfId="31973" xr:uid="{00000000-0005-0000-0000-00001D800000}"/>
    <cellStyle name="Normal 28 14 2" xfId="31974" xr:uid="{00000000-0005-0000-0000-00001E800000}"/>
    <cellStyle name="Normal 28 14 2 2" xfId="31975" xr:uid="{00000000-0005-0000-0000-00001F800000}"/>
    <cellStyle name="Normal 28 14 2 3" xfId="31976" xr:uid="{00000000-0005-0000-0000-000020800000}"/>
    <cellStyle name="Normal 28 14 2 4" xfId="31977" xr:uid="{00000000-0005-0000-0000-000021800000}"/>
    <cellStyle name="Normal 28 14 2 5" xfId="31978" xr:uid="{00000000-0005-0000-0000-000022800000}"/>
    <cellStyle name="Normal 28 14 2 6" xfId="31979" xr:uid="{00000000-0005-0000-0000-000023800000}"/>
    <cellStyle name="Normal 28 14 3" xfId="31980" xr:uid="{00000000-0005-0000-0000-000024800000}"/>
    <cellStyle name="Normal 28 14 3 2" xfId="31981" xr:uid="{00000000-0005-0000-0000-000025800000}"/>
    <cellStyle name="Normal 28 14 3 3" xfId="31982" xr:uid="{00000000-0005-0000-0000-000026800000}"/>
    <cellStyle name="Normal 28 14 3 4" xfId="31983" xr:uid="{00000000-0005-0000-0000-000027800000}"/>
    <cellStyle name="Normal 28 14 3 5" xfId="31984" xr:uid="{00000000-0005-0000-0000-000028800000}"/>
    <cellStyle name="Normal 28 14 3 6" xfId="31985" xr:uid="{00000000-0005-0000-0000-000029800000}"/>
    <cellStyle name="Normal 28 14 4" xfId="31986" xr:uid="{00000000-0005-0000-0000-00002A800000}"/>
    <cellStyle name="Normal 28 14 4 2" xfId="31987" xr:uid="{00000000-0005-0000-0000-00002B800000}"/>
    <cellStyle name="Normal 28 14 4 3" xfId="31988" xr:uid="{00000000-0005-0000-0000-00002C800000}"/>
    <cellStyle name="Normal 28 14 4 4" xfId="31989" xr:uid="{00000000-0005-0000-0000-00002D800000}"/>
    <cellStyle name="Normal 28 14 4 5" xfId="31990" xr:uid="{00000000-0005-0000-0000-00002E800000}"/>
    <cellStyle name="Normal 28 14 4 6" xfId="31991" xr:uid="{00000000-0005-0000-0000-00002F800000}"/>
    <cellStyle name="Normal 28 14 5" xfId="31992" xr:uid="{00000000-0005-0000-0000-000030800000}"/>
    <cellStyle name="Normal 28 14 5 2" xfId="31993" xr:uid="{00000000-0005-0000-0000-000031800000}"/>
    <cellStyle name="Normal 28 14 5 3" xfId="31994" xr:uid="{00000000-0005-0000-0000-000032800000}"/>
    <cellStyle name="Normal 28 14 5 4" xfId="31995" xr:uid="{00000000-0005-0000-0000-000033800000}"/>
    <cellStyle name="Normal 28 14 5 5" xfId="31996" xr:uid="{00000000-0005-0000-0000-000034800000}"/>
    <cellStyle name="Normal 28 14 5 6" xfId="31997" xr:uid="{00000000-0005-0000-0000-000035800000}"/>
    <cellStyle name="Normal 28 14 6" xfId="31998" xr:uid="{00000000-0005-0000-0000-000036800000}"/>
    <cellStyle name="Normal 28 14 6 2" xfId="31999" xr:uid="{00000000-0005-0000-0000-000037800000}"/>
    <cellStyle name="Normal 28 14 6 3" xfId="32000" xr:uid="{00000000-0005-0000-0000-000038800000}"/>
    <cellStyle name="Normal 28 14 6 4" xfId="32001" xr:uid="{00000000-0005-0000-0000-000039800000}"/>
    <cellStyle name="Normal 28 14 6 5" xfId="32002" xr:uid="{00000000-0005-0000-0000-00003A800000}"/>
    <cellStyle name="Normal 28 14 6 6" xfId="32003" xr:uid="{00000000-0005-0000-0000-00003B800000}"/>
    <cellStyle name="Normal 28 14 7" xfId="32004" xr:uid="{00000000-0005-0000-0000-00003C800000}"/>
    <cellStyle name="Normal 28 14 7 2" xfId="32005" xr:uid="{00000000-0005-0000-0000-00003D800000}"/>
    <cellStyle name="Normal 28 14 7 3" xfId="32006" xr:uid="{00000000-0005-0000-0000-00003E800000}"/>
    <cellStyle name="Normal 28 14 7 4" xfId="32007" xr:uid="{00000000-0005-0000-0000-00003F800000}"/>
    <cellStyle name="Normal 28 14 7 5" xfId="32008" xr:uid="{00000000-0005-0000-0000-000040800000}"/>
    <cellStyle name="Normal 28 14 7 6" xfId="32009" xr:uid="{00000000-0005-0000-0000-000041800000}"/>
    <cellStyle name="Normal 28 14 8" xfId="32010" xr:uid="{00000000-0005-0000-0000-000042800000}"/>
    <cellStyle name="Normal 28 14 8 2" xfId="32011" xr:uid="{00000000-0005-0000-0000-000043800000}"/>
    <cellStyle name="Normal 28 14 8 3" xfId="32012" xr:uid="{00000000-0005-0000-0000-000044800000}"/>
    <cellStyle name="Normal 28 14 8 4" xfId="32013" xr:uid="{00000000-0005-0000-0000-000045800000}"/>
    <cellStyle name="Normal 28 14 8 5" xfId="32014" xr:uid="{00000000-0005-0000-0000-000046800000}"/>
    <cellStyle name="Normal 28 14 8 6" xfId="32015" xr:uid="{00000000-0005-0000-0000-000047800000}"/>
    <cellStyle name="Normal 28 14 9" xfId="32016" xr:uid="{00000000-0005-0000-0000-000048800000}"/>
    <cellStyle name="Normal 28 15" xfId="32017" xr:uid="{00000000-0005-0000-0000-000049800000}"/>
    <cellStyle name="Normal 28 15 10" xfId="32018" xr:uid="{00000000-0005-0000-0000-00004A800000}"/>
    <cellStyle name="Normal 28 15 11" xfId="32019" xr:uid="{00000000-0005-0000-0000-00004B800000}"/>
    <cellStyle name="Normal 28 15 12" xfId="32020" xr:uid="{00000000-0005-0000-0000-00004C800000}"/>
    <cellStyle name="Normal 28 15 13" xfId="32021" xr:uid="{00000000-0005-0000-0000-00004D800000}"/>
    <cellStyle name="Normal 28 15 2" xfId="32022" xr:uid="{00000000-0005-0000-0000-00004E800000}"/>
    <cellStyle name="Normal 28 15 2 2" xfId="32023" xr:uid="{00000000-0005-0000-0000-00004F800000}"/>
    <cellStyle name="Normal 28 15 2 3" xfId="32024" xr:uid="{00000000-0005-0000-0000-000050800000}"/>
    <cellStyle name="Normal 28 15 2 4" xfId="32025" xr:uid="{00000000-0005-0000-0000-000051800000}"/>
    <cellStyle name="Normal 28 15 2 5" xfId="32026" xr:uid="{00000000-0005-0000-0000-000052800000}"/>
    <cellStyle name="Normal 28 15 2 6" xfId="32027" xr:uid="{00000000-0005-0000-0000-000053800000}"/>
    <cellStyle name="Normal 28 15 3" xfId="32028" xr:uid="{00000000-0005-0000-0000-000054800000}"/>
    <cellStyle name="Normal 28 15 3 2" xfId="32029" xr:uid="{00000000-0005-0000-0000-000055800000}"/>
    <cellStyle name="Normal 28 15 3 3" xfId="32030" xr:uid="{00000000-0005-0000-0000-000056800000}"/>
    <cellStyle name="Normal 28 15 3 4" xfId="32031" xr:uid="{00000000-0005-0000-0000-000057800000}"/>
    <cellStyle name="Normal 28 15 3 5" xfId="32032" xr:uid="{00000000-0005-0000-0000-000058800000}"/>
    <cellStyle name="Normal 28 15 3 6" xfId="32033" xr:uid="{00000000-0005-0000-0000-000059800000}"/>
    <cellStyle name="Normal 28 15 4" xfId="32034" xr:uid="{00000000-0005-0000-0000-00005A800000}"/>
    <cellStyle name="Normal 28 15 4 2" xfId="32035" xr:uid="{00000000-0005-0000-0000-00005B800000}"/>
    <cellStyle name="Normal 28 15 4 3" xfId="32036" xr:uid="{00000000-0005-0000-0000-00005C800000}"/>
    <cellStyle name="Normal 28 15 4 4" xfId="32037" xr:uid="{00000000-0005-0000-0000-00005D800000}"/>
    <cellStyle name="Normal 28 15 4 5" xfId="32038" xr:uid="{00000000-0005-0000-0000-00005E800000}"/>
    <cellStyle name="Normal 28 15 4 6" xfId="32039" xr:uid="{00000000-0005-0000-0000-00005F800000}"/>
    <cellStyle name="Normal 28 15 5" xfId="32040" xr:uid="{00000000-0005-0000-0000-000060800000}"/>
    <cellStyle name="Normal 28 15 5 2" xfId="32041" xr:uid="{00000000-0005-0000-0000-000061800000}"/>
    <cellStyle name="Normal 28 15 5 3" xfId="32042" xr:uid="{00000000-0005-0000-0000-000062800000}"/>
    <cellStyle name="Normal 28 15 5 4" xfId="32043" xr:uid="{00000000-0005-0000-0000-000063800000}"/>
    <cellStyle name="Normal 28 15 5 5" xfId="32044" xr:uid="{00000000-0005-0000-0000-000064800000}"/>
    <cellStyle name="Normal 28 15 5 6" xfId="32045" xr:uid="{00000000-0005-0000-0000-000065800000}"/>
    <cellStyle name="Normal 28 15 6" xfId="32046" xr:uid="{00000000-0005-0000-0000-000066800000}"/>
    <cellStyle name="Normal 28 15 6 2" xfId="32047" xr:uid="{00000000-0005-0000-0000-000067800000}"/>
    <cellStyle name="Normal 28 15 6 3" xfId="32048" xr:uid="{00000000-0005-0000-0000-000068800000}"/>
    <cellStyle name="Normal 28 15 6 4" xfId="32049" xr:uid="{00000000-0005-0000-0000-000069800000}"/>
    <cellStyle name="Normal 28 15 6 5" xfId="32050" xr:uid="{00000000-0005-0000-0000-00006A800000}"/>
    <cellStyle name="Normal 28 15 6 6" xfId="32051" xr:uid="{00000000-0005-0000-0000-00006B800000}"/>
    <cellStyle name="Normal 28 15 7" xfId="32052" xr:uid="{00000000-0005-0000-0000-00006C800000}"/>
    <cellStyle name="Normal 28 15 7 2" xfId="32053" xr:uid="{00000000-0005-0000-0000-00006D800000}"/>
    <cellStyle name="Normal 28 15 7 3" xfId="32054" xr:uid="{00000000-0005-0000-0000-00006E800000}"/>
    <cellStyle name="Normal 28 15 7 4" xfId="32055" xr:uid="{00000000-0005-0000-0000-00006F800000}"/>
    <cellStyle name="Normal 28 15 7 5" xfId="32056" xr:uid="{00000000-0005-0000-0000-000070800000}"/>
    <cellStyle name="Normal 28 15 7 6" xfId="32057" xr:uid="{00000000-0005-0000-0000-000071800000}"/>
    <cellStyle name="Normal 28 15 8" xfId="32058" xr:uid="{00000000-0005-0000-0000-000072800000}"/>
    <cellStyle name="Normal 28 15 8 2" xfId="32059" xr:uid="{00000000-0005-0000-0000-000073800000}"/>
    <cellStyle name="Normal 28 15 8 3" xfId="32060" xr:uid="{00000000-0005-0000-0000-000074800000}"/>
    <cellStyle name="Normal 28 15 8 4" xfId="32061" xr:uid="{00000000-0005-0000-0000-000075800000}"/>
    <cellStyle name="Normal 28 15 8 5" xfId="32062" xr:uid="{00000000-0005-0000-0000-000076800000}"/>
    <cellStyle name="Normal 28 15 8 6" xfId="32063" xr:uid="{00000000-0005-0000-0000-000077800000}"/>
    <cellStyle name="Normal 28 15 9" xfId="32064" xr:uid="{00000000-0005-0000-0000-000078800000}"/>
    <cellStyle name="Normal 28 16" xfId="32065" xr:uid="{00000000-0005-0000-0000-000079800000}"/>
    <cellStyle name="Normal 28 16 10" xfId="32066" xr:uid="{00000000-0005-0000-0000-00007A800000}"/>
    <cellStyle name="Normal 28 16 11" xfId="32067" xr:uid="{00000000-0005-0000-0000-00007B800000}"/>
    <cellStyle name="Normal 28 16 12" xfId="32068" xr:uid="{00000000-0005-0000-0000-00007C800000}"/>
    <cellStyle name="Normal 28 16 13" xfId="32069" xr:uid="{00000000-0005-0000-0000-00007D800000}"/>
    <cellStyle name="Normal 28 16 2" xfId="32070" xr:uid="{00000000-0005-0000-0000-00007E800000}"/>
    <cellStyle name="Normal 28 16 2 2" xfId="32071" xr:uid="{00000000-0005-0000-0000-00007F800000}"/>
    <cellStyle name="Normal 28 16 2 3" xfId="32072" xr:uid="{00000000-0005-0000-0000-000080800000}"/>
    <cellStyle name="Normal 28 16 2 4" xfId="32073" xr:uid="{00000000-0005-0000-0000-000081800000}"/>
    <cellStyle name="Normal 28 16 2 5" xfId="32074" xr:uid="{00000000-0005-0000-0000-000082800000}"/>
    <cellStyle name="Normal 28 16 2 6" xfId="32075" xr:uid="{00000000-0005-0000-0000-000083800000}"/>
    <cellStyle name="Normal 28 16 3" xfId="32076" xr:uid="{00000000-0005-0000-0000-000084800000}"/>
    <cellStyle name="Normal 28 16 3 2" xfId="32077" xr:uid="{00000000-0005-0000-0000-000085800000}"/>
    <cellStyle name="Normal 28 16 3 3" xfId="32078" xr:uid="{00000000-0005-0000-0000-000086800000}"/>
    <cellStyle name="Normal 28 16 3 4" xfId="32079" xr:uid="{00000000-0005-0000-0000-000087800000}"/>
    <cellStyle name="Normal 28 16 3 5" xfId="32080" xr:uid="{00000000-0005-0000-0000-000088800000}"/>
    <cellStyle name="Normal 28 16 3 6" xfId="32081" xr:uid="{00000000-0005-0000-0000-000089800000}"/>
    <cellStyle name="Normal 28 16 4" xfId="32082" xr:uid="{00000000-0005-0000-0000-00008A800000}"/>
    <cellStyle name="Normal 28 16 4 2" xfId="32083" xr:uid="{00000000-0005-0000-0000-00008B800000}"/>
    <cellStyle name="Normal 28 16 4 3" xfId="32084" xr:uid="{00000000-0005-0000-0000-00008C800000}"/>
    <cellStyle name="Normal 28 16 4 4" xfId="32085" xr:uid="{00000000-0005-0000-0000-00008D800000}"/>
    <cellStyle name="Normal 28 16 4 5" xfId="32086" xr:uid="{00000000-0005-0000-0000-00008E800000}"/>
    <cellStyle name="Normal 28 16 4 6" xfId="32087" xr:uid="{00000000-0005-0000-0000-00008F800000}"/>
    <cellStyle name="Normal 28 16 5" xfId="32088" xr:uid="{00000000-0005-0000-0000-000090800000}"/>
    <cellStyle name="Normal 28 16 5 2" xfId="32089" xr:uid="{00000000-0005-0000-0000-000091800000}"/>
    <cellStyle name="Normal 28 16 5 3" xfId="32090" xr:uid="{00000000-0005-0000-0000-000092800000}"/>
    <cellStyle name="Normal 28 16 5 4" xfId="32091" xr:uid="{00000000-0005-0000-0000-000093800000}"/>
    <cellStyle name="Normal 28 16 5 5" xfId="32092" xr:uid="{00000000-0005-0000-0000-000094800000}"/>
    <cellStyle name="Normal 28 16 5 6" xfId="32093" xr:uid="{00000000-0005-0000-0000-000095800000}"/>
    <cellStyle name="Normal 28 16 6" xfId="32094" xr:uid="{00000000-0005-0000-0000-000096800000}"/>
    <cellStyle name="Normal 28 16 6 2" xfId="32095" xr:uid="{00000000-0005-0000-0000-000097800000}"/>
    <cellStyle name="Normal 28 16 6 3" xfId="32096" xr:uid="{00000000-0005-0000-0000-000098800000}"/>
    <cellStyle name="Normal 28 16 6 4" xfId="32097" xr:uid="{00000000-0005-0000-0000-000099800000}"/>
    <cellStyle name="Normal 28 16 6 5" xfId="32098" xr:uid="{00000000-0005-0000-0000-00009A800000}"/>
    <cellStyle name="Normal 28 16 6 6" xfId="32099" xr:uid="{00000000-0005-0000-0000-00009B800000}"/>
    <cellStyle name="Normal 28 16 7" xfId="32100" xr:uid="{00000000-0005-0000-0000-00009C800000}"/>
    <cellStyle name="Normal 28 16 7 2" xfId="32101" xr:uid="{00000000-0005-0000-0000-00009D800000}"/>
    <cellStyle name="Normal 28 16 7 3" xfId="32102" xr:uid="{00000000-0005-0000-0000-00009E800000}"/>
    <cellStyle name="Normal 28 16 7 4" xfId="32103" xr:uid="{00000000-0005-0000-0000-00009F800000}"/>
    <cellStyle name="Normal 28 16 7 5" xfId="32104" xr:uid="{00000000-0005-0000-0000-0000A0800000}"/>
    <cellStyle name="Normal 28 16 7 6" xfId="32105" xr:uid="{00000000-0005-0000-0000-0000A1800000}"/>
    <cellStyle name="Normal 28 16 8" xfId="32106" xr:uid="{00000000-0005-0000-0000-0000A2800000}"/>
    <cellStyle name="Normal 28 16 8 2" xfId="32107" xr:uid="{00000000-0005-0000-0000-0000A3800000}"/>
    <cellStyle name="Normal 28 16 8 3" xfId="32108" xr:uid="{00000000-0005-0000-0000-0000A4800000}"/>
    <cellStyle name="Normal 28 16 8 4" xfId="32109" xr:uid="{00000000-0005-0000-0000-0000A5800000}"/>
    <cellStyle name="Normal 28 16 8 5" xfId="32110" xr:uid="{00000000-0005-0000-0000-0000A6800000}"/>
    <cellStyle name="Normal 28 16 8 6" xfId="32111" xr:uid="{00000000-0005-0000-0000-0000A7800000}"/>
    <cellStyle name="Normal 28 16 9" xfId="32112" xr:uid="{00000000-0005-0000-0000-0000A8800000}"/>
    <cellStyle name="Normal 28 17" xfId="32113" xr:uid="{00000000-0005-0000-0000-0000A9800000}"/>
    <cellStyle name="Normal 28 17 10" xfId="32114" xr:uid="{00000000-0005-0000-0000-0000AA800000}"/>
    <cellStyle name="Normal 28 17 11" xfId="32115" xr:uid="{00000000-0005-0000-0000-0000AB800000}"/>
    <cellStyle name="Normal 28 17 12" xfId="32116" xr:uid="{00000000-0005-0000-0000-0000AC800000}"/>
    <cellStyle name="Normal 28 17 13" xfId="32117" xr:uid="{00000000-0005-0000-0000-0000AD800000}"/>
    <cellStyle name="Normal 28 17 2" xfId="32118" xr:uid="{00000000-0005-0000-0000-0000AE800000}"/>
    <cellStyle name="Normal 28 17 2 2" xfId="32119" xr:uid="{00000000-0005-0000-0000-0000AF800000}"/>
    <cellStyle name="Normal 28 17 2 3" xfId="32120" xr:uid="{00000000-0005-0000-0000-0000B0800000}"/>
    <cellStyle name="Normal 28 17 2 4" xfId="32121" xr:uid="{00000000-0005-0000-0000-0000B1800000}"/>
    <cellStyle name="Normal 28 17 2 5" xfId="32122" xr:uid="{00000000-0005-0000-0000-0000B2800000}"/>
    <cellStyle name="Normal 28 17 2 6" xfId="32123" xr:uid="{00000000-0005-0000-0000-0000B3800000}"/>
    <cellStyle name="Normal 28 17 3" xfId="32124" xr:uid="{00000000-0005-0000-0000-0000B4800000}"/>
    <cellStyle name="Normal 28 17 3 2" xfId="32125" xr:uid="{00000000-0005-0000-0000-0000B5800000}"/>
    <cellStyle name="Normal 28 17 3 3" xfId="32126" xr:uid="{00000000-0005-0000-0000-0000B6800000}"/>
    <cellStyle name="Normal 28 17 3 4" xfId="32127" xr:uid="{00000000-0005-0000-0000-0000B7800000}"/>
    <cellStyle name="Normal 28 17 3 5" xfId="32128" xr:uid="{00000000-0005-0000-0000-0000B8800000}"/>
    <cellStyle name="Normal 28 17 3 6" xfId="32129" xr:uid="{00000000-0005-0000-0000-0000B9800000}"/>
    <cellStyle name="Normal 28 17 4" xfId="32130" xr:uid="{00000000-0005-0000-0000-0000BA800000}"/>
    <cellStyle name="Normal 28 17 4 2" xfId="32131" xr:uid="{00000000-0005-0000-0000-0000BB800000}"/>
    <cellStyle name="Normal 28 17 4 3" xfId="32132" xr:uid="{00000000-0005-0000-0000-0000BC800000}"/>
    <cellStyle name="Normal 28 17 4 4" xfId="32133" xr:uid="{00000000-0005-0000-0000-0000BD800000}"/>
    <cellStyle name="Normal 28 17 4 5" xfId="32134" xr:uid="{00000000-0005-0000-0000-0000BE800000}"/>
    <cellStyle name="Normal 28 17 4 6" xfId="32135" xr:uid="{00000000-0005-0000-0000-0000BF800000}"/>
    <cellStyle name="Normal 28 17 5" xfId="32136" xr:uid="{00000000-0005-0000-0000-0000C0800000}"/>
    <cellStyle name="Normal 28 17 5 2" xfId="32137" xr:uid="{00000000-0005-0000-0000-0000C1800000}"/>
    <cellStyle name="Normal 28 17 5 3" xfId="32138" xr:uid="{00000000-0005-0000-0000-0000C2800000}"/>
    <cellStyle name="Normal 28 17 5 4" xfId="32139" xr:uid="{00000000-0005-0000-0000-0000C3800000}"/>
    <cellStyle name="Normal 28 17 5 5" xfId="32140" xr:uid="{00000000-0005-0000-0000-0000C4800000}"/>
    <cellStyle name="Normal 28 17 5 6" xfId="32141" xr:uid="{00000000-0005-0000-0000-0000C5800000}"/>
    <cellStyle name="Normal 28 17 6" xfId="32142" xr:uid="{00000000-0005-0000-0000-0000C6800000}"/>
    <cellStyle name="Normal 28 17 6 2" xfId="32143" xr:uid="{00000000-0005-0000-0000-0000C7800000}"/>
    <cellStyle name="Normal 28 17 6 3" xfId="32144" xr:uid="{00000000-0005-0000-0000-0000C8800000}"/>
    <cellStyle name="Normal 28 17 6 4" xfId="32145" xr:uid="{00000000-0005-0000-0000-0000C9800000}"/>
    <cellStyle name="Normal 28 17 6 5" xfId="32146" xr:uid="{00000000-0005-0000-0000-0000CA800000}"/>
    <cellStyle name="Normal 28 17 6 6" xfId="32147" xr:uid="{00000000-0005-0000-0000-0000CB800000}"/>
    <cellStyle name="Normal 28 17 7" xfId="32148" xr:uid="{00000000-0005-0000-0000-0000CC800000}"/>
    <cellStyle name="Normal 28 17 7 2" xfId="32149" xr:uid="{00000000-0005-0000-0000-0000CD800000}"/>
    <cellStyle name="Normal 28 17 7 3" xfId="32150" xr:uid="{00000000-0005-0000-0000-0000CE800000}"/>
    <cellStyle name="Normal 28 17 7 4" xfId="32151" xr:uid="{00000000-0005-0000-0000-0000CF800000}"/>
    <cellStyle name="Normal 28 17 7 5" xfId="32152" xr:uid="{00000000-0005-0000-0000-0000D0800000}"/>
    <cellStyle name="Normal 28 17 7 6" xfId="32153" xr:uid="{00000000-0005-0000-0000-0000D1800000}"/>
    <cellStyle name="Normal 28 17 8" xfId="32154" xr:uid="{00000000-0005-0000-0000-0000D2800000}"/>
    <cellStyle name="Normal 28 17 8 2" xfId="32155" xr:uid="{00000000-0005-0000-0000-0000D3800000}"/>
    <cellStyle name="Normal 28 17 8 3" xfId="32156" xr:uid="{00000000-0005-0000-0000-0000D4800000}"/>
    <cellStyle name="Normal 28 17 8 4" xfId="32157" xr:uid="{00000000-0005-0000-0000-0000D5800000}"/>
    <cellStyle name="Normal 28 17 8 5" xfId="32158" xr:uid="{00000000-0005-0000-0000-0000D6800000}"/>
    <cellStyle name="Normal 28 17 8 6" xfId="32159" xr:uid="{00000000-0005-0000-0000-0000D7800000}"/>
    <cellStyle name="Normal 28 17 9" xfId="32160" xr:uid="{00000000-0005-0000-0000-0000D8800000}"/>
    <cellStyle name="Normal 28 18" xfId="32161" xr:uid="{00000000-0005-0000-0000-0000D9800000}"/>
    <cellStyle name="Normal 28 18 2" xfId="32162" xr:uid="{00000000-0005-0000-0000-0000DA800000}"/>
    <cellStyle name="Normal 28 18 3" xfId="32163" xr:uid="{00000000-0005-0000-0000-0000DB800000}"/>
    <cellStyle name="Normal 28 18 4" xfId="32164" xr:uid="{00000000-0005-0000-0000-0000DC800000}"/>
    <cellStyle name="Normal 28 18 5" xfId="32165" xr:uid="{00000000-0005-0000-0000-0000DD800000}"/>
    <cellStyle name="Normal 28 18 6" xfId="32166" xr:uid="{00000000-0005-0000-0000-0000DE800000}"/>
    <cellStyle name="Normal 28 19" xfId="32167" xr:uid="{00000000-0005-0000-0000-0000DF800000}"/>
    <cellStyle name="Normal 28 19 2" xfId="32168" xr:uid="{00000000-0005-0000-0000-0000E0800000}"/>
    <cellStyle name="Normal 28 19 3" xfId="32169" xr:uid="{00000000-0005-0000-0000-0000E1800000}"/>
    <cellStyle name="Normal 28 19 4" xfId="32170" xr:uid="{00000000-0005-0000-0000-0000E2800000}"/>
    <cellStyle name="Normal 28 19 5" xfId="32171" xr:uid="{00000000-0005-0000-0000-0000E3800000}"/>
    <cellStyle name="Normal 28 19 6" xfId="32172" xr:uid="{00000000-0005-0000-0000-0000E4800000}"/>
    <cellStyle name="Normal 28 2" xfId="1680" xr:uid="{00000000-0005-0000-0000-0000E5800000}"/>
    <cellStyle name="Normal 28 2 10" xfId="32173" xr:uid="{00000000-0005-0000-0000-0000E6800000}"/>
    <cellStyle name="Normal 28 2 11" xfId="32174" xr:uid="{00000000-0005-0000-0000-0000E7800000}"/>
    <cellStyle name="Normal 28 2 12" xfId="32175" xr:uid="{00000000-0005-0000-0000-0000E8800000}"/>
    <cellStyle name="Normal 28 2 13" xfId="32176" xr:uid="{00000000-0005-0000-0000-0000E9800000}"/>
    <cellStyle name="Normal 28 2 2" xfId="32177" xr:uid="{00000000-0005-0000-0000-0000EA800000}"/>
    <cellStyle name="Normal 28 2 2 2" xfId="32178" xr:uid="{00000000-0005-0000-0000-0000EB800000}"/>
    <cellStyle name="Normal 28 2 2 3" xfId="32179" xr:uid="{00000000-0005-0000-0000-0000EC800000}"/>
    <cellStyle name="Normal 28 2 2 4" xfId="32180" xr:uid="{00000000-0005-0000-0000-0000ED800000}"/>
    <cellStyle name="Normal 28 2 2 5" xfId="32181" xr:uid="{00000000-0005-0000-0000-0000EE800000}"/>
    <cellStyle name="Normal 28 2 2 6" xfId="32182" xr:uid="{00000000-0005-0000-0000-0000EF800000}"/>
    <cellStyle name="Normal 28 2 3" xfId="32183" xr:uid="{00000000-0005-0000-0000-0000F0800000}"/>
    <cellStyle name="Normal 28 2 3 2" xfId="32184" xr:uid="{00000000-0005-0000-0000-0000F1800000}"/>
    <cellStyle name="Normal 28 2 3 3" xfId="32185" xr:uid="{00000000-0005-0000-0000-0000F2800000}"/>
    <cellStyle name="Normal 28 2 3 4" xfId="32186" xr:uid="{00000000-0005-0000-0000-0000F3800000}"/>
    <cellStyle name="Normal 28 2 3 5" xfId="32187" xr:uid="{00000000-0005-0000-0000-0000F4800000}"/>
    <cellStyle name="Normal 28 2 3 6" xfId="32188" xr:uid="{00000000-0005-0000-0000-0000F5800000}"/>
    <cellStyle name="Normal 28 2 4" xfId="32189" xr:uid="{00000000-0005-0000-0000-0000F6800000}"/>
    <cellStyle name="Normal 28 2 4 2" xfId="32190" xr:uid="{00000000-0005-0000-0000-0000F7800000}"/>
    <cellStyle name="Normal 28 2 4 3" xfId="32191" xr:uid="{00000000-0005-0000-0000-0000F8800000}"/>
    <cellStyle name="Normal 28 2 4 4" xfId="32192" xr:uid="{00000000-0005-0000-0000-0000F9800000}"/>
    <cellStyle name="Normal 28 2 4 5" xfId="32193" xr:uid="{00000000-0005-0000-0000-0000FA800000}"/>
    <cellStyle name="Normal 28 2 4 6" xfId="32194" xr:uid="{00000000-0005-0000-0000-0000FB800000}"/>
    <cellStyle name="Normal 28 2 5" xfId="32195" xr:uid="{00000000-0005-0000-0000-0000FC800000}"/>
    <cellStyle name="Normal 28 2 5 2" xfId="32196" xr:uid="{00000000-0005-0000-0000-0000FD800000}"/>
    <cellStyle name="Normal 28 2 5 3" xfId="32197" xr:uid="{00000000-0005-0000-0000-0000FE800000}"/>
    <cellStyle name="Normal 28 2 5 4" xfId="32198" xr:uid="{00000000-0005-0000-0000-0000FF800000}"/>
    <cellStyle name="Normal 28 2 5 5" xfId="32199" xr:uid="{00000000-0005-0000-0000-000000810000}"/>
    <cellStyle name="Normal 28 2 5 6" xfId="32200" xr:uid="{00000000-0005-0000-0000-000001810000}"/>
    <cellStyle name="Normal 28 2 6" xfId="32201" xr:uid="{00000000-0005-0000-0000-000002810000}"/>
    <cellStyle name="Normal 28 2 6 2" xfId="32202" xr:uid="{00000000-0005-0000-0000-000003810000}"/>
    <cellStyle name="Normal 28 2 6 3" xfId="32203" xr:uid="{00000000-0005-0000-0000-000004810000}"/>
    <cellStyle name="Normal 28 2 6 4" xfId="32204" xr:uid="{00000000-0005-0000-0000-000005810000}"/>
    <cellStyle name="Normal 28 2 6 5" xfId="32205" xr:uid="{00000000-0005-0000-0000-000006810000}"/>
    <cellStyle name="Normal 28 2 6 6" xfId="32206" xr:uid="{00000000-0005-0000-0000-000007810000}"/>
    <cellStyle name="Normal 28 2 7" xfId="32207" xr:uid="{00000000-0005-0000-0000-000008810000}"/>
    <cellStyle name="Normal 28 2 7 2" xfId="32208" xr:uid="{00000000-0005-0000-0000-000009810000}"/>
    <cellStyle name="Normal 28 2 7 3" xfId="32209" xr:uid="{00000000-0005-0000-0000-00000A810000}"/>
    <cellStyle name="Normal 28 2 7 4" xfId="32210" xr:uid="{00000000-0005-0000-0000-00000B810000}"/>
    <cellStyle name="Normal 28 2 7 5" xfId="32211" xr:uid="{00000000-0005-0000-0000-00000C810000}"/>
    <cellStyle name="Normal 28 2 7 6" xfId="32212" xr:uid="{00000000-0005-0000-0000-00000D810000}"/>
    <cellStyle name="Normal 28 2 8" xfId="32213" xr:uid="{00000000-0005-0000-0000-00000E810000}"/>
    <cellStyle name="Normal 28 2 8 2" xfId="32214" xr:uid="{00000000-0005-0000-0000-00000F810000}"/>
    <cellStyle name="Normal 28 2 8 3" xfId="32215" xr:uid="{00000000-0005-0000-0000-000010810000}"/>
    <cellStyle name="Normal 28 2 8 4" xfId="32216" xr:uid="{00000000-0005-0000-0000-000011810000}"/>
    <cellStyle name="Normal 28 2 8 5" xfId="32217" xr:uid="{00000000-0005-0000-0000-000012810000}"/>
    <cellStyle name="Normal 28 2 8 6" xfId="32218" xr:uid="{00000000-0005-0000-0000-000013810000}"/>
    <cellStyle name="Normal 28 2 9" xfId="32219" xr:uid="{00000000-0005-0000-0000-000014810000}"/>
    <cellStyle name="Normal 28 20" xfId="32220" xr:uid="{00000000-0005-0000-0000-000015810000}"/>
    <cellStyle name="Normal 28 20 2" xfId="32221" xr:uid="{00000000-0005-0000-0000-000016810000}"/>
    <cellStyle name="Normal 28 20 3" xfId="32222" xr:uid="{00000000-0005-0000-0000-000017810000}"/>
    <cellStyle name="Normal 28 20 4" xfId="32223" xr:uid="{00000000-0005-0000-0000-000018810000}"/>
    <cellStyle name="Normal 28 20 5" xfId="32224" xr:uid="{00000000-0005-0000-0000-000019810000}"/>
    <cellStyle name="Normal 28 20 6" xfId="32225" xr:uid="{00000000-0005-0000-0000-00001A810000}"/>
    <cellStyle name="Normal 28 21" xfId="32226" xr:uid="{00000000-0005-0000-0000-00001B810000}"/>
    <cellStyle name="Normal 28 21 2" xfId="32227" xr:uid="{00000000-0005-0000-0000-00001C810000}"/>
    <cellStyle name="Normal 28 21 3" xfId="32228" xr:uid="{00000000-0005-0000-0000-00001D810000}"/>
    <cellStyle name="Normal 28 21 4" xfId="32229" xr:uid="{00000000-0005-0000-0000-00001E810000}"/>
    <cellStyle name="Normal 28 21 5" xfId="32230" xr:uid="{00000000-0005-0000-0000-00001F810000}"/>
    <cellStyle name="Normal 28 21 6" xfId="32231" xr:uid="{00000000-0005-0000-0000-000020810000}"/>
    <cellStyle name="Normal 28 22" xfId="32232" xr:uid="{00000000-0005-0000-0000-000021810000}"/>
    <cellStyle name="Normal 28 22 2" xfId="32233" xr:uid="{00000000-0005-0000-0000-000022810000}"/>
    <cellStyle name="Normal 28 22 3" xfId="32234" xr:uid="{00000000-0005-0000-0000-000023810000}"/>
    <cellStyle name="Normal 28 22 4" xfId="32235" xr:uid="{00000000-0005-0000-0000-000024810000}"/>
    <cellStyle name="Normal 28 22 5" xfId="32236" xr:uid="{00000000-0005-0000-0000-000025810000}"/>
    <cellStyle name="Normal 28 22 6" xfId="32237" xr:uid="{00000000-0005-0000-0000-000026810000}"/>
    <cellStyle name="Normal 28 23" xfId="32238" xr:uid="{00000000-0005-0000-0000-000027810000}"/>
    <cellStyle name="Normal 28 23 2" xfId="32239" xr:uid="{00000000-0005-0000-0000-000028810000}"/>
    <cellStyle name="Normal 28 23 3" xfId="32240" xr:uid="{00000000-0005-0000-0000-000029810000}"/>
    <cellStyle name="Normal 28 23 4" xfId="32241" xr:uid="{00000000-0005-0000-0000-00002A810000}"/>
    <cellStyle name="Normal 28 23 5" xfId="32242" xr:uid="{00000000-0005-0000-0000-00002B810000}"/>
    <cellStyle name="Normal 28 23 6" xfId="32243" xr:uid="{00000000-0005-0000-0000-00002C810000}"/>
    <cellStyle name="Normal 28 24" xfId="32244" xr:uid="{00000000-0005-0000-0000-00002D810000}"/>
    <cellStyle name="Normal 28 24 2" xfId="32245" xr:uid="{00000000-0005-0000-0000-00002E810000}"/>
    <cellStyle name="Normal 28 24 3" xfId="32246" xr:uid="{00000000-0005-0000-0000-00002F810000}"/>
    <cellStyle name="Normal 28 24 4" xfId="32247" xr:uid="{00000000-0005-0000-0000-000030810000}"/>
    <cellStyle name="Normal 28 24 5" xfId="32248" xr:uid="{00000000-0005-0000-0000-000031810000}"/>
    <cellStyle name="Normal 28 24 6" xfId="32249" xr:uid="{00000000-0005-0000-0000-000032810000}"/>
    <cellStyle name="Normal 28 25" xfId="32250" xr:uid="{00000000-0005-0000-0000-000033810000}"/>
    <cellStyle name="Normal 28 26" xfId="32251" xr:uid="{00000000-0005-0000-0000-000034810000}"/>
    <cellStyle name="Normal 28 27" xfId="32252" xr:uid="{00000000-0005-0000-0000-000035810000}"/>
    <cellStyle name="Normal 28 28" xfId="32253" xr:uid="{00000000-0005-0000-0000-000036810000}"/>
    <cellStyle name="Normal 28 29" xfId="32254" xr:uid="{00000000-0005-0000-0000-000037810000}"/>
    <cellStyle name="Normal 28 3" xfId="32255" xr:uid="{00000000-0005-0000-0000-000038810000}"/>
    <cellStyle name="Normal 28 3 10" xfId="32256" xr:uid="{00000000-0005-0000-0000-000039810000}"/>
    <cellStyle name="Normal 28 3 11" xfId="32257" xr:uid="{00000000-0005-0000-0000-00003A810000}"/>
    <cellStyle name="Normal 28 3 12" xfId="32258" xr:uid="{00000000-0005-0000-0000-00003B810000}"/>
    <cellStyle name="Normal 28 3 13" xfId="32259" xr:uid="{00000000-0005-0000-0000-00003C810000}"/>
    <cellStyle name="Normal 28 3 2" xfId="32260" xr:uid="{00000000-0005-0000-0000-00003D810000}"/>
    <cellStyle name="Normal 28 3 2 2" xfId="32261" xr:uid="{00000000-0005-0000-0000-00003E810000}"/>
    <cellStyle name="Normal 28 3 2 3" xfId="32262" xr:uid="{00000000-0005-0000-0000-00003F810000}"/>
    <cellStyle name="Normal 28 3 2 4" xfId="32263" xr:uid="{00000000-0005-0000-0000-000040810000}"/>
    <cellStyle name="Normal 28 3 2 5" xfId="32264" xr:uid="{00000000-0005-0000-0000-000041810000}"/>
    <cellStyle name="Normal 28 3 2 6" xfId="32265" xr:uid="{00000000-0005-0000-0000-000042810000}"/>
    <cellStyle name="Normal 28 3 3" xfId="32266" xr:uid="{00000000-0005-0000-0000-000043810000}"/>
    <cellStyle name="Normal 28 3 3 2" xfId="32267" xr:uid="{00000000-0005-0000-0000-000044810000}"/>
    <cellStyle name="Normal 28 3 3 3" xfId="32268" xr:uid="{00000000-0005-0000-0000-000045810000}"/>
    <cellStyle name="Normal 28 3 3 4" xfId="32269" xr:uid="{00000000-0005-0000-0000-000046810000}"/>
    <cellStyle name="Normal 28 3 3 5" xfId="32270" xr:uid="{00000000-0005-0000-0000-000047810000}"/>
    <cellStyle name="Normal 28 3 3 6" xfId="32271" xr:uid="{00000000-0005-0000-0000-000048810000}"/>
    <cellStyle name="Normal 28 3 4" xfId="32272" xr:uid="{00000000-0005-0000-0000-000049810000}"/>
    <cellStyle name="Normal 28 3 4 2" xfId="32273" xr:uid="{00000000-0005-0000-0000-00004A810000}"/>
    <cellStyle name="Normal 28 3 4 3" xfId="32274" xr:uid="{00000000-0005-0000-0000-00004B810000}"/>
    <cellStyle name="Normal 28 3 4 4" xfId="32275" xr:uid="{00000000-0005-0000-0000-00004C810000}"/>
    <cellStyle name="Normal 28 3 4 5" xfId="32276" xr:uid="{00000000-0005-0000-0000-00004D810000}"/>
    <cellStyle name="Normal 28 3 4 6" xfId="32277" xr:uid="{00000000-0005-0000-0000-00004E810000}"/>
    <cellStyle name="Normal 28 3 5" xfId="32278" xr:uid="{00000000-0005-0000-0000-00004F810000}"/>
    <cellStyle name="Normal 28 3 5 2" xfId="32279" xr:uid="{00000000-0005-0000-0000-000050810000}"/>
    <cellStyle name="Normal 28 3 5 3" xfId="32280" xr:uid="{00000000-0005-0000-0000-000051810000}"/>
    <cellStyle name="Normal 28 3 5 4" xfId="32281" xr:uid="{00000000-0005-0000-0000-000052810000}"/>
    <cellStyle name="Normal 28 3 5 5" xfId="32282" xr:uid="{00000000-0005-0000-0000-000053810000}"/>
    <cellStyle name="Normal 28 3 5 6" xfId="32283" xr:uid="{00000000-0005-0000-0000-000054810000}"/>
    <cellStyle name="Normal 28 3 6" xfId="32284" xr:uid="{00000000-0005-0000-0000-000055810000}"/>
    <cellStyle name="Normal 28 3 6 2" xfId="32285" xr:uid="{00000000-0005-0000-0000-000056810000}"/>
    <cellStyle name="Normal 28 3 6 3" xfId="32286" xr:uid="{00000000-0005-0000-0000-000057810000}"/>
    <cellStyle name="Normal 28 3 6 4" xfId="32287" xr:uid="{00000000-0005-0000-0000-000058810000}"/>
    <cellStyle name="Normal 28 3 6 5" xfId="32288" xr:uid="{00000000-0005-0000-0000-000059810000}"/>
    <cellStyle name="Normal 28 3 6 6" xfId="32289" xr:uid="{00000000-0005-0000-0000-00005A810000}"/>
    <cellStyle name="Normal 28 3 7" xfId="32290" xr:uid="{00000000-0005-0000-0000-00005B810000}"/>
    <cellStyle name="Normal 28 3 7 2" xfId="32291" xr:uid="{00000000-0005-0000-0000-00005C810000}"/>
    <cellStyle name="Normal 28 3 7 3" xfId="32292" xr:uid="{00000000-0005-0000-0000-00005D810000}"/>
    <cellStyle name="Normal 28 3 7 4" xfId="32293" xr:uid="{00000000-0005-0000-0000-00005E810000}"/>
    <cellStyle name="Normal 28 3 7 5" xfId="32294" xr:uid="{00000000-0005-0000-0000-00005F810000}"/>
    <cellStyle name="Normal 28 3 7 6" xfId="32295" xr:uid="{00000000-0005-0000-0000-000060810000}"/>
    <cellStyle name="Normal 28 3 8" xfId="32296" xr:uid="{00000000-0005-0000-0000-000061810000}"/>
    <cellStyle name="Normal 28 3 8 2" xfId="32297" xr:uid="{00000000-0005-0000-0000-000062810000}"/>
    <cellStyle name="Normal 28 3 8 3" xfId="32298" xr:uid="{00000000-0005-0000-0000-000063810000}"/>
    <cellStyle name="Normal 28 3 8 4" xfId="32299" xr:uid="{00000000-0005-0000-0000-000064810000}"/>
    <cellStyle name="Normal 28 3 8 5" xfId="32300" xr:uid="{00000000-0005-0000-0000-000065810000}"/>
    <cellStyle name="Normal 28 3 8 6" xfId="32301" xr:uid="{00000000-0005-0000-0000-000066810000}"/>
    <cellStyle name="Normal 28 3 9" xfId="32302" xr:uid="{00000000-0005-0000-0000-000067810000}"/>
    <cellStyle name="Normal 28 4" xfId="32303" xr:uid="{00000000-0005-0000-0000-000068810000}"/>
    <cellStyle name="Normal 28 4 10" xfId="32304" xr:uid="{00000000-0005-0000-0000-000069810000}"/>
    <cellStyle name="Normal 28 4 11" xfId="32305" xr:uid="{00000000-0005-0000-0000-00006A810000}"/>
    <cellStyle name="Normal 28 4 12" xfId="32306" xr:uid="{00000000-0005-0000-0000-00006B810000}"/>
    <cellStyle name="Normal 28 4 13" xfId="32307" xr:uid="{00000000-0005-0000-0000-00006C810000}"/>
    <cellStyle name="Normal 28 4 2" xfId="32308" xr:uid="{00000000-0005-0000-0000-00006D810000}"/>
    <cellStyle name="Normal 28 4 2 2" xfId="32309" xr:uid="{00000000-0005-0000-0000-00006E810000}"/>
    <cellStyle name="Normal 28 4 2 3" xfId="32310" xr:uid="{00000000-0005-0000-0000-00006F810000}"/>
    <cellStyle name="Normal 28 4 2 4" xfId="32311" xr:uid="{00000000-0005-0000-0000-000070810000}"/>
    <cellStyle name="Normal 28 4 2 5" xfId="32312" xr:uid="{00000000-0005-0000-0000-000071810000}"/>
    <cellStyle name="Normal 28 4 2 6" xfId="32313" xr:uid="{00000000-0005-0000-0000-000072810000}"/>
    <cellStyle name="Normal 28 4 3" xfId="32314" xr:uid="{00000000-0005-0000-0000-000073810000}"/>
    <cellStyle name="Normal 28 4 3 2" xfId="32315" xr:uid="{00000000-0005-0000-0000-000074810000}"/>
    <cellStyle name="Normal 28 4 3 3" xfId="32316" xr:uid="{00000000-0005-0000-0000-000075810000}"/>
    <cellStyle name="Normal 28 4 3 4" xfId="32317" xr:uid="{00000000-0005-0000-0000-000076810000}"/>
    <cellStyle name="Normal 28 4 3 5" xfId="32318" xr:uid="{00000000-0005-0000-0000-000077810000}"/>
    <cellStyle name="Normal 28 4 3 6" xfId="32319" xr:uid="{00000000-0005-0000-0000-000078810000}"/>
    <cellStyle name="Normal 28 4 4" xfId="32320" xr:uid="{00000000-0005-0000-0000-000079810000}"/>
    <cellStyle name="Normal 28 4 4 2" xfId="32321" xr:uid="{00000000-0005-0000-0000-00007A810000}"/>
    <cellStyle name="Normal 28 4 4 3" xfId="32322" xr:uid="{00000000-0005-0000-0000-00007B810000}"/>
    <cellStyle name="Normal 28 4 4 4" xfId="32323" xr:uid="{00000000-0005-0000-0000-00007C810000}"/>
    <cellStyle name="Normal 28 4 4 5" xfId="32324" xr:uid="{00000000-0005-0000-0000-00007D810000}"/>
    <cellStyle name="Normal 28 4 4 6" xfId="32325" xr:uid="{00000000-0005-0000-0000-00007E810000}"/>
    <cellStyle name="Normal 28 4 5" xfId="32326" xr:uid="{00000000-0005-0000-0000-00007F810000}"/>
    <cellStyle name="Normal 28 4 5 2" xfId="32327" xr:uid="{00000000-0005-0000-0000-000080810000}"/>
    <cellStyle name="Normal 28 4 5 3" xfId="32328" xr:uid="{00000000-0005-0000-0000-000081810000}"/>
    <cellStyle name="Normal 28 4 5 4" xfId="32329" xr:uid="{00000000-0005-0000-0000-000082810000}"/>
    <cellStyle name="Normal 28 4 5 5" xfId="32330" xr:uid="{00000000-0005-0000-0000-000083810000}"/>
    <cellStyle name="Normal 28 4 5 6" xfId="32331" xr:uid="{00000000-0005-0000-0000-000084810000}"/>
    <cellStyle name="Normal 28 4 6" xfId="32332" xr:uid="{00000000-0005-0000-0000-000085810000}"/>
    <cellStyle name="Normal 28 4 6 2" xfId="32333" xr:uid="{00000000-0005-0000-0000-000086810000}"/>
    <cellStyle name="Normal 28 4 6 3" xfId="32334" xr:uid="{00000000-0005-0000-0000-000087810000}"/>
    <cellStyle name="Normal 28 4 6 4" xfId="32335" xr:uid="{00000000-0005-0000-0000-000088810000}"/>
    <cellStyle name="Normal 28 4 6 5" xfId="32336" xr:uid="{00000000-0005-0000-0000-000089810000}"/>
    <cellStyle name="Normal 28 4 6 6" xfId="32337" xr:uid="{00000000-0005-0000-0000-00008A810000}"/>
    <cellStyle name="Normal 28 4 7" xfId="32338" xr:uid="{00000000-0005-0000-0000-00008B810000}"/>
    <cellStyle name="Normal 28 4 7 2" xfId="32339" xr:uid="{00000000-0005-0000-0000-00008C810000}"/>
    <cellStyle name="Normal 28 4 7 3" xfId="32340" xr:uid="{00000000-0005-0000-0000-00008D810000}"/>
    <cellStyle name="Normal 28 4 7 4" xfId="32341" xr:uid="{00000000-0005-0000-0000-00008E810000}"/>
    <cellStyle name="Normal 28 4 7 5" xfId="32342" xr:uid="{00000000-0005-0000-0000-00008F810000}"/>
    <cellStyle name="Normal 28 4 7 6" xfId="32343" xr:uid="{00000000-0005-0000-0000-000090810000}"/>
    <cellStyle name="Normal 28 4 8" xfId="32344" xr:uid="{00000000-0005-0000-0000-000091810000}"/>
    <cellStyle name="Normal 28 4 8 2" xfId="32345" xr:uid="{00000000-0005-0000-0000-000092810000}"/>
    <cellStyle name="Normal 28 4 8 3" xfId="32346" xr:uid="{00000000-0005-0000-0000-000093810000}"/>
    <cellStyle name="Normal 28 4 8 4" xfId="32347" xr:uid="{00000000-0005-0000-0000-000094810000}"/>
    <cellStyle name="Normal 28 4 8 5" xfId="32348" xr:uid="{00000000-0005-0000-0000-000095810000}"/>
    <cellStyle name="Normal 28 4 8 6" xfId="32349" xr:uid="{00000000-0005-0000-0000-000096810000}"/>
    <cellStyle name="Normal 28 4 9" xfId="32350" xr:uid="{00000000-0005-0000-0000-000097810000}"/>
    <cellStyle name="Normal 28 5" xfId="32351" xr:uid="{00000000-0005-0000-0000-000098810000}"/>
    <cellStyle name="Normal 28 5 10" xfId="32352" xr:uid="{00000000-0005-0000-0000-000099810000}"/>
    <cellStyle name="Normal 28 5 11" xfId="32353" xr:uid="{00000000-0005-0000-0000-00009A810000}"/>
    <cellStyle name="Normal 28 5 12" xfId="32354" xr:uid="{00000000-0005-0000-0000-00009B810000}"/>
    <cellStyle name="Normal 28 5 13" xfId="32355" xr:uid="{00000000-0005-0000-0000-00009C810000}"/>
    <cellStyle name="Normal 28 5 2" xfId="32356" xr:uid="{00000000-0005-0000-0000-00009D810000}"/>
    <cellStyle name="Normal 28 5 2 2" xfId="32357" xr:uid="{00000000-0005-0000-0000-00009E810000}"/>
    <cellStyle name="Normal 28 5 2 3" xfId="32358" xr:uid="{00000000-0005-0000-0000-00009F810000}"/>
    <cellStyle name="Normal 28 5 2 4" xfId="32359" xr:uid="{00000000-0005-0000-0000-0000A0810000}"/>
    <cellStyle name="Normal 28 5 2 5" xfId="32360" xr:uid="{00000000-0005-0000-0000-0000A1810000}"/>
    <cellStyle name="Normal 28 5 2 6" xfId="32361" xr:uid="{00000000-0005-0000-0000-0000A2810000}"/>
    <cellStyle name="Normal 28 5 3" xfId="32362" xr:uid="{00000000-0005-0000-0000-0000A3810000}"/>
    <cellStyle name="Normal 28 5 3 2" xfId="32363" xr:uid="{00000000-0005-0000-0000-0000A4810000}"/>
    <cellStyle name="Normal 28 5 3 3" xfId="32364" xr:uid="{00000000-0005-0000-0000-0000A5810000}"/>
    <cellStyle name="Normal 28 5 3 4" xfId="32365" xr:uid="{00000000-0005-0000-0000-0000A6810000}"/>
    <cellStyle name="Normal 28 5 3 5" xfId="32366" xr:uid="{00000000-0005-0000-0000-0000A7810000}"/>
    <cellStyle name="Normal 28 5 3 6" xfId="32367" xr:uid="{00000000-0005-0000-0000-0000A8810000}"/>
    <cellStyle name="Normal 28 5 4" xfId="32368" xr:uid="{00000000-0005-0000-0000-0000A9810000}"/>
    <cellStyle name="Normal 28 5 4 2" xfId="32369" xr:uid="{00000000-0005-0000-0000-0000AA810000}"/>
    <cellStyle name="Normal 28 5 4 3" xfId="32370" xr:uid="{00000000-0005-0000-0000-0000AB810000}"/>
    <cellStyle name="Normal 28 5 4 4" xfId="32371" xr:uid="{00000000-0005-0000-0000-0000AC810000}"/>
    <cellStyle name="Normal 28 5 4 5" xfId="32372" xr:uid="{00000000-0005-0000-0000-0000AD810000}"/>
    <cellStyle name="Normal 28 5 4 6" xfId="32373" xr:uid="{00000000-0005-0000-0000-0000AE810000}"/>
    <cellStyle name="Normal 28 5 5" xfId="32374" xr:uid="{00000000-0005-0000-0000-0000AF810000}"/>
    <cellStyle name="Normal 28 5 5 2" xfId="32375" xr:uid="{00000000-0005-0000-0000-0000B0810000}"/>
    <cellStyle name="Normal 28 5 5 3" xfId="32376" xr:uid="{00000000-0005-0000-0000-0000B1810000}"/>
    <cellStyle name="Normal 28 5 5 4" xfId="32377" xr:uid="{00000000-0005-0000-0000-0000B2810000}"/>
    <cellStyle name="Normal 28 5 5 5" xfId="32378" xr:uid="{00000000-0005-0000-0000-0000B3810000}"/>
    <cellStyle name="Normal 28 5 5 6" xfId="32379" xr:uid="{00000000-0005-0000-0000-0000B4810000}"/>
    <cellStyle name="Normal 28 5 6" xfId="32380" xr:uid="{00000000-0005-0000-0000-0000B5810000}"/>
    <cellStyle name="Normal 28 5 6 2" xfId="32381" xr:uid="{00000000-0005-0000-0000-0000B6810000}"/>
    <cellStyle name="Normal 28 5 6 3" xfId="32382" xr:uid="{00000000-0005-0000-0000-0000B7810000}"/>
    <cellStyle name="Normal 28 5 6 4" xfId="32383" xr:uid="{00000000-0005-0000-0000-0000B8810000}"/>
    <cellStyle name="Normal 28 5 6 5" xfId="32384" xr:uid="{00000000-0005-0000-0000-0000B9810000}"/>
    <cellStyle name="Normal 28 5 6 6" xfId="32385" xr:uid="{00000000-0005-0000-0000-0000BA810000}"/>
    <cellStyle name="Normal 28 5 7" xfId="32386" xr:uid="{00000000-0005-0000-0000-0000BB810000}"/>
    <cellStyle name="Normal 28 5 7 2" xfId="32387" xr:uid="{00000000-0005-0000-0000-0000BC810000}"/>
    <cellStyle name="Normal 28 5 7 3" xfId="32388" xr:uid="{00000000-0005-0000-0000-0000BD810000}"/>
    <cellStyle name="Normal 28 5 7 4" xfId="32389" xr:uid="{00000000-0005-0000-0000-0000BE810000}"/>
    <cellStyle name="Normal 28 5 7 5" xfId="32390" xr:uid="{00000000-0005-0000-0000-0000BF810000}"/>
    <cellStyle name="Normal 28 5 7 6" xfId="32391" xr:uid="{00000000-0005-0000-0000-0000C0810000}"/>
    <cellStyle name="Normal 28 5 8" xfId="32392" xr:uid="{00000000-0005-0000-0000-0000C1810000}"/>
    <cellStyle name="Normal 28 5 8 2" xfId="32393" xr:uid="{00000000-0005-0000-0000-0000C2810000}"/>
    <cellStyle name="Normal 28 5 8 3" xfId="32394" xr:uid="{00000000-0005-0000-0000-0000C3810000}"/>
    <cellStyle name="Normal 28 5 8 4" xfId="32395" xr:uid="{00000000-0005-0000-0000-0000C4810000}"/>
    <cellStyle name="Normal 28 5 8 5" xfId="32396" xr:uid="{00000000-0005-0000-0000-0000C5810000}"/>
    <cellStyle name="Normal 28 5 8 6" xfId="32397" xr:uid="{00000000-0005-0000-0000-0000C6810000}"/>
    <cellStyle name="Normal 28 5 9" xfId="32398" xr:uid="{00000000-0005-0000-0000-0000C7810000}"/>
    <cellStyle name="Normal 28 6" xfId="32399" xr:uid="{00000000-0005-0000-0000-0000C8810000}"/>
    <cellStyle name="Normal 28 6 10" xfId="32400" xr:uid="{00000000-0005-0000-0000-0000C9810000}"/>
    <cellStyle name="Normal 28 6 11" xfId="32401" xr:uid="{00000000-0005-0000-0000-0000CA810000}"/>
    <cellStyle name="Normal 28 6 12" xfId="32402" xr:uid="{00000000-0005-0000-0000-0000CB810000}"/>
    <cellStyle name="Normal 28 6 13" xfId="32403" xr:uid="{00000000-0005-0000-0000-0000CC810000}"/>
    <cellStyle name="Normal 28 6 2" xfId="32404" xr:uid="{00000000-0005-0000-0000-0000CD810000}"/>
    <cellStyle name="Normal 28 6 2 2" xfId="32405" xr:uid="{00000000-0005-0000-0000-0000CE810000}"/>
    <cellStyle name="Normal 28 6 2 3" xfId="32406" xr:uid="{00000000-0005-0000-0000-0000CF810000}"/>
    <cellStyle name="Normal 28 6 2 4" xfId="32407" xr:uid="{00000000-0005-0000-0000-0000D0810000}"/>
    <cellStyle name="Normal 28 6 2 5" xfId="32408" xr:uid="{00000000-0005-0000-0000-0000D1810000}"/>
    <cellStyle name="Normal 28 6 2 6" xfId="32409" xr:uid="{00000000-0005-0000-0000-0000D2810000}"/>
    <cellStyle name="Normal 28 6 3" xfId="32410" xr:uid="{00000000-0005-0000-0000-0000D3810000}"/>
    <cellStyle name="Normal 28 6 3 2" xfId="32411" xr:uid="{00000000-0005-0000-0000-0000D4810000}"/>
    <cellStyle name="Normal 28 6 3 3" xfId="32412" xr:uid="{00000000-0005-0000-0000-0000D5810000}"/>
    <cellStyle name="Normal 28 6 3 4" xfId="32413" xr:uid="{00000000-0005-0000-0000-0000D6810000}"/>
    <cellStyle name="Normal 28 6 3 5" xfId="32414" xr:uid="{00000000-0005-0000-0000-0000D7810000}"/>
    <cellStyle name="Normal 28 6 3 6" xfId="32415" xr:uid="{00000000-0005-0000-0000-0000D8810000}"/>
    <cellStyle name="Normal 28 6 4" xfId="32416" xr:uid="{00000000-0005-0000-0000-0000D9810000}"/>
    <cellStyle name="Normal 28 6 4 2" xfId="32417" xr:uid="{00000000-0005-0000-0000-0000DA810000}"/>
    <cellStyle name="Normal 28 6 4 3" xfId="32418" xr:uid="{00000000-0005-0000-0000-0000DB810000}"/>
    <cellStyle name="Normal 28 6 4 4" xfId="32419" xr:uid="{00000000-0005-0000-0000-0000DC810000}"/>
    <cellStyle name="Normal 28 6 4 5" xfId="32420" xr:uid="{00000000-0005-0000-0000-0000DD810000}"/>
    <cellStyle name="Normal 28 6 4 6" xfId="32421" xr:uid="{00000000-0005-0000-0000-0000DE810000}"/>
    <cellStyle name="Normal 28 6 5" xfId="32422" xr:uid="{00000000-0005-0000-0000-0000DF810000}"/>
    <cellStyle name="Normal 28 6 5 2" xfId="32423" xr:uid="{00000000-0005-0000-0000-0000E0810000}"/>
    <cellStyle name="Normal 28 6 5 3" xfId="32424" xr:uid="{00000000-0005-0000-0000-0000E1810000}"/>
    <cellStyle name="Normal 28 6 5 4" xfId="32425" xr:uid="{00000000-0005-0000-0000-0000E2810000}"/>
    <cellStyle name="Normal 28 6 5 5" xfId="32426" xr:uid="{00000000-0005-0000-0000-0000E3810000}"/>
    <cellStyle name="Normal 28 6 5 6" xfId="32427" xr:uid="{00000000-0005-0000-0000-0000E4810000}"/>
    <cellStyle name="Normal 28 6 6" xfId="32428" xr:uid="{00000000-0005-0000-0000-0000E5810000}"/>
    <cellStyle name="Normal 28 6 6 2" xfId="32429" xr:uid="{00000000-0005-0000-0000-0000E6810000}"/>
    <cellStyle name="Normal 28 6 6 3" xfId="32430" xr:uid="{00000000-0005-0000-0000-0000E7810000}"/>
    <cellStyle name="Normal 28 6 6 4" xfId="32431" xr:uid="{00000000-0005-0000-0000-0000E8810000}"/>
    <cellStyle name="Normal 28 6 6 5" xfId="32432" xr:uid="{00000000-0005-0000-0000-0000E9810000}"/>
    <cellStyle name="Normal 28 6 6 6" xfId="32433" xr:uid="{00000000-0005-0000-0000-0000EA810000}"/>
    <cellStyle name="Normal 28 6 7" xfId="32434" xr:uid="{00000000-0005-0000-0000-0000EB810000}"/>
    <cellStyle name="Normal 28 6 7 2" xfId="32435" xr:uid="{00000000-0005-0000-0000-0000EC810000}"/>
    <cellStyle name="Normal 28 6 7 3" xfId="32436" xr:uid="{00000000-0005-0000-0000-0000ED810000}"/>
    <cellStyle name="Normal 28 6 7 4" xfId="32437" xr:uid="{00000000-0005-0000-0000-0000EE810000}"/>
    <cellStyle name="Normal 28 6 7 5" xfId="32438" xr:uid="{00000000-0005-0000-0000-0000EF810000}"/>
    <cellStyle name="Normal 28 6 7 6" xfId="32439" xr:uid="{00000000-0005-0000-0000-0000F0810000}"/>
    <cellStyle name="Normal 28 6 8" xfId="32440" xr:uid="{00000000-0005-0000-0000-0000F1810000}"/>
    <cellStyle name="Normal 28 6 8 2" xfId="32441" xr:uid="{00000000-0005-0000-0000-0000F2810000}"/>
    <cellStyle name="Normal 28 6 8 3" xfId="32442" xr:uid="{00000000-0005-0000-0000-0000F3810000}"/>
    <cellStyle name="Normal 28 6 8 4" xfId="32443" xr:uid="{00000000-0005-0000-0000-0000F4810000}"/>
    <cellStyle name="Normal 28 6 8 5" xfId="32444" xr:uid="{00000000-0005-0000-0000-0000F5810000}"/>
    <cellStyle name="Normal 28 6 8 6" xfId="32445" xr:uid="{00000000-0005-0000-0000-0000F6810000}"/>
    <cellStyle name="Normal 28 6 9" xfId="32446" xr:uid="{00000000-0005-0000-0000-0000F7810000}"/>
    <cellStyle name="Normal 28 7" xfId="32447" xr:uid="{00000000-0005-0000-0000-0000F8810000}"/>
    <cellStyle name="Normal 28 7 10" xfId="32448" xr:uid="{00000000-0005-0000-0000-0000F9810000}"/>
    <cellStyle name="Normal 28 7 11" xfId="32449" xr:uid="{00000000-0005-0000-0000-0000FA810000}"/>
    <cellStyle name="Normal 28 7 12" xfId="32450" xr:uid="{00000000-0005-0000-0000-0000FB810000}"/>
    <cellStyle name="Normal 28 7 13" xfId="32451" xr:uid="{00000000-0005-0000-0000-0000FC810000}"/>
    <cellStyle name="Normal 28 7 2" xfId="32452" xr:uid="{00000000-0005-0000-0000-0000FD810000}"/>
    <cellStyle name="Normal 28 7 2 2" xfId="32453" xr:uid="{00000000-0005-0000-0000-0000FE810000}"/>
    <cellStyle name="Normal 28 7 2 3" xfId="32454" xr:uid="{00000000-0005-0000-0000-0000FF810000}"/>
    <cellStyle name="Normal 28 7 2 4" xfId="32455" xr:uid="{00000000-0005-0000-0000-000000820000}"/>
    <cellStyle name="Normal 28 7 2 5" xfId="32456" xr:uid="{00000000-0005-0000-0000-000001820000}"/>
    <cellStyle name="Normal 28 7 2 6" xfId="32457" xr:uid="{00000000-0005-0000-0000-000002820000}"/>
    <cellStyle name="Normal 28 7 3" xfId="32458" xr:uid="{00000000-0005-0000-0000-000003820000}"/>
    <cellStyle name="Normal 28 7 3 2" xfId="32459" xr:uid="{00000000-0005-0000-0000-000004820000}"/>
    <cellStyle name="Normal 28 7 3 3" xfId="32460" xr:uid="{00000000-0005-0000-0000-000005820000}"/>
    <cellStyle name="Normal 28 7 3 4" xfId="32461" xr:uid="{00000000-0005-0000-0000-000006820000}"/>
    <cellStyle name="Normal 28 7 3 5" xfId="32462" xr:uid="{00000000-0005-0000-0000-000007820000}"/>
    <cellStyle name="Normal 28 7 3 6" xfId="32463" xr:uid="{00000000-0005-0000-0000-000008820000}"/>
    <cellStyle name="Normal 28 7 4" xfId="32464" xr:uid="{00000000-0005-0000-0000-000009820000}"/>
    <cellStyle name="Normal 28 7 4 2" xfId="32465" xr:uid="{00000000-0005-0000-0000-00000A820000}"/>
    <cellStyle name="Normal 28 7 4 3" xfId="32466" xr:uid="{00000000-0005-0000-0000-00000B820000}"/>
    <cellStyle name="Normal 28 7 4 4" xfId="32467" xr:uid="{00000000-0005-0000-0000-00000C820000}"/>
    <cellStyle name="Normal 28 7 4 5" xfId="32468" xr:uid="{00000000-0005-0000-0000-00000D820000}"/>
    <cellStyle name="Normal 28 7 4 6" xfId="32469" xr:uid="{00000000-0005-0000-0000-00000E820000}"/>
    <cellStyle name="Normal 28 7 5" xfId="32470" xr:uid="{00000000-0005-0000-0000-00000F820000}"/>
    <cellStyle name="Normal 28 7 5 2" xfId="32471" xr:uid="{00000000-0005-0000-0000-000010820000}"/>
    <cellStyle name="Normal 28 7 5 3" xfId="32472" xr:uid="{00000000-0005-0000-0000-000011820000}"/>
    <cellStyle name="Normal 28 7 5 4" xfId="32473" xr:uid="{00000000-0005-0000-0000-000012820000}"/>
    <cellStyle name="Normal 28 7 5 5" xfId="32474" xr:uid="{00000000-0005-0000-0000-000013820000}"/>
    <cellStyle name="Normal 28 7 5 6" xfId="32475" xr:uid="{00000000-0005-0000-0000-000014820000}"/>
    <cellStyle name="Normal 28 7 6" xfId="32476" xr:uid="{00000000-0005-0000-0000-000015820000}"/>
    <cellStyle name="Normal 28 7 6 2" xfId="32477" xr:uid="{00000000-0005-0000-0000-000016820000}"/>
    <cellStyle name="Normal 28 7 6 3" xfId="32478" xr:uid="{00000000-0005-0000-0000-000017820000}"/>
    <cellStyle name="Normal 28 7 6 4" xfId="32479" xr:uid="{00000000-0005-0000-0000-000018820000}"/>
    <cellStyle name="Normal 28 7 6 5" xfId="32480" xr:uid="{00000000-0005-0000-0000-000019820000}"/>
    <cellStyle name="Normal 28 7 6 6" xfId="32481" xr:uid="{00000000-0005-0000-0000-00001A820000}"/>
    <cellStyle name="Normal 28 7 7" xfId="32482" xr:uid="{00000000-0005-0000-0000-00001B820000}"/>
    <cellStyle name="Normal 28 7 7 2" xfId="32483" xr:uid="{00000000-0005-0000-0000-00001C820000}"/>
    <cellStyle name="Normal 28 7 7 3" xfId="32484" xr:uid="{00000000-0005-0000-0000-00001D820000}"/>
    <cellStyle name="Normal 28 7 7 4" xfId="32485" xr:uid="{00000000-0005-0000-0000-00001E820000}"/>
    <cellStyle name="Normal 28 7 7 5" xfId="32486" xr:uid="{00000000-0005-0000-0000-00001F820000}"/>
    <cellStyle name="Normal 28 7 7 6" xfId="32487" xr:uid="{00000000-0005-0000-0000-000020820000}"/>
    <cellStyle name="Normal 28 7 8" xfId="32488" xr:uid="{00000000-0005-0000-0000-000021820000}"/>
    <cellStyle name="Normal 28 7 8 2" xfId="32489" xr:uid="{00000000-0005-0000-0000-000022820000}"/>
    <cellStyle name="Normal 28 7 8 3" xfId="32490" xr:uid="{00000000-0005-0000-0000-000023820000}"/>
    <cellStyle name="Normal 28 7 8 4" xfId="32491" xr:uid="{00000000-0005-0000-0000-000024820000}"/>
    <cellStyle name="Normal 28 7 8 5" xfId="32492" xr:uid="{00000000-0005-0000-0000-000025820000}"/>
    <cellStyle name="Normal 28 7 8 6" xfId="32493" xr:uid="{00000000-0005-0000-0000-000026820000}"/>
    <cellStyle name="Normal 28 7 9" xfId="32494" xr:uid="{00000000-0005-0000-0000-000027820000}"/>
    <cellStyle name="Normal 28 8" xfId="32495" xr:uid="{00000000-0005-0000-0000-000028820000}"/>
    <cellStyle name="Normal 28 8 10" xfId="32496" xr:uid="{00000000-0005-0000-0000-000029820000}"/>
    <cellStyle name="Normal 28 8 11" xfId="32497" xr:uid="{00000000-0005-0000-0000-00002A820000}"/>
    <cellStyle name="Normal 28 8 12" xfId="32498" xr:uid="{00000000-0005-0000-0000-00002B820000}"/>
    <cellStyle name="Normal 28 8 13" xfId="32499" xr:uid="{00000000-0005-0000-0000-00002C820000}"/>
    <cellStyle name="Normal 28 8 2" xfId="32500" xr:uid="{00000000-0005-0000-0000-00002D820000}"/>
    <cellStyle name="Normal 28 8 2 2" xfId="32501" xr:uid="{00000000-0005-0000-0000-00002E820000}"/>
    <cellStyle name="Normal 28 8 2 3" xfId="32502" xr:uid="{00000000-0005-0000-0000-00002F820000}"/>
    <cellStyle name="Normal 28 8 2 4" xfId="32503" xr:uid="{00000000-0005-0000-0000-000030820000}"/>
    <cellStyle name="Normal 28 8 2 5" xfId="32504" xr:uid="{00000000-0005-0000-0000-000031820000}"/>
    <cellStyle name="Normal 28 8 2 6" xfId="32505" xr:uid="{00000000-0005-0000-0000-000032820000}"/>
    <cellStyle name="Normal 28 8 3" xfId="32506" xr:uid="{00000000-0005-0000-0000-000033820000}"/>
    <cellStyle name="Normal 28 8 3 2" xfId="32507" xr:uid="{00000000-0005-0000-0000-000034820000}"/>
    <cellStyle name="Normal 28 8 3 3" xfId="32508" xr:uid="{00000000-0005-0000-0000-000035820000}"/>
    <cellStyle name="Normal 28 8 3 4" xfId="32509" xr:uid="{00000000-0005-0000-0000-000036820000}"/>
    <cellStyle name="Normal 28 8 3 5" xfId="32510" xr:uid="{00000000-0005-0000-0000-000037820000}"/>
    <cellStyle name="Normal 28 8 3 6" xfId="32511" xr:uid="{00000000-0005-0000-0000-000038820000}"/>
    <cellStyle name="Normal 28 8 4" xfId="32512" xr:uid="{00000000-0005-0000-0000-000039820000}"/>
    <cellStyle name="Normal 28 8 4 2" xfId="32513" xr:uid="{00000000-0005-0000-0000-00003A820000}"/>
    <cellStyle name="Normal 28 8 4 3" xfId="32514" xr:uid="{00000000-0005-0000-0000-00003B820000}"/>
    <cellStyle name="Normal 28 8 4 4" xfId="32515" xr:uid="{00000000-0005-0000-0000-00003C820000}"/>
    <cellStyle name="Normal 28 8 4 5" xfId="32516" xr:uid="{00000000-0005-0000-0000-00003D820000}"/>
    <cellStyle name="Normal 28 8 4 6" xfId="32517" xr:uid="{00000000-0005-0000-0000-00003E820000}"/>
    <cellStyle name="Normal 28 8 5" xfId="32518" xr:uid="{00000000-0005-0000-0000-00003F820000}"/>
    <cellStyle name="Normal 28 8 5 2" xfId="32519" xr:uid="{00000000-0005-0000-0000-000040820000}"/>
    <cellStyle name="Normal 28 8 5 3" xfId="32520" xr:uid="{00000000-0005-0000-0000-000041820000}"/>
    <cellStyle name="Normal 28 8 5 4" xfId="32521" xr:uid="{00000000-0005-0000-0000-000042820000}"/>
    <cellStyle name="Normal 28 8 5 5" xfId="32522" xr:uid="{00000000-0005-0000-0000-000043820000}"/>
    <cellStyle name="Normal 28 8 5 6" xfId="32523" xr:uid="{00000000-0005-0000-0000-000044820000}"/>
    <cellStyle name="Normal 28 8 6" xfId="32524" xr:uid="{00000000-0005-0000-0000-000045820000}"/>
    <cellStyle name="Normal 28 8 6 2" xfId="32525" xr:uid="{00000000-0005-0000-0000-000046820000}"/>
    <cellStyle name="Normal 28 8 6 3" xfId="32526" xr:uid="{00000000-0005-0000-0000-000047820000}"/>
    <cellStyle name="Normal 28 8 6 4" xfId="32527" xr:uid="{00000000-0005-0000-0000-000048820000}"/>
    <cellStyle name="Normal 28 8 6 5" xfId="32528" xr:uid="{00000000-0005-0000-0000-000049820000}"/>
    <cellStyle name="Normal 28 8 6 6" xfId="32529" xr:uid="{00000000-0005-0000-0000-00004A820000}"/>
    <cellStyle name="Normal 28 8 7" xfId="32530" xr:uid="{00000000-0005-0000-0000-00004B820000}"/>
    <cellStyle name="Normal 28 8 7 2" xfId="32531" xr:uid="{00000000-0005-0000-0000-00004C820000}"/>
    <cellStyle name="Normal 28 8 7 3" xfId="32532" xr:uid="{00000000-0005-0000-0000-00004D820000}"/>
    <cellStyle name="Normal 28 8 7 4" xfId="32533" xr:uid="{00000000-0005-0000-0000-00004E820000}"/>
    <cellStyle name="Normal 28 8 7 5" xfId="32534" xr:uid="{00000000-0005-0000-0000-00004F820000}"/>
    <cellStyle name="Normal 28 8 7 6" xfId="32535" xr:uid="{00000000-0005-0000-0000-000050820000}"/>
    <cellStyle name="Normal 28 8 8" xfId="32536" xr:uid="{00000000-0005-0000-0000-000051820000}"/>
    <cellStyle name="Normal 28 8 8 2" xfId="32537" xr:uid="{00000000-0005-0000-0000-000052820000}"/>
    <cellStyle name="Normal 28 8 8 3" xfId="32538" xr:uid="{00000000-0005-0000-0000-000053820000}"/>
    <cellStyle name="Normal 28 8 8 4" xfId="32539" xr:uid="{00000000-0005-0000-0000-000054820000}"/>
    <cellStyle name="Normal 28 8 8 5" xfId="32540" xr:uid="{00000000-0005-0000-0000-000055820000}"/>
    <cellStyle name="Normal 28 8 8 6" xfId="32541" xr:uid="{00000000-0005-0000-0000-000056820000}"/>
    <cellStyle name="Normal 28 8 9" xfId="32542" xr:uid="{00000000-0005-0000-0000-000057820000}"/>
    <cellStyle name="Normal 28 9" xfId="32543" xr:uid="{00000000-0005-0000-0000-000058820000}"/>
    <cellStyle name="Normal 28 9 10" xfId="32544" xr:uid="{00000000-0005-0000-0000-000059820000}"/>
    <cellStyle name="Normal 28 9 11" xfId="32545" xr:uid="{00000000-0005-0000-0000-00005A820000}"/>
    <cellStyle name="Normal 28 9 12" xfId="32546" xr:uid="{00000000-0005-0000-0000-00005B820000}"/>
    <cellStyle name="Normal 28 9 13" xfId="32547" xr:uid="{00000000-0005-0000-0000-00005C820000}"/>
    <cellStyle name="Normal 28 9 2" xfId="32548" xr:uid="{00000000-0005-0000-0000-00005D820000}"/>
    <cellStyle name="Normal 28 9 2 2" xfId="32549" xr:uid="{00000000-0005-0000-0000-00005E820000}"/>
    <cellStyle name="Normal 28 9 2 3" xfId="32550" xr:uid="{00000000-0005-0000-0000-00005F820000}"/>
    <cellStyle name="Normal 28 9 2 4" xfId="32551" xr:uid="{00000000-0005-0000-0000-000060820000}"/>
    <cellStyle name="Normal 28 9 2 5" xfId="32552" xr:uid="{00000000-0005-0000-0000-000061820000}"/>
    <cellStyle name="Normal 28 9 2 6" xfId="32553" xr:uid="{00000000-0005-0000-0000-000062820000}"/>
    <cellStyle name="Normal 28 9 3" xfId="32554" xr:uid="{00000000-0005-0000-0000-000063820000}"/>
    <cellStyle name="Normal 28 9 3 2" xfId="32555" xr:uid="{00000000-0005-0000-0000-000064820000}"/>
    <cellStyle name="Normal 28 9 3 3" xfId="32556" xr:uid="{00000000-0005-0000-0000-000065820000}"/>
    <cellStyle name="Normal 28 9 3 4" xfId="32557" xr:uid="{00000000-0005-0000-0000-000066820000}"/>
    <cellStyle name="Normal 28 9 3 5" xfId="32558" xr:uid="{00000000-0005-0000-0000-000067820000}"/>
    <cellStyle name="Normal 28 9 3 6" xfId="32559" xr:uid="{00000000-0005-0000-0000-000068820000}"/>
    <cellStyle name="Normal 28 9 4" xfId="32560" xr:uid="{00000000-0005-0000-0000-000069820000}"/>
    <cellStyle name="Normal 28 9 4 2" xfId="32561" xr:uid="{00000000-0005-0000-0000-00006A820000}"/>
    <cellStyle name="Normal 28 9 4 3" xfId="32562" xr:uid="{00000000-0005-0000-0000-00006B820000}"/>
    <cellStyle name="Normal 28 9 4 4" xfId="32563" xr:uid="{00000000-0005-0000-0000-00006C820000}"/>
    <cellStyle name="Normal 28 9 4 5" xfId="32564" xr:uid="{00000000-0005-0000-0000-00006D820000}"/>
    <cellStyle name="Normal 28 9 4 6" xfId="32565" xr:uid="{00000000-0005-0000-0000-00006E820000}"/>
    <cellStyle name="Normal 28 9 5" xfId="32566" xr:uid="{00000000-0005-0000-0000-00006F820000}"/>
    <cellStyle name="Normal 28 9 5 2" xfId="32567" xr:uid="{00000000-0005-0000-0000-000070820000}"/>
    <cellStyle name="Normal 28 9 5 3" xfId="32568" xr:uid="{00000000-0005-0000-0000-000071820000}"/>
    <cellStyle name="Normal 28 9 5 4" xfId="32569" xr:uid="{00000000-0005-0000-0000-000072820000}"/>
    <cellStyle name="Normal 28 9 5 5" xfId="32570" xr:uid="{00000000-0005-0000-0000-000073820000}"/>
    <cellStyle name="Normal 28 9 5 6" xfId="32571" xr:uid="{00000000-0005-0000-0000-000074820000}"/>
    <cellStyle name="Normal 28 9 6" xfId="32572" xr:uid="{00000000-0005-0000-0000-000075820000}"/>
    <cellStyle name="Normal 28 9 6 2" xfId="32573" xr:uid="{00000000-0005-0000-0000-000076820000}"/>
    <cellStyle name="Normal 28 9 6 3" xfId="32574" xr:uid="{00000000-0005-0000-0000-000077820000}"/>
    <cellStyle name="Normal 28 9 6 4" xfId="32575" xr:uid="{00000000-0005-0000-0000-000078820000}"/>
    <cellStyle name="Normal 28 9 6 5" xfId="32576" xr:uid="{00000000-0005-0000-0000-000079820000}"/>
    <cellStyle name="Normal 28 9 6 6" xfId="32577" xr:uid="{00000000-0005-0000-0000-00007A820000}"/>
    <cellStyle name="Normal 28 9 7" xfId="32578" xr:uid="{00000000-0005-0000-0000-00007B820000}"/>
    <cellStyle name="Normal 28 9 7 2" xfId="32579" xr:uid="{00000000-0005-0000-0000-00007C820000}"/>
    <cellStyle name="Normal 28 9 7 3" xfId="32580" xr:uid="{00000000-0005-0000-0000-00007D820000}"/>
    <cellStyle name="Normal 28 9 7 4" xfId="32581" xr:uid="{00000000-0005-0000-0000-00007E820000}"/>
    <cellStyle name="Normal 28 9 7 5" xfId="32582" xr:uid="{00000000-0005-0000-0000-00007F820000}"/>
    <cellStyle name="Normal 28 9 7 6" xfId="32583" xr:uid="{00000000-0005-0000-0000-000080820000}"/>
    <cellStyle name="Normal 28 9 8" xfId="32584" xr:uid="{00000000-0005-0000-0000-000081820000}"/>
    <cellStyle name="Normal 28 9 8 2" xfId="32585" xr:uid="{00000000-0005-0000-0000-000082820000}"/>
    <cellStyle name="Normal 28 9 8 3" xfId="32586" xr:uid="{00000000-0005-0000-0000-000083820000}"/>
    <cellStyle name="Normal 28 9 8 4" xfId="32587" xr:uid="{00000000-0005-0000-0000-000084820000}"/>
    <cellStyle name="Normal 28 9 8 5" xfId="32588" xr:uid="{00000000-0005-0000-0000-000085820000}"/>
    <cellStyle name="Normal 28 9 8 6" xfId="32589" xr:uid="{00000000-0005-0000-0000-000086820000}"/>
    <cellStyle name="Normal 28 9 9" xfId="32590" xr:uid="{00000000-0005-0000-0000-000087820000}"/>
    <cellStyle name="Normal 29" xfId="32591" xr:uid="{00000000-0005-0000-0000-000088820000}"/>
    <cellStyle name="Normal 29 10" xfId="32592" xr:uid="{00000000-0005-0000-0000-000089820000}"/>
    <cellStyle name="Normal 29 11" xfId="32593" xr:uid="{00000000-0005-0000-0000-00008A820000}"/>
    <cellStyle name="Normal 29 12" xfId="32594" xr:uid="{00000000-0005-0000-0000-00008B820000}"/>
    <cellStyle name="Normal 29 13" xfId="32595" xr:uid="{00000000-0005-0000-0000-00008C820000}"/>
    <cellStyle name="Normal 29 14" xfId="32596" xr:uid="{00000000-0005-0000-0000-00008D820000}"/>
    <cellStyle name="Normal 29 15" xfId="32597" xr:uid="{00000000-0005-0000-0000-00008E820000}"/>
    <cellStyle name="Normal 29 16" xfId="32598" xr:uid="{00000000-0005-0000-0000-00008F820000}"/>
    <cellStyle name="Normal 29 17" xfId="32599" xr:uid="{00000000-0005-0000-0000-000090820000}"/>
    <cellStyle name="Normal 29 18" xfId="32600" xr:uid="{00000000-0005-0000-0000-000091820000}"/>
    <cellStyle name="Normal 29 19" xfId="32601" xr:uid="{00000000-0005-0000-0000-000092820000}"/>
    <cellStyle name="Normal 29 2" xfId="32602" xr:uid="{00000000-0005-0000-0000-000093820000}"/>
    <cellStyle name="Normal 29 20" xfId="32603" xr:uid="{00000000-0005-0000-0000-000094820000}"/>
    <cellStyle name="Normal 29 21" xfId="32604" xr:uid="{00000000-0005-0000-0000-000095820000}"/>
    <cellStyle name="Normal 29 22" xfId="32605" xr:uid="{00000000-0005-0000-0000-000096820000}"/>
    <cellStyle name="Normal 29 23" xfId="32606" xr:uid="{00000000-0005-0000-0000-000097820000}"/>
    <cellStyle name="Normal 29 24" xfId="32607" xr:uid="{00000000-0005-0000-0000-000098820000}"/>
    <cellStyle name="Normal 29 25" xfId="32608" xr:uid="{00000000-0005-0000-0000-000099820000}"/>
    <cellStyle name="Normal 29 26" xfId="32609" xr:uid="{00000000-0005-0000-0000-00009A820000}"/>
    <cellStyle name="Normal 29 27" xfId="32610" xr:uid="{00000000-0005-0000-0000-00009B820000}"/>
    <cellStyle name="Normal 29 28" xfId="32611" xr:uid="{00000000-0005-0000-0000-00009C820000}"/>
    <cellStyle name="Normal 29 29" xfId="32612" xr:uid="{00000000-0005-0000-0000-00009D820000}"/>
    <cellStyle name="Normal 29 3" xfId="32613" xr:uid="{00000000-0005-0000-0000-00009E820000}"/>
    <cellStyle name="Normal 29 30" xfId="32614" xr:uid="{00000000-0005-0000-0000-00009F820000}"/>
    <cellStyle name="Normal 29 31" xfId="32615" xr:uid="{00000000-0005-0000-0000-0000A0820000}"/>
    <cellStyle name="Normal 29 32" xfId="32616" xr:uid="{00000000-0005-0000-0000-0000A1820000}"/>
    <cellStyle name="Normal 29 33" xfId="32617" xr:uid="{00000000-0005-0000-0000-0000A2820000}"/>
    <cellStyle name="Normal 29 34" xfId="32618" xr:uid="{00000000-0005-0000-0000-0000A3820000}"/>
    <cellStyle name="Normal 29 35" xfId="32619" xr:uid="{00000000-0005-0000-0000-0000A4820000}"/>
    <cellStyle name="Normal 29 36" xfId="32620" xr:uid="{00000000-0005-0000-0000-0000A5820000}"/>
    <cellStyle name="Normal 29 37" xfId="32621" xr:uid="{00000000-0005-0000-0000-0000A6820000}"/>
    <cellStyle name="Normal 29 38" xfId="32622" xr:uid="{00000000-0005-0000-0000-0000A7820000}"/>
    <cellStyle name="Normal 29 39" xfId="32623" xr:uid="{00000000-0005-0000-0000-0000A8820000}"/>
    <cellStyle name="Normal 29 4" xfId="32624" xr:uid="{00000000-0005-0000-0000-0000A9820000}"/>
    <cellStyle name="Normal 29 40" xfId="32625" xr:uid="{00000000-0005-0000-0000-0000AA820000}"/>
    <cellStyle name="Normal 29 41" xfId="32626" xr:uid="{00000000-0005-0000-0000-0000AB820000}"/>
    <cellStyle name="Normal 29 42" xfId="32627" xr:uid="{00000000-0005-0000-0000-0000AC820000}"/>
    <cellStyle name="Normal 29 43" xfId="32628" xr:uid="{00000000-0005-0000-0000-0000AD820000}"/>
    <cellStyle name="Normal 29 5" xfId="32629" xr:uid="{00000000-0005-0000-0000-0000AE820000}"/>
    <cellStyle name="Normal 29 6" xfId="32630" xr:uid="{00000000-0005-0000-0000-0000AF820000}"/>
    <cellStyle name="Normal 29 7" xfId="32631" xr:uid="{00000000-0005-0000-0000-0000B0820000}"/>
    <cellStyle name="Normal 29 8" xfId="32632" xr:uid="{00000000-0005-0000-0000-0000B1820000}"/>
    <cellStyle name="Normal 29 9" xfId="32633" xr:uid="{00000000-0005-0000-0000-0000B2820000}"/>
    <cellStyle name="Normal 3" xfId="20" xr:uid="{00000000-0005-0000-0000-0000B3820000}"/>
    <cellStyle name="Normal 3 10" xfId="32634" xr:uid="{00000000-0005-0000-0000-0000B4820000}"/>
    <cellStyle name="Normal 3 11" xfId="32635" xr:uid="{00000000-0005-0000-0000-0000B5820000}"/>
    <cellStyle name="Normal 3 12" xfId="32636" xr:uid="{00000000-0005-0000-0000-0000B6820000}"/>
    <cellStyle name="Normal 3 13" xfId="32637" xr:uid="{00000000-0005-0000-0000-0000B7820000}"/>
    <cellStyle name="Normal 3 14" xfId="32638" xr:uid="{00000000-0005-0000-0000-0000B8820000}"/>
    <cellStyle name="Normal 3 15" xfId="32639" xr:uid="{00000000-0005-0000-0000-0000B9820000}"/>
    <cellStyle name="Normal 3 16" xfId="32640" xr:uid="{00000000-0005-0000-0000-0000BA820000}"/>
    <cellStyle name="Normal 3 17" xfId="32641" xr:uid="{00000000-0005-0000-0000-0000BB820000}"/>
    <cellStyle name="Normal 3 18" xfId="32642" xr:uid="{00000000-0005-0000-0000-0000BC820000}"/>
    <cellStyle name="Normal 3 19" xfId="32643" xr:uid="{00000000-0005-0000-0000-0000BD820000}"/>
    <cellStyle name="Normal 3 2" xfId="1083" xr:uid="{00000000-0005-0000-0000-0000BE820000}"/>
    <cellStyle name="Normal 3 2 10" xfId="32644" xr:uid="{00000000-0005-0000-0000-0000BF820000}"/>
    <cellStyle name="Normal 3 2 11" xfId="32645" xr:uid="{00000000-0005-0000-0000-0000C0820000}"/>
    <cellStyle name="Normal 3 2 12" xfId="32646" xr:uid="{00000000-0005-0000-0000-0000C1820000}"/>
    <cellStyle name="Normal 3 2 13" xfId="32647" xr:uid="{00000000-0005-0000-0000-0000C2820000}"/>
    <cellStyle name="Normal 3 2 14" xfId="32648" xr:uid="{00000000-0005-0000-0000-0000C3820000}"/>
    <cellStyle name="Normal 3 2 15" xfId="32649" xr:uid="{00000000-0005-0000-0000-0000C4820000}"/>
    <cellStyle name="Normal 3 2 16" xfId="32650" xr:uid="{00000000-0005-0000-0000-0000C5820000}"/>
    <cellStyle name="Normal 3 2 17" xfId="32651" xr:uid="{00000000-0005-0000-0000-0000C6820000}"/>
    <cellStyle name="Normal 3 2 18" xfId="32652" xr:uid="{00000000-0005-0000-0000-0000C7820000}"/>
    <cellStyle name="Normal 3 2 19" xfId="32653" xr:uid="{00000000-0005-0000-0000-0000C8820000}"/>
    <cellStyle name="Normal 3 2 2" xfId="32654" xr:uid="{00000000-0005-0000-0000-0000C9820000}"/>
    <cellStyle name="Normal 3 2 20" xfId="32655" xr:uid="{00000000-0005-0000-0000-0000CA820000}"/>
    <cellStyle name="Normal 3 2 21" xfId="32656" xr:uid="{00000000-0005-0000-0000-0000CB820000}"/>
    <cellStyle name="Normal 3 2 22" xfId="32657" xr:uid="{00000000-0005-0000-0000-0000CC820000}"/>
    <cellStyle name="Normal 3 2 23" xfId="32658" xr:uid="{00000000-0005-0000-0000-0000CD820000}"/>
    <cellStyle name="Normal 3 2 24" xfId="32659" xr:uid="{00000000-0005-0000-0000-0000CE820000}"/>
    <cellStyle name="Normal 3 2 25" xfId="32660" xr:uid="{00000000-0005-0000-0000-0000CF820000}"/>
    <cellStyle name="Normal 3 2 26" xfId="32661" xr:uid="{00000000-0005-0000-0000-0000D0820000}"/>
    <cellStyle name="Normal 3 2 27" xfId="32662" xr:uid="{00000000-0005-0000-0000-0000D1820000}"/>
    <cellStyle name="Normal 3 2 28" xfId="32663" xr:uid="{00000000-0005-0000-0000-0000D2820000}"/>
    <cellStyle name="Normal 3 2 29" xfId="32664" xr:uid="{00000000-0005-0000-0000-0000D3820000}"/>
    <cellStyle name="Normal 3 2 3" xfId="32665" xr:uid="{00000000-0005-0000-0000-0000D4820000}"/>
    <cellStyle name="Normal 3 2 30" xfId="32666" xr:uid="{00000000-0005-0000-0000-0000D5820000}"/>
    <cellStyle name="Normal 3 2 31" xfId="32667" xr:uid="{00000000-0005-0000-0000-0000D6820000}"/>
    <cellStyle name="Normal 3 2 32" xfId="32668" xr:uid="{00000000-0005-0000-0000-0000D7820000}"/>
    <cellStyle name="Normal 3 2 33" xfId="32669" xr:uid="{00000000-0005-0000-0000-0000D8820000}"/>
    <cellStyle name="Normal 3 2 34" xfId="32670" xr:uid="{00000000-0005-0000-0000-0000D9820000}"/>
    <cellStyle name="Normal 3 2 35" xfId="32671" xr:uid="{00000000-0005-0000-0000-0000DA820000}"/>
    <cellStyle name="Normal 3 2 36" xfId="32672" xr:uid="{00000000-0005-0000-0000-0000DB820000}"/>
    <cellStyle name="Normal 3 2 37" xfId="32673" xr:uid="{00000000-0005-0000-0000-0000DC820000}"/>
    <cellStyle name="Normal 3 2 38" xfId="32674" xr:uid="{00000000-0005-0000-0000-0000DD820000}"/>
    <cellStyle name="Normal 3 2 39" xfId="32675" xr:uid="{00000000-0005-0000-0000-0000DE820000}"/>
    <cellStyle name="Normal 3 2 4" xfId="32676" xr:uid="{00000000-0005-0000-0000-0000DF820000}"/>
    <cellStyle name="Normal 3 2 40" xfId="32677" xr:uid="{00000000-0005-0000-0000-0000E0820000}"/>
    <cellStyle name="Normal 3 2 41" xfId="32678" xr:uid="{00000000-0005-0000-0000-0000E1820000}"/>
    <cellStyle name="Normal 3 2 42" xfId="32679" xr:uid="{00000000-0005-0000-0000-0000E2820000}"/>
    <cellStyle name="Normal 3 2 43" xfId="32680" xr:uid="{00000000-0005-0000-0000-0000E3820000}"/>
    <cellStyle name="Normal 3 2 44" xfId="32681" xr:uid="{00000000-0005-0000-0000-0000E4820000}"/>
    <cellStyle name="Normal 3 2 45" xfId="32682" xr:uid="{00000000-0005-0000-0000-0000E5820000}"/>
    <cellStyle name="Normal 3 2 46" xfId="32683" xr:uid="{00000000-0005-0000-0000-0000E6820000}"/>
    <cellStyle name="Normal 3 2 5" xfId="32684" xr:uid="{00000000-0005-0000-0000-0000E7820000}"/>
    <cellStyle name="Normal 3 2 6" xfId="32685" xr:uid="{00000000-0005-0000-0000-0000E8820000}"/>
    <cellStyle name="Normal 3 2 7" xfId="32686" xr:uid="{00000000-0005-0000-0000-0000E9820000}"/>
    <cellStyle name="Normal 3 2 8" xfId="32687" xr:uid="{00000000-0005-0000-0000-0000EA820000}"/>
    <cellStyle name="Normal 3 2 9" xfId="32688" xr:uid="{00000000-0005-0000-0000-0000EB820000}"/>
    <cellStyle name="Normal 3 20" xfId="32689" xr:uid="{00000000-0005-0000-0000-0000EC820000}"/>
    <cellStyle name="Normal 3 21" xfId="32690" xr:uid="{00000000-0005-0000-0000-0000ED820000}"/>
    <cellStyle name="Normal 3 22" xfId="32691" xr:uid="{00000000-0005-0000-0000-0000EE820000}"/>
    <cellStyle name="Normal 3 23" xfId="32692" xr:uid="{00000000-0005-0000-0000-0000EF820000}"/>
    <cellStyle name="Normal 3 24" xfId="32693" xr:uid="{00000000-0005-0000-0000-0000F0820000}"/>
    <cellStyle name="Normal 3 25" xfId="32694" xr:uid="{00000000-0005-0000-0000-0000F1820000}"/>
    <cellStyle name="Normal 3 26" xfId="32695" xr:uid="{00000000-0005-0000-0000-0000F2820000}"/>
    <cellStyle name="Normal 3 27" xfId="32696" xr:uid="{00000000-0005-0000-0000-0000F3820000}"/>
    <cellStyle name="Normal 3 28" xfId="32697" xr:uid="{00000000-0005-0000-0000-0000F4820000}"/>
    <cellStyle name="Normal 3 29" xfId="32698" xr:uid="{00000000-0005-0000-0000-0000F5820000}"/>
    <cellStyle name="Normal 3 3" xfId="1084" xr:uid="{00000000-0005-0000-0000-0000F6820000}"/>
    <cellStyle name="Normal 3 3 2" xfId="32699" xr:uid="{00000000-0005-0000-0000-0000F7820000}"/>
    <cellStyle name="Normal 3 30" xfId="32700" xr:uid="{00000000-0005-0000-0000-0000F8820000}"/>
    <cellStyle name="Normal 3 31" xfId="32701" xr:uid="{00000000-0005-0000-0000-0000F9820000}"/>
    <cellStyle name="Normal 3 32" xfId="32702" xr:uid="{00000000-0005-0000-0000-0000FA820000}"/>
    <cellStyle name="Normal 3 33" xfId="32703" xr:uid="{00000000-0005-0000-0000-0000FB820000}"/>
    <cellStyle name="Normal 3 34" xfId="32704" xr:uid="{00000000-0005-0000-0000-0000FC820000}"/>
    <cellStyle name="Normal 3 35" xfId="32705" xr:uid="{00000000-0005-0000-0000-0000FD820000}"/>
    <cellStyle name="Normal 3 36" xfId="32706" xr:uid="{00000000-0005-0000-0000-0000FE820000}"/>
    <cellStyle name="Normal 3 37" xfId="32707" xr:uid="{00000000-0005-0000-0000-0000FF820000}"/>
    <cellStyle name="Normal 3 38" xfId="32708" xr:uid="{00000000-0005-0000-0000-000000830000}"/>
    <cellStyle name="Normal 3 39" xfId="32709" xr:uid="{00000000-0005-0000-0000-000001830000}"/>
    <cellStyle name="Normal 3 4" xfId="1785" xr:uid="{00000000-0005-0000-0000-000002830000}"/>
    <cellStyle name="Normal 3 4 2" xfId="32710" xr:uid="{00000000-0005-0000-0000-000003830000}"/>
    <cellStyle name="Normal 3 40" xfId="32711" xr:uid="{00000000-0005-0000-0000-000004830000}"/>
    <cellStyle name="Normal 3 41" xfId="32712" xr:uid="{00000000-0005-0000-0000-000005830000}"/>
    <cellStyle name="Normal 3 42" xfId="32713" xr:uid="{00000000-0005-0000-0000-000006830000}"/>
    <cellStyle name="Normal 3 43" xfId="32714" xr:uid="{00000000-0005-0000-0000-000007830000}"/>
    <cellStyle name="Normal 3 44" xfId="32715" xr:uid="{00000000-0005-0000-0000-000008830000}"/>
    <cellStyle name="Normal 3 45" xfId="32716" xr:uid="{00000000-0005-0000-0000-000009830000}"/>
    <cellStyle name="Normal 3 46" xfId="32717" xr:uid="{00000000-0005-0000-0000-00000A830000}"/>
    <cellStyle name="Normal 3 47" xfId="32718" xr:uid="{00000000-0005-0000-0000-00000B830000}"/>
    <cellStyle name="Normal 3 48" xfId="32719" xr:uid="{00000000-0005-0000-0000-00000C830000}"/>
    <cellStyle name="Normal 3 49" xfId="32720" xr:uid="{00000000-0005-0000-0000-00000D830000}"/>
    <cellStyle name="Normal 3 5" xfId="32721" xr:uid="{00000000-0005-0000-0000-00000E830000}"/>
    <cellStyle name="Normal 3 5 2" xfId="32722" xr:uid="{00000000-0005-0000-0000-00000F830000}"/>
    <cellStyle name="Normal 3 5 3" xfId="32723" xr:uid="{00000000-0005-0000-0000-000010830000}"/>
    <cellStyle name="Normal 3 50" xfId="32724" xr:uid="{00000000-0005-0000-0000-000011830000}"/>
    <cellStyle name="Normal 3 51" xfId="32725" xr:uid="{00000000-0005-0000-0000-000012830000}"/>
    <cellStyle name="Normal 3 52" xfId="43577" xr:uid="{00000000-0005-0000-0000-000013830000}"/>
    <cellStyle name="Normal 3 53" xfId="851" xr:uid="{00000000-0005-0000-0000-000014830000}"/>
    <cellStyle name="Normal 3 6" xfId="32726" xr:uid="{00000000-0005-0000-0000-000015830000}"/>
    <cellStyle name="Normal 3 6 2" xfId="32727" xr:uid="{00000000-0005-0000-0000-000016830000}"/>
    <cellStyle name="Normal 3 7" xfId="32728" xr:uid="{00000000-0005-0000-0000-000017830000}"/>
    <cellStyle name="Normal 3 7 2" xfId="32729" xr:uid="{00000000-0005-0000-0000-000018830000}"/>
    <cellStyle name="Normal 3 7 2 2" xfId="32730" xr:uid="{00000000-0005-0000-0000-000019830000}"/>
    <cellStyle name="Normal 3 7 2 2 2" xfId="32731" xr:uid="{00000000-0005-0000-0000-00001A830000}"/>
    <cellStyle name="Normal 3 7 2 2 2 2" xfId="32732" xr:uid="{00000000-0005-0000-0000-00001B830000}"/>
    <cellStyle name="Normal 3 7 2 2 3" xfId="32733" xr:uid="{00000000-0005-0000-0000-00001C830000}"/>
    <cellStyle name="Normal 3 7 2 3" xfId="32734" xr:uid="{00000000-0005-0000-0000-00001D830000}"/>
    <cellStyle name="Normal 3 7 2 3 2" xfId="32735" xr:uid="{00000000-0005-0000-0000-00001E830000}"/>
    <cellStyle name="Normal 3 7 3" xfId="32736" xr:uid="{00000000-0005-0000-0000-00001F830000}"/>
    <cellStyle name="Normal 3 7 4" xfId="32737" xr:uid="{00000000-0005-0000-0000-000020830000}"/>
    <cellStyle name="Normal 3 7 4 2" xfId="32738" xr:uid="{00000000-0005-0000-0000-000021830000}"/>
    <cellStyle name="Normal 3 7 5" xfId="32739" xr:uid="{00000000-0005-0000-0000-000022830000}"/>
    <cellStyle name="Normal 3 8" xfId="32740" xr:uid="{00000000-0005-0000-0000-000023830000}"/>
    <cellStyle name="Normal 3 9" xfId="32741" xr:uid="{00000000-0005-0000-0000-000024830000}"/>
    <cellStyle name="Normal 3_IRT_Planilha Básica_ v2010_CERRP" xfId="1786" xr:uid="{00000000-0005-0000-0000-000025830000}"/>
    <cellStyle name="Normal 30" xfId="32742" xr:uid="{00000000-0005-0000-0000-000026830000}"/>
    <cellStyle name="Normal 30 10" xfId="32743" xr:uid="{00000000-0005-0000-0000-000027830000}"/>
    <cellStyle name="Normal 30 10 10" xfId="32744" xr:uid="{00000000-0005-0000-0000-000028830000}"/>
    <cellStyle name="Normal 30 10 11" xfId="32745" xr:uid="{00000000-0005-0000-0000-000029830000}"/>
    <cellStyle name="Normal 30 10 12" xfId="32746" xr:uid="{00000000-0005-0000-0000-00002A830000}"/>
    <cellStyle name="Normal 30 10 13" xfId="32747" xr:uid="{00000000-0005-0000-0000-00002B830000}"/>
    <cellStyle name="Normal 30 10 2" xfId="32748" xr:uid="{00000000-0005-0000-0000-00002C830000}"/>
    <cellStyle name="Normal 30 10 2 2" xfId="32749" xr:uid="{00000000-0005-0000-0000-00002D830000}"/>
    <cellStyle name="Normal 30 10 2 3" xfId="32750" xr:uid="{00000000-0005-0000-0000-00002E830000}"/>
    <cellStyle name="Normal 30 10 2 4" xfId="32751" xr:uid="{00000000-0005-0000-0000-00002F830000}"/>
    <cellStyle name="Normal 30 10 2 5" xfId="32752" xr:uid="{00000000-0005-0000-0000-000030830000}"/>
    <cellStyle name="Normal 30 10 2 6" xfId="32753" xr:uid="{00000000-0005-0000-0000-000031830000}"/>
    <cellStyle name="Normal 30 10 3" xfId="32754" xr:uid="{00000000-0005-0000-0000-000032830000}"/>
    <cellStyle name="Normal 30 10 3 2" xfId="32755" xr:uid="{00000000-0005-0000-0000-000033830000}"/>
    <cellStyle name="Normal 30 10 3 3" xfId="32756" xr:uid="{00000000-0005-0000-0000-000034830000}"/>
    <cellStyle name="Normal 30 10 3 4" xfId="32757" xr:uid="{00000000-0005-0000-0000-000035830000}"/>
    <cellStyle name="Normal 30 10 3 5" xfId="32758" xr:uid="{00000000-0005-0000-0000-000036830000}"/>
    <cellStyle name="Normal 30 10 3 6" xfId="32759" xr:uid="{00000000-0005-0000-0000-000037830000}"/>
    <cellStyle name="Normal 30 10 4" xfId="32760" xr:uid="{00000000-0005-0000-0000-000038830000}"/>
    <cellStyle name="Normal 30 10 4 2" xfId="32761" xr:uid="{00000000-0005-0000-0000-000039830000}"/>
    <cellStyle name="Normal 30 10 4 3" xfId="32762" xr:uid="{00000000-0005-0000-0000-00003A830000}"/>
    <cellStyle name="Normal 30 10 4 4" xfId="32763" xr:uid="{00000000-0005-0000-0000-00003B830000}"/>
    <cellStyle name="Normal 30 10 4 5" xfId="32764" xr:uid="{00000000-0005-0000-0000-00003C830000}"/>
    <cellStyle name="Normal 30 10 4 6" xfId="32765" xr:uid="{00000000-0005-0000-0000-00003D830000}"/>
    <cellStyle name="Normal 30 10 5" xfId="32766" xr:uid="{00000000-0005-0000-0000-00003E830000}"/>
    <cellStyle name="Normal 30 10 5 2" xfId="32767" xr:uid="{00000000-0005-0000-0000-00003F830000}"/>
    <cellStyle name="Normal 30 10 5 3" xfId="32768" xr:uid="{00000000-0005-0000-0000-000040830000}"/>
    <cellStyle name="Normal 30 10 5 4" xfId="32769" xr:uid="{00000000-0005-0000-0000-000041830000}"/>
    <cellStyle name="Normal 30 10 5 5" xfId="32770" xr:uid="{00000000-0005-0000-0000-000042830000}"/>
    <cellStyle name="Normal 30 10 5 6" xfId="32771" xr:uid="{00000000-0005-0000-0000-000043830000}"/>
    <cellStyle name="Normal 30 10 6" xfId="32772" xr:uid="{00000000-0005-0000-0000-000044830000}"/>
    <cellStyle name="Normal 30 10 6 2" xfId="32773" xr:uid="{00000000-0005-0000-0000-000045830000}"/>
    <cellStyle name="Normal 30 10 6 3" xfId="32774" xr:uid="{00000000-0005-0000-0000-000046830000}"/>
    <cellStyle name="Normal 30 10 6 4" xfId="32775" xr:uid="{00000000-0005-0000-0000-000047830000}"/>
    <cellStyle name="Normal 30 10 6 5" xfId="32776" xr:uid="{00000000-0005-0000-0000-000048830000}"/>
    <cellStyle name="Normal 30 10 6 6" xfId="32777" xr:uid="{00000000-0005-0000-0000-000049830000}"/>
    <cellStyle name="Normal 30 10 7" xfId="32778" xr:uid="{00000000-0005-0000-0000-00004A830000}"/>
    <cellStyle name="Normal 30 10 7 2" xfId="32779" xr:uid="{00000000-0005-0000-0000-00004B830000}"/>
    <cellStyle name="Normal 30 10 7 3" xfId="32780" xr:uid="{00000000-0005-0000-0000-00004C830000}"/>
    <cellStyle name="Normal 30 10 7 4" xfId="32781" xr:uid="{00000000-0005-0000-0000-00004D830000}"/>
    <cellStyle name="Normal 30 10 7 5" xfId="32782" xr:uid="{00000000-0005-0000-0000-00004E830000}"/>
    <cellStyle name="Normal 30 10 7 6" xfId="32783" xr:uid="{00000000-0005-0000-0000-00004F830000}"/>
    <cellStyle name="Normal 30 10 8" xfId="32784" xr:uid="{00000000-0005-0000-0000-000050830000}"/>
    <cellStyle name="Normal 30 10 8 2" xfId="32785" xr:uid="{00000000-0005-0000-0000-000051830000}"/>
    <cellStyle name="Normal 30 10 8 3" xfId="32786" xr:uid="{00000000-0005-0000-0000-000052830000}"/>
    <cellStyle name="Normal 30 10 8 4" xfId="32787" xr:uid="{00000000-0005-0000-0000-000053830000}"/>
    <cellStyle name="Normal 30 10 8 5" xfId="32788" xr:uid="{00000000-0005-0000-0000-000054830000}"/>
    <cellStyle name="Normal 30 10 8 6" xfId="32789" xr:uid="{00000000-0005-0000-0000-000055830000}"/>
    <cellStyle name="Normal 30 10 9" xfId="32790" xr:uid="{00000000-0005-0000-0000-000056830000}"/>
    <cellStyle name="Normal 30 11" xfId="32791" xr:uid="{00000000-0005-0000-0000-000057830000}"/>
    <cellStyle name="Normal 30 11 10" xfId="32792" xr:uid="{00000000-0005-0000-0000-000058830000}"/>
    <cellStyle name="Normal 30 11 11" xfId="32793" xr:uid="{00000000-0005-0000-0000-000059830000}"/>
    <cellStyle name="Normal 30 11 12" xfId="32794" xr:uid="{00000000-0005-0000-0000-00005A830000}"/>
    <cellStyle name="Normal 30 11 13" xfId="32795" xr:uid="{00000000-0005-0000-0000-00005B830000}"/>
    <cellStyle name="Normal 30 11 2" xfId="32796" xr:uid="{00000000-0005-0000-0000-00005C830000}"/>
    <cellStyle name="Normal 30 11 2 2" xfId="32797" xr:uid="{00000000-0005-0000-0000-00005D830000}"/>
    <cellStyle name="Normal 30 11 2 3" xfId="32798" xr:uid="{00000000-0005-0000-0000-00005E830000}"/>
    <cellStyle name="Normal 30 11 2 4" xfId="32799" xr:uid="{00000000-0005-0000-0000-00005F830000}"/>
    <cellStyle name="Normal 30 11 2 5" xfId="32800" xr:uid="{00000000-0005-0000-0000-000060830000}"/>
    <cellStyle name="Normal 30 11 2 6" xfId="32801" xr:uid="{00000000-0005-0000-0000-000061830000}"/>
    <cellStyle name="Normal 30 11 3" xfId="32802" xr:uid="{00000000-0005-0000-0000-000062830000}"/>
    <cellStyle name="Normal 30 11 3 2" xfId="32803" xr:uid="{00000000-0005-0000-0000-000063830000}"/>
    <cellStyle name="Normal 30 11 3 3" xfId="32804" xr:uid="{00000000-0005-0000-0000-000064830000}"/>
    <cellStyle name="Normal 30 11 3 4" xfId="32805" xr:uid="{00000000-0005-0000-0000-000065830000}"/>
    <cellStyle name="Normal 30 11 3 5" xfId="32806" xr:uid="{00000000-0005-0000-0000-000066830000}"/>
    <cellStyle name="Normal 30 11 3 6" xfId="32807" xr:uid="{00000000-0005-0000-0000-000067830000}"/>
    <cellStyle name="Normal 30 11 4" xfId="32808" xr:uid="{00000000-0005-0000-0000-000068830000}"/>
    <cellStyle name="Normal 30 11 4 2" xfId="32809" xr:uid="{00000000-0005-0000-0000-000069830000}"/>
    <cellStyle name="Normal 30 11 4 3" xfId="32810" xr:uid="{00000000-0005-0000-0000-00006A830000}"/>
    <cellStyle name="Normal 30 11 4 4" xfId="32811" xr:uid="{00000000-0005-0000-0000-00006B830000}"/>
    <cellStyle name="Normal 30 11 4 5" xfId="32812" xr:uid="{00000000-0005-0000-0000-00006C830000}"/>
    <cellStyle name="Normal 30 11 4 6" xfId="32813" xr:uid="{00000000-0005-0000-0000-00006D830000}"/>
    <cellStyle name="Normal 30 11 5" xfId="32814" xr:uid="{00000000-0005-0000-0000-00006E830000}"/>
    <cellStyle name="Normal 30 11 5 2" xfId="32815" xr:uid="{00000000-0005-0000-0000-00006F830000}"/>
    <cellStyle name="Normal 30 11 5 3" xfId="32816" xr:uid="{00000000-0005-0000-0000-000070830000}"/>
    <cellStyle name="Normal 30 11 5 4" xfId="32817" xr:uid="{00000000-0005-0000-0000-000071830000}"/>
    <cellStyle name="Normal 30 11 5 5" xfId="32818" xr:uid="{00000000-0005-0000-0000-000072830000}"/>
    <cellStyle name="Normal 30 11 5 6" xfId="32819" xr:uid="{00000000-0005-0000-0000-000073830000}"/>
    <cellStyle name="Normal 30 11 6" xfId="32820" xr:uid="{00000000-0005-0000-0000-000074830000}"/>
    <cellStyle name="Normal 30 11 6 2" xfId="32821" xr:uid="{00000000-0005-0000-0000-000075830000}"/>
    <cellStyle name="Normal 30 11 6 3" xfId="32822" xr:uid="{00000000-0005-0000-0000-000076830000}"/>
    <cellStyle name="Normal 30 11 6 4" xfId="32823" xr:uid="{00000000-0005-0000-0000-000077830000}"/>
    <cellStyle name="Normal 30 11 6 5" xfId="32824" xr:uid="{00000000-0005-0000-0000-000078830000}"/>
    <cellStyle name="Normal 30 11 6 6" xfId="32825" xr:uid="{00000000-0005-0000-0000-000079830000}"/>
    <cellStyle name="Normal 30 11 7" xfId="32826" xr:uid="{00000000-0005-0000-0000-00007A830000}"/>
    <cellStyle name="Normal 30 11 7 2" xfId="32827" xr:uid="{00000000-0005-0000-0000-00007B830000}"/>
    <cellStyle name="Normal 30 11 7 3" xfId="32828" xr:uid="{00000000-0005-0000-0000-00007C830000}"/>
    <cellStyle name="Normal 30 11 7 4" xfId="32829" xr:uid="{00000000-0005-0000-0000-00007D830000}"/>
    <cellStyle name="Normal 30 11 7 5" xfId="32830" xr:uid="{00000000-0005-0000-0000-00007E830000}"/>
    <cellStyle name="Normal 30 11 7 6" xfId="32831" xr:uid="{00000000-0005-0000-0000-00007F830000}"/>
    <cellStyle name="Normal 30 11 8" xfId="32832" xr:uid="{00000000-0005-0000-0000-000080830000}"/>
    <cellStyle name="Normal 30 11 8 2" xfId="32833" xr:uid="{00000000-0005-0000-0000-000081830000}"/>
    <cellStyle name="Normal 30 11 8 3" xfId="32834" xr:uid="{00000000-0005-0000-0000-000082830000}"/>
    <cellStyle name="Normal 30 11 8 4" xfId="32835" xr:uid="{00000000-0005-0000-0000-000083830000}"/>
    <cellStyle name="Normal 30 11 8 5" xfId="32836" xr:uid="{00000000-0005-0000-0000-000084830000}"/>
    <cellStyle name="Normal 30 11 8 6" xfId="32837" xr:uid="{00000000-0005-0000-0000-000085830000}"/>
    <cellStyle name="Normal 30 11 9" xfId="32838" xr:uid="{00000000-0005-0000-0000-000086830000}"/>
    <cellStyle name="Normal 30 12" xfId="32839" xr:uid="{00000000-0005-0000-0000-000087830000}"/>
    <cellStyle name="Normal 30 12 2" xfId="32840" xr:uid="{00000000-0005-0000-0000-000088830000}"/>
    <cellStyle name="Normal 30 12 3" xfId="32841" xr:uid="{00000000-0005-0000-0000-000089830000}"/>
    <cellStyle name="Normal 30 12 4" xfId="32842" xr:uid="{00000000-0005-0000-0000-00008A830000}"/>
    <cellStyle name="Normal 30 12 5" xfId="32843" xr:uid="{00000000-0005-0000-0000-00008B830000}"/>
    <cellStyle name="Normal 30 12 6" xfId="32844" xr:uid="{00000000-0005-0000-0000-00008C830000}"/>
    <cellStyle name="Normal 30 13" xfId="32845" xr:uid="{00000000-0005-0000-0000-00008D830000}"/>
    <cellStyle name="Normal 30 13 2" xfId="32846" xr:uid="{00000000-0005-0000-0000-00008E830000}"/>
    <cellStyle name="Normal 30 13 3" xfId="32847" xr:uid="{00000000-0005-0000-0000-00008F830000}"/>
    <cellStyle name="Normal 30 13 4" xfId="32848" xr:uid="{00000000-0005-0000-0000-000090830000}"/>
    <cellStyle name="Normal 30 13 5" xfId="32849" xr:uid="{00000000-0005-0000-0000-000091830000}"/>
    <cellStyle name="Normal 30 13 6" xfId="32850" xr:uid="{00000000-0005-0000-0000-000092830000}"/>
    <cellStyle name="Normal 30 14" xfId="32851" xr:uid="{00000000-0005-0000-0000-000093830000}"/>
    <cellStyle name="Normal 30 14 2" xfId="32852" xr:uid="{00000000-0005-0000-0000-000094830000}"/>
    <cellStyle name="Normal 30 14 3" xfId="32853" xr:uid="{00000000-0005-0000-0000-000095830000}"/>
    <cellStyle name="Normal 30 14 4" xfId="32854" xr:uid="{00000000-0005-0000-0000-000096830000}"/>
    <cellStyle name="Normal 30 14 5" xfId="32855" xr:uid="{00000000-0005-0000-0000-000097830000}"/>
    <cellStyle name="Normal 30 14 6" xfId="32856" xr:uid="{00000000-0005-0000-0000-000098830000}"/>
    <cellStyle name="Normal 30 15" xfId="32857" xr:uid="{00000000-0005-0000-0000-000099830000}"/>
    <cellStyle name="Normal 30 15 2" xfId="32858" xr:uid="{00000000-0005-0000-0000-00009A830000}"/>
    <cellStyle name="Normal 30 15 3" xfId="32859" xr:uid="{00000000-0005-0000-0000-00009B830000}"/>
    <cellStyle name="Normal 30 15 4" xfId="32860" xr:uid="{00000000-0005-0000-0000-00009C830000}"/>
    <cellStyle name="Normal 30 15 5" xfId="32861" xr:uid="{00000000-0005-0000-0000-00009D830000}"/>
    <cellStyle name="Normal 30 15 6" xfId="32862" xr:uid="{00000000-0005-0000-0000-00009E830000}"/>
    <cellStyle name="Normal 30 16" xfId="32863" xr:uid="{00000000-0005-0000-0000-00009F830000}"/>
    <cellStyle name="Normal 30 16 2" xfId="32864" xr:uid="{00000000-0005-0000-0000-0000A0830000}"/>
    <cellStyle name="Normal 30 16 3" xfId="32865" xr:uid="{00000000-0005-0000-0000-0000A1830000}"/>
    <cellStyle name="Normal 30 16 4" xfId="32866" xr:uid="{00000000-0005-0000-0000-0000A2830000}"/>
    <cellStyle name="Normal 30 16 5" xfId="32867" xr:uid="{00000000-0005-0000-0000-0000A3830000}"/>
    <cellStyle name="Normal 30 16 6" xfId="32868" xr:uid="{00000000-0005-0000-0000-0000A4830000}"/>
    <cellStyle name="Normal 30 17" xfId="32869" xr:uid="{00000000-0005-0000-0000-0000A5830000}"/>
    <cellStyle name="Normal 30 17 2" xfId="32870" xr:uid="{00000000-0005-0000-0000-0000A6830000}"/>
    <cellStyle name="Normal 30 17 3" xfId="32871" xr:uid="{00000000-0005-0000-0000-0000A7830000}"/>
    <cellStyle name="Normal 30 17 4" xfId="32872" xr:uid="{00000000-0005-0000-0000-0000A8830000}"/>
    <cellStyle name="Normal 30 17 5" xfId="32873" xr:uid="{00000000-0005-0000-0000-0000A9830000}"/>
    <cellStyle name="Normal 30 17 6" xfId="32874" xr:uid="{00000000-0005-0000-0000-0000AA830000}"/>
    <cellStyle name="Normal 30 18" xfId="32875" xr:uid="{00000000-0005-0000-0000-0000AB830000}"/>
    <cellStyle name="Normal 30 18 2" xfId="32876" xr:uid="{00000000-0005-0000-0000-0000AC830000}"/>
    <cellStyle name="Normal 30 18 3" xfId="32877" xr:uid="{00000000-0005-0000-0000-0000AD830000}"/>
    <cellStyle name="Normal 30 18 4" xfId="32878" xr:uid="{00000000-0005-0000-0000-0000AE830000}"/>
    <cellStyle name="Normal 30 18 5" xfId="32879" xr:uid="{00000000-0005-0000-0000-0000AF830000}"/>
    <cellStyle name="Normal 30 18 6" xfId="32880" xr:uid="{00000000-0005-0000-0000-0000B0830000}"/>
    <cellStyle name="Normal 30 19" xfId="32881" xr:uid="{00000000-0005-0000-0000-0000B1830000}"/>
    <cellStyle name="Normal 30 2" xfId="32882" xr:uid="{00000000-0005-0000-0000-0000B2830000}"/>
    <cellStyle name="Normal 30 2 10" xfId="32883" xr:uid="{00000000-0005-0000-0000-0000B3830000}"/>
    <cellStyle name="Normal 30 2 11" xfId="32884" xr:uid="{00000000-0005-0000-0000-0000B4830000}"/>
    <cellStyle name="Normal 30 2 12" xfId="32885" xr:uid="{00000000-0005-0000-0000-0000B5830000}"/>
    <cellStyle name="Normal 30 2 13" xfId="32886" xr:uid="{00000000-0005-0000-0000-0000B6830000}"/>
    <cellStyle name="Normal 30 2 2" xfId="32887" xr:uid="{00000000-0005-0000-0000-0000B7830000}"/>
    <cellStyle name="Normal 30 2 2 2" xfId="32888" xr:uid="{00000000-0005-0000-0000-0000B8830000}"/>
    <cellStyle name="Normal 30 2 2 3" xfId="32889" xr:uid="{00000000-0005-0000-0000-0000B9830000}"/>
    <cellStyle name="Normal 30 2 2 4" xfId="32890" xr:uid="{00000000-0005-0000-0000-0000BA830000}"/>
    <cellStyle name="Normal 30 2 2 5" xfId="32891" xr:uid="{00000000-0005-0000-0000-0000BB830000}"/>
    <cellStyle name="Normal 30 2 2 6" xfId="32892" xr:uid="{00000000-0005-0000-0000-0000BC830000}"/>
    <cellStyle name="Normal 30 2 3" xfId="32893" xr:uid="{00000000-0005-0000-0000-0000BD830000}"/>
    <cellStyle name="Normal 30 2 3 2" xfId="32894" xr:uid="{00000000-0005-0000-0000-0000BE830000}"/>
    <cellStyle name="Normal 30 2 3 3" xfId="32895" xr:uid="{00000000-0005-0000-0000-0000BF830000}"/>
    <cellStyle name="Normal 30 2 3 4" xfId="32896" xr:uid="{00000000-0005-0000-0000-0000C0830000}"/>
    <cellStyle name="Normal 30 2 3 5" xfId="32897" xr:uid="{00000000-0005-0000-0000-0000C1830000}"/>
    <cellStyle name="Normal 30 2 3 6" xfId="32898" xr:uid="{00000000-0005-0000-0000-0000C2830000}"/>
    <cellStyle name="Normal 30 2 4" xfId="32899" xr:uid="{00000000-0005-0000-0000-0000C3830000}"/>
    <cellStyle name="Normal 30 2 4 2" xfId="32900" xr:uid="{00000000-0005-0000-0000-0000C4830000}"/>
    <cellStyle name="Normal 30 2 4 3" xfId="32901" xr:uid="{00000000-0005-0000-0000-0000C5830000}"/>
    <cellStyle name="Normal 30 2 4 4" xfId="32902" xr:uid="{00000000-0005-0000-0000-0000C6830000}"/>
    <cellStyle name="Normal 30 2 4 5" xfId="32903" xr:uid="{00000000-0005-0000-0000-0000C7830000}"/>
    <cellStyle name="Normal 30 2 4 6" xfId="32904" xr:uid="{00000000-0005-0000-0000-0000C8830000}"/>
    <cellStyle name="Normal 30 2 5" xfId="32905" xr:uid="{00000000-0005-0000-0000-0000C9830000}"/>
    <cellStyle name="Normal 30 2 5 2" xfId="32906" xr:uid="{00000000-0005-0000-0000-0000CA830000}"/>
    <cellStyle name="Normal 30 2 5 3" xfId="32907" xr:uid="{00000000-0005-0000-0000-0000CB830000}"/>
    <cellStyle name="Normal 30 2 5 4" xfId="32908" xr:uid="{00000000-0005-0000-0000-0000CC830000}"/>
    <cellStyle name="Normal 30 2 5 5" xfId="32909" xr:uid="{00000000-0005-0000-0000-0000CD830000}"/>
    <cellStyle name="Normal 30 2 5 6" xfId="32910" xr:uid="{00000000-0005-0000-0000-0000CE830000}"/>
    <cellStyle name="Normal 30 2 6" xfId="32911" xr:uid="{00000000-0005-0000-0000-0000CF830000}"/>
    <cellStyle name="Normal 30 2 6 2" xfId="32912" xr:uid="{00000000-0005-0000-0000-0000D0830000}"/>
    <cellStyle name="Normal 30 2 6 3" xfId="32913" xr:uid="{00000000-0005-0000-0000-0000D1830000}"/>
    <cellStyle name="Normal 30 2 6 4" xfId="32914" xr:uid="{00000000-0005-0000-0000-0000D2830000}"/>
    <cellStyle name="Normal 30 2 6 5" xfId="32915" xr:uid="{00000000-0005-0000-0000-0000D3830000}"/>
    <cellStyle name="Normal 30 2 6 6" xfId="32916" xr:uid="{00000000-0005-0000-0000-0000D4830000}"/>
    <cellStyle name="Normal 30 2 7" xfId="32917" xr:uid="{00000000-0005-0000-0000-0000D5830000}"/>
    <cellStyle name="Normal 30 2 7 2" xfId="32918" xr:uid="{00000000-0005-0000-0000-0000D6830000}"/>
    <cellStyle name="Normal 30 2 7 3" xfId="32919" xr:uid="{00000000-0005-0000-0000-0000D7830000}"/>
    <cellStyle name="Normal 30 2 7 4" xfId="32920" xr:uid="{00000000-0005-0000-0000-0000D8830000}"/>
    <cellStyle name="Normal 30 2 7 5" xfId="32921" xr:uid="{00000000-0005-0000-0000-0000D9830000}"/>
    <cellStyle name="Normal 30 2 7 6" xfId="32922" xr:uid="{00000000-0005-0000-0000-0000DA830000}"/>
    <cellStyle name="Normal 30 2 8" xfId="32923" xr:uid="{00000000-0005-0000-0000-0000DB830000}"/>
    <cellStyle name="Normal 30 2 8 2" xfId="32924" xr:uid="{00000000-0005-0000-0000-0000DC830000}"/>
    <cellStyle name="Normal 30 2 8 3" xfId="32925" xr:uid="{00000000-0005-0000-0000-0000DD830000}"/>
    <cellStyle name="Normal 30 2 8 4" xfId="32926" xr:uid="{00000000-0005-0000-0000-0000DE830000}"/>
    <cellStyle name="Normal 30 2 8 5" xfId="32927" xr:uid="{00000000-0005-0000-0000-0000DF830000}"/>
    <cellStyle name="Normal 30 2 8 6" xfId="32928" xr:uid="{00000000-0005-0000-0000-0000E0830000}"/>
    <cellStyle name="Normal 30 2 9" xfId="32929" xr:uid="{00000000-0005-0000-0000-0000E1830000}"/>
    <cellStyle name="Normal 30 20" xfId="32930" xr:uid="{00000000-0005-0000-0000-0000E2830000}"/>
    <cellStyle name="Normal 30 21" xfId="32931" xr:uid="{00000000-0005-0000-0000-0000E3830000}"/>
    <cellStyle name="Normal 30 22" xfId="32932" xr:uid="{00000000-0005-0000-0000-0000E4830000}"/>
    <cellStyle name="Normal 30 23" xfId="32933" xr:uid="{00000000-0005-0000-0000-0000E5830000}"/>
    <cellStyle name="Normal 30 24" xfId="43578" xr:uid="{00000000-0005-0000-0000-0000E6830000}"/>
    <cellStyle name="Normal 30 3" xfId="32934" xr:uid="{00000000-0005-0000-0000-0000E7830000}"/>
    <cellStyle name="Normal 30 3 10" xfId="32935" xr:uid="{00000000-0005-0000-0000-0000E8830000}"/>
    <cellStyle name="Normal 30 3 11" xfId="32936" xr:uid="{00000000-0005-0000-0000-0000E9830000}"/>
    <cellStyle name="Normal 30 3 12" xfId="32937" xr:uid="{00000000-0005-0000-0000-0000EA830000}"/>
    <cellStyle name="Normal 30 3 13" xfId="32938" xr:uid="{00000000-0005-0000-0000-0000EB830000}"/>
    <cellStyle name="Normal 30 3 2" xfId="32939" xr:uid="{00000000-0005-0000-0000-0000EC830000}"/>
    <cellStyle name="Normal 30 3 2 2" xfId="32940" xr:uid="{00000000-0005-0000-0000-0000ED830000}"/>
    <cellStyle name="Normal 30 3 2 3" xfId="32941" xr:uid="{00000000-0005-0000-0000-0000EE830000}"/>
    <cellStyle name="Normal 30 3 2 4" xfId="32942" xr:uid="{00000000-0005-0000-0000-0000EF830000}"/>
    <cellStyle name="Normal 30 3 2 5" xfId="32943" xr:uid="{00000000-0005-0000-0000-0000F0830000}"/>
    <cellStyle name="Normal 30 3 2 6" xfId="32944" xr:uid="{00000000-0005-0000-0000-0000F1830000}"/>
    <cellStyle name="Normal 30 3 3" xfId="32945" xr:uid="{00000000-0005-0000-0000-0000F2830000}"/>
    <cellStyle name="Normal 30 3 3 2" xfId="32946" xr:uid="{00000000-0005-0000-0000-0000F3830000}"/>
    <cellStyle name="Normal 30 3 3 3" xfId="32947" xr:uid="{00000000-0005-0000-0000-0000F4830000}"/>
    <cellStyle name="Normal 30 3 3 4" xfId="32948" xr:uid="{00000000-0005-0000-0000-0000F5830000}"/>
    <cellStyle name="Normal 30 3 3 5" xfId="32949" xr:uid="{00000000-0005-0000-0000-0000F6830000}"/>
    <cellStyle name="Normal 30 3 3 6" xfId="32950" xr:uid="{00000000-0005-0000-0000-0000F7830000}"/>
    <cellStyle name="Normal 30 3 4" xfId="32951" xr:uid="{00000000-0005-0000-0000-0000F8830000}"/>
    <cellStyle name="Normal 30 3 4 2" xfId="32952" xr:uid="{00000000-0005-0000-0000-0000F9830000}"/>
    <cellStyle name="Normal 30 3 4 3" xfId="32953" xr:uid="{00000000-0005-0000-0000-0000FA830000}"/>
    <cellStyle name="Normal 30 3 4 4" xfId="32954" xr:uid="{00000000-0005-0000-0000-0000FB830000}"/>
    <cellStyle name="Normal 30 3 4 5" xfId="32955" xr:uid="{00000000-0005-0000-0000-0000FC830000}"/>
    <cellStyle name="Normal 30 3 4 6" xfId="32956" xr:uid="{00000000-0005-0000-0000-0000FD830000}"/>
    <cellStyle name="Normal 30 3 5" xfId="32957" xr:uid="{00000000-0005-0000-0000-0000FE830000}"/>
    <cellStyle name="Normal 30 3 5 2" xfId="32958" xr:uid="{00000000-0005-0000-0000-0000FF830000}"/>
    <cellStyle name="Normal 30 3 5 3" xfId="32959" xr:uid="{00000000-0005-0000-0000-000000840000}"/>
    <cellStyle name="Normal 30 3 5 4" xfId="32960" xr:uid="{00000000-0005-0000-0000-000001840000}"/>
    <cellStyle name="Normal 30 3 5 5" xfId="32961" xr:uid="{00000000-0005-0000-0000-000002840000}"/>
    <cellStyle name="Normal 30 3 5 6" xfId="32962" xr:uid="{00000000-0005-0000-0000-000003840000}"/>
    <cellStyle name="Normal 30 3 6" xfId="32963" xr:uid="{00000000-0005-0000-0000-000004840000}"/>
    <cellStyle name="Normal 30 3 6 2" xfId="32964" xr:uid="{00000000-0005-0000-0000-000005840000}"/>
    <cellStyle name="Normal 30 3 6 3" xfId="32965" xr:uid="{00000000-0005-0000-0000-000006840000}"/>
    <cellStyle name="Normal 30 3 6 4" xfId="32966" xr:uid="{00000000-0005-0000-0000-000007840000}"/>
    <cellStyle name="Normal 30 3 6 5" xfId="32967" xr:uid="{00000000-0005-0000-0000-000008840000}"/>
    <cellStyle name="Normal 30 3 6 6" xfId="32968" xr:uid="{00000000-0005-0000-0000-000009840000}"/>
    <cellStyle name="Normal 30 3 7" xfId="32969" xr:uid="{00000000-0005-0000-0000-00000A840000}"/>
    <cellStyle name="Normal 30 3 7 2" xfId="32970" xr:uid="{00000000-0005-0000-0000-00000B840000}"/>
    <cellStyle name="Normal 30 3 7 3" xfId="32971" xr:uid="{00000000-0005-0000-0000-00000C840000}"/>
    <cellStyle name="Normal 30 3 7 4" xfId="32972" xr:uid="{00000000-0005-0000-0000-00000D840000}"/>
    <cellStyle name="Normal 30 3 7 5" xfId="32973" xr:uid="{00000000-0005-0000-0000-00000E840000}"/>
    <cellStyle name="Normal 30 3 7 6" xfId="32974" xr:uid="{00000000-0005-0000-0000-00000F840000}"/>
    <cellStyle name="Normal 30 3 8" xfId="32975" xr:uid="{00000000-0005-0000-0000-000010840000}"/>
    <cellStyle name="Normal 30 3 8 2" xfId="32976" xr:uid="{00000000-0005-0000-0000-000011840000}"/>
    <cellStyle name="Normal 30 3 8 3" xfId="32977" xr:uid="{00000000-0005-0000-0000-000012840000}"/>
    <cellStyle name="Normal 30 3 8 4" xfId="32978" xr:uid="{00000000-0005-0000-0000-000013840000}"/>
    <cellStyle name="Normal 30 3 8 5" xfId="32979" xr:uid="{00000000-0005-0000-0000-000014840000}"/>
    <cellStyle name="Normal 30 3 8 6" xfId="32980" xr:uid="{00000000-0005-0000-0000-000015840000}"/>
    <cellStyle name="Normal 30 3 9" xfId="32981" xr:uid="{00000000-0005-0000-0000-000016840000}"/>
    <cellStyle name="Normal 30 4" xfId="32982" xr:uid="{00000000-0005-0000-0000-000017840000}"/>
    <cellStyle name="Normal 30 4 10" xfId="32983" xr:uid="{00000000-0005-0000-0000-000018840000}"/>
    <cellStyle name="Normal 30 4 11" xfId="32984" xr:uid="{00000000-0005-0000-0000-000019840000}"/>
    <cellStyle name="Normal 30 4 12" xfId="32985" xr:uid="{00000000-0005-0000-0000-00001A840000}"/>
    <cellStyle name="Normal 30 4 13" xfId="32986" xr:uid="{00000000-0005-0000-0000-00001B840000}"/>
    <cellStyle name="Normal 30 4 2" xfId="32987" xr:uid="{00000000-0005-0000-0000-00001C840000}"/>
    <cellStyle name="Normal 30 4 2 2" xfId="32988" xr:uid="{00000000-0005-0000-0000-00001D840000}"/>
    <cellStyle name="Normal 30 4 2 3" xfId="32989" xr:uid="{00000000-0005-0000-0000-00001E840000}"/>
    <cellStyle name="Normal 30 4 2 4" xfId="32990" xr:uid="{00000000-0005-0000-0000-00001F840000}"/>
    <cellStyle name="Normal 30 4 2 5" xfId="32991" xr:uid="{00000000-0005-0000-0000-000020840000}"/>
    <cellStyle name="Normal 30 4 2 6" xfId="32992" xr:uid="{00000000-0005-0000-0000-000021840000}"/>
    <cellStyle name="Normal 30 4 3" xfId="32993" xr:uid="{00000000-0005-0000-0000-000022840000}"/>
    <cellStyle name="Normal 30 4 3 2" xfId="32994" xr:uid="{00000000-0005-0000-0000-000023840000}"/>
    <cellStyle name="Normal 30 4 3 3" xfId="32995" xr:uid="{00000000-0005-0000-0000-000024840000}"/>
    <cellStyle name="Normal 30 4 3 4" xfId="32996" xr:uid="{00000000-0005-0000-0000-000025840000}"/>
    <cellStyle name="Normal 30 4 3 5" xfId="32997" xr:uid="{00000000-0005-0000-0000-000026840000}"/>
    <cellStyle name="Normal 30 4 3 6" xfId="32998" xr:uid="{00000000-0005-0000-0000-000027840000}"/>
    <cellStyle name="Normal 30 4 4" xfId="32999" xr:uid="{00000000-0005-0000-0000-000028840000}"/>
    <cellStyle name="Normal 30 4 4 2" xfId="33000" xr:uid="{00000000-0005-0000-0000-000029840000}"/>
    <cellStyle name="Normal 30 4 4 3" xfId="33001" xr:uid="{00000000-0005-0000-0000-00002A840000}"/>
    <cellStyle name="Normal 30 4 4 4" xfId="33002" xr:uid="{00000000-0005-0000-0000-00002B840000}"/>
    <cellStyle name="Normal 30 4 4 5" xfId="33003" xr:uid="{00000000-0005-0000-0000-00002C840000}"/>
    <cellStyle name="Normal 30 4 4 6" xfId="33004" xr:uid="{00000000-0005-0000-0000-00002D840000}"/>
    <cellStyle name="Normal 30 4 5" xfId="33005" xr:uid="{00000000-0005-0000-0000-00002E840000}"/>
    <cellStyle name="Normal 30 4 5 2" xfId="33006" xr:uid="{00000000-0005-0000-0000-00002F840000}"/>
    <cellStyle name="Normal 30 4 5 3" xfId="33007" xr:uid="{00000000-0005-0000-0000-000030840000}"/>
    <cellStyle name="Normal 30 4 5 4" xfId="33008" xr:uid="{00000000-0005-0000-0000-000031840000}"/>
    <cellStyle name="Normal 30 4 5 5" xfId="33009" xr:uid="{00000000-0005-0000-0000-000032840000}"/>
    <cellStyle name="Normal 30 4 5 6" xfId="33010" xr:uid="{00000000-0005-0000-0000-000033840000}"/>
    <cellStyle name="Normal 30 4 6" xfId="33011" xr:uid="{00000000-0005-0000-0000-000034840000}"/>
    <cellStyle name="Normal 30 4 6 2" xfId="33012" xr:uid="{00000000-0005-0000-0000-000035840000}"/>
    <cellStyle name="Normal 30 4 6 3" xfId="33013" xr:uid="{00000000-0005-0000-0000-000036840000}"/>
    <cellStyle name="Normal 30 4 6 4" xfId="33014" xr:uid="{00000000-0005-0000-0000-000037840000}"/>
    <cellStyle name="Normal 30 4 6 5" xfId="33015" xr:uid="{00000000-0005-0000-0000-000038840000}"/>
    <cellStyle name="Normal 30 4 6 6" xfId="33016" xr:uid="{00000000-0005-0000-0000-000039840000}"/>
    <cellStyle name="Normal 30 4 7" xfId="33017" xr:uid="{00000000-0005-0000-0000-00003A840000}"/>
    <cellStyle name="Normal 30 4 7 2" xfId="33018" xr:uid="{00000000-0005-0000-0000-00003B840000}"/>
    <cellStyle name="Normal 30 4 7 3" xfId="33019" xr:uid="{00000000-0005-0000-0000-00003C840000}"/>
    <cellStyle name="Normal 30 4 7 4" xfId="33020" xr:uid="{00000000-0005-0000-0000-00003D840000}"/>
    <cellStyle name="Normal 30 4 7 5" xfId="33021" xr:uid="{00000000-0005-0000-0000-00003E840000}"/>
    <cellStyle name="Normal 30 4 7 6" xfId="33022" xr:uid="{00000000-0005-0000-0000-00003F840000}"/>
    <cellStyle name="Normal 30 4 8" xfId="33023" xr:uid="{00000000-0005-0000-0000-000040840000}"/>
    <cellStyle name="Normal 30 4 8 2" xfId="33024" xr:uid="{00000000-0005-0000-0000-000041840000}"/>
    <cellStyle name="Normal 30 4 8 3" xfId="33025" xr:uid="{00000000-0005-0000-0000-000042840000}"/>
    <cellStyle name="Normal 30 4 8 4" xfId="33026" xr:uid="{00000000-0005-0000-0000-000043840000}"/>
    <cellStyle name="Normal 30 4 8 5" xfId="33027" xr:uid="{00000000-0005-0000-0000-000044840000}"/>
    <cellStyle name="Normal 30 4 8 6" xfId="33028" xr:uid="{00000000-0005-0000-0000-000045840000}"/>
    <cellStyle name="Normal 30 4 9" xfId="33029" xr:uid="{00000000-0005-0000-0000-000046840000}"/>
    <cellStyle name="Normal 30 5" xfId="33030" xr:uid="{00000000-0005-0000-0000-000047840000}"/>
    <cellStyle name="Normal 30 5 10" xfId="33031" xr:uid="{00000000-0005-0000-0000-000048840000}"/>
    <cellStyle name="Normal 30 5 11" xfId="33032" xr:uid="{00000000-0005-0000-0000-000049840000}"/>
    <cellStyle name="Normal 30 5 12" xfId="33033" xr:uid="{00000000-0005-0000-0000-00004A840000}"/>
    <cellStyle name="Normal 30 5 13" xfId="33034" xr:uid="{00000000-0005-0000-0000-00004B840000}"/>
    <cellStyle name="Normal 30 5 2" xfId="33035" xr:uid="{00000000-0005-0000-0000-00004C840000}"/>
    <cellStyle name="Normal 30 5 2 2" xfId="33036" xr:uid="{00000000-0005-0000-0000-00004D840000}"/>
    <cellStyle name="Normal 30 5 2 3" xfId="33037" xr:uid="{00000000-0005-0000-0000-00004E840000}"/>
    <cellStyle name="Normal 30 5 2 4" xfId="33038" xr:uid="{00000000-0005-0000-0000-00004F840000}"/>
    <cellStyle name="Normal 30 5 2 5" xfId="33039" xr:uid="{00000000-0005-0000-0000-000050840000}"/>
    <cellStyle name="Normal 30 5 2 6" xfId="33040" xr:uid="{00000000-0005-0000-0000-000051840000}"/>
    <cellStyle name="Normal 30 5 3" xfId="33041" xr:uid="{00000000-0005-0000-0000-000052840000}"/>
    <cellStyle name="Normal 30 5 3 2" xfId="33042" xr:uid="{00000000-0005-0000-0000-000053840000}"/>
    <cellStyle name="Normal 30 5 3 3" xfId="33043" xr:uid="{00000000-0005-0000-0000-000054840000}"/>
    <cellStyle name="Normal 30 5 3 4" xfId="33044" xr:uid="{00000000-0005-0000-0000-000055840000}"/>
    <cellStyle name="Normal 30 5 3 5" xfId="33045" xr:uid="{00000000-0005-0000-0000-000056840000}"/>
    <cellStyle name="Normal 30 5 3 6" xfId="33046" xr:uid="{00000000-0005-0000-0000-000057840000}"/>
    <cellStyle name="Normal 30 5 4" xfId="33047" xr:uid="{00000000-0005-0000-0000-000058840000}"/>
    <cellStyle name="Normal 30 5 4 2" xfId="33048" xr:uid="{00000000-0005-0000-0000-000059840000}"/>
    <cellStyle name="Normal 30 5 4 3" xfId="33049" xr:uid="{00000000-0005-0000-0000-00005A840000}"/>
    <cellStyle name="Normal 30 5 4 4" xfId="33050" xr:uid="{00000000-0005-0000-0000-00005B840000}"/>
    <cellStyle name="Normal 30 5 4 5" xfId="33051" xr:uid="{00000000-0005-0000-0000-00005C840000}"/>
    <cellStyle name="Normal 30 5 4 6" xfId="33052" xr:uid="{00000000-0005-0000-0000-00005D840000}"/>
    <cellStyle name="Normal 30 5 5" xfId="33053" xr:uid="{00000000-0005-0000-0000-00005E840000}"/>
    <cellStyle name="Normal 30 5 5 2" xfId="33054" xr:uid="{00000000-0005-0000-0000-00005F840000}"/>
    <cellStyle name="Normal 30 5 5 3" xfId="33055" xr:uid="{00000000-0005-0000-0000-000060840000}"/>
    <cellStyle name="Normal 30 5 5 4" xfId="33056" xr:uid="{00000000-0005-0000-0000-000061840000}"/>
    <cellStyle name="Normal 30 5 5 5" xfId="33057" xr:uid="{00000000-0005-0000-0000-000062840000}"/>
    <cellStyle name="Normal 30 5 5 6" xfId="33058" xr:uid="{00000000-0005-0000-0000-000063840000}"/>
    <cellStyle name="Normal 30 5 6" xfId="33059" xr:uid="{00000000-0005-0000-0000-000064840000}"/>
    <cellStyle name="Normal 30 5 6 2" xfId="33060" xr:uid="{00000000-0005-0000-0000-000065840000}"/>
    <cellStyle name="Normal 30 5 6 3" xfId="33061" xr:uid="{00000000-0005-0000-0000-000066840000}"/>
    <cellStyle name="Normal 30 5 6 4" xfId="33062" xr:uid="{00000000-0005-0000-0000-000067840000}"/>
    <cellStyle name="Normal 30 5 6 5" xfId="33063" xr:uid="{00000000-0005-0000-0000-000068840000}"/>
    <cellStyle name="Normal 30 5 6 6" xfId="33064" xr:uid="{00000000-0005-0000-0000-000069840000}"/>
    <cellStyle name="Normal 30 5 7" xfId="33065" xr:uid="{00000000-0005-0000-0000-00006A840000}"/>
    <cellStyle name="Normal 30 5 7 2" xfId="33066" xr:uid="{00000000-0005-0000-0000-00006B840000}"/>
    <cellStyle name="Normal 30 5 7 3" xfId="33067" xr:uid="{00000000-0005-0000-0000-00006C840000}"/>
    <cellStyle name="Normal 30 5 7 4" xfId="33068" xr:uid="{00000000-0005-0000-0000-00006D840000}"/>
    <cellStyle name="Normal 30 5 7 5" xfId="33069" xr:uid="{00000000-0005-0000-0000-00006E840000}"/>
    <cellStyle name="Normal 30 5 7 6" xfId="33070" xr:uid="{00000000-0005-0000-0000-00006F840000}"/>
    <cellStyle name="Normal 30 5 8" xfId="33071" xr:uid="{00000000-0005-0000-0000-000070840000}"/>
    <cellStyle name="Normal 30 5 8 2" xfId="33072" xr:uid="{00000000-0005-0000-0000-000071840000}"/>
    <cellStyle name="Normal 30 5 8 3" xfId="33073" xr:uid="{00000000-0005-0000-0000-000072840000}"/>
    <cellStyle name="Normal 30 5 8 4" xfId="33074" xr:uid="{00000000-0005-0000-0000-000073840000}"/>
    <cellStyle name="Normal 30 5 8 5" xfId="33075" xr:uid="{00000000-0005-0000-0000-000074840000}"/>
    <cellStyle name="Normal 30 5 8 6" xfId="33076" xr:uid="{00000000-0005-0000-0000-000075840000}"/>
    <cellStyle name="Normal 30 5 9" xfId="33077" xr:uid="{00000000-0005-0000-0000-000076840000}"/>
    <cellStyle name="Normal 30 6" xfId="33078" xr:uid="{00000000-0005-0000-0000-000077840000}"/>
    <cellStyle name="Normal 30 6 10" xfId="33079" xr:uid="{00000000-0005-0000-0000-000078840000}"/>
    <cellStyle name="Normal 30 6 11" xfId="33080" xr:uid="{00000000-0005-0000-0000-000079840000}"/>
    <cellStyle name="Normal 30 6 12" xfId="33081" xr:uid="{00000000-0005-0000-0000-00007A840000}"/>
    <cellStyle name="Normal 30 6 13" xfId="33082" xr:uid="{00000000-0005-0000-0000-00007B840000}"/>
    <cellStyle name="Normal 30 6 2" xfId="33083" xr:uid="{00000000-0005-0000-0000-00007C840000}"/>
    <cellStyle name="Normal 30 6 2 2" xfId="33084" xr:uid="{00000000-0005-0000-0000-00007D840000}"/>
    <cellStyle name="Normal 30 6 2 3" xfId="33085" xr:uid="{00000000-0005-0000-0000-00007E840000}"/>
    <cellStyle name="Normal 30 6 2 4" xfId="33086" xr:uid="{00000000-0005-0000-0000-00007F840000}"/>
    <cellStyle name="Normal 30 6 2 5" xfId="33087" xr:uid="{00000000-0005-0000-0000-000080840000}"/>
    <cellStyle name="Normal 30 6 2 6" xfId="33088" xr:uid="{00000000-0005-0000-0000-000081840000}"/>
    <cellStyle name="Normal 30 6 3" xfId="33089" xr:uid="{00000000-0005-0000-0000-000082840000}"/>
    <cellStyle name="Normal 30 6 3 2" xfId="33090" xr:uid="{00000000-0005-0000-0000-000083840000}"/>
    <cellStyle name="Normal 30 6 3 3" xfId="33091" xr:uid="{00000000-0005-0000-0000-000084840000}"/>
    <cellStyle name="Normal 30 6 3 4" xfId="33092" xr:uid="{00000000-0005-0000-0000-000085840000}"/>
    <cellStyle name="Normal 30 6 3 5" xfId="33093" xr:uid="{00000000-0005-0000-0000-000086840000}"/>
    <cellStyle name="Normal 30 6 3 6" xfId="33094" xr:uid="{00000000-0005-0000-0000-000087840000}"/>
    <cellStyle name="Normal 30 6 4" xfId="33095" xr:uid="{00000000-0005-0000-0000-000088840000}"/>
    <cellStyle name="Normal 30 6 4 2" xfId="33096" xr:uid="{00000000-0005-0000-0000-000089840000}"/>
    <cellStyle name="Normal 30 6 4 3" xfId="33097" xr:uid="{00000000-0005-0000-0000-00008A840000}"/>
    <cellStyle name="Normal 30 6 4 4" xfId="33098" xr:uid="{00000000-0005-0000-0000-00008B840000}"/>
    <cellStyle name="Normal 30 6 4 5" xfId="33099" xr:uid="{00000000-0005-0000-0000-00008C840000}"/>
    <cellStyle name="Normal 30 6 4 6" xfId="33100" xr:uid="{00000000-0005-0000-0000-00008D840000}"/>
    <cellStyle name="Normal 30 6 5" xfId="33101" xr:uid="{00000000-0005-0000-0000-00008E840000}"/>
    <cellStyle name="Normal 30 6 5 2" xfId="33102" xr:uid="{00000000-0005-0000-0000-00008F840000}"/>
    <cellStyle name="Normal 30 6 5 3" xfId="33103" xr:uid="{00000000-0005-0000-0000-000090840000}"/>
    <cellStyle name="Normal 30 6 5 4" xfId="33104" xr:uid="{00000000-0005-0000-0000-000091840000}"/>
    <cellStyle name="Normal 30 6 5 5" xfId="33105" xr:uid="{00000000-0005-0000-0000-000092840000}"/>
    <cellStyle name="Normal 30 6 5 6" xfId="33106" xr:uid="{00000000-0005-0000-0000-000093840000}"/>
    <cellStyle name="Normal 30 6 6" xfId="33107" xr:uid="{00000000-0005-0000-0000-000094840000}"/>
    <cellStyle name="Normal 30 6 6 2" xfId="33108" xr:uid="{00000000-0005-0000-0000-000095840000}"/>
    <cellStyle name="Normal 30 6 6 3" xfId="33109" xr:uid="{00000000-0005-0000-0000-000096840000}"/>
    <cellStyle name="Normal 30 6 6 4" xfId="33110" xr:uid="{00000000-0005-0000-0000-000097840000}"/>
    <cellStyle name="Normal 30 6 6 5" xfId="33111" xr:uid="{00000000-0005-0000-0000-000098840000}"/>
    <cellStyle name="Normal 30 6 6 6" xfId="33112" xr:uid="{00000000-0005-0000-0000-000099840000}"/>
    <cellStyle name="Normal 30 6 7" xfId="33113" xr:uid="{00000000-0005-0000-0000-00009A840000}"/>
    <cellStyle name="Normal 30 6 7 2" xfId="33114" xr:uid="{00000000-0005-0000-0000-00009B840000}"/>
    <cellStyle name="Normal 30 6 7 3" xfId="33115" xr:uid="{00000000-0005-0000-0000-00009C840000}"/>
    <cellStyle name="Normal 30 6 7 4" xfId="33116" xr:uid="{00000000-0005-0000-0000-00009D840000}"/>
    <cellStyle name="Normal 30 6 7 5" xfId="33117" xr:uid="{00000000-0005-0000-0000-00009E840000}"/>
    <cellStyle name="Normal 30 6 7 6" xfId="33118" xr:uid="{00000000-0005-0000-0000-00009F840000}"/>
    <cellStyle name="Normal 30 6 8" xfId="33119" xr:uid="{00000000-0005-0000-0000-0000A0840000}"/>
    <cellStyle name="Normal 30 6 8 2" xfId="33120" xr:uid="{00000000-0005-0000-0000-0000A1840000}"/>
    <cellStyle name="Normal 30 6 8 3" xfId="33121" xr:uid="{00000000-0005-0000-0000-0000A2840000}"/>
    <cellStyle name="Normal 30 6 8 4" xfId="33122" xr:uid="{00000000-0005-0000-0000-0000A3840000}"/>
    <cellStyle name="Normal 30 6 8 5" xfId="33123" xr:uid="{00000000-0005-0000-0000-0000A4840000}"/>
    <cellStyle name="Normal 30 6 8 6" xfId="33124" xr:uid="{00000000-0005-0000-0000-0000A5840000}"/>
    <cellStyle name="Normal 30 6 9" xfId="33125" xr:uid="{00000000-0005-0000-0000-0000A6840000}"/>
    <cellStyle name="Normal 30 7" xfId="33126" xr:uid="{00000000-0005-0000-0000-0000A7840000}"/>
    <cellStyle name="Normal 30 7 10" xfId="33127" xr:uid="{00000000-0005-0000-0000-0000A8840000}"/>
    <cellStyle name="Normal 30 7 11" xfId="33128" xr:uid="{00000000-0005-0000-0000-0000A9840000}"/>
    <cellStyle name="Normal 30 7 12" xfId="33129" xr:uid="{00000000-0005-0000-0000-0000AA840000}"/>
    <cellStyle name="Normal 30 7 13" xfId="33130" xr:uid="{00000000-0005-0000-0000-0000AB840000}"/>
    <cellStyle name="Normal 30 7 2" xfId="33131" xr:uid="{00000000-0005-0000-0000-0000AC840000}"/>
    <cellStyle name="Normal 30 7 2 2" xfId="33132" xr:uid="{00000000-0005-0000-0000-0000AD840000}"/>
    <cellStyle name="Normal 30 7 2 3" xfId="33133" xr:uid="{00000000-0005-0000-0000-0000AE840000}"/>
    <cellStyle name="Normal 30 7 2 4" xfId="33134" xr:uid="{00000000-0005-0000-0000-0000AF840000}"/>
    <cellStyle name="Normal 30 7 2 5" xfId="33135" xr:uid="{00000000-0005-0000-0000-0000B0840000}"/>
    <cellStyle name="Normal 30 7 2 6" xfId="33136" xr:uid="{00000000-0005-0000-0000-0000B1840000}"/>
    <cellStyle name="Normal 30 7 3" xfId="33137" xr:uid="{00000000-0005-0000-0000-0000B2840000}"/>
    <cellStyle name="Normal 30 7 3 2" xfId="33138" xr:uid="{00000000-0005-0000-0000-0000B3840000}"/>
    <cellStyle name="Normal 30 7 3 3" xfId="33139" xr:uid="{00000000-0005-0000-0000-0000B4840000}"/>
    <cellStyle name="Normal 30 7 3 4" xfId="33140" xr:uid="{00000000-0005-0000-0000-0000B5840000}"/>
    <cellStyle name="Normal 30 7 3 5" xfId="33141" xr:uid="{00000000-0005-0000-0000-0000B6840000}"/>
    <cellStyle name="Normal 30 7 3 6" xfId="33142" xr:uid="{00000000-0005-0000-0000-0000B7840000}"/>
    <cellStyle name="Normal 30 7 4" xfId="33143" xr:uid="{00000000-0005-0000-0000-0000B8840000}"/>
    <cellStyle name="Normal 30 7 4 2" xfId="33144" xr:uid="{00000000-0005-0000-0000-0000B9840000}"/>
    <cellStyle name="Normal 30 7 4 3" xfId="33145" xr:uid="{00000000-0005-0000-0000-0000BA840000}"/>
    <cellStyle name="Normal 30 7 4 4" xfId="33146" xr:uid="{00000000-0005-0000-0000-0000BB840000}"/>
    <cellStyle name="Normal 30 7 4 5" xfId="33147" xr:uid="{00000000-0005-0000-0000-0000BC840000}"/>
    <cellStyle name="Normal 30 7 4 6" xfId="33148" xr:uid="{00000000-0005-0000-0000-0000BD840000}"/>
    <cellStyle name="Normal 30 7 5" xfId="33149" xr:uid="{00000000-0005-0000-0000-0000BE840000}"/>
    <cellStyle name="Normal 30 7 5 2" xfId="33150" xr:uid="{00000000-0005-0000-0000-0000BF840000}"/>
    <cellStyle name="Normal 30 7 5 3" xfId="33151" xr:uid="{00000000-0005-0000-0000-0000C0840000}"/>
    <cellStyle name="Normal 30 7 5 4" xfId="33152" xr:uid="{00000000-0005-0000-0000-0000C1840000}"/>
    <cellStyle name="Normal 30 7 5 5" xfId="33153" xr:uid="{00000000-0005-0000-0000-0000C2840000}"/>
    <cellStyle name="Normal 30 7 5 6" xfId="33154" xr:uid="{00000000-0005-0000-0000-0000C3840000}"/>
    <cellStyle name="Normal 30 7 6" xfId="33155" xr:uid="{00000000-0005-0000-0000-0000C4840000}"/>
    <cellStyle name="Normal 30 7 6 2" xfId="33156" xr:uid="{00000000-0005-0000-0000-0000C5840000}"/>
    <cellStyle name="Normal 30 7 6 3" xfId="33157" xr:uid="{00000000-0005-0000-0000-0000C6840000}"/>
    <cellStyle name="Normal 30 7 6 4" xfId="33158" xr:uid="{00000000-0005-0000-0000-0000C7840000}"/>
    <cellStyle name="Normal 30 7 6 5" xfId="33159" xr:uid="{00000000-0005-0000-0000-0000C8840000}"/>
    <cellStyle name="Normal 30 7 6 6" xfId="33160" xr:uid="{00000000-0005-0000-0000-0000C9840000}"/>
    <cellStyle name="Normal 30 7 7" xfId="33161" xr:uid="{00000000-0005-0000-0000-0000CA840000}"/>
    <cellStyle name="Normal 30 7 7 2" xfId="33162" xr:uid="{00000000-0005-0000-0000-0000CB840000}"/>
    <cellStyle name="Normal 30 7 7 3" xfId="33163" xr:uid="{00000000-0005-0000-0000-0000CC840000}"/>
    <cellStyle name="Normal 30 7 7 4" xfId="33164" xr:uid="{00000000-0005-0000-0000-0000CD840000}"/>
    <cellStyle name="Normal 30 7 7 5" xfId="33165" xr:uid="{00000000-0005-0000-0000-0000CE840000}"/>
    <cellStyle name="Normal 30 7 7 6" xfId="33166" xr:uid="{00000000-0005-0000-0000-0000CF840000}"/>
    <cellStyle name="Normal 30 7 8" xfId="33167" xr:uid="{00000000-0005-0000-0000-0000D0840000}"/>
    <cellStyle name="Normal 30 7 8 2" xfId="33168" xr:uid="{00000000-0005-0000-0000-0000D1840000}"/>
    <cellStyle name="Normal 30 7 8 3" xfId="33169" xr:uid="{00000000-0005-0000-0000-0000D2840000}"/>
    <cellStyle name="Normal 30 7 8 4" xfId="33170" xr:uid="{00000000-0005-0000-0000-0000D3840000}"/>
    <cellStyle name="Normal 30 7 8 5" xfId="33171" xr:uid="{00000000-0005-0000-0000-0000D4840000}"/>
    <cellStyle name="Normal 30 7 8 6" xfId="33172" xr:uid="{00000000-0005-0000-0000-0000D5840000}"/>
    <cellStyle name="Normal 30 7 9" xfId="33173" xr:uid="{00000000-0005-0000-0000-0000D6840000}"/>
    <cellStyle name="Normal 30 8" xfId="33174" xr:uid="{00000000-0005-0000-0000-0000D7840000}"/>
    <cellStyle name="Normal 30 8 10" xfId="33175" xr:uid="{00000000-0005-0000-0000-0000D8840000}"/>
    <cellStyle name="Normal 30 8 11" xfId="33176" xr:uid="{00000000-0005-0000-0000-0000D9840000}"/>
    <cellStyle name="Normal 30 8 12" xfId="33177" xr:uid="{00000000-0005-0000-0000-0000DA840000}"/>
    <cellStyle name="Normal 30 8 13" xfId="33178" xr:uid="{00000000-0005-0000-0000-0000DB840000}"/>
    <cellStyle name="Normal 30 8 2" xfId="33179" xr:uid="{00000000-0005-0000-0000-0000DC840000}"/>
    <cellStyle name="Normal 30 8 2 2" xfId="33180" xr:uid="{00000000-0005-0000-0000-0000DD840000}"/>
    <cellStyle name="Normal 30 8 2 3" xfId="33181" xr:uid="{00000000-0005-0000-0000-0000DE840000}"/>
    <cellStyle name="Normal 30 8 2 4" xfId="33182" xr:uid="{00000000-0005-0000-0000-0000DF840000}"/>
    <cellStyle name="Normal 30 8 2 5" xfId="33183" xr:uid="{00000000-0005-0000-0000-0000E0840000}"/>
    <cellStyle name="Normal 30 8 2 6" xfId="33184" xr:uid="{00000000-0005-0000-0000-0000E1840000}"/>
    <cellStyle name="Normal 30 8 3" xfId="33185" xr:uid="{00000000-0005-0000-0000-0000E2840000}"/>
    <cellStyle name="Normal 30 8 3 2" xfId="33186" xr:uid="{00000000-0005-0000-0000-0000E3840000}"/>
    <cellStyle name="Normal 30 8 3 3" xfId="33187" xr:uid="{00000000-0005-0000-0000-0000E4840000}"/>
    <cellStyle name="Normal 30 8 3 4" xfId="33188" xr:uid="{00000000-0005-0000-0000-0000E5840000}"/>
    <cellStyle name="Normal 30 8 3 5" xfId="33189" xr:uid="{00000000-0005-0000-0000-0000E6840000}"/>
    <cellStyle name="Normal 30 8 3 6" xfId="33190" xr:uid="{00000000-0005-0000-0000-0000E7840000}"/>
    <cellStyle name="Normal 30 8 4" xfId="33191" xr:uid="{00000000-0005-0000-0000-0000E8840000}"/>
    <cellStyle name="Normal 30 8 4 2" xfId="33192" xr:uid="{00000000-0005-0000-0000-0000E9840000}"/>
    <cellStyle name="Normal 30 8 4 3" xfId="33193" xr:uid="{00000000-0005-0000-0000-0000EA840000}"/>
    <cellStyle name="Normal 30 8 4 4" xfId="33194" xr:uid="{00000000-0005-0000-0000-0000EB840000}"/>
    <cellStyle name="Normal 30 8 4 5" xfId="33195" xr:uid="{00000000-0005-0000-0000-0000EC840000}"/>
    <cellStyle name="Normal 30 8 4 6" xfId="33196" xr:uid="{00000000-0005-0000-0000-0000ED840000}"/>
    <cellStyle name="Normal 30 8 5" xfId="33197" xr:uid="{00000000-0005-0000-0000-0000EE840000}"/>
    <cellStyle name="Normal 30 8 5 2" xfId="33198" xr:uid="{00000000-0005-0000-0000-0000EF840000}"/>
    <cellStyle name="Normal 30 8 5 3" xfId="33199" xr:uid="{00000000-0005-0000-0000-0000F0840000}"/>
    <cellStyle name="Normal 30 8 5 4" xfId="33200" xr:uid="{00000000-0005-0000-0000-0000F1840000}"/>
    <cellStyle name="Normal 30 8 5 5" xfId="33201" xr:uid="{00000000-0005-0000-0000-0000F2840000}"/>
    <cellStyle name="Normal 30 8 5 6" xfId="33202" xr:uid="{00000000-0005-0000-0000-0000F3840000}"/>
    <cellStyle name="Normal 30 8 6" xfId="33203" xr:uid="{00000000-0005-0000-0000-0000F4840000}"/>
    <cellStyle name="Normal 30 8 6 2" xfId="33204" xr:uid="{00000000-0005-0000-0000-0000F5840000}"/>
    <cellStyle name="Normal 30 8 6 3" xfId="33205" xr:uid="{00000000-0005-0000-0000-0000F6840000}"/>
    <cellStyle name="Normal 30 8 6 4" xfId="33206" xr:uid="{00000000-0005-0000-0000-0000F7840000}"/>
    <cellStyle name="Normal 30 8 6 5" xfId="33207" xr:uid="{00000000-0005-0000-0000-0000F8840000}"/>
    <cellStyle name="Normal 30 8 6 6" xfId="33208" xr:uid="{00000000-0005-0000-0000-0000F9840000}"/>
    <cellStyle name="Normal 30 8 7" xfId="33209" xr:uid="{00000000-0005-0000-0000-0000FA840000}"/>
    <cellStyle name="Normal 30 8 7 2" xfId="33210" xr:uid="{00000000-0005-0000-0000-0000FB840000}"/>
    <cellStyle name="Normal 30 8 7 3" xfId="33211" xr:uid="{00000000-0005-0000-0000-0000FC840000}"/>
    <cellStyle name="Normal 30 8 7 4" xfId="33212" xr:uid="{00000000-0005-0000-0000-0000FD840000}"/>
    <cellStyle name="Normal 30 8 7 5" xfId="33213" xr:uid="{00000000-0005-0000-0000-0000FE840000}"/>
    <cellStyle name="Normal 30 8 7 6" xfId="33214" xr:uid="{00000000-0005-0000-0000-0000FF840000}"/>
    <cellStyle name="Normal 30 8 8" xfId="33215" xr:uid="{00000000-0005-0000-0000-000000850000}"/>
    <cellStyle name="Normal 30 8 8 2" xfId="33216" xr:uid="{00000000-0005-0000-0000-000001850000}"/>
    <cellStyle name="Normal 30 8 8 3" xfId="33217" xr:uid="{00000000-0005-0000-0000-000002850000}"/>
    <cellStyle name="Normal 30 8 8 4" xfId="33218" xr:uid="{00000000-0005-0000-0000-000003850000}"/>
    <cellStyle name="Normal 30 8 8 5" xfId="33219" xr:uid="{00000000-0005-0000-0000-000004850000}"/>
    <cellStyle name="Normal 30 8 8 6" xfId="33220" xr:uid="{00000000-0005-0000-0000-000005850000}"/>
    <cellStyle name="Normal 30 8 9" xfId="33221" xr:uid="{00000000-0005-0000-0000-000006850000}"/>
    <cellStyle name="Normal 30 9" xfId="33222" xr:uid="{00000000-0005-0000-0000-000007850000}"/>
    <cellStyle name="Normal 30 9 10" xfId="33223" xr:uid="{00000000-0005-0000-0000-000008850000}"/>
    <cellStyle name="Normal 30 9 11" xfId="33224" xr:uid="{00000000-0005-0000-0000-000009850000}"/>
    <cellStyle name="Normal 30 9 12" xfId="33225" xr:uid="{00000000-0005-0000-0000-00000A850000}"/>
    <cellStyle name="Normal 30 9 13" xfId="33226" xr:uid="{00000000-0005-0000-0000-00000B850000}"/>
    <cellStyle name="Normal 30 9 2" xfId="33227" xr:uid="{00000000-0005-0000-0000-00000C850000}"/>
    <cellStyle name="Normal 30 9 2 2" xfId="33228" xr:uid="{00000000-0005-0000-0000-00000D850000}"/>
    <cellStyle name="Normal 30 9 2 3" xfId="33229" xr:uid="{00000000-0005-0000-0000-00000E850000}"/>
    <cellStyle name="Normal 30 9 2 4" xfId="33230" xr:uid="{00000000-0005-0000-0000-00000F850000}"/>
    <cellStyle name="Normal 30 9 2 5" xfId="33231" xr:uid="{00000000-0005-0000-0000-000010850000}"/>
    <cellStyle name="Normal 30 9 2 6" xfId="33232" xr:uid="{00000000-0005-0000-0000-000011850000}"/>
    <cellStyle name="Normal 30 9 3" xfId="33233" xr:uid="{00000000-0005-0000-0000-000012850000}"/>
    <cellStyle name="Normal 30 9 3 2" xfId="33234" xr:uid="{00000000-0005-0000-0000-000013850000}"/>
    <cellStyle name="Normal 30 9 3 3" xfId="33235" xr:uid="{00000000-0005-0000-0000-000014850000}"/>
    <cellStyle name="Normal 30 9 3 4" xfId="33236" xr:uid="{00000000-0005-0000-0000-000015850000}"/>
    <cellStyle name="Normal 30 9 3 5" xfId="33237" xr:uid="{00000000-0005-0000-0000-000016850000}"/>
    <cellStyle name="Normal 30 9 3 6" xfId="33238" xr:uid="{00000000-0005-0000-0000-000017850000}"/>
    <cellStyle name="Normal 30 9 4" xfId="33239" xr:uid="{00000000-0005-0000-0000-000018850000}"/>
    <cellStyle name="Normal 30 9 4 2" xfId="33240" xr:uid="{00000000-0005-0000-0000-000019850000}"/>
    <cellStyle name="Normal 30 9 4 3" xfId="33241" xr:uid="{00000000-0005-0000-0000-00001A850000}"/>
    <cellStyle name="Normal 30 9 4 4" xfId="33242" xr:uid="{00000000-0005-0000-0000-00001B850000}"/>
    <cellStyle name="Normal 30 9 4 5" xfId="33243" xr:uid="{00000000-0005-0000-0000-00001C850000}"/>
    <cellStyle name="Normal 30 9 4 6" xfId="33244" xr:uid="{00000000-0005-0000-0000-00001D850000}"/>
    <cellStyle name="Normal 30 9 5" xfId="33245" xr:uid="{00000000-0005-0000-0000-00001E850000}"/>
    <cellStyle name="Normal 30 9 5 2" xfId="33246" xr:uid="{00000000-0005-0000-0000-00001F850000}"/>
    <cellStyle name="Normal 30 9 5 3" xfId="33247" xr:uid="{00000000-0005-0000-0000-000020850000}"/>
    <cellStyle name="Normal 30 9 5 4" xfId="33248" xr:uid="{00000000-0005-0000-0000-000021850000}"/>
    <cellStyle name="Normal 30 9 5 5" xfId="33249" xr:uid="{00000000-0005-0000-0000-000022850000}"/>
    <cellStyle name="Normal 30 9 5 6" xfId="33250" xr:uid="{00000000-0005-0000-0000-000023850000}"/>
    <cellStyle name="Normal 30 9 6" xfId="33251" xr:uid="{00000000-0005-0000-0000-000024850000}"/>
    <cellStyle name="Normal 30 9 6 2" xfId="33252" xr:uid="{00000000-0005-0000-0000-000025850000}"/>
    <cellStyle name="Normal 30 9 6 3" xfId="33253" xr:uid="{00000000-0005-0000-0000-000026850000}"/>
    <cellStyle name="Normal 30 9 6 4" xfId="33254" xr:uid="{00000000-0005-0000-0000-000027850000}"/>
    <cellStyle name="Normal 30 9 6 5" xfId="33255" xr:uid="{00000000-0005-0000-0000-000028850000}"/>
    <cellStyle name="Normal 30 9 6 6" xfId="33256" xr:uid="{00000000-0005-0000-0000-000029850000}"/>
    <cellStyle name="Normal 30 9 7" xfId="33257" xr:uid="{00000000-0005-0000-0000-00002A850000}"/>
    <cellStyle name="Normal 30 9 7 2" xfId="33258" xr:uid="{00000000-0005-0000-0000-00002B850000}"/>
    <cellStyle name="Normal 30 9 7 3" xfId="33259" xr:uid="{00000000-0005-0000-0000-00002C850000}"/>
    <cellStyle name="Normal 30 9 7 4" xfId="33260" xr:uid="{00000000-0005-0000-0000-00002D850000}"/>
    <cellStyle name="Normal 30 9 7 5" xfId="33261" xr:uid="{00000000-0005-0000-0000-00002E850000}"/>
    <cellStyle name="Normal 30 9 7 6" xfId="33262" xr:uid="{00000000-0005-0000-0000-00002F850000}"/>
    <cellStyle name="Normal 30 9 8" xfId="33263" xr:uid="{00000000-0005-0000-0000-000030850000}"/>
    <cellStyle name="Normal 30 9 8 2" xfId="33264" xr:uid="{00000000-0005-0000-0000-000031850000}"/>
    <cellStyle name="Normal 30 9 8 3" xfId="33265" xr:uid="{00000000-0005-0000-0000-000032850000}"/>
    <cellStyle name="Normal 30 9 8 4" xfId="33266" xr:uid="{00000000-0005-0000-0000-000033850000}"/>
    <cellStyle name="Normal 30 9 8 5" xfId="33267" xr:uid="{00000000-0005-0000-0000-000034850000}"/>
    <cellStyle name="Normal 30 9 8 6" xfId="33268" xr:uid="{00000000-0005-0000-0000-000035850000}"/>
    <cellStyle name="Normal 30 9 9" xfId="33269" xr:uid="{00000000-0005-0000-0000-000036850000}"/>
    <cellStyle name="Normal 300 3" xfId="43988" xr:uid="{0438B981-3110-42D7-8CDF-E633D641E491}"/>
    <cellStyle name="Normal 31" xfId="33270" xr:uid="{00000000-0005-0000-0000-000038850000}"/>
    <cellStyle name="Normal 31 10" xfId="33271" xr:uid="{00000000-0005-0000-0000-000039850000}"/>
    <cellStyle name="Normal 31 10 10" xfId="33272" xr:uid="{00000000-0005-0000-0000-00003A850000}"/>
    <cellStyle name="Normal 31 10 11" xfId="33273" xr:uid="{00000000-0005-0000-0000-00003B850000}"/>
    <cellStyle name="Normal 31 10 12" xfId="33274" xr:uid="{00000000-0005-0000-0000-00003C850000}"/>
    <cellStyle name="Normal 31 10 13" xfId="33275" xr:uid="{00000000-0005-0000-0000-00003D850000}"/>
    <cellStyle name="Normal 31 10 2" xfId="33276" xr:uid="{00000000-0005-0000-0000-00003E850000}"/>
    <cellStyle name="Normal 31 10 2 2" xfId="33277" xr:uid="{00000000-0005-0000-0000-00003F850000}"/>
    <cellStyle name="Normal 31 10 2 3" xfId="33278" xr:uid="{00000000-0005-0000-0000-000040850000}"/>
    <cellStyle name="Normal 31 10 2 4" xfId="33279" xr:uid="{00000000-0005-0000-0000-000041850000}"/>
    <cellStyle name="Normal 31 10 2 5" xfId="33280" xr:uid="{00000000-0005-0000-0000-000042850000}"/>
    <cellStyle name="Normal 31 10 2 6" xfId="33281" xr:uid="{00000000-0005-0000-0000-000043850000}"/>
    <cellStyle name="Normal 31 10 3" xfId="33282" xr:uid="{00000000-0005-0000-0000-000044850000}"/>
    <cellStyle name="Normal 31 10 3 2" xfId="33283" xr:uid="{00000000-0005-0000-0000-000045850000}"/>
    <cellStyle name="Normal 31 10 3 3" xfId="33284" xr:uid="{00000000-0005-0000-0000-000046850000}"/>
    <cellStyle name="Normal 31 10 3 4" xfId="33285" xr:uid="{00000000-0005-0000-0000-000047850000}"/>
    <cellStyle name="Normal 31 10 3 5" xfId="33286" xr:uid="{00000000-0005-0000-0000-000048850000}"/>
    <cellStyle name="Normal 31 10 3 6" xfId="33287" xr:uid="{00000000-0005-0000-0000-000049850000}"/>
    <cellStyle name="Normal 31 10 4" xfId="33288" xr:uid="{00000000-0005-0000-0000-00004A850000}"/>
    <cellStyle name="Normal 31 10 4 2" xfId="33289" xr:uid="{00000000-0005-0000-0000-00004B850000}"/>
    <cellStyle name="Normal 31 10 4 3" xfId="33290" xr:uid="{00000000-0005-0000-0000-00004C850000}"/>
    <cellStyle name="Normal 31 10 4 4" xfId="33291" xr:uid="{00000000-0005-0000-0000-00004D850000}"/>
    <cellStyle name="Normal 31 10 4 5" xfId="33292" xr:uid="{00000000-0005-0000-0000-00004E850000}"/>
    <cellStyle name="Normal 31 10 4 6" xfId="33293" xr:uid="{00000000-0005-0000-0000-00004F850000}"/>
    <cellStyle name="Normal 31 10 5" xfId="33294" xr:uid="{00000000-0005-0000-0000-000050850000}"/>
    <cellStyle name="Normal 31 10 5 2" xfId="33295" xr:uid="{00000000-0005-0000-0000-000051850000}"/>
    <cellStyle name="Normal 31 10 5 3" xfId="33296" xr:uid="{00000000-0005-0000-0000-000052850000}"/>
    <cellStyle name="Normal 31 10 5 4" xfId="33297" xr:uid="{00000000-0005-0000-0000-000053850000}"/>
    <cellStyle name="Normal 31 10 5 5" xfId="33298" xr:uid="{00000000-0005-0000-0000-000054850000}"/>
    <cellStyle name="Normal 31 10 5 6" xfId="33299" xr:uid="{00000000-0005-0000-0000-000055850000}"/>
    <cellStyle name="Normal 31 10 6" xfId="33300" xr:uid="{00000000-0005-0000-0000-000056850000}"/>
    <cellStyle name="Normal 31 10 6 2" xfId="33301" xr:uid="{00000000-0005-0000-0000-000057850000}"/>
    <cellStyle name="Normal 31 10 6 3" xfId="33302" xr:uid="{00000000-0005-0000-0000-000058850000}"/>
    <cellStyle name="Normal 31 10 6 4" xfId="33303" xr:uid="{00000000-0005-0000-0000-000059850000}"/>
    <cellStyle name="Normal 31 10 6 5" xfId="33304" xr:uid="{00000000-0005-0000-0000-00005A850000}"/>
    <cellStyle name="Normal 31 10 6 6" xfId="33305" xr:uid="{00000000-0005-0000-0000-00005B850000}"/>
    <cellStyle name="Normal 31 10 7" xfId="33306" xr:uid="{00000000-0005-0000-0000-00005C850000}"/>
    <cellStyle name="Normal 31 10 7 2" xfId="33307" xr:uid="{00000000-0005-0000-0000-00005D850000}"/>
    <cellStyle name="Normal 31 10 7 3" xfId="33308" xr:uid="{00000000-0005-0000-0000-00005E850000}"/>
    <cellStyle name="Normal 31 10 7 4" xfId="33309" xr:uid="{00000000-0005-0000-0000-00005F850000}"/>
    <cellStyle name="Normal 31 10 7 5" xfId="33310" xr:uid="{00000000-0005-0000-0000-000060850000}"/>
    <cellStyle name="Normal 31 10 7 6" xfId="33311" xr:uid="{00000000-0005-0000-0000-000061850000}"/>
    <cellStyle name="Normal 31 10 8" xfId="33312" xr:uid="{00000000-0005-0000-0000-000062850000}"/>
    <cellStyle name="Normal 31 10 8 2" xfId="33313" xr:uid="{00000000-0005-0000-0000-000063850000}"/>
    <cellStyle name="Normal 31 10 8 3" xfId="33314" xr:uid="{00000000-0005-0000-0000-000064850000}"/>
    <cellStyle name="Normal 31 10 8 4" xfId="33315" xr:uid="{00000000-0005-0000-0000-000065850000}"/>
    <cellStyle name="Normal 31 10 8 5" xfId="33316" xr:uid="{00000000-0005-0000-0000-000066850000}"/>
    <cellStyle name="Normal 31 10 8 6" xfId="33317" xr:uid="{00000000-0005-0000-0000-000067850000}"/>
    <cellStyle name="Normal 31 10 9" xfId="33318" xr:uid="{00000000-0005-0000-0000-000068850000}"/>
    <cellStyle name="Normal 31 11" xfId="33319" xr:uid="{00000000-0005-0000-0000-000069850000}"/>
    <cellStyle name="Normal 31 11 10" xfId="33320" xr:uid="{00000000-0005-0000-0000-00006A850000}"/>
    <cellStyle name="Normal 31 11 11" xfId="33321" xr:uid="{00000000-0005-0000-0000-00006B850000}"/>
    <cellStyle name="Normal 31 11 12" xfId="33322" xr:uid="{00000000-0005-0000-0000-00006C850000}"/>
    <cellStyle name="Normal 31 11 13" xfId="33323" xr:uid="{00000000-0005-0000-0000-00006D850000}"/>
    <cellStyle name="Normal 31 11 2" xfId="33324" xr:uid="{00000000-0005-0000-0000-00006E850000}"/>
    <cellStyle name="Normal 31 11 2 2" xfId="33325" xr:uid="{00000000-0005-0000-0000-00006F850000}"/>
    <cellStyle name="Normal 31 11 2 3" xfId="33326" xr:uid="{00000000-0005-0000-0000-000070850000}"/>
    <cellStyle name="Normal 31 11 2 4" xfId="33327" xr:uid="{00000000-0005-0000-0000-000071850000}"/>
    <cellStyle name="Normal 31 11 2 5" xfId="33328" xr:uid="{00000000-0005-0000-0000-000072850000}"/>
    <cellStyle name="Normal 31 11 2 6" xfId="33329" xr:uid="{00000000-0005-0000-0000-000073850000}"/>
    <cellStyle name="Normal 31 11 3" xfId="33330" xr:uid="{00000000-0005-0000-0000-000074850000}"/>
    <cellStyle name="Normal 31 11 3 2" xfId="33331" xr:uid="{00000000-0005-0000-0000-000075850000}"/>
    <cellStyle name="Normal 31 11 3 3" xfId="33332" xr:uid="{00000000-0005-0000-0000-000076850000}"/>
    <cellStyle name="Normal 31 11 3 4" xfId="33333" xr:uid="{00000000-0005-0000-0000-000077850000}"/>
    <cellStyle name="Normal 31 11 3 5" xfId="33334" xr:uid="{00000000-0005-0000-0000-000078850000}"/>
    <cellStyle name="Normal 31 11 3 6" xfId="33335" xr:uid="{00000000-0005-0000-0000-000079850000}"/>
    <cellStyle name="Normal 31 11 4" xfId="33336" xr:uid="{00000000-0005-0000-0000-00007A850000}"/>
    <cellStyle name="Normal 31 11 4 2" xfId="33337" xr:uid="{00000000-0005-0000-0000-00007B850000}"/>
    <cellStyle name="Normal 31 11 4 3" xfId="33338" xr:uid="{00000000-0005-0000-0000-00007C850000}"/>
    <cellStyle name="Normal 31 11 4 4" xfId="33339" xr:uid="{00000000-0005-0000-0000-00007D850000}"/>
    <cellStyle name="Normal 31 11 4 5" xfId="33340" xr:uid="{00000000-0005-0000-0000-00007E850000}"/>
    <cellStyle name="Normal 31 11 4 6" xfId="33341" xr:uid="{00000000-0005-0000-0000-00007F850000}"/>
    <cellStyle name="Normal 31 11 5" xfId="33342" xr:uid="{00000000-0005-0000-0000-000080850000}"/>
    <cellStyle name="Normal 31 11 5 2" xfId="33343" xr:uid="{00000000-0005-0000-0000-000081850000}"/>
    <cellStyle name="Normal 31 11 5 3" xfId="33344" xr:uid="{00000000-0005-0000-0000-000082850000}"/>
    <cellStyle name="Normal 31 11 5 4" xfId="33345" xr:uid="{00000000-0005-0000-0000-000083850000}"/>
    <cellStyle name="Normal 31 11 5 5" xfId="33346" xr:uid="{00000000-0005-0000-0000-000084850000}"/>
    <cellStyle name="Normal 31 11 5 6" xfId="33347" xr:uid="{00000000-0005-0000-0000-000085850000}"/>
    <cellStyle name="Normal 31 11 6" xfId="33348" xr:uid="{00000000-0005-0000-0000-000086850000}"/>
    <cellStyle name="Normal 31 11 6 2" xfId="33349" xr:uid="{00000000-0005-0000-0000-000087850000}"/>
    <cellStyle name="Normal 31 11 6 3" xfId="33350" xr:uid="{00000000-0005-0000-0000-000088850000}"/>
    <cellStyle name="Normal 31 11 6 4" xfId="33351" xr:uid="{00000000-0005-0000-0000-000089850000}"/>
    <cellStyle name="Normal 31 11 6 5" xfId="33352" xr:uid="{00000000-0005-0000-0000-00008A850000}"/>
    <cellStyle name="Normal 31 11 6 6" xfId="33353" xr:uid="{00000000-0005-0000-0000-00008B850000}"/>
    <cellStyle name="Normal 31 11 7" xfId="33354" xr:uid="{00000000-0005-0000-0000-00008C850000}"/>
    <cellStyle name="Normal 31 11 7 2" xfId="33355" xr:uid="{00000000-0005-0000-0000-00008D850000}"/>
    <cellStyle name="Normal 31 11 7 3" xfId="33356" xr:uid="{00000000-0005-0000-0000-00008E850000}"/>
    <cellStyle name="Normal 31 11 7 4" xfId="33357" xr:uid="{00000000-0005-0000-0000-00008F850000}"/>
    <cellStyle name="Normal 31 11 7 5" xfId="33358" xr:uid="{00000000-0005-0000-0000-000090850000}"/>
    <cellStyle name="Normal 31 11 7 6" xfId="33359" xr:uid="{00000000-0005-0000-0000-000091850000}"/>
    <cellStyle name="Normal 31 11 8" xfId="33360" xr:uid="{00000000-0005-0000-0000-000092850000}"/>
    <cellStyle name="Normal 31 11 8 2" xfId="33361" xr:uid="{00000000-0005-0000-0000-000093850000}"/>
    <cellStyle name="Normal 31 11 8 3" xfId="33362" xr:uid="{00000000-0005-0000-0000-000094850000}"/>
    <cellStyle name="Normal 31 11 8 4" xfId="33363" xr:uid="{00000000-0005-0000-0000-000095850000}"/>
    <cellStyle name="Normal 31 11 8 5" xfId="33364" xr:uid="{00000000-0005-0000-0000-000096850000}"/>
    <cellStyle name="Normal 31 11 8 6" xfId="33365" xr:uid="{00000000-0005-0000-0000-000097850000}"/>
    <cellStyle name="Normal 31 11 9" xfId="33366" xr:uid="{00000000-0005-0000-0000-000098850000}"/>
    <cellStyle name="Normal 31 12" xfId="33367" xr:uid="{00000000-0005-0000-0000-000099850000}"/>
    <cellStyle name="Normal 31 12 2" xfId="33368" xr:uid="{00000000-0005-0000-0000-00009A850000}"/>
    <cellStyle name="Normal 31 12 3" xfId="33369" xr:uid="{00000000-0005-0000-0000-00009B850000}"/>
    <cellStyle name="Normal 31 12 4" xfId="33370" xr:uid="{00000000-0005-0000-0000-00009C850000}"/>
    <cellStyle name="Normal 31 12 5" xfId="33371" xr:uid="{00000000-0005-0000-0000-00009D850000}"/>
    <cellStyle name="Normal 31 12 6" xfId="33372" xr:uid="{00000000-0005-0000-0000-00009E850000}"/>
    <cellStyle name="Normal 31 13" xfId="33373" xr:uid="{00000000-0005-0000-0000-00009F850000}"/>
    <cellStyle name="Normal 31 13 2" xfId="33374" xr:uid="{00000000-0005-0000-0000-0000A0850000}"/>
    <cellStyle name="Normal 31 13 3" xfId="33375" xr:uid="{00000000-0005-0000-0000-0000A1850000}"/>
    <cellStyle name="Normal 31 13 4" xfId="33376" xr:uid="{00000000-0005-0000-0000-0000A2850000}"/>
    <cellStyle name="Normal 31 13 5" xfId="33377" xr:uid="{00000000-0005-0000-0000-0000A3850000}"/>
    <cellStyle name="Normal 31 13 6" xfId="33378" xr:uid="{00000000-0005-0000-0000-0000A4850000}"/>
    <cellStyle name="Normal 31 14" xfId="33379" xr:uid="{00000000-0005-0000-0000-0000A5850000}"/>
    <cellStyle name="Normal 31 14 2" xfId="33380" xr:uid="{00000000-0005-0000-0000-0000A6850000}"/>
    <cellStyle name="Normal 31 14 3" xfId="33381" xr:uid="{00000000-0005-0000-0000-0000A7850000}"/>
    <cellStyle name="Normal 31 14 4" xfId="33382" xr:uid="{00000000-0005-0000-0000-0000A8850000}"/>
    <cellStyle name="Normal 31 14 5" xfId="33383" xr:uid="{00000000-0005-0000-0000-0000A9850000}"/>
    <cellStyle name="Normal 31 14 6" xfId="33384" xr:uid="{00000000-0005-0000-0000-0000AA850000}"/>
    <cellStyle name="Normal 31 15" xfId="33385" xr:uid="{00000000-0005-0000-0000-0000AB850000}"/>
    <cellStyle name="Normal 31 15 2" xfId="33386" xr:uid="{00000000-0005-0000-0000-0000AC850000}"/>
    <cellStyle name="Normal 31 15 3" xfId="33387" xr:uid="{00000000-0005-0000-0000-0000AD850000}"/>
    <cellStyle name="Normal 31 15 4" xfId="33388" xr:uid="{00000000-0005-0000-0000-0000AE850000}"/>
    <cellStyle name="Normal 31 15 5" xfId="33389" xr:uid="{00000000-0005-0000-0000-0000AF850000}"/>
    <cellStyle name="Normal 31 15 6" xfId="33390" xr:uid="{00000000-0005-0000-0000-0000B0850000}"/>
    <cellStyle name="Normal 31 16" xfId="33391" xr:uid="{00000000-0005-0000-0000-0000B1850000}"/>
    <cellStyle name="Normal 31 16 2" xfId="33392" xr:uid="{00000000-0005-0000-0000-0000B2850000}"/>
    <cellStyle name="Normal 31 16 3" xfId="33393" xr:uid="{00000000-0005-0000-0000-0000B3850000}"/>
    <cellStyle name="Normal 31 16 4" xfId="33394" xr:uid="{00000000-0005-0000-0000-0000B4850000}"/>
    <cellStyle name="Normal 31 16 5" xfId="33395" xr:uid="{00000000-0005-0000-0000-0000B5850000}"/>
    <cellStyle name="Normal 31 16 6" xfId="33396" xr:uid="{00000000-0005-0000-0000-0000B6850000}"/>
    <cellStyle name="Normal 31 17" xfId="33397" xr:uid="{00000000-0005-0000-0000-0000B7850000}"/>
    <cellStyle name="Normal 31 17 2" xfId="33398" xr:uid="{00000000-0005-0000-0000-0000B8850000}"/>
    <cellStyle name="Normal 31 17 3" xfId="33399" xr:uid="{00000000-0005-0000-0000-0000B9850000}"/>
    <cellStyle name="Normal 31 17 4" xfId="33400" xr:uid="{00000000-0005-0000-0000-0000BA850000}"/>
    <cellStyle name="Normal 31 17 5" xfId="33401" xr:uid="{00000000-0005-0000-0000-0000BB850000}"/>
    <cellStyle name="Normal 31 17 6" xfId="33402" xr:uid="{00000000-0005-0000-0000-0000BC850000}"/>
    <cellStyle name="Normal 31 18" xfId="33403" xr:uid="{00000000-0005-0000-0000-0000BD850000}"/>
    <cellStyle name="Normal 31 18 2" xfId="33404" xr:uid="{00000000-0005-0000-0000-0000BE850000}"/>
    <cellStyle name="Normal 31 18 3" xfId="33405" xr:uid="{00000000-0005-0000-0000-0000BF850000}"/>
    <cellStyle name="Normal 31 18 4" xfId="33406" xr:uid="{00000000-0005-0000-0000-0000C0850000}"/>
    <cellStyle name="Normal 31 18 5" xfId="33407" xr:uid="{00000000-0005-0000-0000-0000C1850000}"/>
    <cellStyle name="Normal 31 18 6" xfId="33408" xr:uid="{00000000-0005-0000-0000-0000C2850000}"/>
    <cellStyle name="Normal 31 19" xfId="33409" xr:uid="{00000000-0005-0000-0000-0000C3850000}"/>
    <cellStyle name="Normal 31 2" xfId="33410" xr:uid="{00000000-0005-0000-0000-0000C4850000}"/>
    <cellStyle name="Normal 31 2 10" xfId="33411" xr:uid="{00000000-0005-0000-0000-0000C5850000}"/>
    <cellStyle name="Normal 31 2 11" xfId="33412" xr:uid="{00000000-0005-0000-0000-0000C6850000}"/>
    <cellStyle name="Normal 31 2 12" xfId="33413" xr:uid="{00000000-0005-0000-0000-0000C7850000}"/>
    <cellStyle name="Normal 31 2 13" xfId="33414" xr:uid="{00000000-0005-0000-0000-0000C8850000}"/>
    <cellStyle name="Normal 31 2 2" xfId="33415" xr:uid="{00000000-0005-0000-0000-0000C9850000}"/>
    <cellStyle name="Normal 31 2 2 2" xfId="33416" xr:uid="{00000000-0005-0000-0000-0000CA850000}"/>
    <cellStyle name="Normal 31 2 2 3" xfId="33417" xr:uid="{00000000-0005-0000-0000-0000CB850000}"/>
    <cellStyle name="Normal 31 2 2 4" xfId="33418" xr:uid="{00000000-0005-0000-0000-0000CC850000}"/>
    <cellStyle name="Normal 31 2 2 5" xfId="33419" xr:uid="{00000000-0005-0000-0000-0000CD850000}"/>
    <cellStyle name="Normal 31 2 2 6" xfId="33420" xr:uid="{00000000-0005-0000-0000-0000CE850000}"/>
    <cellStyle name="Normal 31 2 3" xfId="33421" xr:uid="{00000000-0005-0000-0000-0000CF850000}"/>
    <cellStyle name="Normal 31 2 3 2" xfId="33422" xr:uid="{00000000-0005-0000-0000-0000D0850000}"/>
    <cellStyle name="Normal 31 2 3 3" xfId="33423" xr:uid="{00000000-0005-0000-0000-0000D1850000}"/>
    <cellStyle name="Normal 31 2 3 4" xfId="33424" xr:uid="{00000000-0005-0000-0000-0000D2850000}"/>
    <cellStyle name="Normal 31 2 3 5" xfId="33425" xr:uid="{00000000-0005-0000-0000-0000D3850000}"/>
    <cellStyle name="Normal 31 2 3 6" xfId="33426" xr:uid="{00000000-0005-0000-0000-0000D4850000}"/>
    <cellStyle name="Normal 31 2 4" xfId="33427" xr:uid="{00000000-0005-0000-0000-0000D5850000}"/>
    <cellStyle name="Normal 31 2 4 2" xfId="33428" xr:uid="{00000000-0005-0000-0000-0000D6850000}"/>
    <cellStyle name="Normal 31 2 4 3" xfId="33429" xr:uid="{00000000-0005-0000-0000-0000D7850000}"/>
    <cellStyle name="Normal 31 2 4 4" xfId="33430" xr:uid="{00000000-0005-0000-0000-0000D8850000}"/>
    <cellStyle name="Normal 31 2 4 5" xfId="33431" xr:uid="{00000000-0005-0000-0000-0000D9850000}"/>
    <cellStyle name="Normal 31 2 4 6" xfId="33432" xr:uid="{00000000-0005-0000-0000-0000DA850000}"/>
    <cellStyle name="Normal 31 2 5" xfId="33433" xr:uid="{00000000-0005-0000-0000-0000DB850000}"/>
    <cellStyle name="Normal 31 2 5 2" xfId="33434" xr:uid="{00000000-0005-0000-0000-0000DC850000}"/>
    <cellStyle name="Normal 31 2 5 3" xfId="33435" xr:uid="{00000000-0005-0000-0000-0000DD850000}"/>
    <cellStyle name="Normal 31 2 5 4" xfId="33436" xr:uid="{00000000-0005-0000-0000-0000DE850000}"/>
    <cellStyle name="Normal 31 2 5 5" xfId="33437" xr:uid="{00000000-0005-0000-0000-0000DF850000}"/>
    <cellStyle name="Normal 31 2 5 6" xfId="33438" xr:uid="{00000000-0005-0000-0000-0000E0850000}"/>
    <cellStyle name="Normal 31 2 6" xfId="33439" xr:uid="{00000000-0005-0000-0000-0000E1850000}"/>
    <cellStyle name="Normal 31 2 6 2" xfId="33440" xr:uid="{00000000-0005-0000-0000-0000E2850000}"/>
    <cellStyle name="Normal 31 2 6 3" xfId="33441" xr:uid="{00000000-0005-0000-0000-0000E3850000}"/>
    <cellStyle name="Normal 31 2 6 4" xfId="33442" xr:uid="{00000000-0005-0000-0000-0000E4850000}"/>
    <cellStyle name="Normal 31 2 6 5" xfId="33443" xr:uid="{00000000-0005-0000-0000-0000E5850000}"/>
    <cellStyle name="Normal 31 2 6 6" xfId="33444" xr:uid="{00000000-0005-0000-0000-0000E6850000}"/>
    <cellStyle name="Normal 31 2 7" xfId="33445" xr:uid="{00000000-0005-0000-0000-0000E7850000}"/>
    <cellStyle name="Normal 31 2 7 2" xfId="33446" xr:uid="{00000000-0005-0000-0000-0000E8850000}"/>
    <cellStyle name="Normal 31 2 7 3" xfId="33447" xr:uid="{00000000-0005-0000-0000-0000E9850000}"/>
    <cellStyle name="Normal 31 2 7 4" xfId="33448" xr:uid="{00000000-0005-0000-0000-0000EA850000}"/>
    <cellStyle name="Normal 31 2 7 5" xfId="33449" xr:uid="{00000000-0005-0000-0000-0000EB850000}"/>
    <cellStyle name="Normal 31 2 7 6" xfId="33450" xr:uid="{00000000-0005-0000-0000-0000EC850000}"/>
    <cellStyle name="Normal 31 2 8" xfId="33451" xr:uid="{00000000-0005-0000-0000-0000ED850000}"/>
    <cellStyle name="Normal 31 2 8 2" xfId="33452" xr:uid="{00000000-0005-0000-0000-0000EE850000}"/>
    <cellStyle name="Normal 31 2 8 3" xfId="33453" xr:uid="{00000000-0005-0000-0000-0000EF850000}"/>
    <cellStyle name="Normal 31 2 8 4" xfId="33454" xr:uid="{00000000-0005-0000-0000-0000F0850000}"/>
    <cellStyle name="Normal 31 2 8 5" xfId="33455" xr:uid="{00000000-0005-0000-0000-0000F1850000}"/>
    <cellStyle name="Normal 31 2 8 6" xfId="33456" xr:uid="{00000000-0005-0000-0000-0000F2850000}"/>
    <cellStyle name="Normal 31 2 9" xfId="33457" xr:uid="{00000000-0005-0000-0000-0000F3850000}"/>
    <cellStyle name="Normal 31 20" xfId="33458" xr:uid="{00000000-0005-0000-0000-0000F4850000}"/>
    <cellStyle name="Normal 31 21" xfId="33459" xr:uid="{00000000-0005-0000-0000-0000F5850000}"/>
    <cellStyle name="Normal 31 22" xfId="33460" xr:uid="{00000000-0005-0000-0000-0000F6850000}"/>
    <cellStyle name="Normal 31 23" xfId="33461" xr:uid="{00000000-0005-0000-0000-0000F7850000}"/>
    <cellStyle name="Normal 31 3" xfId="33462" xr:uid="{00000000-0005-0000-0000-0000F8850000}"/>
    <cellStyle name="Normal 31 3 10" xfId="33463" xr:uid="{00000000-0005-0000-0000-0000F9850000}"/>
    <cellStyle name="Normal 31 3 11" xfId="33464" xr:uid="{00000000-0005-0000-0000-0000FA850000}"/>
    <cellStyle name="Normal 31 3 12" xfId="33465" xr:uid="{00000000-0005-0000-0000-0000FB850000}"/>
    <cellStyle name="Normal 31 3 13" xfId="33466" xr:uid="{00000000-0005-0000-0000-0000FC850000}"/>
    <cellStyle name="Normal 31 3 2" xfId="33467" xr:uid="{00000000-0005-0000-0000-0000FD850000}"/>
    <cellStyle name="Normal 31 3 2 2" xfId="33468" xr:uid="{00000000-0005-0000-0000-0000FE850000}"/>
    <cellStyle name="Normal 31 3 2 3" xfId="33469" xr:uid="{00000000-0005-0000-0000-0000FF850000}"/>
    <cellStyle name="Normal 31 3 2 4" xfId="33470" xr:uid="{00000000-0005-0000-0000-000000860000}"/>
    <cellStyle name="Normal 31 3 2 5" xfId="33471" xr:uid="{00000000-0005-0000-0000-000001860000}"/>
    <cellStyle name="Normal 31 3 2 6" xfId="33472" xr:uid="{00000000-0005-0000-0000-000002860000}"/>
    <cellStyle name="Normal 31 3 3" xfId="33473" xr:uid="{00000000-0005-0000-0000-000003860000}"/>
    <cellStyle name="Normal 31 3 3 2" xfId="33474" xr:uid="{00000000-0005-0000-0000-000004860000}"/>
    <cellStyle name="Normal 31 3 3 3" xfId="33475" xr:uid="{00000000-0005-0000-0000-000005860000}"/>
    <cellStyle name="Normal 31 3 3 4" xfId="33476" xr:uid="{00000000-0005-0000-0000-000006860000}"/>
    <cellStyle name="Normal 31 3 3 5" xfId="33477" xr:uid="{00000000-0005-0000-0000-000007860000}"/>
    <cellStyle name="Normal 31 3 3 6" xfId="33478" xr:uid="{00000000-0005-0000-0000-000008860000}"/>
    <cellStyle name="Normal 31 3 4" xfId="33479" xr:uid="{00000000-0005-0000-0000-000009860000}"/>
    <cellStyle name="Normal 31 3 4 2" xfId="33480" xr:uid="{00000000-0005-0000-0000-00000A860000}"/>
    <cellStyle name="Normal 31 3 4 3" xfId="33481" xr:uid="{00000000-0005-0000-0000-00000B860000}"/>
    <cellStyle name="Normal 31 3 4 4" xfId="33482" xr:uid="{00000000-0005-0000-0000-00000C860000}"/>
    <cellStyle name="Normal 31 3 4 5" xfId="33483" xr:uid="{00000000-0005-0000-0000-00000D860000}"/>
    <cellStyle name="Normal 31 3 4 6" xfId="33484" xr:uid="{00000000-0005-0000-0000-00000E860000}"/>
    <cellStyle name="Normal 31 3 5" xfId="33485" xr:uid="{00000000-0005-0000-0000-00000F860000}"/>
    <cellStyle name="Normal 31 3 5 2" xfId="33486" xr:uid="{00000000-0005-0000-0000-000010860000}"/>
    <cellStyle name="Normal 31 3 5 3" xfId="33487" xr:uid="{00000000-0005-0000-0000-000011860000}"/>
    <cellStyle name="Normal 31 3 5 4" xfId="33488" xr:uid="{00000000-0005-0000-0000-000012860000}"/>
    <cellStyle name="Normal 31 3 5 5" xfId="33489" xr:uid="{00000000-0005-0000-0000-000013860000}"/>
    <cellStyle name="Normal 31 3 5 6" xfId="33490" xr:uid="{00000000-0005-0000-0000-000014860000}"/>
    <cellStyle name="Normal 31 3 6" xfId="33491" xr:uid="{00000000-0005-0000-0000-000015860000}"/>
    <cellStyle name="Normal 31 3 6 2" xfId="33492" xr:uid="{00000000-0005-0000-0000-000016860000}"/>
    <cellStyle name="Normal 31 3 6 3" xfId="33493" xr:uid="{00000000-0005-0000-0000-000017860000}"/>
    <cellStyle name="Normal 31 3 6 4" xfId="33494" xr:uid="{00000000-0005-0000-0000-000018860000}"/>
    <cellStyle name="Normal 31 3 6 5" xfId="33495" xr:uid="{00000000-0005-0000-0000-000019860000}"/>
    <cellStyle name="Normal 31 3 6 6" xfId="33496" xr:uid="{00000000-0005-0000-0000-00001A860000}"/>
    <cellStyle name="Normal 31 3 7" xfId="33497" xr:uid="{00000000-0005-0000-0000-00001B860000}"/>
    <cellStyle name="Normal 31 3 7 2" xfId="33498" xr:uid="{00000000-0005-0000-0000-00001C860000}"/>
    <cellStyle name="Normal 31 3 7 3" xfId="33499" xr:uid="{00000000-0005-0000-0000-00001D860000}"/>
    <cellStyle name="Normal 31 3 7 4" xfId="33500" xr:uid="{00000000-0005-0000-0000-00001E860000}"/>
    <cellStyle name="Normal 31 3 7 5" xfId="33501" xr:uid="{00000000-0005-0000-0000-00001F860000}"/>
    <cellStyle name="Normal 31 3 7 6" xfId="33502" xr:uid="{00000000-0005-0000-0000-000020860000}"/>
    <cellStyle name="Normal 31 3 8" xfId="33503" xr:uid="{00000000-0005-0000-0000-000021860000}"/>
    <cellStyle name="Normal 31 3 8 2" xfId="33504" xr:uid="{00000000-0005-0000-0000-000022860000}"/>
    <cellStyle name="Normal 31 3 8 3" xfId="33505" xr:uid="{00000000-0005-0000-0000-000023860000}"/>
    <cellStyle name="Normal 31 3 8 4" xfId="33506" xr:uid="{00000000-0005-0000-0000-000024860000}"/>
    <cellStyle name="Normal 31 3 8 5" xfId="33507" xr:uid="{00000000-0005-0000-0000-000025860000}"/>
    <cellStyle name="Normal 31 3 8 6" xfId="33508" xr:uid="{00000000-0005-0000-0000-000026860000}"/>
    <cellStyle name="Normal 31 3 9" xfId="33509" xr:uid="{00000000-0005-0000-0000-000027860000}"/>
    <cellStyle name="Normal 31 4" xfId="33510" xr:uid="{00000000-0005-0000-0000-000028860000}"/>
    <cellStyle name="Normal 31 4 10" xfId="33511" xr:uid="{00000000-0005-0000-0000-000029860000}"/>
    <cellStyle name="Normal 31 4 11" xfId="33512" xr:uid="{00000000-0005-0000-0000-00002A860000}"/>
    <cellStyle name="Normal 31 4 12" xfId="33513" xr:uid="{00000000-0005-0000-0000-00002B860000}"/>
    <cellStyle name="Normal 31 4 13" xfId="33514" xr:uid="{00000000-0005-0000-0000-00002C860000}"/>
    <cellStyle name="Normal 31 4 2" xfId="33515" xr:uid="{00000000-0005-0000-0000-00002D860000}"/>
    <cellStyle name="Normal 31 4 2 2" xfId="33516" xr:uid="{00000000-0005-0000-0000-00002E860000}"/>
    <cellStyle name="Normal 31 4 2 3" xfId="33517" xr:uid="{00000000-0005-0000-0000-00002F860000}"/>
    <cellStyle name="Normal 31 4 2 4" xfId="33518" xr:uid="{00000000-0005-0000-0000-000030860000}"/>
    <cellStyle name="Normal 31 4 2 5" xfId="33519" xr:uid="{00000000-0005-0000-0000-000031860000}"/>
    <cellStyle name="Normal 31 4 2 6" xfId="33520" xr:uid="{00000000-0005-0000-0000-000032860000}"/>
    <cellStyle name="Normal 31 4 3" xfId="33521" xr:uid="{00000000-0005-0000-0000-000033860000}"/>
    <cellStyle name="Normal 31 4 3 2" xfId="33522" xr:uid="{00000000-0005-0000-0000-000034860000}"/>
    <cellStyle name="Normal 31 4 3 3" xfId="33523" xr:uid="{00000000-0005-0000-0000-000035860000}"/>
    <cellStyle name="Normal 31 4 3 4" xfId="33524" xr:uid="{00000000-0005-0000-0000-000036860000}"/>
    <cellStyle name="Normal 31 4 3 5" xfId="33525" xr:uid="{00000000-0005-0000-0000-000037860000}"/>
    <cellStyle name="Normal 31 4 3 6" xfId="33526" xr:uid="{00000000-0005-0000-0000-000038860000}"/>
    <cellStyle name="Normal 31 4 4" xfId="33527" xr:uid="{00000000-0005-0000-0000-000039860000}"/>
    <cellStyle name="Normal 31 4 4 2" xfId="33528" xr:uid="{00000000-0005-0000-0000-00003A860000}"/>
    <cellStyle name="Normal 31 4 4 3" xfId="33529" xr:uid="{00000000-0005-0000-0000-00003B860000}"/>
    <cellStyle name="Normal 31 4 4 4" xfId="33530" xr:uid="{00000000-0005-0000-0000-00003C860000}"/>
    <cellStyle name="Normal 31 4 4 5" xfId="33531" xr:uid="{00000000-0005-0000-0000-00003D860000}"/>
    <cellStyle name="Normal 31 4 4 6" xfId="33532" xr:uid="{00000000-0005-0000-0000-00003E860000}"/>
    <cellStyle name="Normal 31 4 5" xfId="33533" xr:uid="{00000000-0005-0000-0000-00003F860000}"/>
    <cellStyle name="Normal 31 4 5 2" xfId="33534" xr:uid="{00000000-0005-0000-0000-000040860000}"/>
    <cellStyle name="Normal 31 4 5 3" xfId="33535" xr:uid="{00000000-0005-0000-0000-000041860000}"/>
    <cellStyle name="Normal 31 4 5 4" xfId="33536" xr:uid="{00000000-0005-0000-0000-000042860000}"/>
    <cellStyle name="Normal 31 4 5 5" xfId="33537" xr:uid="{00000000-0005-0000-0000-000043860000}"/>
    <cellStyle name="Normal 31 4 5 6" xfId="33538" xr:uid="{00000000-0005-0000-0000-000044860000}"/>
    <cellStyle name="Normal 31 4 6" xfId="33539" xr:uid="{00000000-0005-0000-0000-000045860000}"/>
    <cellStyle name="Normal 31 4 6 2" xfId="33540" xr:uid="{00000000-0005-0000-0000-000046860000}"/>
    <cellStyle name="Normal 31 4 6 3" xfId="33541" xr:uid="{00000000-0005-0000-0000-000047860000}"/>
    <cellStyle name="Normal 31 4 6 4" xfId="33542" xr:uid="{00000000-0005-0000-0000-000048860000}"/>
    <cellStyle name="Normal 31 4 6 5" xfId="33543" xr:uid="{00000000-0005-0000-0000-000049860000}"/>
    <cellStyle name="Normal 31 4 6 6" xfId="33544" xr:uid="{00000000-0005-0000-0000-00004A860000}"/>
    <cellStyle name="Normal 31 4 7" xfId="33545" xr:uid="{00000000-0005-0000-0000-00004B860000}"/>
    <cellStyle name="Normal 31 4 7 2" xfId="33546" xr:uid="{00000000-0005-0000-0000-00004C860000}"/>
    <cellStyle name="Normal 31 4 7 3" xfId="33547" xr:uid="{00000000-0005-0000-0000-00004D860000}"/>
    <cellStyle name="Normal 31 4 7 4" xfId="33548" xr:uid="{00000000-0005-0000-0000-00004E860000}"/>
    <cellStyle name="Normal 31 4 7 5" xfId="33549" xr:uid="{00000000-0005-0000-0000-00004F860000}"/>
    <cellStyle name="Normal 31 4 7 6" xfId="33550" xr:uid="{00000000-0005-0000-0000-000050860000}"/>
    <cellStyle name="Normal 31 4 8" xfId="33551" xr:uid="{00000000-0005-0000-0000-000051860000}"/>
    <cellStyle name="Normal 31 4 8 2" xfId="33552" xr:uid="{00000000-0005-0000-0000-000052860000}"/>
    <cellStyle name="Normal 31 4 8 3" xfId="33553" xr:uid="{00000000-0005-0000-0000-000053860000}"/>
    <cellStyle name="Normal 31 4 8 4" xfId="33554" xr:uid="{00000000-0005-0000-0000-000054860000}"/>
    <cellStyle name="Normal 31 4 8 5" xfId="33555" xr:uid="{00000000-0005-0000-0000-000055860000}"/>
    <cellStyle name="Normal 31 4 8 6" xfId="33556" xr:uid="{00000000-0005-0000-0000-000056860000}"/>
    <cellStyle name="Normal 31 4 9" xfId="33557" xr:uid="{00000000-0005-0000-0000-000057860000}"/>
    <cellStyle name="Normal 31 5" xfId="33558" xr:uid="{00000000-0005-0000-0000-000058860000}"/>
    <cellStyle name="Normal 31 5 10" xfId="33559" xr:uid="{00000000-0005-0000-0000-000059860000}"/>
    <cellStyle name="Normal 31 5 11" xfId="33560" xr:uid="{00000000-0005-0000-0000-00005A860000}"/>
    <cellStyle name="Normal 31 5 12" xfId="33561" xr:uid="{00000000-0005-0000-0000-00005B860000}"/>
    <cellStyle name="Normal 31 5 13" xfId="33562" xr:uid="{00000000-0005-0000-0000-00005C860000}"/>
    <cellStyle name="Normal 31 5 2" xfId="33563" xr:uid="{00000000-0005-0000-0000-00005D860000}"/>
    <cellStyle name="Normal 31 5 2 2" xfId="33564" xr:uid="{00000000-0005-0000-0000-00005E860000}"/>
    <cellStyle name="Normal 31 5 2 3" xfId="33565" xr:uid="{00000000-0005-0000-0000-00005F860000}"/>
    <cellStyle name="Normal 31 5 2 4" xfId="33566" xr:uid="{00000000-0005-0000-0000-000060860000}"/>
    <cellStyle name="Normal 31 5 2 5" xfId="33567" xr:uid="{00000000-0005-0000-0000-000061860000}"/>
    <cellStyle name="Normal 31 5 2 6" xfId="33568" xr:uid="{00000000-0005-0000-0000-000062860000}"/>
    <cellStyle name="Normal 31 5 3" xfId="33569" xr:uid="{00000000-0005-0000-0000-000063860000}"/>
    <cellStyle name="Normal 31 5 3 2" xfId="33570" xr:uid="{00000000-0005-0000-0000-000064860000}"/>
    <cellStyle name="Normal 31 5 3 3" xfId="33571" xr:uid="{00000000-0005-0000-0000-000065860000}"/>
    <cellStyle name="Normal 31 5 3 4" xfId="33572" xr:uid="{00000000-0005-0000-0000-000066860000}"/>
    <cellStyle name="Normal 31 5 3 5" xfId="33573" xr:uid="{00000000-0005-0000-0000-000067860000}"/>
    <cellStyle name="Normal 31 5 3 6" xfId="33574" xr:uid="{00000000-0005-0000-0000-000068860000}"/>
    <cellStyle name="Normal 31 5 4" xfId="33575" xr:uid="{00000000-0005-0000-0000-000069860000}"/>
    <cellStyle name="Normal 31 5 4 2" xfId="33576" xr:uid="{00000000-0005-0000-0000-00006A860000}"/>
    <cellStyle name="Normal 31 5 4 3" xfId="33577" xr:uid="{00000000-0005-0000-0000-00006B860000}"/>
    <cellStyle name="Normal 31 5 4 4" xfId="33578" xr:uid="{00000000-0005-0000-0000-00006C860000}"/>
    <cellStyle name="Normal 31 5 4 5" xfId="33579" xr:uid="{00000000-0005-0000-0000-00006D860000}"/>
    <cellStyle name="Normal 31 5 4 6" xfId="33580" xr:uid="{00000000-0005-0000-0000-00006E860000}"/>
    <cellStyle name="Normal 31 5 5" xfId="33581" xr:uid="{00000000-0005-0000-0000-00006F860000}"/>
    <cellStyle name="Normal 31 5 5 2" xfId="33582" xr:uid="{00000000-0005-0000-0000-000070860000}"/>
    <cellStyle name="Normal 31 5 5 3" xfId="33583" xr:uid="{00000000-0005-0000-0000-000071860000}"/>
    <cellStyle name="Normal 31 5 5 4" xfId="33584" xr:uid="{00000000-0005-0000-0000-000072860000}"/>
    <cellStyle name="Normal 31 5 5 5" xfId="33585" xr:uid="{00000000-0005-0000-0000-000073860000}"/>
    <cellStyle name="Normal 31 5 5 6" xfId="33586" xr:uid="{00000000-0005-0000-0000-000074860000}"/>
    <cellStyle name="Normal 31 5 6" xfId="33587" xr:uid="{00000000-0005-0000-0000-000075860000}"/>
    <cellStyle name="Normal 31 5 6 2" xfId="33588" xr:uid="{00000000-0005-0000-0000-000076860000}"/>
    <cellStyle name="Normal 31 5 6 3" xfId="33589" xr:uid="{00000000-0005-0000-0000-000077860000}"/>
    <cellStyle name="Normal 31 5 6 4" xfId="33590" xr:uid="{00000000-0005-0000-0000-000078860000}"/>
    <cellStyle name="Normal 31 5 6 5" xfId="33591" xr:uid="{00000000-0005-0000-0000-000079860000}"/>
    <cellStyle name="Normal 31 5 6 6" xfId="33592" xr:uid="{00000000-0005-0000-0000-00007A860000}"/>
    <cellStyle name="Normal 31 5 7" xfId="33593" xr:uid="{00000000-0005-0000-0000-00007B860000}"/>
    <cellStyle name="Normal 31 5 7 2" xfId="33594" xr:uid="{00000000-0005-0000-0000-00007C860000}"/>
    <cellStyle name="Normal 31 5 7 3" xfId="33595" xr:uid="{00000000-0005-0000-0000-00007D860000}"/>
    <cellStyle name="Normal 31 5 7 4" xfId="33596" xr:uid="{00000000-0005-0000-0000-00007E860000}"/>
    <cellStyle name="Normal 31 5 7 5" xfId="33597" xr:uid="{00000000-0005-0000-0000-00007F860000}"/>
    <cellStyle name="Normal 31 5 7 6" xfId="33598" xr:uid="{00000000-0005-0000-0000-000080860000}"/>
    <cellStyle name="Normal 31 5 8" xfId="33599" xr:uid="{00000000-0005-0000-0000-000081860000}"/>
    <cellStyle name="Normal 31 5 8 2" xfId="33600" xr:uid="{00000000-0005-0000-0000-000082860000}"/>
    <cellStyle name="Normal 31 5 8 3" xfId="33601" xr:uid="{00000000-0005-0000-0000-000083860000}"/>
    <cellStyle name="Normal 31 5 8 4" xfId="33602" xr:uid="{00000000-0005-0000-0000-000084860000}"/>
    <cellStyle name="Normal 31 5 8 5" xfId="33603" xr:uid="{00000000-0005-0000-0000-000085860000}"/>
    <cellStyle name="Normal 31 5 8 6" xfId="33604" xr:uid="{00000000-0005-0000-0000-000086860000}"/>
    <cellStyle name="Normal 31 5 9" xfId="33605" xr:uid="{00000000-0005-0000-0000-000087860000}"/>
    <cellStyle name="Normal 31 6" xfId="33606" xr:uid="{00000000-0005-0000-0000-000088860000}"/>
    <cellStyle name="Normal 31 6 10" xfId="33607" xr:uid="{00000000-0005-0000-0000-000089860000}"/>
    <cellStyle name="Normal 31 6 11" xfId="33608" xr:uid="{00000000-0005-0000-0000-00008A860000}"/>
    <cellStyle name="Normal 31 6 12" xfId="33609" xr:uid="{00000000-0005-0000-0000-00008B860000}"/>
    <cellStyle name="Normal 31 6 13" xfId="33610" xr:uid="{00000000-0005-0000-0000-00008C860000}"/>
    <cellStyle name="Normal 31 6 2" xfId="33611" xr:uid="{00000000-0005-0000-0000-00008D860000}"/>
    <cellStyle name="Normal 31 6 2 2" xfId="33612" xr:uid="{00000000-0005-0000-0000-00008E860000}"/>
    <cellStyle name="Normal 31 6 2 3" xfId="33613" xr:uid="{00000000-0005-0000-0000-00008F860000}"/>
    <cellStyle name="Normal 31 6 2 4" xfId="33614" xr:uid="{00000000-0005-0000-0000-000090860000}"/>
    <cellStyle name="Normal 31 6 2 5" xfId="33615" xr:uid="{00000000-0005-0000-0000-000091860000}"/>
    <cellStyle name="Normal 31 6 2 6" xfId="33616" xr:uid="{00000000-0005-0000-0000-000092860000}"/>
    <cellStyle name="Normal 31 6 3" xfId="33617" xr:uid="{00000000-0005-0000-0000-000093860000}"/>
    <cellStyle name="Normal 31 6 3 2" xfId="33618" xr:uid="{00000000-0005-0000-0000-000094860000}"/>
    <cellStyle name="Normal 31 6 3 3" xfId="33619" xr:uid="{00000000-0005-0000-0000-000095860000}"/>
    <cellStyle name="Normal 31 6 3 4" xfId="33620" xr:uid="{00000000-0005-0000-0000-000096860000}"/>
    <cellStyle name="Normal 31 6 3 5" xfId="33621" xr:uid="{00000000-0005-0000-0000-000097860000}"/>
    <cellStyle name="Normal 31 6 3 6" xfId="33622" xr:uid="{00000000-0005-0000-0000-000098860000}"/>
    <cellStyle name="Normal 31 6 4" xfId="33623" xr:uid="{00000000-0005-0000-0000-000099860000}"/>
    <cellStyle name="Normal 31 6 4 2" xfId="33624" xr:uid="{00000000-0005-0000-0000-00009A860000}"/>
    <cellStyle name="Normal 31 6 4 3" xfId="33625" xr:uid="{00000000-0005-0000-0000-00009B860000}"/>
    <cellStyle name="Normal 31 6 4 4" xfId="33626" xr:uid="{00000000-0005-0000-0000-00009C860000}"/>
    <cellStyle name="Normal 31 6 4 5" xfId="33627" xr:uid="{00000000-0005-0000-0000-00009D860000}"/>
    <cellStyle name="Normal 31 6 4 6" xfId="33628" xr:uid="{00000000-0005-0000-0000-00009E860000}"/>
    <cellStyle name="Normal 31 6 5" xfId="33629" xr:uid="{00000000-0005-0000-0000-00009F860000}"/>
    <cellStyle name="Normal 31 6 5 2" xfId="33630" xr:uid="{00000000-0005-0000-0000-0000A0860000}"/>
    <cellStyle name="Normal 31 6 5 3" xfId="33631" xr:uid="{00000000-0005-0000-0000-0000A1860000}"/>
    <cellStyle name="Normal 31 6 5 4" xfId="33632" xr:uid="{00000000-0005-0000-0000-0000A2860000}"/>
    <cellStyle name="Normal 31 6 5 5" xfId="33633" xr:uid="{00000000-0005-0000-0000-0000A3860000}"/>
    <cellStyle name="Normal 31 6 5 6" xfId="33634" xr:uid="{00000000-0005-0000-0000-0000A4860000}"/>
    <cellStyle name="Normal 31 6 6" xfId="33635" xr:uid="{00000000-0005-0000-0000-0000A5860000}"/>
    <cellStyle name="Normal 31 6 6 2" xfId="33636" xr:uid="{00000000-0005-0000-0000-0000A6860000}"/>
    <cellStyle name="Normal 31 6 6 3" xfId="33637" xr:uid="{00000000-0005-0000-0000-0000A7860000}"/>
    <cellStyle name="Normal 31 6 6 4" xfId="33638" xr:uid="{00000000-0005-0000-0000-0000A8860000}"/>
    <cellStyle name="Normal 31 6 6 5" xfId="33639" xr:uid="{00000000-0005-0000-0000-0000A9860000}"/>
    <cellStyle name="Normal 31 6 6 6" xfId="33640" xr:uid="{00000000-0005-0000-0000-0000AA860000}"/>
    <cellStyle name="Normal 31 6 7" xfId="33641" xr:uid="{00000000-0005-0000-0000-0000AB860000}"/>
    <cellStyle name="Normal 31 6 7 2" xfId="33642" xr:uid="{00000000-0005-0000-0000-0000AC860000}"/>
    <cellStyle name="Normal 31 6 7 3" xfId="33643" xr:uid="{00000000-0005-0000-0000-0000AD860000}"/>
    <cellStyle name="Normal 31 6 7 4" xfId="33644" xr:uid="{00000000-0005-0000-0000-0000AE860000}"/>
    <cellStyle name="Normal 31 6 7 5" xfId="33645" xr:uid="{00000000-0005-0000-0000-0000AF860000}"/>
    <cellStyle name="Normal 31 6 7 6" xfId="33646" xr:uid="{00000000-0005-0000-0000-0000B0860000}"/>
    <cellStyle name="Normal 31 6 8" xfId="33647" xr:uid="{00000000-0005-0000-0000-0000B1860000}"/>
    <cellStyle name="Normal 31 6 8 2" xfId="33648" xr:uid="{00000000-0005-0000-0000-0000B2860000}"/>
    <cellStyle name="Normal 31 6 8 3" xfId="33649" xr:uid="{00000000-0005-0000-0000-0000B3860000}"/>
    <cellStyle name="Normal 31 6 8 4" xfId="33650" xr:uid="{00000000-0005-0000-0000-0000B4860000}"/>
    <cellStyle name="Normal 31 6 8 5" xfId="33651" xr:uid="{00000000-0005-0000-0000-0000B5860000}"/>
    <cellStyle name="Normal 31 6 8 6" xfId="33652" xr:uid="{00000000-0005-0000-0000-0000B6860000}"/>
    <cellStyle name="Normal 31 6 9" xfId="33653" xr:uid="{00000000-0005-0000-0000-0000B7860000}"/>
    <cellStyle name="Normal 31 7" xfId="33654" xr:uid="{00000000-0005-0000-0000-0000B8860000}"/>
    <cellStyle name="Normal 31 7 10" xfId="33655" xr:uid="{00000000-0005-0000-0000-0000B9860000}"/>
    <cellStyle name="Normal 31 7 11" xfId="33656" xr:uid="{00000000-0005-0000-0000-0000BA860000}"/>
    <cellStyle name="Normal 31 7 12" xfId="33657" xr:uid="{00000000-0005-0000-0000-0000BB860000}"/>
    <cellStyle name="Normal 31 7 13" xfId="33658" xr:uid="{00000000-0005-0000-0000-0000BC860000}"/>
    <cellStyle name="Normal 31 7 2" xfId="33659" xr:uid="{00000000-0005-0000-0000-0000BD860000}"/>
    <cellStyle name="Normal 31 7 2 2" xfId="33660" xr:uid="{00000000-0005-0000-0000-0000BE860000}"/>
    <cellStyle name="Normal 31 7 2 3" xfId="33661" xr:uid="{00000000-0005-0000-0000-0000BF860000}"/>
    <cellStyle name="Normal 31 7 2 4" xfId="33662" xr:uid="{00000000-0005-0000-0000-0000C0860000}"/>
    <cellStyle name="Normal 31 7 2 5" xfId="33663" xr:uid="{00000000-0005-0000-0000-0000C1860000}"/>
    <cellStyle name="Normal 31 7 2 6" xfId="33664" xr:uid="{00000000-0005-0000-0000-0000C2860000}"/>
    <cellStyle name="Normal 31 7 3" xfId="33665" xr:uid="{00000000-0005-0000-0000-0000C3860000}"/>
    <cellStyle name="Normal 31 7 3 2" xfId="33666" xr:uid="{00000000-0005-0000-0000-0000C4860000}"/>
    <cellStyle name="Normal 31 7 3 3" xfId="33667" xr:uid="{00000000-0005-0000-0000-0000C5860000}"/>
    <cellStyle name="Normal 31 7 3 4" xfId="33668" xr:uid="{00000000-0005-0000-0000-0000C6860000}"/>
    <cellStyle name="Normal 31 7 3 5" xfId="33669" xr:uid="{00000000-0005-0000-0000-0000C7860000}"/>
    <cellStyle name="Normal 31 7 3 6" xfId="33670" xr:uid="{00000000-0005-0000-0000-0000C8860000}"/>
    <cellStyle name="Normal 31 7 4" xfId="33671" xr:uid="{00000000-0005-0000-0000-0000C9860000}"/>
    <cellStyle name="Normal 31 7 4 2" xfId="33672" xr:uid="{00000000-0005-0000-0000-0000CA860000}"/>
    <cellStyle name="Normal 31 7 4 3" xfId="33673" xr:uid="{00000000-0005-0000-0000-0000CB860000}"/>
    <cellStyle name="Normal 31 7 4 4" xfId="33674" xr:uid="{00000000-0005-0000-0000-0000CC860000}"/>
    <cellStyle name="Normal 31 7 4 5" xfId="33675" xr:uid="{00000000-0005-0000-0000-0000CD860000}"/>
    <cellStyle name="Normal 31 7 4 6" xfId="33676" xr:uid="{00000000-0005-0000-0000-0000CE860000}"/>
    <cellStyle name="Normal 31 7 5" xfId="33677" xr:uid="{00000000-0005-0000-0000-0000CF860000}"/>
    <cellStyle name="Normal 31 7 5 2" xfId="33678" xr:uid="{00000000-0005-0000-0000-0000D0860000}"/>
    <cellStyle name="Normal 31 7 5 3" xfId="33679" xr:uid="{00000000-0005-0000-0000-0000D1860000}"/>
    <cellStyle name="Normal 31 7 5 4" xfId="33680" xr:uid="{00000000-0005-0000-0000-0000D2860000}"/>
    <cellStyle name="Normal 31 7 5 5" xfId="33681" xr:uid="{00000000-0005-0000-0000-0000D3860000}"/>
    <cellStyle name="Normal 31 7 5 6" xfId="33682" xr:uid="{00000000-0005-0000-0000-0000D4860000}"/>
    <cellStyle name="Normal 31 7 6" xfId="33683" xr:uid="{00000000-0005-0000-0000-0000D5860000}"/>
    <cellStyle name="Normal 31 7 6 2" xfId="33684" xr:uid="{00000000-0005-0000-0000-0000D6860000}"/>
    <cellStyle name="Normal 31 7 6 3" xfId="33685" xr:uid="{00000000-0005-0000-0000-0000D7860000}"/>
    <cellStyle name="Normal 31 7 6 4" xfId="33686" xr:uid="{00000000-0005-0000-0000-0000D8860000}"/>
    <cellStyle name="Normal 31 7 6 5" xfId="33687" xr:uid="{00000000-0005-0000-0000-0000D9860000}"/>
    <cellStyle name="Normal 31 7 6 6" xfId="33688" xr:uid="{00000000-0005-0000-0000-0000DA860000}"/>
    <cellStyle name="Normal 31 7 7" xfId="33689" xr:uid="{00000000-0005-0000-0000-0000DB860000}"/>
    <cellStyle name="Normal 31 7 7 2" xfId="33690" xr:uid="{00000000-0005-0000-0000-0000DC860000}"/>
    <cellStyle name="Normal 31 7 7 3" xfId="33691" xr:uid="{00000000-0005-0000-0000-0000DD860000}"/>
    <cellStyle name="Normal 31 7 7 4" xfId="33692" xr:uid="{00000000-0005-0000-0000-0000DE860000}"/>
    <cellStyle name="Normal 31 7 7 5" xfId="33693" xr:uid="{00000000-0005-0000-0000-0000DF860000}"/>
    <cellStyle name="Normal 31 7 7 6" xfId="33694" xr:uid="{00000000-0005-0000-0000-0000E0860000}"/>
    <cellStyle name="Normal 31 7 8" xfId="33695" xr:uid="{00000000-0005-0000-0000-0000E1860000}"/>
    <cellStyle name="Normal 31 7 8 2" xfId="33696" xr:uid="{00000000-0005-0000-0000-0000E2860000}"/>
    <cellStyle name="Normal 31 7 8 3" xfId="33697" xr:uid="{00000000-0005-0000-0000-0000E3860000}"/>
    <cellStyle name="Normal 31 7 8 4" xfId="33698" xr:uid="{00000000-0005-0000-0000-0000E4860000}"/>
    <cellStyle name="Normal 31 7 8 5" xfId="33699" xr:uid="{00000000-0005-0000-0000-0000E5860000}"/>
    <cellStyle name="Normal 31 7 8 6" xfId="33700" xr:uid="{00000000-0005-0000-0000-0000E6860000}"/>
    <cellStyle name="Normal 31 7 9" xfId="33701" xr:uid="{00000000-0005-0000-0000-0000E7860000}"/>
    <cellStyle name="Normal 31 8" xfId="33702" xr:uid="{00000000-0005-0000-0000-0000E8860000}"/>
    <cellStyle name="Normal 31 8 10" xfId="33703" xr:uid="{00000000-0005-0000-0000-0000E9860000}"/>
    <cellStyle name="Normal 31 8 11" xfId="33704" xr:uid="{00000000-0005-0000-0000-0000EA860000}"/>
    <cellStyle name="Normal 31 8 12" xfId="33705" xr:uid="{00000000-0005-0000-0000-0000EB860000}"/>
    <cellStyle name="Normal 31 8 13" xfId="33706" xr:uid="{00000000-0005-0000-0000-0000EC860000}"/>
    <cellStyle name="Normal 31 8 2" xfId="33707" xr:uid="{00000000-0005-0000-0000-0000ED860000}"/>
    <cellStyle name="Normal 31 8 2 2" xfId="33708" xr:uid="{00000000-0005-0000-0000-0000EE860000}"/>
    <cellStyle name="Normal 31 8 2 3" xfId="33709" xr:uid="{00000000-0005-0000-0000-0000EF860000}"/>
    <cellStyle name="Normal 31 8 2 4" xfId="33710" xr:uid="{00000000-0005-0000-0000-0000F0860000}"/>
    <cellStyle name="Normal 31 8 2 5" xfId="33711" xr:uid="{00000000-0005-0000-0000-0000F1860000}"/>
    <cellStyle name="Normal 31 8 2 6" xfId="33712" xr:uid="{00000000-0005-0000-0000-0000F2860000}"/>
    <cellStyle name="Normal 31 8 3" xfId="33713" xr:uid="{00000000-0005-0000-0000-0000F3860000}"/>
    <cellStyle name="Normal 31 8 3 2" xfId="33714" xr:uid="{00000000-0005-0000-0000-0000F4860000}"/>
    <cellStyle name="Normal 31 8 3 3" xfId="33715" xr:uid="{00000000-0005-0000-0000-0000F5860000}"/>
    <cellStyle name="Normal 31 8 3 4" xfId="33716" xr:uid="{00000000-0005-0000-0000-0000F6860000}"/>
    <cellStyle name="Normal 31 8 3 5" xfId="33717" xr:uid="{00000000-0005-0000-0000-0000F7860000}"/>
    <cellStyle name="Normal 31 8 3 6" xfId="33718" xr:uid="{00000000-0005-0000-0000-0000F8860000}"/>
    <cellStyle name="Normal 31 8 4" xfId="33719" xr:uid="{00000000-0005-0000-0000-0000F9860000}"/>
    <cellStyle name="Normal 31 8 4 2" xfId="33720" xr:uid="{00000000-0005-0000-0000-0000FA860000}"/>
    <cellStyle name="Normal 31 8 4 3" xfId="33721" xr:uid="{00000000-0005-0000-0000-0000FB860000}"/>
    <cellStyle name="Normal 31 8 4 4" xfId="33722" xr:uid="{00000000-0005-0000-0000-0000FC860000}"/>
    <cellStyle name="Normal 31 8 4 5" xfId="33723" xr:uid="{00000000-0005-0000-0000-0000FD860000}"/>
    <cellStyle name="Normal 31 8 4 6" xfId="33724" xr:uid="{00000000-0005-0000-0000-0000FE860000}"/>
    <cellStyle name="Normal 31 8 5" xfId="33725" xr:uid="{00000000-0005-0000-0000-0000FF860000}"/>
    <cellStyle name="Normal 31 8 5 2" xfId="33726" xr:uid="{00000000-0005-0000-0000-000000870000}"/>
    <cellStyle name="Normal 31 8 5 3" xfId="33727" xr:uid="{00000000-0005-0000-0000-000001870000}"/>
    <cellStyle name="Normal 31 8 5 4" xfId="33728" xr:uid="{00000000-0005-0000-0000-000002870000}"/>
    <cellStyle name="Normal 31 8 5 5" xfId="33729" xr:uid="{00000000-0005-0000-0000-000003870000}"/>
    <cellStyle name="Normal 31 8 5 6" xfId="33730" xr:uid="{00000000-0005-0000-0000-000004870000}"/>
    <cellStyle name="Normal 31 8 6" xfId="33731" xr:uid="{00000000-0005-0000-0000-000005870000}"/>
    <cellStyle name="Normal 31 8 6 2" xfId="33732" xr:uid="{00000000-0005-0000-0000-000006870000}"/>
    <cellStyle name="Normal 31 8 6 3" xfId="33733" xr:uid="{00000000-0005-0000-0000-000007870000}"/>
    <cellStyle name="Normal 31 8 6 4" xfId="33734" xr:uid="{00000000-0005-0000-0000-000008870000}"/>
    <cellStyle name="Normal 31 8 6 5" xfId="33735" xr:uid="{00000000-0005-0000-0000-000009870000}"/>
    <cellStyle name="Normal 31 8 6 6" xfId="33736" xr:uid="{00000000-0005-0000-0000-00000A870000}"/>
    <cellStyle name="Normal 31 8 7" xfId="33737" xr:uid="{00000000-0005-0000-0000-00000B870000}"/>
    <cellStyle name="Normal 31 8 7 2" xfId="33738" xr:uid="{00000000-0005-0000-0000-00000C870000}"/>
    <cellStyle name="Normal 31 8 7 3" xfId="33739" xr:uid="{00000000-0005-0000-0000-00000D870000}"/>
    <cellStyle name="Normal 31 8 7 4" xfId="33740" xr:uid="{00000000-0005-0000-0000-00000E870000}"/>
    <cellStyle name="Normal 31 8 7 5" xfId="33741" xr:uid="{00000000-0005-0000-0000-00000F870000}"/>
    <cellStyle name="Normal 31 8 7 6" xfId="33742" xr:uid="{00000000-0005-0000-0000-000010870000}"/>
    <cellStyle name="Normal 31 8 8" xfId="33743" xr:uid="{00000000-0005-0000-0000-000011870000}"/>
    <cellStyle name="Normal 31 8 8 2" xfId="33744" xr:uid="{00000000-0005-0000-0000-000012870000}"/>
    <cellStyle name="Normal 31 8 8 3" xfId="33745" xr:uid="{00000000-0005-0000-0000-000013870000}"/>
    <cellStyle name="Normal 31 8 8 4" xfId="33746" xr:uid="{00000000-0005-0000-0000-000014870000}"/>
    <cellStyle name="Normal 31 8 8 5" xfId="33747" xr:uid="{00000000-0005-0000-0000-000015870000}"/>
    <cellStyle name="Normal 31 8 8 6" xfId="33748" xr:uid="{00000000-0005-0000-0000-000016870000}"/>
    <cellStyle name="Normal 31 8 9" xfId="33749" xr:uid="{00000000-0005-0000-0000-000017870000}"/>
    <cellStyle name="Normal 31 9" xfId="33750" xr:uid="{00000000-0005-0000-0000-000018870000}"/>
    <cellStyle name="Normal 31 9 10" xfId="33751" xr:uid="{00000000-0005-0000-0000-000019870000}"/>
    <cellStyle name="Normal 31 9 11" xfId="33752" xr:uid="{00000000-0005-0000-0000-00001A870000}"/>
    <cellStyle name="Normal 31 9 12" xfId="33753" xr:uid="{00000000-0005-0000-0000-00001B870000}"/>
    <cellStyle name="Normal 31 9 13" xfId="33754" xr:uid="{00000000-0005-0000-0000-00001C870000}"/>
    <cellStyle name="Normal 31 9 2" xfId="33755" xr:uid="{00000000-0005-0000-0000-00001D870000}"/>
    <cellStyle name="Normal 31 9 2 2" xfId="33756" xr:uid="{00000000-0005-0000-0000-00001E870000}"/>
    <cellStyle name="Normal 31 9 2 3" xfId="33757" xr:uid="{00000000-0005-0000-0000-00001F870000}"/>
    <cellStyle name="Normal 31 9 2 4" xfId="33758" xr:uid="{00000000-0005-0000-0000-000020870000}"/>
    <cellStyle name="Normal 31 9 2 5" xfId="33759" xr:uid="{00000000-0005-0000-0000-000021870000}"/>
    <cellStyle name="Normal 31 9 2 6" xfId="33760" xr:uid="{00000000-0005-0000-0000-000022870000}"/>
    <cellStyle name="Normal 31 9 3" xfId="33761" xr:uid="{00000000-0005-0000-0000-000023870000}"/>
    <cellStyle name="Normal 31 9 3 2" xfId="33762" xr:uid="{00000000-0005-0000-0000-000024870000}"/>
    <cellStyle name="Normal 31 9 3 3" xfId="33763" xr:uid="{00000000-0005-0000-0000-000025870000}"/>
    <cellStyle name="Normal 31 9 3 4" xfId="33764" xr:uid="{00000000-0005-0000-0000-000026870000}"/>
    <cellStyle name="Normal 31 9 3 5" xfId="33765" xr:uid="{00000000-0005-0000-0000-000027870000}"/>
    <cellStyle name="Normal 31 9 3 6" xfId="33766" xr:uid="{00000000-0005-0000-0000-000028870000}"/>
    <cellStyle name="Normal 31 9 4" xfId="33767" xr:uid="{00000000-0005-0000-0000-000029870000}"/>
    <cellStyle name="Normal 31 9 4 2" xfId="33768" xr:uid="{00000000-0005-0000-0000-00002A870000}"/>
    <cellStyle name="Normal 31 9 4 3" xfId="33769" xr:uid="{00000000-0005-0000-0000-00002B870000}"/>
    <cellStyle name="Normal 31 9 4 4" xfId="33770" xr:uid="{00000000-0005-0000-0000-00002C870000}"/>
    <cellStyle name="Normal 31 9 4 5" xfId="33771" xr:uid="{00000000-0005-0000-0000-00002D870000}"/>
    <cellStyle name="Normal 31 9 4 6" xfId="33772" xr:uid="{00000000-0005-0000-0000-00002E870000}"/>
    <cellStyle name="Normal 31 9 5" xfId="33773" xr:uid="{00000000-0005-0000-0000-00002F870000}"/>
    <cellStyle name="Normal 31 9 5 2" xfId="33774" xr:uid="{00000000-0005-0000-0000-000030870000}"/>
    <cellStyle name="Normal 31 9 5 3" xfId="33775" xr:uid="{00000000-0005-0000-0000-000031870000}"/>
    <cellStyle name="Normal 31 9 5 4" xfId="33776" xr:uid="{00000000-0005-0000-0000-000032870000}"/>
    <cellStyle name="Normal 31 9 5 5" xfId="33777" xr:uid="{00000000-0005-0000-0000-000033870000}"/>
    <cellStyle name="Normal 31 9 5 6" xfId="33778" xr:uid="{00000000-0005-0000-0000-000034870000}"/>
    <cellStyle name="Normal 31 9 6" xfId="33779" xr:uid="{00000000-0005-0000-0000-000035870000}"/>
    <cellStyle name="Normal 31 9 6 2" xfId="33780" xr:uid="{00000000-0005-0000-0000-000036870000}"/>
    <cellStyle name="Normal 31 9 6 3" xfId="33781" xr:uid="{00000000-0005-0000-0000-000037870000}"/>
    <cellStyle name="Normal 31 9 6 4" xfId="33782" xr:uid="{00000000-0005-0000-0000-000038870000}"/>
    <cellStyle name="Normal 31 9 6 5" xfId="33783" xr:uid="{00000000-0005-0000-0000-000039870000}"/>
    <cellStyle name="Normal 31 9 6 6" xfId="33784" xr:uid="{00000000-0005-0000-0000-00003A870000}"/>
    <cellStyle name="Normal 31 9 7" xfId="33785" xr:uid="{00000000-0005-0000-0000-00003B870000}"/>
    <cellStyle name="Normal 31 9 7 2" xfId="33786" xr:uid="{00000000-0005-0000-0000-00003C870000}"/>
    <cellStyle name="Normal 31 9 7 3" xfId="33787" xr:uid="{00000000-0005-0000-0000-00003D870000}"/>
    <cellStyle name="Normal 31 9 7 4" xfId="33788" xr:uid="{00000000-0005-0000-0000-00003E870000}"/>
    <cellStyle name="Normal 31 9 7 5" xfId="33789" xr:uid="{00000000-0005-0000-0000-00003F870000}"/>
    <cellStyle name="Normal 31 9 7 6" xfId="33790" xr:uid="{00000000-0005-0000-0000-000040870000}"/>
    <cellStyle name="Normal 31 9 8" xfId="33791" xr:uid="{00000000-0005-0000-0000-000041870000}"/>
    <cellStyle name="Normal 31 9 8 2" xfId="33792" xr:uid="{00000000-0005-0000-0000-000042870000}"/>
    <cellStyle name="Normal 31 9 8 3" xfId="33793" xr:uid="{00000000-0005-0000-0000-000043870000}"/>
    <cellStyle name="Normal 31 9 8 4" xfId="33794" xr:uid="{00000000-0005-0000-0000-000044870000}"/>
    <cellStyle name="Normal 31 9 8 5" xfId="33795" xr:uid="{00000000-0005-0000-0000-000045870000}"/>
    <cellStyle name="Normal 31 9 8 6" xfId="33796" xr:uid="{00000000-0005-0000-0000-000046870000}"/>
    <cellStyle name="Normal 31 9 9" xfId="33797" xr:uid="{00000000-0005-0000-0000-000047870000}"/>
    <cellStyle name="Normal 32" xfId="33798" xr:uid="{00000000-0005-0000-0000-000048870000}"/>
    <cellStyle name="Normal 32 10" xfId="33799" xr:uid="{00000000-0005-0000-0000-000049870000}"/>
    <cellStyle name="Normal 32 10 10" xfId="33800" xr:uid="{00000000-0005-0000-0000-00004A870000}"/>
    <cellStyle name="Normal 32 10 11" xfId="33801" xr:uid="{00000000-0005-0000-0000-00004B870000}"/>
    <cellStyle name="Normal 32 10 12" xfId="33802" xr:uid="{00000000-0005-0000-0000-00004C870000}"/>
    <cellStyle name="Normal 32 10 13" xfId="33803" xr:uid="{00000000-0005-0000-0000-00004D870000}"/>
    <cellStyle name="Normal 32 10 2" xfId="33804" xr:uid="{00000000-0005-0000-0000-00004E870000}"/>
    <cellStyle name="Normal 32 10 2 2" xfId="33805" xr:uid="{00000000-0005-0000-0000-00004F870000}"/>
    <cellStyle name="Normal 32 10 2 3" xfId="33806" xr:uid="{00000000-0005-0000-0000-000050870000}"/>
    <cellStyle name="Normal 32 10 2 4" xfId="33807" xr:uid="{00000000-0005-0000-0000-000051870000}"/>
    <cellStyle name="Normal 32 10 2 5" xfId="33808" xr:uid="{00000000-0005-0000-0000-000052870000}"/>
    <cellStyle name="Normal 32 10 2 6" xfId="33809" xr:uid="{00000000-0005-0000-0000-000053870000}"/>
    <cellStyle name="Normal 32 10 3" xfId="33810" xr:uid="{00000000-0005-0000-0000-000054870000}"/>
    <cellStyle name="Normal 32 10 3 2" xfId="33811" xr:uid="{00000000-0005-0000-0000-000055870000}"/>
    <cellStyle name="Normal 32 10 3 3" xfId="33812" xr:uid="{00000000-0005-0000-0000-000056870000}"/>
    <cellStyle name="Normal 32 10 3 4" xfId="33813" xr:uid="{00000000-0005-0000-0000-000057870000}"/>
    <cellStyle name="Normal 32 10 3 5" xfId="33814" xr:uid="{00000000-0005-0000-0000-000058870000}"/>
    <cellStyle name="Normal 32 10 3 6" xfId="33815" xr:uid="{00000000-0005-0000-0000-000059870000}"/>
    <cellStyle name="Normal 32 10 4" xfId="33816" xr:uid="{00000000-0005-0000-0000-00005A870000}"/>
    <cellStyle name="Normal 32 10 4 2" xfId="33817" xr:uid="{00000000-0005-0000-0000-00005B870000}"/>
    <cellStyle name="Normal 32 10 4 3" xfId="33818" xr:uid="{00000000-0005-0000-0000-00005C870000}"/>
    <cellStyle name="Normal 32 10 4 4" xfId="33819" xr:uid="{00000000-0005-0000-0000-00005D870000}"/>
    <cellStyle name="Normal 32 10 4 5" xfId="33820" xr:uid="{00000000-0005-0000-0000-00005E870000}"/>
    <cellStyle name="Normal 32 10 4 6" xfId="33821" xr:uid="{00000000-0005-0000-0000-00005F870000}"/>
    <cellStyle name="Normal 32 10 5" xfId="33822" xr:uid="{00000000-0005-0000-0000-000060870000}"/>
    <cellStyle name="Normal 32 10 5 2" xfId="33823" xr:uid="{00000000-0005-0000-0000-000061870000}"/>
    <cellStyle name="Normal 32 10 5 3" xfId="33824" xr:uid="{00000000-0005-0000-0000-000062870000}"/>
    <cellStyle name="Normal 32 10 5 4" xfId="33825" xr:uid="{00000000-0005-0000-0000-000063870000}"/>
    <cellStyle name="Normal 32 10 5 5" xfId="33826" xr:uid="{00000000-0005-0000-0000-000064870000}"/>
    <cellStyle name="Normal 32 10 5 6" xfId="33827" xr:uid="{00000000-0005-0000-0000-000065870000}"/>
    <cellStyle name="Normal 32 10 6" xfId="33828" xr:uid="{00000000-0005-0000-0000-000066870000}"/>
    <cellStyle name="Normal 32 10 6 2" xfId="33829" xr:uid="{00000000-0005-0000-0000-000067870000}"/>
    <cellStyle name="Normal 32 10 6 3" xfId="33830" xr:uid="{00000000-0005-0000-0000-000068870000}"/>
    <cellStyle name="Normal 32 10 6 4" xfId="33831" xr:uid="{00000000-0005-0000-0000-000069870000}"/>
    <cellStyle name="Normal 32 10 6 5" xfId="33832" xr:uid="{00000000-0005-0000-0000-00006A870000}"/>
    <cellStyle name="Normal 32 10 6 6" xfId="33833" xr:uid="{00000000-0005-0000-0000-00006B870000}"/>
    <cellStyle name="Normal 32 10 7" xfId="33834" xr:uid="{00000000-0005-0000-0000-00006C870000}"/>
    <cellStyle name="Normal 32 10 7 2" xfId="33835" xr:uid="{00000000-0005-0000-0000-00006D870000}"/>
    <cellStyle name="Normal 32 10 7 3" xfId="33836" xr:uid="{00000000-0005-0000-0000-00006E870000}"/>
    <cellStyle name="Normal 32 10 7 4" xfId="33837" xr:uid="{00000000-0005-0000-0000-00006F870000}"/>
    <cellStyle name="Normal 32 10 7 5" xfId="33838" xr:uid="{00000000-0005-0000-0000-000070870000}"/>
    <cellStyle name="Normal 32 10 7 6" xfId="33839" xr:uid="{00000000-0005-0000-0000-000071870000}"/>
    <cellStyle name="Normal 32 10 8" xfId="33840" xr:uid="{00000000-0005-0000-0000-000072870000}"/>
    <cellStyle name="Normal 32 10 8 2" xfId="33841" xr:uid="{00000000-0005-0000-0000-000073870000}"/>
    <cellStyle name="Normal 32 10 8 3" xfId="33842" xr:uid="{00000000-0005-0000-0000-000074870000}"/>
    <cellStyle name="Normal 32 10 8 4" xfId="33843" xr:uid="{00000000-0005-0000-0000-000075870000}"/>
    <cellStyle name="Normal 32 10 8 5" xfId="33844" xr:uid="{00000000-0005-0000-0000-000076870000}"/>
    <cellStyle name="Normal 32 10 8 6" xfId="33845" xr:uid="{00000000-0005-0000-0000-000077870000}"/>
    <cellStyle name="Normal 32 10 9" xfId="33846" xr:uid="{00000000-0005-0000-0000-000078870000}"/>
    <cellStyle name="Normal 32 11" xfId="33847" xr:uid="{00000000-0005-0000-0000-000079870000}"/>
    <cellStyle name="Normal 32 11 10" xfId="33848" xr:uid="{00000000-0005-0000-0000-00007A870000}"/>
    <cellStyle name="Normal 32 11 11" xfId="33849" xr:uid="{00000000-0005-0000-0000-00007B870000}"/>
    <cellStyle name="Normal 32 11 12" xfId="33850" xr:uid="{00000000-0005-0000-0000-00007C870000}"/>
    <cellStyle name="Normal 32 11 13" xfId="33851" xr:uid="{00000000-0005-0000-0000-00007D870000}"/>
    <cellStyle name="Normal 32 11 2" xfId="33852" xr:uid="{00000000-0005-0000-0000-00007E870000}"/>
    <cellStyle name="Normal 32 11 2 2" xfId="33853" xr:uid="{00000000-0005-0000-0000-00007F870000}"/>
    <cellStyle name="Normal 32 11 2 3" xfId="33854" xr:uid="{00000000-0005-0000-0000-000080870000}"/>
    <cellStyle name="Normal 32 11 2 4" xfId="33855" xr:uid="{00000000-0005-0000-0000-000081870000}"/>
    <cellStyle name="Normal 32 11 2 5" xfId="33856" xr:uid="{00000000-0005-0000-0000-000082870000}"/>
    <cellStyle name="Normal 32 11 2 6" xfId="33857" xr:uid="{00000000-0005-0000-0000-000083870000}"/>
    <cellStyle name="Normal 32 11 3" xfId="33858" xr:uid="{00000000-0005-0000-0000-000084870000}"/>
    <cellStyle name="Normal 32 11 3 2" xfId="33859" xr:uid="{00000000-0005-0000-0000-000085870000}"/>
    <cellStyle name="Normal 32 11 3 3" xfId="33860" xr:uid="{00000000-0005-0000-0000-000086870000}"/>
    <cellStyle name="Normal 32 11 3 4" xfId="33861" xr:uid="{00000000-0005-0000-0000-000087870000}"/>
    <cellStyle name="Normal 32 11 3 5" xfId="33862" xr:uid="{00000000-0005-0000-0000-000088870000}"/>
    <cellStyle name="Normal 32 11 3 6" xfId="33863" xr:uid="{00000000-0005-0000-0000-000089870000}"/>
    <cellStyle name="Normal 32 11 4" xfId="33864" xr:uid="{00000000-0005-0000-0000-00008A870000}"/>
    <cellStyle name="Normal 32 11 4 2" xfId="33865" xr:uid="{00000000-0005-0000-0000-00008B870000}"/>
    <cellStyle name="Normal 32 11 4 3" xfId="33866" xr:uid="{00000000-0005-0000-0000-00008C870000}"/>
    <cellStyle name="Normal 32 11 4 4" xfId="33867" xr:uid="{00000000-0005-0000-0000-00008D870000}"/>
    <cellStyle name="Normal 32 11 4 5" xfId="33868" xr:uid="{00000000-0005-0000-0000-00008E870000}"/>
    <cellStyle name="Normal 32 11 4 6" xfId="33869" xr:uid="{00000000-0005-0000-0000-00008F870000}"/>
    <cellStyle name="Normal 32 11 5" xfId="33870" xr:uid="{00000000-0005-0000-0000-000090870000}"/>
    <cellStyle name="Normal 32 11 5 2" xfId="33871" xr:uid="{00000000-0005-0000-0000-000091870000}"/>
    <cellStyle name="Normal 32 11 5 3" xfId="33872" xr:uid="{00000000-0005-0000-0000-000092870000}"/>
    <cellStyle name="Normal 32 11 5 4" xfId="33873" xr:uid="{00000000-0005-0000-0000-000093870000}"/>
    <cellStyle name="Normal 32 11 5 5" xfId="33874" xr:uid="{00000000-0005-0000-0000-000094870000}"/>
    <cellStyle name="Normal 32 11 5 6" xfId="33875" xr:uid="{00000000-0005-0000-0000-000095870000}"/>
    <cellStyle name="Normal 32 11 6" xfId="33876" xr:uid="{00000000-0005-0000-0000-000096870000}"/>
    <cellStyle name="Normal 32 11 6 2" xfId="33877" xr:uid="{00000000-0005-0000-0000-000097870000}"/>
    <cellStyle name="Normal 32 11 6 3" xfId="33878" xr:uid="{00000000-0005-0000-0000-000098870000}"/>
    <cellStyle name="Normal 32 11 6 4" xfId="33879" xr:uid="{00000000-0005-0000-0000-000099870000}"/>
    <cellStyle name="Normal 32 11 6 5" xfId="33880" xr:uid="{00000000-0005-0000-0000-00009A870000}"/>
    <cellStyle name="Normal 32 11 6 6" xfId="33881" xr:uid="{00000000-0005-0000-0000-00009B870000}"/>
    <cellStyle name="Normal 32 11 7" xfId="33882" xr:uid="{00000000-0005-0000-0000-00009C870000}"/>
    <cellStyle name="Normal 32 11 7 2" xfId="33883" xr:uid="{00000000-0005-0000-0000-00009D870000}"/>
    <cellStyle name="Normal 32 11 7 3" xfId="33884" xr:uid="{00000000-0005-0000-0000-00009E870000}"/>
    <cellStyle name="Normal 32 11 7 4" xfId="33885" xr:uid="{00000000-0005-0000-0000-00009F870000}"/>
    <cellStyle name="Normal 32 11 7 5" xfId="33886" xr:uid="{00000000-0005-0000-0000-0000A0870000}"/>
    <cellStyle name="Normal 32 11 7 6" xfId="33887" xr:uid="{00000000-0005-0000-0000-0000A1870000}"/>
    <cellStyle name="Normal 32 11 8" xfId="33888" xr:uid="{00000000-0005-0000-0000-0000A2870000}"/>
    <cellStyle name="Normal 32 11 8 2" xfId="33889" xr:uid="{00000000-0005-0000-0000-0000A3870000}"/>
    <cellStyle name="Normal 32 11 8 3" xfId="33890" xr:uid="{00000000-0005-0000-0000-0000A4870000}"/>
    <cellStyle name="Normal 32 11 8 4" xfId="33891" xr:uid="{00000000-0005-0000-0000-0000A5870000}"/>
    <cellStyle name="Normal 32 11 8 5" xfId="33892" xr:uid="{00000000-0005-0000-0000-0000A6870000}"/>
    <cellStyle name="Normal 32 11 8 6" xfId="33893" xr:uid="{00000000-0005-0000-0000-0000A7870000}"/>
    <cellStyle name="Normal 32 11 9" xfId="33894" xr:uid="{00000000-0005-0000-0000-0000A8870000}"/>
    <cellStyle name="Normal 32 12" xfId="33895" xr:uid="{00000000-0005-0000-0000-0000A9870000}"/>
    <cellStyle name="Normal 32 12 2" xfId="33896" xr:uid="{00000000-0005-0000-0000-0000AA870000}"/>
    <cellStyle name="Normal 32 12 3" xfId="33897" xr:uid="{00000000-0005-0000-0000-0000AB870000}"/>
    <cellStyle name="Normal 32 12 4" xfId="33898" xr:uid="{00000000-0005-0000-0000-0000AC870000}"/>
    <cellStyle name="Normal 32 12 5" xfId="33899" xr:uid="{00000000-0005-0000-0000-0000AD870000}"/>
    <cellStyle name="Normal 32 12 6" xfId="33900" xr:uid="{00000000-0005-0000-0000-0000AE870000}"/>
    <cellStyle name="Normal 32 13" xfId="33901" xr:uid="{00000000-0005-0000-0000-0000AF870000}"/>
    <cellStyle name="Normal 32 13 2" xfId="33902" xr:uid="{00000000-0005-0000-0000-0000B0870000}"/>
    <cellStyle name="Normal 32 13 3" xfId="33903" xr:uid="{00000000-0005-0000-0000-0000B1870000}"/>
    <cellStyle name="Normal 32 13 4" xfId="33904" xr:uid="{00000000-0005-0000-0000-0000B2870000}"/>
    <cellStyle name="Normal 32 13 5" xfId="33905" xr:uid="{00000000-0005-0000-0000-0000B3870000}"/>
    <cellStyle name="Normal 32 13 6" xfId="33906" xr:uid="{00000000-0005-0000-0000-0000B4870000}"/>
    <cellStyle name="Normal 32 14" xfId="33907" xr:uid="{00000000-0005-0000-0000-0000B5870000}"/>
    <cellStyle name="Normal 32 14 2" xfId="33908" xr:uid="{00000000-0005-0000-0000-0000B6870000}"/>
    <cellStyle name="Normal 32 14 3" xfId="33909" xr:uid="{00000000-0005-0000-0000-0000B7870000}"/>
    <cellStyle name="Normal 32 14 4" xfId="33910" xr:uid="{00000000-0005-0000-0000-0000B8870000}"/>
    <cellStyle name="Normal 32 14 5" xfId="33911" xr:uid="{00000000-0005-0000-0000-0000B9870000}"/>
    <cellStyle name="Normal 32 14 6" xfId="33912" xr:uid="{00000000-0005-0000-0000-0000BA870000}"/>
    <cellStyle name="Normal 32 15" xfId="33913" xr:uid="{00000000-0005-0000-0000-0000BB870000}"/>
    <cellStyle name="Normal 32 15 2" xfId="33914" xr:uid="{00000000-0005-0000-0000-0000BC870000}"/>
    <cellStyle name="Normal 32 15 3" xfId="33915" xr:uid="{00000000-0005-0000-0000-0000BD870000}"/>
    <cellStyle name="Normal 32 15 4" xfId="33916" xr:uid="{00000000-0005-0000-0000-0000BE870000}"/>
    <cellStyle name="Normal 32 15 5" xfId="33917" xr:uid="{00000000-0005-0000-0000-0000BF870000}"/>
    <cellStyle name="Normal 32 15 6" xfId="33918" xr:uid="{00000000-0005-0000-0000-0000C0870000}"/>
    <cellStyle name="Normal 32 16" xfId="33919" xr:uid="{00000000-0005-0000-0000-0000C1870000}"/>
    <cellStyle name="Normal 32 16 2" xfId="33920" xr:uid="{00000000-0005-0000-0000-0000C2870000}"/>
    <cellStyle name="Normal 32 16 3" xfId="33921" xr:uid="{00000000-0005-0000-0000-0000C3870000}"/>
    <cellStyle name="Normal 32 16 4" xfId="33922" xr:uid="{00000000-0005-0000-0000-0000C4870000}"/>
    <cellStyle name="Normal 32 16 5" xfId="33923" xr:uid="{00000000-0005-0000-0000-0000C5870000}"/>
    <cellStyle name="Normal 32 16 6" xfId="33924" xr:uid="{00000000-0005-0000-0000-0000C6870000}"/>
    <cellStyle name="Normal 32 17" xfId="33925" xr:uid="{00000000-0005-0000-0000-0000C7870000}"/>
    <cellStyle name="Normal 32 17 2" xfId="33926" xr:uid="{00000000-0005-0000-0000-0000C8870000}"/>
    <cellStyle name="Normal 32 17 3" xfId="33927" xr:uid="{00000000-0005-0000-0000-0000C9870000}"/>
    <cellStyle name="Normal 32 17 4" xfId="33928" xr:uid="{00000000-0005-0000-0000-0000CA870000}"/>
    <cellStyle name="Normal 32 17 5" xfId="33929" xr:uid="{00000000-0005-0000-0000-0000CB870000}"/>
    <cellStyle name="Normal 32 17 6" xfId="33930" xr:uid="{00000000-0005-0000-0000-0000CC870000}"/>
    <cellStyle name="Normal 32 18" xfId="33931" xr:uid="{00000000-0005-0000-0000-0000CD870000}"/>
    <cellStyle name="Normal 32 18 2" xfId="33932" xr:uid="{00000000-0005-0000-0000-0000CE870000}"/>
    <cellStyle name="Normal 32 18 3" xfId="33933" xr:uid="{00000000-0005-0000-0000-0000CF870000}"/>
    <cellStyle name="Normal 32 18 4" xfId="33934" xr:uid="{00000000-0005-0000-0000-0000D0870000}"/>
    <cellStyle name="Normal 32 18 5" xfId="33935" xr:uid="{00000000-0005-0000-0000-0000D1870000}"/>
    <cellStyle name="Normal 32 18 6" xfId="33936" xr:uid="{00000000-0005-0000-0000-0000D2870000}"/>
    <cellStyle name="Normal 32 19" xfId="33937" xr:uid="{00000000-0005-0000-0000-0000D3870000}"/>
    <cellStyle name="Normal 32 2" xfId="1681" xr:uid="{00000000-0005-0000-0000-0000D4870000}"/>
    <cellStyle name="Normal 32 2 10" xfId="33938" xr:uid="{00000000-0005-0000-0000-0000D5870000}"/>
    <cellStyle name="Normal 32 2 11" xfId="33939" xr:uid="{00000000-0005-0000-0000-0000D6870000}"/>
    <cellStyle name="Normal 32 2 12" xfId="33940" xr:uid="{00000000-0005-0000-0000-0000D7870000}"/>
    <cellStyle name="Normal 32 2 13" xfId="33941" xr:uid="{00000000-0005-0000-0000-0000D8870000}"/>
    <cellStyle name="Normal 32 2 2" xfId="33942" xr:uid="{00000000-0005-0000-0000-0000D9870000}"/>
    <cellStyle name="Normal 32 2 2 2" xfId="33943" xr:uid="{00000000-0005-0000-0000-0000DA870000}"/>
    <cellStyle name="Normal 32 2 2 3" xfId="33944" xr:uid="{00000000-0005-0000-0000-0000DB870000}"/>
    <cellStyle name="Normal 32 2 2 4" xfId="33945" xr:uid="{00000000-0005-0000-0000-0000DC870000}"/>
    <cellStyle name="Normal 32 2 2 5" xfId="33946" xr:uid="{00000000-0005-0000-0000-0000DD870000}"/>
    <cellStyle name="Normal 32 2 2 6" xfId="33947" xr:uid="{00000000-0005-0000-0000-0000DE870000}"/>
    <cellStyle name="Normal 32 2 3" xfId="33948" xr:uid="{00000000-0005-0000-0000-0000DF870000}"/>
    <cellStyle name="Normal 32 2 3 2" xfId="33949" xr:uid="{00000000-0005-0000-0000-0000E0870000}"/>
    <cellStyle name="Normal 32 2 3 3" xfId="33950" xr:uid="{00000000-0005-0000-0000-0000E1870000}"/>
    <cellStyle name="Normal 32 2 3 4" xfId="33951" xr:uid="{00000000-0005-0000-0000-0000E2870000}"/>
    <cellStyle name="Normal 32 2 3 5" xfId="33952" xr:uid="{00000000-0005-0000-0000-0000E3870000}"/>
    <cellStyle name="Normal 32 2 3 6" xfId="33953" xr:uid="{00000000-0005-0000-0000-0000E4870000}"/>
    <cellStyle name="Normal 32 2 4" xfId="33954" xr:uid="{00000000-0005-0000-0000-0000E5870000}"/>
    <cellStyle name="Normal 32 2 4 2" xfId="33955" xr:uid="{00000000-0005-0000-0000-0000E6870000}"/>
    <cellStyle name="Normal 32 2 4 3" xfId="33956" xr:uid="{00000000-0005-0000-0000-0000E7870000}"/>
    <cellStyle name="Normal 32 2 4 4" xfId="33957" xr:uid="{00000000-0005-0000-0000-0000E8870000}"/>
    <cellStyle name="Normal 32 2 4 5" xfId="33958" xr:uid="{00000000-0005-0000-0000-0000E9870000}"/>
    <cellStyle name="Normal 32 2 4 6" xfId="33959" xr:uid="{00000000-0005-0000-0000-0000EA870000}"/>
    <cellStyle name="Normal 32 2 5" xfId="33960" xr:uid="{00000000-0005-0000-0000-0000EB870000}"/>
    <cellStyle name="Normal 32 2 5 2" xfId="33961" xr:uid="{00000000-0005-0000-0000-0000EC870000}"/>
    <cellStyle name="Normal 32 2 5 3" xfId="33962" xr:uid="{00000000-0005-0000-0000-0000ED870000}"/>
    <cellStyle name="Normal 32 2 5 4" xfId="33963" xr:uid="{00000000-0005-0000-0000-0000EE870000}"/>
    <cellStyle name="Normal 32 2 5 5" xfId="33964" xr:uid="{00000000-0005-0000-0000-0000EF870000}"/>
    <cellStyle name="Normal 32 2 5 6" xfId="33965" xr:uid="{00000000-0005-0000-0000-0000F0870000}"/>
    <cellStyle name="Normal 32 2 6" xfId="33966" xr:uid="{00000000-0005-0000-0000-0000F1870000}"/>
    <cellStyle name="Normal 32 2 6 2" xfId="33967" xr:uid="{00000000-0005-0000-0000-0000F2870000}"/>
    <cellStyle name="Normal 32 2 6 3" xfId="33968" xr:uid="{00000000-0005-0000-0000-0000F3870000}"/>
    <cellStyle name="Normal 32 2 6 4" xfId="33969" xr:uid="{00000000-0005-0000-0000-0000F4870000}"/>
    <cellStyle name="Normal 32 2 6 5" xfId="33970" xr:uid="{00000000-0005-0000-0000-0000F5870000}"/>
    <cellStyle name="Normal 32 2 6 6" xfId="33971" xr:uid="{00000000-0005-0000-0000-0000F6870000}"/>
    <cellStyle name="Normal 32 2 7" xfId="33972" xr:uid="{00000000-0005-0000-0000-0000F7870000}"/>
    <cellStyle name="Normal 32 2 7 2" xfId="33973" xr:uid="{00000000-0005-0000-0000-0000F8870000}"/>
    <cellStyle name="Normal 32 2 7 3" xfId="33974" xr:uid="{00000000-0005-0000-0000-0000F9870000}"/>
    <cellStyle name="Normal 32 2 7 4" xfId="33975" xr:uid="{00000000-0005-0000-0000-0000FA870000}"/>
    <cellStyle name="Normal 32 2 7 5" xfId="33976" xr:uid="{00000000-0005-0000-0000-0000FB870000}"/>
    <cellStyle name="Normal 32 2 7 6" xfId="33977" xr:uid="{00000000-0005-0000-0000-0000FC870000}"/>
    <cellStyle name="Normal 32 2 8" xfId="33978" xr:uid="{00000000-0005-0000-0000-0000FD870000}"/>
    <cellStyle name="Normal 32 2 8 2" xfId="33979" xr:uid="{00000000-0005-0000-0000-0000FE870000}"/>
    <cellStyle name="Normal 32 2 8 3" xfId="33980" xr:uid="{00000000-0005-0000-0000-0000FF870000}"/>
    <cellStyle name="Normal 32 2 8 4" xfId="33981" xr:uid="{00000000-0005-0000-0000-000000880000}"/>
    <cellStyle name="Normal 32 2 8 5" xfId="33982" xr:uid="{00000000-0005-0000-0000-000001880000}"/>
    <cellStyle name="Normal 32 2 8 6" xfId="33983" xr:uid="{00000000-0005-0000-0000-000002880000}"/>
    <cellStyle name="Normal 32 2 9" xfId="33984" xr:uid="{00000000-0005-0000-0000-000003880000}"/>
    <cellStyle name="Normal 32 20" xfId="33985" xr:uid="{00000000-0005-0000-0000-000004880000}"/>
    <cellStyle name="Normal 32 21" xfId="33986" xr:uid="{00000000-0005-0000-0000-000005880000}"/>
    <cellStyle name="Normal 32 22" xfId="33987" xr:uid="{00000000-0005-0000-0000-000006880000}"/>
    <cellStyle name="Normal 32 23" xfId="33988" xr:uid="{00000000-0005-0000-0000-000007880000}"/>
    <cellStyle name="Normal 32 3 10" xfId="33989" xr:uid="{00000000-0005-0000-0000-000009880000}"/>
    <cellStyle name="Normal 32 3 11" xfId="33990" xr:uid="{00000000-0005-0000-0000-00000A880000}"/>
    <cellStyle name="Normal 32 3 12" xfId="33991" xr:uid="{00000000-0005-0000-0000-00000B880000}"/>
    <cellStyle name="Normal 32 3 13" xfId="33992" xr:uid="{00000000-0005-0000-0000-00000C880000}"/>
    <cellStyle name="Normal 32 3 2" xfId="33993" xr:uid="{00000000-0005-0000-0000-00000D880000}"/>
    <cellStyle name="Normal 32 3 2 2" xfId="33994" xr:uid="{00000000-0005-0000-0000-00000E880000}"/>
    <cellStyle name="Normal 32 3 2 3" xfId="33995" xr:uid="{00000000-0005-0000-0000-00000F880000}"/>
    <cellStyle name="Normal 32 3 2 4" xfId="33996" xr:uid="{00000000-0005-0000-0000-000010880000}"/>
    <cellStyle name="Normal 32 3 2 5" xfId="33997" xr:uid="{00000000-0005-0000-0000-000011880000}"/>
    <cellStyle name="Normal 32 3 2 6" xfId="33998" xr:uid="{00000000-0005-0000-0000-000012880000}"/>
    <cellStyle name="Normal 32 3 3" xfId="33999" xr:uid="{00000000-0005-0000-0000-000013880000}"/>
    <cellStyle name="Normal 32 3 3 2" xfId="34000" xr:uid="{00000000-0005-0000-0000-000014880000}"/>
    <cellStyle name="Normal 32 3 3 3" xfId="34001" xr:uid="{00000000-0005-0000-0000-000015880000}"/>
    <cellStyle name="Normal 32 3 3 4" xfId="34002" xr:uid="{00000000-0005-0000-0000-000016880000}"/>
    <cellStyle name="Normal 32 3 3 5" xfId="34003" xr:uid="{00000000-0005-0000-0000-000017880000}"/>
    <cellStyle name="Normal 32 3 3 6" xfId="34004" xr:uid="{00000000-0005-0000-0000-000018880000}"/>
    <cellStyle name="Normal 32 3 4" xfId="34005" xr:uid="{00000000-0005-0000-0000-000019880000}"/>
    <cellStyle name="Normal 32 3 4 2" xfId="34006" xr:uid="{00000000-0005-0000-0000-00001A880000}"/>
    <cellStyle name="Normal 32 3 4 3" xfId="34007" xr:uid="{00000000-0005-0000-0000-00001B880000}"/>
    <cellStyle name="Normal 32 3 4 4" xfId="34008" xr:uid="{00000000-0005-0000-0000-00001C880000}"/>
    <cellStyle name="Normal 32 3 4 5" xfId="34009" xr:uid="{00000000-0005-0000-0000-00001D880000}"/>
    <cellStyle name="Normal 32 3 4 6" xfId="34010" xr:uid="{00000000-0005-0000-0000-00001E880000}"/>
    <cellStyle name="Normal 32 3 5" xfId="34011" xr:uid="{00000000-0005-0000-0000-00001F880000}"/>
    <cellStyle name="Normal 32 3 5 2" xfId="34012" xr:uid="{00000000-0005-0000-0000-000020880000}"/>
    <cellStyle name="Normal 32 3 5 3" xfId="34013" xr:uid="{00000000-0005-0000-0000-000021880000}"/>
    <cellStyle name="Normal 32 3 5 4" xfId="34014" xr:uid="{00000000-0005-0000-0000-000022880000}"/>
    <cellStyle name="Normal 32 3 5 5" xfId="34015" xr:uid="{00000000-0005-0000-0000-000023880000}"/>
    <cellStyle name="Normal 32 3 5 6" xfId="34016" xr:uid="{00000000-0005-0000-0000-000024880000}"/>
    <cellStyle name="Normal 32 3 6" xfId="34017" xr:uid="{00000000-0005-0000-0000-000025880000}"/>
    <cellStyle name="Normal 32 3 6 2" xfId="34018" xr:uid="{00000000-0005-0000-0000-000026880000}"/>
    <cellStyle name="Normal 32 3 6 3" xfId="34019" xr:uid="{00000000-0005-0000-0000-000027880000}"/>
    <cellStyle name="Normal 32 3 6 4" xfId="34020" xr:uid="{00000000-0005-0000-0000-000028880000}"/>
    <cellStyle name="Normal 32 3 6 5" xfId="34021" xr:uid="{00000000-0005-0000-0000-000029880000}"/>
    <cellStyle name="Normal 32 3 6 6" xfId="34022" xr:uid="{00000000-0005-0000-0000-00002A880000}"/>
    <cellStyle name="Normal 32 3 7" xfId="34023" xr:uid="{00000000-0005-0000-0000-00002B880000}"/>
    <cellStyle name="Normal 32 3 7 2" xfId="34024" xr:uid="{00000000-0005-0000-0000-00002C880000}"/>
    <cellStyle name="Normal 32 3 7 3" xfId="34025" xr:uid="{00000000-0005-0000-0000-00002D880000}"/>
    <cellStyle name="Normal 32 3 7 4" xfId="34026" xr:uid="{00000000-0005-0000-0000-00002E880000}"/>
    <cellStyle name="Normal 32 3 7 5" xfId="34027" xr:uid="{00000000-0005-0000-0000-00002F880000}"/>
    <cellStyle name="Normal 32 3 7 6" xfId="34028" xr:uid="{00000000-0005-0000-0000-000030880000}"/>
    <cellStyle name="Normal 32 3 8" xfId="34029" xr:uid="{00000000-0005-0000-0000-000031880000}"/>
    <cellStyle name="Normal 32 3 8 2" xfId="34030" xr:uid="{00000000-0005-0000-0000-000032880000}"/>
    <cellStyle name="Normal 32 3 8 3" xfId="34031" xr:uid="{00000000-0005-0000-0000-000033880000}"/>
    <cellStyle name="Normal 32 3 8 4" xfId="34032" xr:uid="{00000000-0005-0000-0000-000034880000}"/>
    <cellStyle name="Normal 32 3 8 5" xfId="34033" xr:uid="{00000000-0005-0000-0000-000035880000}"/>
    <cellStyle name="Normal 32 3 8 6" xfId="34034" xr:uid="{00000000-0005-0000-0000-000036880000}"/>
    <cellStyle name="Normal 32 3 9" xfId="34035" xr:uid="{00000000-0005-0000-0000-000037880000}"/>
    <cellStyle name="Normal 32 4" xfId="34036" xr:uid="{00000000-0005-0000-0000-000038880000}"/>
    <cellStyle name="Normal 32 4 10" xfId="34037" xr:uid="{00000000-0005-0000-0000-000039880000}"/>
    <cellStyle name="Normal 32 4 11" xfId="34038" xr:uid="{00000000-0005-0000-0000-00003A880000}"/>
    <cellStyle name="Normal 32 4 12" xfId="34039" xr:uid="{00000000-0005-0000-0000-00003B880000}"/>
    <cellStyle name="Normal 32 4 13" xfId="34040" xr:uid="{00000000-0005-0000-0000-00003C880000}"/>
    <cellStyle name="Normal 32 4 2" xfId="34041" xr:uid="{00000000-0005-0000-0000-00003D880000}"/>
    <cellStyle name="Normal 32 4 2 2" xfId="34042" xr:uid="{00000000-0005-0000-0000-00003E880000}"/>
    <cellStyle name="Normal 32 4 2 3" xfId="34043" xr:uid="{00000000-0005-0000-0000-00003F880000}"/>
    <cellStyle name="Normal 32 4 2 4" xfId="34044" xr:uid="{00000000-0005-0000-0000-000040880000}"/>
    <cellStyle name="Normal 32 4 2 5" xfId="34045" xr:uid="{00000000-0005-0000-0000-000041880000}"/>
    <cellStyle name="Normal 32 4 2 6" xfId="34046" xr:uid="{00000000-0005-0000-0000-000042880000}"/>
    <cellStyle name="Normal 32 4 3" xfId="34047" xr:uid="{00000000-0005-0000-0000-000043880000}"/>
    <cellStyle name="Normal 32 4 3 2" xfId="34048" xr:uid="{00000000-0005-0000-0000-000044880000}"/>
    <cellStyle name="Normal 32 4 3 3" xfId="34049" xr:uid="{00000000-0005-0000-0000-000045880000}"/>
    <cellStyle name="Normal 32 4 3 4" xfId="34050" xr:uid="{00000000-0005-0000-0000-000046880000}"/>
    <cellStyle name="Normal 32 4 3 5" xfId="34051" xr:uid="{00000000-0005-0000-0000-000047880000}"/>
    <cellStyle name="Normal 32 4 3 6" xfId="34052" xr:uid="{00000000-0005-0000-0000-000048880000}"/>
    <cellStyle name="Normal 32 4 4" xfId="34053" xr:uid="{00000000-0005-0000-0000-000049880000}"/>
    <cellStyle name="Normal 32 4 4 2" xfId="34054" xr:uid="{00000000-0005-0000-0000-00004A880000}"/>
    <cellStyle name="Normal 32 4 4 3" xfId="34055" xr:uid="{00000000-0005-0000-0000-00004B880000}"/>
    <cellStyle name="Normal 32 4 4 4" xfId="34056" xr:uid="{00000000-0005-0000-0000-00004C880000}"/>
    <cellStyle name="Normal 32 4 4 5" xfId="34057" xr:uid="{00000000-0005-0000-0000-00004D880000}"/>
    <cellStyle name="Normal 32 4 4 6" xfId="34058" xr:uid="{00000000-0005-0000-0000-00004E880000}"/>
    <cellStyle name="Normal 32 4 5" xfId="34059" xr:uid="{00000000-0005-0000-0000-00004F880000}"/>
    <cellStyle name="Normal 32 4 5 2" xfId="34060" xr:uid="{00000000-0005-0000-0000-000050880000}"/>
    <cellStyle name="Normal 32 4 5 3" xfId="34061" xr:uid="{00000000-0005-0000-0000-000051880000}"/>
    <cellStyle name="Normal 32 4 5 4" xfId="34062" xr:uid="{00000000-0005-0000-0000-000052880000}"/>
    <cellStyle name="Normal 32 4 5 5" xfId="34063" xr:uid="{00000000-0005-0000-0000-000053880000}"/>
    <cellStyle name="Normal 32 4 5 6" xfId="34064" xr:uid="{00000000-0005-0000-0000-000054880000}"/>
    <cellStyle name="Normal 32 4 6" xfId="34065" xr:uid="{00000000-0005-0000-0000-000055880000}"/>
    <cellStyle name="Normal 32 4 6 2" xfId="34066" xr:uid="{00000000-0005-0000-0000-000056880000}"/>
    <cellStyle name="Normal 32 4 6 3" xfId="34067" xr:uid="{00000000-0005-0000-0000-000057880000}"/>
    <cellStyle name="Normal 32 4 6 4" xfId="34068" xr:uid="{00000000-0005-0000-0000-000058880000}"/>
    <cellStyle name="Normal 32 4 6 5" xfId="34069" xr:uid="{00000000-0005-0000-0000-000059880000}"/>
    <cellStyle name="Normal 32 4 6 6" xfId="34070" xr:uid="{00000000-0005-0000-0000-00005A880000}"/>
    <cellStyle name="Normal 32 4 7" xfId="34071" xr:uid="{00000000-0005-0000-0000-00005B880000}"/>
    <cellStyle name="Normal 32 4 7 2" xfId="34072" xr:uid="{00000000-0005-0000-0000-00005C880000}"/>
    <cellStyle name="Normal 32 4 7 3" xfId="34073" xr:uid="{00000000-0005-0000-0000-00005D880000}"/>
    <cellStyle name="Normal 32 4 7 4" xfId="34074" xr:uid="{00000000-0005-0000-0000-00005E880000}"/>
    <cellStyle name="Normal 32 4 7 5" xfId="34075" xr:uid="{00000000-0005-0000-0000-00005F880000}"/>
    <cellStyle name="Normal 32 4 7 6" xfId="34076" xr:uid="{00000000-0005-0000-0000-000060880000}"/>
    <cellStyle name="Normal 32 4 8" xfId="34077" xr:uid="{00000000-0005-0000-0000-000061880000}"/>
    <cellStyle name="Normal 32 4 8 2" xfId="34078" xr:uid="{00000000-0005-0000-0000-000062880000}"/>
    <cellStyle name="Normal 32 4 8 3" xfId="34079" xr:uid="{00000000-0005-0000-0000-000063880000}"/>
    <cellStyle name="Normal 32 4 8 4" xfId="34080" xr:uid="{00000000-0005-0000-0000-000064880000}"/>
    <cellStyle name="Normal 32 4 8 5" xfId="34081" xr:uid="{00000000-0005-0000-0000-000065880000}"/>
    <cellStyle name="Normal 32 4 8 6" xfId="34082" xr:uid="{00000000-0005-0000-0000-000066880000}"/>
    <cellStyle name="Normal 32 4 9" xfId="34083" xr:uid="{00000000-0005-0000-0000-000067880000}"/>
    <cellStyle name="Normal 32 5" xfId="34084" xr:uid="{00000000-0005-0000-0000-000068880000}"/>
    <cellStyle name="Normal 32 5 10" xfId="34085" xr:uid="{00000000-0005-0000-0000-000069880000}"/>
    <cellStyle name="Normal 32 5 11" xfId="34086" xr:uid="{00000000-0005-0000-0000-00006A880000}"/>
    <cellStyle name="Normal 32 5 12" xfId="34087" xr:uid="{00000000-0005-0000-0000-00006B880000}"/>
    <cellStyle name="Normal 32 5 13" xfId="34088" xr:uid="{00000000-0005-0000-0000-00006C880000}"/>
    <cellStyle name="Normal 32 5 2" xfId="34089" xr:uid="{00000000-0005-0000-0000-00006D880000}"/>
    <cellStyle name="Normal 32 5 2 2" xfId="34090" xr:uid="{00000000-0005-0000-0000-00006E880000}"/>
    <cellStyle name="Normal 32 5 2 3" xfId="34091" xr:uid="{00000000-0005-0000-0000-00006F880000}"/>
    <cellStyle name="Normal 32 5 2 4" xfId="34092" xr:uid="{00000000-0005-0000-0000-000070880000}"/>
    <cellStyle name="Normal 32 5 2 5" xfId="34093" xr:uid="{00000000-0005-0000-0000-000071880000}"/>
    <cellStyle name="Normal 32 5 2 6" xfId="34094" xr:uid="{00000000-0005-0000-0000-000072880000}"/>
    <cellStyle name="Normal 32 5 3" xfId="34095" xr:uid="{00000000-0005-0000-0000-000073880000}"/>
    <cellStyle name="Normal 32 5 3 2" xfId="34096" xr:uid="{00000000-0005-0000-0000-000074880000}"/>
    <cellStyle name="Normal 32 5 3 3" xfId="34097" xr:uid="{00000000-0005-0000-0000-000075880000}"/>
    <cellStyle name="Normal 32 5 3 4" xfId="34098" xr:uid="{00000000-0005-0000-0000-000076880000}"/>
    <cellStyle name="Normal 32 5 3 5" xfId="34099" xr:uid="{00000000-0005-0000-0000-000077880000}"/>
    <cellStyle name="Normal 32 5 3 6" xfId="34100" xr:uid="{00000000-0005-0000-0000-000078880000}"/>
    <cellStyle name="Normal 32 5 4" xfId="34101" xr:uid="{00000000-0005-0000-0000-000079880000}"/>
    <cellStyle name="Normal 32 5 4 2" xfId="34102" xr:uid="{00000000-0005-0000-0000-00007A880000}"/>
    <cellStyle name="Normal 32 5 4 3" xfId="34103" xr:uid="{00000000-0005-0000-0000-00007B880000}"/>
    <cellStyle name="Normal 32 5 4 4" xfId="34104" xr:uid="{00000000-0005-0000-0000-00007C880000}"/>
    <cellStyle name="Normal 32 5 4 5" xfId="34105" xr:uid="{00000000-0005-0000-0000-00007D880000}"/>
    <cellStyle name="Normal 32 5 4 6" xfId="34106" xr:uid="{00000000-0005-0000-0000-00007E880000}"/>
    <cellStyle name="Normal 32 5 5" xfId="34107" xr:uid="{00000000-0005-0000-0000-00007F880000}"/>
    <cellStyle name="Normal 32 5 5 2" xfId="34108" xr:uid="{00000000-0005-0000-0000-000080880000}"/>
    <cellStyle name="Normal 32 5 5 3" xfId="34109" xr:uid="{00000000-0005-0000-0000-000081880000}"/>
    <cellStyle name="Normal 32 5 5 4" xfId="34110" xr:uid="{00000000-0005-0000-0000-000082880000}"/>
    <cellStyle name="Normal 32 5 5 5" xfId="34111" xr:uid="{00000000-0005-0000-0000-000083880000}"/>
    <cellStyle name="Normal 32 5 5 6" xfId="34112" xr:uid="{00000000-0005-0000-0000-000084880000}"/>
    <cellStyle name="Normal 32 5 6" xfId="34113" xr:uid="{00000000-0005-0000-0000-000085880000}"/>
    <cellStyle name="Normal 32 5 6 2" xfId="34114" xr:uid="{00000000-0005-0000-0000-000086880000}"/>
    <cellStyle name="Normal 32 5 6 3" xfId="34115" xr:uid="{00000000-0005-0000-0000-000087880000}"/>
    <cellStyle name="Normal 32 5 6 4" xfId="34116" xr:uid="{00000000-0005-0000-0000-000088880000}"/>
    <cellStyle name="Normal 32 5 6 5" xfId="34117" xr:uid="{00000000-0005-0000-0000-000089880000}"/>
    <cellStyle name="Normal 32 5 6 6" xfId="34118" xr:uid="{00000000-0005-0000-0000-00008A880000}"/>
    <cellStyle name="Normal 32 5 7" xfId="34119" xr:uid="{00000000-0005-0000-0000-00008B880000}"/>
    <cellStyle name="Normal 32 5 7 2" xfId="34120" xr:uid="{00000000-0005-0000-0000-00008C880000}"/>
    <cellStyle name="Normal 32 5 7 3" xfId="34121" xr:uid="{00000000-0005-0000-0000-00008D880000}"/>
    <cellStyle name="Normal 32 5 7 4" xfId="34122" xr:uid="{00000000-0005-0000-0000-00008E880000}"/>
    <cellStyle name="Normal 32 5 7 5" xfId="34123" xr:uid="{00000000-0005-0000-0000-00008F880000}"/>
    <cellStyle name="Normal 32 5 7 6" xfId="34124" xr:uid="{00000000-0005-0000-0000-000090880000}"/>
    <cellStyle name="Normal 32 5 8" xfId="34125" xr:uid="{00000000-0005-0000-0000-000091880000}"/>
    <cellStyle name="Normal 32 5 8 2" xfId="34126" xr:uid="{00000000-0005-0000-0000-000092880000}"/>
    <cellStyle name="Normal 32 5 8 3" xfId="34127" xr:uid="{00000000-0005-0000-0000-000093880000}"/>
    <cellStyle name="Normal 32 5 8 4" xfId="34128" xr:uid="{00000000-0005-0000-0000-000094880000}"/>
    <cellStyle name="Normal 32 5 8 5" xfId="34129" xr:uid="{00000000-0005-0000-0000-000095880000}"/>
    <cellStyle name="Normal 32 5 8 6" xfId="34130" xr:uid="{00000000-0005-0000-0000-000096880000}"/>
    <cellStyle name="Normal 32 5 9" xfId="34131" xr:uid="{00000000-0005-0000-0000-000097880000}"/>
    <cellStyle name="Normal 32 6" xfId="34132" xr:uid="{00000000-0005-0000-0000-000098880000}"/>
    <cellStyle name="Normal 32 6 10" xfId="34133" xr:uid="{00000000-0005-0000-0000-000099880000}"/>
    <cellStyle name="Normal 32 6 11" xfId="34134" xr:uid="{00000000-0005-0000-0000-00009A880000}"/>
    <cellStyle name="Normal 32 6 12" xfId="34135" xr:uid="{00000000-0005-0000-0000-00009B880000}"/>
    <cellStyle name="Normal 32 6 13" xfId="34136" xr:uid="{00000000-0005-0000-0000-00009C880000}"/>
    <cellStyle name="Normal 32 6 2" xfId="34137" xr:uid="{00000000-0005-0000-0000-00009D880000}"/>
    <cellStyle name="Normal 32 6 2 2" xfId="34138" xr:uid="{00000000-0005-0000-0000-00009E880000}"/>
    <cellStyle name="Normal 32 6 2 3" xfId="34139" xr:uid="{00000000-0005-0000-0000-00009F880000}"/>
    <cellStyle name="Normal 32 6 2 4" xfId="34140" xr:uid="{00000000-0005-0000-0000-0000A0880000}"/>
    <cellStyle name="Normal 32 6 2 5" xfId="34141" xr:uid="{00000000-0005-0000-0000-0000A1880000}"/>
    <cellStyle name="Normal 32 6 2 6" xfId="34142" xr:uid="{00000000-0005-0000-0000-0000A2880000}"/>
    <cellStyle name="Normal 32 6 3" xfId="34143" xr:uid="{00000000-0005-0000-0000-0000A3880000}"/>
    <cellStyle name="Normal 32 6 3 2" xfId="34144" xr:uid="{00000000-0005-0000-0000-0000A4880000}"/>
    <cellStyle name="Normal 32 6 3 3" xfId="34145" xr:uid="{00000000-0005-0000-0000-0000A5880000}"/>
    <cellStyle name="Normal 32 6 3 4" xfId="34146" xr:uid="{00000000-0005-0000-0000-0000A6880000}"/>
    <cellStyle name="Normal 32 6 3 5" xfId="34147" xr:uid="{00000000-0005-0000-0000-0000A7880000}"/>
    <cellStyle name="Normal 32 6 3 6" xfId="34148" xr:uid="{00000000-0005-0000-0000-0000A8880000}"/>
    <cellStyle name="Normal 32 6 4" xfId="34149" xr:uid="{00000000-0005-0000-0000-0000A9880000}"/>
    <cellStyle name="Normal 32 6 4 2" xfId="34150" xr:uid="{00000000-0005-0000-0000-0000AA880000}"/>
    <cellStyle name="Normal 32 6 4 3" xfId="34151" xr:uid="{00000000-0005-0000-0000-0000AB880000}"/>
    <cellStyle name="Normal 32 6 4 4" xfId="34152" xr:uid="{00000000-0005-0000-0000-0000AC880000}"/>
    <cellStyle name="Normal 32 6 4 5" xfId="34153" xr:uid="{00000000-0005-0000-0000-0000AD880000}"/>
    <cellStyle name="Normal 32 6 4 6" xfId="34154" xr:uid="{00000000-0005-0000-0000-0000AE880000}"/>
    <cellStyle name="Normal 32 6 5" xfId="34155" xr:uid="{00000000-0005-0000-0000-0000AF880000}"/>
    <cellStyle name="Normal 32 6 5 2" xfId="34156" xr:uid="{00000000-0005-0000-0000-0000B0880000}"/>
    <cellStyle name="Normal 32 6 5 3" xfId="34157" xr:uid="{00000000-0005-0000-0000-0000B1880000}"/>
    <cellStyle name="Normal 32 6 5 4" xfId="34158" xr:uid="{00000000-0005-0000-0000-0000B2880000}"/>
    <cellStyle name="Normal 32 6 5 5" xfId="34159" xr:uid="{00000000-0005-0000-0000-0000B3880000}"/>
    <cellStyle name="Normal 32 6 5 6" xfId="34160" xr:uid="{00000000-0005-0000-0000-0000B4880000}"/>
    <cellStyle name="Normal 32 6 6" xfId="34161" xr:uid="{00000000-0005-0000-0000-0000B5880000}"/>
    <cellStyle name="Normal 32 6 6 2" xfId="34162" xr:uid="{00000000-0005-0000-0000-0000B6880000}"/>
    <cellStyle name="Normal 32 6 6 3" xfId="34163" xr:uid="{00000000-0005-0000-0000-0000B7880000}"/>
    <cellStyle name="Normal 32 6 6 4" xfId="34164" xr:uid="{00000000-0005-0000-0000-0000B8880000}"/>
    <cellStyle name="Normal 32 6 6 5" xfId="34165" xr:uid="{00000000-0005-0000-0000-0000B9880000}"/>
    <cellStyle name="Normal 32 6 6 6" xfId="34166" xr:uid="{00000000-0005-0000-0000-0000BA880000}"/>
    <cellStyle name="Normal 32 6 7" xfId="34167" xr:uid="{00000000-0005-0000-0000-0000BB880000}"/>
    <cellStyle name="Normal 32 6 7 2" xfId="34168" xr:uid="{00000000-0005-0000-0000-0000BC880000}"/>
    <cellStyle name="Normal 32 6 7 3" xfId="34169" xr:uid="{00000000-0005-0000-0000-0000BD880000}"/>
    <cellStyle name="Normal 32 6 7 4" xfId="34170" xr:uid="{00000000-0005-0000-0000-0000BE880000}"/>
    <cellStyle name="Normal 32 6 7 5" xfId="34171" xr:uid="{00000000-0005-0000-0000-0000BF880000}"/>
    <cellStyle name="Normal 32 6 7 6" xfId="34172" xr:uid="{00000000-0005-0000-0000-0000C0880000}"/>
    <cellStyle name="Normal 32 6 8" xfId="34173" xr:uid="{00000000-0005-0000-0000-0000C1880000}"/>
    <cellStyle name="Normal 32 6 8 2" xfId="34174" xr:uid="{00000000-0005-0000-0000-0000C2880000}"/>
    <cellStyle name="Normal 32 6 8 3" xfId="34175" xr:uid="{00000000-0005-0000-0000-0000C3880000}"/>
    <cellStyle name="Normal 32 6 8 4" xfId="34176" xr:uid="{00000000-0005-0000-0000-0000C4880000}"/>
    <cellStyle name="Normal 32 6 8 5" xfId="34177" xr:uid="{00000000-0005-0000-0000-0000C5880000}"/>
    <cellStyle name="Normal 32 6 8 6" xfId="34178" xr:uid="{00000000-0005-0000-0000-0000C6880000}"/>
    <cellStyle name="Normal 32 6 9" xfId="34179" xr:uid="{00000000-0005-0000-0000-0000C7880000}"/>
    <cellStyle name="Normal 32 7" xfId="34180" xr:uid="{00000000-0005-0000-0000-0000C8880000}"/>
    <cellStyle name="Normal 32 7 10" xfId="34181" xr:uid="{00000000-0005-0000-0000-0000C9880000}"/>
    <cellStyle name="Normal 32 7 11" xfId="34182" xr:uid="{00000000-0005-0000-0000-0000CA880000}"/>
    <cellStyle name="Normal 32 7 12" xfId="34183" xr:uid="{00000000-0005-0000-0000-0000CB880000}"/>
    <cellStyle name="Normal 32 7 13" xfId="34184" xr:uid="{00000000-0005-0000-0000-0000CC880000}"/>
    <cellStyle name="Normal 32 7 2" xfId="34185" xr:uid="{00000000-0005-0000-0000-0000CD880000}"/>
    <cellStyle name="Normal 32 7 2 2" xfId="34186" xr:uid="{00000000-0005-0000-0000-0000CE880000}"/>
    <cellStyle name="Normal 32 7 2 3" xfId="34187" xr:uid="{00000000-0005-0000-0000-0000CF880000}"/>
    <cellStyle name="Normal 32 7 2 4" xfId="34188" xr:uid="{00000000-0005-0000-0000-0000D0880000}"/>
    <cellStyle name="Normal 32 7 2 5" xfId="34189" xr:uid="{00000000-0005-0000-0000-0000D1880000}"/>
    <cellStyle name="Normal 32 7 2 6" xfId="34190" xr:uid="{00000000-0005-0000-0000-0000D2880000}"/>
    <cellStyle name="Normal 32 7 3" xfId="34191" xr:uid="{00000000-0005-0000-0000-0000D3880000}"/>
    <cellStyle name="Normal 32 7 3 2" xfId="34192" xr:uid="{00000000-0005-0000-0000-0000D4880000}"/>
    <cellStyle name="Normal 32 7 3 3" xfId="34193" xr:uid="{00000000-0005-0000-0000-0000D5880000}"/>
    <cellStyle name="Normal 32 7 3 4" xfId="34194" xr:uid="{00000000-0005-0000-0000-0000D6880000}"/>
    <cellStyle name="Normal 32 7 3 5" xfId="34195" xr:uid="{00000000-0005-0000-0000-0000D7880000}"/>
    <cellStyle name="Normal 32 7 3 6" xfId="34196" xr:uid="{00000000-0005-0000-0000-0000D8880000}"/>
    <cellStyle name="Normal 32 7 4" xfId="34197" xr:uid="{00000000-0005-0000-0000-0000D9880000}"/>
    <cellStyle name="Normal 32 7 4 2" xfId="34198" xr:uid="{00000000-0005-0000-0000-0000DA880000}"/>
    <cellStyle name="Normal 32 7 4 3" xfId="34199" xr:uid="{00000000-0005-0000-0000-0000DB880000}"/>
    <cellStyle name="Normal 32 7 4 4" xfId="34200" xr:uid="{00000000-0005-0000-0000-0000DC880000}"/>
    <cellStyle name="Normal 32 7 4 5" xfId="34201" xr:uid="{00000000-0005-0000-0000-0000DD880000}"/>
    <cellStyle name="Normal 32 7 4 6" xfId="34202" xr:uid="{00000000-0005-0000-0000-0000DE880000}"/>
    <cellStyle name="Normal 32 7 5" xfId="34203" xr:uid="{00000000-0005-0000-0000-0000DF880000}"/>
    <cellStyle name="Normal 32 7 5 2" xfId="34204" xr:uid="{00000000-0005-0000-0000-0000E0880000}"/>
    <cellStyle name="Normal 32 7 5 3" xfId="34205" xr:uid="{00000000-0005-0000-0000-0000E1880000}"/>
    <cellStyle name="Normal 32 7 5 4" xfId="34206" xr:uid="{00000000-0005-0000-0000-0000E2880000}"/>
    <cellStyle name="Normal 32 7 5 5" xfId="34207" xr:uid="{00000000-0005-0000-0000-0000E3880000}"/>
    <cellStyle name="Normal 32 7 5 6" xfId="34208" xr:uid="{00000000-0005-0000-0000-0000E4880000}"/>
    <cellStyle name="Normal 32 7 6" xfId="34209" xr:uid="{00000000-0005-0000-0000-0000E5880000}"/>
    <cellStyle name="Normal 32 7 6 2" xfId="34210" xr:uid="{00000000-0005-0000-0000-0000E6880000}"/>
    <cellStyle name="Normal 32 7 6 3" xfId="34211" xr:uid="{00000000-0005-0000-0000-0000E7880000}"/>
    <cellStyle name="Normal 32 7 6 4" xfId="34212" xr:uid="{00000000-0005-0000-0000-0000E8880000}"/>
    <cellStyle name="Normal 32 7 6 5" xfId="34213" xr:uid="{00000000-0005-0000-0000-0000E9880000}"/>
    <cellStyle name="Normal 32 7 6 6" xfId="34214" xr:uid="{00000000-0005-0000-0000-0000EA880000}"/>
    <cellStyle name="Normal 32 7 7" xfId="34215" xr:uid="{00000000-0005-0000-0000-0000EB880000}"/>
    <cellStyle name="Normal 32 7 7 2" xfId="34216" xr:uid="{00000000-0005-0000-0000-0000EC880000}"/>
    <cellStyle name="Normal 32 7 7 3" xfId="34217" xr:uid="{00000000-0005-0000-0000-0000ED880000}"/>
    <cellStyle name="Normal 32 7 7 4" xfId="34218" xr:uid="{00000000-0005-0000-0000-0000EE880000}"/>
    <cellStyle name="Normal 32 7 7 5" xfId="34219" xr:uid="{00000000-0005-0000-0000-0000EF880000}"/>
    <cellStyle name="Normal 32 7 7 6" xfId="34220" xr:uid="{00000000-0005-0000-0000-0000F0880000}"/>
    <cellStyle name="Normal 32 7 8" xfId="34221" xr:uid="{00000000-0005-0000-0000-0000F1880000}"/>
    <cellStyle name="Normal 32 7 8 2" xfId="34222" xr:uid="{00000000-0005-0000-0000-0000F2880000}"/>
    <cellStyle name="Normal 32 7 8 3" xfId="34223" xr:uid="{00000000-0005-0000-0000-0000F3880000}"/>
    <cellStyle name="Normal 32 7 8 4" xfId="34224" xr:uid="{00000000-0005-0000-0000-0000F4880000}"/>
    <cellStyle name="Normal 32 7 8 5" xfId="34225" xr:uid="{00000000-0005-0000-0000-0000F5880000}"/>
    <cellStyle name="Normal 32 7 8 6" xfId="34226" xr:uid="{00000000-0005-0000-0000-0000F6880000}"/>
    <cellStyle name="Normal 32 7 9" xfId="34227" xr:uid="{00000000-0005-0000-0000-0000F7880000}"/>
    <cellStyle name="Normal 32 8" xfId="34228" xr:uid="{00000000-0005-0000-0000-0000F8880000}"/>
    <cellStyle name="Normal 32 8 10" xfId="34229" xr:uid="{00000000-0005-0000-0000-0000F9880000}"/>
    <cellStyle name="Normal 32 8 11" xfId="34230" xr:uid="{00000000-0005-0000-0000-0000FA880000}"/>
    <cellStyle name="Normal 32 8 12" xfId="34231" xr:uid="{00000000-0005-0000-0000-0000FB880000}"/>
    <cellStyle name="Normal 32 8 13" xfId="34232" xr:uid="{00000000-0005-0000-0000-0000FC880000}"/>
    <cellStyle name="Normal 32 8 2" xfId="34233" xr:uid="{00000000-0005-0000-0000-0000FD880000}"/>
    <cellStyle name="Normal 32 8 2 2" xfId="34234" xr:uid="{00000000-0005-0000-0000-0000FE880000}"/>
    <cellStyle name="Normal 32 8 2 3" xfId="34235" xr:uid="{00000000-0005-0000-0000-0000FF880000}"/>
    <cellStyle name="Normal 32 8 2 4" xfId="34236" xr:uid="{00000000-0005-0000-0000-000000890000}"/>
    <cellStyle name="Normal 32 8 2 5" xfId="34237" xr:uid="{00000000-0005-0000-0000-000001890000}"/>
    <cellStyle name="Normal 32 8 2 6" xfId="34238" xr:uid="{00000000-0005-0000-0000-000002890000}"/>
    <cellStyle name="Normal 32 8 3" xfId="34239" xr:uid="{00000000-0005-0000-0000-000003890000}"/>
    <cellStyle name="Normal 32 8 3 2" xfId="34240" xr:uid="{00000000-0005-0000-0000-000004890000}"/>
    <cellStyle name="Normal 32 8 3 3" xfId="34241" xr:uid="{00000000-0005-0000-0000-000005890000}"/>
    <cellStyle name="Normal 32 8 3 4" xfId="34242" xr:uid="{00000000-0005-0000-0000-000006890000}"/>
    <cellStyle name="Normal 32 8 3 5" xfId="34243" xr:uid="{00000000-0005-0000-0000-000007890000}"/>
    <cellStyle name="Normal 32 8 3 6" xfId="34244" xr:uid="{00000000-0005-0000-0000-000008890000}"/>
    <cellStyle name="Normal 32 8 4" xfId="34245" xr:uid="{00000000-0005-0000-0000-000009890000}"/>
    <cellStyle name="Normal 32 8 4 2" xfId="34246" xr:uid="{00000000-0005-0000-0000-00000A890000}"/>
    <cellStyle name="Normal 32 8 4 3" xfId="34247" xr:uid="{00000000-0005-0000-0000-00000B890000}"/>
    <cellStyle name="Normal 32 8 4 4" xfId="34248" xr:uid="{00000000-0005-0000-0000-00000C890000}"/>
    <cellStyle name="Normal 32 8 4 5" xfId="34249" xr:uid="{00000000-0005-0000-0000-00000D890000}"/>
    <cellStyle name="Normal 32 8 4 6" xfId="34250" xr:uid="{00000000-0005-0000-0000-00000E890000}"/>
    <cellStyle name="Normal 32 8 5" xfId="34251" xr:uid="{00000000-0005-0000-0000-00000F890000}"/>
    <cellStyle name="Normal 32 8 5 2" xfId="34252" xr:uid="{00000000-0005-0000-0000-000010890000}"/>
    <cellStyle name="Normal 32 8 5 3" xfId="34253" xr:uid="{00000000-0005-0000-0000-000011890000}"/>
    <cellStyle name="Normal 32 8 5 4" xfId="34254" xr:uid="{00000000-0005-0000-0000-000012890000}"/>
    <cellStyle name="Normal 32 8 5 5" xfId="34255" xr:uid="{00000000-0005-0000-0000-000013890000}"/>
    <cellStyle name="Normal 32 8 5 6" xfId="34256" xr:uid="{00000000-0005-0000-0000-000014890000}"/>
    <cellStyle name="Normal 32 8 6" xfId="34257" xr:uid="{00000000-0005-0000-0000-000015890000}"/>
    <cellStyle name="Normal 32 8 6 2" xfId="34258" xr:uid="{00000000-0005-0000-0000-000016890000}"/>
    <cellStyle name="Normal 32 8 6 3" xfId="34259" xr:uid="{00000000-0005-0000-0000-000017890000}"/>
    <cellStyle name="Normal 32 8 6 4" xfId="34260" xr:uid="{00000000-0005-0000-0000-000018890000}"/>
    <cellStyle name="Normal 32 8 6 5" xfId="34261" xr:uid="{00000000-0005-0000-0000-000019890000}"/>
    <cellStyle name="Normal 32 8 6 6" xfId="34262" xr:uid="{00000000-0005-0000-0000-00001A890000}"/>
    <cellStyle name="Normal 32 8 7" xfId="34263" xr:uid="{00000000-0005-0000-0000-00001B890000}"/>
    <cellStyle name="Normal 32 8 7 2" xfId="34264" xr:uid="{00000000-0005-0000-0000-00001C890000}"/>
    <cellStyle name="Normal 32 8 7 3" xfId="34265" xr:uid="{00000000-0005-0000-0000-00001D890000}"/>
    <cellStyle name="Normal 32 8 7 4" xfId="34266" xr:uid="{00000000-0005-0000-0000-00001E890000}"/>
    <cellStyle name="Normal 32 8 7 5" xfId="34267" xr:uid="{00000000-0005-0000-0000-00001F890000}"/>
    <cellStyle name="Normal 32 8 7 6" xfId="34268" xr:uid="{00000000-0005-0000-0000-000020890000}"/>
    <cellStyle name="Normal 32 8 8" xfId="34269" xr:uid="{00000000-0005-0000-0000-000021890000}"/>
    <cellStyle name="Normal 32 8 8 2" xfId="34270" xr:uid="{00000000-0005-0000-0000-000022890000}"/>
    <cellStyle name="Normal 32 8 8 3" xfId="34271" xr:uid="{00000000-0005-0000-0000-000023890000}"/>
    <cellStyle name="Normal 32 8 8 4" xfId="34272" xr:uid="{00000000-0005-0000-0000-000024890000}"/>
    <cellStyle name="Normal 32 8 8 5" xfId="34273" xr:uid="{00000000-0005-0000-0000-000025890000}"/>
    <cellStyle name="Normal 32 8 8 6" xfId="34274" xr:uid="{00000000-0005-0000-0000-000026890000}"/>
    <cellStyle name="Normal 32 8 9" xfId="34275" xr:uid="{00000000-0005-0000-0000-000027890000}"/>
    <cellStyle name="Normal 32 9" xfId="34276" xr:uid="{00000000-0005-0000-0000-000028890000}"/>
    <cellStyle name="Normal 32 9 10" xfId="34277" xr:uid="{00000000-0005-0000-0000-000029890000}"/>
    <cellStyle name="Normal 32 9 11" xfId="34278" xr:uid="{00000000-0005-0000-0000-00002A890000}"/>
    <cellStyle name="Normal 32 9 12" xfId="34279" xr:uid="{00000000-0005-0000-0000-00002B890000}"/>
    <cellStyle name="Normal 32 9 13" xfId="34280" xr:uid="{00000000-0005-0000-0000-00002C890000}"/>
    <cellStyle name="Normal 32 9 2" xfId="34281" xr:uid="{00000000-0005-0000-0000-00002D890000}"/>
    <cellStyle name="Normal 32 9 2 2" xfId="34282" xr:uid="{00000000-0005-0000-0000-00002E890000}"/>
    <cellStyle name="Normal 32 9 2 3" xfId="34283" xr:uid="{00000000-0005-0000-0000-00002F890000}"/>
    <cellStyle name="Normal 32 9 2 4" xfId="34284" xr:uid="{00000000-0005-0000-0000-000030890000}"/>
    <cellStyle name="Normal 32 9 2 5" xfId="34285" xr:uid="{00000000-0005-0000-0000-000031890000}"/>
    <cellStyle name="Normal 32 9 2 6" xfId="34286" xr:uid="{00000000-0005-0000-0000-000032890000}"/>
    <cellStyle name="Normal 32 9 3" xfId="34287" xr:uid="{00000000-0005-0000-0000-000033890000}"/>
    <cellStyle name="Normal 32 9 3 2" xfId="34288" xr:uid="{00000000-0005-0000-0000-000034890000}"/>
    <cellStyle name="Normal 32 9 3 3" xfId="34289" xr:uid="{00000000-0005-0000-0000-000035890000}"/>
    <cellStyle name="Normal 32 9 3 4" xfId="34290" xr:uid="{00000000-0005-0000-0000-000036890000}"/>
    <cellStyle name="Normal 32 9 3 5" xfId="34291" xr:uid="{00000000-0005-0000-0000-000037890000}"/>
    <cellStyle name="Normal 32 9 3 6" xfId="34292" xr:uid="{00000000-0005-0000-0000-000038890000}"/>
    <cellStyle name="Normal 32 9 4" xfId="34293" xr:uid="{00000000-0005-0000-0000-000039890000}"/>
    <cellStyle name="Normal 32 9 4 2" xfId="34294" xr:uid="{00000000-0005-0000-0000-00003A890000}"/>
    <cellStyle name="Normal 32 9 4 3" xfId="34295" xr:uid="{00000000-0005-0000-0000-00003B890000}"/>
    <cellStyle name="Normal 32 9 4 4" xfId="34296" xr:uid="{00000000-0005-0000-0000-00003C890000}"/>
    <cellStyle name="Normal 32 9 4 5" xfId="34297" xr:uid="{00000000-0005-0000-0000-00003D890000}"/>
    <cellStyle name="Normal 32 9 4 6" xfId="34298" xr:uid="{00000000-0005-0000-0000-00003E890000}"/>
    <cellStyle name="Normal 32 9 5" xfId="34299" xr:uid="{00000000-0005-0000-0000-00003F890000}"/>
    <cellStyle name="Normal 32 9 5 2" xfId="34300" xr:uid="{00000000-0005-0000-0000-000040890000}"/>
    <cellStyle name="Normal 32 9 5 3" xfId="34301" xr:uid="{00000000-0005-0000-0000-000041890000}"/>
    <cellStyle name="Normal 32 9 5 4" xfId="34302" xr:uid="{00000000-0005-0000-0000-000042890000}"/>
    <cellStyle name="Normal 32 9 5 5" xfId="34303" xr:uid="{00000000-0005-0000-0000-000043890000}"/>
    <cellStyle name="Normal 32 9 5 6" xfId="34304" xr:uid="{00000000-0005-0000-0000-000044890000}"/>
    <cellStyle name="Normal 32 9 6" xfId="34305" xr:uid="{00000000-0005-0000-0000-000045890000}"/>
    <cellStyle name="Normal 32 9 6 2" xfId="34306" xr:uid="{00000000-0005-0000-0000-000046890000}"/>
    <cellStyle name="Normal 32 9 6 3" xfId="34307" xr:uid="{00000000-0005-0000-0000-000047890000}"/>
    <cellStyle name="Normal 32 9 6 4" xfId="34308" xr:uid="{00000000-0005-0000-0000-000048890000}"/>
    <cellStyle name="Normal 32 9 6 5" xfId="34309" xr:uid="{00000000-0005-0000-0000-000049890000}"/>
    <cellStyle name="Normal 32 9 6 6" xfId="34310" xr:uid="{00000000-0005-0000-0000-00004A890000}"/>
    <cellStyle name="Normal 32 9 7" xfId="34311" xr:uid="{00000000-0005-0000-0000-00004B890000}"/>
    <cellStyle name="Normal 32 9 7 2" xfId="34312" xr:uid="{00000000-0005-0000-0000-00004C890000}"/>
    <cellStyle name="Normal 32 9 7 3" xfId="34313" xr:uid="{00000000-0005-0000-0000-00004D890000}"/>
    <cellStyle name="Normal 32 9 7 4" xfId="34314" xr:uid="{00000000-0005-0000-0000-00004E890000}"/>
    <cellStyle name="Normal 32 9 7 5" xfId="34315" xr:uid="{00000000-0005-0000-0000-00004F890000}"/>
    <cellStyle name="Normal 32 9 7 6" xfId="34316" xr:uid="{00000000-0005-0000-0000-000050890000}"/>
    <cellStyle name="Normal 32 9 8" xfId="34317" xr:uid="{00000000-0005-0000-0000-000051890000}"/>
    <cellStyle name="Normal 32 9 8 2" xfId="34318" xr:uid="{00000000-0005-0000-0000-000052890000}"/>
    <cellStyle name="Normal 32 9 8 3" xfId="34319" xr:uid="{00000000-0005-0000-0000-000053890000}"/>
    <cellStyle name="Normal 32 9 8 4" xfId="34320" xr:uid="{00000000-0005-0000-0000-000054890000}"/>
    <cellStyle name="Normal 32 9 8 5" xfId="34321" xr:uid="{00000000-0005-0000-0000-000055890000}"/>
    <cellStyle name="Normal 32 9 8 6" xfId="34322" xr:uid="{00000000-0005-0000-0000-000056890000}"/>
    <cellStyle name="Normal 32 9 9" xfId="34323" xr:uid="{00000000-0005-0000-0000-000057890000}"/>
    <cellStyle name="Normal 33" xfId="34324" xr:uid="{00000000-0005-0000-0000-000058890000}"/>
    <cellStyle name="Normal 33 10" xfId="34325" xr:uid="{00000000-0005-0000-0000-000059890000}"/>
    <cellStyle name="Normal 33 10 10" xfId="34326" xr:uid="{00000000-0005-0000-0000-00005A890000}"/>
    <cellStyle name="Normal 33 10 11" xfId="34327" xr:uid="{00000000-0005-0000-0000-00005B890000}"/>
    <cellStyle name="Normal 33 10 12" xfId="34328" xr:uid="{00000000-0005-0000-0000-00005C890000}"/>
    <cellStyle name="Normal 33 10 13" xfId="34329" xr:uid="{00000000-0005-0000-0000-00005D890000}"/>
    <cellStyle name="Normal 33 10 2" xfId="34330" xr:uid="{00000000-0005-0000-0000-00005E890000}"/>
    <cellStyle name="Normal 33 10 2 2" xfId="34331" xr:uid="{00000000-0005-0000-0000-00005F890000}"/>
    <cellStyle name="Normal 33 10 2 3" xfId="34332" xr:uid="{00000000-0005-0000-0000-000060890000}"/>
    <cellStyle name="Normal 33 10 2 4" xfId="34333" xr:uid="{00000000-0005-0000-0000-000061890000}"/>
    <cellStyle name="Normal 33 10 2 5" xfId="34334" xr:uid="{00000000-0005-0000-0000-000062890000}"/>
    <cellStyle name="Normal 33 10 2 6" xfId="34335" xr:uid="{00000000-0005-0000-0000-000063890000}"/>
    <cellStyle name="Normal 33 10 3" xfId="34336" xr:uid="{00000000-0005-0000-0000-000064890000}"/>
    <cellStyle name="Normal 33 10 3 2" xfId="34337" xr:uid="{00000000-0005-0000-0000-000065890000}"/>
    <cellStyle name="Normal 33 10 3 3" xfId="34338" xr:uid="{00000000-0005-0000-0000-000066890000}"/>
    <cellStyle name="Normal 33 10 3 4" xfId="34339" xr:uid="{00000000-0005-0000-0000-000067890000}"/>
    <cellStyle name="Normal 33 10 3 5" xfId="34340" xr:uid="{00000000-0005-0000-0000-000068890000}"/>
    <cellStyle name="Normal 33 10 3 6" xfId="34341" xr:uid="{00000000-0005-0000-0000-000069890000}"/>
    <cellStyle name="Normal 33 10 4" xfId="34342" xr:uid="{00000000-0005-0000-0000-00006A890000}"/>
    <cellStyle name="Normal 33 10 4 2" xfId="34343" xr:uid="{00000000-0005-0000-0000-00006B890000}"/>
    <cellStyle name="Normal 33 10 4 3" xfId="34344" xr:uid="{00000000-0005-0000-0000-00006C890000}"/>
    <cellStyle name="Normal 33 10 4 4" xfId="34345" xr:uid="{00000000-0005-0000-0000-00006D890000}"/>
    <cellStyle name="Normal 33 10 4 5" xfId="34346" xr:uid="{00000000-0005-0000-0000-00006E890000}"/>
    <cellStyle name="Normal 33 10 4 6" xfId="34347" xr:uid="{00000000-0005-0000-0000-00006F890000}"/>
    <cellStyle name="Normal 33 10 5" xfId="34348" xr:uid="{00000000-0005-0000-0000-000070890000}"/>
    <cellStyle name="Normal 33 10 5 2" xfId="34349" xr:uid="{00000000-0005-0000-0000-000071890000}"/>
    <cellStyle name="Normal 33 10 5 3" xfId="34350" xr:uid="{00000000-0005-0000-0000-000072890000}"/>
    <cellStyle name="Normal 33 10 5 4" xfId="34351" xr:uid="{00000000-0005-0000-0000-000073890000}"/>
    <cellStyle name="Normal 33 10 5 5" xfId="34352" xr:uid="{00000000-0005-0000-0000-000074890000}"/>
    <cellStyle name="Normal 33 10 5 6" xfId="34353" xr:uid="{00000000-0005-0000-0000-000075890000}"/>
    <cellStyle name="Normal 33 10 6" xfId="34354" xr:uid="{00000000-0005-0000-0000-000076890000}"/>
    <cellStyle name="Normal 33 10 6 2" xfId="34355" xr:uid="{00000000-0005-0000-0000-000077890000}"/>
    <cellStyle name="Normal 33 10 6 3" xfId="34356" xr:uid="{00000000-0005-0000-0000-000078890000}"/>
    <cellStyle name="Normal 33 10 6 4" xfId="34357" xr:uid="{00000000-0005-0000-0000-000079890000}"/>
    <cellStyle name="Normal 33 10 6 5" xfId="34358" xr:uid="{00000000-0005-0000-0000-00007A890000}"/>
    <cellStyle name="Normal 33 10 6 6" xfId="34359" xr:uid="{00000000-0005-0000-0000-00007B890000}"/>
    <cellStyle name="Normal 33 10 7" xfId="34360" xr:uid="{00000000-0005-0000-0000-00007C890000}"/>
    <cellStyle name="Normal 33 10 7 2" xfId="34361" xr:uid="{00000000-0005-0000-0000-00007D890000}"/>
    <cellStyle name="Normal 33 10 7 3" xfId="34362" xr:uid="{00000000-0005-0000-0000-00007E890000}"/>
    <cellStyle name="Normal 33 10 7 4" xfId="34363" xr:uid="{00000000-0005-0000-0000-00007F890000}"/>
    <cellStyle name="Normal 33 10 7 5" xfId="34364" xr:uid="{00000000-0005-0000-0000-000080890000}"/>
    <cellStyle name="Normal 33 10 7 6" xfId="34365" xr:uid="{00000000-0005-0000-0000-000081890000}"/>
    <cellStyle name="Normal 33 10 8" xfId="34366" xr:uid="{00000000-0005-0000-0000-000082890000}"/>
    <cellStyle name="Normal 33 10 8 2" xfId="34367" xr:uid="{00000000-0005-0000-0000-000083890000}"/>
    <cellStyle name="Normal 33 10 8 3" xfId="34368" xr:uid="{00000000-0005-0000-0000-000084890000}"/>
    <cellStyle name="Normal 33 10 8 4" xfId="34369" xr:uid="{00000000-0005-0000-0000-000085890000}"/>
    <cellStyle name="Normal 33 10 8 5" xfId="34370" xr:uid="{00000000-0005-0000-0000-000086890000}"/>
    <cellStyle name="Normal 33 10 8 6" xfId="34371" xr:uid="{00000000-0005-0000-0000-000087890000}"/>
    <cellStyle name="Normal 33 10 9" xfId="34372" xr:uid="{00000000-0005-0000-0000-000088890000}"/>
    <cellStyle name="Normal 33 11" xfId="34373" xr:uid="{00000000-0005-0000-0000-000089890000}"/>
    <cellStyle name="Normal 33 11 10" xfId="34374" xr:uid="{00000000-0005-0000-0000-00008A890000}"/>
    <cellStyle name="Normal 33 11 11" xfId="34375" xr:uid="{00000000-0005-0000-0000-00008B890000}"/>
    <cellStyle name="Normal 33 11 12" xfId="34376" xr:uid="{00000000-0005-0000-0000-00008C890000}"/>
    <cellStyle name="Normal 33 11 13" xfId="34377" xr:uid="{00000000-0005-0000-0000-00008D890000}"/>
    <cellStyle name="Normal 33 11 2" xfId="34378" xr:uid="{00000000-0005-0000-0000-00008E890000}"/>
    <cellStyle name="Normal 33 11 2 2" xfId="34379" xr:uid="{00000000-0005-0000-0000-00008F890000}"/>
    <cellStyle name="Normal 33 11 2 3" xfId="34380" xr:uid="{00000000-0005-0000-0000-000090890000}"/>
    <cellStyle name="Normal 33 11 2 4" xfId="34381" xr:uid="{00000000-0005-0000-0000-000091890000}"/>
    <cellStyle name="Normal 33 11 2 5" xfId="34382" xr:uid="{00000000-0005-0000-0000-000092890000}"/>
    <cellStyle name="Normal 33 11 2 6" xfId="34383" xr:uid="{00000000-0005-0000-0000-000093890000}"/>
    <cellStyle name="Normal 33 11 3" xfId="34384" xr:uid="{00000000-0005-0000-0000-000094890000}"/>
    <cellStyle name="Normal 33 11 3 2" xfId="34385" xr:uid="{00000000-0005-0000-0000-000095890000}"/>
    <cellStyle name="Normal 33 11 3 3" xfId="34386" xr:uid="{00000000-0005-0000-0000-000096890000}"/>
    <cellStyle name="Normal 33 11 3 4" xfId="34387" xr:uid="{00000000-0005-0000-0000-000097890000}"/>
    <cellStyle name="Normal 33 11 3 5" xfId="34388" xr:uid="{00000000-0005-0000-0000-000098890000}"/>
    <cellStyle name="Normal 33 11 3 6" xfId="34389" xr:uid="{00000000-0005-0000-0000-000099890000}"/>
    <cellStyle name="Normal 33 11 4" xfId="34390" xr:uid="{00000000-0005-0000-0000-00009A890000}"/>
    <cellStyle name="Normal 33 11 4 2" xfId="34391" xr:uid="{00000000-0005-0000-0000-00009B890000}"/>
    <cellStyle name="Normal 33 11 4 3" xfId="34392" xr:uid="{00000000-0005-0000-0000-00009C890000}"/>
    <cellStyle name="Normal 33 11 4 4" xfId="34393" xr:uid="{00000000-0005-0000-0000-00009D890000}"/>
    <cellStyle name="Normal 33 11 4 5" xfId="34394" xr:uid="{00000000-0005-0000-0000-00009E890000}"/>
    <cellStyle name="Normal 33 11 4 6" xfId="34395" xr:uid="{00000000-0005-0000-0000-00009F890000}"/>
    <cellStyle name="Normal 33 11 5" xfId="34396" xr:uid="{00000000-0005-0000-0000-0000A0890000}"/>
    <cellStyle name="Normal 33 11 5 2" xfId="34397" xr:uid="{00000000-0005-0000-0000-0000A1890000}"/>
    <cellStyle name="Normal 33 11 5 3" xfId="34398" xr:uid="{00000000-0005-0000-0000-0000A2890000}"/>
    <cellStyle name="Normal 33 11 5 4" xfId="34399" xr:uid="{00000000-0005-0000-0000-0000A3890000}"/>
    <cellStyle name="Normal 33 11 5 5" xfId="34400" xr:uid="{00000000-0005-0000-0000-0000A4890000}"/>
    <cellStyle name="Normal 33 11 5 6" xfId="34401" xr:uid="{00000000-0005-0000-0000-0000A5890000}"/>
    <cellStyle name="Normal 33 11 6" xfId="34402" xr:uid="{00000000-0005-0000-0000-0000A6890000}"/>
    <cellStyle name="Normal 33 11 6 2" xfId="34403" xr:uid="{00000000-0005-0000-0000-0000A7890000}"/>
    <cellStyle name="Normal 33 11 6 3" xfId="34404" xr:uid="{00000000-0005-0000-0000-0000A8890000}"/>
    <cellStyle name="Normal 33 11 6 4" xfId="34405" xr:uid="{00000000-0005-0000-0000-0000A9890000}"/>
    <cellStyle name="Normal 33 11 6 5" xfId="34406" xr:uid="{00000000-0005-0000-0000-0000AA890000}"/>
    <cellStyle name="Normal 33 11 6 6" xfId="34407" xr:uid="{00000000-0005-0000-0000-0000AB890000}"/>
    <cellStyle name="Normal 33 11 7" xfId="34408" xr:uid="{00000000-0005-0000-0000-0000AC890000}"/>
    <cellStyle name="Normal 33 11 7 2" xfId="34409" xr:uid="{00000000-0005-0000-0000-0000AD890000}"/>
    <cellStyle name="Normal 33 11 7 3" xfId="34410" xr:uid="{00000000-0005-0000-0000-0000AE890000}"/>
    <cellStyle name="Normal 33 11 7 4" xfId="34411" xr:uid="{00000000-0005-0000-0000-0000AF890000}"/>
    <cellStyle name="Normal 33 11 7 5" xfId="34412" xr:uid="{00000000-0005-0000-0000-0000B0890000}"/>
    <cellStyle name="Normal 33 11 7 6" xfId="34413" xr:uid="{00000000-0005-0000-0000-0000B1890000}"/>
    <cellStyle name="Normal 33 11 8" xfId="34414" xr:uid="{00000000-0005-0000-0000-0000B2890000}"/>
    <cellStyle name="Normal 33 11 8 2" xfId="34415" xr:uid="{00000000-0005-0000-0000-0000B3890000}"/>
    <cellStyle name="Normal 33 11 8 3" xfId="34416" xr:uid="{00000000-0005-0000-0000-0000B4890000}"/>
    <cellStyle name="Normal 33 11 8 4" xfId="34417" xr:uid="{00000000-0005-0000-0000-0000B5890000}"/>
    <cellStyle name="Normal 33 11 8 5" xfId="34418" xr:uid="{00000000-0005-0000-0000-0000B6890000}"/>
    <cellStyle name="Normal 33 11 8 6" xfId="34419" xr:uid="{00000000-0005-0000-0000-0000B7890000}"/>
    <cellStyle name="Normal 33 11 9" xfId="34420" xr:uid="{00000000-0005-0000-0000-0000B8890000}"/>
    <cellStyle name="Normal 33 12" xfId="34421" xr:uid="{00000000-0005-0000-0000-0000B9890000}"/>
    <cellStyle name="Normal 33 12 2" xfId="34422" xr:uid="{00000000-0005-0000-0000-0000BA890000}"/>
    <cellStyle name="Normal 33 12 3" xfId="34423" xr:uid="{00000000-0005-0000-0000-0000BB890000}"/>
    <cellStyle name="Normal 33 12 4" xfId="34424" xr:uid="{00000000-0005-0000-0000-0000BC890000}"/>
    <cellStyle name="Normal 33 12 5" xfId="34425" xr:uid="{00000000-0005-0000-0000-0000BD890000}"/>
    <cellStyle name="Normal 33 12 6" xfId="34426" xr:uid="{00000000-0005-0000-0000-0000BE890000}"/>
    <cellStyle name="Normal 33 13" xfId="34427" xr:uid="{00000000-0005-0000-0000-0000BF890000}"/>
    <cellStyle name="Normal 33 13 2" xfId="34428" xr:uid="{00000000-0005-0000-0000-0000C0890000}"/>
    <cellStyle name="Normal 33 13 3" xfId="34429" xr:uid="{00000000-0005-0000-0000-0000C1890000}"/>
    <cellStyle name="Normal 33 13 4" xfId="34430" xr:uid="{00000000-0005-0000-0000-0000C2890000}"/>
    <cellStyle name="Normal 33 13 5" xfId="34431" xr:uid="{00000000-0005-0000-0000-0000C3890000}"/>
    <cellStyle name="Normal 33 13 6" xfId="34432" xr:uid="{00000000-0005-0000-0000-0000C4890000}"/>
    <cellStyle name="Normal 33 14" xfId="34433" xr:uid="{00000000-0005-0000-0000-0000C5890000}"/>
    <cellStyle name="Normal 33 14 2" xfId="34434" xr:uid="{00000000-0005-0000-0000-0000C6890000}"/>
    <cellStyle name="Normal 33 14 3" xfId="34435" xr:uid="{00000000-0005-0000-0000-0000C7890000}"/>
    <cellStyle name="Normal 33 14 4" xfId="34436" xr:uid="{00000000-0005-0000-0000-0000C8890000}"/>
    <cellStyle name="Normal 33 14 5" xfId="34437" xr:uid="{00000000-0005-0000-0000-0000C9890000}"/>
    <cellStyle name="Normal 33 14 6" xfId="34438" xr:uid="{00000000-0005-0000-0000-0000CA890000}"/>
    <cellStyle name="Normal 33 15" xfId="34439" xr:uid="{00000000-0005-0000-0000-0000CB890000}"/>
    <cellStyle name="Normal 33 15 2" xfId="34440" xr:uid="{00000000-0005-0000-0000-0000CC890000}"/>
    <cellStyle name="Normal 33 15 3" xfId="34441" xr:uid="{00000000-0005-0000-0000-0000CD890000}"/>
    <cellStyle name="Normal 33 15 4" xfId="34442" xr:uid="{00000000-0005-0000-0000-0000CE890000}"/>
    <cellStyle name="Normal 33 15 5" xfId="34443" xr:uid="{00000000-0005-0000-0000-0000CF890000}"/>
    <cellStyle name="Normal 33 15 6" xfId="34444" xr:uid="{00000000-0005-0000-0000-0000D0890000}"/>
    <cellStyle name="Normal 33 16" xfId="34445" xr:uid="{00000000-0005-0000-0000-0000D1890000}"/>
    <cellStyle name="Normal 33 16 2" xfId="34446" xr:uid="{00000000-0005-0000-0000-0000D2890000}"/>
    <cellStyle name="Normal 33 16 3" xfId="34447" xr:uid="{00000000-0005-0000-0000-0000D3890000}"/>
    <cellStyle name="Normal 33 16 4" xfId="34448" xr:uid="{00000000-0005-0000-0000-0000D4890000}"/>
    <cellStyle name="Normal 33 16 5" xfId="34449" xr:uid="{00000000-0005-0000-0000-0000D5890000}"/>
    <cellStyle name="Normal 33 16 6" xfId="34450" xr:uid="{00000000-0005-0000-0000-0000D6890000}"/>
    <cellStyle name="Normal 33 17" xfId="34451" xr:uid="{00000000-0005-0000-0000-0000D7890000}"/>
    <cellStyle name="Normal 33 17 2" xfId="34452" xr:uid="{00000000-0005-0000-0000-0000D8890000}"/>
    <cellStyle name="Normal 33 17 3" xfId="34453" xr:uid="{00000000-0005-0000-0000-0000D9890000}"/>
    <cellStyle name="Normal 33 17 4" xfId="34454" xr:uid="{00000000-0005-0000-0000-0000DA890000}"/>
    <cellStyle name="Normal 33 17 5" xfId="34455" xr:uid="{00000000-0005-0000-0000-0000DB890000}"/>
    <cellStyle name="Normal 33 17 6" xfId="34456" xr:uid="{00000000-0005-0000-0000-0000DC890000}"/>
    <cellStyle name="Normal 33 18" xfId="34457" xr:uid="{00000000-0005-0000-0000-0000DD890000}"/>
    <cellStyle name="Normal 33 18 2" xfId="34458" xr:uid="{00000000-0005-0000-0000-0000DE890000}"/>
    <cellStyle name="Normal 33 18 3" xfId="34459" xr:uid="{00000000-0005-0000-0000-0000DF890000}"/>
    <cellStyle name="Normal 33 18 4" xfId="34460" xr:uid="{00000000-0005-0000-0000-0000E0890000}"/>
    <cellStyle name="Normal 33 18 5" xfId="34461" xr:uid="{00000000-0005-0000-0000-0000E1890000}"/>
    <cellStyle name="Normal 33 18 6" xfId="34462" xr:uid="{00000000-0005-0000-0000-0000E2890000}"/>
    <cellStyle name="Normal 33 19" xfId="34463" xr:uid="{00000000-0005-0000-0000-0000E3890000}"/>
    <cellStyle name="Normal 33 2" xfId="34464" xr:uid="{00000000-0005-0000-0000-0000E4890000}"/>
    <cellStyle name="Normal 33 2 10" xfId="34465" xr:uid="{00000000-0005-0000-0000-0000E5890000}"/>
    <cellStyle name="Normal 33 2 11" xfId="34466" xr:uid="{00000000-0005-0000-0000-0000E6890000}"/>
    <cellStyle name="Normal 33 2 12" xfId="34467" xr:uid="{00000000-0005-0000-0000-0000E7890000}"/>
    <cellStyle name="Normal 33 2 13" xfId="34468" xr:uid="{00000000-0005-0000-0000-0000E8890000}"/>
    <cellStyle name="Normal 33 2 2" xfId="34469" xr:uid="{00000000-0005-0000-0000-0000E9890000}"/>
    <cellStyle name="Normal 33 2 2 2" xfId="34470" xr:uid="{00000000-0005-0000-0000-0000EA890000}"/>
    <cellStyle name="Normal 33 2 2 3" xfId="34471" xr:uid="{00000000-0005-0000-0000-0000EB890000}"/>
    <cellStyle name="Normal 33 2 2 4" xfId="34472" xr:uid="{00000000-0005-0000-0000-0000EC890000}"/>
    <cellStyle name="Normal 33 2 2 5" xfId="34473" xr:uid="{00000000-0005-0000-0000-0000ED890000}"/>
    <cellStyle name="Normal 33 2 2 6" xfId="34474" xr:uid="{00000000-0005-0000-0000-0000EE890000}"/>
    <cellStyle name="Normal 33 2 3" xfId="34475" xr:uid="{00000000-0005-0000-0000-0000EF890000}"/>
    <cellStyle name="Normal 33 2 3 2" xfId="34476" xr:uid="{00000000-0005-0000-0000-0000F0890000}"/>
    <cellStyle name="Normal 33 2 3 3" xfId="34477" xr:uid="{00000000-0005-0000-0000-0000F1890000}"/>
    <cellStyle name="Normal 33 2 3 4" xfId="34478" xr:uid="{00000000-0005-0000-0000-0000F2890000}"/>
    <cellStyle name="Normal 33 2 3 5" xfId="34479" xr:uid="{00000000-0005-0000-0000-0000F3890000}"/>
    <cellStyle name="Normal 33 2 3 6" xfId="34480" xr:uid="{00000000-0005-0000-0000-0000F4890000}"/>
    <cellStyle name="Normal 33 2 4" xfId="34481" xr:uid="{00000000-0005-0000-0000-0000F5890000}"/>
    <cellStyle name="Normal 33 2 4 2" xfId="34482" xr:uid="{00000000-0005-0000-0000-0000F6890000}"/>
    <cellStyle name="Normal 33 2 4 3" xfId="34483" xr:uid="{00000000-0005-0000-0000-0000F7890000}"/>
    <cellStyle name="Normal 33 2 4 4" xfId="34484" xr:uid="{00000000-0005-0000-0000-0000F8890000}"/>
    <cellStyle name="Normal 33 2 4 5" xfId="34485" xr:uid="{00000000-0005-0000-0000-0000F9890000}"/>
    <cellStyle name="Normal 33 2 4 6" xfId="34486" xr:uid="{00000000-0005-0000-0000-0000FA890000}"/>
    <cellStyle name="Normal 33 2 5" xfId="34487" xr:uid="{00000000-0005-0000-0000-0000FB890000}"/>
    <cellStyle name="Normal 33 2 5 2" xfId="34488" xr:uid="{00000000-0005-0000-0000-0000FC890000}"/>
    <cellStyle name="Normal 33 2 5 3" xfId="34489" xr:uid="{00000000-0005-0000-0000-0000FD890000}"/>
    <cellStyle name="Normal 33 2 5 4" xfId="34490" xr:uid="{00000000-0005-0000-0000-0000FE890000}"/>
    <cellStyle name="Normal 33 2 5 5" xfId="34491" xr:uid="{00000000-0005-0000-0000-0000FF890000}"/>
    <cellStyle name="Normal 33 2 5 6" xfId="34492" xr:uid="{00000000-0005-0000-0000-0000008A0000}"/>
    <cellStyle name="Normal 33 2 6" xfId="34493" xr:uid="{00000000-0005-0000-0000-0000018A0000}"/>
    <cellStyle name="Normal 33 2 6 2" xfId="34494" xr:uid="{00000000-0005-0000-0000-0000028A0000}"/>
    <cellStyle name="Normal 33 2 6 3" xfId="34495" xr:uid="{00000000-0005-0000-0000-0000038A0000}"/>
    <cellStyle name="Normal 33 2 6 4" xfId="34496" xr:uid="{00000000-0005-0000-0000-0000048A0000}"/>
    <cellStyle name="Normal 33 2 6 5" xfId="34497" xr:uid="{00000000-0005-0000-0000-0000058A0000}"/>
    <cellStyle name="Normal 33 2 6 6" xfId="34498" xr:uid="{00000000-0005-0000-0000-0000068A0000}"/>
    <cellStyle name="Normal 33 2 7" xfId="34499" xr:uid="{00000000-0005-0000-0000-0000078A0000}"/>
    <cellStyle name="Normal 33 2 7 2" xfId="34500" xr:uid="{00000000-0005-0000-0000-0000088A0000}"/>
    <cellStyle name="Normal 33 2 7 3" xfId="34501" xr:uid="{00000000-0005-0000-0000-0000098A0000}"/>
    <cellStyle name="Normal 33 2 7 4" xfId="34502" xr:uid="{00000000-0005-0000-0000-00000A8A0000}"/>
    <cellStyle name="Normal 33 2 7 5" xfId="34503" xr:uid="{00000000-0005-0000-0000-00000B8A0000}"/>
    <cellStyle name="Normal 33 2 7 6" xfId="34504" xr:uid="{00000000-0005-0000-0000-00000C8A0000}"/>
    <cellStyle name="Normal 33 2 8" xfId="34505" xr:uid="{00000000-0005-0000-0000-00000D8A0000}"/>
    <cellStyle name="Normal 33 2 8 2" xfId="34506" xr:uid="{00000000-0005-0000-0000-00000E8A0000}"/>
    <cellStyle name="Normal 33 2 8 3" xfId="34507" xr:uid="{00000000-0005-0000-0000-00000F8A0000}"/>
    <cellStyle name="Normal 33 2 8 4" xfId="34508" xr:uid="{00000000-0005-0000-0000-0000108A0000}"/>
    <cellStyle name="Normal 33 2 8 5" xfId="34509" xr:uid="{00000000-0005-0000-0000-0000118A0000}"/>
    <cellStyle name="Normal 33 2 8 6" xfId="34510" xr:uid="{00000000-0005-0000-0000-0000128A0000}"/>
    <cellStyle name="Normal 33 2 9" xfId="34511" xr:uid="{00000000-0005-0000-0000-0000138A0000}"/>
    <cellStyle name="Normal 33 20" xfId="34512" xr:uid="{00000000-0005-0000-0000-0000148A0000}"/>
    <cellStyle name="Normal 33 21" xfId="34513" xr:uid="{00000000-0005-0000-0000-0000158A0000}"/>
    <cellStyle name="Normal 33 22" xfId="34514" xr:uid="{00000000-0005-0000-0000-0000168A0000}"/>
    <cellStyle name="Normal 33 23" xfId="34515" xr:uid="{00000000-0005-0000-0000-0000178A0000}"/>
    <cellStyle name="Normal 33 3" xfId="34516" xr:uid="{00000000-0005-0000-0000-0000188A0000}"/>
    <cellStyle name="Normal 33 3 10" xfId="34517" xr:uid="{00000000-0005-0000-0000-0000198A0000}"/>
    <cellStyle name="Normal 33 3 11" xfId="34518" xr:uid="{00000000-0005-0000-0000-00001A8A0000}"/>
    <cellStyle name="Normal 33 3 12" xfId="34519" xr:uid="{00000000-0005-0000-0000-00001B8A0000}"/>
    <cellStyle name="Normal 33 3 13" xfId="34520" xr:uid="{00000000-0005-0000-0000-00001C8A0000}"/>
    <cellStyle name="Normal 33 3 2" xfId="34521" xr:uid="{00000000-0005-0000-0000-00001D8A0000}"/>
    <cellStyle name="Normal 33 3 2 2" xfId="34522" xr:uid="{00000000-0005-0000-0000-00001E8A0000}"/>
    <cellStyle name="Normal 33 3 2 3" xfId="34523" xr:uid="{00000000-0005-0000-0000-00001F8A0000}"/>
    <cellStyle name="Normal 33 3 2 4" xfId="34524" xr:uid="{00000000-0005-0000-0000-0000208A0000}"/>
    <cellStyle name="Normal 33 3 2 5" xfId="34525" xr:uid="{00000000-0005-0000-0000-0000218A0000}"/>
    <cellStyle name="Normal 33 3 2 6" xfId="34526" xr:uid="{00000000-0005-0000-0000-0000228A0000}"/>
    <cellStyle name="Normal 33 3 3" xfId="34527" xr:uid="{00000000-0005-0000-0000-0000238A0000}"/>
    <cellStyle name="Normal 33 3 3 2" xfId="34528" xr:uid="{00000000-0005-0000-0000-0000248A0000}"/>
    <cellStyle name="Normal 33 3 3 3" xfId="34529" xr:uid="{00000000-0005-0000-0000-0000258A0000}"/>
    <cellStyle name="Normal 33 3 3 4" xfId="34530" xr:uid="{00000000-0005-0000-0000-0000268A0000}"/>
    <cellStyle name="Normal 33 3 3 5" xfId="34531" xr:uid="{00000000-0005-0000-0000-0000278A0000}"/>
    <cellStyle name="Normal 33 3 3 6" xfId="34532" xr:uid="{00000000-0005-0000-0000-0000288A0000}"/>
    <cellStyle name="Normal 33 3 4" xfId="34533" xr:uid="{00000000-0005-0000-0000-0000298A0000}"/>
    <cellStyle name="Normal 33 3 4 2" xfId="34534" xr:uid="{00000000-0005-0000-0000-00002A8A0000}"/>
    <cellStyle name="Normal 33 3 4 3" xfId="34535" xr:uid="{00000000-0005-0000-0000-00002B8A0000}"/>
    <cellStyle name="Normal 33 3 4 4" xfId="34536" xr:uid="{00000000-0005-0000-0000-00002C8A0000}"/>
    <cellStyle name="Normal 33 3 4 5" xfId="34537" xr:uid="{00000000-0005-0000-0000-00002D8A0000}"/>
    <cellStyle name="Normal 33 3 4 6" xfId="34538" xr:uid="{00000000-0005-0000-0000-00002E8A0000}"/>
    <cellStyle name="Normal 33 3 5" xfId="34539" xr:uid="{00000000-0005-0000-0000-00002F8A0000}"/>
    <cellStyle name="Normal 33 3 5 2" xfId="34540" xr:uid="{00000000-0005-0000-0000-0000308A0000}"/>
    <cellStyle name="Normal 33 3 5 3" xfId="34541" xr:uid="{00000000-0005-0000-0000-0000318A0000}"/>
    <cellStyle name="Normal 33 3 5 4" xfId="34542" xr:uid="{00000000-0005-0000-0000-0000328A0000}"/>
    <cellStyle name="Normal 33 3 5 5" xfId="34543" xr:uid="{00000000-0005-0000-0000-0000338A0000}"/>
    <cellStyle name="Normal 33 3 5 6" xfId="34544" xr:uid="{00000000-0005-0000-0000-0000348A0000}"/>
    <cellStyle name="Normal 33 3 6" xfId="34545" xr:uid="{00000000-0005-0000-0000-0000358A0000}"/>
    <cellStyle name="Normal 33 3 6 2" xfId="34546" xr:uid="{00000000-0005-0000-0000-0000368A0000}"/>
    <cellStyle name="Normal 33 3 6 3" xfId="34547" xr:uid="{00000000-0005-0000-0000-0000378A0000}"/>
    <cellStyle name="Normal 33 3 6 4" xfId="34548" xr:uid="{00000000-0005-0000-0000-0000388A0000}"/>
    <cellStyle name="Normal 33 3 6 5" xfId="34549" xr:uid="{00000000-0005-0000-0000-0000398A0000}"/>
    <cellStyle name="Normal 33 3 6 6" xfId="34550" xr:uid="{00000000-0005-0000-0000-00003A8A0000}"/>
    <cellStyle name="Normal 33 3 7" xfId="34551" xr:uid="{00000000-0005-0000-0000-00003B8A0000}"/>
    <cellStyle name="Normal 33 3 7 2" xfId="34552" xr:uid="{00000000-0005-0000-0000-00003C8A0000}"/>
    <cellStyle name="Normal 33 3 7 3" xfId="34553" xr:uid="{00000000-0005-0000-0000-00003D8A0000}"/>
    <cellStyle name="Normal 33 3 7 4" xfId="34554" xr:uid="{00000000-0005-0000-0000-00003E8A0000}"/>
    <cellStyle name="Normal 33 3 7 5" xfId="34555" xr:uid="{00000000-0005-0000-0000-00003F8A0000}"/>
    <cellStyle name="Normal 33 3 7 6" xfId="34556" xr:uid="{00000000-0005-0000-0000-0000408A0000}"/>
    <cellStyle name="Normal 33 3 8" xfId="34557" xr:uid="{00000000-0005-0000-0000-0000418A0000}"/>
    <cellStyle name="Normal 33 3 8 2" xfId="34558" xr:uid="{00000000-0005-0000-0000-0000428A0000}"/>
    <cellStyle name="Normal 33 3 8 3" xfId="34559" xr:uid="{00000000-0005-0000-0000-0000438A0000}"/>
    <cellStyle name="Normal 33 3 8 4" xfId="34560" xr:uid="{00000000-0005-0000-0000-0000448A0000}"/>
    <cellStyle name="Normal 33 3 8 5" xfId="34561" xr:uid="{00000000-0005-0000-0000-0000458A0000}"/>
    <cellStyle name="Normal 33 3 8 6" xfId="34562" xr:uid="{00000000-0005-0000-0000-0000468A0000}"/>
    <cellStyle name="Normal 33 3 9" xfId="34563" xr:uid="{00000000-0005-0000-0000-0000478A0000}"/>
    <cellStyle name="Normal 33 4" xfId="34564" xr:uid="{00000000-0005-0000-0000-0000488A0000}"/>
    <cellStyle name="Normal 33 4 10" xfId="34565" xr:uid="{00000000-0005-0000-0000-0000498A0000}"/>
    <cellStyle name="Normal 33 4 11" xfId="34566" xr:uid="{00000000-0005-0000-0000-00004A8A0000}"/>
    <cellStyle name="Normal 33 4 12" xfId="34567" xr:uid="{00000000-0005-0000-0000-00004B8A0000}"/>
    <cellStyle name="Normal 33 4 13" xfId="34568" xr:uid="{00000000-0005-0000-0000-00004C8A0000}"/>
    <cellStyle name="Normal 33 4 2" xfId="34569" xr:uid="{00000000-0005-0000-0000-00004D8A0000}"/>
    <cellStyle name="Normal 33 4 2 2" xfId="34570" xr:uid="{00000000-0005-0000-0000-00004E8A0000}"/>
    <cellStyle name="Normal 33 4 2 3" xfId="34571" xr:uid="{00000000-0005-0000-0000-00004F8A0000}"/>
    <cellStyle name="Normal 33 4 2 4" xfId="34572" xr:uid="{00000000-0005-0000-0000-0000508A0000}"/>
    <cellStyle name="Normal 33 4 2 5" xfId="34573" xr:uid="{00000000-0005-0000-0000-0000518A0000}"/>
    <cellStyle name="Normal 33 4 2 6" xfId="34574" xr:uid="{00000000-0005-0000-0000-0000528A0000}"/>
    <cellStyle name="Normal 33 4 3" xfId="34575" xr:uid="{00000000-0005-0000-0000-0000538A0000}"/>
    <cellStyle name="Normal 33 4 3 2" xfId="34576" xr:uid="{00000000-0005-0000-0000-0000548A0000}"/>
    <cellStyle name="Normal 33 4 3 3" xfId="34577" xr:uid="{00000000-0005-0000-0000-0000558A0000}"/>
    <cellStyle name="Normal 33 4 3 4" xfId="34578" xr:uid="{00000000-0005-0000-0000-0000568A0000}"/>
    <cellStyle name="Normal 33 4 3 5" xfId="34579" xr:uid="{00000000-0005-0000-0000-0000578A0000}"/>
    <cellStyle name="Normal 33 4 3 6" xfId="34580" xr:uid="{00000000-0005-0000-0000-0000588A0000}"/>
    <cellStyle name="Normal 33 4 4" xfId="34581" xr:uid="{00000000-0005-0000-0000-0000598A0000}"/>
    <cellStyle name="Normal 33 4 4 2" xfId="34582" xr:uid="{00000000-0005-0000-0000-00005A8A0000}"/>
    <cellStyle name="Normal 33 4 4 3" xfId="34583" xr:uid="{00000000-0005-0000-0000-00005B8A0000}"/>
    <cellStyle name="Normal 33 4 4 4" xfId="34584" xr:uid="{00000000-0005-0000-0000-00005C8A0000}"/>
    <cellStyle name="Normal 33 4 4 5" xfId="34585" xr:uid="{00000000-0005-0000-0000-00005D8A0000}"/>
    <cellStyle name="Normal 33 4 4 6" xfId="34586" xr:uid="{00000000-0005-0000-0000-00005E8A0000}"/>
    <cellStyle name="Normal 33 4 5" xfId="34587" xr:uid="{00000000-0005-0000-0000-00005F8A0000}"/>
    <cellStyle name="Normal 33 4 5 2" xfId="34588" xr:uid="{00000000-0005-0000-0000-0000608A0000}"/>
    <cellStyle name="Normal 33 4 5 3" xfId="34589" xr:uid="{00000000-0005-0000-0000-0000618A0000}"/>
    <cellStyle name="Normal 33 4 5 4" xfId="34590" xr:uid="{00000000-0005-0000-0000-0000628A0000}"/>
    <cellStyle name="Normal 33 4 5 5" xfId="34591" xr:uid="{00000000-0005-0000-0000-0000638A0000}"/>
    <cellStyle name="Normal 33 4 5 6" xfId="34592" xr:uid="{00000000-0005-0000-0000-0000648A0000}"/>
    <cellStyle name="Normal 33 4 6" xfId="34593" xr:uid="{00000000-0005-0000-0000-0000658A0000}"/>
    <cellStyle name="Normal 33 4 6 2" xfId="34594" xr:uid="{00000000-0005-0000-0000-0000668A0000}"/>
    <cellStyle name="Normal 33 4 6 3" xfId="34595" xr:uid="{00000000-0005-0000-0000-0000678A0000}"/>
    <cellStyle name="Normal 33 4 6 4" xfId="34596" xr:uid="{00000000-0005-0000-0000-0000688A0000}"/>
    <cellStyle name="Normal 33 4 6 5" xfId="34597" xr:uid="{00000000-0005-0000-0000-0000698A0000}"/>
    <cellStyle name="Normal 33 4 6 6" xfId="34598" xr:uid="{00000000-0005-0000-0000-00006A8A0000}"/>
    <cellStyle name="Normal 33 4 7" xfId="34599" xr:uid="{00000000-0005-0000-0000-00006B8A0000}"/>
    <cellStyle name="Normal 33 4 7 2" xfId="34600" xr:uid="{00000000-0005-0000-0000-00006C8A0000}"/>
    <cellStyle name="Normal 33 4 7 3" xfId="34601" xr:uid="{00000000-0005-0000-0000-00006D8A0000}"/>
    <cellStyle name="Normal 33 4 7 4" xfId="34602" xr:uid="{00000000-0005-0000-0000-00006E8A0000}"/>
    <cellStyle name="Normal 33 4 7 5" xfId="34603" xr:uid="{00000000-0005-0000-0000-00006F8A0000}"/>
    <cellStyle name="Normal 33 4 7 6" xfId="34604" xr:uid="{00000000-0005-0000-0000-0000708A0000}"/>
    <cellStyle name="Normal 33 4 8" xfId="34605" xr:uid="{00000000-0005-0000-0000-0000718A0000}"/>
    <cellStyle name="Normal 33 4 8 2" xfId="34606" xr:uid="{00000000-0005-0000-0000-0000728A0000}"/>
    <cellStyle name="Normal 33 4 8 3" xfId="34607" xr:uid="{00000000-0005-0000-0000-0000738A0000}"/>
    <cellStyle name="Normal 33 4 8 4" xfId="34608" xr:uid="{00000000-0005-0000-0000-0000748A0000}"/>
    <cellStyle name="Normal 33 4 8 5" xfId="34609" xr:uid="{00000000-0005-0000-0000-0000758A0000}"/>
    <cellStyle name="Normal 33 4 8 6" xfId="34610" xr:uid="{00000000-0005-0000-0000-0000768A0000}"/>
    <cellStyle name="Normal 33 4 9" xfId="34611" xr:uid="{00000000-0005-0000-0000-0000778A0000}"/>
    <cellStyle name="Normal 33 5" xfId="34612" xr:uid="{00000000-0005-0000-0000-0000788A0000}"/>
    <cellStyle name="Normal 33 5 10" xfId="34613" xr:uid="{00000000-0005-0000-0000-0000798A0000}"/>
    <cellStyle name="Normal 33 5 11" xfId="34614" xr:uid="{00000000-0005-0000-0000-00007A8A0000}"/>
    <cellStyle name="Normal 33 5 12" xfId="34615" xr:uid="{00000000-0005-0000-0000-00007B8A0000}"/>
    <cellStyle name="Normal 33 5 13" xfId="34616" xr:uid="{00000000-0005-0000-0000-00007C8A0000}"/>
    <cellStyle name="Normal 33 5 2" xfId="34617" xr:uid="{00000000-0005-0000-0000-00007D8A0000}"/>
    <cellStyle name="Normal 33 5 2 2" xfId="34618" xr:uid="{00000000-0005-0000-0000-00007E8A0000}"/>
    <cellStyle name="Normal 33 5 2 3" xfId="34619" xr:uid="{00000000-0005-0000-0000-00007F8A0000}"/>
    <cellStyle name="Normal 33 5 2 4" xfId="34620" xr:uid="{00000000-0005-0000-0000-0000808A0000}"/>
    <cellStyle name="Normal 33 5 2 5" xfId="34621" xr:uid="{00000000-0005-0000-0000-0000818A0000}"/>
    <cellStyle name="Normal 33 5 2 6" xfId="34622" xr:uid="{00000000-0005-0000-0000-0000828A0000}"/>
    <cellStyle name="Normal 33 5 3" xfId="34623" xr:uid="{00000000-0005-0000-0000-0000838A0000}"/>
    <cellStyle name="Normal 33 5 3 2" xfId="34624" xr:uid="{00000000-0005-0000-0000-0000848A0000}"/>
    <cellStyle name="Normal 33 5 3 3" xfId="34625" xr:uid="{00000000-0005-0000-0000-0000858A0000}"/>
    <cellStyle name="Normal 33 5 3 4" xfId="34626" xr:uid="{00000000-0005-0000-0000-0000868A0000}"/>
    <cellStyle name="Normal 33 5 3 5" xfId="34627" xr:uid="{00000000-0005-0000-0000-0000878A0000}"/>
    <cellStyle name="Normal 33 5 3 6" xfId="34628" xr:uid="{00000000-0005-0000-0000-0000888A0000}"/>
    <cellStyle name="Normal 33 5 4" xfId="34629" xr:uid="{00000000-0005-0000-0000-0000898A0000}"/>
    <cellStyle name="Normal 33 5 4 2" xfId="34630" xr:uid="{00000000-0005-0000-0000-00008A8A0000}"/>
    <cellStyle name="Normal 33 5 4 3" xfId="34631" xr:uid="{00000000-0005-0000-0000-00008B8A0000}"/>
    <cellStyle name="Normal 33 5 4 4" xfId="34632" xr:uid="{00000000-0005-0000-0000-00008C8A0000}"/>
    <cellStyle name="Normal 33 5 4 5" xfId="34633" xr:uid="{00000000-0005-0000-0000-00008D8A0000}"/>
    <cellStyle name="Normal 33 5 4 6" xfId="34634" xr:uid="{00000000-0005-0000-0000-00008E8A0000}"/>
    <cellStyle name="Normal 33 5 5" xfId="34635" xr:uid="{00000000-0005-0000-0000-00008F8A0000}"/>
    <cellStyle name="Normal 33 5 5 2" xfId="34636" xr:uid="{00000000-0005-0000-0000-0000908A0000}"/>
    <cellStyle name="Normal 33 5 5 3" xfId="34637" xr:uid="{00000000-0005-0000-0000-0000918A0000}"/>
    <cellStyle name="Normal 33 5 5 4" xfId="34638" xr:uid="{00000000-0005-0000-0000-0000928A0000}"/>
    <cellStyle name="Normal 33 5 5 5" xfId="34639" xr:uid="{00000000-0005-0000-0000-0000938A0000}"/>
    <cellStyle name="Normal 33 5 5 6" xfId="34640" xr:uid="{00000000-0005-0000-0000-0000948A0000}"/>
    <cellStyle name="Normal 33 5 6" xfId="34641" xr:uid="{00000000-0005-0000-0000-0000958A0000}"/>
    <cellStyle name="Normal 33 5 6 2" xfId="34642" xr:uid="{00000000-0005-0000-0000-0000968A0000}"/>
    <cellStyle name="Normal 33 5 6 3" xfId="34643" xr:uid="{00000000-0005-0000-0000-0000978A0000}"/>
    <cellStyle name="Normal 33 5 6 4" xfId="34644" xr:uid="{00000000-0005-0000-0000-0000988A0000}"/>
    <cellStyle name="Normal 33 5 6 5" xfId="34645" xr:uid="{00000000-0005-0000-0000-0000998A0000}"/>
    <cellStyle name="Normal 33 5 6 6" xfId="34646" xr:uid="{00000000-0005-0000-0000-00009A8A0000}"/>
    <cellStyle name="Normal 33 5 7" xfId="34647" xr:uid="{00000000-0005-0000-0000-00009B8A0000}"/>
    <cellStyle name="Normal 33 5 7 2" xfId="34648" xr:uid="{00000000-0005-0000-0000-00009C8A0000}"/>
    <cellStyle name="Normal 33 5 7 3" xfId="34649" xr:uid="{00000000-0005-0000-0000-00009D8A0000}"/>
    <cellStyle name="Normal 33 5 7 4" xfId="34650" xr:uid="{00000000-0005-0000-0000-00009E8A0000}"/>
    <cellStyle name="Normal 33 5 7 5" xfId="34651" xr:uid="{00000000-0005-0000-0000-00009F8A0000}"/>
    <cellStyle name="Normal 33 5 7 6" xfId="34652" xr:uid="{00000000-0005-0000-0000-0000A08A0000}"/>
    <cellStyle name="Normal 33 5 8" xfId="34653" xr:uid="{00000000-0005-0000-0000-0000A18A0000}"/>
    <cellStyle name="Normal 33 5 8 2" xfId="34654" xr:uid="{00000000-0005-0000-0000-0000A28A0000}"/>
    <cellStyle name="Normal 33 5 8 3" xfId="34655" xr:uid="{00000000-0005-0000-0000-0000A38A0000}"/>
    <cellStyle name="Normal 33 5 8 4" xfId="34656" xr:uid="{00000000-0005-0000-0000-0000A48A0000}"/>
    <cellStyle name="Normal 33 5 8 5" xfId="34657" xr:uid="{00000000-0005-0000-0000-0000A58A0000}"/>
    <cellStyle name="Normal 33 5 8 6" xfId="34658" xr:uid="{00000000-0005-0000-0000-0000A68A0000}"/>
    <cellStyle name="Normal 33 5 9" xfId="34659" xr:uid="{00000000-0005-0000-0000-0000A78A0000}"/>
    <cellStyle name="Normal 33 6" xfId="34660" xr:uid="{00000000-0005-0000-0000-0000A88A0000}"/>
    <cellStyle name="Normal 33 6 10" xfId="34661" xr:uid="{00000000-0005-0000-0000-0000A98A0000}"/>
    <cellStyle name="Normal 33 6 11" xfId="34662" xr:uid="{00000000-0005-0000-0000-0000AA8A0000}"/>
    <cellStyle name="Normal 33 6 12" xfId="34663" xr:uid="{00000000-0005-0000-0000-0000AB8A0000}"/>
    <cellStyle name="Normal 33 6 13" xfId="34664" xr:uid="{00000000-0005-0000-0000-0000AC8A0000}"/>
    <cellStyle name="Normal 33 6 2" xfId="34665" xr:uid="{00000000-0005-0000-0000-0000AD8A0000}"/>
    <cellStyle name="Normal 33 6 2 2" xfId="34666" xr:uid="{00000000-0005-0000-0000-0000AE8A0000}"/>
    <cellStyle name="Normal 33 6 2 3" xfId="34667" xr:uid="{00000000-0005-0000-0000-0000AF8A0000}"/>
    <cellStyle name="Normal 33 6 2 4" xfId="34668" xr:uid="{00000000-0005-0000-0000-0000B08A0000}"/>
    <cellStyle name="Normal 33 6 2 5" xfId="34669" xr:uid="{00000000-0005-0000-0000-0000B18A0000}"/>
    <cellStyle name="Normal 33 6 2 6" xfId="34670" xr:uid="{00000000-0005-0000-0000-0000B28A0000}"/>
    <cellStyle name="Normal 33 6 3" xfId="34671" xr:uid="{00000000-0005-0000-0000-0000B38A0000}"/>
    <cellStyle name="Normal 33 6 3 2" xfId="34672" xr:uid="{00000000-0005-0000-0000-0000B48A0000}"/>
    <cellStyle name="Normal 33 6 3 3" xfId="34673" xr:uid="{00000000-0005-0000-0000-0000B58A0000}"/>
    <cellStyle name="Normal 33 6 3 4" xfId="34674" xr:uid="{00000000-0005-0000-0000-0000B68A0000}"/>
    <cellStyle name="Normal 33 6 3 5" xfId="34675" xr:uid="{00000000-0005-0000-0000-0000B78A0000}"/>
    <cellStyle name="Normal 33 6 3 6" xfId="34676" xr:uid="{00000000-0005-0000-0000-0000B88A0000}"/>
    <cellStyle name="Normal 33 6 4" xfId="34677" xr:uid="{00000000-0005-0000-0000-0000B98A0000}"/>
    <cellStyle name="Normal 33 6 4 2" xfId="34678" xr:uid="{00000000-0005-0000-0000-0000BA8A0000}"/>
    <cellStyle name="Normal 33 6 4 3" xfId="34679" xr:uid="{00000000-0005-0000-0000-0000BB8A0000}"/>
    <cellStyle name="Normal 33 6 4 4" xfId="34680" xr:uid="{00000000-0005-0000-0000-0000BC8A0000}"/>
    <cellStyle name="Normal 33 6 4 5" xfId="34681" xr:uid="{00000000-0005-0000-0000-0000BD8A0000}"/>
    <cellStyle name="Normal 33 6 4 6" xfId="34682" xr:uid="{00000000-0005-0000-0000-0000BE8A0000}"/>
    <cellStyle name="Normal 33 6 5" xfId="34683" xr:uid="{00000000-0005-0000-0000-0000BF8A0000}"/>
    <cellStyle name="Normal 33 6 5 2" xfId="34684" xr:uid="{00000000-0005-0000-0000-0000C08A0000}"/>
    <cellStyle name="Normal 33 6 5 3" xfId="34685" xr:uid="{00000000-0005-0000-0000-0000C18A0000}"/>
    <cellStyle name="Normal 33 6 5 4" xfId="34686" xr:uid="{00000000-0005-0000-0000-0000C28A0000}"/>
    <cellStyle name="Normal 33 6 5 5" xfId="34687" xr:uid="{00000000-0005-0000-0000-0000C38A0000}"/>
    <cellStyle name="Normal 33 6 5 6" xfId="34688" xr:uid="{00000000-0005-0000-0000-0000C48A0000}"/>
    <cellStyle name="Normal 33 6 6" xfId="34689" xr:uid="{00000000-0005-0000-0000-0000C58A0000}"/>
    <cellStyle name="Normal 33 6 6 2" xfId="34690" xr:uid="{00000000-0005-0000-0000-0000C68A0000}"/>
    <cellStyle name="Normal 33 6 6 3" xfId="34691" xr:uid="{00000000-0005-0000-0000-0000C78A0000}"/>
    <cellStyle name="Normal 33 6 6 4" xfId="34692" xr:uid="{00000000-0005-0000-0000-0000C88A0000}"/>
    <cellStyle name="Normal 33 6 6 5" xfId="34693" xr:uid="{00000000-0005-0000-0000-0000C98A0000}"/>
    <cellStyle name="Normal 33 6 6 6" xfId="34694" xr:uid="{00000000-0005-0000-0000-0000CA8A0000}"/>
    <cellStyle name="Normal 33 6 7" xfId="34695" xr:uid="{00000000-0005-0000-0000-0000CB8A0000}"/>
    <cellStyle name="Normal 33 6 7 2" xfId="34696" xr:uid="{00000000-0005-0000-0000-0000CC8A0000}"/>
    <cellStyle name="Normal 33 6 7 3" xfId="34697" xr:uid="{00000000-0005-0000-0000-0000CD8A0000}"/>
    <cellStyle name="Normal 33 6 7 4" xfId="34698" xr:uid="{00000000-0005-0000-0000-0000CE8A0000}"/>
    <cellStyle name="Normal 33 6 7 5" xfId="34699" xr:uid="{00000000-0005-0000-0000-0000CF8A0000}"/>
    <cellStyle name="Normal 33 6 7 6" xfId="34700" xr:uid="{00000000-0005-0000-0000-0000D08A0000}"/>
    <cellStyle name="Normal 33 6 8" xfId="34701" xr:uid="{00000000-0005-0000-0000-0000D18A0000}"/>
    <cellStyle name="Normal 33 6 8 2" xfId="34702" xr:uid="{00000000-0005-0000-0000-0000D28A0000}"/>
    <cellStyle name="Normal 33 6 8 3" xfId="34703" xr:uid="{00000000-0005-0000-0000-0000D38A0000}"/>
    <cellStyle name="Normal 33 6 8 4" xfId="34704" xr:uid="{00000000-0005-0000-0000-0000D48A0000}"/>
    <cellStyle name="Normal 33 6 8 5" xfId="34705" xr:uid="{00000000-0005-0000-0000-0000D58A0000}"/>
    <cellStyle name="Normal 33 6 8 6" xfId="34706" xr:uid="{00000000-0005-0000-0000-0000D68A0000}"/>
    <cellStyle name="Normal 33 6 9" xfId="34707" xr:uid="{00000000-0005-0000-0000-0000D78A0000}"/>
    <cellStyle name="Normal 33 7" xfId="34708" xr:uid="{00000000-0005-0000-0000-0000D88A0000}"/>
    <cellStyle name="Normal 33 7 10" xfId="34709" xr:uid="{00000000-0005-0000-0000-0000D98A0000}"/>
    <cellStyle name="Normal 33 7 11" xfId="34710" xr:uid="{00000000-0005-0000-0000-0000DA8A0000}"/>
    <cellStyle name="Normal 33 7 12" xfId="34711" xr:uid="{00000000-0005-0000-0000-0000DB8A0000}"/>
    <cellStyle name="Normal 33 7 13" xfId="34712" xr:uid="{00000000-0005-0000-0000-0000DC8A0000}"/>
    <cellStyle name="Normal 33 7 2" xfId="34713" xr:uid="{00000000-0005-0000-0000-0000DD8A0000}"/>
    <cellStyle name="Normal 33 7 2 2" xfId="34714" xr:uid="{00000000-0005-0000-0000-0000DE8A0000}"/>
    <cellStyle name="Normal 33 7 2 3" xfId="34715" xr:uid="{00000000-0005-0000-0000-0000DF8A0000}"/>
    <cellStyle name="Normal 33 7 2 4" xfId="34716" xr:uid="{00000000-0005-0000-0000-0000E08A0000}"/>
    <cellStyle name="Normal 33 7 2 5" xfId="34717" xr:uid="{00000000-0005-0000-0000-0000E18A0000}"/>
    <cellStyle name="Normal 33 7 2 6" xfId="34718" xr:uid="{00000000-0005-0000-0000-0000E28A0000}"/>
    <cellStyle name="Normal 33 7 3" xfId="34719" xr:uid="{00000000-0005-0000-0000-0000E38A0000}"/>
    <cellStyle name="Normal 33 7 3 2" xfId="34720" xr:uid="{00000000-0005-0000-0000-0000E48A0000}"/>
    <cellStyle name="Normal 33 7 3 3" xfId="34721" xr:uid="{00000000-0005-0000-0000-0000E58A0000}"/>
    <cellStyle name="Normal 33 7 3 4" xfId="34722" xr:uid="{00000000-0005-0000-0000-0000E68A0000}"/>
    <cellStyle name="Normal 33 7 3 5" xfId="34723" xr:uid="{00000000-0005-0000-0000-0000E78A0000}"/>
    <cellStyle name="Normal 33 7 3 6" xfId="34724" xr:uid="{00000000-0005-0000-0000-0000E88A0000}"/>
    <cellStyle name="Normal 33 7 4" xfId="34725" xr:uid="{00000000-0005-0000-0000-0000E98A0000}"/>
    <cellStyle name="Normal 33 7 4 2" xfId="34726" xr:uid="{00000000-0005-0000-0000-0000EA8A0000}"/>
    <cellStyle name="Normal 33 7 4 3" xfId="34727" xr:uid="{00000000-0005-0000-0000-0000EB8A0000}"/>
    <cellStyle name="Normal 33 7 4 4" xfId="34728" xr:uid="{00000000-0005-0000-0000-0000EC8A0000}"/>
    <cellStyle name="Normal 33 7 4 5" xfId="34729" xr:uid="{00000000-0005-0000-0000-0000ED8A0000}"/>
    <cellStyle name="Normal 33 7 4 6" xfId="34730" xr:uid="{00000000-0005-0000-0000-0000EE8A0000}"/>
    <cellStyle name="Normal 33 7 5" xfId="34731" xr:uid="{00000000-0005-0000-0000-0000EF8A0000}"/>
    <cellStyle name="Normal 33 7 5 2" xfId="34732" xr:uid="{00000000-0005-0000-0000-0000F08A0000}"/>
    <cellStyle name="Normal 33 7 5 3" xfId="34733" xr:uid="{00000000-0005-0000-0000-0000F18A0000}"/>
    <cellStyle name="Normal 33 7 5 4" xfId="34734" xr:uid="{00000000-0005-0000-0000-0000F28A0000}"/>
    <cellStyle name="Normal 33 7 5 5" xfId="34735" xr:uid="{00000000-0005-0000-0000-0000F38A0000}"/>
    <cellStyle name="Normal 33 7 5 6" xfId="34736" xr:uid="{00000000-0005-0000-0000-0000F48A0000}"/>
    <cellStyle name="Normal 33 7 6" xfId="34737" xr:uid="{00000000-0005-0000-0000-0000F58A0000}"/>
    <cellStyle name="Normal 33 7 6 2" xfId="34738" xr:uid="{00000000-0005-0000-0000-0000F68A0000}"/>
    <cellStyle name="Normal 33 7 6 3" xfId="34739" xr:uid="{00000000-0005-0000-0000-0000F78A0000}"/>
    <cellStyle name="Normal 33 7 6 4" xfId="34740" xr:uid="{00000000-0005-0000-0000-0000F88A0000}"/>
    <cellStyle name="Normal 33 7 6 5" xfId="34741" xr:uid="{00000000-0005-0000-0000-0000F98A0000}"/>
    <cellStyle name="Normal 33 7 6 6" xfId="34742" xr:uid="{00000000-0005-0000-0000-0000FA8A0000}"/>
    <cellStyle name="Normal 33 7 7" xfId="34743" xr:uid="{00000000-0005-0000-0000-0000FB8A0000}"/>
    <cellStyle name="Normal 33 7 7 2" xfId="34744" xr:uid="{00000000-0005-0000-0000-0000FC8A0000}"/>
    <cellStyle name="Normal 33 7 7 3" xfId="34745" xr:uid="{00000000-0005-0000-0000-0000FD8A0000}"/>
    <cellStyle name="Normal 33 7 7 4" xfId="34746" xr:uid="{00000000-0005-0000-0000-0000FE8A0000}"/>
    <cellStyle name="Normal 33 7 7 5" xfId="34747" xr:uid="{00000000-0005-0000-0000-0000FF8A0000}"/>
    <cellStyle name="Normal 33 7 7 6" xfId="34748" xr:uid="{00000000-0005-0000-0000-0000008B0000}"/>
    <cellStyle name="Normal 33 7 8" xfId="34749" xr:uid="{00000000-0005-0000-0000-0000018B0000}"/>
    <cellStyle name="Normal 33 7 8 2" xfId="34750" xr:uid="{00000000-0005-0000-0000-0000028B0000}"/>
    <cellStyle name="Normal 33 7 8 3" xfId="34751" xr:uid="{00000000-0005-0000-0000-0000038B0000}"/>
    <cellStyle name="Normal 33 7 8 4" xfId="34752" xr:uid="{00000000-0005-0000-0000-0000048B0000}"/>
    <cellStyle name="Normal 33 7 8 5" xfId="34753" xr:uid="{00000000-0005-0000-0000-0000058B0000}"/>
    <cellStyle name="Normal 33 7 8 6" xfId="34754" xr:uid="{00000000-0005-0000-0000-0000068B0000}"/>
    <cellStyle name="Normal 33 7 9" xfId="34755" xr:uid="{00000000-0005-0000-0000-0000078B0000}"/>
    <cellStyle name="Normal 33 8" xfId="34756" xr:uid="{00000000-0005-0000-0000-0000088B0000}"/>
    <cellStyle name="Normal 33 8 10" xfId="34757" xr:uid="{00000000-0005-0000-0000-0000098B0000}"/>
    <cellStyle name="Normal 33 8 11" xfId="34758" xr:uid="{00000000-0005-0000-0000-00000A8B0000}"/>
    <cellStyle name="Normal 33 8 12" xfId="34759" xr:uid="{00000000-0005-0000-0000-00000B8B0000}"/>
    <cellStyle name="Normal 33 8 13" xfId="34760" xr:uid="{00000000-0005-0000-0000-00000C8B0000}"/>
    <cellStyle name="Normal 33 8 2" xfId="34761" xr:uid="{00000000-0005-0000-0000-00000D8B0000}"/>
    <cellStyle name="Normal 33 8 2 2" xfId="34762" xr:uid="{00000000-0005-0000-0000-00000E8B0000}"/>
    <cellStyle name="Normal 33 8 2 3" xfId="34763" xr:uid="{00000000-0005-0000-0000-00000F8B0000}"/>
    <cellStyle name="Normal 33 8 2 4" xfId="34764" xr:uid="{00000000-0005-0000-0000-0000108B0000}"/>
    <cellStyle name="Normal 33 8 2 5" xfId="34765" xr:uid="{00000000-0005-0000-0000-0000118B0000}"/>
    <cellStyle name="Normal 33 8 2 6" xfId="34766" xr:uid="{00000000-0005-0000-0000-0000128B0000}"/>
    <cellStyle name="Normal 33 8 3" xfId="34767" xr:uid="{00000000-0005-0000-0000-0000138B0000}"/>
    <cellStyle name="Normal 33 8 3 2" xfId="34768" xr:uid="{00000000-0005-0000-0000-0000148B0000}"/>
    <cellStyle name="Normal 33 8 3 3" xfId="34769" xr:uid="{00000000-0005-0000-0000-0000158B0000}"/>
    <cellStyle name="Normal 33 8 3 4" xfId="34770" xr:uid="{00000000-0005-0000-0000-0000168B0000}"/>
    <cellStyle name="Normal 33 8 3 5" xfId="34771" xr:uid="{00000000-0005-0000-0000-0000178B0000}"/>
    <cellStyle name="Normal 33 8 3 6" xfId="34772" xr:uid="{00000000-0005-0000-0000-0000188B0000}"/>
    <cellStyle name="Normal 33 8 4" xfId="34773" xr:uid="{00000000-0005-0000-0000-0000198B0000}"/>
    <cellStyle name="Normal 33 8 4 2" xfId="34774" xr:uid="{00000000-0005-0000-0000-00001A8B0000}"/>
    <cellStyle name="Normal 33 8 4 3" xfId="34775" xr:uid="{00000000-0005-0000-0000-00001B8B0000}"/>
    <cellStyle name="Normal 33 8 4 4" xfId="34776" xr:uid="{00000000-0005-0000-0000-00001C8B0000}"/>
    <cellStyle name="Normal 33 8 4 5" xfId="34777" xr:uid="{00000000-0005-0000-0000-00001D8B0000}"/>
    <cellStyle name="Normal 33 8 4 6" xfId="34778" xr:uid="{00000000-0005-0000-0000-00001E8B0000}"/>
    <cellStyle name="Normal 33 8 5" xfId="34779" xr:uid="{00000000-0005-0000-0000-00001F8B0000}"/>
    <cellStyle name="Normal 33 8 5 2" xfId="34780" xr:uid="{00000000-0005-0000-0000-0000208B0000}"/>
    <cellStyle name="Normal 33 8 5 3" xfId="34781" xr:uid="{00000000-0005-0000-0000-0000218B0000}"/>
    <cellStyle name="Normal 33 8 5 4" xfId="34782" xr:uid="{00000000-0005-0000-0000-0000228B0000}"/>
    <cellStyle name="Normal 33 8 5 5" xfId="34783" xr:uid="{00000000-0005-0000-0000-0000238B0000}"/>
    <cellStyle name="Normal 33 8 5 6" xfId="34784" xr:uid="{00000000-0005-0000-0000-0000248B0000}"/>
    <cellStyle name="Normal 33 8 6" xfId="34785" xr:uid="{00000000-0005-0000-0000-0000258B0000}"/>
    <cellStyle name="Normal 33 8 6 2" xfId="34786" xr:uid="{00000000-0005-0000-0000-0000268B0000}"/>
    <cellStyle name="Normal 33 8 6 3" xfId="34787" xr:uid="{00000000-0005-0000-0000-0000278B0000}"/>
    <cellStyle name="Normal 33 8 6 4" xfId="34788" xr:uid="{00000000-0005-0000-0000-0000288B0000}"/>
    <cellStyle name="Normal 33 8 6 5" xfId="34789" xr:uid="{00000000-0005-0000-0000-0000298B0000}"/>
    <cellStyle name="Normal 33 8 6 6" xfId="34790" xr:uid="{00000000-0005-0000-0000-00002A8B0000}"/>
    <cellStyle name="Normal 33 8 7" xfId="34791" xr:uid="{00000000-0005-0000-0000-00002B8B0000}"/>
    <cellStyle name="Normal 33 8 7 2" xfId="34792" xr:uid="{00000000-0005-0000-0000-00002C8B0000}"/>
    <cellStyle name="Normal 33 8 7 3" xfId="34793" xr:uid="{00000000-0005-0000-0000-00002D8B0000}"/>
    <cellStyle name="Normal 33 8 7 4" xfId="34794" xr:uid="{00000000-0005-0000-0000-00002E8B0000}"/>
    <cellStyle name="Normal 33 8 7 5" xfId="34795" xr:uid="{00000000-0005-0000-0000-00002F8B0000}"/>
    <cellStyle name="Normal 33 8 7 6" xfId="34796" xr:uid="{00000000-0005-0000-0000-0000308B0000}"/>
    <cellStyle name="Normal 33 8 8" xfId="34797" xr:uid="{00000000-0005-0000-0000-0000318B0000}"/>
    <cellStyle name="Normal 33 8 8 2" xfId="34798" xr:uid="{00000000-0005-0000-0000-0000328B0000}"/>
    <cellStyle name="Normal 33 8 8 3" xfId="34799" xr:uid="{00000000-0005-0000-0000-0000338B0000}"/>
    <cellStyle name="Normal 33 8 8 4" xfId="34800" xr:uid="{00000000-0005-0000-0000-0000348B0000}"/>
    <cellStyle name="Normal 33 8 8 5" xfId="34801" xr:uid="{00000000-0005-0000-0000-0000358B0000}"/>
    <cellStyle name="Normal 33 8 8 6" xfId="34802" xr:uid="{00000000-0005-0000-0000-0000368B0000}"/>
    <cellStyle name="Normal 33 8 9" xfId="34803" xr:uid="{00000000-0005-0000-0000-0000378B0000}"/>
    <cellStyle name="Normal 33 9" xfId="34804" xr:uid="{00000000-0005-0000-0000-0000388B0000}"/>
    <cellStyle name="Normal 33 9 10" xfId="34805" xr:uid="{00000000-0005-0000-0000-0000398B0000}"/>
    <cellStyle name="Normal 33 9 11" xfId="34806" xr:uid="{00000000-0005-0000-0000-00003A8B0000}"/>
    <cellStyle name="Normal 33 9 12" xfId="34807" xr:uid="{00000000-0005-0000-0000-00003B8B0000}"/>
    <cellStyle name="Normal 33 9 13" xfId="34808" xr:uid="{00000000-0005-0000-0000-00003C8B0000}"/>
    <cellStyle name="Normal 33 9 2" xfId="34809" xr:uid="{00000000-0005-0000-0000-00003D8B0000}"/>
    <cellStyle name="Normal 33 9 2 2" xfId="34810" xr:uid="{00000000-0005-0000-0000-00003E8B0000}"/>
    <cellStyle name="Normal 33 9 2 3" xfId="34811" xr:uid="{00000000-0005-0000-0000-00003F8B0000}"/>
    <cellStyle name="Normal 33 9 2 4" xfId="34812" xr:uid="{00000000-0005-0000-0000-0000408B0000}"/>
    <cellStyle name="Normal 33 9 2 5" xfId="34813" xr:uid="{00000000-0005-0000-0000-0000418B0000}"/>
    <cellStyle name="Normal 33 9 2 6" xfId="34814" xr:uid="{00000000-0005-0000-0000-0000428B0000}"/>
    <cellStyle name="Normal 33 9 3" xfId="34815" xr:uid="{00000000-0005-0000-0000-0000438B0000}"/>
    <cellStyle name="Normal 33 9 3 2" xfId="34816" xr:uid="{00000000-0005-0000-0000-0000448B0000}"/>
    <cellStyle name="Normal 33 9 3 3" xfId="34817" xr:uid="{00000000-0005-0000-0000-0000458B0000}"/>
    <cellStyle name="Normal 33 9 3 4" xfId="34818" xr:uid="{00000000-0005-0000-0000-0000468B0000}"/>
    <cellStyle name="Normal 33 9 3 5" xfId="34819" xr:uid="{00000000-0005-0000-0000-0000478B0000}"/>
    <cellStyle name="Normal 33 9 3 6" xfId="34820" xr:uid="{00000000-0005-0000-0000-0000488B0000}"/>
    <cellStyle name="Normal 33 9 4" xfId="34821" xr:uid="{00000000-0005-0000-0000-0000498B0000}"/>
    <cellStyle name="Normal 33 9 4 2" xfId="34822" xr:uid="{00000000-0005-0000-0000-00004A8B0000}"/>
    <cellStyle name="Normal 33 9 4 3" xfId="34823" xr:uid="{00000000-0005-0000-0000-00004B8B0000}"/>
    <cellStyle name="Normal 33 9 4 4" xfId="34824" xr:uid="{00000000-0005-0000-0000-00004C8B0000}"/>
    <cellStyle name="Normal 33 9 4 5" xfId="34825" xr:uid="{00000000-0005-0000-0000-00004D8B0000}"/>
    <cellStyle name="Normal 33 9 4 6" xfId="34826" xr:uid="{00000000-0005-0000-0000-00004E8B0000}"/>
    <cellStyle name="Normal 33 9 5" xfId="34827" xr:uid="{00000000-0005-0000-0000-00004F8B0000}"/>
    <cellStyle name="Normal 33 9 5 2" xfId="34828" xr:uid="{00000000-0005-0000-0000-0000508B0000}"/>
    <cellStyle name="Normal 33 9 5 3" xfId="34829" xr:uid="{00000000-0005-0000-0000-0000518B0000}"/>
    <cellStyle name="Normal 33 9 5 4" xfId="34830" xr:uid="{00000000-0005-0000-0000-0000528B0000}"/>
    <cellStyle name="Normal 33 9 5 5" xfId="34831" xr:uid="{00000000-0005-0000-0000-0000538B0000}"/>
    <cellStyle name="Normal 33 9 5 6" xfId="34832" xr:uid="{00000000-0005-0000-0000-0000548B0000}"/>
    <cellStyle name="Normal 33 9 6" xfId="34833" xr:uid="{00000000-0005-0000-0000-0000558B0000}"/>
    <cellStyle name="Normal 33 9 6 2" xfId="34834" xr:uid="{00000000-0005-0000-0000-0000568B0000}"/>
    <cellStyle name="Normal 33 9 6 3" xfId="34835" xr:uid="{00000000-0005-0000-0000-0000578B0000}"/>
    <cellStyle name="Normal 33 9 6 4" xfId="34836" xr:uid="{00000000-0005-0000-0000-0000588B0000}"/>
    <cellStyle name="Normal 33 9 6 5" xfId="34837" xr:uid="{00000000-0005-0000-0000-0000598B0000}"/>
    <cellStyle name="Normal 33 9 6 6" xfId="34838" xr:uid="{00000000-0005-0000-0000-00005A8B0000}"/>
    <cellStyle name="Normal 33 9 7" xfId="34839" xr:uid="{00000000-0005-0000-0000-00005B8B0000}"/>
    <cellStyle name="Normal 33 9 7 2" xfId="34840" xr:uid="{00000000-0005-0000-0000-00005C8B0000}"/>
    <cellStyle name="Normal 33 9 7 3" xfId="34841" xr:uid="{00000000-0005-0000-0000-00005D8B0000}"/>
    <cellStyle name="Normal 33 9 7 4" xfId="34842" xr:uid="{00000000-0005-0000-0000-00005E8B0000}"/>
    <cellStyle name="Normal 33 9 7 5" xfId="34843" xr:uid="{00000000-0005-0000-0000-00005F8B0000}"/>
    <cellStyle name="Normal 33 9 7 6" xfId="34844" xr:uid="{00000000-0005-0000-0000-0000608B0000}"/>
    <cellStyle name="Normal 33 9 8" xfId="34845" xr:uid="{00000000-0005-0000-0000-0000618B0000}"/>
    <cellStyle name="Normal 33 9 8 2" xfId="34846" xr:uid="{00000000-0005-0000-0000-0000628B0000}"/>
    <cellStyle name="Normal 33 9 8 3" xfId="34847" xr:uid="{00000000-0005-0000-0000-0000638B0000}"/>
    <cellStyle name="Normal 33 9 8 4" xfId="34848" xr:uid="{00000000-0005-0000-0000-0000648B0000}"/>
    <cellStyle name="Normal 33 9 8 5" xfId="34849" xr:uid="{00000000-0005-0000-0000-0000658B0000}"/>
    <cellStyle name="Normal 33 9 8 6" xfId="34850" xr:uid="{00000000-0005-0000-0000-0000668B0000}"/>
    <cellStyle name="Normal 33 9 9" xfId="34851" xr:uid="{00000000-0005-0000-0000-0000678B0000}"/>
    <cellStyle name="Normal 34" xfId="34852" xr:uid="{00000000-0005-0000-0000-0000688B0000}"/>
    <cellStyle name="Normal 34 10" xfId="34853" xr:uid="{00000000-0005-0000-0000-0000698B0000}"/>
    <cellStyle name="Normal 34 10 10" xfId="34854" xr:uid="{00000000-0005-0000-0000-00006A8B0000}"/>
    <cellStyle name="Normal 34 10 11" xfId="34855" xr:uid="{00000000-0005-0000-0000-00006B8B0000}"/>
    <cellStyle name="Normal 34 10 12" xfId="34856" xr:uid="{00000000-0005-0000-0000-00006C8B0000}"/>
    <cellStyle name="Normal 34 10 13" xfId="34857" xr:uid="{00000000-0005-0000-0000-00006D8B0000}"/>
    <cellStyle name="Normal 34 10 2" xfId="34858" xr:uid="{00000000-0005-0000-0000-00006E8B0000}"/>
    <cellStyle name="Normal 34 10 2 2" xfId="34859" xr:uid="{00000000-0005-0000-0000-00006F8B0000}"/>
    <cellStyle name="Normal 34 10 2 3" xfId="34860" xr:uid="{00000000-0005-0000-0000-0000708B0000}"/>
    <cellStyle name="Normal 34 10 2 4" xfId="34861" xr:uid="{00000000-0005-0000-0000-0000718B0000}"/>
    <cellStyle name="Normal 34 10 2 5" xfId="34862" xr:uid="{00000000-0005-0000-0000-0000728B0000}"/>
    <cellStyle name="Normal 34 10 2 6" xfId="34863" xr:uid="{00000000-0005-0000-0000-0000738B0000}"/>
    <cellStyle name="Normal 34 10 3" xfId="34864" xr:uid="{00000000-0005-0000-0000-0000748B0000}"/>
    <cellStyle name="Normal 34 10 3 2" xfId="34865" xr:uid="{00000000-0005-0000-0000-0000758B0000}"/>
    <cellStyle name="Normal 34 10 3 3" xfId="34866" xr:uid="{00000000-0005-0000-0000-0000768B0000}"/>
    <cellStyle name="Normal 34 10 3 4" xfId="34867" xr:uid="{00000000-0005-0000-0000-0000778B0000}"/>
    <cellStyle name="Normal 34 10 3 5" xfId="34868" xr:uid="{00000000-0005-0000-0000-0000788B0000}"/>
    <cellStyle name="Normal 34 10 3 6" xfId="34869" xr:uid="{00000000-0005-0000-0000-0000798B0000}"/>
    <cellStyle name="Normal 34 10 4" xfId="34870" xr:uid="{00000000-0005-0000-0000-00007A8B0000}"/>
    <cellStyle name="Normal 34 10 4 2" xfId="34871" xr:uid="{00000000-0005-0000-0000-00007B8B0000}"/>
    <cellStyle name="Normal 34 10 4 3" xfId="34872" xr:uid="{00000000-0005-0000-0000-00007C8B0000}"/>
    <cellStyle name="Normal 34 10 4 4" xfId="34873" xr:uid="{00000000-0005-0000-0000-00007D8B0000}"/>
    <cellStyle name="Normal 34 10 4 5" xfId="34874" xr:uid="{00000000-0005-0000-0000-00007E8B0000}"/>
    <cellStyle name="Normal 34 10 4 6" xfId="34875" xr:uid="{00000000-0005-0000-0000-00007F8B0000}"/>
    <cellStyle name="Normal 34 10 5" xfId="34876" xr:uid="{00000000-0005-0000-0000-0000808B0000}"/>
    <cellStyle name="Normal 34 10 5 2" xfId="34877" xr:uid="{00000000-0005-0000-0000-0000818B0000}"/>
    <cellStyle name="Normal 34 10 5 3" xfId="34878" xr:uid="{00000000-0005-0000-0000-0000828B0000}"/>
    <cellStyle name="Normal 34 10 5 4" xfId="34879" xr:uid="{00000000-0005-0000-0000-0000838B0000}"/>
    <cellStyle name="Normal 34 10 5 5" xfId="34880" xr:uid="{00000000-0005-0000-0000-0000848B0000}"/>
    <cellStyle name="Normal 34 10 5 6" xfId="34881" xr:uid="{00000000-0005-0000-0000-0000858B0000}"/>
    <cellStyle name="Normal 34 10 6" xfId="34882" xr:uid="{00000000-0005-0000-0000-0000868B0000}"/>
    <cellStyle name="Normal 34 10 6 2" xfId="34883" xr:uid="{00000000-0005-0000-0000-0000878B0000}"/>
    <cellStyle name="Normal 34 10 6 3" xfId="34884" xr:uid="{00000000-0005-0000-0000-0000888B0000}"/>
    <cellStyle name="Normal 34 10 6 4" xfId="34885" xr:uid="{00000000-0005-0000-0000-0000898B0000}"/>
    <cellStyle name="Normal 34 10 6 5" xfId="34886" xr:uid="{00000000-0005-0000-0000-00008A8B0000}"/>
    <cellStyle name="Normal 34 10 6 6" xfId="34887" xr:uid="{00000000-0005-0000-0000-00008B8B0000}"/>
    <cellStyle name="Normal 34 10 7" xfId="34888" xr:uid="{00000000-0005-0000-0000-00008C8B0000}"/>
    <cellStyle name="Normal 34 10 7 2" xfId="34889" xr:uid="{00000000-0005-0000-0000-00008D8B0000}"/>
    <cellStyle name="Normal 34 10 7 3" xfId="34890" xr:uid="{00000000-0005-0000-0000-00008E8B0000}"/>
    <cellStyle name="Normal 34 10 7 4" xfId="34891" xr:uid="{00000000-0005-0000-0000-00008F8B0000}"/>
    <cellStyle name="Normal 34 10 7 5" xfId="34892" xr:uid="{00000000-0005-0000-0000-0000908B0000}"/>
    <cellStyle name="Normal 34 10 7 6" xfId="34893" xr:uid="{00000000-0005-0000-0000-0000918B0000}"/>
    <cellStyle name="Normal 34 10 8" xfId="34894" xr:uid="{00000000-0005-0000-0000-0000928B0000}"/>
    <cellStyle name="Normal 34 10 8 2" xfId="34895" xr:uid="{00000000-0005-0000-0000-0000938B0000}"/>
    <cellStyle name="Normal 34 10 8 3" xfId="34896" xr:uid="{00000000-0005-0000-0000-0000948B0000}"/>
    <cellStyle name="Normal 34 10 8 4" xfId="34897" xr:uid="{00000000-0005-0000-0000-0000958B0000}"/>
    <cellStyle name="Normal 34 10 8 5" xfId="34898" xr:uid="{00000000-0005-0000-0000-0000968B0000}"/>
    <cellStyle name="Normal 34 10 8 6" xfId="34899" xr:uid="{00000000-0005-0000-0000-0000978B0000}"/>
    <cellStyle name="Normal 34 10 9" xfId="34900" xr:uid="{00000000-0005-0000-0000-0000988B0000}"/>
    <cellStyle name="Normal 34 11" xfId="34901" xr:uid="{00000000-0005-0000-0000-0000998B0000}"/>
    <cellStyle name="Normal 34 11 10" xfId="34902" xr:uid="{00000000-0005-0000-0000-00009A8B0000}"/>
    <cellStyle name="Normal 34 11 11" xfId="34903" xr:uid="{00000000-0005-0000-0000-00009B8B0000}"/>
    <cellStyle name="Normal 34 11 12" xfId="34904" xr:uid="{00000000-0005-0000-0000-00009C8B0000}"/>
    <cellStyle name="Normal 34 11 13" xfId="34905" xr:uid="{00000000-0005-0000-0000-00009D8B0000}"/>
    <cellStyle name="Normal 34 11 2" xfId="34906" xr:uid="{00000000-0005-0000-0000-00009E8B0000}"/>
    <cellStyle name="Normal 34 11 2 2" xfId="34907" xr:uid="{00000000-0005-0000-0000-00009F8B0000}"/>
    <cellStyle name="Normal 34 11 2 3" xfId="34908" xr:uid="{00000000-0005-0000-0000-0000A08B0000}"/>
    <cellStyle name="Normal 34 11 2 4" xfId="34909" xr:uid="{00000000-0005-0000-0000-0000A18B0000}"/>
    <cellStyle name="Normal 34 11 2 5" xfId="34910" xr:uid="{00000000-0005-0000-0000-0000A28B0000}"/>
    <cellStyle name="Normal 34 11 2 6" xfId="34911" xr:uid="{00000000-0005-0000-0000-0000A38B0000}"/>
    <cellStyle name="Normal 34 11 3" xfId="34912" xr:uid="{00000000-0005-0000-0000-0000A48B0000}"/>
    <cellStyle name="Normal 34 11 3 2" xfId="34913" xr:uid="{00000000-0005-0000-0000-0000A58B0000}"/>
    <cellStyle name="Normal 34 11 3 3" xfId="34914" xr:uid="{00000000-0005-0000-0000-0000A68B0000}"/>
    <cellStyle name="Normal 34 11 3 4" xfId="34915" xr:uid="{00000000-0005-0000-0000-0000A78B0000}"/>
    <cellStyle name="Normal 34 11 3 5" xfId="34916" xr:uid="{00000000-0005-0000-0000-0000A88B0000}"/>
    <cellStyle name="Normal 34 11 3 6" xfId="34917" xr:uid="{00000000-0005-0000-0000-0000A98B0000}"/>
    <cellStyle name="Normal 34 11 4" xfId="34918" xr:uid="{00000000-0005-0000-0000-0000AA8B0000}"/>
    <cellStyle name="Normal 34 11 4 2" xfId="34919" xr:uid="{00000000-0005-0000-0000-0000AB8B0000}"/>
    <cellStyle name="Normal 34 11 4 3" xfId="34920" xr:uid="{00000000-0005-0000-0000-0000AC8B0000}"/>
    <cellStyle name="Normal 34 11 4 4" xfId="34921" xr:uid="{00000000-0005-0000-0000-0000AD8B0000}"/>
    <cellStyle name="Normal 34 11 4 5" xfId="34922" xr:uid="{00000000-0005-0000-0000-0000AE8B0000}"/>
    <cellStyle name="Normal 34 11 4 6" xfId="34923" xr:uid="{00000000-0005-0000-0000-0000AF8B0000}"/>
    <cellStyle name="Normal 34 11 5" xfId="34924" xr:uid="{00000000-0005-0000-0000-0000B08B0000}"/>
    <cellStyle name="Normal 34 11 5 2" xfId="34925" xr:uid="{00000000-0005-0000-0000-0000B18B0000}"/>
    <cellStyle name="Normal 34 11 5 3" xfId="34926" xr:uid="{00000000-0005-0000-0000-0000B28B0000}"/>
    <cellStyle name="Normal 34 11 5 4" xfId="34927" xr:uid="{00000000-0005-0000-0000-0000B38B0000}"/>
    <cellStyle name="Normal 34 11 5 5" xfId="34928" xr:uid="{00000000-0005-0000-0000-0000B48B0000}"/>
    <cellStyle name="Normal 34 11 5 6" xfId="34929" xr:uid="{00000000-0005-0000-0000-0000B58B0000}"/>
    <cellStyle name="Normal 34 11 6" xfId="34930" xr:uid="{00000000-0005-0000-0000-0000B68B0000}"/>
    <cellStyle name="Normal 34 11 6 2" xfId="34931" xr:uid="{00000000-0005-0000-0000-0000B78B0000}"/>
    <cellStyle name="Normal 34 11 6 3" xfId="34932" xr:uid="{00000000-0005-0000-0000-0000B88B0000}"/>
    <cellStyle name="Normal 34 11 6 4" xfId="34933" xr:uid="{00000000-0005-0000-0000-0000B98B0000}"/>
    <cellStyle name="Normal 34 11 6 5" xfId="34934" xr:uid="{00000000-0005-0000-0000-0000BA8B0000}"/>
    <cellStyle name="Normal 34 11 6 6" xfId="34935" xr:uid="{00000000-0005-0000-0000-0000BB8B0000}"/>
    <cellStyle name="Normal 34 11 7" xfId="34936" xr:uid="{00000000-0005-0000-0000-0000BC8B0000}"/>
    <cellStyle name="Normal 34 11 7 2" xfId="34937" xr:uid="{00000000-0005-0000-0000-0000BD8B0000}"/>
    <cellStyle name="Normal 34 11 7 3" xfId="34938" xr:uid="{00000000-0005-0000-0000-0000BE8B0000}"/>
    <cellStyle name="Normal 34 11 7 4" xfId="34939" xr:uid="{00000000-0005-0000-0000-0000BF8B0000}"/>
    <cellStyle name="Normal 34 11 7 5" xfId="34940" xr:uid="{00000000-0005-0000-0000-0000C08B0000}"/>
    <cellStyle name="Normal 34 11 7 6" xfId="34941" xr:uid="{00000000-0005-0000-0000-0000C18B0000}"/>
    <cellStyle name="Normal 34 11 8" xfId="34942" xr:uid="{00000000-0005-0000-0000-0000C28B0000}"/>
    <cellStyle name="Normal 34 11 8 2" xfId="34943" xr:uid="{00000000-0005-0000-0000-0000C38B0000}"/>
    <cellStyle name="Normal 34 11 8 3" xfId="34944" xr:uid="{00000000-0005-0000-0000-0000C48B0000}"/>
    <cellStyle name="Normal 34 11 8 4" xfId="34945" xr:uid="{00000000-0005-0000-0000-0000C58B0000}"/>
    <cellStyle name="Normal 34 11 8 5" xfId="34946" xr:uid="{00000000-0005-0000-0000-0000C68B0000}"/>
    <cellStyle name="Normal 34 11 8 6" xfId="34947" xr:uid="{00000000-0005-0000-0000-0000C78B0000}"/>
    <cellStyle name="Normal 34 11 9" xfId="34948" xr:uid="{00000000-0005-0000-0000-0000C88B0000}"/>
    <cellStyle name="Normal 34 12" xfId="34949" xr:uid="{00000000-0005-0000-0000-0000C98B0000}"/>
    <cellStyle name="Normal 34 12 2" xfId="34950" xr:uid="{00000000-0005-0000-0000-0000CA8B0000}"/>
    <cellStyle name="Normal 34 12 3" xfId="34951" xr:uid="{00000000-0005-0000-0000-0000CB8B0000}"/>
    <cellStyle name="Normal 34 12 4" xfId="34952" xr:uid="{00000000-0005-0000-0000-0000CC8B0000}"/>
    <cellStyle name="Normal 34 12 5" xfId="34953" xr:uid="{00000000-0005-0000-0000-0000CD8B0000}"/>
    <cellStyle name="Normal 34 12 6" xfId="34954" xr:uid="{00000000-0005-0000-0000-0000CE8B0000}"/>
    <cellStyle name="Normal 34 13" xfId="34955" xr:uid="{00000000-0005-0000-0000-0000CF8B0000}"/>
    <cellStyle name="Normal 34 13 2" xfId="34956" xr:uid="{00000000-0005-0000-0000-0000D08B0000}"/>
    <cellStyle name="Normal 34 13 3" xfId="34957" xr:uid="{00000000-0005-0000-0000-0000D18B0000}"/>
    <cellStyle name="Normal 34 13 4" xfId="34958" xr:uid="{00000000-0005-0000-0000-0000D28B0000}"/>
    <cellStyle name="Normal 34 13 5" xfId="34959" xr:uid="{00000000-0005-0000-0000-0000D38B0000}"/>
    <cellStyle name="Normal 34 13 6" xfId="34960" xr:uid="{00000000-0005-0000-0000-0000D48B0000}"/>
    <cellStyle name="Normal 34 14" xfId="34961" xr:uid="{00000000-0005-0000-0000-0000D58B0000}"/>
    <cellStyle name="Normal 34 14 2" xfId="34962" xr:uid="{00000000-0005-0000-0000-0000D68B0000}"/>
    <cellStyle name="Normal 34 14 3" xfId="34963" xr:uid="{00000000-0005-0000-0000-0000D78B0000}"/>
    <cellStyle name="Normal 34 14 4" xfId="34964" xr:uid="{00000000-0005-0000-0000-0000D88B0000}"/>
    <cellStyle name="Normal 34 14 5" xfId="34965" xr:uid="{00000000-0005-0000-0000-0000D98B0000}"/>
    <cellStyle name="Normal 34 14 6" xfId="34966" xr:uid="{00000000-0005-0000-0000-0000DA8B0000}"/>
    <cellStyle name="Normal 34 15" xfId="34967" xr:uid="{00000000-0005-0000-0000-0000DB8B0000}"/>
    <cellStyle name="Normal 34 15 2" xfId="34968" xr:uid="{00000000-0005-0000-0000-0000DC8B0000}"/>
    <cellStyle name="Normal 34 15 3" xfId="34969" xr:uid="{00000000-0005-0000-0000-0000DD8B0000}"/>
    <cellStyle name="Normal 34 15 4" xfId="34970" xr:uid="{00000000-0005-0000-0000-0000DE8B0000}"/>
    <cellStyle name="Normal 34 15 5" xfId="34971" xr:uid="{00000000-0005-0000-0000-0000DF8B0000}"/>
    <cellStyle name="Normal 34 15 6" xfId="34972" xr:uid="{00000000-0005-0000-0000-0000E08B0000}"/>
    <cellStyle name="Normal 34 16" xfId="34973" xr:uid="{00000000-0005-0000-0000-0000E18B0000}"/>
    <cellStyle name="Normal 34 16 2" xfId="34974" xr:uid="{00000000-0005-0000-0000-0000E28B0000}"/>
    <cellStyle name="Normal 34 16 3" xfId="34975" xr:uid="{00000000-0005-0000-0000-0000E38B0000}"/>
    <cellStyle name="Normal 34 16 4" xfId="34976" xr:uid="{00000000-0005-0000-0000-0000E48B0000}"/>
    <cellStyle name="Normal 34 16 5" xfId="34977" xr:uid="{00000000-0005-0000-0000-0000E58B0000}"/>
    <cellStyle name="Normal 34 16 6" xfId="34978" xr:uid="{00000000-0005-0000-0000-0000E68B0000}"/>
    <cellStyle name="Normal 34 17" xfId="34979" xr:uid="{00000000-0005-0000-0000-0000E78B0000}"/>
    <cellStyle name="Normal 34 17 2" xfId="34980" xr:uid="{00000000-0005-0000-0000-0000E88B0000}"/>
    <cellStyle name="Normal 34 17 3" xfId="34981" xr:uid="{00000000-0005-0000-0000-0000E98B0000}"/>
    <cellStyle name="Normal 34 17 4" xfId="34982" xr:uid="{00000000-0005-0000-0000-0000EA8B0000}"/>
    <cellStyle name="Normal 34 17 5" xfId="34983" xr:uid="{00000000-0005-0000-0000-0000EB8B0000}"/>
    <cellStyle name="Normal 34 17 6" xfId="34984" xr:uid="{00000000-0005-0000-0000-0000EC8B0000}"/>
    <cellStyle name="Normal 34 18" xfId="34985" xr:uid="{00000000-0005-0000-0000-0000ED8B0000}"/>
    <cellStyle name="Normal 34 18 2" xfId="34986" xr:uid="{00000000-0005-0000-0000-0000EE8B0000}"/>
    <cellStyle name="Normal 34 18 3" xfId="34987" xr:uid="{00000000-0005-0000-0000-0000EF8B0000}"/>
    <cellStyle name="Normal 34 18 4" xfId="34988" xr:uid="{00000000-0005-0000-0000-0000F08B0000}"/>
    <cellStyle name="Normal 34 18 5" xfId="34989" xr:uid="{00000000-0005-0000-0000-0000F18B0000}"/>
    <cellStyle name="Normal 34 18 6" xfId="34990" xr:uid="{00000000-0005-0000-0000-0000F28B0000}"/>
    <cellStyle name="Normal 34 19" xfId="34991" xr:uid="{00000000-0005-0000-0000-0000F38B0000}"/>
    <cellStyle name="Normal 34 2" xfId="34992" xr:uid="{00000000-0005-0000-0000-0000F48B0000}"/>
    <cellStyle name="Normal 34 2 10" xfId="34993" xr:uid="{00000000-0005-0000-0000-0000F58B0000}"/>
    <cellStyle name="Normal 34 2 11" xfId="34994" xr:uid="{00000000-0005-0000-0000-0000F68B0000}"/>
    <cellStyle name="Normal 34 2 12" xfId="34995" xr:uid="{00000000-0005-0000-0000-0000F78B0000}"/>
    <cellStyle name="Normal 34 2 13" xfId="34996" xr:uid="{00000000-0005-0000-0000-0000F88B0000}"/>
    <cellStyle name="Normal 34 2 2" xfId="34997" xr:uid="{00000000-0005-0000-0000-0000F98B0000}"/>
    <cellStyle name="Normal 34 2 2 2" xfId="34998" xr:uid="{00000000-0005-0000-0000-0000FA8B0000}"/>
    <cellStyle name="Normal 34 2 2 3" xfId="34999" xr:uid="{00000000-0005-0000-0000-0000FB8B0000}"/>
    <cellStyle name="Normal 34 2 2 4" xfId="35000" xr:uid="{00000000-0005-0000-0000-0000FC8B0000}"/>
    <cellStyle name="Normal 34 2 2 5" xfId="35001" xr:uid="{00000000-0005-0000-0000-0000FD8B0000}"/>
    <cellStyle name="Normal 34 2 2 6" xfId="35002" xr:uid="{00000000-0005-0000-0000-0000FE8B0000}"/>
    <cellStyle name="Normal 34 2 3" xfId="35003" xr:uid="{00000000-0005-0000-0000-0000FF8B0000}"/>
    <cellStyle name="Normal 34 2 3 2" xfId="35004" xr:uid="{00000000-0005-0000-0000-0000008C0000}"/>
    <cellStyle name="Normal 34 2 3 3" xfId="35005" xr:uid="{00000000-0005-0000-0000-0000018C0000}"/>
    <cellStyle name="Normal 34 2 3 4" xfId="35006" xr:uid="{00000000-0005-0000-0000-0000028C0000}"/>
    <cellStyle name="Normal 34 2 3 5" xfId="35007" xr:uid="{00000000-0005-0000-0000-0000038C0000}"/>
    <cellStyle name="Normal 34 2 3 6" xfId="35008" xr:uid="{00000000-0005-0000-0000-0000048C0000}"/>
    <cellStyle name="Normal 34 2 4" xfId="35009" xr:uid="{00000000-0005-0000-0000-0000058C0000}"/>
    <cellStyle name="Normal 34 2 4 2" xfId="35010" xr:uid="{00000000-0005-0000-0000-0000068C0000}"/>
    <cellStyle name="Normal 34 2 4 3" xfId="35011" xr:uid="{00000000-0005-0000-0000-0000078C0000}"/>
    <cellStyle name="Normal 34 2 4 4" xfId="35012" xr:uid="{00000000-0005-0000-0000-0000088C0000}"/>
    <cellStyle name="Normal 34 2 4 5" xfId="35013" xr:uid="{00000000-0005-0000-0000-0000098C0000}"/>
    <cellStyle name="Normal 34 2 4 6" xfId="35014" xr:uid="{00000000-0005-0000-0000-00000A8C0000}"/>
    <cellStyle name="Normal 34 2 5" xfId="35015" xr:uid="{00000000-0005-0000-0000-00000B8C0000}"/>
    <cellStyle name="Normal 34 2 5 2" xfId="35016" xr:uid="{00000000-0005-0000-0000-00000C8C0000}"/>
    <cellStyle name="Normal 34 2 5 3" xfId="35017" xr:uid="{00000000-0005-0000-0000-00000D8C0000}"/>
    <cellStyle name="Normal 34 2 5 4" xfId="35018" xr:uid="{00000000-0005-0000-0000-00000E8C0000}"/>
    <cellStyle name="Normal 34 2 5 5" xfId="35019" xr:uid="{00000000-0005-0000-0000-00000F8C0000}"/>
    <cellStyle name="Normal 34 2 5 6" xfId="35020" xr:uid="{00000000-0005-0000-0000-0000108C0000}"/>
    <cellStyle name="Normal 34 2 6" xfId="35021" xr:uid="{00000000-0005-0000-0000-0000118C0000}"/>
    <cellStyle name="Normal 34 2 6 2" xfId="35022" xr:uid="{00000000-0005-0000-0000-0000128C0000}"/>
    <cellStyle name="Normal 34 2 6 3" xfId="35023" xr:uid="{00000000-0005-0000-0000-0000138C0000}"/>
    <cellStyle name="Normal 34 2 6 4" xfId="35024" xr:uid="{00000000-0005-0000-0000-0000148C0000}"/>
    <cellStyle name="Normal 34 2 6 5" xfId="35025" xr:uid="{00000000-0005-0000-0000-0000158C0000}"/>
    <cellStyle name="Normal 34 2 6 6" xfId="35026" xr:uid="{00000000-0005-0000-0000-0000168C0000}"/>
    <cellStyle name="Normal 34 2 7" xfId="35027" xr:uid="{00000000-0005-0000-0000-0000178C0000}"/>
    <cellStyle name="Normal 34 2 7 2" xfId="35028" xr:uid="{00000000-0005-0000-0000-0000188C0000}"/>
    <cellStyle name="Normal 34 2 7 3" xfId="35029" xr:uid="{00000000-0005-0000-0000-0000198C0000}"/>
    <cellStyle name="Normal 34 2 7 4" xfId="35030" xr:uid="{00000000-0005-0000-0000-00001A8C0000}"/>
    <cellStyle name="Normal 34 2 7 5" xfId="35031" xr:uid="{00000000-0005-0000-0000-00001B8C0000}"/>
    <cellStyle name="Normal 34 2 7 6" xfId="35032" xr:uid="{00000000-0005-0000-0000-00001C8C0000}"/>
    <cellStyle name="Normal 34 2 8" xfId="35033" xr:uid="{00000000-0005-0000-0000-00001D8C0000}"/>
    <cellStyle name="Normal 34 2 8 2" xfId="35034" xr:uid="{00000000-0005-0000-0000-00001E8C0000}"/>
    <cellStyle name="Normal 34 2 8 3" xfId="35035" xr:uid="{00000000-0005-0000-0000-00001F8C0000}"/>
    <cellStyle name="Normal 34 2 8 4" xfId="35036" xr:uid="{00000000-0005-0000-0000-0000208C0000}"/>
    <cellStyle name="Normal 34 2 8 5" xfId="35037" xr:uid="{00000000-0005-0000-0000-0000218C0000}"/>
    <cellStyle name="Normal 34 2 8 6" xfId="35038" xr:uid="{00000000-0005-0000-0000-0000228C0000}"/>
    <cellStyle name="Normal 34 2 9" xfId="35039" xr:uid="{00000000-0005-0000-0000-0000238C0000}"/>
    <cellStyle name="Normal 34 20" xfId="35040" xr:uid="{00000000-0005-0000-0000-0000248C0000}"/>
    <cellStyle name="Normal 34 21" xfId="35041" xr:uid="{00000000-0005-0000-0000-0000258C0000}"/>
    <cellStyle name="Normal 34 22" xfId="35042" xr:uid="{00000000-0005-0000-0000-0000268C0000}"/>
    <cellStyle name="Normal 34 23" xfId="35043" xr:uid="{00000000-0005-0000-0000-0000278C0000}"/>
    <cellStyle name="Normal 34 3" xfId="35044" xr:uid="{00000000-0005-0000-0000-0000288C0000}"/>
    <cellStyle name="Normal 34 3 10" xfId="35045" xr:uid="{00000000-0005-0000-0000-0000298C0000}"/>
    <cellStyle name="Normal 34 3 11" xfId="35046" xr:uid="{00000000-0005-0000-0000-00002A8C0000}"/>
    <cellStyle name="Normal 34 3 12" xfId="35047" xr:uid="{00000000-0005-0000-0000-00002B8C0000}"/>
    <cellStyle name="Normal 34 3 13" xfId="35048" xr:uid="{00000000-0005-0000-0000-00002C8C0000}"/>
    <cellStyle name="Normal 34 3 2" xfId="35049" xr:uid="{00000000-0005-0000-0000-00002D8C0000}"/>
    <cellStyle name="Normal 34 3 2 2" xfId="35050" xr:uid="{00000000-0005-0000-0000-00002E8C0000}"/>
    <cellStyle name="Normal 34 3 2 3" xfId="35051" xr:uid="{00000000-0005-0000-0000-00002F8C0000}"/>
    <cellStyle name="Normal 34 3 2 4" xfId="35052" xr:uid="{00000000-0005-0000-0000-0000308C0000}"/>
    <cellStyle name="Normal 34 3 2 5" xfId="35053" xr:uid="{00000000-0005-0000-0000-0000318C0000}"/>
    <cellStyle name="Normal 34 3 2 6" xfId="35054" xr:uid="{00000000-0005-0000-0000-0000328C0000}"/>
    <cellStyle name="Normal 34 3 3" xfId="35055" xr:uid="{00000000-0005-0000-0000-0000338C0000}"/>
    <cellStyle name="Normal 34 3 3 2" xfId="35056" xr:uid="{00000000-0005-0000-0000-0000348C0000}"/>
    <cellStyle name="Normal 34 3 3 3" xfId="35057" xr:uid="{00000000-0005-0000-0000-0000358C0000}"/>
    <cellStyle name="Normal 34 3 3 4" xfId="35058" xr:uid="{00000000-0005-0000-0000-0000368C0000}"/>
    <cellStyle name="Normal 34 3 3 5" xfId="35059" xr:uid="{00000000-0005-0000-0000-0000378C0000}"/>
    <cellStyle name="Normal 34 3 3 6" xfId="35060" xr:uid="{00000000-0005-0000-0000-0000388C0000}"/>
    <cellStyle name="Normal 34 3 4" xfId="35061" xr:uid="{00000000-0005-0000-0000-0000398C0000}"/>
    <cellStyle name="Normal 34 3 4 2" xfId="35062" xr:uid="{00000000-0005-0000-0000-00003A8C0000}"/>
    <cellStyle name="Normal 34 3 4 3" xfId="35063" xr:uid="{00000000-0005-0000-0000-00003B8C0000}"/>
    <cellStyle name="Normal 34 3 4 4" xfId="35064" xr:uid="{00000000-0005-0000-0000-00003C8C0000}"/>
    <cellStyle name="Normal 34 3 4 5" xfId="35065" xr:uid="{00000000-0005-0000-0000-00003D8C0000}"/>
    <cellStyle name="Normal 34 3 4 6" xfId="35066" xr:uid="{00000000-0005-0000-0000-00003E8C0000}"/>
    <cellStyle name="Normal 34 3 5" xfId="35067" xr:uid="{00000000-0005-0000-0000-00003F8C0000}"/>
    <cellStyle name="Normal 34 3 5 2" xfId="35068" xr:uid="{00000000-0005-0000-0000-0000408C0000}"/>
    <cellStyle name="Normal 34 3 5 3" xfId="35069" xr:uid="{00000000-0005-0000-0000-0000418C0000}"/>
    <cellStyle name="Normal 34 3 5 4" xfId="35070" xr:uid="{00000000-0005-0000-0000-0000428C0000}"/>
    <cellStyle name="Normal 34 3 5 5" xfId="35071" xr:uid="{00000000-0005-0000-0000-0000438C0000}"/>
    <cellStyle name="Normal 34 3 5 6" xfId="35072" xr:uid="{00000000-0005-0000-0000-0000448C0000}"/>
    <cellStyle name="Normal 34 3 6" xfId="35073" xr:uid="{00000000-0005-0000-0000-0000458C0000}"/>
    <cellStyle name="Normal 34 3 6 2" xfId="35074" xr:uid="{00000000-0005-0000-0000-0000468C0000}"/>
    <cellStyle name="Normal 34 3 6 3" xfId="35075" xr:uid="{00000000-0005-0000-0000-0000478C0000}"/>
    <cellStyle name="Normal 34 3 6 4" xfId="35076" xr:uid="{00000000-0005-0000-0000-0000488C0000}"/>
    <cellStyle name="Normal 34 3 6 5" xfId="35077" xr:uid="{00000000-0005-0000-0000-0000498C0000}"/>
    <cellStyle name="Normal 34 3 6 6" xfId="35078" xr:uid="{00000000-0005-0000-0000-00004A8C0000}"/>
    <cellStyle name="Normal 34 3 7" xfId="35079" xr:uid="{00000000-0005-0000-0000-00004B8C0000}"/>
    <cellStyle name="Normal 34 3 7 2" xfId="35080" xr:uid="{00000000-0005-0000-0000-00004C8C0000}"/>
    <cellStyle name="Normal 34 3 7 3" xfId="35081" xr:uid="{00000000-0005-0000-0000-00004D8C0000}"/>
    <cellStyle name="Normal 34 3 7 4" xfId="35082" xr:uid="{00000000-0005-0000-0000-00004E8C0000}"/>
    <cellStyle name="Normal 34 3 7 5" xfId="35083" xr:uid="{00000000-0005-0000-0000-00004F8C0000}"/>
    <cellStyle name="Normal 34 3 7 6" xfId="35084" xr:uid="{00000000-0005-0000-0000-0000508C0000}"/>
    <cellStyle name="Normal 34 3 8" xfId="35085" xr:uid="{00000000-0005-0000-0000-0000518C0000}"/>
    <cellStyle name="Normal 34 3 8 2" xfId="35086" xr:uid="{00000000-0005-0000-0000-0000528C0000}"/>
    <cellStyle name="Normal 34 3 8 3" xfId="35087" xr:uid="{00000000-0005-0000-0000-0000538C0000}"/>
    <cellStyle name="Normal 34 3 8 4" xfId="35088" xr:uid="{00000000-0005-0000-0000-0000548C0000}"/>
    <cellStyle name="Normal 34 3 8 5" xfId="35089" xr:uid="{00000000-0005-0000-0000-0000558C0000}"/>
    <cellStyle name="Normal 34 3 8 6" xfId="35090" xr:uid="{00000000-0005-0000-0000-0000568C0000}"/>
    <cellStyle name="Normal 34 3 9" xfId="35091" xr:uid="{00000000-0005-0000-0000-0000578C0000}"/>
    <cellStyle name="Normal 34 4" xfId="35092" xr:uid="{00000000-0005-0000-0000-0000588C0000}"/>
    <cellStyle name="Normal 34 4 10" xfId="35093" xr:uid="{00000000-0005-0000-0000-0000598C0000}"/>
    <cellStyle name="Normal 34 4 11" xfId="35094" xr:uid="{00000000-0005-0000-0000-00005A8C0000}"/>
    <cellStyle name="Normal 34 4 12" xfId="35095" xr:uid="{00000000-0005-0000-0000-00005B8C0000}"/>
    <cellStyle name="Normal 34 4 13" xfId="35096" xr:uid="{00000000-0005-0000-0000-00005C8C0000}"/>
    <cellStyle name="Normal 34 4 2" xfId="35097" xr:uid="{00000000-0005-0000-0000-00005D8C0000}"/>
    <cellStyle name="Normal 34 4 2 2" xfId="35098" xr:uid="{00000000-0005-0000-0000-00005E8C0000}"/>
    <cellStyle name="Normal 34 4 2 3" xfId="35099" xr:uid="{00000000-0005-0000-0000-00005F8C0000}"/>
    <cellStyle name="Normal 34 4 2 4" xfId="35100" xr:uid="{00000000-0005-0000-0000-0000608C0000}"/>
    <cellStyle name="Normal 34 4 2 5" xfId="35101" xr:uid="{00000000-0005-0000-0000-0000618C0000}"/>
    <cellStyle name="Normal 34 4 2 6" xfId="35102" xr:uid="{00000000-0005-0000-0000-0000628C0000}"/>
    <cellStyle name="Normal 34 4 3" xfId="35103" xr:uid="{00000000-0005-0000-0000-0000638C0000}"/>
    <cellStyle name="Normal 34 4 3 2" xfId="35104" xr:uid="{00000000-0005-0000-0000-0000648C0000}"/>
    <cellStyle name="Normal 34 4 3 3" xfId="35105" xr:uid="{00000000-0005-0000-0000-0000658C0000}"/>
    <cellStyle name="Normal 34 4 3 4" xfId="35106" xr:uid="{00000000-0005-0000-0000-0000668C0000}"/>
    <cellStyle name="Normal 34 4 3 5" xfId="35107" xr:uid="{00000000-0005-0000-0000-0000678C0000}"/>
    <cellStyle name="Normal 34 4 3 6" xfId="35108" xr:uid="{00000000-0005-0000-0000-0000688C0000}"/>
    <cellStyle name="Normal 34 4 4" xfId="35109" xr:uid="{00000000-0005-0000-0000-0000698C0000}"/>
    <cellStyle name="Normal 34 4 4 2" xfId="35110" xr:uid="{00000000-0005-0000-0000-00006A8C0000}"/>
    <cellStyle name="Normal 34 4 4 3" xfId="35111" xr:uid="{00000000-0005-0000-0000-00006B8C0000}"/>
    <cellStyle name="Normal 34 4 4 4" xfId="35112" xr:uid="{00000000-0005-0000-0000-00006C8C0000}"/>
    <cellStyle name="Normal 34 4 4 5" xfId="35113" xr:uid="{00000000-0005-0000-0000-00006D8C0000}"/>
    <cellStyle name="Normal 34 4 4 6" xfId="35114" xr:uid="{00000000-0005-0000-0000-00006E8C0000}"/>
    <cellStyle name="Normal 34 4 5" xfId="35115" xr:uid="{00000000-0005-0000-0000-00006F8C0000}"/>
    <cellStyle name="Normal 34 4 5 2" xfId="35116" xr:uid="{00000000-0005-0000-0000-0000708C0000}"/>
    <cellStyle name="Normal 34 4 5 3" xfId="35117" xr:uid="{00000000-0005-0000-0000-0000718C0000}"/>
    <cellStyle name="Normal 34 4 5 4" xfId="35118" xr:uid="{00000000-0005-0000-0000-0000728C0000}"/>
    <cellStyle name="Normal 34 4 5 5" xfId="35119" xr:uid="{00000000-0005-0000-0000-0000738C0000}"/>
    <cellStyle name="Normal 34 4 5 6" xfId="35120" xr:uid="{00000000-0005-0000-0000-0000748C0000}"/>
    <cellStyle name="Normal 34 4 6" xfId="35121" xr:uid="{00000000-0005-0000-0000-0000758C0000}"/>
    <cellStyle name="Normal 34 4 6 2" xfId="35122" xr:uid="{00000000-0005-0000-0000-0000768C0000}"/>
    <cellStyle name="Normal 34 4 6 3" xfId="35123" xr:uid="{00000000-0005-0000-0000-0000778C0000}"/>
    <cellStyle name="Normal 34 4 6 4" xfId="35124" xr:uid="{00000000-0005-0000-0000-0000788C0000}"/>
    <cellStyle name="Normal 34 4 6 5" xfId="35125" xr:uid="{00000000-0005-0000-0000-0000798C0000}"/>
    <cellStyle name="Normal 34 4 6 6" xfId="35126" xr:uid="{00000000-0005-0000-0000-00007A8C0000}"/>
    <cellStyle name="Normal 34 4 7" xfId="35127" xr:uid="{00000000-0005-0000-0000-00007B8C0000}"/>
    <cellStyle name="Normal 34 4 7 2" xfId="35128" xr:uid="{00000000-0005-0000-0000-00007C8C0000}"/>
    <cellStyle name="Normal 34 4 7 3" xfId="35129" xr:uid="{00000000-0005-0000-0000-00007D8C0000}"/>
    <cellStyle name="Normal 34 4 7 4" xfId="35130" xr:uid="{00000000-0005-0000-0000-00007E8C0000}"/>
    <cellStyle name="Normal 34 4 7 5" xfId="35131" xr:uid="{00000000-0005-0000-0000-00007F8C0000}"/>
    <cellStyle name="Normal 34 4 7 6" xfId="35132" xr:uid="{00000000-0005-0000-0000-0000808C0000}"/>
    <cellStyle name="Normal 34 4 8" xfId="35133" xr:uid="{00000000-0005-0000-0000-0000818C0000}"/>
    <cellStyle name="Normal 34 4 8 2" xfId="35134" xr:uid="{00000000-0005-0000-0000-0000828C0000}"/>
    <cellStyle name="Normal 34 4 8 3" xfId="35135" xr:uid="{00000000-0005-0000-0000-0000838C0000}"/>
    <cellStyle name="Normal 34 4 8 4" xfId="35136" xr:uid="{00000000-0005-0000-0000-0000848C0000}"/>
    <cellStyle name="Normal 34 4 8 5" xfId="35137" xr:uid="{00000000-0005-0000-0000-0000858C0000}"/>
    <cellStyle name="Normal 34 4 8 6" xfId="35138" xr:uid="{00000000-0005-0000-0000-0000868C0000}"/>
    <cellStyle name="Normal 34 4 9" xfId="35139" xr:uid="{00000000-0005-0000-0000-0000878C0000}"/>
    <cellStyle name="Normal 34 5" xfId="35140" xr:uid="{00000000-0005-0000-0000-0000888C0000}"/>
    <cellStyle name="Normal 34 5 10" xfId="35141" xr:uid="{00000000-0005-0000-0000-0000898C0000}"/>
    <cellStyle name="Normal 34 5 11" xfId="35142" xr:uid="{00000000-0005-0000-0000-00008A8C0000}"/>
    <cellStyle name="Normal 34 5 12" xfId="35143" xr:uid="{00000000-0005-0000-0000-00008B8C0000}"/>
    <cellStyle name="Normal 34 5 13" xfId="35144" xr:uid="{00000000-0005-0000-0000-00008C8C0000}"/>
    <cellStyle name="Normal 34 5 2" xfId="35145" xr:uid="{00000000-0005-0000-0000-00008D8C0000}"/>
    <cellStyle name="Normal 34 5 2 2" xfId="35146" xr:uid="{00000000-0005-0000-0000-00008E8C0000}"/>
    <cellStyle name="Normal 34 5 2 3" xfId="35147" xr:uid="{00000000-0005-0000-0000-00008F8C0000}"/>
    <cellStyle name="Normal 34 5 2 4" xfId="35148" xr:uid="{00000000-0005-0000-0000-0000908C0000}"/>
    <cellStyle name="Normal 34 5 2 5" xfId="35149" xr:uid="{00000000-0005-0000-0000-0000918C0000}"/>
    <cellStyle name="Normal 34 5 2 6" xfId="35150" xr:uid="{00000000-0005-0000-0000-0000928C0000}"/>
    <cellStyle name="Normal 34 5 3" xfId="35151" xr:uid="{00000000-0005-0000-0000-0000938C0000}"/>
    <cellStyle name="Normal 34 5 3 2" xfId="35152" xr:uid="{00000000-0005-0000-0000-0000948C0000}"/>
    <cellStyle name="Normal 34 5 3 3" xfId="35153" xr:uid="{00000000-0005-0000-0000-0000958C0000}"/>
    <cellStyle name="Normal 34 5 3 4" xfId="35154" xr:uid="{00000000-0005-0000-0000-0000968C0000}"/>
    <cellStyle name="Normal 34 5 3 5" xfId="35155" xr:uid="{00000000-0005-0000-0000-0000978C0000}"/>
    <cellStyle name="Normal 34 5 3 6" xfId="35156" xr:uid="{00000000-0005-0000-0000-0000988C0000}"/>
    <cellStyle name="Normal 34 5 4" xfId="35157" xr:uid="{00000000-0005-0000-0000-0000998C0000}"/>
    <cellStyle name="Normal 34 5 4 2" xfId="35158" xr:uid="{00000000-0005-0000-0000-00009A8C0000}"/>
    <cellStyle name="Normal 34 5 4 3" xfId="35159" xr:uid="{00000000-0005-0000-0000-00009B8C0000}"/>
    <cellStyle name="Normal 34 5 4 4" xfId="35160" xr:uid="{00000000-0005-0000-0000-00009C8C0000}"/>
    <cellStyle name="Normal 34 5 4 5" xfId="35161" xr:uid="{00000000-0005-0000-0000-00009D8C0000}"/>
    <cellStyle name="Normal 34 5 4 6" xfId="35162" xr:uid="{00000000-0005-0000-0000-00009E8C0000}"/>
    <cellStyle name="Normal 34 5 5" xfId="35163" xr:uid="{00000000-0005-0000-0000-00009F8C0000}"/>
    <cellStyle name="Normal 34 5 5 2" xfId="35164" xr:uid="{00000000-0005-0000-0000-0000A08C0000}"/>
    <cellStyle name="Normal 34 5 5 3" xfId="35165" xr:uid="{00000000-0005-0000-0000-0000A18C0000}"/>
    <cellStyle name="Normal 34 5 5 4" xfId="35166" xr:uid="{00000000-0005-0000-0000-0000A28C0000}"/>
    <cellStyle name="Normal 34 5 5 5" xfId="35167" xr:uid="{00000000-0005-0000-0000-0000A38C0000}"/>
    <cellStyle name="Normal 34 5 5 6" xfId="35168" xr:uid="{00000000-0005-0000-0000-0000A48C0000}"/>
    <cellStyle name="Normal 34 5 6" xfId="35169" xr:uid="{00000000-0005-0000-0000-0000A58C0000}"/>
    <cellStyle name="Normal 34 5 6 2" xfId="35170" xr:uid="{00000000-0005-0000-0000-0000A68C0000}"/>
    <cellStyle name="Normal 34 5 6 3" xfId="35171" xr:uid="{00000000-0005-0000-0000-0000A78C0000}"/>
    <cellStyle name="Normal 34 5 6 4" xfId="35172" xr:uid="{00000000-0005-0000-0000-0000A88C0000}"/>
    <cellStyle name="Normal 34 5 6 5" xfId="35173" xr:uid="{00000000-0005-0000-0000-0000A98C0000}"/>
    <cellStyle name="Normal 34 5 6 6" xfId="35174" xr:uid="{00000000-0005-0000-0000-0000AA8C0000}"/>
    <cellStyle name="Normal 34 5 7" xfId="35175" xr:uid="{00000000-0005-0000-0000-0000AB8C0000}"/>
    <cellStyle name="Normal 34 5 7 2" xfId="35176" xr:uid="{00000000-0005-0000-0000-0000AC8C0000}"/>
    <cellStyle name="Normal 34 5 7 3" xfId="35177" xr:uid="{00000000-0005-0000-0000-0000AD8C0000}"/>
    <cellStyle name="Normal 34 5 7 4" xfId="35178" xr:uid="{00000000-0005-0000-0000-0000AE8C0000}"/>
    <cellStyle name="Normal 34 5 7 5" xfId="35179" xr:uid="{00000000-0005-0000-0000-0000AF8C0000}"/>
    <cellStyle name="Normal 34 5 7 6" xfId="35180" xr:uid="{00000000-0005-0000-0000-0000B08C0000}"/>
    <cellStyle name="Normal 34 5 8" xfId="35181" xr:uid="{00000000-0005-0000-0000-0000B18C0000}"/>
    <cellStyle name="Normal 34 5 8 2" xfId="35182" xr:uid="{00000000-0005-0000-0000-0000B28C0000}"/>
    <cellStyle name="Normal 34 5 8 3" xfId="35183" xr:uid="{00000000-0005-0000-0000-0000B38C0000}"/>
    <cellStyle name="Normal 34 5 8 4" xfId="35184" xr:uid="{00000000-0005-0000-0000-0000B48C0000}"/>
    <cellStyle name="Normal 34 5 8 5" xfId="35185" xr:uid="{00000000-0005-0000-0000-0000B58C0000}"/>
    <cellStyle name="Normal 34 5 8 6" xfId="35186" xr:uid="{00000000-0005-0000-0000-0000B68C0000}"/>
    <cellStyle name="Normal 34 5 9" xfId="35187" xr:uid="{00000000-0005-0000-0000-0000B78C0000}"/>
    <cellStyle name="Normal 34 6" xfId="35188" xr:uid="{00000000-0005-0000-0000-0000B88C0000}"/>
    <cellStyle name="Normal 34 6 10" xfId="35189" xr:uid="{00000000-0005-0000-0000-0000B98C0000}"/>
    <cellStyle name="Normal 34 6 11" xfId="35190" xr:uid="{00000000-0005-0000-0000-0000BA8C0000}"/>
    <cellStyle name="Normal 34 6 12" xfId="35191" xr:uid="{00000000-0005-0000-0000-0000BB8C0000}"/>
    <cellStyle name="Normal 34 6 13" xfId="35192" xr:uid="{00000000-0005-0000-0000-0000BC8C0000}"/>
    <cellStyle name="Normal 34 6 2" xfId="35193" xr:uid="{00000000-0005-0000-0000-0000BD8C0000}"/>
    <cellStyle name="Normal 34 6 2 2" xfId="35194" xr:uid="{00000000-0005-0000-0000-0000BE8C0000}"/>
    <cellStyle name="Normal 34 6 2 3" xfId="35195" xr:uid="{00000000-0005-0000-0000-0000BF8C0000}"/>
    <cellStyle name="Normal 34 6 2 4" xfId="35196" xr:uid="{00000000-0005-0000-0000-0000C08C0000}"/>
    <cellStyle name="Normal 34 6 2 5" xfId="35197" xr:uid="{00000000-0005-0000-0000-0000C18C0000}"/>
    <cellStyle name="Normal 34 6 2 6" xfId="35198" xr:uid="{00000000-0005-0000-0000-0000C28C0000}"/>
    <cellStyle name="Normal 34 6 3" xfId="35199" xr:uid="{00000000-0005-0000-0000-0000C38C0000}"/>
    <cellStyle name="Normal 34 6 3 2" xfId="35200" xr:uid="{00000000-0005-0000-0000-0000C48C0000}"/>
    <cellStyle name="Normal 34 6 3 3" xfId="35201" xr:uid="{00000000-0005-0000-0000-0000C58C0000}"/>
    <cellStyle name="Normal 34 6 3 4" xfId="35202" xr:uid="{00000000-0005-0000-0000-0000C68C0000}"/>
    <cellStyle name="Normal 34 6 3 5" xfId="35203" xr:uid="{00000000-0005-0000-0000-0000C78C0000}"/>
    <cellStyle name="Normal 34 6 3 6" xfId="35204" xr:uid="{00000000-0005-0000-0000-0000C88C0000}"/>
    <cellStyle name="Normal 34 6 4" xfId="35205" xr:uid="{00000000-0005-0000-0000-0000C98C0000}"/>
    <cellStyle name="Normal 34 6 4 2" xfId="35206" xr:uid="{00000000-0005-0000-0000-0000CA8C0000}"/>
    <cellStyle name="Normal 34 6 4 3" xfId="35207" xr:uid="{00000000-0005-0000-0000-0000CB8C0000}"/>
    <cellStyle name="Normal 34 6 4 4" xfId="35208" xr:uid="{00000000-0005-0000-0000-0000CC8C0000}"/>
    <cellStyle name="Normal 34 6 4 5" xfId="35209" xr:uid="{00000000-0005-0000-0000-0000CD8C0000}"/>
    <cellStyle name="Normal 34 6 4 6" xfId="35210" xr:uid="{00000000-0005-0000-0000-0000CE8C0000}"/>
    <cellStyle name="Normal 34 6 5" xfId="35211" xr:uid="{00000000-0005-0000-0000-0000CF8C0000}"/>
    <cellStyle name="Normal 34 6 5 2" xfId="35212" xr:uid="{00000000-0005-0000-0000-0000D08C0000}"/>
    <cellStyle name="Normal 34 6 5 3" xfId="35213" xr:uid="{00000000-0005-0000-0000-0000D18C0000}"/>
    <cellStyle name="Normal 34 6 5 4" xfId="35214" xr:uid="{00000000-0005-0000-0000-0000D28C0000}"/>
    <cellStyle name="Normal 34 6 5 5" xfId="35215" xr:uid="{00000000-0005-0000-0000-0000D38C0000}"/>
    <cellStyle name="Normal 34 6 5 6" xfId="35216" xr:uid="{00000000-0005-0000-0000-0000D48C0000}"/>
    <cellStyle name="Normal 34 6 6" xfId="35217" xr:uid="{00000000-0005-0000-0000-0000D58C0000}"/>
    <cellStyle name="Normal 34 6 6 2" xfId="35218" xr:uid="{00000000-0005-0000-0000-0000D68C0000}"/>
    <cellStyle name="Normal 34 6 6 3" xfId="35219" xr:uid="{00000000-0005-0000-0000-0000D78C0000}"/>
    <cellStyle name="Normal 34 6 6 4" xfId="35220" xr:uid="{00000000-0005-0000-0000-0000D88C0000}"/>
    <cellStyle name="Normal 34 6 6 5" xfId="35221" xr:uid="{00000000-0005-0000-0000-0000D98C0000}"/>
    <cellStyle name="Normal 34 6 6 6" xfId="35222" xr:uid="{00000000-0005-0000-0000-0000DA8C0000}"/>
    <cellStyle name="Normal 34 6 7" xfId="35223" xr:uid="{00000000-0005-0000-0000-0000DB8C0000}"/>
    <cellStyle name="Normal 34 6 7 2" xfId="35224" xr:uid="{00000000-0005-0000-0000-0000DC8C0000}"/>
    <cellStyle name="Normal 34 6 7 3" xfId="35225" xr:uid="{00000000-0005-0000-0000-0000DD8C0000}"/>
    <cellStyle name="Normal 34 6 7 4" xfId="35226" xr:uid="{00000000-0005-0000-0000-0000DE8C0000}"/>
    <cellStyle name="Normal 34 6 7 5" xfId="35227" xr:uid="{00000000-0005-0000-0000-0000DF8C0000}"/>
    <cellStyle name="Normal 34 6 7 6" xfId="35228" xr:uid="{00000000-0005-0000-0000-0000E08C0000}"/>
    <cellStyle name="Normal 34 6 8" xfId="35229" xr:uid="{00000000-0005-0000-0000-0000E18C0000}"/>
    <cellStyle name="Normal 34 6 8 2" xfId="35230" xr:uid="{00000000-0005-0000-0000-0000E28C0000}"/>
    <cellStyle name="Normal 34 6 8 3" xfId="35231" xr:uid="{00000000-0005-0000-0000-0000E38C0000}"/>
    <cellStyle name="Normal 34 6 8 4" xfId="35232" xr:uid="{00000000-0005-0000-0000-0000E48C0000}"/>
    <cellStyle name="Normal 34 6 8 5" xfId="35233" xr:uid="{00000000-0005-0000-0000-0000E58C0000}"/>
    <cellStyle name="Normal 34 6 8 6" xfId="35234" xr:uid="{00000000-0005-0000-0000-0000E68C0000}"/>
    <cellStyle name="Normal 34 6 9" xfId="35235" xr:uid="{00000000-0005-0000-0000-0000E78C0000}"/>
    <cellStyle name="Normal 34 7" xfId="35236" xr:uid="{00000000-0005-0000-0000-0000E88C0000}"/>
    <cellStyle name="Normal 34 7 10" xfId="35237" xr:uid="{00000000-0005-0000-0000-0000E98C0000}"/>
    <cellStyle name="Normal 34 7 11" xfId="35238" xr:uid="{00000000-0005-0000-0000-0000EA8C0000}"/>
    <cellStyle name="Normal 34 7 12" xfId="35239" xr:uid="{00000000-0005-0000-0000-0000EB8C0000}"/>
    <cellStyle name="Normal 34 7 13" xfId="35240" xr:uid="{00000000-0005-0000-0000-0000EC8C0000}"/>
    <cellStyle name="Normal 34 7 2" xfId="35241" xr:uid="{00000000-0005-0000-0000-0000ED8C0000}"/>
    <cellStyle name="Normal 34 7 2 2" xfId="35242" xr:uid="{00000000-0005-0000-0000-0000EE8C0000}"/>
    <cellStyle name="Normal 34 7 2 3" xfId="35243" xr:uid="{00000000-0005-0000-0000-0000EF8C0000}"/>
    <cellStyle name="Normal 34 7 2 4" xfId="35244" xr:uid="{00000000-0005-0000-0000-0000F08C0000}"/>
    <cellStyle name="Normal 34 7 2 5" xfId="35245" xr:uid="{00000000-0005-0000-0000-0000F18C0000}"/>
    <cellStyle name="Normal 34 7 2 6" xfId="35246" xr:uid="{00000000-0005-0000-0000-0000F28C0000}"/>
    <cellStyle name="Normal 34 7 3" xfId="35247" xr:uid="{00000000-0005-0000-0000-0000F38C0000}"/>
    <cellStyle name="Normal 34 7 3 2" xfId="35248" xr:uid="{00000000-0005-0000-0000-0000F48C0000}"/>
    <cellStyle name="Normal 34 7 3 3" xfId="35249" xr:uid="{00000000-0005-0000-0000-0000F58C0000}"/>
    <cellStyle name="Normal 34 7 3 4" xfId="35250" xr:uid="{00000000-0005-0000-0000-0000F68C0000}"/>
    <cellStyle name="Normal 34 7 3 5" xfId="35251" xr:uid="{00000000-0005-0000-0000-0000F78C0000}"/>
    <cellStyle name="Normal 34 7 3 6" xfId="35252" xr:uid="{00000000-0005-0000-0000-0000F88C0000}"/>
    <cellStyle name="Normal 34 7 4" xfId="35253" xr:uid="{00000000-0005-0000-0000-0000F98C0000}"/>
    <cellStyle name="Normal 34 7 4 2" xfId="35254" xr:uid="{00000000-0005-0000-0000-0000FA8C0000}"/>
    <cellStyle name="Normal 34 7 4 3" xfId="35255" xr:uid="{00000000-0005-0000-0000-0000FB8C0000}"/>
    <cellStyle name="Normal 34 7 4 4" xfId="35256" xr:uid="{00000000-0005-0000-0000-0000FC8C0000}"/>
    <cellStyle name="Normal 34 7 4 5" xfId="35257" xr:uid="{00000000-0005-0000-0000-0000FD8C0000}"/>
    <cellStyle name="Normal 34 7 4 6" xfId="35258" xr:uid="{00000000-0005-0000-0000-0000FE8C0000}"/>
    <cellStyle name="Normal 34 7 5" xfId="35259" xr:uid="{00000000-0005-0000-0000-0000FF8C0000}"/>
    <cellStyle name="Normal 34 7 5 2" xfId="35260" xr:uid="{00000000-0005-0000-0000-0000008D0000}"/>
    <cellStyle name="Normal 34 7 5 3" xfId="35261" xr:uid="{00000000-0005-0000-0000-0000018D0000}"/>
    <cellStyle name="Normal 34 7 5 4" xfId="35262" xr:uid="{00000000-0005-0000-0000-0000028D0000}"/>
    <cellStyle name="Normal 34 7 5 5" xfId="35263" xr:uid="{00000000-0005-0000-0000-0000038D0000}"/>
    <cellStyle name="Normal 34 7 5 6" xfId="35264" xr:uid="{00000000-0005-0000-0000-0000048D0000}"/>
    <cellStyle name="Normal 34 7 6" xfId="35265" xr:uid="{00000000-0005-0000-0000-0000058D0000}"/>
    <cellStyle name="Normal 34 7 6 2" xfId="35266" xr:uid="{00000000-0005-0000-0000-0000068D0000}"/>
    <cellStyle name="Normal 34 7 6 3" xfId="35267" xr:uid="{00000000-0005-0000-0000-0000078D0000}"/>
    <cellStyle name="Normal 34 7 6 4" xfId="35268" xr:uid="{00000000-0005-0000-0000-0000088D0000}"/>
    <cellStyle name="Normal 34 7 6 5" xfId="35269" xr:uid="{00000000-0005-0000-0000-0000098D0000}"/>
    <cellStyle name="Normal 34 7 6 6" xfId="35270" xr:uid="{00000000-0005-0000-0000-00000A8D0000}"/>
    <cellStyle name="Normal 34 7 7" xfId="35271" xr:uid="{00000000-0005-0000-0000-00000B8D0000}"/>
    <cellStyle name="Normal 34 7 7 2" xfId="35272" xr:uid="{00000000-0005-0000-0000-00000C8D0000}"/>
    <cellStyle name="Normal 34 7 7 3" xfId="35273" xr:uid="{00000000-0005-0000-0000-00000D8D0000}"/>
    <cellStyle name="Normal 34 7 7 4" xfId="35274" xr:uid="{00000000-0005-0000-0000-00000E8D0000}"/>
    <cellStyle name="Normal 34 7 7 5" xfId="35275" xr:uid="{00000000-0005-0000-0000-00000F8D0000}"/>
    <cellStyle name="Normal 34 7 7 6" xfId="35276" xr:uid="{00000000-0005-0000-0000-0000108D0000}"/>
    <cellStyle name="Normal 34 7 8" xfId="35277" xr:uid="{00000000-0005-0000-0000-0000118D0000}"/>
    <cellStyle name="Normal 34 7 8 2" xfId="35278" xr:uid="{00000000-0005-0000-0000-0000128D0000}"/>
    <cellStyle name="Normal 34 7 8 3" xfId="35279" xr:uid="{00000000-0005-0000-0000-0000138D0000}"/>
    <cellStyle name="Normal 34 7 8 4" xfId="35280" xr:uid="{00000000-0005-0000-0000-0000148D0000}"/>
    <cellStyle name="Normal 34 7 8 5" xfId="35281" xr:uid="{00000000-0005-0000-0000-0000158D0000}"/>
    <cellStyle name="Normal 34 7 8 6" xfId="35282" xr:uid="{00000000-0005-0000-0000-0000168D0000}"/>
    <cellStyle name="Normal 34 7 9" xfId="35283" xr:uid="{00000000-0005-0000-0000-0000178D0000}"/>
    <cellStyle name="Normal 34 8" xfId="35284" xr:uid="{00000000-0005-0000-0000-0000188D0000}"/>
    <cellStyle name="Normal 34 8 10" xfId="35285" xr:uid="{00000000-0005-0000-0000-0000198D0000}"/>
    <cellStyle name="Normal 34 8 11" xfId="35286" xr:uid="{00000000-0005-0000-0000-00001A8D0000}"/>
    <cellStyle name="Normal 34 8 12" xfId="35287" xr:uid="{00000000-0005-0000-0000-00001B8D0000}"/>
    <cellStyle name="Normal 34 8 13" xfId="35288" xr:uid="{00000000-0005-0000-0000-00001C8D0000}"/>
    <cellStyle name="Normal 34 8 2" xfId="35289" xr:uid="{00000000-0005-0000-0000-00001D8D0000}"/>
    <cellStyle name="Normal 34 8 2 2" xfId="35290" xr:uid="{00000000-0005-0000-0000-00001E8D0000}"/>
    <cellStyle name="Normal 34 8 2 3" xfId="35291" xr:uid="{00000000-0005-0000-0000-00001F8D0000}"/>
    <cellStyle name="Normal 34 8 2 4" xfId="35292" xr:uid="{00000000-0005-0000-0000-0000208D0000}"/>
    <cellStyle name="Normal 34 8 2 5" xfId="35293" xr:uid="{00000000-0005-0000-0000-0000218D0000}"/>
    <cellStyle name="Normal 34 8 2 6" xfId="35294" xr:uid="{00000000-0005-0000-0000-0000228D0000}"/>
    <cellStyle name="Normal 34 8 3" xfId="35295" xr:uid="{00000000-0005-0000-0000-0000238D0000}"/>
    <cellStyle name="Normal 34 8 3 2" xfId="35296" xr:uid="{00000000-0005-0000-0000-0000248D0000}"/>
    <cellStyle name="Normal 34 8 3 3" xfId="35297" xr:uid="{00000000-0005-0000-0000-0000258D0000}"/>
    <cellStyle name="Normal 34 8 3 4" xfId="35298" xr:uid="{00000000-0005-0000-0000-0000268D0000}"/>
    <cellStyle name="Normal 34 8 3 5" xfId="35299" xr:uid="{00000000-0005-0000-0000-0000278D0000}"/>
    <cellStyle name="Normal 34 8 3 6" xfId="35300" xr:uid="{00000000-0005-0000-0000-0000288D0000}"/>
    <cellStyle name="Normal 34 8 4" xfId="35301" xr:uid="{00000000-0005-0000-0000-0000298D0000}"/>
    <cellStyle name="Normal 34 8 4 2" xfId="35302" xr:uid="{00000000-0005-0000-0000-00002A8D0000}"/>
    <cellStyle name="Normal 34 8 4 3" xfId="35303" xr:uid="{00000000-0005-0000-0000-00002B8D0000}"/>
    <cellStyle name="Normal 34 8 4 4" xfId="35304" xr:uid="{00000000-0005-0000-0000-00002C8D0000}"/>
    <cellStyle name="Normal 34 8 4 5" xfId="35305" xr:uid="{00000000-0005-0000-0000-00002D8D0000}"/>
    <cellStyle name="Normal 34 8 4 6" xfId="35306" xr:uid="{00000000-0005-0000-0000-00002E8D0000}"/>
    <cellStyle name="Normal 34 8 5" xfId="35307" xr:uid="{00000000-0005-0000-0000-00002F8D0000}"/>
    <cellStyle name="Normal 34 8 5 2" xfId="35308" xr:uid="{00000000-0005-0000-0000-0000308D0000}"/>
    <cellStyle name="Normal 34 8 5 3" xfId="35309" xr:uid="{00000000-0005-0000-0000-0000318D0000}"/>
    <cellStyle name="Normal 34 8 5 4" xfId="35310" xr:uid="{00000000-0005-0000-0000-0000328D0000}"/>
    <cellStyle name="Normal 34 8 5 5" xfId="35311" xr:uid="{00000000-0005-0000-0000-0000338D0000}"/>
    <cellStyle name="Normal 34 8 5 6" xfId="35312" xr:uid="{00000000-0005-0000-0000-0000348D0000}"/>
    <cellStyle name="Normal 34 8 6" xfId="35313" xr:uid="{00000000-0005-0000-0000-0000358D0000}"/>
    <cellStyle name="Normal 34 8 6 2" xfId="35314" xr:uid="{00000000-0005-0000-0000-0000368D0000}"/>
    <cellStyle name="Normal 34 8 6 3" xfId="35315" xr:uid="{00000000-0005-0000-0000-0000378D0000}"/>
    <cellStyle name="Normal 34 8 6 4" xfId="35316" xr:uid="{00000000-0005-0000-0000-0000388D0000}"/>
    <cellStyle name="Normal 34 8 6 5" xfId="35317" xr:uid="{00000000-0005-0000-0000-0000398D0000}"/>
    <cellStyle name="Normal 34 8 6 6" xfId="35318" xr:uid="{00000000-0005-0000-0000-00003A8D0000}"/>
    <cellStyle name="Normal 34 8 7" xfId="35319" xr:uid="{00000000-0005-0000-0000-00003B8D0000}"/>
    <cellStyle name="Normal 34 8 7 2" xfId="35320" xr:uid="{00000000-0005-0000-0000-00003C8D0000}"/>
    <cellStyle name="Normal 34 8 7 3" xfId="35321" xr:uid="{00000000-0005-0000-0000-00003D8D0000}"/>
    <cellStyle name="Normal 34 8 7 4" xfId="35322" xr:uid="{00000000-0005-0000-0000-00003E8D0000}"/>
    <cellStyle name="Normal 34 8 7 5" xfId="35323" xr:uid="{00000000-0005-0000-0000-00003F8D0000}"/>
    <cellStyle name="Normal 34 8 7 6" xfId="35324" xr:uid="{00000000-0005-0000-0000-0000408D0000}"/>
    <cellStyle name="Normal 34 8 8" xfId="35325" xr:uid="{00000000-0005-0000-0000-0000418D0000}"/>
    <cellStyle name="Normal 34 8 8 2" xfId="35326" xr:uid="{00000000-0005-0000-0000-0000428D0000}"/>
    <cellStyle name="Normal 34 8 8 3" xfId="35327" xr:uid="{00000000-0005-0000-0000-0000438D0000}"/>
    <cellStyle name="Normal 34 8 8 4" xfId="35328" xr:uid="{00000000-0005-0000-0000-0000448D0000}"/>
    <cellStyle name="Normal 34 8 8 5" xfId="35329" xr:uid="{00000000-0005-0000-0000-0000458D0000}"/>
    <cellStyle name="Normal 34 8 8 6" xfId="35330" xr:uid="{00000000-0005-0000-0000-0000468D0000}"/>
    <cellStyle name="Normal 34 8 9" xfId="35331" xr:uid="{00000000-0005-0000-0000-0000478D0000}"/>
    <cellStyle name="Normal 34 9" xfId="35332" xr:uid="{00000000-0005-0000-0000-0000488D0000}"/>
    <cellStyle name="Normal 34 9 10" xfId="35333" xr:uid="{00000000-0005-0000-0000-0000498D0000}"/>
    <cellStyle name="Normal 34 9 11" xfId="35334" xr:uid="{00000000-0005-0000-0000-00004A8D0000}"/>
    <cellStyle name="Normal 34 9 12" xfId="35335" xr:uid="{00000000-0005-0000-0000-00004B8D0000}"/>
    <cellStyle name="Normal 34 9 13" xfId="35336" xr:uid="{00000000-0005-0000-0000-00004C8D0000}"/>
    <cellStyle name="Normal 34 9 2" xfId="35337" xr:uid="{00000000-0005-0000-0000-00004D8D0000}"/>
    <cellStyle name="Normal 34 9 2 2" xfId="35338" xr:uid="{00000000-0005-0000-0000-00004E8D0000}"/>
    <cellStyle name="Normal 34 9 2 3" xfId="35339" xr:uid="{00000000-0005-0000-0000-00004F8D0000}"/>
    <cellStyle name="Normal 34 9 2 4" xfId="35340" xr:uid="{00000000-0005-0000-0000-0000508D0000}"/>
    <cellStyle name="Normal 34 9 2 5" xfId="35341" xr:uid="{00000000-0005-0000-0000-0000518D0000}"/>
    <cellStyle name="Normal 34 9 2 6" xfId="35342" xr:uid="{00000000-0005-0000-0000-0000528D0000}"/>
    <cellStyle name="Normal 34 9 3" xfId="35343" xr:uid="{00000000-0005-0000-0000-0000538D0000}"/>
    <cellStyle name="Normal 34 9 3 2" xfId="35344" xr:uid="{00000000-0005-0000-0000-0000548D0000}"/>
    <cellStyle name="Normal 34 9 3 3" xfId="35345" xr:uid="{00000000-0005-0000-0000-0000558D0000}"/>
    <cellStyle name="Normal 34 9 3 4" xfId="35346" xr:uid="{00000000-0005-0000-0000-0000568D0000}"/>
    <cellStyle name="Normal 34 9 3 5" xfId="35347" xr:uid="{00000000-0005-0000-0000-0000578D0000}"/>
    <cellStyle name="Normal 34 9 3 6" xfId="35348" xr:uid="{00000000-0005-0000-0000-0000588D0000}"/>
    <cellStyle name="Normal 34 9 4" xfId="35349" xr:uid="{00000000-0005-0000-0000-0000598D0000}"/>
    <cellStyle name="Normal 34 9 4 2" xfId="35350" xr:uid="{00000000-0005-0000-0000-00005A8D0000}"/>
    <cellStyle name="Normal 34 9 4 3" xfId="35351" xr:uid="{00000000-0005-0000-0000-00005B8D0000}"/>
    <cellStyle name="Normal 34 9 4 4" xfId="35352" xr:uid="{00000000-0005-0000-0000-00005C8D0000}"/>
    <cellStyle name="Normal 34 9 4 5" xfId="35353" xr:uid="{00000000-0005-0000-0000-00005D8D0000}"/>
    <cellStyle name="Normal 34 9 4 6" xfId="35354" xr:uid="{00000000-0005-0000-0000-00005E8D0000}"/>
    <cellStyle name="Normal 34 9 5" xfId="35355" xr:uid="{00000000-0005-0000-0000-00005F8D0000}"/>
    <cellStyle name="Normal 34 9 5 2" xfId="35356" xr:uid="{00000000-0005-0000-0000-0000608D0000}"/>
    <cellStyle name="Normal 34 9 5 3" xfId="35357" xr:uid="{00000000-0005-0000-0000-0000618D0000}"/>
    <cellStyle name="Normal 34 9 5 4" xfId="35358" xr:uid="{00000000-0005-0000-0000-0000628D0000}"/>
    <cellStyle name="Normal 34 9 5 5" xfId="35359" xr:uid="{00000000-0005-0000-0000-0000638D0000}"/>
    <cellStyle name="Normal 34 9 5 6" xfId="35360" xr:uid="{00000000-0005-0000-0000-0000648D0000}"/>
    <cellStyle name="Normal 34 9 6" xfId="35361" xr:uid="{00000000-0005-0000-0000-0000658D0000}"/>
    <cellStyle name="Normal 34 9 6 2" xfId="35362" xr:uid="{00000000-0005-0000-0000-0000668D0000}"/>
    <cellStyle name="Normal 34 9 6 3" xfId="35363" xr:uid="{00000000-0005-0000-0000-0000678D0000}"/>
    <cellStyle name="Normal 34 9 6 4" xfId="35364" xr:uid="{00000000-0005-0000-0000-0000688D0000}"/>
    <cellStyle name="Normal 34 9 6 5" xfId="35365" xr:uid="{00000000-0005-0000-0000-0000698D0000}"/>
    <cellStyle name="Normal 34 9 6 6" xfId="35366" xr:uid="{00000000-0005-0000-0000-00006A8D0000}"/>
    <cellStyle name="Normal 34 9 7" xfId="35367" xr:uid="{00000000-0005-0000-0000-00006B8D0000}"/>
    <cellStyle name="Normal 34 9 7 2" xfId="35368" xr:uid="{00000000-0005-0000-0000-00006C8D0000}"/>
    <cellStyle name="Normal 34 9 7 3" xfId="35369" xr:uid="{00000000-0005-0000-0000-00006D8D0000}"/>
    <cellStyle name="Normal 34 9 7 4" xfId="35370" xr:uid="{00000000-0005-0000-0000-00006E8D0000}"/>
    <cellStyle name="Normal 34 9 7 5" xfId="35371" xr:uid="{00000000-0005-0000-0000-00006F8D0000}"/>
    <cellStyle name="Normal 34 9 7 6" xfId="35372" xr:uid="{00000000-0005-0000-0000-0000708D0000}"/>
    <cellStyle name="Normal 34 9 8" xfId="35373" xr:uid="{00000000-0005-0000-0000-0000718D0000}"/>
    <cellStyle name="Normal 34 9 8 2" xfId="35374" xr:uid="{00000000-0005-0000-0000-0000728D0000}"/>
    <cellStyle name="Normal 34 9 8 3" xfId="35375" xr:uid="{00000000-0005-0000-0000-0000738D0000}"/>
    <cellStyle name="Normal 34 9 8 4" xfId="35376" xr:uid="{00000000-0005-0000-0000-0000748D0000}"/>
    <cellStyle name="Normal 34 9 8 5" xfId="35377" xr:uid="{00000000-0005-0000-0000-0000758D0000}"/>
    <cellStyle name="Normal 34 9 8 6" xfId="35378" xr:uid="{00000000-0005-0000-0000-0000768D0000}"/>
    <cellStyle name="Normal 34 9 9" xfId="35379" xr:uid="{00000000-0005-0000-0000-0000778D0000}"/>
    <cellStyle name="Normal 35" xfId="35380" xr:uid="{00000000-0005-0000-0000-0000788D0000}"/>
    <cellStyle name="Normal 35 10" xfId="35381" xr:uid="{00000000-0005-0000-0000-0000798D0000}"/>
    <cellStyle name="Normal 35 11" xfId="35382" xr:uid="{00000000-0005-0000-0000-00007A8D0000}"/>
    <cellStyle name="Normal 35 12" xfId="35383" xr:uid="{00000000-0005-0000-0000-00007B8D0000}"/>
    <cellStyle name="Normal 35 13" xfId="35384" xr:uid="{00000000-0005-0000-0000-00007C8D0000}"/>
    <cellStyle name="Normal 35 14" xfId="35385" xr:uid="{00000000-0005-0000-0000-00007D8D0000}"/>
    <cellStyle name="Normal 35 15" xfId="35386" xr:uid="{00000000-0005-0000-0000-00007E8D0000}"/>
    <cellStyle name="Normal 35 16" xfId="35387" xr:uid="{00000000-0005-0000-0000-00007F8D0000}"/>
    <cellStyle name="Normal 35 17" xfId="35388" xr:uid="{00000000-0005-0000-0000-0000808D0000}"/>
    <cellStyle name="Normal 35 18" xfId="35389" xr:uid="{00000000-0005-0000-0000-0000818D0000}"/>
    <cellStyle name="Normal 35 19" xfId="35390" xr:uid="{00000000-0005-0000-0000-0000828D0000}"/>
    <cellStyle name="Normal 35 2" xfId="35391" xr:uid="{00000000-0005-0000-0000-0000838D0000}"/>
    <cellStyle name="Normal 35 20" xfId="35392" xr:uid="{00000000-0005-0000-0000-0000848D0000}"/>
    <cellStyle name="Normal 35 21" xfId="35393" xr:uid="{00000000-0005-0000-0000-0000858D0000}"/>
    <cellStyle name="Normal 35 22" xfId="35394" xr:uid="{00000000-0005-0000-0000-0000868D0000}"/>
    <cellStyle name="Normal 35 23" xfId="35395" xr:uid="{00000000-0005-0000-0000-0000878D0000}"/>
    <cellStyle name="Normal 35 24" xfId="35396" xr:uid="{00000000-0005-0000-0000-0000888D0000}"/>
    <cellStyle name="Normal 35 25" xfId="35397" xr:uid="{00000000-0005-0000-0000-0000898D0000}"/>
    <cellStyle name="Normal 35 26" xfId="35398" xr:uid="{00000000-0005-0000-0000-00008A8D0000}"/>
    <cellStyle name="Normal 35 27" xfId="35399" xr:uid="{00000000-0005-0000-0000-00008B8D0000}"/>
    <cellStyle name="Normal 35 28" xfId="35400" xr:uid="{00000000-0005-0000-0000-00008C8D0000}"/>
    <cellStyle name="Normal 35 29" xfId="35401" xr:uid="{00000000-0005-0000-0000-00008D8D0000}"/>
    <cellStyle name="Normal 35 3" xfId="35402" xr:uid="{00000000-0005-0000-0000-00008E8D0000}"/>
    <cellStyle name="Normal 35 30" xfId="35403" xr:uid="{00000000-0005-0000-0000-00008F8D0000}"/>
    <cellStyle name="Normal 35 31" xfId="35404" xr:uid="{00000000-0005-0000-0000-0000908D0000}"/>
    <cellStyle name="Normal 35 32" xfId="35405" xr:uid="{00000000-0005-0000-0000-0000918D0000}"/>
    <cellStyle name="Normal 35 33" xfId="35406" xr:uid="{00000000-0005-0000-0000-0000928D0000}"/>
    <cellStyle name="Normal 35 34" xfId="35407" xr:uid="{00000000-0005-0000-0000-0000938D0000}"/>
    <cellStyle name="Normal 35 35" xfId="35408" xr:uid="{00000000-0005-0000-0000-0000948D0000}"/>
    <cellStyle name="Normal 35 36" xfId="35409" xr:uid="{00000000-0005-0000-0000-0000958D0000}"/>
    <cellStyle name="Normal 35 37" xfId="35410" xr:uid="{00000000-0005-0000-0000-0000968D0000}"/>
    <cellStyle name="Normal 35 38" xfId="35411" xr:uid="{00000000-0005-0000-0000-0000978D0000}"/>
    <cellStyle name="Normal 35 39" xfId="35412" xr:uid="{00000000-0005-0000-0000-0000988D0000}"/>
    <cellStyle name="Normal 35 4" xfId="35413" xr:uid="{00000000-0005-0000-0000-0000998D0000}"/>
    <cellStyle name="Normal 35 40" xfId="35414" xr:uid="{00000000-0005-0000-0000-00009A8D0000}"/>
    <cellStyle name="Normal 35 41" xfId="35415" xr:uid="{00000000-0005-0000-0000-00009B8D0000}"/>
    <cellStyle name="Normal 35 42" xfId="35416" xr:uid="{00000000-0005-0000-0000-00009C8D0000}"/>
    <cellStyle name="Normal 35 43" xfId="35417" xr:uid="{00000000-0005-0000-0000-00009D8D0000}"/>
    <cellStyle name="Normal 35 5" xfId="35418" xr:uid="{00000000-0005-0000-0000-00009E8D0000}"/>
    <cellStyle name="Normal 35 6" xfId="35419" xr:uid="{00000000-0005-0000-0000-00009F8D0000}"/>
    <cellStyle name="Normal 35 7" xfId="35420" xr:uid="{00000000-0005-0000-0000-0000A08D0000}"/>
    <cellStyle name="Normal 35 8" xfId="35421" xr:uid="{00000000-0005-0000-0000-0000A18D0000}"/>
    <cellStyle name="Normal 35 9" xfId="35422" xr:uid="{00000000-0005-0000-0000-0000A28D0000}"/>
    <cellStyle name="Normal 36" xfId="35423" xr:uid="{00000000-0005-0000-0000-0000A38D0000}"/>
    <cellStyle name="Normal 36 2" xfId="35424" xr:uid="{00000000-0005-0000-0000-0000A48D0000}"/>
    <cellStyle name="Normal 37" xfId="35425" xr:uid="{00000000-0005-0000-0000-0000A58D0000}"/>
    <cellStyle name="Normal 37 2" xfId="35426" xr:uid="{00000000-0005-0000-0000-0000A68D0000}"/>
    <cellStyle name="Normal 38" xfId="35427" xr:uid="{00000000-0005-0000-0000-0000A78D0000}"/>
    <cellStyle name="Normal 38 2" xfId="35428" xr:uid="{00000000-0005-0000-0000-0000A88D0000}"/>
    <cellStyle name="Normal 39" xfId="35429" xr:uid="{00000000-0005-0000-0000-0000A98D0000}"/>
    <cellStyle name="Normal 39 10" xfId="35430" xr:uid="{00000000-0005-0000-0000-0000AA8D0000}"/>
    <cellStyle name="Normal 39 11" xfId="35431" xr:uid="{00000000-0005-0000-0000-0000AB8D0000}"/>
    <cellStyle name="Normal 39 12" xfId="35432" xr:uid="{00000000-0005-0000-0000-0000AC8D0000}"/>
    <cellStyle name="Normal 39 13" xfId="35433" xr:uid="{00000000-0005-0000-0000-0000AD8D0000}"/>
    <cellStyle name="Normal 39 2" xfId="35434" xr:uid="{00000000-0005-0000-0000-0000AE8D0000}"/>
    <cellStyle name="Normal 39 2 2" xfId="35435" xr:uid="{00000000-0005-0000-0000-0000AF8D0000}"/>
    <cellStyle name="Normal 39 2 3" xfId="35436" xr:uid="{00000000-0005-0000-0000-0000B08D0000}"/>
    <cellStyle name="Normal 39 2 4" xfId="35437" xr:uid="{00000000-0005-0000-0000-0000B18D0000}"/>
    <cellStyle name="Normal 39 2 5" xfId="35438" xr:uid="{00000000-0005-0000-0000-0000B28D0000}"/>
    <cellStyle name="Normal 39 2 6" xfId="35439" xr:uid="{00000000-0005-0000-0000-0000B38D0000}"/>
    <cellStyle name="Normal 39 3" xfId="35440" xr:uid="{00000000-0005-0000-0000-0000B48D0000}"/>
    <cellStyle name="Normal 39 3 2" xfId="35441" xr:uid="{00000000-0005-0000-0000-0000B58D0000}"/>
    <cellStyle name="Normal 39 3 3" xfId="35442" xr:uid="{00000000-0005-0000-0000-0000B68D0000}"/>
    <cellStyle name="Normal 39 3 4" xfId="35443" xr:uid="{00000000-0005-0000-0000-0000B78D0000}"/>
    <cellStyle name="Normal 39 3 5" xfId="35444" xr:uid="{00000000-0005-0000-0000-0000B88D0000}"/>
    <cellStyle name="Normal 39 3 6" xfId="35445" xr:uid="{00000000-0005-0000-0000-0000B98D0000}"/>
    <cellStyle name="Normal 39 4" xfId="35446" xr:uid="{00000000-0005-0000-0000-0000BA8D0000}"/>
    <cellStyle name="Normal 39 4 2" xfId="35447" xr:uid="{00000000-0005-0000-0000-0000BB8D0000}"/>
    <cellStyle name="Normal 39 4 3" xfId="35448" xr:uid="{00000000-0005-0000-0000-0000BC8D0000}"/>
    <cellStyle name="Normal 39 4 4" xfId="35449" xr:uid="{00000000-0005-0000-0000-0000BD8D0000}"/>
    <cellStyle name="Normal 39 4 5" xfId="35450" xr:uid="{00000000-0005-0000-0000-0000BE8D0000}"/>
    <cellStyle name="Normal 39 4 6" xfId="35451" xr:uid="{00000000-0005-0000-0000-0000BF8D0000}"/>
    <cellStyle name="Normal 39 5" xfId="35452" xr:uid="{00000000-0005-0000-0000-0000C08D0000}"/>
    <cellStyle name="Normal 39 5 2" xfId="35453" xr:uid="{00000000-0005-0000-0000-0000C18D0000}"/>
    <cellStyle name="Normal 39 5 3" xfId="35454" xr:uid="{00000000-0005-0000-0000-0000C28D0000}"/>
    <cellStyle name="Normal 39 5 4" xfId="35455" xr:uid="{00000000-0005-0000-0000-0000C38D0000}"/>
    <cellStyle name="Normal 39 5 5" xfId="35456" xr:uid="{00000000-0005-0000-0000-0000C48D0000}"/>
    <cellStyle name="Normal 39 5 6" xfId="35457" xr:uid="{00000000-0005-0000-0000-0000C58D0000}"/>
    <cellStyle name="Normal 39 6" xfId="35458" xr:uid="{00000000-0005-0000-0000-0000C68D0000}"/>
    <cellStyle name="Normal 39 6 2" xfId="35459" xr:uid="{00000000-0005-0000-0000-0000C78D0000}"/>
    <cellStyle name="Normal 39 6 3" xfId="35460" xr:uid="{00000000-0005-0000-0000-0000C88D0000}"/>
    <cellStyle name="Normal 39 6 4" xfId="35461" xr:uid="{00000000-0005-0000-0000-0000C98D0000}"/>
    <cellStyle name="Normal 39 6 5" xfId="35462" xr:uid="{00000000-0005-0000-0000-0000CA8D0000}"/>
    <cellStyle name="Normal 39 6 6" xfId="35463" xr:uid="{00000000-0005-0000-0000-0000CB8D0000}"/>
    <cellStyle name="Normal 39 7" xfId="35464" xr:uid="{00000000-0005-0000-0000-0000CC8D0000}"/>
    <cellStyle name="Normal 39 7 2" xfId="35465" xr:uid="{00000000-0005-0000-0000-0000CD8D0000}"/>
    <cellStyle name="Normal 39 7 3" xfId="35466" xr:uid="{00000000-0005-0000-0000-0000CE8D0000}"/>
    <cellStyle name="Normal 39 7 4" xfId="35467" xr:uid="{00000000-0005-0000-0000-0000CF8D0000}"/>
    <cellStyle name="Normal 39 7 5" xfId="35468" xr:uid="{00000000-0005-0000-0000-0000D08D0000}"/>
    <cellStyle name="Normal 39 7 6" xfId="35469" xr:uid="{00000000-0005-0000-0000-0000D18D0000}"/>
    <cellStyle name="Normal 39 8" xfId="35470" xr:uid="{00000000-0005-0000-0000-0000D28D0000}"/>
    <cellStyle name="Normal 39 8 2" xfId="35471" xr:uid="{00000000-0005-0000-0000-0000D38D0000}"/>
    <cellStyle name="Normal 39 8 3" xfId="35472" xr:uid="{00000000-0005-0000-0000-0000D48D0000}"/>
    <cellStyle name="Normal 39 8 4" xfId="35473" xr:uid="{00000000-0005-0000-0000-0000D58D0000}"/>
    <cellStyle name="Normal 39 8 5" xfId="35474" xr:uid="{00000000-0005-0000-0000-0000D68D0000}"/>
    <cellStyle name="Normal 39 8 6" xfId="35475" xr:uid="{00000000-0005-0000-0000-0000D78D0000}"/>
    <cellStyle name="Normal 39 9" xfId="35476" xr:uid="{00000000-0005-0000-0000-0000D88D0000}"/>
    <cellStyle name="Normal 4" xfId="5" xr:uid="{00000000-0005-0000-0000-0000D98D0000}"/>
    <cellStyle name="Normal 4 10" xfId="8" xr:uid="{00000000-0005-0000-0000-0000DA8D0000}"/>
    <cellStyle name="Normal 4 11" xfId="35477" xr:uid="{00000000-0005-0000-0000-0000DB8D0000}"/>
    <cellStyle name="Normal 4 12" xfId="35478" xr:uid="{00000000-0005-0000-0000-0000DC8D0000}"/>
    <cellStyle name="Normal 4 13" xfId="35479" xr:uid="{00000000-0005-0000-0000-0000DD8D0000}"/>
    <cellStyle name="Normal 4 14" xfId="35480" xr:uid="{00000000-0005-0000-0000-0000DE8D0000}"/>
    <cellStyle name="Normal 4 15" xfId="35481" xr:uid="{00000000-0005-0000-0000-0000DF8D0000}"/>
    <cellStyle name="Normal 4 16" xfId="35482" xr:uid="{00000000-0005-0000-0000-0000E08D0000}"/>
    <cellStyle name="Normal 4 17" xfId="35483" xr:uid="{00000000-0005-0000-0000-0000E18D0000}"/>
    <cellStyle name="Normal 4 18" xfId="35484" xr:uid="{00000000-0005-0000-0000-0000E28D0000}"/>
    <cellStyle name="Normal 4 19" xfId="35485" xr:uid="{00000000-0005-0000-0000-0000E38D0000}"/>
    <cellStyle name="Normal 4 2" xfId="1085" xr:uid="{00000000-0005-0000-0000-0000E48D0000}"/>
    <cellStyle name="Normal 4 2 2" xfId="35486" xr:uid="{00000000-0005-0000-0000-0000E58D0000}"/>
    <cellStyle name="Normal 4 2 2 2" xfId="35487" xr:uid="{00000000-0005-0000-0000-0000E68D0000}"/>
    <cellStyle name="Normal 4 2 2 2 2" xfId="35488" xr:uid="{00000000-0005-0000-0000-0000E78D0000}"/>
    <cellStyle name="Normal 4 2 2 3" xfId="35489" xr:uid="{00000000-0005-0000-0000-0000E88D0000}"/>
    <cellStyle name="Normal 4 2 3" xfId="35490" xr:uid="{00000000-0005-0000-0000-0000E98D0000}"/>
    <cellStyle name="Normal 4 20" xfId="35491" xr:uid="{00000000-0005-0000-0000-0000EA8D0000}"/>
    <cellStyle name="Normal 4 21" xfId="35492" xr:uid="{00000000-0005-0000-0000-0000EB8D0000}"/>
    <cellStyle name="Normal 4 22" xfId="35493" xr:uid="{00000000-0005-0000-0000-0000EC8D0000}"/>
    <cellStyle name="Normal 4 23" xfId="35494" xr:uid="{00000000-0005-0000-0000-0000ED8D0000}"/>
    <cellStyle name="Normal 4 24" xfId="35495" xr:uid="{00000000-0005-0000-0000-0000EE8D0000}"/>
    <cellStyle name="Normal 4 25" xfId="35496" xr:uid="{00000000-0005-0000-0000-0000EF8D0000}"/>
    <cellStyle name="Normal 4 26" xfId="35497" xr:uid="{00000000-0005-0000-0000-0000F08D0000}"/>
    <cellStyle name="Normal 4 27" xfId="35498" xr:uid="{00000000-0005-0000-0000-0000F18D0000}"/>
    <cellStyle name="Normal 4 28" xfId="35499" xr:uid="{00000000-0005-0000-0000-0000F28D0000}"/>
    <cellStyle name="Normal 4 3" xfId="1086" xr:uid="{00000000-0005-0000-0000-0000F38D0000}"/>
    <cellStyle name="Normal 4 3 2" xfId="35500" xr:uid="{00000000-0005-0000-0000-0000F48D0000}"/>
    <cellStyle name="Normal 4 4" xfId="35501" xr:uid="{00000000-0005-0000-0000-0000F58D0000}"/>
    <cellStyle name="Normal 4 4 2" xfId="35502" xr:uid="{00000000-0005-0000-0000-0000F68D0000}"/>
    <cellStyle name="Normal 4 5" xfId="35503" xr:uid="{00000000-0005-0000-0000-0000F78D0000}"/>
    <cellStyle name="Normal 4 5 2" xfId="35504" xr:uid="{00000000-0005-0000-0000-0000F88D0000}"/>
    <cellStyle name="Normal 4 5 3" xfId="35505" xr:uid="{00000000-0005-0000-0000-0000F98D0000}"/>
    <cellStyle name="Normal 4 6" xfId="35506" xr:uid="{00000000-0005-0000-0000-0000FA8D0000}"/>
    <cellStyle name="Normal 4 6 2" xfId="35507" xr:uid="{00000000-0005-0000-0000-0000FB8D0000}"/>
    <cellStyle name="Normal 4 7" xfId="35508" xr:uid="{00000000-0005-0000-0000-0000FC8D0000}"/>
    <cellStyle name="Normal 4 8" xfId="35509" xr:uid="{00000000-0005-0000-0000-0000FD8D0000}"/>
    <cellStyle name="Normal 4 9" xfId="35510" xr:uid="{00000000-0005-0000-0000-0000FE8D0000}"/>
    <cellStyle name="Normal 4_Base de correção ER Escelsa" xfId="35511" xr:uid="{00000000-0005-0000-0000-0000FF8D0000}"/>
    <cellStyle name="Normal 40" xfId="1682" xr:uid="{00000000-0005-0000-0000-0000008E0000}"/>
    <cellStyle name="Normal 40 2" xfId="35512" xr:uid="{00000000-0005-0000-0000-0000018E0000}"/>
    <cellStyle name="Normal 40 3" xfId="43579" xr:uid="{00000000-0005-0000-0000-0000028E0000}"/>
    <cellStyle name="Normal 41" xfId="35513" xr:uid="{00000000-0005-0000-0000-0000038E0000}"/>
    <cellStyle name="Normal 41 2" xfId="35514" xr:uid="{00000000-0005-0000-0000-0000048E0000}"/>
    <cellStyle name="Normal 41 3" xfId="35515" xr:uid="{00000000-0005-0000-0000-0000058E0000}"/>
    <cellStyle name="Normal 42" xfId="35516" xr:uid="{00000000-0005-0000-0000-0000068E0000}"/>
    <cellStyle name="Normal 42 2" xfId="35517" xr:uid="{00000000-0005-0000-0000-0000078E0000}"/>
    <cellStyle name="Normal 42 3" xfId="35518" xr:uid="{00000000-0005-0000-0000-0000088E0000}"/>
    <cellStyle name="Normal 43" xfId="35519" xr:uid="{00000000-0005-0000-0000-0000098E0000}"/>
    <cellStyle name="Normal 43 2" xfId="35520" xr:uid="{00000000-0005-0000-0000-00000A8E0000}"/>
    <cellStyle name="Normal 43 3" xfId="35521" xr:uid="{00000000-0005-0000-0000-00000B8E0000}"/>
    <cellStyle name="Normal 43 4" xfId="35522" xr:uid="{00000000-0005-0000-0000-00000C8E0000}"/>
    <cellStyle name="Normal 43 5" xfId="35523" xr:uid="{00000000-0005-0000-0000-00000D8E0000}"/>
    <cellStyle name="Normal 44" xfId="35524" xr:uid="{00000000-0005-0000-0000-00000E8E0000}"/>
    <cellStyle name="Normal 44 2" xfId="35525" xr:uid="{00000000-0005-0000-0000-00000F8E0000}"/>
    <cellStyle name="Normal 44 2 2" xfId="35526" xr:uid="{00000000-0005-0000-0000-0000108E0000}"/>
    <cellStyle name="Normal 44 2 3" xfId="35527" xr:uid="{00000000-0005-0000-0000-0000118E0000}"/>
    <cellStyle name="Normal 44 2 4" xfId="35528" xr:uid="{00000000-0005-0000-0000-0000128E0000}"/>
    <cellStyle name="Normal 44 2 5" xfId="35529" xr:uid="{00000000-0005-0000-0000-0000138E0000}"/>
    <cellStyle name="Normal 44 2 6" xfId="35530" xr:uid="{00000000-0005-0000-0000-0000148E0000}"/>
    <cellStyle name="Normal 44 3" xfId="35531" xr:uid="{00000000-0005-0000-0000-0000158E0000}"/>
    <cellStyle name="Normal 44 3 2" xfId="35532" xr:uid="{00000000-0005-0000-0000-0000168E0000}"/>
    <cellStyle name="Normal 44 3 3" xfId="35533" xr:uid="{00000000-0005-0000-0000-0000178E0000}"/>
    <cellStyle name="Normal 44 3 4" xfId="35534" xr:uid="{00000000-0005-0000-0000-0000188E0000}"/>
    <cellStyle name="Normal 44 3 5" xfId="35535" xr:uid="{00000000-0005-0000-0000-0000198E0000}"/>
    <cellStyle name="Normal 44 3 6" xfId="35536" xr:uid="{00000000-0005-0000-0000-00001A8E0000}"/>
    <cellStyle name="Normal 45" xfId="35537" xr:uid="{00000000-0005-0000-0000-00001B8E0000}"/>
    <cellStyle name="Normal 45 2" xfId="35538" xr:uid="{00000000-0005-0000-0000-00001C8E0000}"/>
    <cellStyle name="Normal 45 2 2" xfId="35539" xr:uid="{00000000-0005-0000-0000-00001D8E0000}"/>
    <cellStyle name="Normal 45 2 2 2" xfId="35540" xr:uid="{00000000-0005-0000-0000-00001E8E0000}"/>
    <cellStyle name="Normal 45 2 2 3" xfId="35541" xr:uid="{00000000-0005-0000-0000-00001F8E0000}"/>
    <cellStyle name="Normal 45 2 2 4" xfId="35542" xr:uid="{00000000-0005-0000-0000-0000208E0000}"/>
    <cellStyle name="Normal 45 2 2 5" xfId="35543" xr:uid="{00000000-0005-0000-0000-0000218E0000}"/>
    <cellStyle name="Normal 45 2 2 6" xfId="35544" xr:uid="{00000000-0005-0000-0000-0000228E0000}"/>
    <cellStyle name="Normal 45 2 2 7" xfId="35545" xr:uid="{00000000-0005-0000-0000-0000238E0000}"/>
    <cellStyle name="Normal 45 3" xfId="35546" xr:uid="{00000000-0005-0000-0000-0000248E0000}"/>
    <cellStyle name="Normal 45 4" xfId="35547" xr:uid="{00000000-0005-0000-0000-0000258E0000}"/>
    <cellStyle name="Normal 45 5" xfId="35548" xr:uid="{00000000-0005-0000-0000-0000268E0000}"/>
    <cellStyle name="Normal 45 6" xfId="35549" xr:uid="{00000000-0005-0000-0000-0000278E0000}"/>
    <cellStyle name="Normal 45 7" xfId="35550" xr:uid="{00000000-0005-0000-0000-0000288E0000}"/>
    <cellStyle name="Normal 45 8" xfId="35551" xr:uid="{00000000-0005-0000-0000-0000298E0000}"/>
    <cellStyle name="Normal 46" xfId="35552" xr:uid="{00000000-0005-0000-0000-00002A8E0000}"/>
    <cellStyle name="Normal 46 2" xfId="35553" xr:uid="{00000000-0005-0000-0000-00002B8E0000}"/>
    <cellStyle name="Normal 47" xfId="35554" xr:uid="{00000000-0005-0000-0000-00002C8E0000}"/>
    <cellStyle name="Normal 47 2" xfId="35555" xr:uid="{00000000-0005-0000-0000-00002D8E0000}"/>
    <cellStyle name="Normal 47 2 2" xfId="43580" xr:uid="{00000000-0005-0000-0000-00002E8E0000}"/>
    <cellStyle name="Normal 47 3" xfId="43581" xr:uid="{00000000-0005-0000-0000-00002F8E0000}"/>
    <cellStyle name="Normal 48" xfId="35556" xr:uid="{00000000-0005-0000-0000-0000308E0000}"/>
    <cellStyle name="Normal 48 2" xfId="35557" xr:uid="{00000000-0005-0000-0000-0000318E0000}"/>
    <cellStyle name="Normal 49" xfId="35558" xr:uid="{00000000-0005-0000-0000-0000328E0000}"/>
    <cellStyle name="Normal 49 2" xfId="35559" xr:uid="{00000000-0005-0000-0000-0000338E0000}"/>
    <cellStyle name="Normal 49 2 2" xfId="43582" xr:uid="{00000000-0005-0000-0000-0000348E0000}"/>
    <cellStyle name="Normal 49 3" xfId="43583" xr:uid="{00000000-0005-0000-0000-0000358E0000}"/>
    <cellStyle name="Normal 49 3 2" xfId="43584" xr:uid="{00000000-0005-0000-0000-0000368E0000}"/>
    <cellStyle name="Normal 49 3 2 2" xfId="43585" xr:uid="{00000000-0005-0000-0000-0000378E0000}"/>
    <cellStyle name="Normal 49 3 3" xfId="43586" xr:uid="{00000000-0005-0000-0000-0000388E0000}"/>
    <cellStyle name="Normal 49 4" xfId="43587" xr:uid="{00000000-0005-0000-0000-0000398E0000}"/>
    <cellStyle name="Normal 5" xfId="923" xr:uid="{00000000-0005-0000-0000-00003A8E0000}"/>
    <cellStyle name="Normal 5 2" xfId="1087" xr:uid="{00000000-0005-0000-0000-00003B8E0000}"/>
    <cellStyle name="Normal 5 3" xfId="1787" xr:uid="{00000000-0005-0000-0000-00003C8E0000}"/>
    <cellStyle name="Normal 5 3 2" xfId="35560" xr:uid="{00000000-0005-0000-0000-00003D8E0000}"/>
    <cellStyle name="Normal 5 4" xfId="35561" xr:uid="{00000000-0005-0000-0000-00003E8E0000}"/>
    <cellStyle name="Normal 5 5" xfId="35562" xr:uid="{00000000-0005-0000-0000-00003F8E0000}"/>
    <cellStyle name="Normal 5 6" xfId="35563" xr:uid="{00000000-0005-0000-0000-0000408E0000}"/>
    <cellStyle name="Normal 5 7" xfId="35564" xr:uid="{00000000-0005-0000-0000-0000418E0000}"/>
    <cellStyle name="Normal 50" xfId="35565" xr:uid="{00000000-0005-0000-0000-0000428E0000}"/>
    <cellStyle name="Normal 50 2" xfId="35566" xr:uid="{00000000-0005-0000-0000-0000438E0000}"/>
    <cellStyle name="Normal 51" xfId="35567" xr:uid="{00000000-0005-0000-0000-0000448E0000}"/>
    <cellStyle name="Normal 51 2" xfId="35568" xr:uid="{00000000-0005-0000-0000-0000458E0000}"/>
    <cellStyle name="Normal 51 2 2" xfId="43588" xr:uid="{00000000-0005-0000-0000-0000468E0000}"/>
    <cellStyle name="Normal 51 3" xfId="43589" xr:uid="{00000000-0005-0000-0000-0000478E0000}"/>
    <cellStyle name="Normal 51 3 2" xfId="43590" xr:uid="{00000000-0005-0000-0000-0000488E0000}"/>
    <cellStyle name="Normal 51 4" xfId="43591" xr:uid="{00000000-0005-0000-0000-0000498E0000}"/>
    <cellStyle name="Normal 52" xfId="35569" xr:uid="{00000000-0005-0000-0000-00004A8E0000}"/>
    <cellStyle name="Normal 52 2" xfId="35570" xr:uid="{00000000-0005-0000-0000-00004B8E0000}"/>
    <cellStyle name="Normal 53" xfId="35571" xr:uid="{00000000-0005-0000-0000-00004C8E0000}"/>
    <cellStyle name="Normal 53 2" xfId="35572" xr:uid="{00000000-0005-0000-0000-00004D8E0000}"/>
    <cellStyle name="Normal 53 2 2" xfId="43592" xr:uid="{00000000-0005-0000-0000-00004E8E0000}"/>
    <cellStyle name="Normal 53 3" xfId="43593" xr:uid="{00000000-0005-0000-0000-00004F8E0000}"/>
    <cellStyle name="Normal 54" xfId="35573" xr:uid="{00000000-0005-0000-0000-0000508E0000}"/>
    <cellStyle name="Normal 54 2" xfId="35574" xr:uid="{00000000-0005-0000-0000-0000518E0000}"/>
    <cellStyle name="Normal 55" xfId="35575" xr:uid="{00000000-0005-0000-0000-0000528E0000}"/>
    <cellStyle name="Normal 55 2" xfId="35576" xr:uid="{00000000-0005-0000-0000-0000538E0000}"/>
    <cellStyle name="Normal 56" xfId="35577" xr:uid="{00000000-0005-0000-0000-0000548E0000}"/>
    <cellStyle name="Normal 56 2" xfId="35578" xr:uid="{00000000-0005-0000-0000-0000558E0000}"/>
    <cellStyle name="Normal 57" xfId="35579" xr:uid="{00000000-0005-0000-0000-0000568E0000}"/>
    <cellStyle name="Normal 57 2" xfId="35580" xr:uid="{00000000-0005-0000-0000-0000578E0000}"/>
    <cellStyle name="Normal 58" xfId="35581" xr:uid="{00000000-0005-0000-0000-0000588E0000}"/>
    <cellStyle name="Normal 58 2" xfId="35582" xr:uid="{00000000-0005-0000-0000-0000598E0000}"/>
    <cellStyle name="Normal 59" xfId="35583" xr:uid="{00000000-0005-0000-0000-00005A8E0000}"/>
    <cellStyle name="Normal 59 2" xfId="35584" xr:uid="{00000000-0005-0000-0000-00005B8E0000}"/>
    <cellStyle name="Normal 6" xfId="1088" xr:uid="{00000000-0005-0000-0000-00005C8E0000}"/>
    <cellStyle name="Normal 6 2" xfId="1089" xr:uid="{00000000-0005-0000-0000-00005D8E0000}"/>
    <cellStyle name="Normal 6 3" xfId="35585" xr:uid="{00000000-0005-0000-0000-00005E8E0000}"/>
    <cellStyle name="Normal 6 3 2" xfId="35586" xr:uid="{00000000-0005-0000-0000-00005F8E0000}"/>
    <cellStyle name="Normal 6 4" xfId="35587" xr:uid="{00000000-0005-0000-0000-0000608E0000}"/>
    <cellStyle name="Normal 6 5" xfId="35588" xr:uid="{00000000-0005-0000-0000-0000618E0000}"/>
    <cellStyle name="Normal 6 6" xfId="43594" xr:uid="{00000000-0005-0000-0000-0000628E0000}"/>
    <cellStyle name="Normal 6 6 2" xfId="43595" xr:uid="{00000000-0005-0000-0000-0000638E0000}"/>
    <cellStyle name="Normal 60" xfId="35589" xr:uid="{00000000-0005-0000-0000-0000648E0000}"/>
    <cellStyle name="Normal 60 2" xfId="35590" xr:uid="{00000000-0005-0000-0000-0000658E0000}"/>
    <cellStyle name="Normal 61" xfId="35591" xr:uid="{00000000-0005-0000-0000-0000668E0000}"/>
    <cellStyle name="Normal 61 2" xfId="35592" xr:uid="{00000000-0005-0000-0000-0000678E0000}"/>
    <cellStyle name="Normal 61 3" xfId="35593" xr:uid="{00000000-0005-0000-0000-0000688E0000}"/>
    <cellStyle name="Normal 61 4" xfId="35594" xr:uid="{00000000-0005-0000-0000-0000698E0000}"/>
    <cellStyle name="Normal 61 5" xfId="35595" xr:uid="{00000000-0005-0000-0000-00006A8E0000}"/>
    <cellStyle name="Normal 61 6" xfId="35596" xr:uid="{00000000-0005-0000-0000-00006B8E0000}"/>
    <cellStyle name="Normal 61 7" xfId="35597" xr:uid="{00000000-0005-0000-0000-00006C8E0000}"/>
    <cellStyle name="Normal 62" xfId="35598" xr:uid="{00000000-0005-0000-0000-00006D8E0000}"/>
    <cellStyle name="Normal 63" xfId="35599" xr:uid="{00000000-0005-0000-0000-00006E8E0000}"/>
    <cellStyle name="Normal 64" xfId="35600" xr:uid="{00000000-0005-0000-0000-00006F8E0000}"/>
    <cellStyle name="Normal 65" xfId="35601" xr:uid="{00000000-0005-0000-0000-0000708E0000}"/>
    <cellStyle name="Normal 66" xfId="35602" xr:uid="{00000000-0005-0000-0000-0000718E0000}"/>
    <cellStyle name="Normal 67" xfId="35603" xr:uid="{00000000-0005-0000-0000-0000728E0000}"/>
    <cellStyle name="Normal 68" xfId="35604" xr:uid="{00000000-0005-0000-0000-0000738E0000}"/>
    <cellStyle name="Normal 69" xfId="35605" xr:uid="{00000000-0005-0000-0000-0000748E0000}"/>
    <cellStyle name="Normal 7" xfId="1090" xr:uid="{00000000-0005-0000-0000-0000758E0000}"/>
    <cellStyle name="Normal 7 10" xfId="35606" xr:uid="{00000000-0005-0000-0000-0000768E0000}"/>
    <cellStyle name="Normal 7 11" xfId="35607" xr:uid="{00000000-0005-0000-0000-0000778E0000}"/>
    <cellStyle name="Normal 7 12" xfId="35608" xr:uid="{00000000-0005-0000-0000-0000788E0000}"/>
    <cellStyle name="Normal 7 13" xfId="35609" xr:uid="{00000000-0005-0000-0000-0000798E0000}"/>
    <cellStyle name="Normal 7 14" xfId="35610" xr:uid="{00000000-0005-0000-0000-00007A8E0000}"/>
    <cellStyle name="Normal 7 15" xfId="35611" xr:uid="{00000000-0005-0000-0000-00007B8E0000}"/>
    <cellStyle name="Normal 7 16" xfId="35612" xr:uid="{00000000-0005-0000-0000-00007C8E0000}"/>
    <cellStyle name="Normal 7 17" xfId="35613" xr:uid="{00000000-0005-0000-0000-00007D8E0000}"/>
    <cellStyle name="Normal 7 18" xfId="35614" xr:uid="{00000000-0005-0000-0000-00007E8E0000}"/>
    <cellStyle name="Normal 7 19" xfId="35615" xr:uid="{00000000-0005-0000-0000-00007F8E0000}"/>
    <cellStyle name="Normal 7 2" xfId="1091" xr:uid="{00000000-0005-0000-0000-0000808E0000}"/>
    <cellStyle name="Normal 7 2 2" xfId="35616" xr:uid="{00000000-0005-0000-0000-0000818E0000}"/>
    <cellStyle name="Normal 7 20" xfId="35617" xr:uid="{00000000-0005-0000-0000-0000828E0000}"/>
    <cellStyle name="Normal 7 21" xfId="35618" xr:uid="{00000000-0005-0000-0000-0000838E0000}"/>
    <cellStyle name="Normal 7 22" xfId="35619" xr:uid="{00000000-0005-0000-0000-0000848E0000}"/>
    <cellStyle name="Normal 7 23" xfId="35620" xr:uid="{00000000-0005-0000-0000-0000858E0000}"/>
    <cellStyle name="Normal 7 24" xfId="35621" xr:uid="{00000000-0005-0000-0000-0000868E0000}"/>
    <cellStyle name="Normal 7 25" xfId="35622" xr:uid="{00000000-0005-0000-0000-0000878E0000}"/>
    <cellStyle name="Normal 7 26" xfId="35623" xr:uid="{00000000-0005-0000-0000-0000888E0000}"/>
    <cellStyle name="Normal 7 27" xfId="35624" xr:uid="{00000000-0005-0000-0000-0000898E0000}"/>
    <cellStyle name="Normal 7 28" xfId="35625" xr:uid="{00000000-0005-0000-0000-00008A8E0000}"/>
    <cellStyle name="Normal 7 29" xfId="35626" xr:uid="{00000000-0005-0000-0000-00008B8E0000}"/>
    <cellStyle name="Normal 7 3" xfId="35627" xr:uid="{00000000-0005-0000-0000-00008C8E0000}"/>
    <cellStyle name="Normal 7 3 2" xfId="35628" xr:uid="{00000000-0005-0000-0000-00008D8E0000}"/>
    <cellStyle name="Normal 7 30" xfId="35629" xr:uid="{00000000-0005-0000-0000-00008E8E0000}"/>
    <cellStyle name="Normal 7 31" xfId="35630" xr:uid="{00000000-0005-0000-0000-00008F8E0000}"/>
    <cellStyle name="Normal 7 32" xfId="35631" xr:uid="{00000000-0005-0000-0000-0000908E0000}"/>
    <cellStyle name="Normal 7 33" xfId="35632" xr:uid="{00000000-0005-0000-0000-0000918E0000}"/>
    <cellStyle name="Normal 7 34" xfId="35633" xr:uid="{00000000-0005-0000-0000-0000928E0000}"/>
    <cellStyle name="Normal 7 35" xfId="35634" xr:uid="{00000000-0005-0000-0000-0000938E0000}"/>
    <cellStyle name="Normal 7 36" xfId="35635" xr:uid="{00000000-0005-0000-0000-0000948E0000}"/>
    <cellStyle name="Normal 7 37" xfId="35636" xr:uid="{00000000-0005-0000-0000-0000958E0000}"/>
    <cellStyle name="Normal 7 38" xfId="35637" xr:uid="{00000000-0005-0000-0000-0000968E0000}"/>
    <cellStyle name="Normal 7 39" xfId="35638" xr:uid="{00000000-0005-0000-0000-0000978E0000}"/>
    <cellStyle name="Normal 7 4" xfId="35639" xr:uid="{00000000-0005-0000-0000-0000988E0000}"/>
    <cellStyle name="Normal 7 40" xfId="35640" xr:uid="{00000000-0005-0000-0000-0000998E0000}"/>
    <cellStyle name="Normal 7 41" xfId="35641" xr:uid="{00000000-0005-0000-0000-00009A8E0000}"/>
    <cellStyle name="Normal 7 42" xfId="35642" xr:uid="{00000000-0005-0000-0000-00009B8E0000}"/>
    <cellStyle name="Normal 7 43" xfId="35643" xr:uid="{00000000-0005-0000-0000-00009C8E0000}"/>
    <cellStyle name="Normal 7 44" xfId="35644" xr:uid="{00000000-0005-0000-0000-00009D8E0000}"/>
    <cellStyle name="Normal 7 45" xfId="35645" xr:uid="{00000000-0005-0000-0000-00009E8E0000}"/>
    <cellStyle name="Normal 7 46" xfId="35646" xr:uid="{00000000-0005-0000-0000-00009F8E0000}"/>
    <cellStyle name="Normal 7 47" xfId="35647" xr:uid="{00000000-0005-0000-0000-0000A08E0000}"/>
    <cellStyle name="Normal 7 48" xfId="35648" xr:uid="{00000000-0005-0000-0000-0000A18E0000}"/>
    <cellStyle name="Normal 7 49" xfId="35649" xr:uid="{00000000-0005-0000-0000-0000A28E0000}"/>
    <cellStyle name="Normal 7 5" xfId="35650" xr:uid="{00000000-0005-0000-0000-0000A38E0000}"/>
    <cellStyle name="Normal 7 50" xfId="35651" xr:uid="{00000000-0005-0000-0000-0000A48E0000}"/>
    <cellStyle name="Normal 7 51" xfId="35652" xr:uid="{00000000-0005-0000-0000-0000A58E0000}"/>
    <cellStyle name="Normal 7 52" xfId="35653" xr:uid="{00000000-0005-0000-0000-0000A68E0000}"/>
    <cellStyle name="Normal 7 53" xfId="35654" xr:uid="{00000000-0005-0000-0000-0000A78E0000}"/>
    <cellStyle name="Normal 7 54" xfId="35655" xr:uid="{00000000-0005-0000-0000-0000A88E0000}"/>
    <cellStyle name="Normal 7 55" xfId="35656" xr:uid="{00000000-0005-0000-0000-0000A98E0000}"/>
    <cellStyle name="Normal 7 56" xfId="35657" xr:uid="{00000000-0005-0000-0000-0000AA8E0000}"/>
    <cellStyle name="Normal 7 57" xfId="35658" xr:uid="{00000000-0005-0000-0000-0000AB8E0000}"/>
    <cellStyle name="Normal 7 6" xfId="35659" xr:uid="{00000000-0005-0000-0000-0000AC8E0000}"/>
    <cellStyle name="Normal 7 7" xfId="35660" xr:uid="{00000000-0005-0000-0000-0000AD8E0000}"/>
    <cellStyle name="Normal 7 8" xfId="35661" xr:uid="{00000000-0005-0000-0000-0000AE8E0000}"/>
    <cellStyle name="Normal 7 9" xfId="35662" xr:uid="{00000000-0005-0000-0000-0000AF8E0000}"/>
    <cellStyle name="Normal 70" xfId="35663" xr:uid="{00000000-0005-0000-0000-0000B08E0000}"/>
    <cellStyle name="Normal 71" xfId="35664" xr:uid="{00000000-0005-0000-0000-0000B18E0000}"/>
    <cellStyle name="Normal 72" xfId="35665" xr:uid="{00000000-0005-0000-0000-0000B28E0000}"/>
    <cellStyle name="Normal 73" xfId="35666" xr:uid="{00000000-0005-0000-0000-0000B38E0000}"/>
    <cellStyle name="Normal 74" xfId="35667" xr:uid="{00000000-0005-0000-0000-0000B48E0000}"/>
    <cellStyle name="Normal 75" xfId="35668" xr:uid="{00000000-0005-0000-0000-0000B58E0000}"/>
    <cellStyle name="Normal 76" xfId="35669" xr:uid="{00000000-0005-0000-0000-0000B68E0000}"/>
    <cellStyle name="Normal 77" xfId="35670" xr:uid="{00000000-0005-0000-0000-0000B78E0000}"/>
    <cellStyle name="Normal 78" xfId="35671" xr:uid="{00000000-0005-0000-0000-0000B88E0000}"/>
    <cellStyle name="Normal 79" xfId="35672" xr:uid="{00000000-0005-0000-0000-0000B98E0000}"/>
    <cellStyle name="Normal 8" xfId="1092" xr:uid="{00000000-0005-0000-0000-0000BA8E0000}"/>
    <cellStyle name="Normal 8 10" xfId="35673" xr:uid="{00000000-0005-0000-0000-0000BB8E0000}"/>
    <cellStyle name="Normal 8 10 10" xfId="35674" xr:uid="{00000000-0005-0000-0000-0000BC8E0000}"/>
    <cellStyle name="Normal 8 10 11" xfId="35675" xr:uid="{00000000-0005-0000-0000-0000BD8E0000}"/>
    <cellStyle name="Normal 8 10 12" xfId="35676" xr:uid="{00000000-0005-0000-0000-0000BE8E0000}"/>
    <cellStyle name="Normal 8 10 13" xfId="35677" xr:uid="{00000000-0005-0000-0000-0000BF8E0000}"/>
    <cellStyle name="Normal 8 10 2" xfId="35678" xr:uid="{00000000-0005-0000-0000-0000C08E0000}"/>
    <cellStyle name="Normal 8 10 2 2" xfId="35679" xr:uid="{00000000-0005-0000-0000-0000C18E0000}"/>
    <cellStyle name="Normal 8 10 2 3" xfId="35680" xr:uid="{00000000-0005-0000-0000-0000C28E0000}"/>
    <cellStyle name="Normal 8 10 2 4" xfId="35681" xr:uid="{00000000-0005-0000-0000-0000C38E0000}"/>
    <cellStyle name="Normal 8 10 2 5" xfId="35682" xr:uid="{00000000-0005-0000-0000-0000C48E0000}"/>
    <cellStyle name="Normal 8 10 2 6" xfId="35683" xr:uid="{00000000-0005-0000-0000-0000C58E0000}"/>
    <cellStyle name="Normal 8 10 3" xfId="35684" xr:uid="{00000000-0005-0000-0000-0000C68E0000}"/>
    <cellStyle name="Normal 8 10 3 2" xfId="35685" xr:uid="{00000000-0005-0000-0000-0000C78E0000}"/>
    <cellStyle name="Normal 8 10 3 3" xfId="35686" xr:uid="{00000000-0005-0000-0000-0000C88E0000}"/>
    <cellStyle name="Normal 8 10 3 4" xfId="35687" xr:uid="{00000000-0005-0000-0000-0000C98E0000}"/>
    <cellStyle name="Normal 8 10 3 5" xfId="35688" xr:uid="{00000000-0005-0000-0000-0000CA8E0000}"/>
    <cellStyle name="Normal 8 10 3 6" xfId="35689" xr:uid="{00000000-0005-0000-0000-0000CB8E0000}"/>
    <cellStyle name="Normal 8 10 4" xfId="35690" xr:uid="{00000000-0005-0000-0000-0000CC8E0000}"/>
    <cellStyle name="Normal 8 10 4 2" xfId="35691" xr:uid="{00000000-0005-0000-0000-0000CD8E0000}"/>
    <cellStyle name="Normal 8 10 4 3" xfId="35692" xr:uid="{00000000-0005-0000-0000-0000CE8E0000}"/>
    <cellStyle name="Normal 8 10 4 4" xfId="35693" xr:uid="{00000000-0005-0000-0000-0000CF8E0000}"/>
    <cellStyle name="Normal 8 10 4 5" xfId="35694" xr:uid="{00000000-0005-0000-0000-0000D08E0000}"/>
    <cellStyle name="Normal 8 10 4 6" xfId="35695" xr:uid="{00000000-0005-0000-0000-0000D18E0000}"/>
    <cellStyle name="Normal 8 10 5" xfId="35696" xr:uid="{00000000-0005-0000-0000-0000D28E0000}"/>
    <cellStyle name="Normal 8 10 5 2" xfId="35697" xr:uid="{00000000-0005-0000-0000-0000D38E0000}"/>
    <cellStyle name="Normal 8 10 5 3" xfId="35698" xr:uid="{00000000-0005-0000-0000-0000D48E0000}"/>
    <cellStyle name="Normal 8 10 5 4" xfId="35699" xr:uid="{00000000-0005-0000-0000-0000D58E0000}"/>
    <cellStyle name="Normal 8 10 5 5" xfId="35700" xr:uid="{00000000-0005-0000-0000-0000D68E0000}"/>
    <cellStyle name="Normal 8 10 5 6" xfId="35701" xr:uid="{00000000-0005-0000-0000-0000D78E0000}"/>
    <cellStyle name="Normal 8 10 6" xfId="35702" xr:uid="{00000000-0005-0000-0000-0000D88E0000}"/>
    <cellStyle name="Normal 8 10 6 2" xfId="35703" xr:uid="{00000000-0005-0000-0000-0000D98E0000}"/>
    <cellStyle name="Normal 8 10 6 3" xfId="35704" xr:uid="{00000000-0005-0000-0000-0000DA8E0000}"/>
    <cellStyle name="Normal 8 10 6 4" xfId="35705" xr:uid="{00000000-0005-0000-0000-0000DB8E0000}"/>
    <cellStyle name="Normal 8 10 6 5" xfId="35706" xr:uid="{00000000-0005-0000-0000-0000DC8E0000}"/>
    <cellStyle name="Normal 8 10 6 6" xfId="35707" xr:uid="{00000000-0005-0000-0000-0000DD8E0000}"/>
    <cellStyle name="Normal 8 10 7" xfId="35708" xr:uid="{00000000-0005-0000-0000-0000DE8E0000}"/>
    <cellStyle name="Normal 8 10 7 2" xfId="35709" xr:uid="{00000000-0005-0000-0000-0000DF8E0000}"/>
    <cellStyle name="Normal 8 10 7 3" xfId="35710" xr:uid="{00000000-0005-0000-0000-0000E08E0000}"/>
    <cellStyle name="Normal 8 10 7 4" xfId="35711" xr:uid="{00000000-0005-0000-0000-0000E18E0000}"/>
    <cellStyle name="Normal 8 10 7 5" xfId="35712" xr:uid="{00000000-0005-0000-0000-0000E28E0000}"/>
    <cellStyle name="Normal 8 10 7 6" xfId="35713" xr:uid="{00000000-0005-0000-0000-0000E38E0000}"/>
    <cellStyle name="Normal 8 10 8" xfId="35714" xr:uid="{00000000-0005-0000-0000-0000E48E0000}"/>
    <cellStyle name="Normal 8 10 8 2" xfId="35715" xr:uid="{00000000-0005-0000-0000-0000E58E0000}"/>
    <cellStyle name="Normal 8 10 8 3" xfId="35716" xr:uid="{00000000-0005-0000-0000-0000E68E0000}"/>
    <cellStyle name="Normal 8 10 8 4" xfId="35717" xr:uid="{00000000-0005-0000-0000-0000E78E0000}"/>
    <cellStyle name="Normal 8 10 8 5" xfId="35718" xr:uid="{00000000-0005-0000-0000-0000E88E0000}"/>
    <cellStyle name="Normal 8 10 8 6" xfId="35719" xr:uid="{00000000-0005-0000-0000-0000E98E0000}"/>
    <cellStyle name="Normal 8 10 9" xfId="35720" xr:uid="{00000000-0005-0000-0000-0000EA8E0000}"/>
    <cellStyle name="Normal 8 11" xfId="35721" xr:uid="{00000000-0005-0000-0000-0000EB8E0000}"/>
    <cellStyle name="Normal 8 11 10" xfId="35722" xr:uid="{00000000-0005-0000-0000-0000EC8E0000}"/>
    <cellStyle name="Normal 8 11 11" xfId="35723" xr:uid="{00000000-0005-0000-0000-0000ED8E0000}"/>
    <cellStyle name="Normal 8 11 12" xfId="35724" xr:uid="{00000000-0005-0000-0000-0000EE8E0000}"/>
    <cellStyle name="Normal 8 11 13" xfId="35725" xr:uid="{00000000-0005-0000-0000-0000EF8E0000}"/>
    <cellStyle name="Normal 8 11 2" xfId="35726" xr:uid="{00000000-0005-0000-0000-0000F08E0000}"/>
    <cellStyle name="Normal 8 11 2 2" xfId="35727" xr:uid="{00000000-0005-0000-0000-0000F18E0000}"/>
    <cellStyle name="Normal 8 11 2 3" xfId="35728" xr:uid="{00000000-0005-0000-0000-0000F28E0000}"/>
    <cellStyle name="Normal 8 11 2 4" xfId="35729" xr:uid="{00000000-0005-0000-0000-0000F38E0000}"/>
    <cellStyle name="Normal 8 11 2 5" xfId="35730" xr:uid="{00000000-0005-0000-0000-0000F48E0000}"/>
    <cellStyle name="Normal 8 11 2 6" xfId="35731" xr:uid="{00000000-0005-0000-0000-0000F58E0000}"/>
    <cellStyle name="Normal 8 11 3" xfId="35732" xr:uid="{00000000-0005-0000-0000-0000F68E0000}"/>
    <cellStyle name="Normal 8 11 3 2" xfId="35733" xr:uid="{00000000-0005-0000-0000-0000F78E0000}"/>
    <cellStyle name="Normal 8 11 3 3" xfId="35734" xr:uid="{00000000-0005-0000-0000-0000F88E0000}"/>
    <cellStyle name="Normal 8 11 3 4" xfId="35735" xr:uid="{00000000-0005-0000-0000-0000F98E0000}"/>
    <cellStyle name="Normal 8 11 3 5" xfId="35736" xr:uid="{00000000-0005-0000-0000-0000FA8E0000}"/>
    <cellStyle name="Normal 8 11 3 6" xfId="35737" xr:uid="{00000000-0005-0000-0000-0000FB8E0000}"/>
    <cellStyle name="Normal 8 11 4" xfId="35738" xr:uid="{00000000-0005-0000-0000-0000FC8E0000}"/>
    <cellStyle name="Normal 8 11 4 2" xfId="35739" xr:uid="{00000000-0005-0000-0000-0000FD8E0000}"/>
    <cellStyle name="Normal 8 11 4 3" xfId="35740" xr:uid="{00000000-0005-0000-0000-0000FE8E0000}"/>
    <cellStyle name="Normal 8 11 4 4" xfId="35741" xr:uid="{00000000-0005-0000-0000-0000FF8E0000}"/>
    <cellStyle name="Normal 8 11 4 5" xfId="35742" xr:uid="{00000000-0005-0000-0000-0000008F0000}"/>
    <cellStyle name="Normal 8 11 4 6" xfId="35743" xr:uid="{00000000-0005-0000-0000-0000018F0000}"/>
    <cellStyle name="Normal 8 11 5" xfId="35744" xr:uid="{00000000-0005-0000-0000-0000028F0000}"/>
    <cellStyle name="Normal 8 11 5 2" xfId="35745" xr:uid="{00000000-0005-0000-0000-0000038F0000}"/>
    <cellStyle name="Normal 8 11 5 3" xfId="35746" xr:uid="{00000000-0005-0000-0000-0000048F0000}"/>
    <cellStyle name="Normal 8 11 5 4" xfId="35747" xr:uid="{00000000-0005-0000-0000-0000058F0000}"/>
    <cellStyle name="Normal 8 11 5 5" xfId="35748" xr:uid="{00000000-0005-0000-0000-0000068F0000}"/>
    <cellStyle name="Normal 8 11 5 6" xfId="35749" xr:uid="{00000000-0005-0000-0000-0000078F0000}"/>
    <cellStyle name="Normal 8 11 6" xfId="35750" xr:uid="{00000000-0005-0000-0000-0000088F0000}"/>
    <cellStyle name="Normal 8 11 6 2" xfId="35751" xr:uid="{00000000-0005-0000-0000-0000098F0000}"/>
    <cellStyle name="Normal 8 11 6 3" xfId="35752" xr:uid="{00000000-0005-0000-0000-00000A8F0000}"/>
    <cellStyle name="Normal 8 11 6 4" xfId="35753" xr:uid="{00000000-0005-0000-0000-00000B8F0000}"/>
    <cellStyle name="Normal 8 11 6 5" xfId="35754" xr:uid="{00000000-0005-0000-0000-00000C8F0000}"/>
    <cellStyle name="Normal 8 11 6 6" xfId="35755" xr:uid="{00000000-0005-0000-0000-00000D8F0000}"/>
    <cellStyle name="Normal 8 11 7" xfId="35756" xr:uid="{00000000-0005-0000-0000-00000E8F0000}"/>
    <cellStyle name="Normal 8 11 7 2" xfId="35757" xr:uid="{00000000-0005-0000-0000-00000F8F0000}"/>
    <cellStyle name="Normal 8 11 7 3" xfId="35758" xr:uid="{00000000-0005-0000-0000-0000108F0000}"/>
    <cellStyle name="Normal 8 11 7 4" xfId="35759" xr:uid="{00000000-0005-0000-0000-0000118F0000}"/>
    <cellStyle name="Normal 8 11 7 5" xfId="35760" xr:uid="{00000000-0005-0000-0000-0000128F0000}"/>
    <cellStyle name="Normal 8 11 7 6" xfId="35761" xr:uid="{00000000-0005-0000-0000-0000138F0000}"/>
    <cellStyle name="Normal 8 11 8" xfId="35762" xr:uid="{00000000-0005-0000-0000-0000148F0000}"/>
    <cellStyle name="Normal 8 11 8 2" xfId="35763" xr:uid="{00000000-0005-0000-0000-0000158F0000}"/>
    <cellStyle name="Normal 8 11 8 3" xfId="35764" xr:uid="{00000000-0005-0000-0000-0000168F0000}"/>
    <cellStyle name="Normal 8 11 8 4" xfId="35765" xr:uid="{00000000-0005-0000-0000-0000178F0000}"/>
    <cellStyle name="Normal 8 11 8 5" xfId="35766" xr:uid="{00000000-0005-0000-0000-0000188F0000}"/>
    <cellStyle name="Normal 8 11 8 6" xfId="35767" xr:uid="{00000000-0005-0000-0000-0000198F0000}"/>
    <cellStyle name="Normal 8 11 9" xfId="35768" xr:uid="{00000000-0005-0000-0000-00001A8F0000}"/>
    <cellStyle name="Normal 8 12" xfId="35769" xr:uid="{00000000-0005-0000-0000-00001B8F0000}"/>
    <cellStyle name="Normal 8 12 10" xfId="35770" xr:uid="{00000000-0005-0000-0000-00001C8F0000}"/>
    <cellStyle name="Normal 8 12 11" xfId="35771" xr:uid="{00000000-0005-0000-0000-00001D8F0000}"/>
    <cellStyle name="Normal 8 12 12" xfId="35772" xr:uid="{00000000-0005-0000-0000-00001E8F0000}"/>
    <cellStyle name="Normal 8 12 13" xfId="35773" xr:uid="{00000000-0005-0000-0000-00001F8F0000}"/>
    <cellStyle name="Normal 8 12 2" xfId="35774" xr:uid="{00000000-0005-0000-0000-0000208F0000}"/>
    <cellStyle name="Normal 8 12 2 2" xfId="35775" xr:uid="{00000000-0005-0000-0000-0000218F0000}"/>
    <cellStyle name="Normal 8 12 2 3" xfId="35776" xr:uid="{00000000-0005-0000-0000-0000228F0000}"/>
    <cellStyle name="Normal 8 12 2 4" xfId="35777" xr:uid="{00000000-0005-0000-0000-0000238F0000}"/>
    <cellStyle name="Normal 8 12 2 5" xfId="35778" xr:uid="{00000000-0005-0000-0000-0000248F0000}"/>
    <cellStyle name="Normal 8 12 2 6" xfId="35779" xr:uid="{00000000-0005-0000-0000-0000258F0000}"/>
    <cellStyle name="Normal 8 12 3" xfId="35780" xr:uid="{00000000-0005-0000-0000-0000268F0000}"/>
    <cellStyle name="Normal 8 12 3 2" xfId="35781" xr:uid="{00000000-0005-0000-0000-0000278F0000}"/>
    <cellStyle name="Normal 8 12 3 3" xfId="35782" xr:uid="{00000000-0005-0000-0000-0000288F0000}"/>
    <cellStyle name="Normal 8 12 3 4" xfId="35783" xr:uid="{00000000-0005-0000-0000-0000298F0000}"/>
    <cellStyle name="Normal 8 12 3 5" xfId="35784" xr:uid="{00000000-0005-0000-0000-00002A8F0000}"/>
    <cellStyle name="Normal 8 12 3 6" xfId="35785" xr:uid="{00000000-0005-0000-0000-00002B8F0000}"/>
    <cellStyle name="Normal 8 12 4" xfId="35786" xr:uid="{00000000-0005-0000-0000-00002C8F0000}"/>
    <cellStyle name="Normal 8 12 4 2" xfId="35787" xr:uid="{00000000-0005-0000-0000-00002D8F0000}"/>
    <cellStyle name="Normal 8 12 4 3" xfId="35788" xr:uid="{00000000-0005-0000-0000-00002E8F0000}"/>
    <cellStyle name="Normal 8 12 4 4" xfId="35789" xr:uid="{00000000-0005-0000-0000-00002F8F0000}"/>
    <cellStyle name="Normal 8 12 4 5" xfId="35790" xr:uid="{00000000-0005-0000-0000-0000308F0000}"/>
    <cellStyle name="Normal 8 12 4 6" xfId="35791" xr:uid="{00000000-0005-0000-0000-0000318F0000}"/>
    <cellStyle name="Normal 8 12 5" xfId="35792" xr:uid="{00000000-0005-0000-0000-0000328F0000}"/>
    <cellStyle name="Normal 8 12 5 2" xfId="35793" xr:uid="{00000000-0005-0000-0000-0000338F0000}"/>
    <cellStyle name="Normal 8 12 5 3" xfId="35794" xr:uid="{00000000-0005-0000-0000-0000348F0000}"/>
    <cellStyle name="Normal 8 12 5 4" xfId="35795" xr:uid="{00000000-0005-0000-0000-0000358F0000}"/>
    <cellStyle name="Normal 8 12 5 5" xfId="35796" xr:uid="{00000000-0005-0000-0000-0000368F0000}"/>
    <cellStyle name="Normal 8 12 5 6" xfId="35797" xr:uid="{00000000-0005-0000-0000-0000378F0000}"/>
    <cellStyle name="Normal 8 12 6" xfId="35798" xr:uid="{00000000-0005-0000-0000-0000388F0000}"/>
    <cellStyle name="Normal 8 12 6 2" xfId="35799" xr:uid="{00000000-0005-0000-0000-0000398F0000}"/>
    <cellStyle name="Normal 8 12 6 3" xfId="35800" xr:uid="{00000000-0005-0000-0000-00003A8F0000}"/>
    <cellStyle name="Normal 8 12 6 4" xfId="35801" xr:uid="{00000000-0005-0000-0000-00003B8F0000}"/>
    <cellStyle name="Normal 8 12 6 5" xfId="35802" xr:uid="{00000000-0005-0000-0000-00003C8F0000}"/>
    <cellStyle name="Normal 8 12 6 6" xfId="35803" xr:uid="{00000000-0005-0000-0000-00003D8F0000}"/>
    <cellStyle name="Normal 8 12 7" xfId="35804" xr:uid="{00000000-0005-0000-0000-00003E8F0000}"/>
    <cellStyle name="Normal 8 12 7 2" xfId="35805" xr:uid="{00000000-0005-0000-0000-00003F8F0000}"/>
    <cellStyle name="Normal 8 12 7 3" xfId="35806" xr:uid="{00000000-0005-0000-0000-0000408F0000}"/>
    <cellStyle name="Normal 8 12 7 4" xfId="35807" xr:uid="{00000000-0005-0000-0000-0000418F0000}"/>
    <cellStyle name="Normal 8 12 7 5" xfId="35808" xr:uid="{00000000-0005-0000-0000-0000428F0000}"/>
    <cellStyle name="Normal 8 12 7 6" xfId="35809" xr:uid="{00000000-0005-0000-0000-0000438F0000}"/>
    <cellStyle name="Normal 8 12 8" xfId="35810" xr:uid="{00000000-0005-0000-0000-0000448F0000}"/>
    <cellStyle name="Normal 8 12 8 2" xfId="35811" xr:uid="{00000000-0005-0000-0000-0000458F0000}"/>
    <cellStyle name="Normal 8 12 8 3" xfId="35812" xr:uid="{00000000-0005-0000-0000-0000468F0000}"/>
    <cellStyle name="Normal 8 12 8 4" xfId="35813" xr:uid="{00000000-0005-0000-0000-0000478F0000}"/>
    <cellStyle name="Normal 8 12 8 5" xfId="35814" xr:uid="{00000000-0005-0000-0000-0000488F0000}"/>
    <cellStyle name="Normal 8 12 8 6" xfId="35815" xr:uid="{00000000-0005-0000-0000-0000498F0000}"/>
    <cellStyle name="Normal 8 12 9" xfId="35816" xr:uid="{00000000-0005-0000-0000-00004A8F0000}"/>
    <cellStyle name="Normal 8 13" xfId="35817" xr:uid="{00000000-0005-0000-0000-00004B8F0000}"/>
    <cellStyle name="Normal 8 13 10" xfId="35818" xr:uid="{00000000-0005-0000-0000-00004C8F0000}"/>
    <cellStyle name="Normal 8 13 11" xfId="35819" xr:uid="{00000000-0005-0000-0000-00004D8F0000}"/>
    <cellStyle name="Normal 8 13 12" xfId="35820" xr:uid="{00000000-0005-0000-0000-00004E8F0000}"/>
    <cellStyle name="Normal 8 13 13" xfId="35821" xr:uid="{00000000-0005-0000-0000-00004F8F0000}"/>
    <cellStyle name="Normal 8 13 2" xfId="35822" xr:uid="{00000000-0005-0000-0000-0000508F0000}"/>
    <cellStyle name="Normal 8 13 2 2" xfId="35823" xr:uid="{00000000-0005-0000-0000-0000518F0000}"/>
    <cellStyle name="Normal 8 13 2 3" xfId="35824" xr:uid="{00000000-0005-0000-0000-0000528F0000}"/>
    <cellStyle name="Normal 8 13 2 4" xfId="35825" xr:uid="{00000000-0005-0000-0000-0000538F0000}"/>
    <cellStyle name="Normal 8 13 2 5" xfId="35826" xr:uid="{00000000-0005-0000-0000-0000548F0000}"/>
    <cellStyle name="Normal 8 13 2 6" xfId="35827" xr:uid="{00000000-0005-0000-0000-0000558F0000}"/>
    <cellStyle name="Normal 8 13 3" xfId="35828" xr:uid="{00000000-0005-0000-0000-0000568F0000}"/>
    <cellStyle name="Normal 8 13 3 2" xfId="35829" xr:uid="{00000000-0005-0000-0000-0000578F0000}"/>
    <cellStyle name="Normal 8 13 3 3" xfId="35830" xr:uid="{00000000-0005-0000-0000-0000588F0000}"/>
    <cellStyle name="Normal 8 13 3 4" xfId="35831" xr:uid="{00000000-0005-0000-0000-0000598F0000}"/>
    <cellStyle name="Normal 8 13 3 5" xfId="35832" xr:uid="{00000000-0005-0000-0000-00005A8F0000}"/>
    <cellStyle name="Normal 8 13 3 6" xfId="35833" xr:uid="{00000000-0005-0000-0000-00005B8F0000}"/>
    <cellStyle name="Normal 8 13 4" xfId="35834" xr:uid="{00000000-0005-0000-0000-00005C8F0000}"/>
    <cellStyle name="Normal 8 13 4 2" xfId="35835" xr:uid="{00000000-0005-0000-0000-00005D8F0000}"/>
    <cellStyle name="Normal 8 13 4 3" xfId="35836" xr:uid="{00000000-0005-0000-0000-00005E8F0000}"/>
    <cellStyle name="Normal 8 13 4 4" xfId="35837" xr:uid="{00000000-0005-0000-0000-00005F8F0000}"/>
    <cellStyle name="Normal 8 13 4 5" xfId="35838" xr:uid="{00000000-0005-0000-0000-0000608F0000}"/>
    <cellStyle name="Normal 8 13 4 6" xfId="35839" xr:uid="{00000000-0005-0000-0000-0000618F0000}"/>
    <cellStyle name="Normal 8 13 5" xfId="35840" xr:uid="{00000000-0005-0000-0000-0000628F0000}"/>
    <cellStyle name="Normal 8 13 5 2" xfId="35841" xr:uid="{00000000-0005-0000-0000-0000638F0000}"/>
    <cellStyle name="Normal 8 13 5 3" xfId="35842" xr:uid="{00000000-0005-0000-0000-0000648F0000}"/>
    <cellStyle name="Normal 8 13 5 4" xfId="35843" xr:uid="{00000000-0005-0000-0000-0000658F0000}"/>
    <cellStyle name="Normal 8 13 5 5" xfId="35844" xr:uid="{00000000-0005-0000-0000-0000668F0000}"/>
    <cellStyle name="Normal 8 13 5 6" xfId="35845" xr:uid="{00000000-0005-0000-0000-0000678F0000}"/>
    <cellStyle name="Normal 8 13 6" xfId="35846" xr:uid="{00000000-0005-0000-0000-0000688F0000}"/>
    <cellStyle name="Normal 8 13 6 2" xfId="35847" xr:uid="{00000000-0005-0000-0000-0000698F0000}"/>
    <cellStyle name="Normal 8 13 6 3" xfId="35848" xr:uid="{00000000-0005-0000-0000-00006A8F0000}"/>
    <cellStyle name="Normal 8 13 6 4" xfId="35849" xr:uid="{00000000-0005-0000-0000-00006B8F0000}"/>
    <cellStyle name="Normal 8 13 6 5" xfId="35850" xr:uid="{00000000-0005-0000-0000-00006C8F0000}"/>
    <cellStyle name="Normal 8 13 6 6" xfId="35851" xr:uid="{00000000-0005-0000-0000-00006D8F0000}"/>
    <cellStyle name="Normal 8 13 7" xfId="35852" xr:uid="{00000000-0005-0000-0000-00006E8F0000}"/>
    <cellStyle name="Normal 8 13 7 2" xfId="35853" xr:uid="{00000000-0005-0000-0000-00006F8F0000}"/>
    <cellStyle name="Normal 8 13 7 3" xfId="35854" xr:uid="{00000000-0005-0000-0000-0000708F0000}"/>
    <cellStyle name="Normal 8 13 7 4" xfId="35855" xr:uid="{00000000-0005-0000-0000-0000718F0000}"/>
    <cellStyle name="Normal 8 13 7 5" xfId="35856" xr:uid="{00000000-0005-0000-0000-0000728F0000}"/>
    <cellStyle name="Normal 8 13 7 6" xfId="35857" xr:uid="{00000000-0005-0000-0000-0000738F0000}"/>
    <cellStyle name="Normal 8 13 8" xfId="35858" xr:uid="{00000000-0005-0000-0000-0000748F0000}"/>
    <cellStyle name="Normal 8 13 8 2" xfId="35859" xr:uid="{00000000-0005-0000-0000-0000758F0000}"/>
    <cellStyle name="Normal 8 13 8 3" xfId="35860" xr:uid="{00000000-0005-0000-0000-0000768F0000}"/>
    <cellStyle name="Normal 8 13 8 4" xfId="35861" xr:uid="{00000000-0005-0000-0000-0000778F0000}"/>
    <cellStyle name="Normal 8 13 8 5" xfId="35862" xr:uid="{00000000-0005-0000-0000-0000788F0000}"/>
    <cellStyle name="Normal 8 13 8 6" xfId="35863" xr:uid="{00000000-0005-0000-0000-0000798F0000}"/>
    <cellStyle name="Normal 8 13 9" xfId="35864" xr:uid="{00000000-0005-0000-0000-00007A8F0000}"/>
    <cellStyle name="Normal 8 14" xfId="35865" xr:uid="{00000000-0005-0000-0000-00007B8F0000}"/>
    <cellStyle name="Normal 8 14 10" xfId="35866" xr:uid="{00000000-0005-0000-0000-00007C8F0000}"/>
    <cellStyle name="Normal 8 14 11" xfId="35867" xr:uid="{00000000-0005-0000-0000-00007D8F0000}"/>
    <cellStyle name="Normal 8 14 12" xfId="35868" xr:uid="{00000000-0005-0000-0000-00007E8F0000}"/>
    <cellStyle name="Normal 8 14 13" xfId="35869" xr:uid="{00000000-0005-0000-0000-00007F8F0000}"/>
    <cellStyle name="Normal 8 14 2" xfId="35870" xr:uid="{00000000-0005-0000-0000-0000808F0000}"/>
    <cellStyle name="Normal 8 14 2 2" xfId="35871" xr:uid="{00000000-0005-0000-0000-0000818F0000}"/>
    <cellStyle name="Normal 8 14 2 3" xfId="35872" xr:uid="{00000000-0005-0000-0000-0000828F0000}"/>
    <cellStyle name="Normal 8 14 2 4" xfId="35873" xr:uid="{00000000-0005-0000-0000-0000838F0000}"/>
    <cellStyle name="Normal 8 14 2 5" xfId="35874" xr:uid="{00000000-0005-0000-0000-0000848F0000}"/>
    <cellStyle name="Normal 8 14 2 6" xfId="35875" xr:uid="{00000000-0005-0000-0000-0000858F0000}"/>
    <cellStyle name="Normal 8 14 3" xfId="35876" xr:uid="{00000000-0005-0000-0000-0000868F0000}"/>
    <cellStyle name="Normal 8 14 3 2" xfId="35877" xr:uid="{00000000-0005-0000-0000-0000878F0000}"/>
    <cellStyle name="Normal 8 14 3 3" xfId="35878" xr:uid="{00000000-0005-0000-0000-0000888F0000}"/>
    <cellStyle name="Normal 8 14 3 4" xfId="35879" xr:uid="{00000000-0005-0000-0000-0000898F0000}"/>
    <cellStyle name="Normal 8 14 3 5" xfId="35880" xr:uid="{00000000-0005-0000-0000-00008A8F0000}"/>
    <cellStyle name="Normal 8 14 3 6" xfId="35881" xr:uid="{00000000-0005-0000-0000-00008B8F0000}"/>
    <cellStyle name="Normal 8 14 4" xfId="35882" xr:uid="{00000000-0005-0000-0000-00008C8F0000}"/>
    <cellStyle name="Normal 8 14 4 2" xfId="35883" xr:uid="{00000000-0005-0000-0000-00008D8F0000}"/>
    <cellStyle name="Normal 8 14 4 3" xfId="35884" xr:uid="{00000000-0005-0000-0000-00008E8F0000}"/>
    <cellStyle name="Normal 8 14 4 4" xfId="35885" xr:uid="{00000000-0005-0000-0000-00008F8F0000}"/>
    <cellStyle name="Normal 8 14 4 5" xfId="35886" xr:uid="{00000000-0005-0000-0000-0000908F0000}"/>
    <cellStyle name="Normal 8 14 4 6" xfId="35887" xr:uid="{00000000-0005-0000-0000-0000918F0000}"/>
    <cellStyle name="Normal 8 14 5" xfId="35888" xr:uid="{00000000-0005-0000-0000-0000928F0000}"/>
    <cellStyle name="Normal 8 14 5 2" xfId="35889" xr:uid="{00000000-0005-0000-0000-0000938F0000}"/>
    <cellStyle name="Normal 8 14 5 3" xfId="35890" xr:uid="{00000000-0005-0000-0000-0000948F0000}"/>
    <cellStyle name="Normal 8 14 5 4" xfId="35891" xr:uid="{00000000-0005-0000-0000-0000958F0000}"/>
    <cellStyle name="Normal 8 14 5 5" xfId="35892" xr:uid="{00000000-0005-0000-0000-0000968F0000}"/>
    <cellStyle name="Normal 8 14 5 6" xfId="35893" xr:uid="{00000000-0005-0000-0000-0000978F0000}"/>
    <cellStyle name="Normal 8 14 6" xfId="35894" xr:uid="{00000000-0005-0000-0000-0000988F0000}"/>
    <cellStyle name="Normal 8 14 6 2" xfId="35895" xr:uid="{00000000-0005-0000-0000-0000998F0000}"/>
    <cellStyle name="Normal 8 14 6 3" xfId="35896" xr:uid="{00000000-0005-0000-0000-00009A8F0000}"/>
    <cellStyle name="Normal 8 14 6 4" xfId="35897" xr:uid="{00000000-0005-0000-0000-00009B8F0000}"/>
    <cellStyle name="Normal 8 14 6 5" xfId="35898" xr:uid="{00000000-0005-0000-0000-00009C8F0000}"/>
    <cellStyle name="Normal 8 14 6 6" xfId="35899" xr:uid="{00000000-0005-0000-0000-00009D8F0000}"/>
    <cellStyle name="Normal 8 14 7" xfId="35900" xr:uid="{00000000-0005-0000-0000-00009E8F0000}"/>
    <cellStyle name="Normal 8 14 7 2" xfId="35901" xr:uid="{00000000-0005-0000-0000-00009F8F0000}"/>
    <cellStyle name="Normal 8 14 7 3" xfId="35902" xr:uid="{00000000-0005-0000-0000-0000A08F0000}"/>
    <cellStyle name="Normal 8 14 7 4" xfId="35903" xr:uid="{00000000-0005-0000-0000-0000A18F0000}"/>
    <cellStyle name="Normal 8 14 7 5" xfId="35904" xr:uid="{00000000-0005-0000-0000-0000A28F0000}"/>
    <cellStyle name="Normal 8 14 7 6" xfId="35905" xr:uid="{00000000-0005-0000-0000-0000A38F0000}"/>
    <cellStyle name="Normal 8 14 8" xfId="35906" xr:uid="{00000000-0005-0000-0000-0000A48F0000}"/>
    <cellStyle name="Normal 8 14 8 2" xfId="35907" xr:uid="{00000000-0005-0000-0000-0000A58F0000}"/>
    <cellStyle name="Normal 8 14 8 3" xfId="35908" xr:uid="{00000000-0005-0000-0000-0000A68F0000}"/>
    <cellStyle name="Normal 8 14 8 4" xfId="35909" xr:uid="{00000000-0005-0000-0000-0000A78F0000}"/>
    <cellStyle name="Normal 8 14 8 5" xfId="35910" xr:uid="{00000000-0005-0000-0000-0000A88F0000}"/>
    <cellStyle name="Normal 8 14 8 6" xfId="35911" xr:uid="{00000000-0005-0000-0000-0000A98F0000}"/>
    <cellStyle name="Normal 8 14 9" xfId="35912" xr:uid="{00000000-0005-0000-0000-0000AA8F0000}"/>
    <cellStyle name="Normal 8 15" xfId="35913" xr:uid="{00000000-0005-0000-0000-0000AB8F0000}"/>
    <cellStyle name="Normal 8 15 10" xfId="35914" xr:uid="{00000000-0005-0000-0000-0000AC8F0000}"/>
    <cellStyle name="Normal 8 15 11" xfId="35915" xr:uid="{00000000-0005-0000-0000-0000AD8F0000}"/>
    <cellStyle name="Normal 8 15 12" xfId="35916" xr:uid="{00000000-0005-0000-0000-0000AE8F0000}"/>
    <cellStyle name="Normal 8 15 13" xfId="35917" xr:uid="{00000000-0005-0000-0000-0000AF8F0000}"/>
    <cellStyle name="Normal 8 15 2" xfId="35918" xr:uid="{00000000-0005-0000-0000-0000B08F0000}"/>
    <cellStyle name="Normal 8 15 2 2" xfId="35919" xr:uid="{00000000-0005-0000-0000-0000B18F0000}"/>
    <cellStyle name="Normal 8 15 2 3" xfId="35920" xr:uid="{00000000-0005-0000-0000-0000B28F0000}"/>
    <cellStyle name="Normal 8 15 2 4" xfId="35921" xr:uid="{00000000-0005-0000-0000-0000B38F0000}"/>
    <cellStyle name="Normal 8 15 2 5" xfId="35922" xr:uid="{00000000-0005-0000-0000-0000B48F0000}"/>
    <cellStyle name="Normal 8 15 2 6" xfId="35923" xr:uid="{00000000-0005-0000-0000-0000B58F0000}"/>
    <cellStyle name="Normal 8 15 3" xfId="35924" xr:uid="{00000000-0005-0000-0000-0000B68F0000}"/>
    <cellStyle name="Normal 8 15 3 2" xfId="35925" xr:uid="{00000000-0005-0000-0000-0000B78F0000}"/>
    <cellStyle name="Normal 8 15 3 3" xfId="35926" xr:uid="{00000000-0005-0000-0000-0000B88F0000}"/>
    <cellStyle name="Normal 8 15 3 4" xfId="35927" xr:uid="{00000000-0005-0000-0000-0000B98F0000}"/>
    <cellStyle name="Normal 8 15 3 5" xfId="35928" xr:uid="{00000000-0005-0000-0000-0000BA8F0000}"/>
    <cellStyle name="Normal 8 15 3 6" xfId="35929" xr:uid="{00000000-0005-0000-0000-0000BB8F0000}"/>
    <cellStyle name="Normal 8 15 4" xfId="35930" xr:uid="{00000000-0005-0000-0000-0000BC8F0000}"/>
    <cellStyle name="Normal 8 15 4 2" xfId="35931" xr:uid="{00000000-0005-0000-0000-0000BD8F0000}"/>
    <cellStyle name="Normal 8 15 4 3" xfId="35932" xr:uid="{00000000-0005-0000-0000-0000BE8F0000}"/>
    <cellStyle name="Normal 8 15 4 4" xfId="35933" xr:uid="{00000000-0005-0000-0000-0000BF8F0000}"/>
    <cellStyle name="Normal 8 15 4 5" xfId="35934" xr:uid="{00000000-0005-0000-0000-0000C08F0000}"/>
    <cellStyle name="Normal 8 15 4 6" xfId="35935" xr:uid="{00000000-0005-0000-0000-0000C18F0000}"/>
    <cellStyle name="Normal 8 15 5" xfId="35936" xr:uid="{00000000-0005-0000-0000-0000C28F0000}"/>
    <cellStyle name="Normal 8 15 5 2" xfId="35937" xr:uid="{00000000-0005-0000-0000-0000C38F0000}"/>
    <cellStyle name="Normal 8 15 5 3" xfId="35938" xr:uid="{00000000-0005-0000-0000-0000C48F0000}"/>
    <cellStyle name="Normal 8 15 5 4" xfId="35939" xr:uid="{00000000-0005-0000-0000-0000C58F0000}"/>
    <cellStyle name="Normal 8 15 5 5" xfId="35940" xr:uid="{00000000-0005-0000-0000-0000C68F0000}"/>
    <cellStyle name="Normal 8 15 5 6" xfId="35941" xr:uid="{00000000-0005-0000-0000-0000C78F0000}"/>
    <cellStyle name="Normal 8 15 6" xfId="35942" xr:uid="{00000000-0005-0000-0000-0000C88F0000}"/>
    <cellStyle name="Normal 8 15 6 2" xfId="35943" xr:uid="{00000000-0005-0000-0000-0000C98F0000}"/>
    <cellStyle name="Normal 8 15 6 3" xfId="35944" xr:uid="{00000000-0005-0000-0000-0000CA8F0000}"/>
    <cellStyle name="Normal 8 15 6 4" xfId="35945" xr:uid="{00000000-0005-0000-0000-0000CB8F0000}"/>
    <cellStyle name="Normal 8 15 6 5" xfId="35946" xr:uid="{00000000-0005-0000-0000-0000CC8F0000}"/>
    <cellStyle name="Normal 8 15 6 6" xfId="35947" xr:uid="{00000000-0005-0000-0000-0000CD8F0000}"/>
    <cellStyle name="Normal 8 15 7" xfId="35948" xr:uid="{00000000-0005-0000-0000-0000CE8F0000}"/>
    <cellStyle name="Normal 8 15 7 2" xfId="35949" xr:uid="{00000000-0005-0000-0000-0000CF8F0000}"/>
    <cellStyle name="Normal 8 15 7 3" xfId="35950" xr:uid="{00000000-0005-0000-0000-0000D08F0000}"/>
    <cellStyle name="Normal 8 15 7 4" xfId="35951" xr:uid="{00000000-0005-0000-0000-0000D18F0000}"/>
    <cellStyle name="Normal 8 15 7 5" xfId="35952" xr:uid="{00000000-0005-0000-0000-0000D28F0000}"/>
    <cellStyle name="Normal 8 15 7 6" xfId="35953" xr:uid="{00000000-0005-0000-0000-0000D38F0000}"/>
    <cellStyle name="Normal 8 15 8" xfId="35954" xr:uid="{00000000-0005-0000-0000-0000D48F0000}"/>
    <cellStyle name="Normal 8 15 8 2" xfId="35955" xr:uid="{00000000-0005-0000-0000-0000D58F0000}"/>
    <cellStyle name="Normal 8 15 8 3" xfId="35956" xr:uid="{00000000-0005-0000-0000-0000D68F0000}"/>
    <cellStyle name="Normal 8 15 8 4" xfId="35957" xr:uid="{00000000-0005-0000-0000-0000D78F0000}"/>
    <cellStyle name="Normal 8 15 8 5" xfId="35958" xr:uid="{00000000-0005-0000-0000-0000D88F0000}"/>
    <cellStyle name="Normal 8 15 8 6" xfId="35959" xr:uid="{00000000-0005-0000-0000-0000D98F0000}"/>
    <cellStyle name="Normal 8 15 9" xfId="35960" xr:uid="{00000000-0005-0000-0000-0000DA8F0000}"/>
    <cellStyle name="Normal 8 16" xfId="35961" xr:uid="{00000000-0005-0000-0000-0000DB8F0000}"/>
    <cellStyle name="Normal 8 16 10" xfId="35962" xr:uid="{00000000-0005-0000-0000-0000DC8F0000}"/>
    <cellStyle name="Normal 8 16 11" xfId="35963" xr:uid="{00000000-0005-0000-0000-0000DD8F0000}"/>
    <cellStyle name="Normal 8 16 12" xfId="35964" xr:uid="{00000000-0005-0000-0000-0000DE8F0000}"/>
    <cellStyle name="Normal 8 16 13" xfId="35965" xr:uid="{00000000-0005-0000-0000-0000DF8F0000}"/>
    <cellStyle name="Normal 8 16 2" xfId="35966" xr:uid="{00000000-0005-0000-0000-0000E08F0000}"/>
    <cellStyle name="Normal 8 16 2 2" xfId="35967" xr:uid="{00000000-0005-0000-0000-0000E18F0000}"/>
    <cellStyle name="Normal 8 16 2 3" xfId="35968" xr:uid="{00000000-0005-0000-0000-0000E28F0000}"/>
    <cellStyle name="Normal 8 16 2 4" xfId="35969" xr:uid="{00000000-0005-0000-0000-0000E38F0000}"/>
    <cellStyle name="Normal 8 16 2 5" xfId="35970" xr:uid="{00000000-0005-0000-0000-0000E48F0000}"/>
    <cellStyle name="Normal 8 16 2 6" xfId="35971" xr:uid="{00000000-0005-0000-0000-0000E58F0000}"/>
    <cellStyle name="Normal 8 16 3" xfId="35972" xr:uid="{00000000-0005-0000-0000-0000E68F0000}"/>
    <cellStyle name="Normal 8 16 3 2" xfId="35973" xr:uid="{00000000-0005-0000-0000-0000E78F0000}"/>
    <cellStyle name="Normal 8 16 3 3" xfId="35974" xr:uid="{00000000-0005-0000-0000-0000E88F0000}"/>
    <cellStyle name="Normal 8 16 3 4" xfId="35975" xr:uid="{00000000-0005-0000-0000-0000E98F0000}"/>
    <cellStyle name="Normal 8 16 3 5" xfId="35976" xr:uid="{00000000-0005-0000-0000-0000EA8F0000}"/>
    <cellStyle name="Normal 8 16 3 6" xfId="35977" xr:uid="{00000000-0005-0000-0000-0000EB8F0000}"/>
    <cellStyle name="Normal 8 16 4" xfId="35978" xr:uid="{00000000-0005-0000-0000-0000EC8F0000}"/>
    <cellStyle name="Normal 8 16 4 2" xfId="35979" xr:uid="{00000000-0005-0000-0000-0000ED8F0000}"/>
    <cellStyle name="Normal 8 16 4 3" xfId="35980" xr:uid="{00000000-0005-0000-0000-0000EE8F0000}"/>
    <cellStyle name="Normal 8 16 4 4" xfId="35981" xr:uid="{00000000-0005-0000-0000-0000EF8F0000}"/>
    <cellStyle name="Normal 8 16 4 5" xfId="35982" xr:uid="{00000000-0005-0000-0000-0000F08F0000}"/>
    <cellStyle name="Normal 8 16 4 6" xfId="35983" xr:uid="{00000000-0005-0000-0000-0000F18F0000}"/>
    <cellStyle name="Normal 8 16 5" xfId="35984" xr:uid="{00000000-0005-0000-0000-0000F28F0000}"/>
    <cellStyle name="Normal 8 16 5 2" xfId="35985" xr:uid="{00000000-0005-0000-0000-0000F38F0000}"/>
    <cellStyle name="Normal 8 16 5 3" xfId="35986" xr:uid="{00000000-0005-0000-0000-0000F48F0000}"/>
    <cellStyle name="Normal 8 16 5 4" xfId="35987" xr:uid="{00000000-0005-0000-0000-0000F58F0000}"/>
    <cellStyle name="Normal 8 16 5 5" xfId="35988" xr:uid="{00000000-0005-0000-0000-0000F68F0000}"/>
    <cellStyle name="Normal 8 16 5 6" xfId="35989" xr:uid="{00000000-0005-0000-0000-0000F78F0000}"/>
    <cellStyle name="Normal 8 16 6" xfId="35990" xr:uid="{00000000-0005-0000-0000-0000F88F0000}"/>
    <cellStyle name="Normal 8 16 6 2" xfId="35991" xr:uid="{00000000-0005-0000-0000-0000F98F0000}"/>
    <cellStyle name="Normal 8 16 6 3" xfId="35992" xr:uid="{00000000-0005-0000-0000-0000FA8F0000}"/>
    <cellStyle name="Normal 8 16 6 4" xfId="35993" xr:uid="{00000000-0005-0000-0000-0000FB8F0000}"/>
    <cellStyle name="Normal 8 16 6 5" xfId="35994" xr:uid="{00000000-0005-0000-0000-0000FC8F0000}"/>
    <cellStyle name="Normal 8 16 6 6" xfId="35995" xr:uid="{00000000-0005-0000-0000-0000FD8F0000}"/>
    <cellStyle name="Normal 8 16 7" xfId="35996" xr:uid="{00000000-0005-0000-0000-0000FE8F0000}"/>
    <cellStyle name="Normal 8 16 7 2" xfId="35997" xr:uid="{00000000-0005-0000-0000-0000FF8F0000}"/>
    <cellStyle name="Normal 8 16 7 3" xfId="35998" xr:uid="{00000000-0005-0000-0000-000000900000}"/>
    <cellStyle name="Normal 8 16 7 4" xfId="35999" xr:uid="{00000000-0005-0000-0000-000001900000}"/>
    <cellStyle name="Normal 8 16 7 5" xfId="36000" xr:uid="{00000000-0005-0000-0000-000002900000}"/>
    <cellStyle name="Normal 8 16 7 6" xfId="36001" xr:uid="{00000000-0005-0000-0000-000003900000}"/>
    <cellStyle name="Normal 8 16 8" xfId="36002" xr:uid="{00000000-0005-0000-0000-000004900000}"/>
    <cellStyle name="Normal 8 16 8 2" xfId="36003" xr:uid="{00000000-0005-0000-0000-000005900000}"/>
    <cellStyle name="Normal 8 16 8 3" xfId="36004" xr:uid="{00000000-0005-0000-0000-000006900000}"/>
    <cellStyle name="Normal 8 16 8 4" xfId="36005" xr:uid="{00000000-0005-0000-0000-000007900000}"/>
    <cellStyle name="Normal 8 16 8 5" xfId="36006" xr:uid="{00000000-0005-0000-0000-000008900000}"/>
    <cellStyle name="Normal 8 16 8 6" xfId="36007" xr:uid="{00000000-0005-0000-0000-000009900000}"/>
    <cellStyle name="Normal 8 16 9" xfId="36008" xr:uid="{00000000-0005-0000-0000-00000A900000}"/>
    <cellStyle name="Normal 8 17" xfId="36009" xr:uid="{00000000-0005-0000-0000-00000B900000}"/>
    <cellStyle name="Normal 8 17 10" xfId="36010" xr:uid="{00000000-0005-0000-0000-00000C900000}"/>
    <cellStyle name="Normal 8 17 11" xfId="36011" xr:uid="{00000000-0005-0000-0000-00000D900000}"/>
    <cellStyle name="Normal 8 17 12" xfId="36012" xr:uid="{00000000-0005-0000-0000-00000E900000}"/>
    <cellStyle name="Normal 8 17 13" xfId="36013" xr:uid="{00000000-0005-0000-0000-00000F900000}"/>
    <cellStyle name="Normal 8 17 2" xfId="36014" xr:uid="{00000000-0005-0000-0000-000010900000}"/>
    <cellStyle name="Normal 8 17 2 2" xfId="36015" xr:uid="{00000000-0005-0000-0000-000011900000}"/>
    <cellStyle name="Normal 8 17 2 3" xfId="36016" xr:uid="{00000000-0005-0000-0000-000012900000}"/>
    <cellStyle name="Normal 8 17 2 4" xfId="36017" xr:uid="{00000000-0005-0000-0000-000013900000}"/>
    <cellStyle name="Normal 8 17 2 5" xfId="36018" xr:uid="{00000000-0005-0000-0000-000014900000}"/>
    <cellStyle name="Normal 8 17 2 6" xfId="36019" xr:uid="{00000000-0005-0000-0000-000015900000}"/>
    <cellStyle name="Normal 8 17 3" xfId="36020" xr:uid="{00000000-0005-0000-0000-000016900000}"/>
    <cellStyle name="Normal 8 17 3 2" xfId="36021" xr:uid="{00000000-0005-0000-0000-000017900000}"/>
    <cellStyle name="Normal 8 17 3 3" xfId="36022" xr:uid="{00000000-0005-0000-0000-000018900000}"/>
    <cellStyle name="Normal 8 17 3 4" xfId="36023" xr:uid="{00000000-0005-0000-0000-000019900000}"/>
    <cellStyle name="Normal 8 17 3 5" xfId="36024" xr:uid="{00000000-0005-0000-0000-00001A900000}"/>
    <cellStyle name="Normal 8 17 3 6" xfId="36025" xr:uid="{00000000-0005-0000-0000-00001B900000}"/>
    <cellStyle name="Normal 8 17 4" xfId="36026" xr:uid="{00000000-0005-0000-0000-00001C900000}"/>
    <cellStyle name="Normal 8 17 4 2" xfId="36027" xr:uid="{00000000-0005-0000-0000-00001D900000}"/>
    <cellStyle name="Normal 8 17 4 3" xfId="36028" xr:uid="{00000000-0005-0000-0000-00001E900000}"/>
    <cellStyle name="Normal 8 17 4 4" xfId="36029" xr:uid="{00000000-0005-0000-0000-00001F900000}"/>
    <cellStyle name="Normal 8 17 4 5" xfId="36030" xr:uid="{00000000-0005-0000-0000-000020900000}"/>
    <cellStyle name="Normal 8 17 4 6" xfId="36031" xr:uid="{00000000-0005-0000-0000-000021900000}"/>
    <cellStyle name="Normal 8 17 5" xfId="36032" xr:uid="{00000000-0005-0000-0000-000022900000}"/>
    <cellStyle name="Normal 8 17 5 2" xfId="36033" xr:uid="{00000000-0005-0000-0000-000023900000}"/>
    <cellStyle name="Normal 8 17 5 3" xfId="36034" xr:uid="{00000000-0005-0000-0000-000024900000}"/>
    <cellStyle name="Normal 8 17 5 4" xfId="36035" xr:uid="{00000000-0005-0000-0000-000025900000}"/>
    <cellStyle name="Normal 8 17 5 5" xfId="36036" xr:uid="{00000000-0005-0000-0000-000026900000}"/>
    <cellStyle name="Normal 8 17 5 6" xfId="36037" xr:uid="{00000000-0005-0000-0000-000027900000}"/>
    <cellStyle name="Normal 8 17 6" xfId="36038" xr:uid="{00000000-0005-0000-0000-000028900000}"/>
    <cellStyle name="Normal 8 17 6 2" xfId="36039" xr:uid="{00000000-0005-0000-0000-000029900000}"/>
    <cellStyle name="Normal 8 17 6 3" xfId="36040" xr:uid="{00000000-0005-0000-0000-00002A900000}"/>
    <cellStyle name="Normal 8 17 6 4" xfId="36041" xr:uid="{00000000-0005-0000-0000-00002B900000}"/>
    <cellStyle name="Normal 8 17 6 5" xfId="36042" xr:uid="{00000000-0005-0000-0000-00002C900000}"/>
    <cellStyle name="Normal 8 17 6 6" xfId="36043" xr:uid="{00000000-0005-0000-0000-00002D900000}"/>
    <cellStyle name="Normal 8 17 7" xfId="36044" xr:uid="{00000000-0005-0000-0000-00002E900000}"/>
    <cellStyle name="Normal 8 17 7 2" xfId="36045" xr:uid="{00000000-0005-0000-0000-00002F900000}"/>
    <cellStyle name="Normal 8 17 7 3" xfId="36046" xr:uid="{00000000-0005-0000-0000-000030900000}"/>
    <cellStyle name="Normal 8 17 7 4" xfId="36047" xr:uid="{00000000-0005-0000-0000-000031900000}"/>
    <cellStyle name="Normal 8 17 7 5" xfId="36048" xr:uid="{00000000-0005-0000-0000-000032900000}"/>
    <cellStyle name="Normal 8 17 7 6" xfId="36049" xr:uid="{00000000-0005-0000-0000-000033900000}"/>
    <cellStyle name="Normal 8 17 8" xfId="36050" xr:uid="{00000000-0005-0000-0000-000034900000}"/>
    <cellStyle name="Normal 8 17 8 2" xfId="36051" xr:uid="{00000000-0005-0000-0000-000035900000}"/>
    <cellStyle name="Normal 8 17 8 3" xfId="36052" xr:uid="{00000000-0005-0000-0000-000036900000}"/>
    <cellStyle name="Normal 8 17 8 4" xfId="36053" xr:uid="{00000000-0005-0000-0000-000037900000}"/>
    <cellStyle name="Normal 8 17 8 5" xfId="36054" xr:uid="{00000000-0005-0000-0000-000038900000}"/>
    <cellStyle name="Normal 8 17 8 6" xfId="36055" xr:uid="{00000000-0005-0000-0000-000039900000}"/>
    <cellStyle name="Normal 8 17 9" xfId="36056" xr:uid="{00000000-0005-0000-0000-00003A900000}"/>
    <cellStyle name="Normal 8 18" xfId="36057" xr:uid="{00000000-0005-0000-0000-00003B900000}"/>
    <cellStyle name="Normal 8 18 10" xfId="36058" xr:uid="{00000000-0005-0000-0000-00003C900000}"/>
    <cellStyle name="Normal 8 18 11" xfId="36059" xr:uid="{00000000-0005-0000-0000-00003D900000}"/>
    <cellStyle name="Normal 8 18 12" xfId="36060" xr:uid="{00000000-0005-0000-0000-00003E900000}"/>
    <cellStyle name="Normal 8 18 13" xfId="36061" xr:uid="{00000000-0005-0000-0000-00003F900000}"/>
    <cellStyle name="Normal 8 18 2" xfId="36062" xr:uid="{00000000-0005-0000-0000-000040900000}"/>
    <cellStyle name="Normal 8 18 2 2" xfId="36063" xr:uid="{00000000-0005-0000-0000-000041900000}"/>
    <cellStyle name="Normal 8 18 2 3" xfId="36064" xr:uid="{00000000-0005-0000-0000-000042900000}"/>
    <cellStyle name="Normal 8 18 2 4" xfId="36065" xr:uid="{00000000-0005-0000-0000-000043900000}"/>
    <cellStyle name="Normal 8 18 2 5" xfId="36066" xr:uid="{00000000-0005-0000-0000-000044900000}"/>
    <cellStyle name="Normal 8 18 2 6" xfId="36067" xr:uid="{00000000-0005-0000-0000-000045900000}"/>
    <cellStyle name="Normal 8 18 3" xfId="36068" xr:uid="{00000000-0005-0000-0000-000046900000}"/>
    <cellStyle name="Normal 8 18 3 2" xfId="36069" xr:uid="{00000000-0005-0000-0000-000047900000}"/>
    <cellStyle name="Normal 8 18 3 3" xfId="36070" xr:uid="{00000000-0005-0000-0000-000048900000}"/>
    <cellStyle name="Normal 8 18 3 4" xfId="36071" xr:uid="{00000000-0005-0000-0000-000049900000}"/>
    <cellStyle name="Normal 8 18 3 5" xfId="36072" xr:uid="{00000000-0005-0000-0000-00004A900000}"/>
    <cellStyle name="Normal 8 18 3 6" xfId="36073" xr:uid="{00000000-0005-0000-0000-00004B900000}"/>
    <cellStyle name="Normal 8 18 4" xfId="36074" xr:uid="{00000000-0005-0000-0000-00004C900000}"/>
    <cellStyle name="Normal 8 18 4 2" xfId="36075" xr:uid="{00000000-0005-0000-0000-00004D900000}"/>
    <cellStyle name="Normal 8 18 4 3" xfId="36076" xr:uid="{00000000-0005-0000-0000-00004E900000}"/>
    <cellStyle name="Normal 8 18 4 4" xfId="36077" xr:uid="{00000000-0005-0000-0000-00004F900000}"/>
    <cellStyle name="Normal 8 18 4 5" xfId="36078" xr:uid="{00000000-0005-0000-0000-000050900000}"/>
    <cellStyle name="Normal 8 18 4 6" xfId="36079" xr:uid="{00000000-0005-0000-0000-000051900000}"/>
    <cellStyle name="Normal 8 18 5" xfId="36080" xr:uid="{00000000-0005-0000-0000-000052900000}"/>
    <cellStyle name="Normal 8 18 5 2" xfId="36081" xr:uid="{00000000-0005-0000-0000-000053900000}"/>
    <cellStyle name="Normal 8 18 5 3" xfId="36082" xr:uid="{00000000-0005-0000-0000-000054900000}"/>
    <cellStyle name="Normal 8 18 5 4" xfId="36083" xr:uid="{00000000-0005-0000-0000-000055900000}"/>
    <cellStyle name="Normal 8 18 5 5" xfId="36084" xr:uid="{00000000-0005-0000-0000-000056900000}"/>
    <cellStyle name="Normal 8 18 5 6" xfId="36085" xr:uid="{00000000-0005-0000-0000-000057900000}"/>
    <cellStyle name="Normal 8 18 6" xfId="36086" xr:uid="{00000000-0005-0000-0000-000058900000}"/>
    <cellStyle name="Normal 8 18 6 2" xfId="36087" xr:uid="{00000000-0005-0000-0000-000059900000}"/>
    <cellStyle name="Normal 8 18 6 3" xfId="36088" xr:uid="{00000000-0005-0000-0000-00005A900000}"/>
    <cellStyle name="Normal 8 18 6 4" xfId="36089" xr:uid="{00000000-0005-0000-0000-00005B900000}"/>
    <cellStyle name="Normal 8 18 6 5" xfId="36090" xr:uid="{00000000-0005-0000-0000-00005C900000}"/>
    <cellStyle name="Normal 8 18 6 6" xfId="36091" xr:uid="{00000000-0005-0000-0000-00005D900000}"/>
    <cellStyle name="Normal 8 18 7" xfId="36092" xr:uid="{00000000-0005-0000-0000-00005E900000}"/>
    <cellStyle name="Normal 8 18 7 2" xfId="36093" xr:uid="{00000000-0005-0000-0000-00005F900000}"/>
    <cellStyle name="Normal 8 18 7 3" xfId="36094" xr:uid="{00000000-0005-0000-0000-000060900000}"/>
    <cellStyle name="Normal 8 18 7 4" xfId="36095" xr:uid="{00000000-0005-0000-0000-000061900000}"/>
    <cellStyle name="Normal 8 18 7 5" xfId="36096" xr:uid="{00000000-0005-0000-0000-000062900000}"/>
    <cellStyle name="Normal 8 18 7 6" xfId="36097" xr:uid="{00000000-0005-0000-0000-000063900000}"/>
    <cellStyle name="Normal 8 18 8" xfId="36098" xr:uid="{00000000-0005-0000-0000-000064900000}"/>
    <cellStyle name="Normal 8 18 8 2" xfId="36099" xr:uid="{00000000-0005-0000-0000-000065900000}"/>
    <cellStyle name="Normal 8 18 8 3" xfId="36100" xr:uid="{00000000-0005-0000-0000-000066900000}"/>
    <cellStyle name="Normal 8 18 8 4" xfId="36101" xr:uid="{00000000-0005-0000-0000-000067900000}"/>
    <cellStyle name="Normal 8 18 8 5" xfId="36102" xr:uid="{00000000-0005-0000-0000-000068900000}"/>
    <cellStyle name="Normal 8 18 8 6" xfId="36103" xr:uid="{00000000-0005-0000-0000-000069900000}"/>
    <cellStyle name="Normal 8 18 9" xfId="36104" xr:uid="{00000000-0005-0000-0000-00006A900000}"/>
    <cellStyle name="Normal 8 19" xfId="36105" xr:uid="{00000000-0005-0000-0000-00006B900000}"/>
    <cellStyle name="Normal 8 19 10" xfId="36106" xr:uid="{00000000-0005-0000-0000-00006C900000}"/>
    <cellStyle name="Normal 8 19 11" xfId="36107" xr:uid="{00000000-0005-0000-0000-00006D900000}"/>
    <cellStyle name="Normal 8 19 12" xfId="36108" xr:uid="{00000000-0005-0000-0000-00006E900000}"/>
    <cellStyle name="Normal 8 19 13" xfId="36109" xr:uid="{00000000-0005-0000-0000-00006F900000}"/>
    <cellStyle name="Normal 8 19 2" xfId="36110" xr:uid="{00000000-0005-0000-0000-000070900000}"/>
    <cellStyle name="Normal 8 19 2 2" xfId="36111" xr:uid="{00000000-0005-0000-0000-000071900000}"/>
    <cellStyle name="Normal 8 19 2 3" xfId="36112" xr:uid="{00000000-0005-0000-0000-000072900000}"/>
    <cellStyle name="Normal 8 19 2 4" xfId="36113" xr:uid="{00000000-0005-0000-0000-000073900000}"/>
    <cellStyle name="Normal 8 19 2 5" xfId="36114" xr:uid="{00000000-0005-0000-0000-000074900000}"/>
    <cellStyle name="Normal 8 19 2 6" xfId="36115" xr:uid="{00000000-0005-0000-0000-000075900000}"/>
    <cellStyle name="Normal 8 19 3" xfId="36116" xr:uid="{00000000-0005-0000-0000-000076900000}"/>
    <cellStyle name="Normal 8 19 3 2" xfId="36117" xr:uid="{00000000-0005-0000-0000-000077900000}"/>
    <cellStyle name="Normal 8 19 3 3" xfId="36118" xr:uid="{00000000-0005-0000-0000-000078900000}"/>
    <cellStyle name="Normal 8 19 3 4" xfId="36119" xr:uid="{00000000-0005-0000-0000-000079900000}"/>
    <cellStyle name="Normal 8 19 3 5" xfId="36120" xr:uid="{00000000-0005-0000-0000-00007A900000}"/>
    <cellStyle name="Normal 8 19 3 6" xfId="36121" xr:uid="{00000000-0005-0000-0000-00007B900000}"/>
    <cellStyle name="Normal 8 19 4" xfId="36122" xr:uid="{00000000-0005-0000-0000-00007C900000}"/>
    <cellStyle name="Normal 8 19 4 2" xfId="36123" xr:uid="{00000000-0005-0000-0000-00007D900000}"/>
    <cellStyle name="Normal 8 19 4 3" xfId="36124" xr:uid="{00000000-0005-0000-0000-00007E900000}"/>
    <cellStyle name="Normal 8 19 4 4" xfId="36125" xr:uid="{00000000-0005-0000-0000-00007F900000}"/>
    <cellStyle name="Normal 8 19 4 5" xfId="36126" xr:uid="{00000000-0005-0000-0000-000080900000}"/>
    <cellStyle name="Normal 8 19 4 6" xfId="36127" xr:uid="{00000000-0005-0000-0000-000081900000}"/>
    <cellStyle name="Normal 8 19 5" xfId="36128" xr:uid="{00000000-0005-0000-0000-000082900000}"/>
    <cellStyle name="Normal 8 19 5 2" xfId="36129" xr:uid="{00000000-0005-0000-0000-000083900000}"/>
    <cellStyle name="Normal 8 19 5 3" xfId="36130" xr:uid="{00000000-0005-0000-0000-000084900000}"/>
    <cellStyle name="Normal 8 19 5 4" xfId="36131" xr:uid="{00000000-0005-0000-0000-000085900000}"/>
    <cellStyle name="Normal 8 19 5 5" xfId="36132" xr:uid="{00000000-0005-0000-0000-000086900000}"/>
    <cellStyle name="Normal 8 19 5 6" xfId="36133" xr:uid="{00000000-0005-0000-0000-000087900000}"/>
    <cellStyle name="Normal 8 19 6" xfId="36134" xr:uid="{00000000-0005-0000-0000-000088900000}"/>
    <cellStyle name="Normal 8 19 6 2" xfId="36135" xr:uid="{00000000-0005-0000-0000-000089900000}"/>
    <cellStyle name="Normal 8 19 6 3" xfId="36136" xr:uid="{00000000-0005-0000-0000-00008A900000}"/>
    <cellStyle name="Normal 8 19 6 4" xfId="36137" xr:uid="{00000000-0005-0000-0000-00008B900000}"/>
    <cellStyle name="Normal 8 19 6 5" xfId="36138" xr:uid="{00000000-0005-0000-0000-00008C900000}"/>
    <cellStyle name="Normal 8 19 6 6" xfId="36139" xr:uid="{00000000-0005-0000-0000-00008D900000}"/>
    <cellStyle name="Normal 8 19 7" xfId="36140" xr:uid="{00000000-0005-0000-0000-00008E900000}"/>
    <cellStyle name="Normal 8 19 7 2" xfId="36141" xr:uid="{00000000-0005-0000-0000-00008F900000}"/>
    <cellStyle name="Normal 8 19 7 3" xfId="36142" xr:uid="{00000000-0005-0000-0000-000090900000}"/>
    <cellStyle name="Normal 8 19 7 4" xfId="36143" xr:uid="{00000000-0005-0000-0000-000091900000}"/>
    <cellStyle name="Normal 8 19 7 5" xfId="36144" xr:uid="{00000000-0005-0000-0000-000092900000}"/>
    <cellStyle name="Normal 8 19 7 6" xfId="36145" xr:uid="{00000000-0005-0000-0000-000093900000}"/>
    <cellStyle name="Normal 8 19 8" xfId="36146" xr:uid="{00000000-0005-0000-0000-000094900000}"/>
    <cellStyle name="Normal 8 19 8 2" xfId="36147" xr:uid="{00000000-0005-0000-0000-000095900000}"/>
    <cellStyle name="Normal 8 19 8 3" xfId="36148" xr:uid="{00000000-0005-0000-0000-000096900000}"/>
    <cellStyle name="Normal 8 19 8 4" xfId="36149" xr:uid="{00000000-0005-0000-0000-000097900000}"/>
    <cellStyle name="Normal 8 19 8 5" xfId="36150" xr:uid="{00000000-0005-0000-0000-000098900000}"/>
    <cellStyle name="Normal 8 19 8 6" xfId="36151" xr:uid="{00000000-0005-0000-0000-000099900000}"/>
    <cellStyle name="Normal 8 19 9" xfId="36152" xr:uid="{00000000-0005-0000-0000-00009A900000}"/>
    <cellStyle name="Normal 8 2" xfId="1093" xr:uid="{00000000-0005-0000-0000-00009B900000}"/>
    <cellStyle name="Normal 8 2 10" xfId="36153" xr:uid="{00000000-0005-0000-0000-00009C900000}"/>
    <cellStyle name="Normal 8 2 11" xfId="36154" xr:uid="{00000000-0005-0000-0000-00009D900000}"/>
    <cellStyle name="Normal 8 2 12" xfId="36155" xr:uid="{00000000-0005-0000-0000-00009E900000}"/>
    <cellStyle name="Normal 8 2 13" xfId="36156" xr:uid="{00000000-0005-0000-0000-00009F900000}"/>
    <cellStyle name="Normal 8 2 14" xfId="36157" xr:uid="{00000000-0005-0000-0000-0000A0900000}"/>
    <cellStyle name="Normal 8 2 2" xfId="36158" xr:uid="{00000000-0005-0000-0000-0000A1900000}"/>
    <cellStyle name="Normal 8 2 2 2" xfId="36159" xr:uid="{00000000-0005-0000-0000-0000A2900000}"/>
    <cellStyle name="Normal 8 2 2 3" xfId="36160" xr:uid="{00000000-0005-0000-0000-0000A3900000}"/>
    <cellStyle name="Normal 8 2 2 4" xfId="36161" xr:uid="{00000000-0005-0000-0000-0000A4900000}"/>
    <cellStyle name="Normal 8 2 2 5" xfId="36162" xr:uid="{00000000-0005-0000-0000-0000A5900000}"/>
    <cellStyle name="Normal 8 2 2 6" xfId="36163" xr:uid="{00000000-0005-0000-0000-0000A6900000}"/>
    <cellStyle name="Normal 8 2 3" xfId="36164" xr:uid="{00000000-0005-0000-0000-0000A7900000}"/>
    <cellStyle name="Normal 8 2 3 2" xfId="36165" xr:uid="{00000000-0005-0000-0000-0000A8900000}"/>
    <cellStyle name="Normal 8 2 3 3" xfId="36166" xr:uid="{00000000-0005-0000-0000-0000A9900000}"/>
    <cellStyle name="Normal 8 2 3 4" xfId="36167" xr:uid="{00000000-0005-0000-0000-0000AA900000}"/>
    <cellStyle name="Normal 8 2 3 5" xfId="36168" xr:uid="{00000000-0005-0000-0000-0000AB900000}"/>
    <cellStyle name="Normal 8 2 3 6" xfId="36169" xr:uid="{00000000-0005-0000-0000-0000AC900000}"/>
    <cellStyle name="Normal 8 2 4" xfId="36170" xr:uid="{00000000-0005-0000-0000-0000AD900000}"/>
    <cellStyle name="Normal 8 2 4 2" xfId="36171" xr:uid="{00000000-0005-0000-0000-0000AE900000}"/>
    <cellStyle name="Normal 8 2 4 3" xfId="36172" xr:uid="{00000000-0005-0000-0000-0000AF900000}"/>
    <cellStyle name="Normal 8 2 4 4" xfId="36173" xr:uid="{00000000-0005-0000-0000-0000B0900000}"/>
    <cellStyle name="Normal 8 2 4 5" xfId="36174" xr:uid="{00000000-0005-0000-0000-0000B1900000}"/>
    <cellStyle name="Normal 8 2 4 6" xfId="36175" xr:uid="{00000000-0005-0000-0000-0000B2900000}"/>
    <cellStyle name="Normal 8 2 5" xfId="36176" xr:uid="{00000000-0005-0000-0000-0000B3900000}"/>
    <cellStyle name="Normal 8 2 5 2" xfId="36177" xr:uid="{00000000-0005-0000-0000-0000B4900000}"/>
    <cellStyle name="Normal 8 2 5 3" xfId="36178" xr:uid="{00000000-0005-0000-0000-0000B5900000}"/>
    <cellStyle name="Normal 8 2 5 4" xfId="36179" xr:uid="{00000000-0005-0000-0000-0000B6900000}"/>
    <cellStyle name="Normal 8 2 5 5" xfId="36180" xr:uid="{00000000-0005-0000-0000-0000B7900000}"/>
    <cellStyle name="Normal 8 2 5 6" xfId="36181" xr:uid="{00000000-0005-0000-0000-0000B8900000}"/>
    <cellStyle name="Normal 8 2 6" xfId="36182" xr:uid="{00000000-0005-0000-0000-0000B9900000}"/>
    <cellStyle name="Normal 8 2 6 2" xfId="36183" xr:uid="{00000000-0005-0000-0000-0000BA900000}"/>
    <cellStyle name="Normal 8 2 6 3" xfId="36184" xr:uid="{00000000-0005-0000-0000-0000BB900000}"/>
    <cellStyle name="Normal 8 2 6 4" xfId="36185" xr:uid="{00000000-0005-0000-0000-0000BC900000}"/>
    <cellStyle name="Normal 8 2 6 5" xfId="36186" xr:uid="{00000000-0005-0000-0000-0000BD900000}"/>
    <cellStyle name="Normal 8 2 6 6" xfId="36187" xr:uid="{00000000-0005-0000-0000-0000BE900000}"/>
    <cellStyle name="Normal 8 2 7" xfId="36188" xr:uid="{00000000-0005-0000-0000-0000BF900000}"/>
    <cellStyle name="Normal 8 2 7 2" xfId="36189" xr:uid="{00000000-0005-0000-0000-0000C0900000}"/>
    <cellStyle name="Normal 8 2 7 3" xfId="36190" xr:uid="{00000000-0005-0000-0000-0000C1900000}"/>
    <cellStyle name="Normal 8 2 7 4" xfId="36191" xr:uid="{00000000-0005-0000-0000-0000C2900000}"/>
    <cellStyle name="Normal 8 2 7 5" xfId="36192" xr:uid="{00000000-0005-0000-0000-0000C3900000}"/>
    <cellStyle name="Normal 8 2 7 6" xfId="36193" xr:uid="{00000000-0005-0000-0000-0000C4900000}"/>
    <cellStyle name="Normal 8 2 8" xfId="36194" xr:uid="{00000000-0005-0000-0000-0000C5900000}"/>
    <cellStyle name="Normal 8 2 8 2" xfId="36195" xr:uid="{00000000-0005-0000-0000-0000C6900000}"/>
    <cellStyle name="Normal 8 2 8 3" xfId="36196" xr:uid="{00000000-0005-0000-0000-0000C7900000}"/>
    <cellStyle name="Normal 8 2 8 4" xfId="36197" xr:uid="{00000000-0005-0000-0000-0000C8900000}"/>
    <cellStyle name="Normal 8 2 8 5" xfId="36198" xr:uid="{00000000-0005-0000-0000-0000C9900000}"/>
    <cellStyle name="Normal 8 2 8 6" xfId="36199" xr:uid="{00000000-0005-0000-0000-0000CA900000}"/>
    <cellStyle name="Normal 8 2 9" xfId="36200" xr:uid="{00000000-0005-0000-0000-0000CB900000}"/>
    <cellStyle name="Normal 8 20" xfId="36201" xr:uid="{00000000-0005-0000-0000-0000CC900000}"/>
    <cellStyle name="Normal 8 20 10" xfId="36202" xr:uid="{00000000-0005-0000-0000-0000CD900000}"/>
    <cellStyle name="Normal 8 20 11" xfId="36203" xr:uid="{00000000-0005-0000-0000-0000CE900000}"/>
    <cellStyle name="Normal 8 20 12" xfId="36204" xr:uid="{00000000-0005-0000-0000-0000CF900000}"/>
    <cellStyle name="Normal 8 20 13" xfId="36205" xr:uid="{00000000-0005-0000-0000-0000D0900000}"/>
    <cellStyle name="Normal 8 20 2" xfId="36206" xr:uid="{00000000-0005-0000-0000-0000D1900000}"/>
    <cellStyle name="Normal 8 20 2 2" xfId="36207" xr:uid="{00000000-0005-0000-0000-0000D2900000}"/>
    <cellStyle name="Normal 8 20 2 3" xfId="36208" xr:uid="{00000000-0005-0000-0000-0000D3900000}"/>
    <cellStyle name="Normal 8 20 2 4" xfId="36209" xr:uid="{00000000-0005-0000-0000-0000D4900000}"/>
    <cellStyle name="Normal 8 20 2 5" xfId="36210" xr:uid="{00000000-0005-0000-0000-0000D5900000}"/>
    <cellStyle name="Normal 8 20 2 6" xfId="36211" xr:uid="{00000000-0005-0000-0000-0000D6900000}"/>
    <cellStyle name="Normal 8 20 3" xfId="36212" xr:uid="{00000000-0005-0000-0000-0000D7900000}"/>
    <cellStyle name="Normal 8 20 3 2" xfId="36213" xr:uid="{00000000-0005-0000-0000-0000D8900000}"/>
    <cellStyle name="Normal 8 20 3 3" xfId="36214" xr:uid="{00000000-0005-0000-0000-0000D9900000}"/>
    <cellStyle name="Normal 8 20 3 4" xfId="36215" xr:uid="{00000000-0005-0000-0000-0000DA900000}"/>
    <cellStyle name="Normal 8 20 3 5" xfId="36216" xr:uid="{00000000-0005-0000-0000-0000DB900000}"/>
    <cellStyle name="Normal 8 20 3 6" xfId="36217" xr:uid="{00000000-0005-0000-0000-0000DC900000}"/>
    <cellStyle name="Normal 8 20 4" xfId="36218" xr:uid="{00000000-0005-0000-0000-0000DD900000}"/>
    <cellStyle name="Normal 8 20 4 2" xfId="36219" xr:uid="{00000000-0005-0000-0000-0000DE900000}"/>
    <cellStyle name="Normal 8 20 4 3" xfId="36220" xr:uid="{00000000-0005-0000-0000-0000DF900000}"/>
    <cellStyle name="Normal 8 20 4 4" xfId="36221" xr:uid="{00000000-0005-0000-0000-0000E0900000}"/>
    <cellStyle name="Normal 8 20 4 5" xfId="36222" xr:uid="{00000000-0005-0000-0000-0000E1900000}"/>
    <cellStyle name="Normal 8 20 4 6" xfId="36223" xr:uid="{00000000-0005-0000-0000-0000E2900000}"/>
    <cellStyle name="Normal 8 20 5" xfId="36224" xr:uid="{00000000-0005-0000-0000-0000E3900000}"/>
    <cellStyle name="Normal 8 20 5 2" xfId="36225" xr:uid="{00000000-0005-0000-0000-0000E4900000}"/>
    <cellStyle name="Normal 8 20 5 3" xfId="36226" xr:uid="{00000000-0005-0000-0000-0000E5900000}"/>
    <cellStyle name="Normal 8 20 5 4" xfId="36227" xr:uid="{00000000-0005-0000-0000-0000E6900000}"/>
    <cellStyle name="Normal 8 20 5 5" xfId="36228" xr:uid="{00000000-0005-0000-0000-0000E7900000}"/>
    <cellStyle name="Normal 8 20 5 6" xfId="36229" xr:uid="{00000000-0005-0000-0000-0000E8900000}"/>
    <cellStyle name="Normal 8 20 6" xfId="36230" xr:uid="{00000000-0005-0000-0000-0000E9900000}"/>
    <cellStyle name="Normal 8 20 6 2" xfId="36231" xr:uid="{00000000-0005-0000-0000-0000EA900000}"/>
    <cellStyle name="Normal 8 20 6 3" xfId="36232" xr:uid="{00000000-0005-0000-0000-0000EB900000}"/>
    <cellStyle name="Normal 8 20 6 4" xfId="36233" xr:uid="{00000000-0005-0000-0000-0000EC900000}"/>
    <cellStyle name="Normal 8 20 6 5" xfId="36234" xr:uid="{00000000-0005-0000-0000-0000ED900000}"/>
    <cellStyle name="Normal 8 20 6 6" xfId="36235" xr:uid="{00000000-0005-0000-0000-0000EE900000}"/>
    <cellStyle name="Normal 8 20 7" xfId="36236" xr:uid="{00000000-0005-0000-0000-0000EF900000}"/>
    <cellStyle name="Normal 8 20 7 2" xfId="36237" xr:uid="{00000000-0005-0000-0000-0000F0900000}"/>
    <cellStyle name="Normal 8 20 7 3" xfId="36238" xr:uid="{00000000-0005-0000-0000-0000F1900000}"/>
    <cellStyle name="Normal 8 20 7 4" xfId="36239" xr:uid="{00000000-0005-0000-0000-0000F2900000}"/>
    <cellStyle name="Normal 8 20 7 5" xfId="36240" xr:uid="{00000000-0005-0000-0000-0000F3900000}"/>
    <cellStyle name="Normal 8 20 7 6" xfId="36241" xr:uid="{00000000-0005-0000-0000-0000F4900000}"/>
    <cellStyle name="Normal 8 20 8" xfId="36242" xr:uid="{00000000-0005-0000-0000-0000F5900000}"/>
    <cellStyle name="Normal 8 20 8 2" xfId="36243" xr:uid="{00000000-0005-0000-0000-0000F6900000}"/>
    <cellStyle name="Normal 8 20 8 3" xfId="36244" xr:uid="{00000000-0005-0000-0000-0000F7900000}"/>
    <cellStyle name="Normal 8 20 8 4" xfId="36245" xr:uid="{00000000-0005-0000-0000-0000F8900000}"/>
    <cellStyle name="Normal 8 20 8 5" xfId="36246" xr:uid="{00000000-0005-0000-0000-0000F9900000}"/>
    <cellStyle name="Normal 8 20 8 6" xfId="36247" xr:uid="{00000000-0005-0000-0000-0000FA900000}"/>
    <cellStyle name="Normal 8 20 9" xfId="36248" xr:uid="{00000000-0005-0000-0000-0000FB900000}"/>
    <cellStyle name="Normal 8 21" xfId="36249" xr:uid="{00000000-0005-0000-0000-0000FC900000}"/>
    <cellStyle name="Normal 8 21 10" xfId="36250" xr:uid="{00000000-0005-0000-0000-0000FD900000}"/>
    <cellStyle name="Normal 8 21 11" xfId="36251" xr:uid="{00000000-0005-0000-0000-0000FE900000}"/>
    <cellStyle name="Normal 8 21 12" xfId="36252" xr:uid="{00000000-0005-0000-0000-0000FF900000}"/>
    <cellStyle name="Normal 8 21 13" xfId="36253" xr:uid="{00000000-0005-0000-0000-000000910000}"/>
    <cellStyle name="Normal 8 21 2" xfId="36254" xr:uid="{00000000-0005-0000-0000-000001910000}"/>
    <cellStyle name="Normal 8 21 2 2" xfId="36255" xr:uid="{00000000-0005-0000-0000-000002910000}"/>
    <cellStyle name="Normal 8 21 2 3" xfId="36256" xr:uid="{00000000-0005-0000-0000-000003910000}"/>
    <cellStyle name="Normal 8 21 2 4" xfId="36257" xr:uid="{00000000-0005-0000-0000-000004910000}"/>
    <cellStyle name="Normal 8 21 2 5" xfId="36258" xr:uid="{00000000-0005-0000-0000-000005910000}"/>
    <cellStyle name="Normal 8 21 2 6" xfId="36259" xr:uid="{00000000-0005-0000-0000-000006910000}"/>
    <cellStyle name="Normal 8 21 3" xfId="36260" xr:uid="{00000000-0005-0000-0000-000007910000}"/>
    <cellStyle name="Normal 8 21 3 2" xfId="36261" xr:uid="{00000000-0005-0000-0000-000008910000}"/>
    <cellStyle name="Normal 8 21 3 3" xfId="36262" xr:uid="{00000000-0005-0000-0000-000009910000}"/>
    <cellStyle name="Normal 8 21 3 4" xfId="36263" xr:uid="{00000000-0005-0000-0000-00000A910000}"/>
    <cellStyle name="Normal 8 21 3 5" xfId="36264" xr:uid="{00000000-0005-0000-0000-00000B910000}"/>
    <cellStyle name="Normal 8 21 3 6" xfId="36265" xr:uid="{00000000-0005-0000-0000-00000C910000}"/>
    <cellStyle name="Normal 8 21 4" xfId="36266" xr:uid="{00000000-0005-0000-0000-00000D910000}"/>
    <cellStyle name="Normal 8 21 4 2" xfId="36267" xr:uid="{00000000-0005-0000-0000-00000E910000}"/>
    <cellStyle name="Normal 8 21 4 3" xfId="36268" xr:uid="{00000000-0005-0000-0000-00000F910000}"/>
    <cellStyle name="Normal 8 21 4 4" xfId="36269" xr:uid="{00000000-0005-0000-0000-000010910000}"/>
    <cellStyle name="Normal 8 21 4 5" xfId="36270" xr:uid="{00000000-0005-0000-0000-000011910000}"/>
    <cellStyle name="Normal 8 21 4 6" xfId="36271" xr:uid="{00000000-0005-0000-0000-000012910000}"/>
    <cellStyle name="Normal 8 21 5" xfId="36272" xr:uid="{00000000-0005-0000-0000-000013910000}"/>
    <cellStyle name="Normal 8 21 5 2" xfId="36273" xr:uid="{00000000-0005-0000-0000-000014910000}"/>
    <cellStyle name="Normal 8 21 5 3" xfId="36274" xr:uid="{00000000-0005-0000-0000-000015910000}"/>
    <cellStyle name="Normal 8 21 5 4" xfId="36275" xr:uid="{00000000-0005-0000-0000-000016910000}"/>
    <cellStyle name="Normal 8 21 5 5" xfId="36276" xr:uid="{00000000-0005-0000-0000-000017910000}"/>
    <cellStyle name="Normal 8 21 5 6" xfId="36277" xr:uid="{00000000-0005-0000-0000-000018910000}"/>
    <cellStyle name="Normal 8 21 6" xfId="36278" xr:uid="{00000000-0005-0000-0000-000019910000}"/>
    <cellStyle name="Normal 8 21 6 2" xfId="36279" xr:uid="{00000000-0005-0000-0000-00001A910000}"/>
    <cellStyle name="Normal 8 21 6 3" xfId="36280" xr:uid="{00000000-0005-0000-0000-00001B910000}"/>
    <cellStyle name="Normal 8 21 6 4" xfId="36281" xr:uid="{00000000-0005-0000-0000-00001C910000}"/>
    <cellStyle name="Normal 8 21 6 5" xfId="36282" xr:uid="{00000000-0005-0000-0000-00001D910000}"/>
    <cellStyle name="Normal 8 21 6 6" xfId="36283" xr:uid="{00000000-0005-0000-0000-00001E910000}"/>
    <cellStyle name="Normal 8 21 7" xfId="36284" xr:uid="{00000000-0005-0000-0000-00001F910000}"/>
    <cellStyle name="Normal 8 21 7 2" xfId="36285" xr:uid="{00000000-0005-0000-0000-000020910000}"/>
    <cellStyle name="Normal 8 21 7 3" xfId="36286" xr:uid="{00000000-0005-0000-0000-000021910000}"/>
    <cellStyle name="Normal 8 21 7 4" xfId="36287" xr:uid="{00000000-0005-0000-0000-000022910000}"/>
    <cellStyle name="Normal 8 21 7 5" xfId="36288" xr:uid="{00000000-0005-0000-0000-000023910000}"/>
    <cellStyle name="Normal 8 21 7 6" xfId="36289" xr:uid="{00000000-0005-0000-0000-000024910000}"/>
    <cellStyle name="Normal 8 21 8" xfId="36290" xr:uid="{00000000-0005-0000-0000-000025910000}"/>
    <cellStyle name="Normal 8 21 8 2" xfId="36291" xr:uid="{00000000-0005-0000-0000-000026910000}"/>
    <cellStyle name="Normal 8 21 8 3" xfId="36292" xr:uid="{00000000-0005-0000-0000-000027910000}"/>
    <cellStyle name="Normal 8 21 8 4" xfId="36293" xr:uid="{00000000-0005-0000-0000-000028910000}"/>
    <cellStyle name="Normal 8 21 8 5" xfId="36294" xr:uid="{00000000-0005-0000-0000-000029910000}"/>
    <cellStyle name="Normal 8 21 8 6" xfId="36295" xr:uid="{00000000-0005-0000-0000-00002A910000}"/>
    <cellStyle name="Normal 8 21 9" xfId="36296" xr:uid="{00000000-0005-0000-0000-00002B910000}"/>
    <cellStyle name="Normal 8 22" xfId="36297" xr:uid="{00000000-0005-0000-0000-00002C910000}"/>
    <cellStyle name="Normal 8 22 10" xfId="36298" xr:uid="{00000000-0005-0000-0000-00002D910000}"/>
    <cellStyle name="Normal 8 22 11" xfId="36299" xr:uid="{00000000-0005-0000-0000-00002E910000}"/>
    <cellStyle name="Normal 8 22 12" xfId="36300" xr:uid="{00000000-0005-0000-0000-00002F910000}"/>
    <cellStyle name="Normal 8 22 13" xfId="36301" xr:uid="{00000000-0005-0000-0000-000030910000}"/>
    <cellStyle name="Normal 8 22 2" xfId="36302" xr:uid="{00000000-0005-0000-0000-000031910000}"/>
    <cellStyle name="Normal 8 22 2 2" xfId="36303" xr:uid="{00000000-0005-0000-0000-000032910000}"/>
    <cellStyle name="Normal 8 22 2 3" xfId="36304" xr:uid="{00000000-0005-0000-0000-000033910000}"/>
    <cellStyle name="Normal 8 22 2 4" xfId="36305" xr:uid="{00000000-0005-0000-0000-000034910000}"/>
    <cellStyle name="Normal 8 22 2 5" xfId="36306" xr:uid="{00000000-0005-0000-0000-000035910000}"/>
    <cellStyle name="Normal 8 22 2 6" xfId="36307" xr:uid="{00000000-0005-0000-0000-000036910000}"/>
    <cellStyle name="Normal 8 22 3" xfId="36308" xr:uid="{00000000-0005-0000-0000-000037910000}"/>
    <cellStyle name="Normal 8 22 3 2" xfId="36309" xr:uid="{00000000-0005-0000-0000-000038910000}"/>
    <cellStyle name="Normal 8 22 3 3" xfId="36310" xr:uid="{00000000-0005-0000-0000-000039910000}"/>
    <cellStyle name="Normal 8 22 3 4" xfId="36311" xr:uid="{00000000-0005-0000-0000-00003A910000}"/>
    <cellStyle name="Normal 8 22 3 5" xfId="36312" xr:uid="{00000000-0005-0000-0000-00003B910000}"/>
    <cellStyle name="Normal 8 22 3 6" xfId="36313" xr:uid="{00000000-0005-0000-0000-00003C910000}"/>
    <cellStyle name="Normal 8 22 4" xfId="36314" xr:uid="{00000000-0005-0000-0000-00003D910000}"/>
    <cellStyle name="Normal 8 22 4 2" xfId="36315" xr:uid="{00000000-0005-0000-0000-00003E910000}"/>
    <cellStyle name="Normal 8 22 4 3" xfId="36316" xr:uid="{00000000-0005-0000-0000-00003F910000}"/>
    <cellStyle name="Normal 8 22 4 4" xfId="36317" xr:uid="{00000000-0005-0000-0000-000040910000}"/>
    <cellStyle name="Normal 8 22 4 5" xfId="36318" xr:uid="{00000000-0005-0000-0000-000041910000}"/>
    <cellStyle name="Normal 8 22 4 6" xfId="36319" xr:uid="{00000000-0005-0000-0000-000042910000}"/>
    <cellStyle name="Normal 8 22 5" xfId="36320" xr:uid="{00000000-0005-0000-0000-000043910000}"/>
    <cellStyle name="Normal 8 22 5 2" xfId="36321" xr:uid="{00000000-0005-0000-0000-000044910000}"/>
    <cellStyle name="Normal 8 22 5 3" xfId="36322" xr:uid="{00000000-0005-0000-0000-000045910000}"/>
    <cellStyle name="Normal 8 22 5 4" xfId="36323" xr:uid="{00000000-0005-0000-0000-000046910000}"/>
    <cellStyle name="Normal 8 22 5 5" xfId="36324" xr:uid="{00000000-0005-0000-0000-000047910000}"/>
    <cellStyle name="Normal 8 22 5 6" xfId="36325" xr:uid="{00000000-0005-0000-0000-000048910000}"/>
    <cellStyle name="Normal 8 22 6" xfId="36326" xr:uid="{00000000-0005-0000-0000-000049910000}"/>
    <cellStyle name="Normal 8 22 6 2" xfId="36327" xr:uid="{00000000-0005-0000-0000-00004A910000}"/>
    <cellStyle name="Normal 8 22 6 3" xfId="36328" xr:uid="{00000000-0005-0000-0000-00004B910000}"/>
    <cellStyle name="Normal 8 22 6 4" xfId="36329" xr:uid="{00000000-0005-0000-0000-00004C910000}"/>
    <cellStyle name="Normal 8 22 6 5" xfId="36330" xr:uid="{00000000-0005-0000-0000-00004D910000}"/>
    <cellStyle name="Normal 8 22 6 6" xfId="36331" xr:uid="{00000000-0005-0000-0000-00004E910000}"/>
    <cellStyle name="Normal 8 22 7" xfId="36332" xr:uid="{00000000-0005-0000-0000-00004F910000}"/>
    <cellStyle name="Normal 8 22 7 2" xfId="36333" xr:uid="{00000000-0005-0000-0000-000050910000}"/>
    <cellStyle name="Normal 8 22 7 3" xfId="36334" xr:uid="{00000000-0005-0000-0000-000051910000}"/>
    <cellStyle name="Normal 8 22 7 4" xfId="36335" xr:uid="{00000000-0005-0000-0000-000052910000}"/>
    <cellStyle name="Normal 8 22 7 5" xfId="36336" xr:uid="{00000000-0005-0000-0000-000053910000}"/>
    <cellStyle name="Normal 8 22 7 6" xfId="36337" xr:uid="{00000000-0005-0000-0000-000054910000}"/>
    <cellStyle name="Normal 8 22 8" xfId="36338" xr:uid="{00000000-0005-0000-0000-000055910000}"/>
    <cellStyle name="Normal 8 22 8 2" xfId="36339" xr:uid="{00000000-0005-0000-0000-000056910000}"/>
    <cellStyle name="Normal 8 22 8 3" xfId="36340" xr:uid="{00000000-0005-0000-0000-000057910000}"/>
    <cellStyle name="Normal 8 22 8 4" xfId="36341" xr:uid="{00000000-0005-0000-0000-000058910000}"/>
    <cellStyle name="Normal 8 22 8 5" xfId="36342" xr:uid="{00000000-0005-0000-0000-000059910000}"/>
    <cellStyle name="Normal 8 22 8 6" xfId="36343" xr:uid="{00000000-0005-0000-0000-00005A910000}"/>
    <cellStyle name="Normal 8 22 9" xfId="36344" xr:uid="{00000000-0005-0000-0000-00005B910000}"/>
    <cellStyle name="Normal 8 23" xfId="36345" xr:uid="{00000000-0005-0000-0000-00005C910000}"/>
    <cellStyle name="Normal 8 23 10" xfId="36346" xr:uid="{00000000-0005-0000-0000-00005D910000}"/>
    <cellStyle name="Normal 8 23 11" xfId="36347" xr:uid="{00000000-0005-0000-0000-00005E910000}"/>
    <cellStyle name="Normal 8 23 12" xfId="36348" xr:uid="{00000000-0005-0000-0000-00005F910000}"/>
    <cellStyle name="Normal 8 23 13" xfId="36349" xr:uid="{00000000-0005-0000-0000-000060910000}"/>
    <cellStyle name="Normal 8 23 2" xfId="36350" xr:uid="{00000000-0005-0000-0000-000061910000}"/>
    <cellStyle name="Normal 8 23 2 2" xfId="36351" xr:uid="{00000000-0005-0000-0000-000062910000}"/>
    <cellStyle name="Normal 8 23 2 3" xfId="36352" xr:uid="{00000000-0005-0000-0000-000063910000}"/>
    <cellStyle name="Normal 8 23 2 4" xfId="36353" xr:uid="{00000000-0005-0000-0000-000064910000}"/>
    <cellStyle name="Normal 8 23 2 5" xfId="36354" xr:uid="{00000000-0005-0000-0000-000065910000}"/>
    <cellStyle name="Normal 8 23 2 6" xfId="36355" xr:uid="{00000000-0005-0000-0000-000066910000}"/>
    <cellStyle name="Normal 8 23 3" xfId="36356" xr:uid="{00000000-0005-0000-0000-000067910000}"/>
    <cellStyle name="Normal 8 23 3 2" xfId="36357" xr:uid="{00000000-0005-0000-0000-000068910000}"/>
    <cellStyle name="Normal 8 23 3 3" xfId="36358" xr:uid="{00000000-0005-0000-0000-000069910000}"/>
    <cellStyle name="Normal 8 23 3 4" xfId="36359" xr:uid="{00000000-0005-0000-0000-00006A910000}"/>
    <cellStyle name="Normal 8 23 3 5" xfId="36360" xr:uid="{00000000-0005-0000-0000-00006B910000}"/>
    <cellStyle name="Normal 8 23 3 6" xfId="36361" xr:uid="{00000000-0005-0000-0000-00006C910000}"/>
    <cellStyle name="Normal 8 23 4" xfId="36362" xr:uid="{00000000-0005-0000-0000-00006D910000}"/>
    <cellStyle name="Normal 8 23 4 2" xfId="36363" xr:uid="{00000000-0005-0000-0000-00006E910000}"/>
    <cellStyle name="Normal 8 23 4 3" xfId="36364" xr:uid="{00000000-0005-0000-0000-00006F910000}"/>
    <cellStyle name="Normal 8 23 4 4" xfId="36365" xr:uid="{00000000-0005-0000-0000-000070910000}"/>
    <cellStyle name="Normal 8 23 4 5" xfId="36366" xr:uid="{00000000-0005-0000-0000-000071910000}"/>
    <cellStyle name="Normal 8 23 4 6" xfId="36367" xr:uid="{00000000-0005-0000-0000-000072910000}"/>
    <cellStyle name="Normal 8 23 5" xfId="36368" xr:uid="{00000000-0005-0000-0000-000073910000}"/>
    <cellStyle name="Normal 8 23 5 2" xfId="36369" xr:uid="{00000000-0005-0000-0000-000074910000}"/>
    <cellStyle name="Normal 8 23 5 3" xfId="36370" xr:uid="{00000000-0005-0000-0000-000075910000}"/>
    <cellStyle name="Normal 8 23 5 4" xfId="36371" xr:uid="{00000000-0005-0000-0000-000076910000}"/>
    <cellStyle name="Normal 8 23 5 5" xfId="36372" xr:uid="{00000000-0005-0000-0000-000077910000}"/>
    <cellStyle name="Normal 8 23 5 6" xfId="36373" xr:uid="{00000000-0005-0000-0000-000078910000}"/>
    <cellStyle name="Normal 8 23 6" xfId="36374" xr:uid="{00000000-0005-0000-0000-000079910000}"/>
    <cellStyle name="Normal 8 23 6 2" xfId="36375" xr:uid="{00000000-0005-0000-0000-00007A910000}"/>
    <cellStyle name="Normal 8 23 6 3" xfId="36376" xr:uid="{00000000-0005-0000-0000-00007B910000}"/>
    <cellStyle name="Normal 8 23 6 4" xfId="36377" xr:uid="{00000000-0005-0000-0000-00007C910000}"/>
    <cellStyle name="Normal 8 23 6 5" xfId="36378" xr:uid="{00000000-0005-0000-0000-00007D910000}"/>
    <cellStyle name="Normal 8 23 6 6" xfId="36379" xr:uid="{00000000-0005-0000-0000-00007E910000}"/>
    <cellStyle name="Normal 8 23 7" xfId="36380" xr:uid="{00000000-0005-0000-0000-00007F910000}"/>
    <cellStyle name="Normal 8 23 7 2" xfId="36381" xr:uid="{00000000-0005-0000-0000-000080910000}"/>
    <cellStyle name="Normal 8 23 7 3" xfId="36382" xr:uid="{00000000-0005-0000-0000-000081910000}"/>
    <cellStyle name="Normal 8 23 7 4" xfId="36383" xr:uid="{00000000-0005-0000-0000-000082910000}"/>
    <cellStyle name="Normal 8 23 7 5" xfId="36384" xr:uid="{00000000-0005-0000-0000-000083910000}"/>
    <cellStyle name="Normal 8 23 7 6" xfId="36385" xr:uid="{00000000-0005-0000-0000-000084910000}"/>
    <cellStyle name="Normal 8 23 8" xfId="36386" xr:uid="{00000000-0005-0000-0000-000085910000}"/>
    <cellStyle name="Normal 8 23 8 2" xfId="36387" xr:uid="{00000000-0005-0000-0000-000086910000}"/>
    <cellStyle name="Normal 8 23 8 3" xfId="36388" xr:uid="{00000000-0005-0000-0000-000087910000}"/>
    <cellStyle name="Normal 8 23 8 4" xfId="36389" xr:uid="{00000000-0005-0000-0000-000088910000}"/>
    <cellStyle name="Normal 8 23 8 5" xfId="36390" xr:uid="{00000000-0005-0000-0000-000089910000}"/>
    <cellStyle name="Normal 8 23 8 6" xfId="36391" xr:uid="{00000000-0005-0000-0000-00008A910000}"/>
    <cellStyle name="Normal 8 23 9" xfId="36392" xr:uid="{00000000-0005-0000-0000-00008B910000}"/>
    <cellStyle name="Normal 8 24" xfId="36393" xr:uid="{00000000-0005-0000-0000-00008C910000}"/>
    <cellStyle name="Normal 8 24 10" xfId="36394" xr:uid="{00000000-0005-0000-0000-00008D910000}"/>
    <cellStyle name="Normal 8 24 11" xfId="36395" xr:uid="{00000000-0005-0000-0000-00008E910000}"/>
    <cellStyle name="Normal 8 24 12" xfId="36396" xr:uid="{00000000-0005-0000-0000-00008F910000}"/>
    <cellStyle name="Normal 8 24 13" xfId="36397" xr:uid="{00000000-0005-0000-0000-000090910000}"/>
    <cellStyle name="Normal 8 24 2" xfId="36398" xr:uid="{00000000-0005-0000-0000-000091910000}"/>
    <cellStyle name="Normal 8 24 2 2" xfId="36399" xr:uid="{00000000-0005-0000-0000-000092910000}"/>
    <cellStyle name="Normal 8 24 2 3" xfId="36400" xr:uid="{00000000-0005-0000-0000-000093910000}"/>
    <cellStyle name="Normal 8 24 2 4" xfId="36401" xr:uid="{00000000-0005-0000-0000-000094910000}"/>
    <cellStyle name="Normal 8 24 2 5" xfId="36402" xr:uid="{00000000-0005-0000-0000-000095910000}"/>
    <cellStyle name="Normal 8 24 2 6" xfId="36403" xr:uid="{00000000-0005-0000-0000-000096910000}"/>
    <cellStyle name="Normal 8 24 3" xfId="36404" xr:uid="{00000000-0005-0000-0000-000097910000}"/>
    <cellStyle name="Normal 8 24 3 2" xfId="36405" xr:uid="{00000000-0005-0000-0000-000098910000}"/>
    <cellStyle name="Normal 8 24 3 3" xfId="36406" xr:uid="{00000000-0005-0000-0000-000099910000}"/>
    <cellStyle name="Normal 8 24 3 4" xfId="36407" xr:uid="{00000000-0005-0000-0000-00009A910000}"/>
    <cellStyle name="Normal 8 24 3 5" xfId="36408" xr:uid="{00000000-0005-0000-0000-00009B910000}"/>
    <cellStyle name="Normal 8 24 3 6" xfId="36409" xr:uid="{00000000-0005-0000-0000-00009C910000}"/>
    <cellStyle name="Normal 8 24 4" xfId="36410" xr:uid="{00000000-0005-0000-0000-00009D910000}"/>
    <cellStyle name="Normal 8 24 4 2" xfId="36411" xr:uid="{00000000-0005-0000-0000-00009E910000}"/>
    <cellStyle name="Normal 8 24 4 3" xfId="36412" xr:uid="{00000000-0005-0000-0000-00009F910000}"/>
    <cellStyle name="Normal 8 24 4 4" xfId="36413" xr:uid="{00000000-0005-0000-0000-0000A0910000}"/>
    <cellStyle name="Normal 8 24 4 5" xfId="36414" xr:uid="{00000000-0005-0000-0000-0000A1910000}"/>
    <cellStyle name="Normal 8 24 4 6" xfId="36415" xr:uid="{00000000-0005-0000-0000-0000A2910000}"/>
    <cellStyle name="Normal 8 24 5" xfId="36416" xr:uid="{00000000-0005-0000-0000-0000A3910000}"/>
    <cellStyle name="Normal 8 24 5 2" xfId="36417" xr:uid="{00000000-0005-0000-0000-0000A4910000}"/>
    <cellStyle name="Normal 8 24 5 3" xfId="36418" xr:uid="{00000000-0005-0000-0000-0000A5910000}"/>
    <cellStyle name="Normal 8 24 5 4" xfId="36419" xr:uid="{00000000-0005-0000-0000-0000A6910000}"/>
    <cellStyle name="Normal 8 24 5 5" xfId="36420" xr:uid="{00000000-0005-0000-0000-0000A7910000}"/>
    <cellStyle name="Normal 8 24 5 6" xfId="36421" xr:uid="{00000000-0005-0000-0000-0000A8910000}"/>
    <cellStyle name="Normal 8 24 6" xfId="36422" xr:uid="{00000000-0005-0000-0000-0000A9910000}"/>
    <cellStyle name="Normal 8 24 6 2" xfId="36423" xr:uid="{00000000-0005-0000-0000-0000AA910000}"/>
    <cellStyle name="Normal 8 24 6 3" xfId="36424" xr:uid="{00000000-0005-0000-0000-0000AB910000}"/>
    <cellStyle name="Normal 8 24 6 4" xfId="36425" xr:uid="{00000000-0005-0000-0000-0000AC910000}"/>
    <cellStyle name="Normal 8 24 6 5" xfId="36426" xr:uid="{00000000-0005-0000-0000-0000AD910000}"/>
    <cellStyle name="Normal 8 24 6 6" xfId="36427" xr:uid="{00000000-0005-0000-0000-0000AE910000}"/>
    <cellStyle name="Normal 8 24 7" xfId="36428" xr:uid="{00000000-0005-0000-0000-0000AF910000}"/>
    <cellStyle name="Normal 8 24 7 2" xfId="36429" xr:uid="{00000000-0005-0000-0000-0000B0910000}"/>
    <cellStyle name="Normal 8 24 7 3" xfId="36430" xr:uid="{00000000-0005-0000-0000-0000B1910000}"/>
    <cellStyle name="Normal 8 24 7 4" xfId="36431" xr:uid="{00000000-0005-0000-0000-0000B2910000}"/>
    <cellStyle name="Normal 8 24 7 5" xfId="36432" xr:uid="{00000000-0005-0000-0000-0000B3910000}"/>
    <cellStyle name="Normal 8 24 7 6" xfId="36433" xr:uid="{00000000-0005-0000-0000-0000B4910000}"/>
    <cellStyle name="Normal 8 24 8" xfId="36434" xr:uid="{00000000-0005-0000-0000-0000B5910000}"/>
    <cellStyle name="Normal 8 24 8 2" xfId="36435" xr:uid="{00000000-0005-0000-0000-0000B6910000}"/>
    <cellStyle name="Normal 8 24 8 3" xfId="36436" xr:uid="{00000000-0005-0000-0000-0000B7910000}"/>
    <cellStyle name="Normal 8 24 8 4" xfId="36437" xr:uid="{00000000-0005-0000-0000-0000B8910000}"/>
    <cellStyle name="Normal 8 24 8 5" xfId="36438" xr:uid="{00000000-0005-0000-0000-0000B9910000}"/>
    <cellStyle name="Normal 8 24 8 6" xfId="36439" xr:uid="{00000000-0005-0000-0000-0000BA910000}"/>
    <cellStyle name="Normal 8 24 9" xfId="36440" xr:uid="{00000000-0005-0000-0000-0000BB910000}"/>
    <cellStyle name="Normal 8 25" xfId="36441" xr:uid="{00000000-0005-0000-0000-0000BC910000}"/>
    <cellStyle name="Normal 8 25 10" xfId="36442" xr:uid="{00000000-0005-0000-0000-0000BD910000}"/>
    <cellStyle name="Normal 8 25 11" xfId="36443" xr:uid="{00000000-0005-0000-0000-0000BE910000}"/>
    <cellStyle name="Normal 8 25 12" xfId="36444" xr:uid="{00000000-0005-0000-0000-0000BF910000}"/>
    <cellStyle name="Normal 8 25 13" xfId="36445" xr:uid="{00000000-0005-0000-0000-0000C0910000}"/>
    <cellStyle name="Normal 8 25 2" xfId="36446" xr:uid="{00000000-0005-0000-0000-0000C1910000}"/>
    <cellStyle name="Normal 8 25 2 2" xfId="36447" xr:uid="{00000000-0005-0000-0000-0000C2910000}"/>
    <cellStyle name="Normal 8 25 2 3" xfId="36448" xr:uid="{00000000-0005-0000-0000-0000C3910000}"/>
    <cellStyle name="Normal 8 25 2 4" xfId="36449" xr:uid="{00000000-0005-0000-0000-0000C4910000}"/>
    <cellStyle name="Normal 8 25 2 5" xfId="36450" xr:uid="{00000000-0005-0000-0000-0000C5910000}"/>
    <cellStyle name="Normal 8 25 2 6" xfId="36451" xr:uid="{00000000-0005-0000-0000-0000C6910000}"/>
    <cellStyle name="Normal 8 25 3" xfId="36452" xr:uid="{00000000-0005-0000-0000-0000C7910000}"/>
    <cellStyle name="Normal 8 25 3 2" xfId="36453" xr:uid="{00000000-0005-0000-0000-0000C8910000}"/>
    <cellStyle name="Normal 8 25 3 3" xfId="36454" xr:uid="{00000000-0005-0000-0000-0000C9910000}"/>
    <cellStyle name="Normal 8 25 3 4" xfId="36455" xr:uid="{00000000-0005-0000-0000-0000CA910000}"/>
    <cellStyle name="Normal 8 25 3 5" xfId="36456" xr:uid="{00000000-0005-0000-0000-0000CB910000}"/>
    <cellStyle name="Normal 8 25 3 6" xfId="36457" xr:uid="{00000000-0005-0000-0000-0000CC910000}"/>
    <cellStyle name="Normal 8 25 4" xfId="36458" xr:uid="{00000000-0005-0000-0000-0000CD910000}"/>
    <cellStyle name="Normal 8 25 4 2" xfId="36459" xr:uid="{00000000-0005-0000-0000-0000CE910000}"/>
    <cellStyle name="Normal 8 25 4 3" xfId="36460" xr:uid="{00000000-0005-0000-0000-0000CF910000}"/>
    <cellStyle name="Normal 8 25 4 4" xfId="36461" xr:uid="{00000000-0005-0000-0000-0000D0910000}"/>
    <cellStyle name="Normal 8 25 4 5" xfId="36462" xr:uid="{00000000-0005-0000-0000-0000D1910000}"/>
    <cellStyle name="Normal 8 25 4 6" xfId="36463" xr:uid="{00000000-0005-0000-0000-0000D2910000}"/>
    <cellStyle name="Normal 8 25 5" xfId="36464" xr:uid="{00000000-0005-0000-0000-0000D3910000}"/>
    <cellStyle name="Normal 8 25 5 2" xfId="36465" xr:uid="{00000000-0005-0000-0000-0000D4910000}"/>
    <cellStyle name="Normal 8 25 5 3" xfId="36466" xr:uid="{00000000-0005-0000-0000-0000D5910000}"/>
    <cellStyle name="Normal 8 25 5 4" xfId="36467" xr:uid="{00000000-0005-0000-0000-0000D6910000}"/>
    <cellStyle name="Normal 8 25 5 5" xfId="36468" xr:uid="{00000000-0005-0000-0000-0000D7910000}"/>
    <cellStyle name="Normal 8 25 5 6" xfId="36469" xr:uid="{00000000-0005-0000-0000-0000D8910000}"/>
    <cellStyle name="Normal 8 25 6" xfId="36470" xr:uid="{00000000-0005-0000-0000-0000D9910000}"/>
    <cellStyle name="Normal 8 25 6 2" xfId="36471" xr:uid="{00000000-0005-0000-0000-0000DA910000}"/>
    <cellStyle name="Normal 8 25 6 3" xfId="36472" xr:uid="{00000000-0005-0000-0000-0000DB910000}"/>
    <cellStyle name="Normal 8 25 6 4" xfId="36473" xr:uid="{00000000-0005-0000-0000-0000DC910000}"/>
    <cellStyle name="Normal 8 25 6 5" xfId="36474" xr:uid="{00000000-0005-0000-0000-0000DD910000}"/>
    <cellStyle name="Normal 8 25 6 6" xfId="36475" xr:uid="{00000000-0005-0000-0000-0000DE910000}"/>
    <cellStyle name="Normal 8 25 7" xfId="36476" xr:uid="{00000000-0005-0000-0000-0000DF910000}"/>
    <cellStyle name="Normal 8 25 7 2" xfId="36477" xr:uid="{00000000-0005-0000-0000-0000E0910000}"/>
    <cellStyle name="Normal 8 25 7 3" xfId="36478" xr:uid="{00000000-0005-0000-0000-0000E1910000}"/>
    <cellStyle name="Normal 8 25 7 4" xfId="36479" xr:uid="{00000000-0005-0000-0000-0000E2910000}"/>
    <cellStyle name="Normal 8 25 7 5" xfId="36480" xr:uid="{00000000-0005-0000-0000-0000E3910000}"/>
    <cellStyle name="Normal 8 25 7 6" xfId="36481" xr:uid="{00000000-0005-0000-0000-0000E4910000}"/>
    <cellStyle name="Normal 8 25 8" xfId="36482" xr:uid="{00000000-0005-0000-0000-0000E5910000}"/>
    <cellStyle name="Normal 8 25 8 2" xfId="36483" xr:uid="{00000000-0005-0000-0000-0000E6910000}"/>
    <cellStyle name="Normal 8 25 8 3" xfId="36484" xr:uid="{00000000-0005-0000-0000-0000E7910000}"/>
    <cellStyle name="Normal 8 25 8 4" xfId="36485" xr:uid="{00000000-0005-0000-0000-0000E8910000}"/>
    <cellStyle name="Normal 8 25 8 5" xfId="36486" xr:uid="{00000000-0005-0000-0000-0000E9910000}"/>
    <cellStyle name="Normal 8 25 8 6" xfId="36487" xr:uid="{00000000-0005-0000-0000-0000EA910000}"/>
    <cellStyle name="Normal 8 25 9" xfId="36488" xr:uid="{00000000-0005-0000-0000-0000EB910000}"/>
    <cellStyle name="Normal 8 26" xfId="36489" xr:uid="{00000000-0005-0000-0000-0000EC910000}"/>
    <cellStyle name="Normal 8 26 10" xfId="36490" xr:uid="{00000000-0005-0000-0000-0000ED910000}"/>
    <cellStyle name="Normal 8 26 11" xfId="36491" xr:uid="{00000000-0005-0000-0000-0000EE910000}"/>
    <cellStyle name="Normal 8 26 12" xfId="36492" xr:uid="{00000000-0005-0000-0000-0000EF910000}"/>
    <cellStyle name="Normal 8 26 13" xfId="36493" xr:uid="{00000000-0005-0000-0000-0000F0910000}"/>
    <cellStyle name="Normal 8 26 2" xfId="36494" xr:uid="{00000000-0005-0000-0000-0000F1910000}"/>
    <cellStyle name="Normal 8 26 2 2" xfId="36495" xr:uid="{00000000-0005-0000-0000-0000F2910000}"/>
    <cellStyle name="Normal 8 26 2 3" xfId="36496" xr:uid="{00000000-0005-0000-0000-0000F3910000}"/>
    <cellStyle name="Normal 8 26 2 4" xfId="36497" xr:uid="{00000000-0005-0000-0000-0000F4910000}"/>
    <cellStyle name="Normal 8 26 2 5" xfId="36498" xr:uid="{00000000-0005-0000-0000-0000F5910000}"/>
    <cellStyle name="Normal 8 26 2 6" xfId="36499" xr:uid="{00000000-0005-0000-0000-0000F6910000}"/>
    <cellStyle name="Normal 8 26 3" xfId="36500" xr:uid="{00000000-0005-0000-0000-0000F7910000}"/>
    <cellStyle name="Normal 8 26 3 2" xfId="36501" xr:uid="{00000000-0005-0000-0000-0000F8910000}"/>
    <cellStyle name="Normal 8 26 3 3" xfId="36502" xr:uid="{00000000-0005-0000-0000-0000F9910000}"/>
    <cellStyle name="Normal 8 26 3 4" xfId="36503" xr:uid="{00000000-0005-0000-0000-0000FA910000}"/>
    <cellStyle name="Normal 8 26 3 5" xfId="36504" xr:uid="{00000000-0005-0000-0000-0000FB910000}"/>
    <cellStyle name="Normal 8 26 3 6" xfId="36505" xr:uid="{00000000-0005-0000-0000-0000FC910000}"/>
    <cellStyle name="Normal 8 26 4" xfId="36506" xr:uid="{00000000-0005-0000-0000-0000FD910000}"/>
    <cellStyle name="Normal 8 26 4 2" xfId="36507" xr:uid="{00000000-0005-0000-0000-0000FE910000}"/>
    <cellStyle name="Normal 8 26 4 3" xfId="36508" xr:uid="{00000000-0005-0000-0000-0000FF910000}"/>
    <cellStyle name="Normal 8 26 4 4" xfId="36509" xr:uid="{00000000-0005-0000-0000-000000920000}"/>
    <cellStyle name="Normal 8 26 4 5" xfId="36510" xr:uid="{00000000-0005-0000-0000-000001920000}"/>
    <cellStyle name="Normal 8 26 4 6" xfId="36511" xr:uid="{00000000-0005-0000-0000-000002920000}"/>
    <cellStyle name="Normal 8 26 5" xfId="36512" xr:uid="{00000000-0005-0000-0000-000003920000}"/>
    <cellStyle name="Normal 8 26 5 2" xfId="36513" xr:uid="{00000000-0005-0000-0000-000004920000}"/>
    <cellStyle name="Normal 8 26 5 3" xfId="36514" xr:uid="{00000000-0005-0000-0000-000005920000}"/>
    <cellStyle name="Normal 8 26 5 4" xfId="36515" xr:uid="{00000000-0005-0000-0000-000006920000}"/>
    <cellStyle name="Normal 8 26 5 5" xfId="36516" xr:uid="{00000000-0005-0000-0000-000007920000}"/>
    <cellStyle name="Normal 8 26 5 6" xfId="36517" xr:uid="{00000000-0005-0000-0000-000008920000}"/>
    <cellStyle name="Normal 8 26 6" xfId="36518" xr:uid="{00000000-0005-0000-0000-000009920000}"/>
    <cellStyle name="Normal 8 26 6 2" xfId="36519" xr:uid="{00000000-0005-0000-0000-00000A920000}"/>
    <cellStyle name="Normal 8 26 6 3" xfId="36520" xr:uid="{00000000-0005-0000-0000-00000B920000}"/>
    <cellStyle name="Normal 8 26 6 4" xfId="36521" xr:uid="{00000000-0005-0000-0000-00000C920000}"/>
    <cellStyle name="Normal 8 26 6 5" xfId="36522" xr:uid="{00000000-0005-0000-0000-00000D920000}"/>
    <cellStyle name="Normal 8 26 6 6" xfId="36523" xr:uid="{00000000-0005-0000-0000-00000E920000}"/>
    <cellStyle name="Normal 8 26 7" xfId="36524" xr:uid="{00000000-0005-0000-0000-00000F920000}"/>
    <cellStyle name="Normal 8 26 7 2" xfId="36525" xr:uid="{00000000-0005-0000-0000-000010920000}"/>
    <cellStyle name="Normal 8 26 7 3" xfId="36526" xr:uid="{00000000-0005-0000-0000-000011920000}"/>
    <cellStyle name="Normal 8 26 7 4" xfId="36527" xr:uid="{00000000-0005-0000-0000-000012920000}"/>
    <cellStyle name="Normal 8 26 7 5" xfId="36528" xr:uid="{00000000-0005-0000-0000-000013920000}"/>
    <cellStyle name="Normal 8 26 7 6" xfId="36529" xr:uid="{00000000-0005-0000-0000-000014920000}"/>
    <cellStyle name="Normal 8 26 8" xfId="36530" xr:uid="{00000000-0005-0000-0000-000015920000}"/>
    <cellStyle name="Normal 8 26 8 2" xfId="36531" xr:uid="{00000000-0005-0000-0000-000016920000}"/>
    <cellStyle name="Normal 8 26 8 3" xfId="36532" xr:uid="{00000000-0005-0000-0000-000017920000}"/>
    <cellStyle name="Normal 8 26 8 4" xfId="36533" xr:uid="{00000000-0005-0000-0000-000018920000}"/>
    <cellStyle name="Normal 8 26 8 5" xfId="36534" xr:uid="{00000000-0005-0000-0000-000019920000}"/>
    <cellStyle name="Normal 8 26 8 6" xfId="36535" xr:uid="{00000000-0005-0000-0000-00001A920000}"/>
    <cellStyle name="Normal 8 26 9" xfId="36536" xr:uid="{00000000-0005-0000-0000-00001B920000}"/>
    <cellStyle name="Normal 8 27" xfId="36537" xr:uid="{00000000-0005-0000-0000-00001C920000}"/>
    <cellStyle name="Normal 8 27 10" xfId="36538" xr:uid="{00000000-0005-0000-0000-00001D920000}"/>
    <cellStyle name="Normal 8 27 11" xfId="36539" xr:uid="{00000000-0005-0000-0000-00001E920000}"/>
    <cellStyle name="Normal 8 27 12" xfId="36540" xr:uid="{00000000-0005-0000-0000-00001F920000}"/>
    <cellStyle name="Normal 8 27 13" xfId="36541" xr:uid="{00000000-0005-0000-0000-000020920000}"/>
    <cellStyle name="Normal 8 27 2" xfId="36542" xr:uid="{00000000-0005-0000-0000-000021920000}"/>
    <cellStyle name="Normal 8 27 2 2" xfId="36543" xr:uid="{00000000-0005-0000-0000-000022920000}"/>
    <cellStyle name="Normal 8 27 2 3" xfId="36544" xr:uid="{00000000-0005-0000-0000-000023920000}"/>
    <cellStyle name="Normal 8 27 2 4" xfId="36545" xr:uid="{00000000-0005-0000-0000-000024920000}"/>
    <cellStyle name="Normal 8 27 2 5" xfId="36546" xr:uid="{00000000-0005-0000-0000-000025920000}"/>
    <cellStyle name="Normal 8 27 2 6" xfId="36547" xr:uid="{00000000-0005-0000-0000-000026920000}"/>
    <cellStyle name="Normal 8 27 3" xfId="36548" xr:uid="{00000000-0005-0000-0000-000027920000}"/>
    <cellStyle name="Normal 8 27 3 2" xfId="36549" xr:uid="{00000000-0005-0000-0000-000028920000}"/>
    <cellStyle name="Normal 8 27 3 3" xfId="36550" xr:uid="{00000000-0005-0000-0000-000029920000}"/>
    <cellStyle name="Normal 8 27 3 4" xfId="36551" xr:uid="{00000000-0005-0000-0000-00002A920000}"/>
    <cellStyle name="Normal 8 27 3 5" xfId="36552" xr:uid="{00000000-0005-0000-0000-00002B920000}"/>
    <cellStyle name="Normal 8 27 3 6" xfId="36553" xr:uid="{00000000-0005-0000-0000-00002C920000}"/>
    <cellStyle name="Normal 8 27 4" xfId="36554" xr:uid="{00000000-0005-0000-0000-00002D920000}"/>
    <cellStyle name="Normal 8 27 4 2" xfId="36555" xr:uid="{00000000-0005-0000-0000-00002E920000}"/>
    <cellStyle name="Normal 8 27 4 3" xfId="36556" xr:uid="{00000000-0005-0000-0000-00002F920000}"/>
    <cellStyle name="Normal 8 27 4 4" xfId="36557" xr:uid="{00000000-0005-0000-0000-000030920000}"/>
    <cellStyle name="Normal 8 27 4 5" xfId="36558" xr:uid="{00000000-0005-0000-0000-000031920000}"/>
    <cellStyle name="Normal 8 27 4 6" xfId="36559" xr:uid="{00000000-0005-0000-0000-000032920000}"/>
    <cellStyle name="Normal 8 27 5" xfId="36560" xr:uid="{00000000-0005-0000-0000-000033920000}"/>
    <cellStyle name="Normal 8 27 5 2" xfId="36561" xr:uid="{00000000-0005-0000-0000-000034920000}"/>
    <cellStyle name="Normal 8 27 5 3" xfId="36562" xr:uid="{00000000-0005-0000-0000-000035920000}"/>
    <cellStyle name="Normal 8 27 5 4" xfId="36563" xr:uid="{00000000-0005-0000-0000-000036920000}"/>
    <cellStyle name="Normal 8 27 5 5" xfId="36564" xr:uid="{00000000-0005-0000-0000-000037920000}"/>
    <cellStyle name="Normal 8 27 5 6" xfId="36565" xr:uid="{00000000-0005-0000-0000-000038920000}"/>
    <cellStyle name="Normal 8 27 6" xfId="36566" xr:uid="{00000000-0005-0000-0000-000039920000}"/>
    <cellStyle name="Normal 8 27 6 2" xfId="36567" xr:uid="{00000000-0005-0000-0000-00003A920000}"/>
    <cellStyle name="Normal 8 27 6 3" xfId="36568" xr:uid="{00000000-0005-0000-0000-00003B920000}"/>
    <cellStyle name="Normal 8 27 6 4" xfId="36569" xr:uid="{00000000-0005-0000-0000-00003C920000}"/>
    <cellStyle name="Normal 8 27 6 5" xfId="36570" xr:uid="{00000000-0005-0000-0000-00003D920000}"/>
    <cellStyle name="Normal 8 27 6 6" xfId="36571" xr:uid="{00000000-0005-0000-0000-00003E920000}"/>
    <cellStyle name="Normal 8 27 7" xfId="36572" xr:uid="{00000000-0005-0000-0000-00003F920000}"/>
    <cellStyle name="Normal 8 27 7 2" xfId="36573" xr:uid="{00000000-0005-0000-0000-000040920000}"/>
    <cellStyle name="Normal 8 27 7 3" xfId="36574" xr:uid="{00000000-0005-0000-0000-000041920000}"/>
    <cellStyle name="Normal 8 27 7 4" xfId="36575" xr:uid="{00000000-0005-0000-0000-000042920000}"/>
    <cellStyle name="Normal 8 27 7 5" xfId="36576" xr:uid="{00000000-0005-0000-0000-000043920000}"/>
    <cellStyle name="Normal 8 27 7 6" xfId="36577" xr:uid="{00000000-0005-0000-0000-000044920000}"/>
    <cellStyle name="Normal 8 27 8" xfId="36578" xr:uid="{00000000-0005-0000-0000-000045920000}"/>
    <cellStyle name="Normal 8 27 8 2" xfId="36579" xr:uid="{00000000-0005-0000-0000-000046920000}"/>
    <cellStyle name="Normal 8 27 8 3" xfId="36580" xr:uid="{00000000-0005-0000-0000-000047920000}"/>
    <cellStyle name="Normal 8 27 8 4" xfId="36581" xr:uid="{00000000-0005-0000-0000-000048920000}"/>
    <cellStyle name="Normal 8 27 8 5" xfId="36582" xr:uid="{00000000-0005-0000-0000-000049920000}"/>
    <cellStyle name="Normal 8 27 8 6" xfId="36583" xr:uid="{00000000-0005-0000-0000-00004A920000}"/>
    <cellStyle name="Normal 8 27 9" xfId="36584" xr:uid="{00000000-0005-0000-0000-00004B920000}"/>
    <cellStyle name="Normal 8 28" xfId="36585" xr:uid="{00000000-0005-0000-0000-00004C920000}"/>
    <cellStyle name="Normal 8 28 10" xfId="36586" xr:uid="{00000000-0005-0000-0000-00004D920000}"/>
    <cellStyle name="Normal 8 28 11" xfId="36587" xr:uid="{00000000-0005-0000-0000-00004E920000}"/>
    <cellStyle name="Normal 8 28 12" xfId="36588" xr:uid="{00000000-0005-0000-0000-00004F920000}"/>
    <cellStyle name="Normal 8 28 13" xfId="36589" xr:uid="{00000000-0005-0000-0000-000050920000}"/>
    <cellStyle name="Normal 8 28 2" xfId="36590" xr:uid="{00000000-0005-0000-0000-000051920000}"/>
    <cellStyle name="Normal 8 28 2 2" xfId="36591" xr:uid="{00000000-0005-0000-0000-000052920000}"/>
    <cellStyle name="Normal 8 28 2 3" xfId="36592" xr:uid="{00000000-0005-0000-0000-000053920000}"/>
    <cellStyle name="Normal 8 28 2 4" xfId="36593" xr:uid="{00000000-0005-0000-0000-000054920000}"/>
    <cellStyle name="Normal 8 28 2 5" xfId="36594" xr:uid="{00000000-0005-0000-0000-000055920000}"/>
    <cellStyle name="Normal 8 28 2 6" xfId="36595" xr:uid="{00000000-0005-0000-0000-000056920000}"/>
    <cellStyle name="Normal 8 28 3" xfId="36596" xr:uid="{00000000-0005-0000-0000-000057920000}"/>
    <cellStyle name="Normal 8 28 3 2" xfId="36597" xr:uid="{00000000-0005-0000-0000-000058920000}"/>
    <cellStyle name="Normal 8 28 3 3" xfId="36598" xr:uid="{00000000-0005-0000-0000-000059920000}"/>
    <cellStyle name="Normal 8 28 3 4" xfId="36599" xr:uid="{00000000-0005-0000-0000-00005A920000}"/>
    <cellStyle name="Normal 8 28 3 5" xfId="36600" xr:uid="{00000000-0005-0000-0000-00005B920000}"/>
    <cellStyle name="Normal 8 28 3 6" xfId="36601" xr:uid="{00000000-0005-0000-0000-00005C920000}"/>
    <cellStyle name="Normal 8 28 4" xfId="36602" xr:uid="{00000000-0005-0000-0000-00005D920000}"/>
    <cellStyle name="Normal 8 28 4 2" xfId="36603" xr:uid="{00000000-0005-0000-0000-00005E920000}"/>
    <cellStyle name="Normal 8 28 4 3" xfId="36604" xr:uid="{00000000-0005-0000-0000-00005F920000}"/>
    <cellStyle name="Normal 8 28 4 4" xfId="36605" xr:uid="{00000000-0005-0000-0000-000060920000}"/>
    <cellStyle name="Normal 8 28 4 5" xfId="36606" xr:uid="{00000000-0005-0000-0000-000061920000}"/>
    <cellStyle name="Normal 8 28 4 6" xfId="36607" xr:uid="{00000000-0005-0000-0000-000062920000}"/>
    <cellStyle name="Normal 8 28 5" xfId="36608" xr:uid="{00000000-0005-0000-0000-000063920000}"/>
    <cellStyle name="Normal 8 28 5 2" xfId="36609" xr:uid="{00000000-0005-0000-0000-000064920000}"/>
    <cellStyle name="Normal 8 28 5 3" xfId="36610" xr:uid="{00000000-0005-0000-0000-000065920000}"/>
    <cellStyle name="Normal 8 28 5 4" xfId="36611" xr:uid="{00000000-0005-0000-0000-000066920000}"/>
    <cellStyle name="Normal 8 28 5 5" xfId="36612" xr:uid="{00000000-0005-0000-0000-000067920000}"/>
    <cellStyle name="Normal 8 28 5 6" xfId="36613" xr:uid="{00000000-0005-0000-0000-000068920000}"/>
    <cellStyle name="Normal 8 28 6" xfId="36614" xr:uid="{00000000-0005-0000-0000-000069920000}"/>
    <cellStyle name="Normal 8 28 6 2" xfId="36615" xr:uid="{00000000-0005-0000-0000-00006A920000}"/>
    <cellStyle name="Normal 8 28 6 3" xfId="36616" xr:uid="{00000000-0005-0000-0000-00006B920000}"/>
    <cellStyle name="Normal 8 28 6 4" xfId="36617" xr:uid="{00000000-0005-0000-0000-00006C920000}"/>
    <cellStyle name="Normal 8 28 6 5" xfId="36618" xr:uid="{00000000-0005-0000-0000-00006D920000}"/>
    <cellStyle name="Normal 8 28 6 6" xfId="36619" xr:uid="{00000000-0005-0000-0000-00006E920000}"/>
    <cellStyle name="Normal 8 28 7" xfId="36620" xr:uid="{00000000-0005-0000-0000-00006F920000}"/>
    <cellStyle name="Normal 8 28 7 2" xfId="36621" xr:uid="{00000000-0005-0000-0000-000070920000}"/>
    <cellStyle name="Normal 8 28 7 3" xfId="36622" xr:uid="{00000000-0005-0000-0000-000071920000}"/>
    <cellStyle name="Normal 8 28 7 4" xfId="36623" xr:uid="{00000000-0005-0000-0000-000072920000}"/>
    <cellStyle name="Normal 8 28 7 5" xfId="36624" xr:uid="{00000000-0005-0000-0000-000073920000}"/>
    <cellStyle name="Normal 8 28 7 6" xfId="36625" xr:uid="{00000000-0005-0000-0000-000074920000}"/>
    <cellStyle name="Normal 8 28 8" xfId="36626" xr:uid="{00000000-0005-0000-0000-000075920000}"/>
    <cellStyle name="Normal 8 28 8 2" xfId="36627" xr:uid="{00000000-0005-0000-0000-000076920000}"/>
    <cellStyle name="Normal 8 28 8 3" xfId="36628" xr:uid="{00000000-0005-0000-0000-000077920000}"/>
    <cellStyle name="Normal 8 28 8 4" xfId="36629" xr:uid="{00000000-0005-0000-0000-000078920000}"/>
    <cellStyle name="Normal 8 28 8 5" xfId="36630" xr:uid="{00000000-0005-0000-0000-000079920000}"/>
    <cellStyle name="Normal 8 28 8 6" xfId="36631" xr:uid="{00000000-0005-0000-0000-00007A920000}"/>
    <cellStyle name="Normal 8 28 9" xfId="36632" xr:uid="{00000000-0005-0000-0000-00007B920000}"/>
    <cellStyle name="Normal 8 29" xfId="36633" xr:uid="{00000000-0005-0000-0000-00007C920000}"/>
    <cellStyle name="Normal 8 29 10" xfId="36634" xr:uid="{00000000-0005-0000-0000-00007D920000}"/>
    <cellStyle name="Normal 8 29 11" xfId="36635" xr:uid="{00000000-0005-0000-0000-00007E920000}"/>
    <cellStyle name="Normal 8 29 12" xfId="36636" xr:uid="{00000000-0005-0000-0000-00007F920000}"/>
    <cellStyle name="Normal 8 29 13" xfId="36637" xr:uid="{00000000-0005-0000-0000-000080920000}"/>
    <cellStyle name="Normal 8 29 2" xfId="36638" xr:uid="{00000000-0005-0000-0000-000081920000}"/>
    <cellStyle name="Normal 8 29 2 2" xfId="36639" xr:uid="{00000000-0005-0000-0000-000082920000}"/>
    <cellStyle name="Normal 8 29 2 3" xfId="36640" xr:uid="{00000000-0005-0000-0000-000083920000}"/>
    <cellStyle name="Normal 8 29 2 4" xfId="36641" xr:uid="{00000000-0005-0000-0000-000084920000}"/>
    <cellStyle name="Normal 8 29 2 5" xfId="36642" xr:uid="{00000000-0005-0000-0000-000085920000}"/>
    <cellStyle name="Normal 8 29 2 6" xfId="36643" xr:uid="{00000000-0005-0000-0000-000086920000}"/>
    <cellStyle name="Normal 8 29 3" xfId="36644" xr:uid="{00000000-0005-0000-0000-000087920000}"/>
    <cellStyle name="Normal 8 29 3 2" xfId="36645" xr:uid="{00000000-0005-0000-0000-000088920000}"/>
    <cellStyle name="Normal 8 29 3 3" xfId="36646" xr:uid="{00000000-0005-0000-0000-000089920000}"/>
    <cellStyle name="Normal 8 29 3 4" xfId="36647" xr:uid="{00000000-0005-0000-0000-00008A920000}"/>
    <cellStyle name="Normal 8 29 3 5" xfId="36648" xr:uid="{00000000-0005-0000-0000-00008B920000}"/>
    <cellStyle name="Normal 8 29 3 6" xfId="36649" xr:uid="{00000000-0005-0000-0000-00008C920000}"/>
    <cellStyle name="Normal 8 29 4" xfId="36650" xr:uid="{00000000-0005-0000-0000-00008D920000}"/>
    <cellStyle name="Normal 8 29 4 2" xfId="36651" xr:uid="{00000000-0005-0000-0000-00008E920000}"/>
    <cellStyle name="Normal 8 29 4 3" xfId="36652" xr:uid="{00000000-0005-0000-0000-00008F920000}"/>
    <cellStyle name="Normal 8 29 4 4" xfId="36653" xr:uid="{00000000-0005-0000-0000-000090920000}"/>
    <cellStyle name="Normal 8 29 4 5" xfId="36654" xr:uid="{00000000-0005-0000-0000-000091920000}"/>
    <cellStyle name="Normal 8 29 4 6" xfId="36655" xr:uid="{00000000-0005-0000-0000-000092920000}"/>
    <cellStyle name="Normal 8 29 5" xfId="36656" xr:uid="{00000000-0005-0000-0000-000093920000}"/>
    <cellStyle name="Normal 8 29 5 2" xfId="36657" xr:uid="{00000000-0005-0000-0000-000094920000}"/>
    <cellStyle name="Normal 8 29 5 3" xfId="36658" xr:uid="{00000000-0005-0000-0000-000095920000}"/>
    <cellStyle name="Normal 8 29 5 4" xfId="36659" xr:uid="{00000000-0005-0000-0000-000096920000}"/>
    <cellStyle name="Normal 8 29 5 5" xfId="36660" xr:uid="{00000000-0005-0000-0000-000097920000}"/>
    <cellStyle name="Normal 8 29 5 6" xfId="36661" xr:uid="{00000000-0005-0000-0000-000098920000}"/>
    <cellStyle name="Normal 8 29 6" xfId="36662" xr:uid="{00000000-0005-0000-0000-000099920000}"/>
    <cellStyle name="Normal 8 29 6 2" xfId="36663" xr:uid="{00000000-0005-0000-0000-00009A920000}"/>
    <cellStyle name="Normal 8 29 6 3" xfId="36664" xr:uid="{00000000-0005-0000-0000-00009B920000}"/>
    <cellStyle name="Normal 8 29 6 4" xfId="36665" xr:uid="{00000000-0005-0000-0000-00009C920000}"/>
    <cellStyle name="Normal 8 29 6 5" xfId="36666" xr:uid="{00000000-0005-0000-0000-00009D920000}"/>
    <cellStyle name="Normal 8 29 6 6" xfId="36667" xr:uid="{00000000-0005-0000-0000-00009E920000}"/>
    <cellStyle name="Normal 8 29 7" xfId="36668" xr:uid="{00000000-0005-0000-0000-00009F920000}"/>
    <cellStyle name="Normal 8 29 7 2" xfId="36669" xr:uid="{00000000-0005-0000-0000-0000A0920000}"/>
    <cellStyle name="Normal 8 29 7 3" xfId="36670" xr:uid="{00000000-0005-0000-0000-0000A1920000}"/>
    <cellStyle name="Normal 8 29 7 4" xfId="36671" xr:uid="{00000000-0005-0000-0000-0000A2920000}"/>
    <cellStyle name="Normal 8 29 7 5" xfId="36672" xr:uid="{00000000-0005-0000-0000-0000A3920000}"/>
    <cellStyle name="Normal 8 29 7 6" xfId="36673" xr:uid="{00000000-0005-0000-0000-0000A4920000}"/>
    <cellStyle name="Normal 8 29 8" xfId="36674" xr:uid="{00000000-0005-0000-0000-0000A5920000}"/>
    <cellStyle name="Normal 8 29 8 2" xfId="36675" xr:uid="{00000000-0005-0000-0000-0000A6920000}"/>
    <cellStyle name="Normal 8 29 8 3" xfId="36676" xr:uid="{00000000-0005-0000-0000-0000A7920000}"/>
    <cellStyle name="Normal 8 29 8 4" xfId="36677" xr:uid="{00000000-0005-0000-0000-0000A8920000}"/>
    <cellStyle name="Normal 8 29 8 5" xfId="36678" xr:uid="{00000000-0005-0000-0000-0000A9920000}"/>
    <cellStyle name="Normal 8 29 8 6" xfId="36679" xr:uid="{00000000-0005-0000-0000-0000AA920000}"/>
    <cellStyle name="Normal 8 29 9" xfId="36680" xr:uid="{00000000-0005-0000-0000-0000AB920000}"/>
    <cellStyle name="Normal 8 3" xfId="1094" xr:uid="{00000000-0005-0000-0000-0000AC920000}"/>
    <cellStyle name="Normal 8 3 10" xfId="36681" xr:uid="{00000000-0005-0000-0000-0000AD920000}"/>
    <cellStyle name="Normal 8 3 11" xfId="36682" xr:uid="{00000000-0005-0000-0000-0000AE920000}"/>
    <cellStyle name="Normal 8 3 12" xfId="36683" xr:uid="{00000000-0005-0000-0000-0000AF920000}"/>
    <cellStyle name="Normal 8 3 13" xfId="36684" xr:uid="{00000000-0005-0000-0000-0000B0920000}"/>
    <cellStyle name="Normal 8 3 14" xfId="36685" xr:uid="{00000000-0005-0000-0000-0000B1920000}"/>
    <cellStyle name="Normal 8 3 2" xfId="36686" xr:uid="{00000000-0005-0000-0000-0000B2920000}"/>
    <cellStyle name="Normal 8 3 2 2" xfId="36687" xr:uid="{00000000-0005-0000-0000-0000B3920000}"/>
    <cellStyle name="Normal 8 3 2 3" xfId="36688" xr:uid="{00000000-0005-0000-0000-0000B4920000}"/>
    <cellStyle name="Normal 8 3 2 4" xfId="36689" xr:uid="{00000000-0005-0000-0000-0000B5920000}"/>
    <cellStyle name="Normal 8 3 2 5" xfId="36690" xr:uid="{00000000-0005-0000-0000-0000B6920000}"/>
    <cellStyle name="Normal 8 3 2 6" xfId="36691" xr:uid="{00000000-0005-0000-0000-0000B7920000}"/>
    <cellStyle name="Normal 8 3 3" xfId="36692" xr:uid="{00000000-0005-0000-0000-0000B8920000}"/>
    <cellStyle name="Normal 8 3 3 2" xfId="36693" xr:uid="{00000000-0005-0000-0000-0000B9920000}"/>
    <cellStyle name="Normal 8 3 3 3" xfId="36694" xr:uid="{00000000-0005-0000-0000-0000BA920000}"/>
    <cellStyle name="Normal 8 3 3 4" xfId="36695" xr:uid="{00000000-0005-0000-0000-0000BB920000}"/>
    <cellStyle name="Normal 8 3 3 5" xfId="36696" xr:uid="{00000000-0005-0000-0000-0000BC920000}"/>
    <cellStyle name="Normal 8 3 3 6" xfId="36697" xr:uid="{00000000-0005-0000-0000-0000BD920000}"/>
    <cellStyle name="Normal 8 3 4" xfId="36698" xr:uid="{00000000-0005-0000-0000-0000BE920000}"/>
    <cellStyle name="Normal 8 3 4 2" xfId="36699" xr:uid="{00000000-0005-0000-0000-0000BF920000}"/>
    <cellStyle name="Normal 8 3 4 3" xfId="36700" xr:uid="{00000000-0005-0000-0000-0000C0920000}"/>
    <cellStyle name="Normal 8 3 4 4" xfId="36701" xr:uid="{00000000-0005-0000-0000-0000C1920000}"/>
    <cellStyle name="Normal 8 3 4 5" xfId="36702" xr:uid="{00000000-0005-0000-0000-0000C2920000}"/>
    <cellStyle name="Normal 8 3 4 6" xfId="36703" xr:uid="{00000000-0005-0000-0000-0000C3920000}"/>
    <cellStyle name="Normal 8 3 5" xfId="36704" xr:uid="{00000000-0005-0000-0000-0000C4920000}"/>
    <cellStyle name="Normal 8 3 5 2" xfId="36705" xr:uid="{00000000-0005-0000-0000-0000C5920000}"/>
    <cellStyle name="Normal 8 3 5 3" xfId="36706" xr:uid="{00000000-0005-0000-0000-0000C6920000}"/>
    <cellStyle name="Normal 8 3 5 4" xfId="36707" xr:uid="{00000000-0005-0000-0000-0000C7920000}"/>
    <cellStyle name="Normal 8 3 5 5" xfId="36708" xr:uid="{00000000-0005-0000-0000-0000C8920000}"/>
    <cellStyle name="Normal 8 3 5 6" xfId="36709" xr:uid="{00000000-0005-0000-0000-0000C9920000}"/>
    <cellStyle name="Normal 8 3 6" xfId="36710" xr:uid="{00000000-0005-0000-0000-0000CA920000}"/>
    <cellStyle name="Normal 8 3 6 2" xfId="36711" xr:uid="{00000000-0005-0000-0000-0000CB920000}"/>
    <cellStyle name="Normal 8 3 6 3" xfId="36712" xr:uid="{00000000-0005-0000-0000-0000CC920000}"/>
    <cellStyle name="Normal 8 3 6 4" xfId="36713" xr:uid="{00000000-0005-0000-0000-0000CD920000}"/>
    <cellStyle name="Normal 8 3 6 5" xfId="36714" xr:uid="{00000000-0005-0000-0000-0000CE920000}"/>
    <cellStyle name="Normal 8 3 6 6" xfId="36715" xr:uid="{00000000-0005-0000-0000-0000CF920000}"/>
    <cellStyle name="Normal 8 3 7" xfId="36716" xr:uid="{00000000-0005-0000-0000-0000D0920000}"/>
    <cellStyle name="Normal 8 3 7 2" xfId="36717" xr:uid="{00000000-0005-0000-0000-0000D1920000}"/>
    <cellStyle name="Normal 8 3 7 3" xfId="36718" xr:uid="{00000000-0005-0000-0000-0000D2920000}"/>
    <cellStyle name="Normal 8 3 7 4" xfId="36719" xr:uid="{00000000-0005-0000-0000-0000D3920000}"/>
    <cellStyle name="Normal 8 3 7 5" xfId="36720" xr:uid="{00000000-0005-0000-0000-0000D4920000}"/>
    <cellStyle name="Normal 8 3 7 6" xfId="36721" xr:uid="{00000000-0005-0000-0000-0000D5920000}"/>
    <cellStyle name="Normal 8 3 8" xfId="36722" xr:uid="{00000000-0005-0000-0000-0000D6920000}"/>
    <cellStyle name="Normal 8 3 8 2" xfId="36723" xr:uid="{00000000-0005-0000-0000-0000D7920000}"/>
    <cellStyle name="Normal 8 3 8 3" xfId="36724" xr:uid="{00000000-0005-0000-0000-0000D8920000}"/>
    <cellStyle name="Normal 8 3 8 4" xfId="36725" xr:uid="{00000000-0005-0000-0000-0000D9920000}"/>
    <cellStyle name="Normal 8 3 8 5" xfId="36726" xr:uid="{00000000-0005-0000-0000-0000DA920000}"/>
    <cellStyle name="Normal 8 3 8 6" xfId="36727" xr:uid="{00000000-0005-0000-0000-0000DB920000}"/>
    <cellStyle name="Normal 8 3 9" xfId="36728" xr:uid="{00000000-0005-0000-0000-0000DC920000}"/>
    <cellStyle name="Normal 8 30" xfId="36729" xr:uid="{00000000-0005-0000-0000-0000DD920000}"/>
    <cellStyle name="Normal 8 30 10" xfId="36730" xr:uid="{00000000-0005-0000-0000-0000DE920000}"/>
    <cellStyle name="Normal 8 30 11" xfId="36731" xr:uid="{00000000-0005-0000-0000-0000DF920000}"/>
    <cellStyle name="Normal 8 30 12" xfId="36732" xr:uid="{00000000-0005-0000-0000-0000E0920000}"/>
    <cellStyle name="Normal 8 30 13" xfId="36733" xr:uid="{00000000-0005-0000-0000-0000E1920000}"/>
    <cellStyle name="Normal 8 30 2" xfId="36734" xr:uid="{00000000-0005-0000-0000-0000E2920000}"/>
    <cellStyle name="Normal 8 30 2 2" xfId="36735" xr:uid="{00000000-0005-0000-0000-0000E3920000}"/>
    <cellStyle name="Normal 8 30 2 3" xfId="36736" xr:uid="{00000000-0005-0000-0000-0000E4920000}"/>
    <cellStyle name="Normal 8 30 2 4" xfId="36737" xr:uid="{00000000-0005-0000-0000-0000E5920000}"/>
    <cellStyle name="Normal 8 30 2 5" xfId="36738" xr:uid="{00000000-0005-0000-0000-0000E6920000}"/>
    <cellStyle name="Normal 8 30 2 6" xfId="36739" xr:uid="{00000000-0005-0000-0000-0000E7920000}"/>
    <cellStyle name="Normal 8 30 3" xfId="36740" xr:uid="{00000000-0005-0000-0000-0000E8920000}"/>
    <cellStyle name="Normal 8 30 3 2" xfId="36741" xr:uid="{00000000-0005-0000-0000-0000E9920000}"/>
    <cellStyle name="Normal 8 30 3 3" xfId="36742" xr:uid="{00000000-0005-0000-0000-0000EA920000}"/>
    <cellStyle name="Normal 8 30 3 4" xfId="36743" xr:uid="{00000000-0005-0000-0000-0000EB920000}"/>
    <cellStyle name="Normal 8 30 3 5" xfId="36744" xr:uid="{00000000-0005-0000-0000-0000EC920000}"/>
    <cellStyle name="Normal 8 30 3 6" xfId="36745" xr:uid="{00000000-0005-0000-0000-0000ED920000}"/>
    <cellStyle name="Normal 8 30 4" xfId="36746" xr:uid="{00000000-0005-0000-0000-0000EE920000}"/>
    <cellStyle name="Normal 8 30 4 2" xfId="36747" xr:uid="{00000000-0005-0000-0000-0000EF920000}"/>
    <cellStyle name="Normal 8 30 4 3" xfId="36748" xr:uid="{00000000-0005-0000-0000-0000F0920000}"/>
    <cellStyle name="Normal 8 30 4 4" xfId="36749" xr:uid="{00000000-0005-0000-0000-0000F1920000}"/>
    <cellStyle name="Normal 8 30 4 5" xfId="36750" xr:uid="{00000000-0005-0000-0000-0000F2920000}"/>
    <cellStyle name="Normal 8 30 4 6" xfId="36751" xr:uid="{00000000-0005-0000-0000-0000F3920000}"/>
    <cellStyle name="Normal 8 30 5" xfId="36752" xr:uid="{00000000-0005-0000-0000-0000F4920000}"/>
    <cellStyle name="Normal 8 30 5 2" xfId="36753" xr:uid="{00000000-0005-0000-0000-0000F5920000}"/>
    <cellStyle name="Normal 8 30 5 3" xfId="36754" xr:uid="{00000000-0005-0000-0000-0000F6920000}"/>
    <cellStyle name="Normal 8 30 5 4" xfId="36755" xr:uid="{00000000-0005-0000-0000-0000F7920000}"/>
    <cellStyle name="Normal 8 30 5 5" xfId="36756" xr:uid="{00000000-0005-0000-0000-0000F8920000}"/>
    <cellStyle name="Normal 8 30 5 6" xfId="36757" xr:uid="{00000000-0005-0000-0000-0000F9920000}"/>
    <cellStyle name="Normal 8 30 6" xfId="36758" xr:uid="{00000000-0005-0000-0000-0000FA920000}"/>
    <cellStyle name="Normal 8 30 6 2" xfId="36759" xr:uid="{00000000-0005-0000-0000-0000FB920000}"/>
    <cellStyle name="Normal 8 30 6 3" xfId="36760" xr:uid="{00000000-0005-0000-0000-0000FC920000}"/>
    <cellStyle name="Normal 8 30 6 4" xfId="36761" xr:uid="{00000000-0005-0000-0000-0000FD920000}"/>
    <cellStyle name="Normal 8 30 6 5" xfId="36762" xr:uid="{00000000-0005-0000-0000-0000FE920000}"/>
    <cellStyle name="Normal 8 30 6 6" xfId="36763" xr:uid="{00000000-0005-0000-0000-0000FF920000}"/>
    <cellStyle name="Normal 8 30 7" xfId="36764" xr:uid="{00000000-0005-0000-0000-000000930000}"/>
    <cellStyle name="Normal 8 30 7 2" xfId="36765" xr:uid="{00000000-0005-0000-0000-000001930000}"/>
    <cellStyle name="Normal 8 30 7 3" xfId="36766" xr:uid="{00000000-0005-0000-0000-000002930000}"/>
    <cellStyle name="Normal 8 30 7 4" xfId="36767" xr:uid="{00000000-0005-0000-0000-000003930000}"/>
    <cellStyle name="Normal 8 30 7 5" xfId="36768" xr:uid="{00000000-0005-0000-0000-000004930000}"/>
    <cellStyle name="Normal 8 30 7 6" xfId="36769" xr:uid="{00000000-0005-0000-0000-000005930000}"/>
    <cellStyle name="Normal 8 30 8" xfId="36770" xr:uid="{00000000-0005-0000-0000-000006930000}"/>
    <cellStyle name="Normal 8 30 8 2" xfId="36771" xr:uid="{00000000-0005-0000-0000-000007930000}"/>
    <cellStyle name="Normal 8 30 8 3" xfId="36772" xr:uid="{00000000-0005-0000-0000-000008930000}"/>
    <cellStyle name="Normal 8 30 8 4" xfId="36773" xr:uid="{00000000-0005-0000-0000-000009930000}"/>
    <cellStyle name="Normal 8 30 8 5" xfId="36774" xr:uid="{00000000-0005-0000-0000-00000A930000}"/>
    <cellStyle name="Normal 8 30 8 6" xfId="36775" xr:uid="{00000000-0005-0000-0000-00000B930000}"/>
    <cellStyle name="Normal 8 30 9" xfId="36776" xr:uid="{00000000-0005-0000-0000-00000C930000}"/>
    <cellStyle name="Normal 8 31" xfId="36777" xr:uid="{00000000-0005-0000-0000-00000D930000}"/>
    <cellStyle name="Normal 8 31 10" xfId="36778" xr:uid="{00000000-0005-0000-0000-00000E930000}"/>
    <cellStyle name="Normal 8 31 11" xfId="36779" xr:uid="{00000000-0005-0000-0000-00000F930000}"/>
    <cellStyle name="Normal 8 31 12" xfId="36780" xr:uid="{00000000-0005-0000-0000-000010930000}"/>
    <cellStyle name="Normal 8 31 13" xfId="36781" xr:uid="{00000000-0005-0000-0000-000011930000}"/>
    <cellStyle name="Normal 8 31 2" xfId="36782" xr:uid="{00000000-0005-0000-0000-000012930000}"/>
    <cellStyle name="Normal 8 31 2 2" xfId="36783" xr:uid="{00000000-0005-0000-0000-000013930000}"/>
    <cellStyle name="Normal 8 31 2 3" xfId="36784" xr:uid="{00000000-0005-0000-0000-000014930000}"/>
    <cellStyle name="Normal 8 31 2 4" xfId="36785" xr:uid="{00000000-0005-0000-0000-000015930000}"/>
    <cellStyle name="Normal 8 31 2 5" xfId="36786" xr:uid="{00000000-0005-0000-0000-000016930000}"/>
    <cellStyle name="Normal 8 31 2 6" xfId="36787" xr:uid="{00000000-0005-0000-0000-000017930000}"/>
    <cellStyle name="Normal 8 31 3" xfId="36788" xr:uid="{00000000-0005-0000-0000-000018930000}"/>
    <cellStyle name="Normal 8 31 3 2" xfId="36789" xr:uid="{00000000-0005-0000-0000-000019930000}"/>
    <cellStyle name="Normal 8 31 3 3" xfId="36790" xr:uid="{00000000-0005-0000-0000-00001A930000}"/>
    <cellStyle name="Normal 8 31 3 4" xfId="36791" xr:uid="{00000000-0005-0000-0000-00001B930000}"/>
    <cellStyle name="Normal 8 31 3 5" xfId="36792" xr:uid="{00000000-0005-0000-0000-00001C930000}"/>
    <cellStyle name="Normal 8 31 3 6" xfId="36793" xr:uid="{00000000-0005-0000-0000-00001D930000}"/>
    <cellStyle name="Normal 8 31 4" xfId="36794" xr:uid="{00000000-0005-0000-0000-00001E930000}"/>
    <cellStyle name="Normal 8 31 4 2" xfId="36795" xr:uid="{00000000-0005-0000-0000-00001F930000}"/>
    <cellStyle name="Normal 8 31 4 3" xfId="36796" xr:uid="{00000000-0005-0000-0000-000020930000}"/>
    <cellStyle name="Normal 8 31 4 4" xfId="36797" xr:uid="{00000000-0005-0000-0000-000021930000}"/>
    <cellStyle name="Normal 8 31 4 5" xfId="36798" xr:uid="{00000000-0005-0000-0000-000022930000}"/>
    <cellStyle name="Normal 8 31 4 6" xfId="36799" xr:uid="{00000000-0005-0000-0000-000023930000}"/>
    <cellStyle name="Normal 8 31 5" xfId="36800" xr:uid="{00000000-0005-0000-0000-000024930000}"/>
    <cellStyle name="Normal 8 31 5 2" xfId="36801" xr:uid="{00000000-0005-0000-0000-000025930000}"/>
    <cellStyle name="Normal 8 31 5 3" xfId="36802" xr:uid="{00000000-0005-0000-0000-000026930000}"/>
    <cellStyle name="Normal 8 31 5 4" xfId="36803" xr:uid="{00000000-0005-0000-0000-000027930000}"/>
    <cellStyle name="Normal 8 31 5 5" xfId="36804" xr:uid="{00000000-0005-0000-0000-000028930000}"/>
    <cellStyle name="Normal 8 31 5 6" xfId="36805" xr:uid="{00000000-0005-0000-0000-000029930000}"/>
    <cellStyle name="Normal 8 31 6" xfId="36806" xr:uid="{00000000-0005-0000-0000-00002A930000}"/>
    <cellStyle name="Normal 8 31 6 2" xfId="36807" xr:uid="{00000000-0005-0000-0000-00002B930000}"/>
    <cellStyle name="Normal 8 31 6 3" xfId="36808" xr:uid="{00000000-0005-0000-0000-00002C930000}"/>
    <cellStyle name="Normal 8 31 6 4" xfId="36809" xr:uid="{00000000-0005-0000-0000-00002D930000}"/>
    <cellStyle name="Normal 8 31 6 5" xfId="36810" xr:uid="{00000000-0005-0000-0000-00002E930000}"/>
    <cellStyle name="Normal 8 31 6 6" xfId="36811" xr:uid="{00000000-0005-0000-0000-00002F930000}"/>
    <cellStyle name="Normal 8 31 7" xfId="36812" xr:uid="{00000000-0005-0000-0000-000030930000}"/>
    <cellStyle name="Normal 8 31 7 2" xfId="36813" xr:uid="{00000000-0005-0000-0000-000031930000}"/>
    <cellStyle name="Normal 8 31 7 3" xfId="36814" xr:uid="{00000000-0005-0000-0000-000032930000}"/>
    <cellStyle name="Normal 8 31 7 4" xfId="36815" xr:uid="{00000000-0005-0000-0000-000033930000}"/>
    <cellStyle name="Normal 8 31 7 5" xfId="36816" xr:uid="{00000000-0005-0000-0000-000034930000}"/>
    <cellStyle name="Normal 8 31 7 6" xfId="36817" xr:uid="{00000000-0005-0000-0000-000035930000}"/>
    <cellStyle name="Normal 8 31 8" xfId="36818" xr:uid="{00000000-0005-0000-0000-000036930000}"/>
    <cellStyle name="Normal 8 31 8 2" xfId="36819" xr:uid="{00000000-0005-0000-0000-000037930000}"/>
    <cellStyle name="Normal 8 31 8 3" xfId="36820" xr:uid="{00000000-0005-0000-0000-000038930000}"/>
    <cellStyle name="Normal 8 31 8 4" xfId="36821" xr:uid="{00000000-0005-0000-0000-000039930000}"/>
    <cellStyle name="Normal 8 31 8 5" xfId="36822" xr:uid="{00000000-0005-0000-0000-00003A930000}"/>
    <cellStyle name="Normal 8 31 8 6" xfId="36823" xr:uid="{00000000-0005-0000-0000-00003B930000}"/>
    <cellStyle name="Normal 8 31 9" xfId="36824" xr:uid="{00000000-0005-0000-0000-00003C930000}"/>
    <cellStyle name="Normal 8 32" xfId="36825" xr:uid="{00000000-0005-0000-0000-00003D930000}"/>
    <cellStyle name="Normal 8 32 10" xfId="36826" xr:uid="{00000000-0005-0000-0000-00003E930000}"/>
    <cellStyle name="Normal 8 32 11" xfId="36827" xr:uid="{00000000-0005-0000-0000-00003F930000}"/>
    <cellStyle name="Normal 8 32 12" xfId="36828" xr:uid="{00000000-0005-0000-0000-000040930000}"/>
    <cellStyle name="Normal 8 32 13" xfId="36829" xr:uid="{00000000-0005-0000-0000-000041930000}"/>
    <cellStyle name="Normal 8 32 2" xfId="36830" xr:uid="{00000000-0005-0000-0000-000042930000}"/>
    <cellStyle name="Normal 8 32 2 2" xfId="36831" xr:uid="{00000000-0005-0000-0000-000043930000}"/>
    <cellStyle name="Normal 8 32 2 3" xfId="36832" xr:uid="{00000000-0005-0000-0000-000044930000}"/>
    <cellStyle name="Normal 8 32 2 4" xfId="36833" xr:uid="{00000000-0005-0000-0000-000045930000}"/>
    <cellStyle name="Normal 8 32 2 5" xfId="36834" xr:uid="{00000000-0005-0000-0000-000046930000}"/>
    <cellStyle name="Normal 8 32 2 6" xfId="36835" xr:uid="{00000000-0005-0000-0000-000047930000}"/>
    <cellStyle name="Normal 8 32 3" xfId="36836" xr:uid="{00000000-0005-0000-0000-000048930000}"/>
    <cellStyle name="Normal 8 32 3 2" xfId="36837" xr:uid="{00000000-0005-0000-0000-000049930000}"/>
    <cellStyle name="Normal 8 32 3 3" xfId="36838" xr:uid="{00000000-0005-0000-0000-00004A930000}"/>
    <cellStyle name="Normal 8 32 3 4" xfId="36839" xr:uid="{00000000-0005-0000-0000-00004B930000}"/>
    <cellStyle name="Normal 8 32 3 5" xfId="36840" xr:uid="{00000000-0005-0000-0000-00004C930000}"/>
    <cellStyle name="Normal 8 32 3 6" xfId="36841" xr:uid="{00000000-0005-0000-0000-00004D930000}"/>
    <cellStyle name="Normal 8 32 4" xfId="36842" xr:uid="{00000000-0005-0000-0000-00004E930000}"/>
    <cellStyle name="Normal 8 32 4 2" xfId="36843" xr:uid="{00000000-0005-0000-0000-00004F930000}"/>
    <cellStyle name="Normal 8 32 4 3" xfId="36844" xr:uid="{00000000-0005-0000-0000-000050930000}"/>
    <cellStyle name="Normal 8 32 4 4" xfId="36845" xr:uid="{00000000-0005-0000-0000-000051930000}"/>
    <cellStyle name="Normal 8 32 4 5" xfId="36846" xr:uid="{00000000-0005-0000-0000-000052930000}"/>
    <cellStyle name="Normal 8 32 4 6" xfId="36847" xr:uid="{00000000-0005-0000-0000-000053930000}"/>
    <cellStyle name="Normal 8 32 5" xfId="36848" xr:uid="{00000000-0005-0000-0000-000054930000}"/>
    <cellStyle name="Normal 8 32 5 2" xfId="36849" xr:uid="{00000000-0005-0000-0000-000055930000}"/>
    <cellStyle name="Normal 8 32 5 3" xfId="36850" xr:uid="{00000000-0005-0000-0000-000056930000}"/>
    <cellStyle name="Normal 8 32 5 4" xfId="36851" xr:uid="{00000000-0005-0000-0000-000057930000}"/>
    <cellStyle name="Normal 8 32 5 5" xfId="36852" xr:uid="{00000000-0005-0000-0000-000058930000}"/>
    <cellStyle name="Normal 8 32 5 6" xfId="36853" xr:uid="{00000000-0005-0000-0000-000059930000}"/>
    <cellStyle name="Normal 8 32 6" xfId="36854" xr:uid="{00000000-0005-0000-0000-00005A930000}"/>
    <cellStyle name="Normal 8 32 6 2" xfId="36855" xr:uid="{00000000-0005-0000-0000-00005B930000}"/>
    <cellStyle name="Normal 8 32 6 3" xfId="36856" xr:uid="{00000000-0005-0000-0000-00005C930000}"/>
    <cellStyle name="Normal 8 32 6 4" xfId="36857" xr:uid="{00000000-0005-0000-0000-00005D930000}"/>
    <cellStyle name="Normal 8 32 6 5" xfId="36858" xr:uid="{00000000-0005-0000-0000-00005E930000}"/>
    <cellStyle name="Normal 8 32 6 6" xfId="36859" xr:uid="{00000000-0005-0000-0000-00005F930000}"/>
    <cellStyle name="Normal 8 32 7" xfId="36860" xr:uid="{00000000-0005-0000-0000-000060930000}"/>
    <cellStyle name="Normal 8 32 7 2" xfId="36861" xr:uid="{00000000-0005-0000-0000-000061930000}"/>
    <cellStyle name="Normal 8 32 7 3" xfId="36862" xr:uid="{00000000-0005-0000-0000-000062930000}"/>
    <cellStyle name="Normal 8 32 7 4" xfId="36863" xr:uid="{00000000-0005-0000-0000-000063930000}"/>
    <cellStyle name="Normal 8 32 7 5" xfId="36864" xr:uid="{00000000-0005-0000-0000-000064930000}"/>
    <cellStyle name="Normal 8 32 7 6" xfId="36865" xr:uid="{00000000-0005-0000-0000-000065930000}"/>
    <cellStyle name="Normal 8 32 8" xfId="36866" xr:uid="{00000000-0005-0000-0000-000066930000}"/>
    <cellStyle name="Normal 8 32 8 2" xfId="36867" xr:uid="{00000000-0005-0000-0000-000067930000}"/>
    <cellStyle name="Normal 8 32 8 3" xfId="36868" xr:uid="{00000000-0005-0000-0000-000068930000}"/>
    <cellStyle name="Normal 8 32 8 4" xfId="36869" xr:uid="{00000000-0005-0000-0000-000069930000}"/>
    <cellStyle name="Normal 8 32 8 5" xfId="36870" xr:uid="{00000000-0005-0000-0000-00006A930000}"/>
    <cellStyle name="Normal 8 32 8 6" xfId="36871" xr:uid="{00000000-0005-0000-0000-00006B930000}"/>
    <cellStyle name="Normal 8 32 9" xfId="36872" xr:uid="{00000000-0005-0000-0000-00006C930000}"/>
    <cellStyle name="Normal 8 33" xfId="36873" xr:uid="{00000000-0005-0000-0000-00006D930000}"/>
    <cellStyle name="Normal 8 33 10" xfId="36874" xr:uid="{00000000-0005-0000-0000-00006E930000}"/>
    <cellStyle name="Normal 8 33 11" xfId="36875" xr:uid="{00000000-0005-0000-0000-00006F930000}"/>
    <cellStyle name="Normal 8 33 12" xfId="36876" xr:uid="{00000000-0005-0000-0000-000070930000}"/>
    <cellStyle name="Normal 8 33 13" xfId="36877" xr:uid="{00000000-0005-0000-0000-000071930000}"/>
    <cellStyle name="Normal 8 33 2" xfId="36878" xr:uid="{00000000-0005-0000-0000-000072930000}"/>
    <cellStyle name="Normal 8 33 2 2" xfId="36879" xr:uid="{00000000-0005-0000-0000-000073930000}"/>
    <cellStyle name="Normal 8 33 2 3" xfId="36880" xr:uid="{00000000-0005-0000-0000-000074930000}"/>
    <cellStyle name="Normal 8 33 2 4" xfId="36881" xr:uid="{00000000-0005-0000-0000-000075930000}"/>
    <cellStyle name="Normal 8 33 2 5" xfId="36882" xr:uid="{00000000-0005-0000-0000-000076930000}"/>
    <cellStyle name="Normal 8 33 2 6" xfId="36883" xr:uid="{00000000-0005-0000-0000-000077930000}"/>
    <cellStyle name="Normal 8 33 3" xfId="36884" xr:uid="{00000000-0005-0000-0000-000078930000}"/>
    <cellStyle name="Normal 8 33 3 2" xfId="36885" xr:uid="{00000000-0005-0000-0000-000079930000}"/>
    <cellStyle name="Normal 8 33 3 3" xfId="36886" xr:uid="{00000000-0005-0000-0000-00007A930000}"/>
    <cellStyle name="Normal 8 33 3 4" xfId="36887" xr:uid="{00000000-0005-0000-0000-00007B930000}"/>
    <cellStyle name="Normal 8 33 3 5" xfId="36888" xr:uid="{00000000-0005-0000-0000-00007C930000}"/>
    <cellStyle name="Normal 8 33 3 6" xfId="36889" xr:uid="{00000000-0005-0000-0000-00007D930000}"/>
    <cellStyle name="Normal 8 33 4" xfId="36890" xr:uid="{00000000-0005-0000-0000-00007E930000}"/>
    <cellStyle name="Normal 8 33 4 2" xfId="36891" xr:uid="{00000000-0005-0000-0000-00007F930000}"/>
    <cellStyle name="Normal 8 33 4 3" xfId="36892" xr:uid="{00000000-0005-0000-0000-000080930000}"/>
    <cellStyle name="Normal 8 33 4 4" xfId="36893" xr:uid="{00000000-0005-0000-0000-000081930000}"/>
    <cellStyle name="Normal 8 33 4 5" xfId="36894" xr:uid="{00000000-0005-0000-0000-000082930000}"/>
    <cellStyle name="Normal 8 33 4 6" xfId="36895" xr:uid="{00000000-0005-0000-0000-000083930000}"/>
    <cellStyle name="Normal 8 33 5" xfId="36896" xr:uid="{00000000-0005-0000-0000-000084930000}"/>
    <cellStyle name="Normal 8 33 5 2" xfId="36897" xr:uid="{00000000-0005-0000-0000-000085930000}"/>
    <cellStyle name="Normal 8 33 5 3" xfId="36898" xr:uid="{00000000-0005-0000-0000-000086930000}"/>
    <cellStyle name="Normal 8 33 5 4" xfId="36899" xr:uid="{00000000-0005-0000-0000-000087930000}"/>
    <cellStyle name="Normal 8 33 5 5" xfId="36900" xr:uid="{00000000-0005-0000-0000-000088930000}"/>
    <cellStyle name="Normal 8 33 5 6" xfId="36901" xr:uid="{00000000-0005-0000-0000-000089930000}"/>
    <cellStyle name="Normal 8 33 6" xfId="36902" xr:uid="{00000000-0005-0000-0000-00008A930000}"/>
    <cellStyle name="Normal 8 33 6 2" xfId="36903" xr:uid="{00000000-0005-0000-0000-00008B930000}"/>
    <cellStyle name="Normal 8 33 6 3" xfId="36904" xr:uid="{00000000-0005-0000-0000-00008C930000}"/>
    <cellStyle name="Normal 8 33 6 4" xfId="36905" xr:uid="{00000000-0005-0000-0000-00008D930000}"/>
    <cellStyle name="Normal 8 33 6 5" xfId="36906" xr:uid="{00000000-0005-0000-0000-00008E930000}"/>
    <cellStyle name="Normal 8 33 6 6" xfId="36907" xr:uid="{00000000-0005-0000-0000-00008F930000}"/>
    <cellStyle name="Normal 8 33 7" xfId="36908" xr:uid="{00000000-0005-0000-0000-000090930000}"/>
    <cellStyle name="Normal 8 33 7 2" xfId="36909" xr:uid="{00000000-0005-0000-0000-000091930000}"/>
    <cellStyle name="Normal 8 33 7 3" xfId="36910" xr:uid="{00000000-0005-0000-0000-000092930000}"/>
    <cellStyle name="Normal 8 33 7 4" xfId="36911" xr:uid="{00000000-0005-0000-0000-000093930000}"/>
    <cellStyle name="Normal 8 33 7 5" xfId="36912" xr:uid="{00000000-0005-0000-0000-000094930000}"/>
    <cellStyle name="Normal 8 33 7 6" xfId="36913" xr:uid="{00000000-0005-0000-0000-000095930000}"/>
    <cellStyle name="Normal 8 33 8" xfId="36914" xr:uid="{00000000-0005-0000-0000-000096930000}"/>
    <cellStyle name="Normal 8 33 8 2" xfId="36915" xr:uid="{00000000-0005-0000-0000-000097930000}"/>
    <cellStyle name="Normal 8 33 8 3" xfId="36916" xr:uid="{00000000-0005-0000-0000-000098930000}"/>
    <cellStyle name="Normal 8 33 8 4" xfId="36917" xr:uid="{00000000-0005-0000-0000-000099930000}"/>
    <cellStyle name="Normal 8 33 8 5" xfId="36918" xr:uid="{00000000-0005-0000-0000-00009A930000}"/>
    <cellStyle name="Normal 8 33 8 6" xfId="36919" xr:uid="{00000000-0005-0000-0000-00009B930000}"/>
    <cellStyle name="Normal 8 33 9" xfId="36920" xr:uid="{00000000-0005-0000-0000-00009C930000}"/>
    <cellStyle name="Normal 8 34" xfId="36921" xr:uid="{00000000-0005-0000-0000-00009D930000}"/>
    <cellStyle name="Normal 8 34 2" xfId="36922" xr:uid="{00000000-0005-0000-0000-00009E930000}"/>
    <cellStyle name="Normal 8 34 3" xfId="36923" xr:uid="{00000000-0005-0000-0000-00009F930000}"/>
    <cellStyle name="Normal 8 34 4" xfId="36924" xr:uid="{00000000-0005-0000-0000-0000A0930000}"/>
    <cellStyle name="Normal 8 34 5" xfId="36925" xr:uid="{00000000-0005-0000-0000-0000A1930000}"/>
    <cellStyle name="Normal 8 34 6" xfId="36926" xr:uid="{00000000-0005-0000-0000-0000A2930000}"/>
    <cellStyle name="Normal 8 35" xfId="36927" xr:uid="{00000000-0005-0000-0000-0000A3930000}"/>
    <cellStyle name="Normal 8 35 2" xfId="36928" xr:uid="{00000000-0005-0000-0000-0000A4930000}"/>
    <cellStyle name="Normal 8 35 3" xfId="36929" xr:uid="{00000000-0005-0000-0000-0000A5930000}"/>
    <cellStyle name="Normal 8 35 4" xfId="36930" xr:uid="{00000000-0005-0000-0000-0000A6930000}"/>
    <cellStyle name="Normal 8 35 5" xfId="36931" xr:uid="{00000000-0005-0000-0000-0000A7930000}"/>
    <cellStyle name="Normal 8 35 6" xfId="36932" xr:uid="{00000000-0005-0000-0000-0000A8930000}"/>
    <cellStyle name="Normal 8 36" xfId="36933" xr:uid="{00000000-0005-0000-0000-0000A9930000}"/>
    <cellStyle name="Normal 8 36 2" xfId="36934" xr:uid="{00000000-0005-0000-0000-0000AA930000}"/>
    <cellStyle name="Normal 8 36 3" xfId="36935" xr:uid="{00000000-0005-0000-0000-0000AB930000}"/>
    <cellStyle name="Normal 8 36 4" xfId="36936" xr:uid="{00000000-0005-0000-0000-0000AC930000}"/>
    <cellStyle name="Normal 8 36 5" xfId="36937" xr:uid="{00000000-0005-0000-0000-0000AD930000}"/>
    <cellStyle name="Normal 8 36 6" xfId="36938" xr:uid="{00000000-0005-0000-0000-0000AE930000}"/>
    <cellStyle name="Normal 8 37" xfId="36939" xr:uid="{00000000-0005-0000-0000-0000AF930000}"/>
    <cellStyle name="Normal 8 37 2" xfId="36940" xr:uid="{00000000-0005-0000-0000-0000B0930000}"/>
    <cellStyle name="Normal 8 37 3" xfId="36941" xr:uid="{00000000-0005-0000-0000-0000B1930000}"/>
    <cellStyle name="Normal 8 37 4" xfId="36942" xr:uid="{00000000-0005-0000-0000-0000B2930000}"/>
    <cellStyle name="Normal 8 37 5" xfId="36943" xr:uid="{00000000-0005-0000-0000-0000B3930000}"/>
    <cellStyle name="Normal 8 37 6" xfId="36944" xr:uid="{00000000-0005-0000-0000-0000B4930000}"/>
    <cellStyle name="Normal 8 38" xfId="36945" xr:uid="{00000000-0005-0000-0000-0000B5930000}"/>
    <cellStyle name="Normal 8 38 2" xfId="36946" xr:uid="{00000000-0005-0000-0000-0000B6930000}"/>
    <cellStyle name="Normal 8 38 3" xfId="36947" xr:uid="{00000000-0005-0000-0000-0000B7930000}"/>
    <cellStyle name="Normal 8 38 4" xfId="36948" xr:uid="{00000000-0005-0000-0000-0000B8930000}"/>
    <cellStyle name="Normal 8 38 5" xfId="36949" xr:uid="{00000000-0005-0000-0000-0000B9930000}"/>
    <cellStyle name="Normal 8 38 6" xfId="36950" xr:uid="{00000000-0005-0000-0000-0000BA930000}"/>
    <cellStyle name="Normal 8 39" xfId="36951" xr:uid="{00000000-0005-0000-0000-0000BB930000}"/>
    <cellStyle name="Normal 8 39 2" xfId="36952" xr:uid="{00000000-0005-0000-0000-0000BC930000}"/>
    <cellStyle name="Normal 8 39 3" xfId="36953" xr:uid="{00000000-0005-0000-0000-0000BD930000}"/>
    <cellStyle name="Normal 8 39 4" xfId="36954" xr:uid="{00000000-0005-0000-0000-0000BE930000}"/>
    <cellStyle name="Normal 8 39 5" xfId="36955" xr:uid="{00000000-0005-0000-0000-0000BF930000}"/>
    <cellStyle name="Normal 8 39 6" xfId="36956" xr:uid="{00000000-0005-0000-0000-0000C0930000}"/>
    <cellStyle name="Normal 8 4" xfId="36957" xr:uid="{00000000-0005-0000-0000-0000C1930000}"/>
    <cellStyle name="Normal 8 4 10" xfId="36958" xr:uid="{00000000-0005-0000-0000-0000C2930000}"/>
    <cellStyle name="Normal 8 4 11" xfId="36959" xr:uid="{00000000-0005-0000-0000-0000C3930000}"/>
    <cellStyle name="Normal 8 4 12" xfId="36960" xr:uid="{00000000-0005-0000-0000-0000C4930000}"/>
    <cellStyle name="Normal 8 4 13" xfId="36961" xr:uid="{00000000-0005-0000-0000-0000C5930000}"/>
    <cellStyle name="Normal 8 4 2" xfId="36962" xr:uid="{00000000-0005-0000-0000-0000C6930000}"/>
    <cellStyle name="Normal 8 4 2 2" xfId="36963" xr:uid="{00000000-0005-0000-0000-0000C7930000}"/>
    <cellStyle name="Normal 8 4 2 3" xfId="36964" xr:uid="{00000000-0005-0000-0000-0000C8930000}"/>
    <cellStyle name="Normal 8 4 2 4" xfId="36965" xr:uid="{00000000-0005-0000-0000-0000C9930000}"/>
    <cellStyle name="Normal 8 4 2 5" xfId="36966" xr:uid="{00000000-0005-0000-0000-0000CA930000}"/>
    <cellStyle name="Normal 8 4 2 6" xfId="36967" xr:uid="{00000000-0005-0000-0000-0000CB930000}"/>
    <cellStyle name="Normal 8 4 3" xfId="36968" xr:uid="{00000000-0005-0000-0000-0000CC930000}"/>
    <cellStyle name="Normal 8 4 3 2" xfId="36969" xr:uid="{00000000-0005-0000-0000-0000CD930000}"/>
    <cellStyle name="Normal 8 4 3 3" xfId="36970" xr:uid="{00000000-0005-0000-0000-0000CE930000}"/>
    <cellStyle name="Normal 8 4 3 4" xfId="36971" xr:uid="{00000000-0005-0000-0000-0000CF930000}"/>
    <cellStyle name="Normal 8 4 3 5" xfId="36972" xr:uid="{00000000-0005-0000-0000-0000D0930000}"/>
    <cellStyle name="Normal 8 4 3 6" xfId="36973" xr:uid="{00000000-0005-0000-0000-0000D1930000}"/>
    <cellStyle name="Normal 8 4 4" xfId="36974" xr:uid="{00000000-0005-0000-0000-0000D2930000}"/>
    <cellStyle name="Normal 8 4 4 2" xfId="36975" xr:uid="{00000000-0005-0000-0000-0000D3930000}"/>
    <cellStyle name="Normal 8 4 4 3" xfId="36976" xr:uid="{00000000-0005-0000-0000-0000D4930000}"/>
    <cellStyle name="Normal 8 4 4 4" xfId="36977" xr:uid="{00000000-0005-0000-0000-0000D5930000}"/>
    <cellStyle name="Normal 8 4 4 5" xfId="36978" xr:uid="{00000000-0005-0000-0000-0000D6930000}"/>
    <cellStyle name="Normal 8 4 4 6" xfId="36979" xr:uid="{00000000-0005-0000-0000-0000D7930000}"/>
    <cellStyle name="Normal 8 4 5" xfId="36980" xr:uid="{00000000-0005-0000-0000-0000D8930000}"/>
    <cellStyle name="Normal 8 4 5 2" xfId="36981" xr:uid="{00000000-0005-0000-0000-0000D9930000}"/>
    <cellStyle name="Normal 8 4 5 3" xfId="36982" xr:uid="{00000000-0005-0000-0000-0000DA930000}"/>
    <cellStyle name="Normal 8 4 5 4" xfId="36983" xr:uid="{00000000-0005-0000-0000-0000DB930000}"/>
    <cellStyle name="Normal 8 4 5 5" xfId="36984" xr:uid="{00000000-0005-0000-0000-0000DC930000}"/>
    <cellStyle name="Normal 8 4 5 6" xfId="36985" xr:uid="{00000000-0005-0000-0000-0000DD930000}"/>
    <cellStyle name="Normal 8 4 6" xfId="36986" xr:uid="{00000000-0005-0000-0000-0000DE930000}"/>
    <cellStyle name="Normal 8 4 6 2" xfId="36987" xr:uid="{00000000-0005-0000-0000-0000DF930000}"/>
    <cellStyle name="Normal 8 4 6 3" xfId="36988" xr:uid="{00000000-0005-0000-0000-0000E0930000}"/>
    <cellStyle name="Normal 8 4 6 4" xfId="36989" xr:uid="{00000000-0005-0000-0000-0000E1930000}"/>
    <cellStyle name="Normal 8 4 6 5" xfId="36990" xr:uid="{00000000-0005-0000-0000-0000E2930000}"/>
    <cellStyle name="Normal 8 4 6 6" xfId="36991" xr:uid="{00000000-0005-0000-0000-0000E3930000}"/>
    <cellStyle name="Normal 8 4 7" xfId="36992" xr:uid="{00000000-0005-0000-0000-0000E4930000}"/>
    <cellStyle name="Normal 8 4 7 2" xfId="36993" xr:uid="{00000000-0005-0000-0000-0000E5930000}"/>
    <cellStyle name="Normal 8 4 7 3" xfId="36994" xr:uid="{00000000-0005-0000-0000-0000E6930000}"/>
    <cellStyle name="Normal 8 4 7 4" xfId="36995" xr:uid="{00000000-0005-0000-0000-0000E7930000}"/>
    <cellStyle name="Normal 8 4 7 5" xfId="36996" xr:uid="{00000000-0005-0000-0000-0000E8930000}"/>
    <cellStyle name="Normal 8 4 7 6" xfId="36997" xr:uid="{00000000-0005-0000-0000-0000E9930000}"/>
    <cellStyle name="Normal 8 4 8" xfId="36998" xr:uid="{00000000-0005-0000-0000-0000EA930000}"/>
    <cellStyle name="Normal 8 4 8 2" xfId="36999" xr:uid="{00000000-0005-0000-0000-0000EB930000}"/>
    <cellStyle name="Normal 8 4 8 3" xfId="37000" xr:uid="{00000000-0005-0000-0000-0000EC930000}"/>
    <cellStyle name="Normal 8 4 8 4" xfId="37001" xr:uid="{00000000-0005-0000-0000-0000ED930000}"/>
    <cellStyle name="Normal 8 4 8 5" xfId="37002" xr:uid="{00000000-0005-0000-0000-0000EE930000}"/>
    <cellStyle name="Normal 8 4 8 6" xfId="37003" xr:uid="{00000000-0005-0000-0000-0000EF930000}"/>
    <cellStyle name="Normal 8 4 9" xfId="37004" xr:uid="{00000000-0005-0000-0000-0000F0930000}"/>
    <cellStyle name="Normal 8 40" xfId="37005" xr:uid="{00000000-0005-0000-0000-0000F1930000}"/>
    <cellStyle name="Normal 8 40 2" xfId="37006" xr:uid="{00000000-0005-0000-0000-0000F2930000}"/>
    <cellStyle name="Normal 8 40 3" xfId="37007" xr:uid="{00000000-0005-0000-0000-0000F3930000}"/>
    <cellStyle name="Normal 8 40 4" xfId="37008" xr:uid="{00000000-0005-0000-0000-0000F4930000}"/>
    <cellStyle name="Normal 8 40 5" xfId="37009" xr:uid="{00000000-0005-0000-0000-0000F5930000}"/>
    <cellStyle name="Normal 8 40 6" xfId="37010" xr:uid="{00000000-0005-0000-0000-0000F6930000}"/>
    <cellStyle name="Normal 8 41" xfId="37011" xr:uid="{00000000-0005-0000-0000-0000F7930000}"/>
    <cellStyle name="Normal 8 42" xfId="37012" xr:uid="{00000000-0005-0000-0000-0000F8930000}"/>
    <cellStyle name="Normal 8 43" xfId="37013" xr:uid="{00000000-0005-0000-0000-0000F9930000}"/>
    <cellStyle name="Normal 8 44" xfId="37014" xr:uid="{00000000-0005-0000-0000-0000FA930000}"/>
    <cellStyle name="Normal 8 45" xfId="37015" xr:uid="{00000000-0005-0000-0000-0000FB930000}"/>
    <cellStyle name="Normal 8 46" xfId="37016" xr:uid="{00000000-0005-0000-0000-0000FC930000}"/>
    <cellStyle name="Normal 8 5" xfId="37017" xr:uid="{00000000-0005-0000-0000-0000FD930000}"/>
    <cellStyle name="Normal 8 5 10" xfId="37018" xr:uid="{00000000-0005-0000-0000-0000FE930000}"/>
    <cellStyle name="Normal 8 5 11" xfId="37019" xr:uid="{00000000-0005-0000-0000-0000FF930000}"/>
    <cellStyle name="Normal 8 5 12" xfId="37020" xr:uid="{00000000-0005-0000-0000-000000940000}"/>
    <cellStyle name="Normal 8 5 13" xfId="37021" xr:uid="{00000000-0005-0000-0000-000001940000}"/>
    <cellStyle name="Normal 8 5 2" xfId="37022" xr:uid="{00000000-0005-0000-0000-000002940000}"/>
    <cellStyle name="Normal 8 5 2 2" xfId="37023" xr:uid="{00000000-0005-0000-0000-000003940000}"/>
    <cellStyle name="Normal 8 5 2 3" xfId="37024" xr:uid="{00000000-0005-0000-0000-000004940000}"/>
    <cellStyle name="Normal 8 5 2 4" xfId="37025" xr:uid="{00000000-0005-0000-0000-000005940000}"/>
    <cellStyle name="Normal 8 5 2 5" xfId="37026" xr:uid="{00000000-0005-0000-0000-000006940000}"/>
    <cellStyle name="Normal 8 5 2 6" xfId="37027" xr:uid="{00000000-0005-0000-0000-000007940000}"/>
    <cellStyle name="Normal 8 5 3" xfId="37028" xr:uid="{00000000-0005-0000-0000-000008940000}"/>
    <cellStyle name="Normal 8 5 3 2" xfId="37029" xr:uid="{00000000-0005-0000-0000-000009940000}"/>
    <cellStyle name="Normal 8 5 3 3" xfId="37030" xr:uid="{00000000-0005-0000-0000-00000A940000}"/>
    <cellStyle name="Normal 8 5 3 4" xfId="37031" xr:uid="{00000000-0005-0000-0000-00000B940000}"/>
    <cellStyle name="Normal 8 5 3 5" xfId="37032" xr:uid="{00000000-0005-0000-0000-00000C940000}"/>
    <cellStyle name="Normal 8 5 3 6" xfId="37033" xr:uid="{00000000-0005-0000-0000-00000D940000}"/>
    <cellStyle name="Normal 8 5 4" xfId="37034" xr:uid="{00000000-0005-0000-0000-00000E940000}"/>
    <cellStyle name="Normal 8 5 4 2" xfId="37035" xr:uid="{00000000-0005-0000-0000-00000F940000}"/>
    <cellStyle name="Normal 8 5 4 3" xfId="37036" xr:uid="{00000000-0005-0000-0000-000010940000}"/>
    <cellStyle name="Normal 8 5 4 4" xfId="37037" xr:uid="{00000000-0005-0000-0000-000011940000}"/>
    <cellStyle name="Normal 8 5 4 5" xfId="37038" xr:uid="{00000000-0005-0000-0000-000012940000}"/>
    <cellStyle name="Normal 8 5 4 6" xfId="37039" xr:uid="{00000000-0005-0000-0000-000013940000}"/>
    <cellStyle name="Normal 8 5 5" xfId="37040" xr:uid="{00000000-0005-0000-0000-000014940000}"/>
    <cellStyle name="Normal 8 5 5 2" xfId="37041" xr:uid="{00000000-0005-0000-0000-000015940000}"/>
    <cellStyle name="Normal 8 5 5 3" xfId="37042" xr:uid="{00000000-0005-0000-0000-000016940000}"/>
    <cellStyle name="Normal 8 5 5 4" xfId="37043" xr:uid="{00000000-0005-0000-0000-000017940000}"/>
    <cellStyle name="Normal 8 5 5 5" xfId="37044" xr:uid="{00000000-0005-0000-0000-000018940000}"/>
    <cellStyle name="Normal 8 5 5 6" xfId="37045" xr:uid="{00000000-0005-0000-0000-000019940000}"/>
    <cellStyle name="Normal 8 5 6" xfId="37046" xr:uid="{00000000-0005-0000-0000-00001A940000}"/>
    <cellStyle name="Normal 8 5 6 2" xfId="37047" xr:uid="{00000000-0005-0000-0000-00001B940000}"/>
    <cellStyle name="Normal 8 5 6 3" xfId="37048" xr:uid="{00000000-0005-0000-0000-00001C940000}"/>
    <cellStyle name="Normal 8 5 6 4" xfId="37049" xr:uid="{00000000-0005-0000-0000-00001D940000}"/>
    <cellStyle name="Normal 8 5 6 5" xfId="37050" xr:uid="{00000000-0005-0000-0000-00001E940000}"/>
    <cellStyle name="Normal 8 5 6 6" xfId="37051" xr:uid="{00000000-0005-0000-0000-00001F940000}"/>
    <cellStyle name="Normal 8 5 7" xfId="37052" xr:uid="{00000000-0005-0000-0000-000020940000}"/>
    <cellStyle name="Normal 8 5 7 2" xfId="37053" xr:uid="{00000000-0005-0000-0000-000021940000}"/>
    <cellStyle name="Normal 8 5 7 3" xfId="37054" xr:uid="{00000000-0005-0000-0000-000022940000}"/>
    <cellStyle name="Normal 8 5 7 4" xfId="37055" xr:uid="{00000000-0005-0000-0000-000023940000}"/>
    <cellStyle name="Normal 8 5 7 5" xfId="37056" xr:uid="{00000000-0005-0000-0000-000024940000}"/>
    <cellStyle name="Normal 8 5 7 6" xfId="37057" xr:uid="{00000000-0005-0000-0000-000025940000}"/>
    <cellStyle name="Normal 8 5 8" xfId="37058" xr:uid="{00000000-0005-0000-0000-000026940000}"/>
    <cellStyle name="Normal 8 5 8 2" xfId="37059" xr:uid="{00000000-0005-0000-0000-000027940000}"/>
    <cellStyle name="Normal 8 5 8 3" xfId="37060" xr:uid="{00000000-0005-0000-0000-000028940000}"/>
    <cellStyle name="Normal 8 5 8 4" xfId="37061" xr:uid="{00000000-0005-0000-0000-000029940000}"/>
    <cellStyle name="Normal 8 5 8 5" xfId="37062" xr:uid="{00000000-0005-0000-0000-00002A940000}"/>
    <cellStyle name="Normal 8 5 8 6" xfId="37063" xr:uid="{00000000-0005-0000-0000-00002B940000}"/>
    <cellStyle name="Normal 8 5 9" xfId="37064" xr:uid="{00000000-0005-0000-0000-00002C940000}"/>
    <cellStyle name="Normal 8 6" xfId="37065" xr:uid="{00000000-0005-0000-0000-00002D940000}"/>
    <cellStyle name="Normal 8 6 10" xfId="37066" xr:uid="{00000000-0005-0000-0000-00002E940000}"/>
    <cellStyle name="Normal 8 6 11" xfId="37067" xr:uid="{00000000-0005-0000-0000-00002F940000}"/>
    <cellStyle name="Normal 8 6 12" xfId="37068" xr:uid="{00000000-0005-0000-0000-000030940000}"/>
    <cellStyle name="Normal 8 6 13" xfId="37069" xr:uid="{00000000-0005-0000-0000-000031940000}"/>
    <cellStyle name="Normal 8 6 2" xfId="37070" xr:uid="{00000000-0005-0000-0000-000032940000}"/>
    <cellStyle name="Normal 8 6 2 2" xfId="37071" xr:uid="{00000000-0005-0000-0000-000033940000}"/>
    <cellStyle name="Normal 8 6 2 3" xfId="37072" xr:uid="{00000000-0005-0000-0000-000034940000}"/>
    <cellStyle name="Normal 8 6 2 4" xfId="37073" xr:uid="{00000000-0005-0000-0000-000035940000}"/>
    <cellStyle name="Normal 8 6 2 5" xfId="37074" xr:uid="{00000000-0005-0000-0000-000036940000}"/>
    <cellStyle name="Normal 8 6 2 6" xfId="37075" xr:uid="{00000000-0005-0000-0000-000037940000}"/>
    <cellStyle name="Normal 8 6 3" xfId="37076" xr:uid="{00000000-0005-0000-0000-000038940000}"/>
    <cellStyle name="Normal 8 6 3 2" xfId="37077" xr:uid="{00000000-0005-0000-0000-000039940000}"/>
    <cellStyle name="Normal 8 6 3 3" xfId="37078" xr:uid="{00000000-0005-0000-0000-00003A940000}"/>
    <cellStyle name="Normal 8 6 3 4" xfId="37079" xr:uid="{00000000-0005-0000-0000-00003B940000}"/>
    <cellStyle name="Normal 8 6 3 5" xfId="37080" xr:uid="{00000000-0005-0000-0000-00003C940000}"/>
    <cellStyle name="Normal 8 6 3 6" xfId="37081" xr:uid="{00000000-0005-0000-0000-00003D940000}"/>
    <cellStyle name="Normal 8 6 4" xfId="37082" xr:uid="{00000000-0005-0000-0000-00003E940000}"/>
    <cellStyle name="Normal 8 6 4 2" xfId="37083" xr:uid="{00000000-0005-0000-0000-00003F940000}"/>
    <cellStyle name="Normal 8 6 4 3" xfId="37084" xr:uid="{00000000-0005-0000-0000-000040940000}"/>
    <cellStyle name="Normal 8 6 4 4" xfId="37085" xr:uid="{00000000-0005-0000-0000-000041940000}"/>
    <cellStyle name="Normal 8 6 4 5" xfId="37086" xr:uid="{00000000-0005-0000-0000-000042940000}"/>
    <cellStyle name="Normal 8 6 4 6" xfId="37087" xr:uid="{00000000-0005-0000-0000-000043940000}"/>
    <cellStyle name="Normal 8 6 5" xfId="37088" xr:uid="{00000000-0005-0000-0000-000044940000}"/>
    <cellStyle name="Normal 8 6 5 2" xfId="37089" xr:uid="{00000000-0005-0000-0000-000045940000}"/>
    <cellStyle name="Normal 8 6 5 3" xfId="37090" xr:uid="{00000000-0005-0000-0000-000046940000}"/>
    <cellStyle name="Normal 8 6 5 4" xfId="37091" xr:uid="{00000000-0005-0000-0000-000047940000}"/>
    <cellStyle name="Normal 8 6 5 5" xfId="37092" xr:uid="{00000000-0005-0000-0000-000048940000}"/>
    <cellStyle name="Normal 8 6 5 6" xfId="37093" xr:uid="{00000000-0005-0000-0000-000049940000}"/>
    <cellStyle name="Normal 8 6 6" xfId="37094" xr:uid="{00000000-0005-0000-0000-00004A940000}"/>
    <cellStyle name="Normal 8 6 6 2" xfId="37095" xr:uid="{00000000-0005-0000-0000-00004B940000}"/>
    <cellStyle name="Normal 8 6 6 3" xfId="37096" xr:uid="{00000000-0005-0000-0000-00004C940000}"/>
    <cellStyle name="Normal 8 6 6 4" xfId="37097" xr:uid="{00000000-0005-0000-0000-00004D940000}"/>
    <cellStyle name="Normal 8 6 6 5" xfId="37098" xr:uid="{00000000-0005-0000-0000-00004E940000}"/>
    <cellStyle name="Normal 8 6 6 6" xfId="37099" xr:uid="{00000000-0005-0000-0000-00004F940000}"/>
    <cellStyle name="Normal 8 6 7" xfId="37100" xr:uid="{00000000-0005-0000-0000-000050940000}"/>
    <cellStyle name="Normal 8 6 7 2" xfId="37101" xr:uid="{00000000-0005-0000-0000-000051940000}"/>
    <cellStyle name="Normal 8 6 7 3" xfId="37102" xr:uid="{00000000-0005-0000-0000-000052940000}"/>
    <cellStyle name="Normal 8 6 7 4" xfId="37103" xr:uid="{00000000-0005-0000-0000-000053940000}"/>
    <cellStyle name="Normal 8 6 7 5" xfId="37104" xr:uid="{00000000-0005-0000-0000-000054940000}"/>
    <cellStyle name="Normal 8 6 7 6" xfId="37105" xr:uid="{00000000-0005-0000-0000-000055940000}"/>
    <cellStyle name="Normal 8 6 8" xfId="37106" xr:uid="{00000000-0005-0000-0000-000056940000}"/>
    <cellStyle name="Normal 8 6 8 2" xfId="37107" xr:uid="{00000000-0005-0000-0000-000057940000}"/>
    <cellStyle name="Normal 8 6 8 3" xfId="37108" xr:uid="{00000000-0005-0000-0000-000058940000}"/>
    <cellStyle name="Normal 8 6 8 4" xfId="37109" xr:uid="{00000000-0005-0000-0000-000059940000}"/>
    <cellStyle name="Normal 8 6 8 5" xfId="37110" xr:uid="{00000000-0005-0000-0000-00005A940000}"/>
    <cellStyle name="Normal 8 6 8 6" xfId="37111" xr:uid="{00000000-0005-0000-0000-00005B940000}"/>
    <cellStyle name="Normal 8 6 9" xfId="37112" xr:uid="{00000000-0005-0000-0000-00005C940000}"/>
    <cellStyle name="Normal 8 7" xfId="37113" xr:uid="{00000000-0005-0000-0000-00005D940000}"/>
    <cellStyle name="Normal 8 7 10" xfId="37114" xr:uid="{00000000-0005-0000-0000-00005E940000}"/>
    <cellStyle name="Normal 8 7 11" xfId="37115" xr:uid="{00000000-0005-0000-0000-00005F940000}"/>
    <cellStyle name="Normal 8 7 12" xfId="37116" xr:uid="{00000000-0005-0000-0000-000060940000}"/>
    <cellStyle name="Normal 8 7 13" xfId="37117" xr:uid="{00000000-0005-0000-0000-000061940000}"/>
    <cellStyle name="Normal 8 7 2" xfId="37118" xr:uid="{00000000-0005-0000-0000-000062940000}"/>
    <cellStyle name="Normal 8 7 2 2" xfId="37119" xr:uid="{00000000-0005-0000-0000-000063940000}"/>
    <cellStyle name="Normal 8 7 2 3" xfId="37120" xr:uid="{00000000-0005-0000-0000-000064940000}"/>
    <cellStyle name="Normal 8 7 2 4" xfId="37121" xr:uid="{00000000-0005-0000-0000-000065940000}"/>
    <cellStyle name="Normal 8 7 2 5" xfId="37122" xr:uid="{00000000-0005-0000-0000-000066940000}"/>
    <cellStyle name="Normal 8 7 2 6" xfId="37123" xr:uid="{00000000-0005-0000-0000-000067940000}"/>
    <cellStyle name="Normal 8 7 3" xfId="37124" xr:uid="{00000000-0005-0000-0000-000068940000}"/>
    <cellStyle name="Normal 8 7 3 2" xfId="37125" xr:uid="{00000000-0005-0000-0000-000069940000}"/>
    <cellStyle name="Normal 8 7 3 3" xfId="37126" xr:uid="{00000000-0005-0000-0000-00006A940000}"/>
    <cellStyle name="Normal 8 7 3 4" xfId="37127" xr:uid="{00000000-0005-0000-0000-00006B940000}"/>
    <cellStyle name="Normal 8 7 3 5" xfId="37128" xr:uid="{00000000-0005-0000-0000-00006C940000}"/>
    <cellStyle name="Normal 8 7 3 6" xfId="37129" xr:uid="{00000000-0005-0000-0000-00006D940000}"/>
    <cellStyle name="Normal 8 7 4" xfId="37130" xr:uid="{00000000-0005-0000-0000-00006E940000}"/>
    <cellStyle name="Normal 8 7 4 2" xfId="37131" xr:uid="{00000000-0005-0000-0000-00006F940000}"/>
    <cellStyle name="Normal 8 7 4 3" xfId="37132" xr:uid="{00000000-0005-0000-0000-000070940000}"/>
    <cellStyle name="Normal 8 7 4 4" xfId="37133" xr:uid="{00000000-0005-0000-0000-000071940000}"/>
    <cellStyle name="Normal 8 7 4 5" xfId="37134" xr:uid="{00000000-0005-0000-0000-000072940000}"/>
    <cellStyle name="Normal 8 7 4 6" xfId="37135" xr:uid="{00000000-0005-0000-0000-000073940000}"/>
    <cellStyle name="Normal 8 7 5" xfId="37136" xr:uid="{00000000-0005-0000-0000-000074940000}"/>
    <cellStyle name="Normal 8 7 5 2" xfId="37137" xr:uid="{00000000-0005-0000-0000-000075940000}"/>
    <cellStyle name="Normal 8 7 5 3" xfId="37138" xr:uid="{00000000-0005-0000-0000-000076940000}"/>
    <cellStyle name="Normal 8 7 5 4" xfId="37139" xr:uid="{00000000-0005-0000-0000-000077940000}"/>
    <cellStyle name="Normal 8 7 5 5" xfId="37140" xr:uid="{00000000-0005-0000-0000-000078940000}"/>
    <cellStyle name="Normal 8 7 5 6" xfId="37141" xr:uid="{00000000-0005-0000-0000-000079940000}"/>
    <cellStyle name="Normal 8 7 6" xfId="37142" xr:uid="{00000000-0005-0000-0000-00007A940000}"/>
    <cellStyle name="Normal 8 7 6 2" xfId="37143" xr:uid="{00000000-0005-0000-0000-00007B940000}"/>
    <cellStyle name="Normal 8 7 6 3" xfId="37144" xr:uid="{00000000-0005-0000-0000-00007C940000}"/>
    <cellStyle name="Normal 8 7 6 4" xfId="37145" xr:uid="{00000000-0005-0000-0000-00007D940000}"/>
    <cellStyle name="Normal 8 7 6 5" xfId="37146" xr:uid="{00000000-0005-0000-0000-00007E940000}"/>
    <cellStyle name="Normal 8 7 6 6" xfId="37147" xr:uid="{00000000-0005-0000-0000-00007F940000}"/>
    <cellStyle name="Normal 8 7 7" xfId="37148" xr:uid="{00000000-0005-0000-0000-000080940000}"/>
    <cellStyle name="Normal 8 7 7 2" xfId="37149" xr:uid="{00000000-0005-0000-0000-000081940000}"/>
    <cellStyle name="Normal 8 7 7 3" xfId="37150" xr:uid="{00000000-0005-0000-0000-000082940000}"/>
    <cellStyle name="Normal 8 7 7 4" xfId="37151" xr:uid="{00000000-0005-0000-0000-000083940000}"/>
    <cellStyle name="Normal 8 7 7 5" xfId="37152" xr:uid="{00000000-0005-0000-0000-000084940000}"/>
    <cellStyle name="Normal 8 7 7 6" xfId="37153" xr:uid="{00000000-0005-0000-0000-000085940000}"/>
    <cellStyle name="Normal 8 7 8" xfId="37154" xr:uid="{00000000-0005-0000-0000-000086940000}"/>
    <cellStyle name="Normal 8 7 8 2" xfId="37155" xr:uid="{00000000-0005-0000-0000-000087940000}"/>
    <cellStyle name="Normal 8 7 8 3" xfId="37156" xr:uid="{00000000-0005-0000-0000-000088940000}"/>
    <cellStyle name="Normal 8 7 8 4" xfId="37157" xr:uid="{00000000-0005-0000-0000-000089940000}"/>
    <cellStyle name="Normal 8 7 8 5" xfId="37158" xr:uid="{00000000-0005-0000-0000-00008A940000}"/>
    <cellStyle name="Normal 8 7 8 6" xfId="37159" xr:uid="{00000000-0005-0000-0000-00008B940000}"/>
    <cellStyle name="Normal 8 7 9" xfId="37160" xr:uid="{00000000-0005-0000-0000-00008C940000}"/>
    <cellStyle name="Normal 8 8" xfId="37161" xr:uid="{00000000-0005-0000-0000-00008D940000}"/>
    <cellStyle name="Normal 8 8 10" xfId="37162" xr:uid="{00000000-0005-0000-0000-00008E940000}"/>
    <cellStyle name="Normal 8 8 11" xfId="37163" xr:uid="{00000000-0005-0000-0000-00008F940000}"/>
    <cellStyle name="Normal 8 8 12" xfId="37164" xr:uid="{00000000-0005-0000-0000-000090940000}"/>
    <cellStyle name="Normal 8 8 13" xfId="37165" xr:uid="{00000000-0005-0000-0000-000091940000}"/>
    <cellStyle name="Normal 8 8 2" xfId="37166" xr:uid="{00000000-0005-0000-0000-000092940000}"/>
    <cellStyle name="Normal 8 8 2 2" xfId="37167" xr:uid="{00000000-0005-0000-0000-000093940000}"/>
    <cellStyle name="Normal 8 8 2 3" xfId="37168" xr:uid="{00000000-0005-0000-0000-000094940000}"/>
    <cellStyle name="Normal 8 8 2 4" xfId="37169" xr:uid="{00000000-0005-0000-0000-000095940000}"/>
    <cellStyle name="Normal 8 8 2 5" xfId="37170" xr:uid="{00000000-0005-0000-0000-000096940000}"/>
    <cellStyle name="Normal 8 8 2 6" xfId="37171" xr:uid="{00000000-0005-0000-0000-000097940000}"/>
    <cellStyle name="Normal 8 8 3" xfId="37172" xr:uid="{00000000-0005-0000-0000-000098940000}"/>
    <cellStyle name="Normal 8 8 3 2" xfId="37173" xr:uid="{00000000-0005-0000-0000-000099940000}"/>
    <cellStyle name="Normal 8 8 3 3" xfId="37174" xr:uid="{00000000-0005-0000-0000-00009A940000}"/>
    <cellStyle name="Normal 8 8 3 4" xfId="37175" xr:uid="{00000000-0005-0000-0000-00009B940000}"/>
    <cellStyle name="Normal 8 8 3 5" xfId="37176" xr:uid="{00000000-0005-0000-0000-00009C940000}"/>
    <cellStyle name="Normal 8 8 3 6" xfId="37177" xr:uid="{00000000-0005-0000-0000-00009D940000}"/>
    <cellStyle name="Normal 8 8 4" xfId="37178" xr:uid="{00000000-0005-0000-0000-00009E940000}"/>
    <cellStyle name="Normal 8 8 4 2" xfId="37179" xr:uid="{00000000-0005-0000-0000-00009F940000}"/>
    <cellStyle name="Normal 8 8 4 3" xfId="37180" xr:uid="{00000000-0005-0000-0000-0000A0940000}"/>
    <cellStyle name="Normal 8 8 4 4" xfId="37181" xr:uid="{00000000-0005-0000-0000-0000A1940000}"/>
    <cellStyle name="Normal 8 8 4 5" xfId="37182" xr:uid="{00000000-0005-0000-0000-0000A2940000}"/>
    <cellStyle name="Normal 8 8 4 6" xfId="37183" xr:uid="{00000000-0005-0000-0000-0000A3940000}"/>
    <cellStyle name="Normal 8 8 5" xfId="37184" xr:uid="{00000000-0005-0000-0000-0000A4940000}"/>
    <cellStyle name="Normal 8 8 5 2" xfId="37185" xr:uid="{00000000-0005-0000-0000-0000A5940000}"/>
    <cellStyle name="Normal 8 8 5 3" xfId="37186" xr:uid="{00000000-0005-0000-0000-0000A6940000}"/>
    <cellStyle name="Normal 8 8 5 4" xfId="37187" xr:uid="{00000000-0005-0000-0000-0000A7940000}"/>
    <cellStyle name="Normal 8 8 5 5" xfId="37188" xr:uid="{00000000-0005-0000-0000-0000A8940000}"/>
    <cellStyle name="Normal 8 8 5 6" xfId="37189" xr:uid="{00000000-0005-0000-0000-0000A9940000}"/>
    <cellStyle name="Normal 8 8 6" xfId="37190" xr:uid="{00000000-0005-0000-0000-0000AA940000}"/>
    <cellStyle name="Normal 8 8 6 2" xfId="37191" xr:uid="{00000000-0005-0000-0000-0000AB940000}"/>
    <cellStyle name="Normal 8 8 6 3" xfId="37192" xr:uid="{00000000-0005-0000-0000-0000AC940000}"/>
    <cellStyle name="Normal 8 8 6 4" xfId="37193" xr:uid="{00000000-0005-0000-0000-0000AD940000}"/>
    <cellStyle name="Normal 8 8 6 5" xfId="37194" xr:uid="{00000000-0005-0000-0000-0000AE940000}"/>
    <cellStyle name="Normal 8 8 6 6" xfId="37195" xr:uid="{00000000-0005-0000-0000-0000AF940000}"/>
    <cellStyle name="Normal 8 8 7" xfId="37196" xr:uid="{00000000-0005-0000-0000-0000B0940000}"/>
    <cellStyle name="Normal 8 8 7 2" xfId="37197" xr:uid="{00000000-0005-0000-0000-0000B1940000}"/>
    <cellStyle name="Normal 8 8 7 3" xfId="37198" xr:uid="{00000000-0005-0000-0000-0000B2940000}"/>
    <cellStyle name="Normal 8 8 7 4" xfId="37199" xr:uid="{00000000-0005-0000-0000-0000B3940000}"/>
    <cellStyle name="Normal 8 8 7 5" xfId="37200" xr:uid="{00000000-0005-0000-0000-0000B4940000}"/>
    <cellStyle name="Normal 8 8 7 6" xfId="37201" xr:uid="{00000000-0005-0000-0000-0000B5940000}"/>
    <cellStyle name="Normal 8 8 8" xfId="37202" xr:uid="{00000000-0005-0000-0000-0000B6940000}"/>
    <cellStyle name="Normal 8 8 8 2" xfId="37203" xr:uid="{00000000-0005-0000-0000-0000B7940000}"/>
    <cellStyle name="Normal 8 8 8 3" xfId="37204" xr:uid="{00000000-0005-0000-0000-0000B8940000}"/>
    <cellStyle name="Normal 8 8 8 4" xfId="37205" xr:uid="{00000000-0005-0000-0000-0000B9940000}"/>
    <cellStyle name="Normal 8 8 8 5" xfId="37206" xr:uid="{00000000-0005-0000-0000-0000BA940000}"/>
    <cellStyle name="Normal 8 8 8 6" xfId="37207" xr:uid="{00000000-0005-0000-0000-0000BB940000}"/>
    <cellStyle name="Normal 8 8 9" xfId="37208" xr:uid="{00000000-0005-0000-0000-0000BC940000}"/>
    <cellStyle name="Normal 8 9" xfId="37209" xr:uid="{00000000-0005-0000-0000-0000BD940000}"/>
    <cellStyle name="Normal 8 9 10" xfId="37210" xr:uid="{00000000-0005-0000-0000-0000BE940000}"/>
    <cellStyle name="Normal 8 9 11" xfId="37211" xr:uid="{00000000-0005-0000-0000-0000BF940000}"/>
    <cellStyle name="Normal 8 9 12" xfId="37212" xr:uid="{00000000-0005-0000-0000-0000C0940000}"/>
    <cellStyle name="Normal 8 9 13" xfId="37213" xr:uid="{00000000-0005-0000-0000-0000C1940000}"/>
    <cellStyle name="Normal 8 9 2" xfId="37214" xr:uid="{00000000-0005-0000-0000-0000C2940000}"/>
    <cellStyle name="Normal 8 9 2 2" xfId="37215" xr:uid="{00000000-0005-0000-0000-0000C3940000}"/>
    <cellStyle name="Normal 8 9 2 3" xfId="37216" xr:uid="{00000000-0005-0000-0000-0000C4940000}"/>
    <cellStyle name="Normal 8 9 2 4" xfId="37217" xr:uid="{00000000-0005-0000-0000-0000C5940000}"/>
    <cellStyle name="Normal 8 9 2 5" xfId="37218" xr:uid="{00000000-0005-0000-0000-0000C6940000}"/>
    <cellStyle name="Normal 8 9 2 6" xfId="37219" xr:uid="{00000000-0005-0000-0000-0000C7940000}"/>
    <cellStyle name="Normal 8 9 3" xfId="37220" xr:uid="{00000000-0005-0000-0000-0000C8940000}"/>
    <cellStyle name="Normal 8 9 3 2" xfId="37221" xr:uid="{00000000-0005-0000-0000-0000C9940000}"/>
    <cellStyle name="Normal 8 9 3 3" xfId="37222" xr:uid="{00000000-0005-0000-0000-0000CA940000}"/>
    <cellStyle name="Normal 8 9 3 4" xfId="37223" xr:uid="{00000000-0005-0000-0000-0000CB940000}"/>
    <cellStyle name="Normal 8 9 3 5" xfId="37224" xr:uid="{00000000-0005-0000-0000-0000CC940000}"/>
    <cellStyle name="Normal 8 9 3 6" xfId="37225" xr:uid="{00000000-0005-0000-0000-0000CD940000}"/>
    <cellStyle name="Normal 8 9 4" xfId="37226" xr:uid="{00000000-0005-0000-0000-0000CE940000}"/>
    <cellStyle name="Normal 8 9 4 2" xfId="37227" xr:uid="{00000000-0005-0000-0000-0000CF940000}"/>
    <cellStyle name="Normal 8 9 4 3" xfId="37228" xr:uid="{00000000-0005-0000-0000-0000D0940000}"/>
    <cellStyle name="Normal 8 9 4 4" xfId="37229" xr:uid="{00000000-0005-0000-0000-0000D1940000}"/>
    <cellStyle name="Normal 8 9 4 5" xfId="37230" xr:uid="{00000000-0005-0000-0000-0000D2940000}"/>
    <cellStyle name="Normal 8 9 4 6" xfId="37231" xr:uid="{00000000-0005-0000-0000-0000D3940000}"/>
    <cellStyle name="Normal 8 9 5" xfId="37232" xr:uid="{00000000-0005-0000-0000-0000D4940000}"/>
    <cellStyle name="Normal 8 9 5 2" xfId="37233" xr:uid="{00000000-0005-0000-0000-0000D5940000}"/>
    <cellStyle name="Normal 8 9 5 3" xfId="37234" xr:uid="{00000000-0005-0000-0000-0000D6940000}"/>
    <cellStyle name="Normal 8 9 5 4" xfId="37235" xr:uid="{00000000-0005-0000-0000-0000D7940000}"/>
    <cellStyle name="Normal 8 9 5 5" xfId="37236" xr:uid="{00000000-0005-0000-0000-0000D8940000}"/>
    <cellStyle name="Normal 8 9 5 6" xfId="37237" xr:uid="{00000000-0005-0000-0000-0000D9940000}"/>
    <cellStyle name="Normal 8 9 6" xfId="37238" xr:uid="{00000000-0005-0000-0000-0000DA940000}"/>
    <cellStyle name="Normal 8 9 6 2" xfId="37239" xr:uid="{00000000-0005-0000-0000-0000DB940000}"/>
    <cellStyle name="Normal 8 9 6 3" xfId="37240" xr:uid="{00000000-0005-0000-0000-0000DC940000}"/>
    <cellStyle name="Normal 8 9 6 4" xfId="37241" xr:uid="{00000000-0005-0000-0000-0000DD940000}"/>
    <cellStyle name="Normal 8 9 6 5" xfId="37242" xr:uid="{00000000-0005-0000-0000-0000DE940000}"/>
    <cellStyle name="Normal 8 9 6 6" xfId="37243" xr:uid="{00000000-0005-0000-0000-0000DF940000}"/>
    <cellStyle name="Normal 8 9 7" xfId="37244" xr:uid="{00000000-0005-0000-0000-0000E0940000}"/>
    <cellStyle name="Normal 8 9 7 2" xfId="37245" xr:uid="{00000000-0005-0000-0000-0000E1940000}"/>
    <cellStyle name="Normal 8 9 7 3" xfId="37246" xr:uid="{00000000-0005-0000-0000-0000E2940000}"/>
    <cellStyle name="Normal 8 9 7 4" xfId="37247" xr:uid="{00000000-0005-0000-0000-0000E3940000}"/>
    <cellStyle name="Normal 8 9 7 5" xfId="37248" xr:uid="{00000000-0005-0000-0000-0000E4940000}"/>
    <cellStyle name="Normal 8 9 7 6" xfId="37249" xr:uid="{00000000-0005-0000-0000-0000E5940000}"/>
    <cellStyle name="Normal 8 9 8" xfId="37250" xr:uid="{00000000-0005-0000-0000-0000E6940000}"/>
    <cellStyle name="Normal 8 9 8 2" xfId="37251" xr:uid="{00000000-0005-0000-0000-0000E7940000}"/>
    <cellStyle name="Normal 8 9 8 3" xfId="37252" xr:uid="{00000000-0005-0000-0000-0000E8940000}"/>
    <cellStyle name="Normal 8 9 8 4" xfId="37253" xr:uid="{00000000-0005-0000-0000-0000E9940000}"/>
    <cellStyle name="Normal 8 9 8 5" xfId="37254" xr:uid="{00000000-0005-0000-0000-0000EA940000}"/>
    <cellStyle name="Normal 8 9 8 6" xfId="37255" xr:uid="{00000000-0005-0000-0000-0000EB940000}"/>
    <cellStyle name="Normal 8 9 9" xfId="37256" xr:uid="{00000000-0005-0000-0000-0000EC940000}"/>
    <cellStyle name="Normal 8_Resumo Final - Cemig" xfId="1095" xr:uid="{00000000-0005-0000-0000-0000ED940000}"/>
    <cellStyle name="Normal 80" xfId="37257" xr:uid="{00000000-0005-0000-0000-0000EE940000}"/>
    <cellStyle name="Normal 81" xfId="37258" xr:uid="{00000000-0005-0000-0000-0000EF940000}"/>
    <cellStyle name="Normal 82" xfId="37259" xr:uid="{00000000-0005-0000-0000-0000F0940000}"/>
    <cellStyle name="Normal 83" xfId="37260" xr:uid="{00000000-0005-0000-0000-0000F1940000}"/>
    <cellStyle name="Normal 84" xfId="37261" xr:uid="{00000000-0005-0000-0000-0000F2940000}"/>
    <cellStyle name="Normal 85" xfId="37262" xr:uid="{00000000-0005-0000-0000-0000F3940000}"/>
    <cellStyle name="Normal 86" xfId="37263" xr:uid="{00000000-0005-0000-0000-0000F4940000}"/>
    <cellStyle name="Normal 87" xfId="37264" xr:uid="{00000000-0005-0000-0000-0000F5940000}"/>
    <cellStyle name="Normal 88" xfId="37265" xr:uid="{00000000-0005-0000-0000-0000F6940000}"/>
    <cellStyle name="Normal 89" xfId="37266" xr:uid="{00000000-0005-0000-0000-0000F7940000}"/>
    <cellStyle name="Normal 9" xfId="852" xr:uid="{00000000-0005-0000-0000-0000F8940000}"/>
    <cellStyle name="Normal 9 10" xfId="37267" xr:uid="{00000000-0005-0000-0000-0000F9940000}"/>
    <cellStyle name="Normal 9 10 10" xfId="37268" xr:uid="{00000000-0005-0000-0000-0000FA940000}"/>
    <cellStyle name="Normal 9 10 11" xfId="37269" xr:uid="{00000000-0005-0000-0000-0000FB940000}"/>
    <cellStyle name="Normal 9 10 12" xfId="37270" xr:uid="{00000000-0005-0000-0000-0000FC940000}"/>
    <cellStyle name="Normal 9 10 13" xfId="37271" xr:uid="{00000000-0005-0000-0000-0000FD940000}"/>
    <cellStyle name="Normal 9 10 2" xfId="37272" xr:uid="{00000000-0005-0000-0000-0000FE940000}"/>
    <cellStyle name="Normal 9 10 2 2" xfId="37273" xr:uid="{00000000-0005-0000-0000-0000FF940000}"/>
    <cellStyle name="Normal 9 10 2 3" xfId="37274" xr:uid="{00000000-0005-0000-0000-000000950000}"/>
    <cellStyle name="Normal 9 10 2 4" xfId="37275" xr:uid="{00000000-0005-0000-0000-000001950000}"/>
    <cellStyle name="Normal 9 10 2 5" xfId="37276" xr:uid="{00000000-0005-0000-0000-000002950000}"/>
    <cellStyle name="Normal 9 10 2 6" xfId="37277" xr:uid="{00000000-0005-0000-0000-000003950000}"/>
    <cellStyle name="Normal 9 10 3" xfId="37278" xr:uid="{00000000-0005-0000-0000-000004950000}"/>
    <cellStyle name="Normal 9 10 3 2" xfId="37279" xr:uid="{00000000-0005-0000-0000-000005950000}"/>
    <cellStyle name="Normal 9 10 3 3" xfId="37280" xr:uid="{00000000-0005-0000-0000-000006950000}"/>
    <cellStyle name="Normal 9 10 3 4" xfId="37281" xr:uid="{00000000-0005-0000-0000-000007950000}"/>
    <cellStyle name="Normal 9 10 3 5" xfId="37282" xr:uid="{00000000-0005-0000-0000-000008950000}"/>
    <cellStyle name="Normal 9 10 3 6" xfId="37283" xr:uid="{00000000-0005-0000-0000-000009950000}"/>
    <cellStyle name="Normal 9 10 4" xfId="37284" xr:uid="{00000000-0005-0000-0000-00000A950000}"/>
    <cellStyle name="Normal 9 10 4 2" xfId="37285" xr:uid="{00000000-0005-0000-0000-00000B950000}"/>
    <cellStyle name="Normal 9 10 4 3" xfId="37286" xr:uid="{00000000-0005-0000-0000-00000C950000}"/>
    <cellStyle name="Normal 9 10 4 4" xfId="37287" xr:uid="{00000000-0005-0000-0000-00000D950000}"/>
    <cellStyle name="Normal 9 10 4 5" xfId="37288" xr:uid="{00000000-0005-0000-0000-00000E950000}"/>
    <cellStyle name="Normal 9 10 4 6" xfId="37289" xr:uid="{00000000-0005-0000-0000-00000F950000}"/>
    <cellStyle name="Normal 9 10 5" xfId="37290" xr:uid="{00000000-0005-0000-0000-000010950000}"/>
    <cellStyle name="Normal 9 10 5 2" xfId="37291" xr:uid="{00000000-0005-0000-0000-000011950000}"/>
    <cellStyle name="Normal 9 10 5 3" xfId="37292" xr:uid="{00000000-0005-0000-0000-000012950000}"/>
    <cellStyle name="Normal 9 10 5 4" xfId="37293" xr:uid="{00000000-0005-0000-0000-000013950000}"/>
    <cellStyle name="Normal 9 10 5 5" xfId="37294" xr:uid="{00000000-0005-0000-0000-000014950000}"/>
    <cellStyle name="Normal 9 10 5 6" xfId="37295" xr:uid="{00000000-0005-0000-0000-000015950000}"/>
    <cellStyle name="Normal 9 10 6" xfId="37296" xr:uid="{00000000-0005-0000-0000-000016950000}"/>
    <cellStyle name="Normal 9 10 6 2" xfId="37297" xr:uid="{00000000-0005-0000-0000-000017950000}"/>
    <cellStyle name="Normal 9 10 6 3" xfId="37298" xr:uid="{00000000-0005-0000-0000-000018950000}"/>
    <cellStyle name="Normal 9 10 6 4" xfId="37299" xr:uid="{00000000-0005-0000-0000-000019950000}"/>
    <cellStyle name="Normal 9 10 6 5" xfId="37300" xr:uid="{00000000-0005-0000-0000-00001A950000}"/>
    <cellStyle name="Normal 9 10 6 6" xfId="37301" xr:uid="{00000000-0005-0000-0000-00001B950000}"/>
    <cellStyle name="Normal 9 10 7" xfId="37302" xr:uid="{00000000-0005-0000-0000-00001C950000}"/>
    <cellStyle name="Normal 9 10 7 2" xfId="37303" xr:uid="{00000000-0005-0000-0000-00001D950000}"/>
    <cellStyle name="Normal 9 10 7 3" xfId="37304" xr:uid="{00000000-0005-0000-0000-00001E950000}"/>
    <cellStyle name="Normal 9 10 7 4" xfId="37305" xr:uid="{00000000-0005-0000-0000-00001F950000}"/>
    <cellStyle name="Normal 9 10 7 5" xfId="37306" xr:uid="{00000000-0005-0000-0000-000020950000}"/>
    <cellStyle name="Normal 9 10 7 6" xfId="37307" xr:uid="{00000000-0005-0000-0000-000021950000}"/>
    <cellStyle name="Normal 9 10 8" xfId="37308" xr:uid="{00000000-0005-0000-0000-000022950000}"/>
    <cellStyle name="Normal 9 10 8 2" xfId="37309" xr:uid="{00000000-0005-0000-0000-000023950000}"/>
    <cellStyle name="Normal 9 10 8 3" xfId="37310" xr:uid="{00000000-0005-0000-0000-000024950000}"/>
    <cellStyle name="Normal 9 10 8 4" xfId="37311" xr:uid="{00000000-0005-0000-0000-000025950000}"/>
    <cellStyle name="Normal 9 10 8 5" xfId="37312" xr:uid="{00000000-0005-0000-0000-000026950000}"/>
    <cellStyle name="Normal 9 10 8 6" xfId="37313" xr:uid="{00000000-0005-0000-0000-000027950000}"/>
    <cellStyle name="Normal 9 10 9" xfId="37314" xr:uid="{00000000-0005-0000-0000-000028950000}"/>
    <cellStyle name="Normal 9 11" xfId="37315" xr:uid="{00000000-0005-0000-0000-000029950000}"/>
    <cellStyle name="Normal 9 11 10" xfId="37316" xr:uid="{00000000-0005-0000-0000-00002A950000}"/>
    <cellStyle name="Normal 9 11 11" xfId="37317" xr:uid="{00000000-0005-0000-0000-00002B950000}"/>
    <cellStyle name="Normal 9 11 12" xfId="37318" xr:uid="{00000000-0005-0000-0000-00002C950000}"/>
    <cellStyle name="Normal 9 11 13" xfId="37319" xr:uid="{00000000-0005-0000-0000-00002D950000}"/>
    <cellStyle name="Normal 9 11 2" xfId="37320" xr:uid="{00000000-0005-0000-0000-00002E950000}"/>
    <cellStyle name="Normal 9 11 2 2" xfId="37321" xr:uid="{00000000-0005-0000-0000-00002F950000}"/>
    <cellStyle name="Normal 9 11 2 3" xfId="37322" xr:uid="{00000000-0005-0000-0000-000030950000}"/>
    <cellStyle name="Normal 9 11 2 4" xfId="37323" xr:uid="{00000000-0005-0000-0000-000031950000}"/>
    <cellStyle name="Normal 9 11 2 5" xfId="37324" xr:uid="{00000000-0005-0000-0000-000032950000}"/>
    <cellStyle name="Normal 9 11 2 6" xfId="37325" xr:uid="{00000000-0005-0000-0000-000033950000}"/>
    <cellStyle name="Normal 9 11 3" xfId="37326" xr:uid="{00000000-0005-0000-0000-000034950000}"/>
    <cellStyle name="Normal 9 11 3 2" xfId="37327" xr:uid="{00000000-0005-0000-0000-000035950000}"/>
    <cellStyle name="Normal 9 11 3 3" xfId="37328" xr:uid="{00000000-0005-0000-0000-000036950000}"/>
    <cellStyle name="Normal 9 11 3 4" xfId="37329" xr:uid="{00000000-0005-0000-0000-000037950000}"/>
    <cellStyle name="Normal 9 11 3 5" xfId="37330" xr:uid="{00000000-0005-0000-0000-000038950000}"/>
    <cellStyle name="Normal 9 11 3 6" xfId="37331" xr:uid="{00000000-0005-0000-0000-000039950000}"/>
    <cellStyle name="Normal 9 11 4" xfId="37332" xr:uid="{00000000-0005-0000-0000-00003A950000}"/>
    <cellStyle name="Normal 9 11 4 2" xfId="37333" xr:uid="{00000000-0005-0000-0000-00003B950000}"/>
    <cellStyle name="Normal 9 11 4 3" xfId="37334" xr:uid="{00000000-0005-0000-0000-00003C950000}"/>
    <cellStyle name="Normal 9 11 4 4" xfId="37335" xr:uid="{00000000-0005-0000-0000-00003D950000}"/>
    <cellStyle name="Normal 9 11 4 5" xfId="37336" xr:uid="{00000000-0005-0000-0000-00003E950000}"/>
    <cellStyle name="Normal 9 11 4 6" xfId="37337" xr:uid="{00000000-0005-0000-0000-00003F950000}"/>
    <cellStyle name="Normal 9 11 5" xfId="37338" xr:uid="{00000000-0005-0000-0000-000040950000}"/>
    <cellStyle name="Normal 9 11 5 2" xfId="37339" xr:uid="{00000000-0005-0000-0000-000041950000}"/>
    <cellStyle name="Normal 9 11 5 3" xfId="37340" xr:uid="{00000000-0005-0000-0000-000042950000}"/>
    <cellStyle name="Normal 9 11 5 4" xfId="37341" xr:uid="{00000000-0005-0000-0000-000043950000}"/>
    <cellStyle name="Normal 9 11 5 5" xfId="37342" xr:uid="{00000000-0005-0000-0000-000044950000}"/>
    <cellStyle name="Normal 9 11 5 6" xfId="37343" xr:uid="{00000000-0005-0000-0000-000045950000}"/>
    <cellStyle name="Normal 9 11 6" xfId="37344" xr:uid="{00000000-0005-0000-0000-000046950000}"/>
    <cellStyle name="Normal 9 11 6 2" xfId="37345" xr:uid="{00000000-0005-0000-0000-000047950000}"/>
    <cellStyle name="Normal 9 11 6 3" xfId="37346" xr:uid="{00000000-0005-0000-0000-000048950000}"/>
    <cellStyle name="Normal 9 11 6 4" xfId="37347" xr:uid="{00000000-0005-0000-0000-000049950000}"/>
    <cellStyle name="Normal 9 11 6 5" xfId="37348" xr:uid="{00000000-0005-0000-0000-00004A950000}"/>
    <cellStyle name="Normal 9 11 6 6" xfId="37349" xr:uid="{00000000-0005-0000-0000-00004B950000}"/>
    <cellStyle name="Normal 9 11 7" xfId="37350" xr:uid="{00000000-0005-0000-0000-00004C950000}"/>
    <cellStyle name="Normal 9 11 7 2" xfId="37351" xr:uid="{00000000-0005-0000-0000-00004D950000}"/>
    <cellStyle name="Normal 9 11 7 3" xfId="37352" xr:uid="{00000000-0005-0000-0000-00004E950000}"/>
    <cellStyle name="Normal 9 11 7 4" xfId="37353" xr:uid="{00000000-0005-0000-0000-00004F950000}"/>
    <cellStyle name="Normal 9 11 7 5" xfId="37354" xr:uid="{00000000-0005-0000-0000-000050950000}"/>
    <cellStyle name="Normal 9 11 7 6" xfId="37355" xr:uid="{00000000-0005-0000-0000-000051950000}"/>
    <cellStyle name="Normal 9 11 8" xfId="37356" xr:uid="{00000000-0005-0000-0000-000052950000}"/>
    <cellStyle name="Normal 9 11 8 2" xfId="37357" xr:uid="{00000000-0005-0000-0000-000053950000}"/>
    <cellStyle name="Normal 9 11 8 3" xfId="37358" xr:uid="{00000000-0005-0000-0000-000054950000}"/>
    <cellStyle name="Normal 9 11 8 4" xfId="37359" xr:uid="{00000000-0005-0000-0000-000055950000}"/>
    <cellStyle name="Normal 9 11 8 5" xfId="37360" xr:uid="{00000000-0005-0000-0000-000056950000}"/>
    <cellStyle name="Normal 9 11 8 6" xfId="37361" xr:uid="{00000000-0005-0000-0000-000057950000}"/>
    <cellStyle name="Normal 9 11 9" xfId="37362" xr:uid="{00000000-0005-0000-0000-000058950000}"/>
    <cellStyle name="Normal 9 12" xfId="37363" xr:uid="{00000000-0005-0000-0000-000059950000}"/>
    <cellStyle name="Normal 9 12 10" xfId="37364" xr:uid="{00000000-0005-0000-0000-00005A950000}"/>
    <cellStyle name="Normal 9 12 11" xfId="37365" xr:uid="{00000000-0005-0000-0000-00005B950000}"/>
    <cellStyle name="Normal 9 12 12" xfId="37366" xr:uid="{00000000-0005-0000-0000-00005C950000}"/>
    <cellStyle name="Normal 9 12 13" xfId="37367" xr:uid="{00000000-0005-0000-0000-00005D950000}"/>
    <cellStyle name="Normal 9 12 2" xfId="37368" xr:uid="{00000000-0005-0000-0000-00005E950000}"/>
    <cellStyle name="Normal 9 12 2 2" xfId="37369" xr:uid="{00000000-0005-0000-0000-00005F950000}"/>
    <cellStyle name="Normal 9 12 2 3" xfId="37370" xr:uid="{00000000-0005-0000-0000-000060950000}"/>
    <cellStyle name="Normal 9 12 2 4" xfId="37371" xr:uid="{00000000-0005-0000-0000-000061950000}"/>
    <cellStyle name="Normal 9 12 2 5" xfId="37372" xr:uid="{00000000-0005-0000-0000-000062950000}"/>
    <cellStyle name="Normal 9 12 2 6" xfId="37373" xr:uid="{00000000-0005-0000-0000-000063950000}"/>
    <cellStyle name="Normal 9 12 3" xfId="37374" xr:uid="{00000000-0005-0000-0000-000064950000}"/>
    <cellStyle name="Normal 9 12 3 2" xfId="37375" xr:uid="{00000000-0005-0000-0000-000065950000}"/>
    <cellStyle name="Normal 9 12 3 3" xfId="37376" xr:uid="{00000000-0005-0000-0000-000066950000}"/>
    <cellStyle name="Normal 9 12 3 4" xfId="37377" xr:uid="{00000000-0005-0000-0000-000067950000}"/>
    <cellStyle name="Normal 9 12 3 5" xfId="37378" xr:uid="{00000000-0005-0000-0000-000068950000}"/>
    <cellStyle name="Normal 9 12 3 6" xfId="37379" xr:uid="{00000000-0005-0000-0000-000069950000}"/>
    <cellStyle name="Normal 9 12 4" xfId="37380" xr:uid="{00000000-0005-0000-0000-00006A950000}"/>
    <cellStyle name="Normal 9 12 4 2" xfId="37381" xr:uid="{00000000-0005-0000-0000-00006B950000}"/>
    <cellStyle name="Normal 9 12 4 3" xfId="37382" xr:uid="{00000000-0005-0000-0000-00006C950000}"/>
    <cellStyle name="Normal 9 12 4 4" xfId="37383" xr:uid="{00000000-0005-0000-0000-00006D950000}"/>
    <cellStyle name="Normal 9 12 4 5" xfId="37384" xr:uid="{00000000-0005-0000-0000-00006E950000}"/>
    <cellStyle name="Normal 9 12 4 6" xfId="37385" xr:uid="{00000000-0005-0000-0000-00006F950000}"/>
    <cellStyle name="Normal 9 12 5" xfId="37386" xr:uid="{00000000-0005-0000-0000-000070950000}"/>
    <cellStyle name="Normal 9 12 5 2" xfId="37387" xr:uid="{00000000-0005-0000-0000-000071950000}"/>
    <cellStyle name="Normal 9 12 5 3" xfId="37388" xr:uid="{00000000-0005-0000-0000-000072950000}"/>
    <cellStyle name="Normal 9 12 5 4" xfId="37389" xr:uid="{00000000-0005-0000-0000-000073950000}"/>
    <cellStyle name="Normal 9 12 5 5" xfId="37390" xr:uid="{00000000-0005-0000-0000-000074950000}"/>
    <cellStyle name="Normal 9 12 5 6" xfId="37391" xr:uid="{00000000-0005-0000-0000-000075950000}"/>
    <cellStyle name="Normal 9 12 6" xfId="37392" xr:uid="{00000000-0005-0000-0000-000076950000}"/>
    <cellStyle name="Normal 9 12 6 2" xfId="37393" xr:uid="{00000000-0005-0000-0000-000077950000}"/>
    <cellStyle name="Normal 9 12 6 3" xfId="37394" xr:uid="{00000000-0005-0000-0000-000078950000}"/>
    <cellStyle name="Normal 9 12 6 4" xfId="37395" xr:uid="{00000000-0005-0000-0000-000079950000}"/>
    <cellStyle name="Normal 9 12 6 5" xfId="37396" xr:uid="{00000000-0005-0000-0000-00007A950000}"/>
    <cellStyle name="Normal 9 12 6 6" xfId="37397" xr:uid="{00000000-0005-0000-0000-00007B950000}"/>
    <cellStyle name="Normal 9 12 7" xfId="37398" xr:uid="{00000000-0005-0000-0000-00007C950000}"/>
    <cellStyle name="Normal 9 12 7 2" xfId="37399" xr:uid="{00000000-0005-0000-0000-00007D950000}"/>
    <cellStyle name="Normal 9 12 7 3" xfId="37400" xr:uid="{00000000-0005-0000-0000-00007E950000}"/>
    <cellStyle name="Normal 9 12 7 4" xfId="37401" xr:uid="{00000000-0005-0000-0000-00007F950000}"/>
    <cellStyle name="Normal 9 12 7 5" xfId="37402" xr:uid="{00000000-0005-0000-0000-000080950000}"/>
    <cellStyle name="Normal 9 12 7 6" xfId="37403" xr:uid="{00000000-0005-0000-0000-000081950000}"/>
    <cellStyle name="Normal 9 12 8" xfId="37404" xr:uid="{00000000-0005-0000-0000-000082950000}"/>
    <cellStyle name="Normal 9 12 8 2" xfId="37405" xr:uid="{00000000-0005-0000-0000-000083950000}"/>
    <cellStyle name="Normal 9 12 8 3" xfId="37406" xr:uid="{00000000-0005-0000-0000-000084950000}"/>
    <cellStyle name="Normal 9 12 8 4" xfId="37407" xr:uid="{00000000-0005-0000-0000-000085950000}"/>
    <cellStyle name="Normal 9 12 8 5" xfId="37408" xr:uid="{00000000-0005-0000-0000-000086950000}"/>
    <cellStyle name="Normal 9 12 8 6" xfId="37409" xr:uid="{00000000-0005-0000-0000-000087950000}"/>
    <cellStyle name="Normal 9 12 9" xfId="37410" xr:uid="{00000000-0005-0000-0000-000088950000}"/>
    <cellStyle name="Normal 9 13" xfId="37411" xr:uid="{00000000-0005-0000-0000-000089950000}"/>
    <cellStyle name="Normal 9 13 10" xfId="37412" xr:uid="{00000000-0005-0000-0000-00008A950000}"/>
    <cellStyle name="Normal 9 13 11" xfId="37413" xr:uid="{00000000-0005-0000-0000-00008B950000}"/>
    <cellStyle name="Normal 9 13 12" xfId="37414" xr:uid="{00000000-0005-0000-0000-00008C950000}"/>
    <cellStyle name="Normal 9 13 13" xfId="37415" xr:uid="{00000000-0005-0000-0000-00008D950000}"/>
    <cellStyle name="Normal 9 13 2" xfId="37416" xr:uid="{00000000-0005-0000-0000-00008E950000}"/>
    <cellStyle name="Normal 9 13 2 2" xfId="37417" xr:uid="{00000000-0005-0000-0000-00008F950000}"/>
    <cellStyle name="Normal 9 13 2 3" xfId="37418" xr:uid="{00000000-0005-0000-0000-000090950000}"/>
    <cellStyle name="Normal 9 13 2 4" xfId="37419" xr:uid="{00000000-0005-0000-0000-000091950000}"/>
    <cellStyle name="Normal 9 13 2 5" xfId="37420" xr:uid="{00000000-0005-0000-0000-000092950000}"/>
    <cellStyle name="Normal 9 13 2 6" xfId="37421" xr:uid="{00000000-0005-0000-0000-000093950000}"/>
    <cellStyle name="Normal 9 13 3" xfId="37422" xr:uid="{00000000-0005-0000-0000-000094950000}"/>
    <cellStyle name="Normal 9 13 3 2" xfId="37423" xr:uid="{00000000-0005-0000-0000-000095950000}"/>
    <cellStyle name="Normal 9 13 3 3" xfId="37424" xr:uid="{00000000-0005-0000-0000-000096950000}"/>
    <cellStyle name="Normal 9 13 3 4" xfId="37425" xr:uid="{00000000-0005-0000-0000-000097950000}"/>
    <cellStyle name="Normal 9 13 3 5" xfId="37426" xr:uid="{00000000-0005-0000-0000-000098950000}"/>
    <cellStyle name="Normal 9 13 3 6" xfId="37427" xr:uid="{00000000-0005-0000-0000-000099950000}"/>
    <cellStyle name="Normal 9 13 4" xfId="37428" xr:uid="{00000000-0005-0000-0000-00009A950000}"/>
    <cellStyle name="Normal 9 13 4 2" xfId="37429" xr:uid="{00000000-0005-0000-0000-00009B950000}"/>
    <cellStyle name="Normal 9 13 4 3" xfId="37430" xr:uid="{00000000-0005-0000-0000-00009C950000}"/>
    <cellStyle name="Normal 9 13 4 4" xfId="37431" xr:uid="{00000000-0005-0000-0000-00009D950000}"/>
    <cellStyle name="Normal 9 13 4 5" xfId="37432" xr:uid="{00000000-0005-0000-0000-00009E950000}"/>
    <cellStyle name="Normal 9 13 4 6" xfId="37433" xr:uid="{00000000-0005-0000-0000-00009F950000}"/>
    <cellStyle name="Normal 9 13 5" xfId="37434" xr:uid="{00000000-0005-0000-0000-0000A0950000}"/>
    <cellStyle name="Normal 9 13 5 2" xfId="37435" xr:uid="{00000000-0005-0000-0000-0000A1950000}"/>
    <cellStyle name="Normal 9 13 5 3" xfId="37436" xr:uid="{00000000-0005-0000-0000-0000A2950000}"/>
    <cellStyle name="Normal 9 13 5 4" xfId="37437" xr:uid="{00000000-0005-0000-0000-0000A3950000}"/>
    <cellStyle name="Normal 9 13 5 5" xfId="37438" xr:uid="{00000000-0005-0000-0000-0000A4950000}"/>
    <cellStyle name="Normal 9 13 5 6" xfId="37439" xr:uid="{00000000-0005-0000-0000-0000A5950000}"/>
    <cellStyle name="Normal 9 13 6" xfId="37440" xr:uid="{00000000-0005-0000-0000-0000A6950000}"/>
    <cellStyle name="Normal 9 13 6 2" xfId="37441" xr:uid="{00000000-0005-0000-0000-0000A7950000}"/>
    <cellStyle name="Normal 9 13 6 3" xfId="37442" xr:uid="{00000000-0005-0000-0000-0000A8950000}"/>
    <cellStyle name="Normal 9 13 6 4" xfId="37443" xr:uid="{00000000-0005-0000-0000-0000A9950000}"/>
    <cellStyle name="Normal 9 13 6 5" xfId="37444" xr:uid="{00000000-0005-0000-0000-0000AA950000}"/>
    <cellStyle name="Normal 9 13 6 6" xfId="37445" xr:uid="{00000000-0005-0000-0000-0000AB950000}"/>
    <cellStyle name="Normal 9 13 7" xfId="37446" xr:uid="{00000000-0005-0000-0000-0000AC950000}"/>
    <cellStyle name="Normal 9 13 7 2" xfId="37447" xr:uid="{00000000-0005-0000-0000-0000AD950000}"/>
    <cellStyle name="Normal 9 13 7 3" xfId="37448" xr:uid="{00000000-0005-0000-0000-0000AE950000}"/>
    <cellStyle name="Normal 9 13 7 4" xfId="37449" xr:uid="{00000000-0005-0000-0000-0000AF950000}"/>
    <cellStyle name="Normal 9 13 7 5" xfId="37450" xr:uid="{00000000-0005-0000-0000-0000B0950000}"/>
    <cellStyle name="Normal 9 13 7 6" xfId="37451" xr:uid="{00000000-0005-0000-0000-0000B1950000}"/>
    <cellStyle name="Normal 9 13 8" xfId="37452" xr:uid="{00000000-0005-0000-0000-0000B2950000}"/>
    <cellStyle name="Normal 9 13 8 2" xfId="37453" xr:uid="{00000000-0005-0000-0000-0000B3950000}"/>
    <cellStyle name="Normal 9 13 8 3" xfId="37454" xr:uid="{00000000-0005-0000-0000-0000B4950000}"/>
    <cellStyle name="Normal 9 13 8 4" xfId="37455" xr:uid="{00000000-0005-0000-0000-0000B5950000}"/>
    <cellStyle name="Normal 9 13 8 5" xfId="37456" xr:uid="{00000000-0005-0000-0000-0000B6950000}"/>
    <cellStyle name="Normal 9 13 8 6" xfId="37457" xr:uid="{00000000-0005-0000-0000-0000B7950000}"/>
    <cellStyle name="Normal 9 13 9" xfId="37458" xr:uid="{00000000-0005-0000-0000-0000B8950000}"/>
    <cellStyle name="Normal 9 14" xfId="37459" xr:uid="{00000000-0005-0000-0000-0000B9950000}"/>
    <cellStyle name="Normal 9 14 10" xfId="37460" xr:uid="{00000000-0005-0000-0000-0000BA950000}"/>
    <cellStyle name="Normal 9 14 11" xfId="37461" xr:uid="{00000000-0005-0000-0000-0000BB950000}"/>
    <cellStyle name="Normal 9 14 12" xfId="37462" xr:uid="{00000000-0005-0000-0000-0000BC950000}"/>
    <cellStyle name="Normal 9 14 13" xfId="37463" xr:uid="{00000000-0005-0000-0000-0000BD950000}"/>
    <cellStyle name="Normal 9 14 2" xfId="37464" xr:uid="{00000000-0005-0000-0000-0000BE950000}"/>
    <cellStyle name="Normal 9 14 2 2" xfId="37465" xr:uid="{00000000-0005-0000-0000-0000BF950000}"/>
    <cellStyle name="Normal 9 14 2 3" xfId="37466" xr:uid="{00000000-0005-0000-0000-0000C0950000}"/>
    <cellStyle name="Normal 9 14 2 4" xfId="37467" xr:uid="{00000000-0005-0000-0000-0000C1950000}"/>
    <cellStyle name="Normal 9 14 2 5" xfId="37468" xr:uid="{00000000-0005-0000-0000-0000C2950000}"/>
    <cellStyle name="Normal 9 14 2 6" xfId="37469" xr:uid="{00000000-0005-0000-0000-0000C3950000}"/>
    <cellStyle name="Normal 9 14 3" xfId="37470" xr:uid="{00000000-0005-0000-0000-0000C4950000}"/>
    <cellStyle name="Normal 9 14 3 2" xfId="37471" xr:uid="{00000000-0005-0000-0000-0000C5950000}"/>
    <cellStyle name="Normal 9 14 3 3" xfId="37472" xr:uid="{00000000-0005-0000-0000-0000C6950000}"/>
    <cellStyle name="Normal 9 14 3 4" xfId="37473" xr:uid="{00000000-0005-0000-0000-0000C7950000}"/>
    <cellStyle name="Normal 9 14 3 5" xfId="37474" xr:uid="{00000000-0005-0000-0000-0000C8950000}"/>
    <cellStyle name="Normal 9 14 3 6" xfId="37475" xr:uid="{00000000-0005-0000-0000-0000C9950000}"/>
    <cellStyle name="Normal 9 14 4" xfId="37476" xr:uid="{00000000-0005-0000-0000-0000CA950000}"/>
    <cellStyle name="Normal 9 14 4 2" xfId="37477" xr:uid="{00000000-0005-0000-0000-0000CB950000}"/>
    <cellStyle name="Normal 9 14 4 3" xfId="37478" xr:uid="{00000000-0005-0000-0000-0000CC950000}"/>
    <cellStyle name="Normal 9 14 4 4" xfId="37479" xr:uid="{00000000-0005-0000-0000-0000CD950000}"/>
    <cellStyle name="Normal 9 14 4 5" xfId="37480" xr:uid="{00000000-0005-0000-0000-0000CE950000}"/>
    <cellStyle name="Normal 9 14 4 6" xfId="37481" xr:uid="{00000000-0005-0000-0000-0000CF950000}"/>
    <cellStyle name="Normal 9 14 5" xfId="37482" xr:uid="{00000000-0005-0000-0000-0000D0950000}"/>
    <cellStyle name="Normal 9 14 5 2" xfId="37483" xr:uid="{00000000-0005-0000-0000-0000D1950000}"/>
    <cellStyle name="Normal 9 14 5 3" xfId="37484" xr:uid="{00000000-0005-0000-0000-0000D2950000}"/>
    <cellStyle name="Normal 9 14 5 4" xfId="37485" xr:uid="{00000000-0005-0000-0000-0000D3950000}"/>
    <cellStyle name="Normal 9 14 5 5" xfId="37486" xr:uid="{00000000-0005-0000-0000-0000D4950000}"/>
    <cellStyle name="Normal 9 14 5 6" xfId="37487" xr:uid="{00000000-0005-0000-0000-0000D5950000}"/>
    <cellStyle name="Normal 9 14 6" xfId="37488" xr:uid="{00000000-0005-0000-0000-0000D6950000}"/>
    <cellStyle name="Normal 9 14 6 2" xfId="37489" xr:uid="{00000000-0005-0000-0000-0000D7950000}"/>
    <cellStyle name="Normal 9 14 6 3" xfId="37490" xr:uid="{00000000-0005-0000-0000-0000D8950000}"/>
    <cellStyle name="Normal 9 14 6 4" xfId="37491" xr:uid="{00000000-0005-0000-0000-0000D9950000}"/>
    <cellStyle name="Normal 9 14 6 5" xfId="37492" xr:uid="{00000000-0005-0000-0000-0000DA950000}"/>
    <cellStyle name="Normal 9 14 6 6" xfId="37493" xr:uid="{00000000-0005-0000-0000-0000DB950000}"/>
    <cellStyle name="Normal 9 14 7" xfId="37494" xr:uid="{00000000-0005-0000-0000-0000DC950000}"/>
    <cellStyle name="Normal 9 14 7 2" xfId="37495" xr:uid="{00000000-0005-0000-0000-0000DD950000}"/>
    <cellStyle name="Normal 9 14 7 3" xfId="37496" xr:uid="{00000000-0005-0000-0000-0000DE950000}"/>
    <cellStyle name="Normal 9 14 7 4" xfId="37497" xr:uid="{00000000-0005-0000-0000-0000DF950000}"/>
    <cellStyle name="Normal 9 14 7 5" xfId="37498" xr:uid="{00000000-0005-0000-0000-0000E0950000}"/>
    <cellStyle name="Normal 9 14 7 6" xfId="37499" xr:uid="{00000000-0005-0000-0000-0000E1950000}"/>
    <cellStyle name="Normal 9 14 8" xfId="37500" xr:uid="{00000000-0005-0000-0000-0000E2950000}"/>
    <cellStyle name="Normal 9 14 8 2" xfId="37501" xr:uid="{00000000-0005-0000-0000-0000E3950000}"/>
    <cellStyle name="Normal 9 14 8 3" xfId="37502" xr:uid="{00000000-0005-0000-0000-0000E4950000}"/>
    <cellStyle name="Normal 9 14 8 4" xfId="37503" xr:uid="{00000000-0005-0000-0000-0000E5950000}"/>
    <cellStyle name="Normal 9 14 8 5" xfId="37504" xr:uid="{00000000-0005-0000-0000-0000E6950000}"/>
    <cellStyle name="Normal 9 14 8 6" xfId="37505" xr:uid="{00000000-0005-0000-0000-0000E7950000}"/>
    <cellStyle name="Normal 9 14 9" xfId="37506" xr:uid="{00000000-0005-0000-0000-0000E8950000}"/>
    <cellStyle name="Normal 9 15" xfId="37507" xr:uid="{00000000-0005-0000-0000-0000E9950000}"/>
    <cellStyle name="Normal 9 15 10" xfId="37508" xr:uid="{00000000-0005-0000-0000-0000EA950000}"/>
    <cellStyle name="Normal 9 15 11" xfId="37509" xr:uid="{00000000-0005-0000-0000-0000EB950000}"/>
    <cellStyle name="Normal 9 15 12" xfId="37510" xr:uid="{00000000-0005-0000-0000-0000EC950000}"/>
    <cellStyle name="Normal 9 15 13" xfId="37511" xr:uid="{00000000-0005-0000-0000-0000ED950000}"/>
    <cellStyle name="Normal 9 15 2" xfId="37512" xr:uid="{00000000-0005-0000-0000-0000EE950000}"/>
    <cellStyle name="Normal 9 15 2 2" xfId="37513" xr:uid="{00000000-0005-0000-0000-0000EF950000}"/>
    <cellStyle name="Normal 9 15 2 3" xfId="37514" xr:uid="{00000000-0005-0000-0000-0000F0950000}"/>
    <cellStyle name="Normal 9 15 2 4" xfId="37515" xr:uid="{00000000-0005-0000-0000-0000F1950000}"/>
    <cellStyle name="Normal 9 15 2 5" xfId="37516" xr:uid="{00000000-0005-0000-0000-0000F2950000}"/>
    <cellStyle name="Normal 9 15 2 6" xfId="37517" xr:uid="{00000000-0005-0000-0000-0000F3950000}"/>
    <cellStyle name="Normal 9 15 3" xfId="37518" xr:uid="{00000000-0005-0000-0000-0000F4950000}"/>
    <cellStyle name="Normal 9 15 3 2" xfId="37519" xr:uid="{00000000-0005-0000-0000-0000F5950000}"/>
    <cellStyle name="Normal 9 15 3 3" xfId="37520" xr:uid="{00000000-0005-0000-0000-0000F6950000}"/>
    <cellStyle name="Normal 9 15 3 4" xfId="37521" xr:uid="{00000000-0005-0000-0000-0000F7950000}"/>
    <cellStyle name="Normal 9 15 3 5" xfId="37522" xr:uid="{00000000-0005-0000-0000-0000F8950000}"/>
    <cellStyle name="Normal 9 15 3 6" xfId="37523" xr:uid="{00000000-0005-0000-0000-0000F9950000}"/>
    <cellStyle name="Normal 9 15 4" xfId="37524" xr:uid="{00000000-0005-0000-0000-0000FA950000}"/>
    <cellStyle name="Normal 9 15 4 2" xfId="37525" xr:uid="{00000000-0005-0000-0000-0000FB950000}"/>
    <cellStyle name="Normal 9 15 4 3" xfId="37526" xr:uid="{00000000-0005-0000-0000-0000FC950000}"/>
    <cellStyle name="Normal 9 15 4 4" xfId="37527" xr:uid="{00000000-0005-0000-0000-0000FD950000}"/>
    <cellStyle name="Normal 9 15 4 5" xfId="37528" xr:uid="{00000000-0005-0000-0000-0000FE950000}"/>
    <cellStyle name="Normal 9 15 4 6" xfId="37529" xr:uid="{00000000-0005-0000-0000-0000FF950000}"/>
    <cellStyle name="Normal 9 15 5" xfId="37530" xr:uid="{00000000-0005-0000-0000-000000960000}"/>
    <cellStyle name="Normal 9 15 5 2" xfId="37531" xr:uid="{00000000-0005-0000-0000-000001960000}"/>
    <cellStyle name="Normal 9 15 5 3" xfId="37532" xr:uid="{00000000-0005-0000-0000-000002960000}"/>
    <cellStyle name="Normal 9 15 5 4" xfId="37533" xr:uid="{00000000-0005-0000-0000-000003960000}"/>
    <cellStyle name="Normal 9 15 5 5" xfId="37534" xr:uid="{00000000-0005-0000-0000-000004960000}"/>
    <cellStyle name="Normal 9 15 5 6" xfId="37535" xr:uid="{00000000-0005-0000-0000-000005960000}"/>
    <cellStyle name="Normal 9 15 6" xfId="37536" xr:uid="{00000000-0005-0000-0000-000006960000}"/>
    <cellStyle name="Normal 9 15 6 2" xfId="37537" xr:uid="{00000000-0005-0000-0000-000007960000}"/>
    <cellStyle name="Normal 9 15 6 3" xfId="37538" xr:uid="{00000000-0005-0000-0000-000008960000}"/>
    <cellStyle name="Normal 9 15 6 4" xfId="37539" xr:uid="{00000000-0005-0000-0000-000009960000}"/>
    <cellStyle name="Normal 9 15 6 5" xfId="37540" xr:uid="{00000000-0005-0000-0000-00000A960000}"/>
    <cellStyle name="Normal 9 15 6 6" xfId="37541" xr:uid="{00000000-0005-0000-0000-00000B960000}"/>
    <cellStyle name="Normal 9 15 7" xfId="37542" xr:uid="{00000000-0005-0000-0000-00000C960000}"/>
    <cellStyle name="Normal 9 15 7 2" xfId="37543" xr:uid="{00000000-0005-0000-0000-00000D960000}"/>
    <cellStyle name="Normal 9 15 7 3" xfId="37544" xr:uid="{00000000-0005-0000-0000-00000E960000}"/>
    <cellStyle name="Normal 9 15 7 4" xfId="37545" xr:uid="{00000000-0005-0000-0000-00000F960000}"/>
    <cellStyle name="Normal 9 15 7 5" xfId="37546" xr:uid="{00000000-0005-0000-0000-000010960000}"/>
    <cellStyle name="Normal 9 15 7 6" xfId="37547" xr:uid="{00000000-0005-0000-0000-000011960000}"/>
    <cellStyle name="Normal 9 15 8" xfId="37548" xr:uid="{00000000-0005-0000-0000-000012960000}"/>
    <cellStyle name="Normal 9 15 8 2" xfId="37549" xr:uid="{00000000-0005-0000-0000-000013960000}"/>
    <cellStyle name="Normal 9 15 8 3" xfId="37550" xr:uid="{00000000-0005-0000-0000-000014960000}"/>
    <cellStyle name="Normal 9 15 8 4" xfId="37551" xr:uid="{00000000-0005-0000-0000-000015960000}"/>
    <cellStyle name="Normal 9 15 8 5" xfId="37552" xr:uid="{00000000-0005-0000-0000-000016960000}"/>
    <cellStyle name="Normal 9 15 8 6" xfId="37553" xr:uid="{00000000-0005-0000-0000-000017960000}"/>
    <cellStyle name="Normal 9 15 9" xfId="37554" xr:uid="{00000000-0005-0000-0000-000018960000}"/>
    <cellStyle name="Normal 9 16" xfId="37555" xr:uid="{00000000-0005-0000-0000-000019960000}"/>
    <cellStyle name="Normal 9 16 10" xfId="37556" xr:uid="{00000000-0005-0000-0000-00001A960000}"/>
    <cellStyle name="Normal 9 16 11" xfId="37557" xr:uid="{00000000-0005-0000-0000-00001B960000}"/>
    <cellStyle name="Normal 9 16 12" xfId="37558" xr:uid="{00000000-0005-0000-0000-00001C960000}"/>
    <cellStyle name="Normal 9 16 13" xfId="37559" xr:uid="{00000000-0005-0000-0000-00001D960000}"/>
    <cellStyle name="Normal 9 16 2" xfId="37560" xr:uid="{00000000-0005-0000-0000-00001E960000}"/>
    <cellStyle name="Normal 9 16 2 2" xfId="37561" xr:uid="{00000000-0005-0000-0000-00001F960000}"/>
    <cellStyle name="Normal 9 16 2 3" xfId="37562" xr:uid="{00000000-0005-0000-0000-000020960000}"/>
    <cellStyle name="Normal 9 16 2 4" xfId="37563" xr:uid="{00000000-0005-0000-0000-000021960000}"/>
    <cellStyle name="Normal 9 16 2 5" xfId="37564" xr:uid="{00000000-0005-0000-0000-000022960000}"/>
    <cellStyle name="Normal 9 16 2 6" xfId="37565" xr:uid="{00000000-0005-0000-0000-000023960000}"/>
    <cellStyle name="Normal 9 16 3" xfId="37566" xr:uid="{00000000-0005-0000-0000-000024960000}"/>
    <cellStyle name="Normal 9 16 3 2" xfId="37567" xr:uid="{00000000-0005-0000-0000-000025960000}"/>
    <cellStyle name="Normal 9 16 3 3" xfId="37568" xr:uid="{00000000-0005-0000-0000-000026960000}"/>
    <cellStyle name="Normal 9 16 3 4" xfId="37569" xr:uid="{00000000-0005-0000-0000-000027960000}"/>
    <cellStyle name="Normal 9 16 3 5" xfId="37570" xr:uid="{00000000-0005-0000-0000-000028960000}"/>
    <cellStyle name="Normal 9 16 3 6" xfId="37571" xr:uid="{00000000-0005-0000-0000-000029960000}"/>
    <cellStyle name="Normal 9 16 4" xfId="37572" xr:uid="{00000000-0005-0000-0000-00002A960000}"/>
    <cellStyle name="Normal 9 16 4 2" xfId="37573" xr:uid="{00000000-0005-0000-0000-00002B960000}"/>
    <cellStyle name="Normal 9 16 4 3" xfId="37574" xr:uid="{00000000-0005-0000-0000-00002C960000}"/>
    <cellStyle name="Normal 9 16 4 4" xfId="37575" xr:uid="{00000000-0005-0000-0000-00002D960000}"/>
    <cellStyle name="Normal 9 16 4 5" xfId="37576" xr:uid="{00000000-0005-0000-0000-00002E960000}"/>
    <cellStyle name="Normal 9 16 4 6" xfId="37577" xr:uid="{00000000-0005-0000-0000-00002F960000}"/>
    <cellStyle name="Normal 9 16 5" xfId="37578" xr:uid="{00000000-0005-0000-0000-000030960000}"/>
    <cellStyle name="Normal 9 16 5 2" xfId="37579" xr:uid="{00000000-0005-0000-0000-000031960000}"/>
    <cellStyle name="Normal 9 16 5 3" xfId="37580" xr:uid="{00000000-0005-0000-0000-000032960000}"/>
    <cellStyle name="Normal 9 16 5 4" xfId="37581" xr:uid="{00000000-0005-0000-0000-000033960000}"/>
    <cellStyle name="Normal 9 16 5 5" xfId="37582" xr:uid="{00000000-0005-0000-0000-000034960000}"/>
    <cellStyle name="Normal 9 16 5 6" xfId="37583" xr:uid="{00000000-0005-0000-0000-000035960000}"/>
    <cellStyle name="Normal 9 16 6" xfId="37584" xr:uid="{00000000-0005-0000-0000-000036960000}"/>
    <cellStyle name="Normal 9 16 6 2" xfId="37585" xr:uid="{00000000-0005-0000-0000-000037960000}"/>
    <cellStyle name="Normal 9 16 6 3" xfId="37586" xr:uid="{00000000-0005-0000-0000-000038960000}"/>
    <cellStyle name="Normal 9 16 6 4" xfId="37587" xr:uid="{00000000-0005-0000-0000-000039960000}"/>
    <cellStyle name="Normal 9 16 6 5" xfId="37588" xr:uid="{00000000-0005-0000-0000-00003A960000}"/>
    <cellStyle name="Normal 9 16 6 6" xfId="37589" xr:uid="{00000000-0005-0000-0000-00003B960000}"/>
    <cellStyle name="Normal 9 16 7" xfId="37590" xr:uid="{00000000-0005-0000-0000-00003C960000}"/>
    <cellStyle name="Normal 9 16 7 2" xfId="37591" xr:uid="{00000000-0005-0000-0000-00003D960000}"/>
    <cellStyle name="Normal 9 16 7 3" xfId="37592" xr:uid="{00000000-0005-0000-0000-00003E960000}"/>
    <cellStyle name="Normal 9 16 7 4" xfId="37593" xr:uid="{00000000-0005-0000-0000-00003F960000}"/>
    <cellStyle name="Normal 9 16 7 5" xfId="37594" xr:uid="{00000000-0005-0000-0000-000040960000}"/>
    <cellStyle name="Normal 9 16 7 6" xfId="37595" xr:uid="{00000000-0005-0000-0000-000041960000}"/>
    <cellStyle name="Normal 9 16 8" xfId="37596" xr:uid="{00000000-0005-0000-0000-000042960000}"/>
    <cellStyle name="Normal 9 16 8 2" xfId="37597" xr:uid="{00000000-0005-0000-0000-000043960000}"/>
    <cellStyle name="Normal 9 16 8 3" xfId="37598" xr:uid="{00000000-0005-0000-0000-000044960000}"/>
    <cellStyle name="Normal 9 16 8 4" xfId="37599" xr:uid="{00000000-0005-0000-0000-000045960000}"/>
    <cellStyle name="Normal 9 16 8 5" xfId="37600" xr:uid="{00000000-0005-0000-0000-000046960000}"/>
    <cellStyle name="Normal 9 16 8 6" xfId="37601" xr:uid="{00000000-0005-0000-0000-000047960000}"/>
    <cellStyle name="Normal 9 16 9" xfId="37602" xr:uid="{00000000-0005-0000-0000-000048960000}"/>
    <cellStyle name="Normal 9 17" xfId="37603" xr:uid="{00000000-0005-0000-0000-000049960000}"/>
    <cellStyle name="Normal 9 17 10" xfId="37604" xr:uid="{00000000-0005-0000-0000-00004A960000}"/>
    <cellStyle name="Normal 9 17 11" xfId="37605" xr:uid="{00000000-0005-0000-0000-00004B960000}"/>
    <cellStyle name="Normal 9 17 12" xfId="37606" xr:uid="{00000000-0005-0000-0000-00004C960000}"/>
    <cellStyle name="Normal 9 17 13" xfId="37607" xr:uid="{00000000-0005-0000-0000-00004D960000}"/>
    <cellStyle name="Normal 9 17 2" xfId="37608" xr:uid="{00000000-0005-0000-0000-00004E960000}"/>
    <cellStyle name="Normal 9 17 2 2" xfId="37609" xr:uid="{00000000-0005-0000-0000-00004F960000}"/>
    <cellStyle name="Normal 9 17 2 3" xfId="37610" xr:uid="{00000000-0005-0000-0000-000050960000}"/>
    <cellStyle name="Normal 9 17 2 4" xfId="37611" xr:uid="{00000000-0005-0000-0000-000051960000}"/>
    <cellStyle name="Normal 9 17 2 5" xfId="37612" xr:uid="{00000000-0005-0000-0000-000052960000}"/>
    <cellStyle name="Normal 9 17 2 6" xfId="37613" xr:uid="{00000000-0005-0000-0000-000053960000}"/>
    <cellStyle name="Normal 9 17 3" xfId="37614" xr:uid="{00000000-0005-0000-0000-000054960000}"/>
    <cellStyle name="Normal 9 17 3 2" xfId="37615" xr:uid="{00000000-0005-0000-0000-000055960000}"/>
    <cellStyle name="Normal 9 17 3 3" xfId="37616" xr:uid="{00000000-0005-0000-0000-000056960000}"/>
    <cellStyle name="Normal 9 17 3 4" xfId="37617" xr:uid="{00000000-0005-0000-0000-000057960000}"/>
    <cellStyle name="Normal 9 17 3 5" xfId="37618" xr:uid="{00000000-0005-0000-0000-000058960000}"/>
    <cellStyle name="Normal 9 17 3 6" xfId="37619" xr:uid="{00000000-0005-0000-0000-000059960000}"/>
    <cellStyle name="Normal 9 17 4" xfId="37620" xr:uid="{00000000-0005-0000-0000-00005A960000}"/>
    <cellStyle name="Normal 9 17 4 2" xfId="37621" xr:uid="{00000000-0005-0000-0000-00005B960000}"/>
    <cellStyle name="Normal 9 17 4 3" xfId="37622" xr:uid="{00000000-0005-0000-0000-00005C960000}"/>
    <cellStyle name="Normal 9 17 4 4" xfId="37623" xr:uid="{00000000-0005-0000-0000-00005D960000}"/>
    <cellStyle name="Normal 9 17 4 5" xfId="37624" xr:uid="{00000000-0005-0000-0000-00005E960000}"/>
    <cellStyle name="Normal 9 17 4 6" xfId="37625" xr:uid="{00000000-0005-0000-0000-00005F960000}"/>
    <cellStyle name="Normal 9 17 5" xfId="37626" xr:uid="{00000000-0005-0000-0000-000060960000}"/>
    <cellStyle name="Normal 9 17 5 2" xfId="37627" xr:uid="{00000000-0005-0000-0000-000061960000}"/>
    <cellStyle name="Normal 9 17 5 3" xfId="37628" xr:uid="{00000000-0005-0000-0000-000062960000}"/>
    <cellStyle name="Normal 9 17 5 4" xfId="37629" xr:uid="{00000000-0005-0000-0000-000063960000}"/>
    <cellStyle name="Normal 9 17 5 5" xfId="37630" xr:uid="{00000000-0005-0000-0000-000064960000}"/>
    <cellStyle name="Normal 9 17 5 6" xfId="37631" xr:uid="{00000000-0005-0000-0000-000065960000}"/>
    <cellStyle name="Normal 9 17 6" xfId="37632" xr:uid="{00000000-0005-0000-0000-000066960000}"/>
    <cellStyle name="Normal 9 17 6 2" xfId="37633" xr:uid="{00000000-0005-0000-0000-000067960000}"/>
    <cellStyle name="Normal 9 17 6 3" xfId="37634" xr:uid="{00000000-0005-0000-0000-000068960000}"/>
    <cellStyle name="Normal 9 17 6 4" xfId="37635" xr:uid="{00000000-0005-0000-0000-000069960000}"/>
    <cellStyle name="Normal 9 17 6 5" xfId="37636" xr:uid="{00000000-0005-0000-0000-00006A960000}"/>
    <cellStyle name="Normal 9 17 6 6" xfId="37637" xr:uid="{00000000-0005-0000-0000-00006B960000}"/>
    <cellStyle name="Normal 9 17 7" xfId="37638" xr:uid="{00000000-0005-0000-0000-00006C960000}"/>
    <cellStyle name="Normal 9 17 7 2" xfId="37639" xr:uid="{00000000-0005-0000-0000-00006D960000}"/>
    <cellStyle name="Normal 9 17 7 3" xfId="37640" xr:uid="{00000000-0005-0000-0000-00006E960000}"/>
    <cellStyle name="Normal 9 17 7 4" xfId="37641" xr:uid="{00000000-0005-0000-0000-00006F960000}"/>
    <cellStyle name="Normal 9 17 7 5" xfId="37642" xr:uid="{00000000-0005-0000-0000-000070960000}"/>
    <cellStyle name="Normal 9 17 7 6" xfId="37643" xr:uid="{00000000-0005-0000-0000-000071960000}"/>
    <cellStyle name="Normal 9 17 8" xfId="37644" xr:uid="{00000000-0005-0000-0000-000072960000}"/>
    <cellStyle name="Normal 9 17 8 2" xfId="37645" xr:uid="{00000000-0005-0000-0000-000073960000}"/>
    <cellStyle name="Normal 9 17 8 3" xfId="37646" xr:uid="{00000000-0005-0000-0000-000074960000}"/>
    <cellStyle name="Normal 9 17 8 4" xfId="37647" xr:uid="{00000000-0005-0000-0000-000075960000}"/>
    <cellStyle name="Normal 9 17 8 5" xfId="37648" xr:uid="{00000000-0005-0000-0000-000076960000}"/>
    <cellStyle name="Normal 9 17 8 6" xfId="37649" xr:uid="{00000000-0005-0000-0000-000077960000}"/>
    <cellStyle name="Normal 9 17 9" xfId="37650" xr:uid="{00000000-0005-0000-0000-000078960000}"/>
    <cellStyle name="Normal 9 18" xfId="37651" xr:uid="{00000000-0005-0000-0000-000079960000}"/>
    <cellStyle name="Normal 9 18 10" xfId="37652" xr:uid="{00000000-0005-0000-0000-00007A960000}"/>
    <cellStyle name="Normal 9 18 11" xfId="37653" xr:uid="{00000000-0005-0000-0000-00007B960000}"/>
    <cellStyle name="Normal 9 18 12" xfId="37654" xr:uid="{00000000-0005-0000-0000-00007C960000}"/>
    <cellStyle name="Normal 9 18 13" xfId="37655" xr:uid="{00000000-0005-0000-0000-00007D960000}"/>
    <cellStyle name="Normal 9 18 2" xfId="37656" xr:uid="{00000000-0005-0000-0000-00007E960000}"/>
    <cellStyle name="Normal 9 18 2 2" xfId="37657" xr:uid="{00000000-0005-0000-0000-00007F960000}"/>
    <cellStyle name="Normal 9 18 2 3" xfId="37658" xr:uid="{00000000-0005-0000-0000-000080960000}"/>
    <cellStyle name="Normal 9 18 2 4" xfId="37659" xr:uid="{00000000-0005-0000-0000-000081960000}"/>
    <cellStyle name="Normal 9 18 2 5" xfId="37660" xr:uid="{00000000-0005-0000-0000-000082960000}"/>
    <cellStyle name="Normal 9 18 2 6" xfId="37661" xr:uid="{00000000-0005-0000-0000-000083960000}"/>
    <cellStyle name="Normal 9 18 3" xfId="37662" xr:uid="{00000000-0005-0000-0000-000084960000}"/>
    <cellStyle name="Normal 9 18 3 2" xfId="37663" xr:uid="{00000000-0005-0000-0000-000085960000}"/>
    <cellStyle name="Normal 9 18 3 3" xfId="37664" xr:uid="{00000000-0005-0000-0000-000086960000}"/>
    <cellStyle name="Normal 9 18 3 4" xfId="37665" xr:uid="{00000000-0005-0000-0000-000087960000}"/>
    <cellStyle name="Normal 9 18 3 5" xfId="37666" xr:uid="{00000000-0005-0000-0000-000088960000}"/>
    <cellStyle name="Normal 9 18 3 6" xfId="37667" xr:uid="{00000000-0005-0000-0000-000089960000}"/>
    <cellStyle name="Normal 9 18 4" xfId="37668" xr:uid="{00000000-0005-0000-0000-00008A960000}"/>
    <cellStyle name="Normal 9 18 4 2" xfId="37669" xr:uid="{00000000-0005-0000-0000-00008B960000}"/>
    <cellStyle name="Normal 9 18 4 3" xfId="37670" xr:uid="{00000000-0005-0000-0000-00008C960000}"/>
    <cellStyle name="Normal 9 18 4 4" xfId="37671" xr:uid="{00000000-0005-0000-0000-00008D960000}"/>
    <cellStyle name="Normal 9 18 4 5" xfId="37672" xr:uid="{00000000-0005-0000-0000-00008E960000}"/>
    <cellStyle name="Normal 9 18 4 6" xfId="37673" xr:uid="{00000000-0005-0000-0000-00008F960000}"/>
    <cellStyle name="Normal 9 18 5" xfId="37674" xr:uid="{00000000-0005-0000-0000-000090960000}"/>
    <cellStyle name="Normal 9 18 5 2" xfId="37675" xr:uid="{00000000-0005-0000-0000-000091960000}"/>
    <cellStyle name="Normal 9 18 5 3" xfId="37676" xr:uid="{00000000-0005-0000-0000-000092960000}"/>
    <cellStyle name="Normal 9 18 5 4" xfId="37677" xr:uid="{00000000-0005-0000-0000-000093960000}"/>
    <cellStyle name="Normal 9 18 5 5" xfId="37678" xr:uid="{00000000-0005-0000-0000-000094960000}"/>
    <cellStyle name="Normal 9 18 5 6" xfId="37679" xr:uid="{00000000-0005-0000-0000-000095960000}"/>
    <cellStyle name="Normal 9 18 6" xfId="37680" xr:uid="{00000000-0005-0000-0000-000096960000}"/>
    <cellStyle name="Normal 9 18 6 2" xfId="37681" xr:uid="{00000000-0005-0000-0000-000097960000}"/>
    <cellStyle name="Normal 9 18 6 3" xfId="37682" xr:uid="{00000000-0005-0000-0000-000098960000}"/>
    <cellStyle name="Normal 9 18 6 4" xfId="37683" xr:uid="{00000000-0005-0000-0000-000099960000}"/>
    <cellStyle name="Normal 9 18 6 5" xfId="37684" xr:uid="{00000000-0005-0000-0000-00009A960000}"/>
    <cellStyle name="Normal 9 18 6 6" xfId="37685" xr:uid="{00000000-0005-0000-0000-00009B960000}"/>
    <cellStyle name="Normal 9 18 7" xfId="37686" xr:uid="{00000000-0005-0000-0000-00009C960000}"/>
    <cellStyle name="Normal 9 18 7 2" xfId="37687" xr:uid="{00000000-0005-0000-0000-00009D960000}"/>
    <cellStyle name="Normal 9 18 7 3" xfId="37688" xr:uid="{00000000-0005-0000-0000-00009E960000}"/>
    <cellStyle name="Normal 9 18 7 4" xfId="37689" xr:uid="{00000000-0005-0000-0000-00009F960000}"/>
    <cellStyle name="Normal 9 18 7 5" xfId="37690" xr:uid="{00000000-0005-0000-0000-0000A0960000}"/>
    <cellStyle name="Normal 9 18 7 6" xfId="37691" xr:uid="{00000000-0005-0000-0000-0000A1960000}"/>
    <cellStyle name="Normal 9 18 8" xfId="37692" xr:uid="{00000000-0005-0000-0000-0000A2960000}"/>
    <cellStyle name="Normal 9 18 8 2" xfId="37693" xr:uid="{00000000-0005-0000-0000-0000A3960000}"/>
    <cellStyle name="Normal 9 18 8 3" xfId="37694" xr:uid="{00000000-0005-0000-0000-0000A4960000}"/>
    <cellStyle name="Normal 9 18 8 4" xfId="37695" xr:uid="{00000000-0005-0000-0000-0000A5960000}"/>
    <cellStyle name="Normal 9 18 8 5" xfId="37696" xr:uid="{00000000-0005-0000-0000-0000A6960000}"/>
    <cellStyle name="Normal 9 18 8 6" xfId="37697" xr:uid="{00000000-0005-0000-0000-0000A7960000}"/>
    <cellStyle name="Normal 9 18 9" xfId="37698" xr:uid="{00000000-0005-0000-0000-0000A8960000}"/>
    <cellStyle name="Normal 9 19" xfId="37699" xr:uid="{00000000-0005-0000-0000-0000A9960000}"/>
    <cellStyle name="Normal 9 19 10" xfId="37700" xr:uid="{00000000-0005-0000-0000-0000AA960000}"/>
    <cellStyle name="Normal 9 19 11" xfId="37701" xr:uid="{00000000-0005-0000-0000-0000AB960000}"/>
    <cellStyle name="Normal 9 19 12" xfId="37702" xr:uid="{00000000-0005-0000-0000-0000AC960000}"/>
    <cellStyle name="Normal 9 19 13" xfId="37703" xr:uid="{00000000-0005-0000-0000-0000AD960000}"/>
    <cellStyle name="Normal 9 19 2" xfId="37704" xr:uid="{00000000-0005-0000-0000-0000AE960000}"/>
    <cellStyle name="Normal 9 19 2 2" xfId="37705" xr:uid="{00000000-0005-0000-0000-0000AF960000}"/>
    <cellStyle name="Normal 9 19 2 3" xfId="37706" xr:uid="{00000000-0005-0000-0000-0000B0960000}"/>
    <cellStyle name="Normal 9 19 2 4" xfId="37707" xr:uid="{00000000-0005-0000-0000-0000B1960000}"/>
    <cellStyle name="Normal 9 19 2 5" xfId="37708" xr:uid="{00000000-0005-0000-0000-0000B2960000}"/>
    <cellStyle name="Normal 9 19 2 6" xfId="37709" xr:uid="{00000000-0005-0000-0000-0000B3960000}"/>
    <cellStyle name="Normal 9 19 3" xfId="37710" xr:uid="{00000000-0005-0000-0000-0000B4960000}"/>
    <cellStyle name="Normal 9 19 3 2" xfId="37711" xr:uid="{00000000-0005-0000-0000-0000B5960000}"/>
    <cellStyle name="Normal 9 19 3 3" xfId="37712" xr:uid="{00000000-0005-0000-0000-0000B6960000}"/>
    <cellStyle name="Normal 9 19 3 4" xfId="37713" xr:uid="{00000000-0005-0000-0000-0000B7960000}"/>
    <cellStyle name="Normal 9 19 3 5" xfId="37714" xr:uid="{00000000-0005-0000-0000-0000B8960000}"/>
    <cellStyle name="Normal 9 19 3 6" xfId="37715" xr:uid="{00000000-0005-0000-0000-0000B9960000}"/>
    <cellStyle name="Normal 9 19 4" xfId="37716" xr:uid="{00000000-0005-0000-0000-0000BA960000}"/>
    <cellStyle name="Normal 9 19 4 2" xfId="37717" xr:uid="{00000000-0005-0000-0000-0000BB960000}"/>
    <cellStyle name="Normal 9 19 4 3" xfId="37718" xr:uid="{00000000-0005-0000-0000-0000BC960000}"/>
    <cellStyle name="Normal 9 19 4 4" xfId="37719" xr:uid="{00000000-0005-0000-0000-0000BD960000}"/>
    <cellStyle name="Normal 9 19 4 5" xfId="37720" xr:uid="{00000000-0005-0000-0000-0000BE960000}"/>
    <cellStyle name="Normal 9 19 4 6" xfId="37721" xr:uid="{00000000-0005-0000-0000-0000BF960000}"/>
    <cellStyle name="Normal 9 19 5" xfId="37722" xr:uid="{00000000-0005-0000-0000-0000C0960000}"/>
    <cellStyle name="Normal 9 19 5 2" xfId="37723" xr:uid="{00000000-0005-0000-0000-0000C1960000}"/>
    <cellStyle name="Normal 9 19 5 3" xfId="37724" xr:uid="{00000000-0005-0000-0000-0000C2960000}"/>
    <cellStyle name="Normal 9 19 5 4" xfId="37725" xr:uid="{00000000-0005-0000-0000-0000C3960000}"/>
    <cellStyle name="Normal 9 19 5 5" xfId="37726" xr:uid="{00000000-0005-0000-0000-0000C4960000}"/>
    <cellStyle name="Normal 9 19 5 6" xfId="37727" xr:uid="{00000000-0005-0000-0000-0000C5960000}"/>
    <cellStyle name="Normal 9 19 6" xfId="37728" xr:uid="{00000000-0005-0000-0000-0000C6960000}"/>
    <cellStyle name="Normal 9 19 6 2" xfId="37729" xr:uid="{00000000-0005-0000-0000-0000C7960000}"/>
    <cellStyle name="Normal 9 19 6 3" xfId="37730" xr:uid="{00000000-0005-0000-0000-0000C8960000}"/>
    <cellStyle name="Normal 9 19 6 4" xfId="37731" xr:uid="{00000000-0005-0000-0000-0000C9960000}"/>
    <cellStyle name="Normal 9 19 6 5" xfId="37732" xr:uid="{00000000-0005-0000-0000-0000CA960000}"/>
    <cellStyle name="Normal 9 19 6 6" xfId="37733" xr:uid="{00000000-0005-0000-0000-0000CB960000}"/>
    <cellStyle name="Normal 9 19 7" xfId="37734" xr:uid="{00000000-0005-0000-0000-0000CC960000}"/>
    <cellStyle name="Normal 9 19 7 2" xfId="37735" xr:uid="{00000000-0005-0000-0000-0000CD960000}"/>
    <cellStyle name="Normal 9 19 7 3" xfId="37736" xr:uid="{00000000-0005-0000-0000-0000CE960000}"/>
    <cellStyle name="Normal 9 19 7 4" xfId="37737" xr:uid="{00000000-0005-0000-0000-0000CF960000}"/>
    <cellStyle name="Normal 9 19 7 5" xfId="37738" xr:uid="{00000000-0005-0000-0000-0000D0960000}"/>
    <cellStyle name="Normal 9 19 7 6" xfId="37739" xr:uid="{00000000-0005-0000-0000-0000D1960000}"/>
    <cellStyle name="Normal 9 19 8" xfId="37740" xr:uid="{00000000-0005-0000-0000-0000D2960000}"/>
    <cellStyle name="Normal 9 19 8 2" xfId="37741" xr:uid="{00000000-0005-0000-0000-0000D3960000}"/>
    <cellStyle name="Normal 9 19 8 3" xfId="37742" xr:uid="{00000000-0005-0000-0000-0000D4960000}"/>
    <cellStyle name="Normal 9 19 8 4" xfId="37743" xr:uid="{00000000-0005-0000-0000-0000D5960000}"/>
    <cellStyle name="Normal 9 19 8 5" xfId="37744" xr:uid="{00000000-0005-0000-0000-0000D6960000}"/>
    <cellStyle name="Normal 9 19 8 6" xfId="37745" xr:uid="{00000000-0005-0000-0000-0000D7960000}"/>
    <cellStyle name="Normal 9 19 9" xfId="37746" xr:uid="{00000000-0005-0000-0000-0000D8960000}"/>
    <cellStyle name="Normal 9 2" xfId="37747" xr:uid="{00000000-0005-0000-0000-0000D9960000}"/>
    <cellStyle name="Normal 9 2 10" xfId="37748" xr:uid="{00000000-0005-0000-0000-0000DA960000}"/>
    <cellStyle name="Normal 9 2 11" xfId="37749" xr:uid="{00000000-0005-0000-0000-0000DB960000}"/>
    <cellStyle name="Normal 9 2 12" xfId="37750" xr:uid="{00000000-0005-0000-0000-0000DC960000}"/>
    <cellStyle name="Normal 9 2 13" xfId="37751" xr:uid="{00000000-0005-0000-0000-0000DD960000}"/>
    <cellStyle name="Normal 9 2 14" xfId="37752" xr:uid="{00000000-0005-0000-0000-0000DE960000}"/>
    <cellStyle name="Normal 9 2 2" xfId="37753" xr:uid="{00000000-0005-0000-0000-0000DF960000}"/>
    <cellStyle name="Normal 9 2 2 2" xfId="37754" xr:uid="{00000000-0005-0000-0000-0000E0960000}"/>
    <cellStyle name="Normal 9 2 2 3" xfId="37755" xr:uid="{00000000-0005-0000-0000-0000E1960000}"/>
    <cellStyle name="Normal 9 2 2 4" xfId="37756" xr:uid="{00000000-0005-0000-0000-0000E2960000}"/>
    <cellStyle name="Normal 9 2 2 5" xfId="37757" xr:uid="{00000000-0005-0000-0000-0000E3960000}"/>
    <cellStyle name="Normal 9 2 2 6" xfId="37758" xr:uid="{00000000-0005-0000-0000-0000E4960000}"/>
    <cellStyle name="Normal 9 2 3" xfId="37759" xr:uid="{00000000-0005-0000-0000-0000E5960000}"/>
    <cellStyle name="Normal 9 2 3 2" xfId="37760" xr:uid="{00000000-0005-0000-0000-0000E6960000}"/>
    <cellStyle name="Normal 9 2 3 3" xfId="37761" xr:uid="{00000000-0005-0000-0000-0000E7960000}"/>
    <cellStyle name="Normal 9 2 3 4" xfId="37762" xr:uid="{00000000-0005-0000-0000-0000E8960000}"/>
    <cellStyle name="Normal 9 2 3 5" xfId="37763" xr:uid="{00000000-0005-0000-0000-0000E9960000}"/>
    <cellStyle name="Normal 9 2 3 6" xfId="37764" xr:uid="{00000000-0005-0000-0000-0000EA960000}"/>
    <cellStyle name="Normal 9 2 4" xfId="37765" xr:uid="{00000000-0005-0000-0000-0000EB960000}"/>
    <cellStyle name="Normal 9 2 4 2" xfId="37766" xr:uid="{00000000-0005-0000-0000-0000EC960000}"/>
    <cellStyle name="Normal 9 2 4 3" xfId="37767" xr:uid="{00000000-0005-0000-0000-0000ED960000}"/>
    <cellStyle name="Normal 9 2 4 4" xfId="37768" xr:uid="{00000000-0005-0000-0000-0000EE960000}"/>
    <cellStyle name="Normal 9 2 4 5" xfId="37769" xr:uid="{00000000-0005-0000-0000-0000EF960000}"/>
    <cellStyle name="Normal 9 2 4 6" xfId="37770" xr:uid="{00000000-0005-0000-0000-0000F0960000}"/>
    <cellStyle name="Normal 9 2 5" xfId="37771" xr:uid="{00000000-0005-0000-0000-0000F1960000}"/>
    <cellStyle name="Normal 9 2 5 2" xfId="37772" xr:uid="{00000000-0005-0000-0000-0000F2960000}"/>
    <cellStyle name="Normal 9 2 5 3" xfId="37773" xr:uid="{00000000-0005-0000-0000-0000F3960000}"/>
    <cellStyle name="Normal 9 2 5 4" xfId="37774" xr:uid="{00000000-0005-0000-0000-0000F4960000}"/>
    <cellStyle name="Normal 9 2 5 5" xfId="37775" xr:uid="{00000000-0005-0000-0000-0000F5960000}"/>
    <cellStyle name="Normal 9 2 5 6" xfId="37776" xr:uid="{00000000-0005-0000-0000-0000F6960000}"/>
    <cellStyle name="Normal 9 2 6" xfId="37777" xr:uid="{00000000-0005-0000-0000-0000F7960000}"/>
    <cellStyle name="Normal 9 2 6 2" xfId="37778" xr:uid="{00000000-0005-0000-0000-0000F8960000}"/>
    <cellStyle name="Normal 9 2 6 3" xfId="37779" xr:uid="{00000000-0005-0000-0000-0000F9960000}"/>
    <cellStyle name="Normal 9 2 6 4" xfId="37780" xr:uid="{00000000-0005-0000-0000-0000FA960000}"/>
    <cellStyle name="Normal 9 2 6 5" xfId="37781" xr:uid="{00000000-0005-0000-0000-0000FB960000}"/>
    <cellStyle name="Normal 9 2 6 6" xfId="37782" xr:uid="{00000000-0005-0000-0000-0000FC960000}"/>
    <cellStyle name="Normal 9 2 7" xfId="37783" xr:uid="{00000000-0005-0000-0000-0000FD960000}"/>
    <cellStyle name="Normal 9 2 7 2" xfId="37784" xr:uid="{00000000-0005-0000-0000-0000FE960000}"/>
    <cellStyle name="Normal 9 2 7 3" xfId="37785" xr:uid="{00000000-0005-0000-0000-0000FF960000}"/>
    <cellStyle name="Normal 9 2 7 4" xfId="37786" xr:uid="{00000000-0005-0000-0000-000000970000}"/>
    <cellStyle name="Normal 9 2 7 5" xfId="37787" xr:uid="{00000000-0005-0000-0000-000001970000}"/>
    <cellStyle name="Normal 9 2 7 6" xfId="37788" xr:uid="{00000000-0005-0000-0000-000002970000}"/>
    <cellStyle name="Normal 9 2 8" xfId="37789" xr:uid="{00000000-0005-0000-0000-000003970000}"/>
    <cellStyle name="Normal 9 2 8 2" xfId="37790" xr:uid="{00000000-0005-0000-0000-000004970000}"/>
    <cellStyle name="Normal 9 2 8 3" xfId="37791" xr:uid="{00000000-0005-0000-0000-000005970000}"/>
    <cellStyle name="Normal 9 2 8 4" xfId="37792" xr:uid="{00000000-0005-0000-0000-000006970000}"/>
    <cellStyle name="Normal 9 2 8 5" xfId="37793" xr:uid="{00000000-0005-0000-0000-000007970000}"/>
    <cellStyle name="Normal 9 2 8 6" xfId="37794" xr:uid="{00000000-0005-0000-0000-000008970000}"/>
    <cellStyle name="Normal 9 2 9" xfId="37795" xr:uid="{00000000-0005-0000-0000-000009970000}"/>
    <cellStyle name="Normal 9 20" xfId="37796" xr:uid="{00000000-0005-0000-0000-00000A970000}"/>
    <cellStyle name="Normal 9 20 10" xfId="37797" xr:uid="{00000000-0005-0000-0000-00000B970000}"/>
    <cellStyle name="Normal 9 20 11" xfId="37798" xr:uid="{00000000-0005-0000-0000-00000C970000}"/>
    <cellStyle name="Normal 9 20 12" xfId="37799" xr:uid="{00000000-0005-0000-0000-00000D970000}"/>
    <cellStyle name="Normal 9 20 13" xfId="37800" xr:uid="{00000000-0005-0000-0000-00000E970000}"/>
    <cellStyle name="Normal 9 20 2" xfId="37801" xr:uid="{00000000-0005-0000-0000-00000F970000}"/>
    <cellStyle name="Normal 9 20 2 2" xfId="37802" xr:uid="{00000000-0005-0000-0000-000010970000}"/>
    <cellStyle name="Normal 9 20 2 3" xfId="37803" xr:uid="{00000000-0005-0000-0000-000011970000}"/>
    <cellStyle name="Normal 9 20 2 4" xfId="37804" xr:uid="{00000000-0005-0000-0000-000012970000}"/>
    <cellStyle name="Normal 9 20 2 5" xfId="37805" xr:uid="{00000000-0005-0000-0000-000013970000}"/>
    <cellStyle name="Normal 9 20 2 6" xfId="37806" xr:uid="{00000000-0005-0000-0000-000014970000}"/>
    <cellStyle name="Normal 9 20 3" xfId="37807" xr:uid="{00000000-0005-0000-0000-000015970000}"/>
    <cellStyle name="Normal 9 20 3 2" xfId="37808" xr:uid="{00000000-0005-0000-0000-000016970000}"/>
    <cellStyle name="Normal 9 20 3 3" xfId="37809" xr:uid="{00000000-0005-0000-0000-000017970000}"/>
    <cellStyle name="Normal 9 20 3 4" xfId="37810" xr:uid="{00000000-0005-0000-0000-000018970000}"/>
    <cellStyle name="Normal 9 20 3 5" xfId="37811" xr:uid="{00000000-0005-0000-0000-000019970000}"/>
    <cellStyle name="Normal 9 20 3 6" xfId="37812" xr:uid="{00000000-0005-0000-0000-00001A970000}"/>
    <cellStyle name="Normal 9 20 4" xfId="37813" xr:uid="{00000000-0005-0000-0000-00001B970000}"/>
    <cellStyle name="Normal 9 20 4 2" xfId="37814" xr:uid="{00000000-0005-0000-0000-00001C970000}"/>
    <cellStyle name="Normal 9 20 4 3" xfId="37815" xr:uid="{00000000-0005-0000-0000-00001D970000}"/>
    <cellStyle name="Normal 9 20 4 4" xfId="37816" xr:uid="{00000000-0005-0000-0000-00001E970000}"/>
    <cellStyle name="Normal 9 20 4 5" xfId="37817" xr:uid="{00000000-0005-0000-0000-00001F970000}"/>
    <cellStyle name="Normal 9 20 4 6" xfId="37818" xr:uid="{00000000-0005-0000-0000-000020970000}"/>
    <cellStyle name="Normal 9 20 5" xfId="37819" xr:uid="{00000000-0005-0000-0000-000021970000}"/>
    <cellStyle name="Normal 9 20 5 2" xfId="37820" xr:uid="{00000000-0005-0000-0000-000022970000}"/>
    <cellStyle name="Normal 9 20 5 3" xfId="37821" xr:uid="{00000000-0005-0000-0000-000023970000}"/>
    <cellStyle name="Normal 9 20 5 4" xfId="37822" xr:uid="{00000000-0005-0000-0000-000024970000}"/>
    <cellStyle name="Normal 9 20 5 5" xfId="37823" xr:uid="{00000000-0005-0000-0000-000025970000}"/>
    <cellStyle name="Normal 9 20 5 6" xfId="37824" xr:uid="{00000000-0005-0000-0000-000026970000}"/>
    <cellStyle name="Normal 9 20 6" xfId="37825" xr:uid="{00000000-0005-0000-0000-000027970000}"/>
    <cellStyle name="Normal 9 20 6 2" xfId="37826" xr:uid="{00000000-0005-0000-0000-000028970000}"/>
    <cellStyle name="Normal 9 20 6 3" xfId="37827" xr:uid="{00000000-0005-0000-0000-000029970000}"/>
    <cellStyle name="Normal 9 20 6 4" xfId="37828" xr:uid="{00000000-0005-0000-0000-00002A970000}"/>
    <cellStyle name="Normal 9 20 6 5" xfId="37829" xr:uid="{00000000-0005-0000-0000-00002B970000}"/>
    <cellStyle name="Normal 9 20 6 6" xfId="37830" xr:uid="{00000000-0005-0000-0000-00002C970000}"/>
    <cellStyle name="Normal 9 20 7" xfId="37831" xr:uid="{00000000-0005-0000-0000-00002D970000}"/>
    <cellStyle name="Normal 9 20 7 2" xfId="37832" xr:uid="{00000000-0005-0000-0000-00002E970000}"/>
    <cellStyle name="Normal 9 20 7 3" xfId="37833" xr:uid="{00000000-0005-0000-0000-00002F970000}"/>
    <cellStyle name="Normal 9 20 7 4" xfId="37834" xr:uid="{00000000-0005-0000-0000-000030970000}"/>
    <cellStyle name="Normal 9 20 7 5" xfId="37835" xr:uid="{00000000-0005-0000-0000-000031970000}"/>
    <cellStyle name="Normal 9 20 7 6" xfId="37836" xr:uid="{00000000-0005-0000-0000-000032970000}"/>
    <cellStyle name="Normal 9 20 8" xfId="37837" xr:uid="{00000000-0005-0000-0000-000033970000}"/>
    <cellStyle name="Normal 9 20 8 2" xfId="37838" xr:uid="{00000000-0005-0000-0000-000034970000}"/>
    <cellStyle name="Normal 9 20 8 3" xfId="37839" xr:uid="{00000000-0005-0000-0000-000035970000}"/>
    <cellStyle name="Normal 9 20 8 4" xfId="37840" xr:uid="{00000000-0005-0000-0000-000036970000}"/>
    <cellStyle name="Normal 9 20 8 5" xfId="37841" xr:uid="{00000000-0005-0000-0000-000037970000}"/>
    <cellStyle name="Normal 9 20 8 6" xfId="37842" xr:uid="{00000000-0005-0000-0000-000038970000}"/>
    <cellStyle name="Normal 9 20 9" xfId="37843" xr:uid="{00000000-0005-0000-0000-000039970000}"/>
    <cellStyle name="Normal 9 21" xfId="37844" xr:uid="{00000000-0005-0000-0000-00003A970000}"/>
    <cellStyle name="Normal 9 21 10" xfId="37845" xr:uid="{00000000-0005-0000-0000-00003B970000}"/>
    <cellStyle name="Normal 9 21 11" xfId="37846" xr:uid="{00000000-0005-0000-0000-00003C970000}"/>
    <cellStyle name="Normal 9 21 12" xfId="37847" xr:uid="{00000000-0005-0000-0000-00003D970000}"/>
    <cellStyle name="Normal 9 21 13" xfId="37848" xr:uid="{00000000-0005-0000-0000-00003E970000}"/>
    <cellStyle name="Normal 9 21 2" xfId="37849" xr:uid="{00000000-0005-0000-0000-00003F970000}"/>
    <cellStyle name="Normal 9 21 2 2" xfId="37850" xr:uid="{00000000-0005-0000-0000-000040970000}"/>
    <cellStyle name="Normal 9 21 2 3" xfId="37851" xr:uid="{00000000-0005-0000-0000-000041970000}"/>
    <cellStyle name="Normal 9 21 2 4" xfId="37852" xr:uid="{00000000-0005-0000-0000-000042970000}"/>
    <cellStyle name="Normal 9 21 2 5" xfId="37853" xr:uid="{00000000-0005-0000-0000-000043970000}"/>
    <cellStyle name="Normal 9 21 2 6" xfId="37854" xr:uid="{00000000-0005-0000-0000-000044970000}"/>
    <cellStyle name="Normal 9 21 3" xfId="37855" xr:uid="{00000000-0005-0000-0000-000045970000}"/>
    <cellStyle name="Normal 9 21 3 2" xfId="37856" xr:uid="{00000000-0005-0000-0000-000046970000}"/>
    <cellStyle name="Normal 9 21 3 3" xfId="37857" xr:uid="{00000000-0005-0000-0000-000047970000}"/>
    <cellStyle name="Normal 9 21 3 4" xfId="37858" xr:uid="{00000000-0005-0000-0000-000048970000}"/>
    <cellStyle name="Normal 9 21 3 5" xfId="37859" xr:uid="{00000000-0005-0000-0000-000049970000}"/>
    <cellStyle name="Normal 9 21 3 6" xfId="37860" xr:uid="{00000000-0005-0000-0000-00004A970000}"/>
    <cellStyle name="Normal 9 21 4" xfId="37861" xr:uid="{00000000-0005-0000-0000-00004B970000}"/>
    <cellStyle name="Normal 9 21 4 2" xfId="37862" xr:uid="{00000000-0005-0000-0000-00004C970000}"/>
    <cellStyle name="Normal 9 21 4 3" xfId="37863" xr:uid="{00000000-0005-0000-0000-00004D970000}"/>
    <cellStyle name="Normal 9 21 4 4" xfId="37864" xr:uid="{00000000-0005-0000-0000-00004E970000}"/>
    <cellStyle name="Normal 9 21 4 5" xfId="37865" xr:uid="{00000000-0005-0000-0000-00004F970000}"/>
    <cellStyle name="Normal 9 21 4 6" xfId="37866" xr:uid="{00000000-0005-0000-0000-000050970000}"/>
    <cellStyle name="Normal 9 21 5" xfId="37867" xr:uid="{00000000-0005-0000-0000-000051970000}"/>
    <cellStyle name="Normal 9 21 5 2" xfId="37868" xr:uid="{00000000-0005-0000-0000-000052970000}"/>
    <cellStyle name="Normal 9 21 5 3" xfId="37869" xr:uid="{00000000-0005-0000-0000-000053970000}"/>
    <cellStyle name="Normal 9 21 5 4" xfId="37870" xr:uid="{00000000-0005-0000-0000-000054970000}"/>
    <cellStyle name="Normal 9 21 5 5" xfId="37871" xr:uid="{00000000-0005-0000-0000-000055970000}"/>
    <cellStyle name="Normal 9 21 5 6" xfId="37872" xr:uid="{00000000-0005-0000-0000-000056970000}"/>
    <cellStyle name="Normal 9 21 6" xfId="37873" xr:uid="{00000000-0005-0000-0000-000057970000}"/>
    <cellStyle name="Normal 9 21 6 2" xfId="37874" xr:uid="{00000000-0005-0000-0000-000058970000}"/>
    <cellStyle name="Normal 9 21 6 3" xfId="37875" xr:uid="{00000000-0005-0000-0000-000059970000}"/>
    <cellStyle name="Normal 9 21 6 4" xfId="37876" xr:uid="{00000000-0005-0000-0000-00005A970000}"/>
    <cellStyle name="Normal 9 21 6 5" xfId="37877" xr:uid="{00000000-0005-0000-0000-00005B970000}"/>
    <cellStyle name="Normal 9 21 6 6" xfId="37878" xr:uid="{00000000-0005-0000-0000-00005C970000}"/>
    <cellStyle name="Normal 9 21 7" xfId="37879" xr:uid="{00000000-0005-0000-0000-00005D970000}"/>
    <cellStyle name="Normal 9 21 7 2" xfId="37880" xr:uid="{00000000-0005-0000-0000-00005E970000}"/>
    <cellStyle name="Normal 9 21 7 3" xfId="37881" xr:uid="{00000000-0005-0000-0000-00005F970000}"/>
    <cellStyle name="Normal 9 21 7 4" xfId="37882" xr:uid="{00000000-0005-0000-0000-000060970000}"/>
    <cellStyle name="Normal 9 21 7 5" xfId="37883" xr:uid="{00000000-0005-0000-0000-000061970000}"/>
    <cellStyle name="Normal 9 21 7 6" xfId="37884" xr:uid="{00000000-0005-0000-0000-000062970000}"/>
    <cellStyle name="Normal 9 21 8" xfId="37885" xr:uid="{00000000-0005-0000-0000-000063970000}"/>
    <cellStyle name="Normal 9 21 8 2" xfId="37886" xr:uid="{00000000-0005-0000-0000-000064970000}"/>
    <cellStyle name="Normal 9 21 8 3" xfId="37887" xr:uid="{00000000-0005-0000-0000-000065970000}"/>
    <cellStyle name="Normal 9 21 8 4" xfId="37888" xr:uid="{00000000-0005-0000-0000-000066970000}"/>
    <cellStyle name="Normal 9 21 8 5" xfId="37889" xr:uid="{00000000-0005-0000-0000-000067970000}"/>
    <cellStyle name="Normal 9 21 8 6" xfId="37890" xr:uid="{00000000-0005-0000-0000-000068970000}"/>
    <cellStyle name="Normal 9 21 9" xfId="37891" xr:uid="{00000000-0005-0000-0000-000069970000}"/>
    <cellStyle name="Normal 9 22" xfId="37892" xr:uid="{00000000-0005-0000-0000-00006A970000}"/>
    <cellStyle name="Normal 9 22 10" xfId="37893" xr:uid="{00000000-0005-0000-0000-00006B970000}"/>
    <cellStyle name="Normal 9 22 11" xfId="37894" xr:uid="{00000000-0005-0000-0000-00006C970000}"/>
    <cellStyle name="Normal 9 22 12" xfId="37895" xr:uid="{00000000-0005-0000-0000-00006D970000}"/>
    <cellStyle name="Normal 9 22 13" xfId="37896" xr:uid="{00000000-0005-0000-0000-00006E970000}"/>
    <cellStyle name="Normal 9 22 2" xfId="37897" xr:uid="{00000000-0005-0000-0000-00006F970000}"/>
    <cellStyle name="Normal 9 22 2 2" xfId="37898" xr:uid="{00000000-0005-0000-0000-000070970000}"/>
    <cellStyle name="Normal 9 22 2 3" xfId="37899" xr:uid="{00000000-0005-0000-0000-000071970000}"/>
    <cellStyle name="Normal 9 22 2 4" xfId="37900" xr:uid="{00000000-0005-0000-0000-000072970000}"/>
    <cellStyle name="Normal 9 22 2 5" xfId="37901" xr:uid="{00000000-0005-0000-0000-000073970000}"/>
    <cellStyle name="Normal 9 22 2 6" xfId="37902" xr:uid="{00000000-0005-0000-0000-000074970000}"/>
    <cellStyle name="Normal 9 22 3" xfId="37903" xr:uid="{00000000-0005-0000-0000-000075970000}"/>
    <cellStyle name="Normal 9 22 3 2" xfId="37904" xr:uid="{00000000-0005-0000-0000-000076970000}"/>
    <cellStyle name="Normal 9 22 3 3" xfId="37905" xr:uid="{00000000-0005-0000-0000-000077970000}"/>
    <cellStyle name="Normal 9 22 3 4" xfId="37906" xr:uid="{00000000-0005-0000-0000-000078970000}"/>
    <cellStyle name="Normal 9 22 3 5" xfId="37907" xr:uid="{00000000-0005-0000-0000-000079970000}"/>
    <cellStyle name="Normal 9 22 3 6" xfId="37908" xr:uid="{00000000-0005-0000-0000-00007A970000}"/>
    <cellStyle name="Normal 9 22 4" xfId="37909" xr:uid="{00000000-0005-0000-0000-00007B970000}"/>
    <cellStyle name="Normal 9 22 4 2" xfId="37910" xr:uid="{00000000-0005-0000-0000-00007C970000}"/>
    <cellStyle name="Normal 9 22 4 3" xfId="37911" xr:uid="{00000000-0005-0000-0000-00007D970000}"/>
    <cellStyle name="Normal 9 22 4 4" xfId="37912" xr:uid="{00000000-0005-0000-0000-00007E970000}"/>
    <cellStyle name="Normal 9 22 4 5" xfId="37913" xr:uid="{00000000-0005-0000-0000-00007F970000}"/>
    <cellStyle name="Normal 9 22 4 6" xfId="37914" xr:uid="{00000000-0005-0000-0000-000080970000}"/>
    <cellStyle name="Normal 9 22 5" xfId="37915" xr:uid="{00000000-0005-0000-0000-000081970000}"/>
    <cellStyle name="Normal 9 22 5 2" xfId="37916" xr:uid="{00000000-0005-0000-0000-000082970000}"/>
    <cellStyle name="Normal 9 22 5 3" xfId="37917" xr:uid="{00000000-0005-0000-0000-000083970000}"/>
    <cellStyle name="Normal 9 22 5 4" xfId="37918" xr:uid="{00000000-0005-0000-0000-000084970000}"/>
    <cellStyle name="Normal 9 22 5 5" xfId="37919" xr:uid="{00000000-0005-0000-0000-000085970000}"/>
    <cellStyle name="Normal 9 22 5 6" xfId="37920" xr:uid="{00000000-0005-0000-0000-000086970000}"/>
    <cellStyle name="Normal 9 22 6" xfId="37921" xr:uid="{00000000-0005-0000-0000-000087970000}"/>
    <cellStyle name="Normal 9 22 6 2" xfId="37922" xr:uid="{00000000-0005-0000-0000-000088970000}"/>
    <cellStyle name="Normal 9 22 6 3" xfId="37923" xr:uid="{00000000-0005-0000-0000-000089970000}"/>
    <cellStyle name="Normal 9 22 6 4" xfId="37924" xr:uid="{00000000-0005-0000-0000-00008A970000}"/>
    <cellStyle name="Normal 9 22 6 5" xfId="37925" xr:uid="{00000000-0005-0000-0000-00008B970000}"/>
    <cellStyle name="Normal 9 22 6 6" xfId="37926" xr:uid="{00000000-0005-0000-0000-00008C970000}"/>
    <cellStyle name="Normal 9 22 7" xfId="37927" xr:uid="{00000000-0005-0000-0000-00008D970000}"/>
    <cellStyle name="Normal 9 22 7 2" xfId="37928" xr:uid="{00000000-0005-0000-0000-00008E970000}"/>
    <cellStyle name="Normal 9 22 7 3" xfId="37929" xr:uid="{00000000-0005-0000-0000-00008F970000}"/>
    <cellStyle name="Normal 9 22 7 4" xfId="37930" xr:uid="{00000000-0005-0000-0000-000090970000}"/>
    <cellStyle name="Normal 9 22 7 5" xfId="37931" xr:uid="{00000000-0005-0000-0000-000091970000}"/>
    <cellStyle name="Normal 9 22 7 6" xfId="37932" xr:uid="{00000000-0005-0000-0000-000092970000}"/>
    <cellStyle name="Normal 9 22 8" xfId="37933" xr:uid="{00000000-0005-0000-0000-000093970000}"/>
    <cellStyle name="Normal 9 22 8 2" xfId="37934" xr:uid="{00000000-0005-0000-0000-000094970000}"/>
    <cellStyle name="Normal 9 22 8 3" xfId="37935" xr:uid="{00000000-0005-0000-0000-000095970000}"/>
    <cellStyle name="Normal 9 22 8 4" xfId="37936" xr:uid="{00000000-0005-0000-0000-000096970000}"/>
    <cellStyle name="Normal 9 22 8 5" xfId="37937" xr:uid="{00000000-0005-0000-0000-000097970000}"/>
    <cellStyle name="Normal 9 22 8 6" xfId="37938" xr:uid="{00000000-0005-0000-0000-000098970000}"/>
    <cellStyle name="Normal 9 22 9" xfId="37939" xr:uid="{00000000-0005-0000-0000-000099970000}"/>
    <cellStyle name="Normal 9 23" xfId="37940" xr:uid="{00000000-0005-0000-0000-00009A970000}"/>
    <cellStyle name="Normal 9 23 10" xfId="37941" xr:uid="{00000000-0005-0000-0000-00009B970000}"/>
    <cellStyle name="Normal 9 23 11" xfId="37942" xr:uid="{00000000-0005-0000-0000-00009C970000}"/>
    <cellStyle name="Normal 9 23 12" xfId="37943" xr:uid="{00000000-0005-0000-0000-00009D970000}"/>
    <cellStyle name="Normal 9 23 13" xfId="37944" xr:uid="{00000000-0005-0000-0000-00009E970000}"/>
    <cellStyle name="Normal 9 23 2" xfId="37945" xr:uid="{00000000-0005-0000-0000-00009F970000}"/>
    <cellStyle name="Normal 9 23 2 2" xfId="37946" xr:uid="{00000000-0005-0000-0000-0000A0970000}"/>
    <cellStyle name="Normal 9 23 2 3" xfId="37947" xr:uid="{00000000-0005-0000-0000-0000A1970000}"/>
    <cellStyle name="Normal 9 23 2 4" xfId="37948" xr:uid="{00000000-0005-0000-0000-0000A2970000}"/>
    <cellStyle name="Normal 9 23 2 5" xfId="37949" xr:uid="{00000000-0005-0000-0000-0000A3970000}"/>
    <cellStyle name="Normal 9 23 2 6" xfId="37950" xr:uid="{00000000-0005-0000-0000-0000A4970000}"/>
    <cellStyle name="Normal 9 23 3" xfId="37951" xr:uid="{00000000-0005-0000-0000-0000A5970000}"/>
    <cellStyle name="Normal 9 23 3 2" xfId="37952" xr:uid="{00000000-0005-0000-0000-0000A6970000}"/>
    <cellStyle name="Normal 9 23 3 3" xfId="37953" xr:uid="{00000000-0005-0000-0000-0000A7970000}"/>
    <cellStyle name="Normal 9 23 3 4" xfId="37954" xr:uid="{00000000-0005-0000-0000-0000A8970000}"/>
    <cellStyle name="Normal 9 23 3 5" xfId="37955" xr:uid="{00000000-0005-0000-0000-0000A9970000}"/>
    <cellStyle name="Normal 9 23 3 6" xfId="37956" xr:uid="{00000000-0005-0000-0000-0000AA970000}"/>
    <cellStyle name="Normal 9 23 4" xfId="37957" xr:uid="{00000000-0005-0000-0000-0000AB970000}"/>
    <cellStyle name="Normal 9 23 4 2" xfId="37958" xr:uid="{00000000-0005-0000-0000-0000AC970000}"/>
    <cellStyle name="Normal 9 23 4 3" xfId="37959" xr:uid="{00000000-0005-0000-0000-0000AD970000}"/>
    <cellStyle name="Normal 9 23 4 4" xfId="37960" xr:uid="{00000000-0005-0000-0000-0000AE970000}"/>
    <cellStyle name="Normal 9 23 4 5" xfId="37961" xr:uid="{00000000-0005-0000-0000-0000AF970000}"/>
    <cellStyle name="Normal 9 23 4 6" xfId="37962" xr:uid="{00000000-0005-0000-0000-0000B0970000}"/>
    <cellStyle name="Normal 9 23 5" xfId="37963" xr:uid="{00000000-0005-0000-0000-0000B1970000}"/>
    <cellStyle name="Normal 9 23 5 2" xfId="37964" xr:uid="{00000000-0005-0000-0000-0000B2970000}"/>
    <cellStyle name="Normal 9 23 5 3" xfId="37965" xr:uid="{00000000-0005-0000-0000-0000B3970000}"/>
    <cellStyle name="Normal 9 23 5 4" xfId="37966" xr:uid="{00000000-0005-0000-0000-0000B4970000}"/>
    <cellStyle name="Normal 9 23 5 5" xfId="37967" xr:uid="{00000000-0005-0000-0000-0000B5970000}"/>
    <cellStyle name="Normal 9 23 5 6" xfId="37968" xr:uid="{00000000-0005-0000-0000-0000B6970000}"/>
    <cellStyle name="Normal 9 23 6" xfId="37969" xr:uid="{00000000-0005-0000-0000-0000B7970000}"/>
    <cellStyle name="Normal 9 23 6 2" xfId="37970" xr:uid="{00000000-0005-0000-0000-0000B8970000}"/>
    <cellStyle name="Normal 9 23 6 3" xfId="37971" xr:uid="{00000000-0005-0000-0000-0000B9970000}"/>
    <cellStyle name="Normal 9 23 6 4" xfId="37972" xr:uid="{00000000-0005-0000-0000-0000BA970000}"/>
    <cellStyle name="Normal 9 23 6 5" xfId="37973" xr:uid="{00000000-0005-0000-0000-0000BB970000}"/>
    <cellStyle name="Normal 9 23 6 6" xfId="37974" xr:uid="{00000000-0005-0000-0000-0000BC970000}"/>
    <cellStyle name="Normal 9 23 7" xfId="37975" xr:uid="{00000000-0005-0000-0000-0000BD970000}"/>
    <cellStyle name="Normal 9 23 7 2" xfId="37976" xr:uid="{00000000-0005-0000-0000-0000BE970000}"/>
    <cellStyle name="Normal 9 23 7 3" xfId="37977" xr:uid="{00000000-0005-0000-0000-0000BF970000}"/>
    <cellStyle name="Normal 9 23 7 4" xfId="37978" xr:uid="{00000000-0005-0000-0000-0000C0970000}"/>
    <cellStyle name="Normal 9 23 7 5" xfId="37979" xr:uid="{00000000-0005-0000-0000-0000C1970000}"/>
    <cellStyle name="Normal 9 23 7 6" xfId="37980" xr:uid="{00000000-0005-0000-0000-0000C2970000}"/>
    <cellStyle name="Normal 9 23 8" xfId="37981" xr:uid="{00000000-0005-0000-0000-0000C3970000}"/>
    <cellStyle name="Normal 9 23 8 2" xfId="37982" xr:uid="{00000000-0005-0000-0000-0000C4970000}"/>
    <cellStyle name="Normal 9 23 8 3" xfId="37983" xr:uid="{00000000-0005-0000-0000-0000C5970000}"/>
    <cellStyle name="Normal 9 23 8 4" xfId="37984" xr:uid="{00000000-0005-0000-0000-0000C6970000}"/>
    <cellStyle name="Normal 9 23 8 5" xfId="37985" xr:uid="{00000000-0005-0000-0000-0000C7970000}"/>
    <cellStyle name="Normal 9 23 8 6" xfId="37986" xr:uid="{00000000-0005-0000-0000-0000C8970000}"/>
    <cellStyle name="Normal 9 23 9" xfId="37987" xr:uid="{00000000-0005-0000-0000-0000C9970000}"/>
    <cellStyle name="Normal 9 24" xfId="37988" xr:uid="{00000000-0005-0000-0000-0000CA970000}"/>
    <cellStyle name="Normal 9 24 10" xfId="37989" xr:uid="{00000000-0005-0000-0000-0000CB970000}"/>
    <cellStyle name="Normal 9 24 11" xfId="37990" xr:uid="{00000000-0005-0000-0000-0000CC970000}"/>
    <cellStyle name="Normal 9 24 12" xfId="37991" xr:uid="{00000000-0005-0000-0000-0000CD970000}"/>
    <cellStyle name="Normal 9 24 13" xfId="37992" xr:uid="{00000000-0005-0000-0000-0000CE970000}"/>
    <cellStyle name="Normal 9 24 2" xfId="37993" xr:uid="{00000000-0005-0000-0000-0000CF970000}"/>
    <cellStyle name="Normal 9 24 2 2" xfId="37994" xr:uid="{00000000-0005-0000-0000-0000D0970000}"/>
    <cellStyle name="Normal 9 24 2 3" xfId="37995" xr:uid="{00000000-0005-0000-0000-0000D1970000}"/>
    <cellStyle name="Normal 9 24 2 4" xfId="37996" xr:uid="{00000000-0005-0000-0000-0000D2970000}"/>
    <cellStyle name="Normal 9 24 2 5" xfId="37997" xr:uid="{00000000-0005-0000-0000-0000D3970000}"/>
    <cellStyle name="Normal 9 24 2 6" xfId="37998" xr:uid="{00000000-0005-0000-0000-0000D4970000}"/>
    <cellStyle name="Normal 9 24 3" xfId="37999" xr:uid="{00000000-0005-0000-0000-0000D5970000}"/>
    <cellStyle name="Normal 9 24 3 2" xfId="38000" xr:uid="{00000000-0005-0000-0000-0000D6970000}"/>
    <cellStyle name="Normal 9 24 3 3" xfId="38001" xr:uid="{00000000-0005-0000-0000-0000D7970000}"/>
    <cellStyle name="Normal 9 24 3 4" xfId="38002" xr:uid="{00000000-0005-0000-0000-0000D8970000}"/>
    <cellStyle name="Normal 9 24 3 5" xfId="38003" xr:uid="{00000000-0005-0000-0000-0000D9970000}"/>
    <cellStyle name="Normal 9 24 3 6" xfId="38004" xr:uid="{00000000-0005-0000-0000-0000DA970000}"/>
    <cellStyle name="Normal 9 24 4" xfId="38005" xr:uid="{00000000-0005-0000-0000-0000DB970000}"/>
    <cellStyle name="Normal 9 24 4 2" xfId="38006" xr:uid="{00000000-0005-0000-0000-0000DC970000}"/>
    <cellStyle name="Normal 9 24 4 3" xfId="38007" xr:uid="{00000000-0005-0000-0000-0000DD970000}"/>
    <cellStyle name="Normal 9 24 4 4" xfId="38008" xr:uid="{00000000-0005-0000-0000-0000DE970000}"/>
    <cellStyle name="Normal 9 24 4 5" xfId="38009" xr:uid="{00000000-0005-0000-0000-0000DF970000}"/>
    <cellStyle name="Normal 9 24 4 6" xfId="38010" xr:uid="{00000000-0005-0000-0000-0000E0970000}"/>
    <cellStyle name="Normal 9 24 5" xfId="38011" xr:uid="{00000000-0005-0000-0000-0000E1970000}"/>
    <cellStyle name="Normal 9 24 5 2" xfId="38012" xr:uid="{00000000-0005-0000-0000-0000E2970000}"/>
    <cellStyle name="Normal 9 24 5 3" xfId="38013" xr:uid="{00000000-0005-0000-0000-0000E3970000}"/>
    <cellStyle name="Normal 9 24 5 4" xfId="38014" xr:uid="{00000000-0005-0000-0000-0000E4970000}"/>
    <cellStyle name="Normal 9 24 5 5" xfId="38015" xr:uid="{00000000-0005-0000-0000-0000E5970000}"/>
    <cellStyle name="Normal 9 24 5 6" xfId="38016" xr:uid="{00000000-0005-0000-0000-0000E6970000}"/>
    <cellStyle name="Normal 9 24 6" xfId="38017" xr:uid="{00000000-0005-0000-0000-0000E7970000}"/>
    <cellStyle name="Normal 9 24 6 2" xfId="38018" xr:uid="{00000000-0005-0000-0000-0000E8970000}"/>
    <cellStyle name="Normal 9 24 6 3" xfId="38019" xr:uid="{00000000-0005-0000-0000-0000E9970000}"/>
    <cellStyle name="Normal 9 24 6 4" xfId="38020" xr:uid="{00000000-0005-0000-0000-0000EA970000}"/>
    <cellStyle name="Normal 9 24 6 5" xfId="38021" xr:uid="{00000000-0005-0000-0000-0000EB970000}"/>
    <cellStyle name="Normal 9 24 6 6" xfId="38022" xr:uid="{00000000-0005-0000-0000-0000EC970000}"/>
    <cellStyle name="Normal 9 24 7" xfId="38023" xr:uid="{00000000-0005-0000-0000-0000ED970000}"/>
    <cellStyle name="Normal 9 24 7 2" xfId="38024" xr:uid="{00000000-0005-0000-0000-0000EE970000}"/>
    <cellStyle name="Normal 9 24 7 3" xfId="38025" xr:uid="{00000000-0005-0000-0000-0000EF970000}"/>
    <cellStyle name="Normal 9 24 7 4" xfId="38026" xr:uid="{00000000-0005-0000-0000-0000F0970000}"/>
    <cellStyle name="Normal 9 24 7 5" xfId="38027" xr:uid="{00000000-0005-0000-0000-0000F1970000}"/>
    <cellStyle name="Normal 9 24 7 6" xfId="38028" xr:uid="{00000000-0005-0000-0000-0000F2970000}"/>
    <cellStyle name="Normal 9 24 8" xfId="38029" xr:uid="{00000000-0005-0000-0000-0000F3970000}"/>
    <cellStyle name="Normal 9 24 8 2" xfId="38030" xr:uid="{00000000-0005-0000-0000-0000F4970000}"/>
    <cellStyle name="Normal 9 24 8 3" xfId="38031" xr:uid="{00000000-0005-0000-0000-0000F5970000}"/>
    <cellStyle name="Normal 9 24 8 4" xfId="38032" xr:uid="{00000000-0005-0000-0000-0000F6970000}"/>
    <cellStyle name="Normal 9 24 8 5" xfId="38033" xr:uid="{00000000-0005-0000-0000-0000F7970000}"/>
    <cellStyle name="Normal 9 24 8 6" xfId="38034" xr:uid="{00000000-0005-0000-0000-0000F8970000}"/>
    <cellStyle name="Normal 9 24 9" xfId="38035" xr:uid="{00000000-0005-0000-0000-0000F9970000}"/>
    <cellStyle name="Normal 9 25" xfId="38036" xr:uid="{00000000-0005-0000-0000-0000FA970000}"/>
    <cellStyle name="Normal 9 25 10" xfId="38037" xr:uid="{00000000-0005-0000-0000-0000FB970000}"/>
    <cellStyle name="Normal 9 25 11" xfId="38038" xr:uid="{00000000-0005-0000-0000-0000FC970000}"/>
    <cellStyle name="Normal 9 25 12" xfId="38039" xr:uid="{00000000-0005-0000-0000-0000FD970000}"/>
    <cellStyle name="Normal 9 25 13" xfId="38040" xr:uid="{00000000-0005-0000-0000-0000FE970000}"/>
    <cellStyle name="Normal 9 25 2" xfId="38041" xr:uid="{00000000-0005-0000-0000-0000FF970000}"/>
    <cellStyle name="Normal 9 25 2 2" xfId="38042" xr:uid="{00000000-0005-0000-0000-000000980000}"/>
    <cellStyle name="Normal 9 25 2 3" xfId="38043" xr:uid="{00000000-0005-0000-0000-000001980000}"/>
    <cellStyle name="Normal 9 25 2 4" xfId="38044" xr:uid="{00000000-0005-0000-0000-000002980000}"/>
    <cellStyle name="Normal 9 25 2 5" xfId="38045" xr:uid="{00000000-0005-0000-0000-000003980000}"/>
    <cellStyle name="Normal 9 25 2 6" xfId="38046" xr:uid="{00000000-0005-0000-0000-000004980000}"/>
    <cellStyle name="Normal 9 25 3" xfId="38047" xr:uid="{00000000-0005-0000-0000-000005980000}"/>
    <cellStyle name="Normal 9 25 3 2" xfId="38048" xr:uid="{00000000-0005-0000-0000-000006980000}"/>
    <cellStyle name="Normal 9 25 3 3" xfId="38049" xr:uid="{00000000-0005-0000-0000-000007980000}"/>
    <cellStyle name="Normal 9 25 3 4" xfId="38050" xr:uid="{00000000-0005-0000-0000-000008980000}"/>
    <cellStyle name="Normal 9 25 3 5" xfId="38051" xr:uid="{00000000-0005-0000-0000-000009980000}"/>
    <cellStyle name="Normal 9 25 3 6" xfId="38052" xr:uid="{00000000-0005-0000-0000-00000A980000}"/>
    <cellStyle name="Normal 9 25 4" xfId="38053" xr:uid="{00000000-0005-0000-0000-00000B980000}"/>
    <cellStyle name="Normal 9 25 4 2" xfId="38054" xr:uid="{00000000-0005-0000-0000-00000C980000}"/>
    <cellStyle name="Normal 9 25 4 3" xfId="38055" xr:uid="{00000000-0005-0000-0000-00000D980000}"/>
    <cellStyle name="Normal 9 25 4 4" xfId="38056" xr:uid="{00000000-0005-0000-0000-00000E980000}"/>
    <cellStyle name="Normal 9 25 4 5" xfId="38057" xr:uid="{00000000-0005-0000-0000-00000F980000}"/>
    <cellStyle name="Normal 9 25 4 6" xfId="38058" xr:uid="{00000000-0005-0000-0000-000010980000}"/>
    <cellStyle name="Normal 9 25 5" xfId="38059" xr:uid="{00000000-0005-0000-0000-000011980000}"/>
    <cellStyle name="Normal 9 25 5 2" xfId="38060" xr:uid="{00000000-0005-0000-0000-000012980000}"/>
    <cellStyle name="Normal 9 25 5 3" xfId="38061" xr:uid="{00000000-0005-0000-0000-000013980000}"/>
    <cellStyle name="Normal 9 25 5 4" xfId="38062" xr:uid="{00000000-0005-0000-0000-000014980000}"/>
    <cellStyle name="Normal 9 25 5 5" xfId="38063" xr:uid="{00000000-0005-0000-0000-000015980000}"/>
    <cellStyle name="Normal 9 25 5 6" xfId="38064" xr:uid="{00000000-0005-0000-0000-000016980000}"/>
    <cellStyle name="Normal 9 25 6" xfId="38065" xr:uid="{00000000-0005-0000-0000-000017980000}"/>
    <cellStyle name="Normal 9 25 6 2" xfId="38066" xr:uid="{00000000-0005-0000-0000-000018980000}"/>
    <cellStyle name="Normal 9 25 6 3" xfId="38067" xr:uid="{00000000-0005-0000-0000-000019980000}"/>
    <cellStyle name="Normal 9 25 6 4" xfId="38068" xr:uid="{00000000-0005-0000-0000-00001A980000}"/>
    <cellStyle name="Normal 9 25 6 5" xfId="38069" xr:uid="{00000000-0005-0000-0000-00001B980000}"/>
    <cellStyle name="Normal 9 25 6 6" xfId="38070" xr:uid="{00000000-0005-0000-0000-00001C980000}"/>
    <cellStyle name="Normal 9 25 7" xfId="38071" xr:uid="{00000000-0005-0000-0000-00001D980000}"/>
    <cellStyle name="Normal 9 25 7 2" xfId="38072" xr:uid="{00000000-0005-0000-0000-00001E980000}"/>
    <cellStyle name="Normal 9 25 7 3" xfId="38073" xr:uid="{00000000-0005-0000-0000-00001F980000}"/>
    <cellStyle name="Normal 9 25 7 4" xfId="38074" xr:uid="{00000000-0005-0000-0000-000020980000}"/>
    <cellStyle name="Normal 9 25 7 5" xfId="38075" xr:uid="{00000000-0005-0000-0000-000021980000}"/>
    <cellStyle name="Normal 9 25 7 6" xfId="38076" xr:uid="{00000000-0005-0000-0000-000022980000}"/>
    <cellStyle name="Normal 9 25 8" xfId="38077" xr:uid="{00000000-0005-0000-0000-000023980000}"/>
    <cellStyle name="Normal 9 25 8 2" xfId="38078" xr:uid="{00000000-0005-0000-0000-000024980000}"/>
    <cellStyle name="Normal 9 25 8 3" xfId="38079" xr:uid="{00000000-0005-0000-0000-000025980000}"/>
    <cellStyle name="Normal 9 25 8 4" xfId="38080" xr:uid="{00000000-0005-0000-0000-000026980000}"/>
    <cellStyle name="Normal 9 25 8 5" xfId="38081" xr:uid="{00000000-0005-0000-0000-000027980000}"/>
    <cellStyle name="Normal 9 25 8 6" xfId="38082" xr:uid="{00000000-0005-0000-0000-000028980000}"/>
    <cellStyle name="Normal 9 25 9" xfId="38083" xr:uid="{00000000-0005-0000-0000-000029980000}"/>
    <cellStyle name="Normal 9 26" xfId="38084" xr:uid="{00000000-0005-0000-0000-00002A980000}"/>
    <cellStyle name="Normal 9 26 10" xfId="38085" xr:uid="{00000000-0005-0000-0000-00002B980000}"/>
    <cellStyle name="Normal 9 26 11" xfId="38086" xr:uid="{00000000-0005-0000-0000-00002C980000}"/>
    <cellStyle name="Normal 9 26 12" xfId="38087" xr:uid="{00000000-0005-0000-0000-00002D980000}"/>
    <cellStyle name="Normal 9 26 13" xfId="38088" xr:uid="{00000000-0005-0000-0000-00002E980000}"/>
    <cellStyle name="Normal 9 26 2" xfId="38089" xr:uid="{00000000-0005-0000-0000-00002F980000}"/>
    <cellStyle name="Normal 9 26 2 2" xfId="38090" xr:uid="{00000000-0005-0000-0000-000030980000}"/>
    <cellStyle name="Normal 9 26 2 3" xfId="38091" xr:uid="{00000000-0005-0000-0000-000031980000}"/>
    <cellStyle name="Normal 9 26 2 4" xfId="38092" xr:uid="{00000000-0005-0000-0000-000032980000}"/>
    <cellStyle name="Normal 9 26 2 5" xfId="38093" xr:uid="{00000000-0005-0000-0000-000033980000}"/>
    <cellStyle name="Normal 9 26 2 6" xfId="38094" xr:uid="{00000000-0005-0000-0000-000034980000}"/>
    <cellStyle name="Normal 9 26 3" xfId="38095" xr:uid="{00000000-0005-0000-0000-000035980000}"/>
    <cellStyle name="Normal 9 26 3 2" xfId="38096" xr:uid="{00000000-0005-0000-0000-000036980000}"/>
    <cellStyle name="Normal 9 26 3 3" xfId="38097" xr:uid="{00000000-0005-0000-0000-000037980000}"/>
    <cellStyle name="Normal 9 26 3 4" xfId="38098" xr:uid="{00000000-0005-0000-0000-000038980000}"/>
    <cellStyle name="Normal 9 26 3 5" xfId="38099" xr:uid="{00000000-0005-0000-0000-000039980000}"/>
    <cellStyle name="Normal 9 26 3 6" xfId="38100" xr:uid="{00000000-0005-0000-0000-00003A980000}"/>
    <cellStyle name="Normal 9 26 4" xfId="38101" xr:uid="{00000000-0005-0000-0000-00003B980000}"/>
    <cellStyle name="Normal 9 26 4 2" xfId="38102" xr:uid="{00000000-0005-0000-0000-00003C980000}"/>
    <cellStyle name="Normal 9 26 4 3" xfId="38103" xr:uid="{00000000-0005-0000-0000-00003D980000}"/>
    <cellStyle name="Normal 9 26 4 4" xfId="38104" xr:uid="{00000000-0005-0000-0000-00003E980000}"/>
    <cellStyle name="Normal 9 26 4 5" xfId="38105" xr:uid="{00000000-0005-0000-0000-00003F980000}"/>
    <cellStyle name="Normal 9 26 4 6" xfId="38106" xr:uid="{00000000-0005-0000-0000-000040980000}"/>
    <cellStyle name="Normal 9 26 5" xfId="38107" xr:uid="{00000000-0005-0000-0000-000041980000}"/>
    <cellStyle name="Normal 9 26 5 2" xfId="38108" xr:uid="{00000000-0005-0000-0000-000042980000}"/>
    <cellStyle name="Normal 9 26 5 3" xfId="38109" xr:uid="{00000000-0005-0000-0000-000043980000}"/>
    <cellStyle name="Normal 9 26 5 4" xfId="38110" xr:uid="{00000000-0005-0000-0000-000044980000}"/>
    <cellStyle name="Normal 9 26 5 5" xfId="38111" xr:uid="{00000000-0005-0000-0000-000045980000}"/>
    <cellStyle name="Normal 9 26 5 6" xfId="38112" xr:uid="{00000000-0005-0000-0000-000046980000}"/>
    <cellStyle name="Normal 9 26 6" xfId="38113" xr:uid="{00000000-0005-0000-0000-000047980000}"/>
    <cellStyle name="Normal 9 26 6 2" xfId="38114" xr:uid="{00000000-0005-0000-0000-000048980000}"/>
    <cellStyle name="Normal 9 26 6 3" xfId="38115" xr:uid="{00000000-0005-0000-0000-000049980000}"/>
    <cellStyle name="Normal 9 26 6 4" xfId="38116" xr:uid="{00000000-0005-0000-0000-00004A980000}"/>
    <cellStyle name="Normal 9 26 6 5" xfId="38117" xr:uid="{00000000-0005-0000-0000-00004B980000}"/>
    <cellStyle name="Normal 9 26 6 6" xfId="38118" xr:uid="{00000000-0005-0000-0000-00004C980000}"/>
    <cellStyle name="Normal 9 26 7" xfId="38119" xr:uid="{00000000-0005-0000-0000-00004D980000}"/>
    <cellStyle name="Normal 9 26 7 2" xfId="38120" xr:uid="{00000000-0005-0000-0000-00004E980000}"/>
    <cellStyle name="Normal 9 26 7 3" xfId="38121" xr:uid="{00000000-0005-0000-0000-00004F980000}"/>
    <cellStyle name="Normal 9 26 7 4" xfId="38122" xr:uid="{00000000-0005-0000-0000-000050980000}"/>
    <cellStyle name="Normal 9 26 7 5" xfId="38123" xr:uid="{00000000-0005-0000-0000-000051980000}"/>
    <cellStyle name="Normal 9 26 7 6" xfId="38124" xr:uid="{00000000-0005-0000-0000-000052980000}"/>
    <cellStyle name="Normal 9 26 8" xfId="38125" xr:uid="{00000000-0005-0000-0000-000053980000}"/>
    <cellStyle name="Normal 9 26 8 2" xfId="38126" xr:uid="{00000000-0005-0000-0000-000054980000}"/>
    <cellStyle name="Normal 9 26 8 3" xfId="38127" xr:uid="{00000000-0005-0000-0000-000055980000}"/>
    <cellStyle name="Normal 9 26 8 4" xfId="38128" xr:uid="{00000000-0005-0000-0000-000056980000}"/>
    <cellStyle name="Normal 9 26 8 5" xfId="38129" xr:uid="{00000000-0005-0000-0000-000057980000}"/>
    <cellStyle name="Normal 9 26 8 6" xfId="38130" xr:uid="{00000000-0005-0000-0000-000058980000}"/>
    <cellStyle name="Normal 9 26 9" xfId="38131" xr:uid="{00000000-0005-0000-0000-000059980000}"/>
    <cellStyle name="Normal 9 27" xfId="38132" xr:uid="{00000000-0005-0000-0000-00005A980000}"/>
    <cellStyle name="Normal 9 27 10" xfId="38133" xr:uid="{00000000-0005-0000-0000-00005B980000}"/>
    <cellStyle name="Normal 9 27 11" xfId="38134" xr:uid="{00000000-0005-0000-0000-00005C980000}"/>
    <cellStyle name="Normal 9 27 12" xfId="38135" xr:uid="{00000000-0005-0000-0000-00005D980000}"/>
    <cellStyle name="Normal 9 27 13" xfId="38136" xr:uid="{00000000-0005-0000-0000-00005E980000}"/>
    <cellStyle name="Normal 9 27 2" xfId="38137" xr:uid="{00000000-0005-0000-0000-00005F980000}"/>
    <cellStyle name="Normal 9 27 2 2" xfId="38138" xr:uid="{00000000-0005-0000-0000-000060980000}"/>
    <cellStyle name="Normal 9 27 2 3" xfId="38139" xr:uid="{00000000-0005-0000-0000-000061980000}"/>
    <cellStyle name="Normal 9 27 2 4" xfId="38140" xr:uid="{00000000-0005-0000-0000-000062980000}"/>
    <cellStyle name="Normal 9 27 2 5" xfId="38141" xr:uid="{00000000-0005-0000-0000-000063980000}"/>
    <cellStyle name="Normal 9 27 2 6" xfId="38142" xr:uid="{00000000-0005-0000-0000-000064980000}"/>
    <cellStyle name="Normal 9 27 3" xfId="38143" xr:uid="{00000000-0005-0000-0000-000065980000}"/>
    <cellStyle name="Normal 9 27 3 2" xfId="38144" xr:uid="{00000000-0005-0000-0000-000066980000}"/>
    <cellStyle name="Normal 9 27 3 3" xfId="38145" xr:uid="{00000000-0005-0000-0000-000067980000}"/>
    <cellStyle name="Normal 9 27 3 4" xfId="38146" xr:uid="{00000000-0005-0000-0000-000068980000}"/>
    <cellStyle name="Normal 9 27 3 5" xfId="38147" xr:uid="{00000000-0005-0000-0000-000069980000}"/>
    <cellStyle name="Normal 9 27 3 6" xfId="38148" xr:uid="{00000000-0005-0000-0000-00006A980000}"/>
    <cellStyle name="Normal 9 27 4" xfId="38149" xr:uid="{00000000-0005-0000-0000-00006B980000}"/>
    <cellStyle name="Normal 9 27 4 2" xfId="38150" xr:uid="{00000000-0005-0000-0000-00006C980000}"/>
    <cellStyle name="Normal 9 27 4 3" xfId="38151" xr:uid="{00000000-0005-0000-0000-00006D980000}"/>
    <cellStyle name="Normal 9 27 4 4" xfId="38152" xr:uid="{00000000-0005-0000-0000-00006E980000}"/>
    <cellStyle name="Normal 9 27 4 5" xfId="38153" xr:uid="{00000000-0005-0000-0000-00006F980000}"/>
    <cellStyle name="Normal 9 27 4 6" xfId="38154" xr:uid="{00000000-0005-0000-0000-000070980000}"/>
    <cellStyle name="Normal 9 27 5" xfId="38155" xr:uid="{00000000-0005-0000-0000-000071980000}"/>
    <cellStyle name="Normal 9 27 5 2" xfId="38156" xr:uid="{00000000-0005-0000-0000-000072980000}"/>
    <cellStyle name="Normal 9 27 5 3" xfId="38157" xr:uid="{00000000-0005-0000-0000-000073980000}"/>
    <cellStyle name="Normal 9 27 5 4" xfId="38158" xr:uid="{00000000-0005-0000-0000-000074980000}"/>
    <cellStyle name="Normal 9 27 5 5" xfId="38159" xr:uid="{00000000-0005-0000-0000-000075980000}"/>
    <cellStyle name="Normal 9 27 5 6" xfId="38160" xr:uid="{00000000-0005-0000-0000-000076980000}"/>
    <cellStyle name="Normal 9 27 6" xfId="38161" xr:uid="{00000000-0005-0000-0000-000077980000}"/>
    <cellStyle name="Normal 9 27 6 2" xfId="38162" xr:uid="{00000000-0005-0000-0000-000078980000}"/>
    <cellStyle name="Normal 9 27 6 3" xfId="38163" xr:uid="{00000000-0005-0000-0000-000079980000}"/>
    <cellStyle name="Normal 9 27 6 4" xfId="38164" xr:uid="{00000000-0005-0000-0000-00007A980000}"/>
    <cellStyle name="Normal 9 27 6 5" xfId="38165" xr:uid="{00000000-0005-0000-0000-00007B980000}"/>
    <cellStyle name="Normal 9 27 6 6" xfId="38166" xr:uid="{00000000-0005-0000-0000-00007C980000}"/>
    <cellStyle name="Normal 9 27 7" xfId="38167" xr:uid="{00000000-0005-0000-0000-00007D980000}"/>
    <cellStyle name="Normal 9 27 7 2" xfId="38168" xr:uid="{00000000-0005-0000-0000-00007E980000}"/>
    <cellStyle name="Normal 9 27 7 3" xfId="38169" xr:uid="{00000000-0005-0000-0000-00007F980000}"/>
    <cellStyle name="Normal 9 27 7 4" xfId="38170" xr:uid="{00000000-0005-0000-0000-000080980000}"/>
    <cellStyle name="Normal 9 27 7 5" xfId="38171" xr:uid="{00000000-0005-0000-0000-000081980000}"/>
    <cellStyle name="Normal 9 27 7 6" xfId="38172" xr:uid="{00000000-0005-0000-0000-000082980000}"/>
    <cellStyle name="Normal 9 27 8" xfId="38173" xr:uid="{00000000-0005-0000-0000-000083980000}"/>
    <cellStyle name="Normal 9 27 8 2" xfId="38174" xr:uid="{00000000-0005-0000-0000-000084980000}"/>
    <cellStyle name="Normal 9 27 8 3" xfId="38175" xr:uid="{00000000-0005-0000-0000-000085980000}"/>
    <cellStyle name="Normal 9 27 8 4" xfId="38176" xr:uid="{00000000-0005-0000-0000-000086980000}"/>
    <cellStyle name="Normal 9 27 8 5" xfId="38177" xr:uid="{00000000-0005-0000-0000-000087980000}"/>
    <cellStyle name="Normal 9 27 8 6" xfId="38178" xr:uid="{00000000-0005-0000-0000-000088980000}"/>
    <cellStyle name="Normal 9 27 9" xfId="38179" xr:uid="{00000000-0005-0000-0000-000089980000}"/>
    <cellStyle name="Normal 9 28" xfId="38180" xr:uid="{00000000-0005-0000-0000-00008A980000}"/>
    <cellStyle name="Normal 9 28 10" xfId="38181" xr:uid="{00000000-0005-0000-0000-00008B980000}"/>
    <cellStyle name="Normal 9 28 11" xfId="38182" xr:uid="{00000000-0005-0000-0000-00008C980000}"/>
    <cellStyle name="Normal 9 28 12" xfId="38183" xr:uid="{00000000-0005-0000-0000-00008D980000}"/>
    <cellStyle name="Normal 9 28 13" xfId="38184" xr:uid="{00000000-0005-0000-0000-00008E980000}"/>
    <cellStyle name="Normal 9 28 2" xfId="38185" xr:uid="{00000000-0005-0000-0000-00008F980000}"/>
    <cellStyle name="Normal 9 28 2 2" xfId="38186" xr:uid="{00000000-0005-0000-0000-000090980000}"/>
    <cellStyle name="Normal 9 28 2 3" xfId="38187" xr:uid="{00000000-0005-0000-0000-000091980000}"/>
    <cellStyle name="Normal 9 28 2 4" xfId="38188" xr:uid="{00000000-0005-0000-0000-000092980000}"/>
    <cellStyle name="Normal 9 28 2 5" xfId="38189" xr:uid="{00000000-0005-0000-0000-000093980000}"/>
    <cellStyle name="Normal 9 28 2 6" xfId="38190" xr:uid="{00000000-0005-0000-0000-000094980000}"/>
    <cellStyle name="Normal 9 28 3" xfId="38191" xr:uid="{00000000-0005-0000-0000-000095980000}"/>
    <cellStyle name="Normal 9 28 3 2" xfId="38192" xr:uid="{00000000-0005-0000-0000-000096980000}"/>
    <cellStyle name="Normal 9 28 3 3" xfId="38193" xr:uid="{00000000-0005-0000-0000-000097980000}"/>
    <cellStyle name="Normal 9 28 3 4" xfId="38194" xr:uid="{00000000-0005-0000-0000-000098980000}"/>
    <cellStyle name="Normal 9 28 3 5" xfId="38195" xr:uid="{00000000-0005-0000-0000-000099980000}"/>
    <cellStyle name="Normal 9 28 3 6" xfId="38196" xr:uid="{00000000-0005-0000-0000-00009A980000}"/>
    <cellStyle name="Normal 9 28 4" xfId="38197" xr:uid="{00000000-0005-0000-0000-00009B980000}"/>
    <cellStyle name="Normal 9 28 4 2" xfId="38198" xr:uid="{00000000-0005-0000-0000-00009C980000}"/>
    <cellStyle name="Normal 9 28 4 3" xfId="38199" xr:uid="{00000000-0005-0000-0000-00009D980000}"/>
    <cellStyle name="Normal 9 28 4 4" xfId="38200" xr:uid="{00000000-0005-0000-0000-00009E980000}"/>
    <cellStyle name="Normal 9 28 4 5" xfId="38201" xr:uid="{00000000-0005-0000-0000-00009F980000}"/>
    <cellStyle name="Normal 9 28 4 6" xfId="38202" xr:uid="{00000000-0005-0000-0000-0000A0980000}"/>
    <cellStyle name="Normal 9 28 5" xfId="38203" xr:uid="{00000000-0005-0000-0000-0000A1980000}"/>
    <cellStyle name="Normal 9 28 5 2" xfId="38204" xr:uid="{00000000-0005-0000-0000-0000A2980000}"/>
    <cellStyle name="Normal 9 28 5 3" xfId="38205" xr:uid="{00000000-0005-0000-0000-0000A3980000}"/>
    <cellStyle name="Normal 9 28 5 4" xfId="38206" xr:uid="{00000000-0005-0000-0000-0000A4980000}"/>
    <cellStyle name="Normal 9 28 5 5" xfId="38207" xr:uid="{00000000-0005-0000-0000-0000A5980000}"/>
    <cellStyle name="Normal 9 28 5 6" xfId="38208" xr:uid="{00000000-0005-0000-0000-0000A6980000}"/>
    <cellStyle name="Normal 9 28 6" xfId="38209" xr:uid="{00000000-0005-0000-0000-0000A7980000}"/>
    <cellStyle name="Normal 9 28 6 2" xfId="38210" xr:uid="{00000000-0005-0000-0000-0000A8980000}"/>
    <cellStyle name="Normal 9 28 6 3" xfId="38211" xr:uid="{00000000-0005-0000-0000-0000A9980000}"/>
    <cellStyle name="Normal 9 28 6 4" xfId="38212" xr:uid="{00000000-0005-0000-0000-0000AA980000}"/>
    <cellStyle name="Normal 9 28 6 5" xfId="38213" xr:uid="{00000000-0005-0000-0000-0000AB980000}"/>
    <cellStyle name="Normal 9 28 6 6" xfId="38214" xr:uid="{00000000-0005-0000-0000-0000AC980000}"/>
    <cellStyle name="Normal 9 28 7" xfId="38215" xr:uid="{00000000-0005-0000-0000-0000AD980000}"/>
    <cellStyle name="Normal 9 28 7 2" xfId="38216" xr:uid="{00000000-0005-0000-0000-0000AE980000}"/>
    <cellStyle name="Normal 9 28 7 3" xfId="38217" xr:uid="{00000000-0005-0000-0000-0000AF980000}"/>
    <cellStyle name="Normal 9 28 7 4" xfId="38218" xr:uid="{00000000-0005-0000-0000-0000B0980000}"/>
    <cellStyle name="Normal 9 28 7 5" xfId="38219" xr:uid="{00000000-0005-0000-0000-0000B1980000}"/>
    <cellStyle name="Normal 9 28 7 6" xfId="38220" xr:uid="{00000000-0005-0000-0000-0000B2980000}"/>
    <cellStyle name="Normal 9 28 8" xfId="38221" xr:uid="{00000000-0005-0000-0000-0000B3980000}"/>
    <cellStyle name="Normal 9 28 8 2" xfId="38222" xr:uid="{00000000-0005-0000-0000-0000B4980000}"/>
    <cellStyle name="Normal 9 28 8 3" xfId="38223" xr:uid="{00000000-0005-0000-0000-0000B5980000}"/>
    <cellStyle name="Normal 9 28 8 4" xfId="38224" xr:uid="{00000000-0005-0000-0000-0000B6980000}"/>
    <cellStyle name="Normal 9 28 8 5" xfId="38225" xr:uid="{00000000-0005-0000-0000-0000B7980000}"/>
    <cellStyle name="Normal 9 28 8 6" xfId="38226" xr:uid="{00000000-0005-0000-0000-0000B8980000}"/>
    <cellStyle name="Normal 9 28 9" xfId="38227" xr:uid="{00000000-0005-0000-0000-0000B9980000}"/>
    <cellStyle name="Normal 9 29" xfId="38228" xr:uid="{00000000-0005-0000-0000-0000BA980000}"/>
    <cellStyle name="Normal 9 29 10" xfId="38229" xr:uid="{00000000-0005-0000-0000-0000BB980000}"/>
    <cellStyle name="Normal 9 29 11" xfId="38230" xr:uid="{00000000-0005-0000-0000-0000BC980000}"/>
    <cellStyle name="Normal 9 29 12" xfId="38231" xr:uid="{00000000-0005-0000-0000-0000BD980000}"/>
    <cellStyle name="Normal 9 29 13" xfId="38232" xr:uid="{00000000-0005-0000-0000-0000BE980000}"/>
    <cellStyle name="Normal 9 29 2" xfId="38233" xr:uid="{00000000-0005-0000-0000-0000BF980000}"/>
    <cellStyle name="Normal 9 29 2 2" xfId="38234" xr:uid="{00000000-0005-0000-0000-0000C0980000}"/>
    <cellStyle name="Normal 9 29 2 3" xfId="38235" xr:uid="{00000000-0005-0000-0000-0000C1980000}"/>
    <cellStyle name="Normal 9 29 2 4" xfId="38236" xr:uid="{00000000-0005-0000-0000-0000C2980000}"/>
    <cellStyle name="Normal 9 29 2 5" xfId="38237" xr:uid="{00000000-0005-0000-0000-0000C3980000}"/>
    <cellStyle name="Normal 9 29 2 6" xfId="38238" xr:uid="{00000000-0005-0000-0000-0000C4980000}"/>
    <cellStyle name="Normal 9 29 3" xfId="38239" xr:uid="{00000000-0005-0000-0000-0000C5980000}"/>
    <cellStyle name="Normal 9 29 3 2" xfId="38240" xr:uid="{00000000-0005-0000-0000-0000C6980000}"/>
    <cellStyle name="Normal 9 29 3 3" xfId="38241" xr:uid="{00000000-0005-0000-0000-0000C7980000}"/>
    <cellStyle name="Normal 9 29 3 4" xfId="38242" xr:uid="{00000000-0005-0000-0000-0000C8980000}"/>
    <cellStyle name="Normal 9 29 3 5" xfId="38243" xr:uid="{00000000-0005-0000-0000-0000C9980000}"/>
    <cellStyle name="Normal 9 29 3 6" xfId="38244" xr:uid="{00000000-0005-0000-0000-0000CA980000}"/>
    <cellStyle name="Normal 9 29 4" xfId="38245" xr:uid="{00000000-0005-0000-0000-0000CB980000}"/>
    <cellStyle name="Normal 9 29 4 2" xfId="38246" xr:uid="{00000000-0005-0000-0000-0000CC980000}"/>
    <cellStyle name="Normal 9 29 4 3" xfId="38247" xr:uid="{00000000-0005-0000-0000-0000CD980000}"/>
    <cellStyle name="Normal 9 29 4 4" xfId="38248" xr:uid="{00000000-0005-0000-0000-0000CE980000}"/>
    <cellStyle name="Normal 9 29 4 5" xfId="38249" xr:uid="{00000000-0005-0000-0000-0000CF980000}"/>
    <cellStyle name="Normal 9 29 4 6" xfId="38250" xr:uid="{00000000-0005-0000-0000-0000D0980000}"/>
    <cellStyle name="Normal 9 29 5" xfId="38251" xr:uid="{00000000-0005-0000-0000-0000D1980000}"/>
    <cellStyle name="Normal 9 29 5 2" xfId="38252" xr:uid="{00000000-0005-0000-0000-0000D2980000}"/>
    <cellStyle name="Normal 9 29 5 3" xfId="38253" xr:uid="{00000000-0005-0000-0000-0000D3980000}"/>
    <cellStyle name="Normal 9 29 5 4" xfId="38254" xr:uid="{00000000-0005-0000-0000-0000D4980000}"/>
    <cellStyle name="Normal 9 29 5 5" xfId="38255" xr:uid="{00000000-0005-0000-0000-0000D5980000}"/>
    <cellStyle name="Normal 9 29 5 6" xfId="38256" xr:uid="{00000000-0005-0000-0000-0000D6980000}"/>
    <cellStyle name="Normal 9 29 6" xfId="38257" xr:uid="{00000000-0005-0000-0000-0000D7980000}"/>
    <cellStyle name="Normal 9 29 6 2" xfId="38258" xr:uid="{00000000-0005-0000-0000-0000D8980000}"/>
    <cellStyle name="Normal 9 29 6 3" xfId="38259" xr:uid="{00000000-0005-0000-0000-0000D9980000}"/>
    <cellStyle name="Normal 9 29 6 4" xfId="38260" xr:uid="{00000000-0005-0000-0000-0000DA980000}"/>
    <cellStyle name="Normal 9 29 6 5" xfId="38261" xr:uid="{00000000-0005-0000-0000-0000DB980000}"/>
    <cellStyle name="Normal 9 29 6 6" xfId="38262" xr:uid="{00000000-0005-0000-0000-0000DC980000}"/>
    <cellStyle name="Normal 9 29 7" xfId="38263" xr:uid="{00000000-0005-0000-0000-0000DD980000}"/>
    <cellStyle name="Normal 9 29 7 2" xfId="38264" xr:uid="{00000000-0005-0000-0000-0000DE980000}"/>
    <cellStyle name="Normal 9 29 7 3" xfId="38265" xr:uid="{00000000-0005-0000-0000-0000DF980000}"/>
    <cellStyle name="Normal 9 29 7 4" xfId="38266" xr:uid="{00000000-0005-0000-0000-0000E0980000}"/>
    <cellStyle name="Normal 9 29 7 5" xfId="38267" xr:uid="{00000000-0005-0000-0000-0000E1980000}"/>
    <cellStyle name="Normal 9 29 7 6" xfId="38268" xr:uid="{00000000-0005-0000-0000-0000E2980000}"/>
    <cellStyle name="Normal 9 29 8" xfId="38269" xr:uid="{00000000-0005-0000-0000-0000E3980000}"/>
    <cellStyle name="Normal 9 29 8 2" xfId="38270" xr:uid="{00000000-0005-0000-0000-0000E4980000}"/>
    <cellStyle name="Normal 9 29 8 3" xfId="38271" xr:uid="{00000000-0005-0000-0000-0000E5980000}"/>
    <cellStyle name="Normal 9 29 8 4" xfId="38272" xr:uid="{00000000-0005-0000-0000-0000E6980000}"/>
    <cellStyle name="Normal 9 29 8 5" xfId="38273" xr:uid="{00000000-0005-0000-0000-0000E7980000}"/>
    <cellStyle name="Normal 9 29 8 6" xfId="38274" xr:uid="{00000000-0005-0000-0000-0000E8980000}"/>
    <cellStyle name="Normal 9 29 9" xfId="38275" xr:uid="{00000000-0005-0000-0000-0000E9980000}"/>
    <cellStyle name="Normal 9 3" xfId="38276" xr:uid="{00000000-0005-0000-0000-0000EA980000}"/>
    <cellStyle name="Normal 9 3 10" xfId="38277" xr:uid="{00000000-0005-0000-0000-0000EB980000}"/>
    <cellStyle name="Normal 9 3 11" xfId="38278" xr:uid="{00000000-0005-0000-0000-0000EC980000}"/>
    <cellStyle name="Normal 9 3 12" xfId="38279" xr:uid="{00000000-0005-0000-0000-0000ED980000}"/>
    <cellStyle name="Normal 9 3 13" xfId="38280" xr:uid="{00000000-0005-0000-0000-0000EE980000}"/>
    <cellStyle name="Normal 9 3 14" xfId="38281" xr:uid="{00000000-0005-0000-0000-0000EF980000}"/>
    <cellStyle name="Normal 9 3 2" xfId="38282" xr:uid="{00000000-0005-0000-0000-0000F0980000}"/>
    <cellStyle name="Normal 9 3 2 2" xfId="38283" xr:uid="{00000000-0005-0000-0000-0000F1980000}"/>
    <cellStyle name="Normal 9 3 2 3" xfId="38284" xr:uid="{00000000-0005-0000-0000-0000F2980000}"/>
    <cellStyle name="Normal 9 3 2 4" xfId="38285" xr:uid="{00000000-0005-0000-0000-0000F3980000}"/>
    <cellStyle name="Normal 9 3 2 5" xfId="38286" xr:uid="{00000000-0005-0000-0000-0000F4980000}"/>
    <cellStyle name="Normal 9 3 2 6" xfId="38287" xr:uid="{00000000-0005-0000-0000-0000F5980000}"/>
    <cellStyle name="Normal 9 3 3" xfId="38288" xr:uid="{00000000-0005-0000-0000-0000F6980000}"/>
    <cellStyle name="Normal 9 3 3 2" xfId="38289" xr:uid="{00000000-0005-0000-0000-0000F7980000}"/>
    <cellStyle name="Normal 9 3 3 3" xfId="38290" xr:uid="{00000000-0005-0000-0000-0000F8980000}"/>
    <cellStyle name="Normal 9 3 3 4" xfId="38291" xr:uid="{00000000-0005-0000-0000-0000F9980000}"/>
    <cellStyle name="Normal 9 3 3 5" xfId="38292" xr:uid="{00000000-0005-0000-0000-0000FA980000}"/>
    <cellStyle name="Normal 9 3 3 6" xfId="38293" xr:uid="{00000000-0005-0000-0000-0000FB980000}"/>
    <cellStyle name="Normal 9 3 4" xfId="38294" xr:uid="{00000000-0005-0000-0000-0000FC980000}"/>
    <cellStyle name="Normal 9 3 4 2" xfId="38295" xr:uid="{00000000-0005-0000-0000-0000FD980000}"/>
    <cellStyle name="Normal 9 3 4 3" xfId="38296" xr:uid="{00000000-0005-0000-0000-0000FE980000}"/>
    <cellStyle name="Normal 9 3 4 4" xfId="38297" xr:uid="{00000000-0005-0000-0000-0000FF980000}"/>
    <cellStyle name="Normal 9 3 4 5" xfId="38298" xr:uid="{00000000-0005-0000-0000-000000990000}"/>
    <cellStyle name="Normal 9 3 4 6" xfId="38299" xr:uid="{00000000-0005-0000-0000-000001990000}"/>
    <cellStyle name="Normal 9 3 5" xfId="38300" xr:uid="{00000000-0005-0000-0000-000002990000}"/>
    <cellStyle name="Normal 9 3 5 2" xfId="38301" xr:uid="{00000000-0005-0000-0000-000003990000}"/>
    <cellStyle name="Normal 9 3 5 3" xfId="38302" xr:uid="{00000000-0005-0000-0000-000004990000}"/>
    <cellStyle name="Normal 9 3 5 4" xfId="38303" xr:uid="{00000000-0005-0000-0000-000005990000}"/>
    <cellStyle name="Normal 9 3 5 5" xfId="38304" xr:uid="{00000000-0005-0000-0000-000006990000}"/>
    <cellStyle name="Normal 9 3 5 6" xfId="38305" xr:uid="{00000000-0005-0000-0000-000007990000}"/>
    <cellStyle name="Normal 9 3 6" xfId="38306" xr:uid="{00000000-0005-0000-0000-000008990000}"/>
    <cellStyle name="Normal 9 3 6 2" xfId="38307" xr:uid="{00000000-0005-0000-0000-000009990000}"/>
    <cellStyle name="Normal 9 3 6 3" xfId="38308" xr:uid="{00000000-0005-0000-0000-00000A990000}"/>
    <cellStyle name="Normal 9 3 6 4" xfId="38309" xr:uid="{00000000-0005-0000-0000-00000B990000}"/>
    <cellStyle name="Normal 9 3 6 5" xfId="38310" xr:uid="{00000000-0005-0000-0000-00000C990000}"/>
    <cellStyle name="Normal 9 3 6 6" xfId="38311" xr:uid="{00000000-0005-0000-0000-00000D990000}"/>
    <cellStyle name="Normal 9 3 7" xfId="38312" xr:uid="{00000000-0005-0000-0000-00000E990000}"/>
    <cellStyle name="Normal 9 3 7 2" xfId="38313" xr:uid="{00000000-0005-0000-0000-00000F990000}"/>
    <cellStyle name="Normal 9 3 7 3" xfId="38314" xr:uid="{00000000-0005-0000-0000-000010990000}"/>
    <cellStyle name="Normal 9 3 7 4" xfId="38315" xr:uid="{00000000-0005-0000-0000-000011990000}"/>
    <cellStyle name="Normal 9 3 7 5" xfId="38316" xr:uid="{00000000-0005-0000-0000-000012990000}"/>
    <cellStyle name="Normal 9 3 7 6" xfId="38317" xr:uid="{00000000-0005-0000-0000-000013990000}"/>
    <cellStyle name="Normal 9 3 8" xfId="38318" xr:uid="{00000000-0005-0000-0000-000014990000}"/>
    <cellStyle name="Normal 9 3 8 2" xfId="38319" xr:uid="{00000000-0005-0000-0000-000015990000}"/>
    <cellStyle name="Normal 9 3 8 3" xfId="38320" xr:uid="{00000000-0005-0000-0000-000016990000}"/>
    <cellStyle name="Normal 9 3 8 4" xfId="38321" xr:uid="{00000000-0005-0000-0000-000017990000}"/>
    <cellStyle name="Normal 9 3 8 5" xfId="38322" xr:uid="{00000000-0005-0000-0000-000018990000}"/>
    <cellStyle name="Normal 9 3 8 6" xfId="38323" xr:uid="{00000000-0005-0000-0000-000019990000}"/>
    <cellStyle name="Normal 9 3 9" xfId="38324" xr:uid="{00000000-0005-0000-0000-00001A990000}"/>
    <cellStyle name="Normal 9 30" xfId="38325" xr:uid="{00000000-0005-0000-0000-00001B990000}"/>
    <cellStyle name="Normal 9 30 10" xfId="38326" xr:uid="{00000000-0005-0000-0000-00001C990000}"/>
    <cellStyle name="Normal 9 30 11" xfId="38327" xr:uid="{00000000-0005-0000-0000-00001D990000}"/>
    <cellStyle name="Normal 9 30 12" xfId="38328" xr:uid="{00000000-0005-0000-0000-00001E990000}"/>
    <cellStyle name="Normal 9 30 13" xfId="38329" xr:uid="{00000000-0005-0000-0000-00001F990000}"/>
    <cellStyle name="Normal 9 30 2" xfId="38330" xr:uid="{00000000-0005-0000-0000-000020990000}"/>
    <cellStyle name="Normal 9 30 2 2" xfId="38331" xr:uid="{00000000-0005-0000-0000-000021990000}"/>
    <cellStyle name="Normal 9 30 2 3" xfId="38332" xr:uid="{00000000-0005-0000-0000-000022990000}"/>
    <cellStyle name="Normal 9 30 2 4" xfId="38333" xr:uid="{00000000-0005-0000-0000-000023990000}"/>
    <cellStyle name="Normal 9 30 2 5" xfId="38334" xr:uid="{00000000-0005-0000-0000-000024990000}"/>
    <cellStyle name="Normal 9 30 2 6" xfId="38335" xr:uid="{00000000-0005-0000-0000-000025990000}"/>
    <cellStyle name="Normal 9 30 3" xfId="38336" xr:uid="{00000000-0005-0000-0000-000026990000}"/>
    <cellStyle name="Normal 9 30 3 2" xfId="38337" xr:uid="{00000000-0005-0000-0000-000027990000}"/>
    <cellStyle name="Normal 9 30 3 3" xfId="38338" xr:uid="{00000000-0005-0000-0000-000028990000}"/>
    <cellStyle name="Normal 9 30 3 4" xfId="38339" xr:uid="{00000000-0005-0000-0000-000029990000}"/>
    <cellStyle name="Normal 9 30 3 5" xfId="38340" xr:uid="{00000000-0005-0000-0000-00002A990000}"/>
    <cellStyle name="Normal 9 30 3 6" xfId="38341" xr:uid="{00000000-0005-0000-0000-00002B990000}"/>
    <cellStyle name="Normal 9 30 4" xfId="38342" xr:uid="{00000000-0005-0000-0000-00002C990000}"/>
    <cellStyle name="Normal 9 30 4 2" xfId="38343" xr:uid="{00000000-0005-0000-0000-00002D990000}"/>
    <cellStyle name="Normal 9 30 4 3" xfId="38344" xr:uid="{00000000-0005-0000-0000-00002E990000}"/>
    <cellStyle name="Normal 9 30 4 4" xfId="38345" xr:uid="{00000000-0005-0000-0000-00002F990000}"/>
    <cellStyle name="Normal 9 30 4 5" xfId="38346" xr:uid="{00000000-0005-0000-0000-000030990000}"/>
    <cellStyle name="Normal 9 30 4 6" xfId="38347" xr:uid="{00000000-0005-0000-0000-000031990000}"/>
    <cellStyle name="Normal 9 30 5" xfId="38348" xr:uid="{00000000-0005-0000-0000-000032990000}"/>
    <cellStyle name="Normal 9 30 5 2" xfId="38349" xr:uid="{00000000-0005-0000-0000-000033990000}"/>
    <cellStyle name="Normal 9 30 5 3" xfId="38350" xr:uid="{00000000-0005-0000-0000-000034990000}"/>
    <cellStyle name="Normal 9 30 5 4" xfId="38351" xr:uid="{00000000-0005-0000-0000-000035990000}"/>
    <cellStyle name="Normal 9 30 5 5" xfId="38352" xr:uid="{00000000-0005-0000-0000-000036990000}"/>
    <cellStyle name="Normal 9 30 5 6" xfId="38353" xr:uid="{00000000-0005-0000-0000-000037990000}"/>
    <cellStyle name="Normal 9 30 6" xfId="38354" xr:uid="{00000000-0005-0000-0000-000038990000}"/>
    <cellStyle name="Normal 9 30 6 2" xfId="38355" xr:uid="{00000000-0005-0000-0000-000039990000}"/>
    <cellStyle name="Normal 9 30 6 3" xfId="38356" xr:uid="{00000000-0005-0000-0000-00003A990000}"/>
    <cellStyle name="Normal 9 30 6 4" xfId="38357" xr:uid="{00000000-0005-0000-0000-00003B990000}"/>
    <cellStyle name="Normal 9 30 6 5" xfId="38358" xr:uid="{00000000-0005-0000-0000-00003C990000}"/>
    <cellStyle name="Normal 9 30 6 6" xfId="38359" xr:uid="{00000000-0005-0000-0000-00003D990000}"/>
    <cellStyle name="Normal 9 30 7" xfId="38360" xr:uid="{00000000-0005-0000-0000-00003E990000}"/>
    <cellStyle name="Normal 9 30 7 2" xfId="38361" xr:uid="{00000000-0005-0000-0000-00003F990000}"/>
    <cellStyle name="Normal 9 30 7 3" xfId="38362" xr:uid="{00000000-0005-0000-0000-000040990000}"/>
    <cellStyle name="Normal 9 30 7 4" xfId="38363" xr:uid="{00000000-0005-0000-0000-000041990000}"/>
    <cellStyle name="Normal 9 30 7 5" xfId="38364" xr:uid="{00000000-0005-0000-0000-000042990000}"/>
    <cellStyle name="Normal 9 30 7 6" xfId="38365" xr:uid="{00000000-0005-0000-0000-000043990000}"/>
    <cellStyle name="Normal 9 30 8" xfId="38366" xr:uid="{00000000-0005-0000-0000-000044990000}"/>
    <cellStyle name="Normal 9 30 8 2" xfId="38367" xr:uid="{00000000-0005-0000-0000-000045990000}"/>
    <cellStyle name="Normal 9 30 8 3" xfId="38368" xr:uid="{00000000-0005-0000-0000-000046990000}"/>
    <cellStyle name="Normal 9 30 8 4" xfId="38369" xr:uid="{00000000-0005-0000-0000-000047990000}"/>
    <cellStyle name="Normal 9 30 8 5" xfId="38370" xr:uid="{00000000-0005-0000-0000-000048990000}"/>
    <cellStyle name="Normal 9 30 8 6" xfId="38371" xr:uid="{00000000-0005-0000-0000-000049990000}"/>
    <cellStyle name="Normal 9 30 9" xfId="38372" xr:uid="{00000000-0005-0000-0000-00004A990000}"/>
    <cellStyle name="Normal 9 31" xfId="38373" xr:uid="{00000000-0005-0000-0000-00004B990000}"/>
    <cellStyle name="Normal 9 31 10" xfId="38374" xr:uid="{00000000-0005-0000-0000-00004C990000}"/>
    <cellStyle name="Normal 9 31 11" xfId="38375" xr:uid="{00000000-0005-0000-0000-00004D990000}"/>
    <cellStyle name="Normal 9 31 12" xfId="38376" xr:uid="{00000000-0005-0000-0000-00004E990000}"/>
    <cellStyle name="Normal 9 31 13" xfId="38377" xr:uid="{00000000-0005-0000-0000-00004F990000}"/>
    <cellStyle name="Normal 9 31 2" xfId="38378" xr:uid="{00000000-0005-0000-0000-000050990000}"/>
    <cellStyle name="Normal 9 31 2 2" xfId="38379" xr:uid="{00000000-0005-0000-0000-000051990000}"/>
    <cellStyle name="Normal 9 31 2 3" xfId="38380" xr:uid="{00000000-0005-0000-0000-000052990000}"/>
    <cellStyle name="Normal 9 31 2 4" xfId="38381" xr:uid="{00000000-0005-0000-0000-000053990000}"/>
    <cellStyle name="Normal 9 31 2 5" xfId="38382" xr:uid="{00000000-0005-0000-0000-000054990000}"/>
    <cellStyle name="Normal 9 31 2 6" xfId="38383" xr:uid="{00000000-0005-0000-0000-000055990000}"/>
    <cellStyle name="Normal 9 31 3" xfId="38384" xr:uid="{00000000-0005-0000-0000-000056990000}"/>
    <cellStyle name="Normal 9 31 3 2" xfId="38385" xr:uid="{00000000-0005-0000-0000-000057990000}"/>
    <cellStyle name="Normal 9 31 3 3" xfId="38386" xr:uid="{00000000-0005-0000-0000-000058990000}"/>
    <cellStyle name="Normal 9 31 3 4" xfId="38387" xr:uid="{00000000-0005-0000-0000-000059990000}"/>
    <cellStyle name="Normal 9 31 3 5" xfId="38388" xr:uid="{00000000-0005-0000-0000-00005A990000}"/>
    <cellStyle name="Normal 9 31 3 6" xfId="38389" xr:uid="{00000000-0005-0000-0000-00005B990000}"/>
    <cellStyle name="Normal 9 31 4" xfId="38390" xr:uid="{00000000-0005-0000-0000-00005C990000}"/>
    <cellStyle name="Normal 9 31 4 2" xfId="38391" xr:uid="{00000000-0005-0000-0000-00005D990000}"/>
    <cellStyle name="Normal 9 31 4 3" xfId="38392" xr:uid="{00000000-0005-0000-0000-00005E990000}"/>
    <cellStyle name="Normal 9 31 4 4" xfId="38393" xr:uid="{00000000-0005-0000-0000-00005F990000}"/>
    <cellStyle name="Normal 9 31 4 5" xfId="38394" xr:uid="{00000000-0005-0000-0000-000060990000}"/>
    <cellStyle name="Normal 9 31 4 6" xfId="38395" xr:uid="{00000000-0005-0000-0000-000061990000}"/>
    <cellStyle name="Normal 9 31 5" xfId="38396" xr:uid="{00000000-0005-0000-0000-000062990000}"/>
    <cellStyle name="Normal 9 31 5 2" xfId="38397" xr:uid="{00000000-0005-0000-0000-000063990000}"/>
    <cellStyle name="Normal 9 31 5 3" xfId="38398" xr:uid="{00000000-0005-0000-0000-000064990000}"/>
    <cellStyle name="Normal 9 31 5 4" xfId="38399" xr:uid="{00000000-0005-0000-0000-000065990000}"/>
    <cellStyle name="Normal 9 31 5 5" xfId="38400" xr:uid="{00000000-0005-0000-0000-000066990000}"/>
    <cellStyle name="Normal 9 31 5 6" xfId="38401" xr:uid="{00000000-0005-0000-0000-000067990000}"/>
    <cellStyle name="Normal 9 31 6" xfId="38402" xr:uid="{00000000-0005-0000-0000-000068990000}"/>
    <cellStyle name="Normal 9 31 6 2" xfId="38403" xr:uid="{00000000-0005-0000-0000-000069990000}"/>
    <cellStyle name="Normal 9 31 6 3" xfId="38404" xr:uid="{00000000-0005-0000-0000-00006A990000}"/>
    <cellStyle name="Normal 9 31 6 4" xfId="38405" xr:uid="{00000000-0005-0000-0000-00006B990000}"/>
    <cellStyle name="Normal 9 31 6 5" xfId="38406" xr:uid="{00000000-0005-0000-0000-00006C990000}"/>
    <cellStyle name="Normal 9 31 6 6" xfId="38407" xr:uid="{00000000-0005-0000-0000-00006D990000}"/>
    <cellStyle name="Normal 9 31 7" xfId="38408" xr:uid="{00000000-0005-0000-0000-00006E990000}"/>
    <cellStyle name="Normal 9 31 7 2" xfId="38409" xr:uid="{00000000-0005-0000-0000-00006F990000}"/>
    <cellStyle name="Normal 9 31 7 3" xfId="38410" xr:uid="{00000000-0005-0000-0000-000070990000}"/>
    <cellStyle name="Normal 9 31 7 4" xfId="38411" xr:uid="{00000000-0005-0000-0000-000071990000}"/>
    <cellStyle name="Normal 9 31 7 5" xfId="38412" xr:uid="{00000000-0005-0000-0000-000072990000}"/>
    <cellStyle name="Normal 9 31 7 6" xfId="38413" xr:uid="{00000000-0005-0000-0000-000073990000}"/>
    <cellStyle name="Normal 9 31 8" xfId="38414" xr:uid="{00000000-0005-0000-0000-000074990000}"/>
    <cellStyle name="Normal 9 31 8 2" xfId="38415" xr:uid="{00000000-0005-0000-0000-000075990000}"/>
    <cellStyle name="Normal 9 31 8 3" xfId="38416" xr:uid="{00000000-0005-0000-0000-000076990000}"/>
    <cellStyle name="Normal 9 31 8 4" xfId="38417" xr:uid="{00000000-0005-0000-0000-000077990000}"/>
    <cellStyle name="Normal 9 31 8 5" xfId="38418" xr:uid="{00000000-0005-0000-0000-000078990000}"/>
    <cellStyle name="Normal 9 31 8 6" xfId="38419" xr:uid="{00000000-0005-0000-0000-000079990000}"/>
    <cellStyle name="Normal 9 31 9" xfId="38420" xr:uid="{00000000-0005-0000-0000-00007A990000}"/>
    <cellStyle name="Normal 9 32" xfId="38421" xr:uid="{00000000-0005-0000-0000-00007B990000}"/>
    <cellStyle name="Normal 9 32 10" xfId="38422" xr:uid="{00000000-0005-0000-0000-00007C990000}"/>
    <cellStyle name="Normal 9 32 11" xfId="38423" xr:uid="{00000000-0005-0000-0000-00007D990000}"/>
    <cellStyle name="Normal 9 32 12" xfId="38424" xr:uid="{00000000-0005-0000-0000-00007E990000}"/>
    <cellStyle name="Normal 9 32 13" xfId="38425" xr:uid="{00000000-0005-0000-0000-00007F990000}"/>
    <cellStyle name="Normal 9 32 2" xfId="38426" xr:uid="{00000000-0005-0000-0000-000080990000}"/>
    <cellStyle name="Normal 9 32 2 2" xfId="38427" xr:uid="{00000000-0005-0000-0000-000081990000}"/>
    <cellStyle name="Normal 9 32 2 3" xfId="38428" xr:uid="{00000000-0005-0000-0000-000082990000}"/>
    <cellStyle name="Normal 9 32 2 4" xfId="38429" xr:uid="{00000000-0005-0000-0000-000083990000}"/>
    <cellStyle name="Normal 9 32 2 5" xfId="38430" xr:uid="{00000000-0005-0000-0000-000084990000}"/>
    <cellStyle name="Normal 9 32 2 6" xfId="38431" xr:uid="{00000000-0005-0000-0000-000085990000}"/>
    <cellStyle name="Normal 9 32 3" xfId="38432" xr:uid="{00000000-0005-0000-0000-000086990000}"/>
    <cellStyle name="Normal 9 32 3 2" xfId="38433" xr:uid="{00000000-0005-0000-0000-000087990000}"/>
    <cellStyle name="Normal 9 32 3 3" xfId="38434" xr:uid="{00000000-0005-0000-0000-000088990000}"/>
    <cellStyle name="Normal 9 32 3 4" xfId="38435" xr:uid="{00000000-0005-0000-0000-000089990000}"/>
    <cellStyle name="Normal 9 32 3 5" xfId="38436" xr:uid="{00000000-0005-0000-0000-00008A990000}"/>
    <cellStyle name="Normal 9 32 3 6" xfId="38437" xr:uid="{00000000-0005-0000-0000-00008B990000}"/>
    <cellStyle name="Normal 9 32 4" xfId="38438" xr:uid="{00000000-0005-0000-0000-00008C990000}"/>
    <cellStyle name="Normal 9 32 4 2" xfId="38439" xr:uid="{00000000-0005-0000-0000-00008D990000}"/>
    <cellStyle name="Normal 9 32 4 3" xfId="38440" xr:uid="{00000000-0005-0000-0000-00008E990000}"/>
    <cellStyle name="Normal 9 32 4 4" xfId="38441" xr:uid="{00000000-0005-0000-0000-00008F990000}"/>
    <cellStyle name="Normal 9 32 4 5" xfId="38442" xr:uid="{00000000-0005-0000-0000-000090990000}"/>
    <cellStyle name="Normal 9 32 4 6" xfId="38443" xr:uid="{00000000-0005-0000-0000-000091990000}"/>
    <cellStyle name="Normal 9 32 5" xfId="38444" xr:uid="{00000000-0005-0000-0000-000092990000}"/>
    <cellStyle name="Normal 9 32 5 2" xfId="38445" xr:uid="{00000000-0005-0000-0000-000093990000}"/>
    <cellStyle name="Normal 9 32 5 3" xfId="38446" xr:uid="{00000000-0005-0000-0000-000094990000}"/>
    <cellStyle name="Normal 9 32 5 4" xfId="38447" xr:uid="{00000000-0005-0000-0000-000095990000}"/>
    <cellStyle name="Normal 9 32 5 5" xfId="38448" xr:uid="{00000000-0005-0000-0000-000096990000}"/>
    <cellStyle name="Normal 9 32 5 6" xfId="38449" xr:uid="{00000000-0005-0000-0000-000097990000}"/>
    <cellStyle name="Normal 9 32 6" xfId="38450" xr:uid="{00000000-0005-0000-0000-000098990000}"/>
    <cellStyle name="Normal 9 32 6 2" xfId="38451" xr:uid="{00000000-0005-0000-0000-000099990000}"/>
    <cellStyle name="Normal 9 32 6 3" xfId="38452" xr:uid="{00000000-0005-0000-0000-00009A990000}"/>
    <cellStyle name="Normal 9 32 6 4" xfId="38453" xr:uid="{00000000-0005-0000-0000-00009B990000}"/>
    <cellStyle name="Normal 9 32 6 5" xfId="38454" xr:uid="{00000000-0005-0000-0000-00009C990000}"/>
    <cellStyle name="Normal 9 32 6 6" xfId="38455" xr:uid="{00000000-0005-0000-0000-00009D990000}"/>
    <cellStyle name="Normal 9 32 7" xfId="38456" xr:uid="{00000000-0005-0000-0000-00009E990000}"/>
    <cellStyle name="Normal 9 32 7 2" xfId="38457" xr:uid="{00000000-0005-0000-0000-00009F990000}"/>
    <cellStyle name="Normal 9 32 7 3" xfId="38458" xr:uid="{00000000-0005-0000-0000-0000A0990000}"/>
    <cellStyle name="Normal 9 32 7 4" xfId="38459" xr:uid="{00000000-0005-0000-0000-0000A1990000}"/>
    <cellStyle name="Normal 9 32 7 5" xfId="38460" xr:uid="{00000000-0005-0000-0000-0000A2990000}"/>
    <cellStyle name="Normal 9 32 7 6" xfId="38461" xr:uid="{00000000-0005-0000-0000-0000A3990000}"/>
    <cellStyle name="Normal 9 32 8" xfId="38462" xr:uid="{00000000-0005-0000-0000-0000A4990000}"/>
    <cellStyle name="Normal 9 32 8 2" xfId="38463" xr:uid="{00000000-0005-0000-0000-0000A5990000}"/>
    <cellStyle name="Normal 9 32 8 3" xfId="38464" xr:uid="{00000000-0005-0000-0000-0000A6990000}"/>
    <cellStyle name="Normal 9 32 8 4" xfId="38465" xr:uid="{00000000-0005-0000-0000-0000A7990000}"/>
    <cellStyle name="Normal 9 32 8 5" xfId="38466" xr:uid="{00000000-0005-0000-0000-0000A8990000}"/>
    <cellStyle name="Normal 9 32 8 6" xfId="38467" xr:uid="{00000000-0005-0000-0000-0000A9990000}"/>
    <cellStyle name="Normal 9 32 9" xfId="38468" xr:uid="{00000000-0005-0000-0000-0000AA990000}"/>
    <cellStyle name="Normal 9 33" xfId="38469" xr:uid="{00000000-0005-0000-0000-0000AB990000}"/>
    <cellStyle name="Normal 9 33 10" xfId="38470" xr:uid="{00000000-0005-0000-0000-0000AC990000}"/>
    <cellStyle name="Normal 9 33 11" xfId="38471" xr:uid="{00000000-0005-0000-0000-0000AD990000}"/>
    <cellStyle name="Normal 9 33 12" xfId="38472" xr:uid="{00000000-0005-0000-0000-0000AE990000}"/>
    <cellStyle name="Normal 9 33 13" xfId="38473" xr:uid="{00000000-0005-0000-0000-0000AF990000}"/>
    <cellStyle name="Normal 9 33 2" xfId="38474" xr:uid="{00000000-0005-0000-0000-0000B0990000}"/>
    <cellStyle name="Normal 9 33 2 2" xfId="38475" xr:uid="{00000000-0005-0000-0000-0000B1990000}"/>
    <cellStyle name="Normal 9 33 2 3" xfId="38476" xr:uid="{00000000-0005-0000-0000-0000B2990000}"/>
    <cellStyle name="Normal 9 33 2 4" xfId="38477" xr:uid="{00000000-0005-0000-0000-0000B3990000}"/>
    <cellStyle name="Normal 9 33 2 5" xfId="38478" xr:uid="{00000000-0005-0000-0000-0000B4990000}"/>
    <cellStyle name="Normal 9 33 2 6" xfId="38479" xr:uid="{00000000-0005-0000-0000-0000B5990000}"/>
    <cellStyle name="Normal 9 33 3" xfId="38480" xr:uid="{00000000-0005-0000-0000-0000B6990000}"/>
    <cellStyle name="Normal 9 33 3 2" xfId="38481" xr:uid="{00000000-0005-0000-0000-0000B7990000}"/>
    <cellStyle name="Normal 9 33 3 3" xfId="38482" xr:uid="{00000000-0005-0000-0000-0000B8990000}"/>
    <cellStyle name="Normal 9 33 3 4" xfId="38483" xr:uid="{00000000-0005-0000-0000-0000B9990000}"/>
    <cellStyle name="Normal 9 33 3 5" xfId="38484" xr:uid="{00000000-0005-0000-0000-0000BA990000}"/>
    <cellStyle name="Normal 9 33 3 6" xfId="38485" xr:uid="{00000000-0005-0000-0000-0000BB990000}"/>
    <cellStyle name="Normal 9 33 4" xfId="38486" xr:uid="{00000000-0005-0000-0000-0000BC990000}"/>
    <cellStyle name="Normal 9 33 4 2" xfId="38487" xr:uid="{00000000-0005-0000-0000-0000BD990000}"/>
    <cellStyle name="Normal 9 33 4 3" xfId="38488" xr:uid="{00000000-0005-0000-0000-0000BE990000}"/>
    <cellStyle name="Normal 9 33 4 4" xfId="38489" xr:uid="{00000000-0005-0000-0000-0000BF990000}"/>
    <cellStyle name="Normal 9 33 4 5" xfId="38490" xr:uid="{00000000-0005-0000-0000-0000C0990000}"/>
    <cellStyle name="Normal 9 33 4 6" xfId="38491" xr:uid="{00000000-0005-0000-0000-0000C1990000}"/>
    <cellStyle name="Normal 9 33 5" xfId="38492" xr:uid="{00000000-0005-0000-0000-0000C2990000}"/>
    <cellStyle name="Normal 9 33 5 2" xfId="38493" xr:uid="{00000000-0005-0000-0000-0000C3990000}"/>
    <cellStyle name="Normal 9 33 5 3" xfId="38494" xr:uid="{00000000-0005-0000-0000-0000C4990000}"/>
    <cellStyle name="Normal 9 33 5 4" xfId="38495" xr:uid="{00000000-0005-0000-0000-0000C5990000}"/>
    <cellStyle name="Normal 9 33 5 5" xfId="38496" xr:uid="{00000000-0005-0000-0000-0000C6990000}"/>
    <cellStyle name="Normal 9 33 5 6" xfId="38497" xr:uid="{00000000-0005-0000-0000-0000C7990000}"/>
    <cellStyle name="Normal 9 33 6" xfId="38498" xr:uid="{00000000-0005-0000-0000-0000C8990000}"/>
    <cellStyle name="Normal 9 33 6 2" xfId="38499" xr:uid="{00000000-0005-0000-0000-0000C9990000}"/>
    <cellStyle name="Normal 9 33 6 3" xfId="38500" xr:uid="{00000000-0005-0000-0000-0000CA990000}"/>
    <cellStyle name="Normal 9 33 6 4" xfId="38501" xr:uid="{00000000-0005-0000-0000-0000CB990000}"/>
    <cellStyle name="Normal 9 33 6 5" xfId="38502" xr:uid="{00000000-0005-0000-0000-0000CC990000}"/>
    <cellStyle name="Normal 9 33 6 6" xfId="38503" xr:uid="{00000000-0005-0000-0000-0000CD990000}"/>
    <cellStyle name="Normal 9 33 7" xfId="38504" xr:uid="{00000000-0005-0000-0000-0000CE990000}"/>
    <cellStyle name="Normal 9 33 7 2" xfId="38505" xr:uid="{00000000-0005-0000-0000-0000CF990000}"/>
    <cellStyle name="Normal 9 33 7 3" xfId="38506" xr:uid="{00000000-0005-0000-0000-0000D0990000}"/>
    <cellStyle name="Normal 9 33 7 4" xfId="38507" xr:uid="{00000000-0005-0000-0000-0000D1990000}"/>
    <cellStyle name="Normal 9 33 7 5" xfId="38508" xr:uid="{00000000-0005-0000-0000-0000D2990000}"/>
    <cellStyle name="Normal 9 33 7 6" xfId="38509" xr:uid="{00000000-0005-0000-0000-0000D3990000}"/>
    <cellStyle name="Normal 9 33 8" xfId="38510" xr:uid="{00000000-0005-0000-0000-0000D4990000}"/>
    <cellStyle name="Normal 9 33 8 2" xfId="38511" xr:uid="{00000000-0005-0000-0000-0000D5990000}"/>
    <cellStyle name="Normal 9 33 8 3" xfId="38512" xr:uid="{00000000-0005-0000-0000-0000D6990000}"/>
    <cellStyle name="Normal 9 33 8 4" xfId="38513" xr:uid="{00000000-0005-0000-0000-0000D7990000}"/>
    <cellStyle name="Normal 9 33 8 5" xfId="38514" xr:uid="{00000000-0005-0000-0000-0000D8990000}"/>
    <cellStyle name="Normal 9 33 8 6" xfId="38515" xr:uid="{00000000-0005-0000-0000-0000D9990000}"/>
    <cellStyle name="Normal 9 33 9" xfId="38516" xr:uid="{00000000-0005-0000-0000-0000DA990000}"/>
    <cellStyle name="Normal 9 34" xfId="38517" xr:uid="{00000000-0005-0000-0000-0000DB990000}"/>
    <cellStyle name="Normal 9 34 2" xfId="38518" xr:uid="{00000000-0005-0000-0000-0000DC990000}"/>
    <cellStyle name="Normal 9 34 3" xfId="38519" xr:uid="{00000000-0005-0000-0000-0000DD990000}"/>
    <cellStyle name="Normal 9 34 4" xfId="38520" xr:uid="{00000000-0005-0000-0000-0000DE990000}"/>
    <cellStyle name="Normal 9 34 5" xfId="38521" xr:uid="{00000000-0005-0000-0000-0000DF990000}"/>
    <cellStyle name="Normal 9 34 6" xfId="38522" xr:uid="{00000000-0005-0000-0000-0000E0990000}"/>
    <cellStyle name="Normal 9 35" xfId="38523" xr:uid="{00000000-0005-0000-0000-0000E1990000}"/>
    <cellStyle name="Normal 9 35 2" xfId="38524" xr:uid="{00000000-0005-0000-0000-0000E2990000}"/>
    <cellStyle name="Normal 9 35 3" xfId="38525" xr:uid="{00000000-0005-0000-0000-0000E3990000}"/>
    <cellStyle name="Normal 9 35 4" xfId="38526" xr:uid="{00000000-0005-0000-0000-0000E4990000}"/>
    <cellStyle name="Normal 9 35 5" xfId="38527" xr:uid="{00000000-0005-0000-0000-0000E5990000}"/>
    <cellStyle name="Normal 9 35 6" xfId="38528" xr:uid="{00000000-0005-0000-0000-0000E6990000}"/>
    <cellStyle name="Normal 9 36" xfId="38529" xr:uid="{00000000-0005-0000-0000-0000E7990000}"/>
    <cellStyle name="Normal 9 36 2" xfId="38530" xr:uid="{00000000-0005-0000-0000-0000E8990000}"/>
    <cellStyle name="Normal 9 36 3" xfId="38531" xr:uid="{00000000-0005-0000-0000-0000E9990000}"/>
    <cellStyle name="Normal 9 36 4" xfId="38532" xr:uid="{00000000-0005-0000-0000-0000EA990000}"/>
    <cellStyle name="Normal 9 36 5" xfId="38533" xr:uid="{00000000-0005-0000-0000-0000EB990000}"/>
    <cellStyle name="Normal 9 36 6" xfId="38534" xr:uid="{00000000-0005-0000-0000-0000EC990000}"/>
    <cellStyle name="Normal 9 37" xfId="38535" xr:uid="{00000000-0005-0000-0000-0000ED990000}"/>
    <cellStyle name="Normal 9 37 2" xfId="38536" xr:uid="{00000000-0005-0000-0000-0000EE990000}"/>
    <cellStyle name="Normal 9 37 3" xfId="38537" xr:uid="{00000000-0005-0000-0000-0000EF990000}"/>
    <cellStyle name="Normal 9 37 4" xfId="38538" xr:uid="{00000000-0005-0000-0000-0000F0990000}"/>
    <cellStyle name="Normal 9 37 5" xfId="38539" xr:uid="{00000000-0005-0000-0000-0000F1990000}"/>
    <cellStyle name="Normal 9 37 6" xfId="38540" xr:uid="{00000000-0005-0000-0000-0000F2990000}"/>
    <cellStyle name="Normal 9 38" xfId="38541" xr:uid="{00000000-0005-0000-0000-0000F3990000}"/>
    <cellStyle name="Normal 9 38 2" xfId="38542" xr:uid="{00000000-0005-0000-0000-0000F4990000}"/>
    <cellStyle name="Normal 9 38 3" xfId="38543" xr:uid="{00000000-0005-0000-0000-0000F5990000}"/>
    <cellStyle name="Normal 9 38 4" xfId="38544" xr:uid="{00000000-0005-0000-0000-0000F6990000}"/>
    <cellStyle name="Normal 9 38 5" xfId="38545" xr:uid="{00000000-0005-0000-0000-0000F7990000}"/>
    <cellStyle name="Normal 9 38 6" xfId="38546" xr:uid="{00000000-0005-0000-0000-0000F8990000}"/>
    <cellStyle name="Normal 9 39" xfId="38547" xr:uid="{00000000-0005-0000-0000-0000F9990000}"/>
    <cellStyle name="Normal 9 39 2" xfId="38548" xr:uid="{00000000-0005-0000-0000-0000FA990000}"/>
    <cellStyle name="Normal 9 39 3" xfId="38549" xr:uid="{00000000-0005-0000-0000-0000FB990000}"/>
    <cellStyle name="Normal 9 39 4" xfId="38550" xr:uid="{00000000-0005-0000-0000-0000FC990000}"/>
    <cellStyle name="Normal 9 39 5" xfId="38551" xr:uid="{00000000-0005-0000-0000-0000FD990000}"/>
    <cellStyle name="Normal 9 39 6" xfId="38552" xr:uid="{00000000-0005-0000-0000-0000FE990000}"/>
    <cellStyle name="Normal 9 4" xfId="38553" xr:uid="{00000000-0005-0000-0000-0000FF990000}"/>
    <cellStyle name="Normal 9 4 10" xfId="38554" xr:uid="{00000000-0005-0000-0000-0000009A0000}"/>
    <cellStyle name="Normal 9 4 11" xfId="38555" xr:uid="{00000000-0005-0000-0000-0000019A0000}"/>
    <cellStyle name="Normal 9 4 12" xfId="38556" xr:uid="{00000000-0005-0000-0000-0000029A0000}"/>
    <cellStyle name="Normal 9 4 13" xfId="38557" xr:uid="{00000000-0005-0000-0000-0000039A0000}"/>
    <cellStyle name="Normal 9 4 2" xfId="38558" xr:uid="{00000000-0005-0000-0000-0000049A0000}"/>
    <cellStyle name="Normal 9 4 2 2" xfId="38559" xr:uid="{00000000-0005-0000-0000-0000059A0000}"/>
    <cellStyle name="Normal 9 4 2 3" xfId="38560" xr:uid="{00000000-0005-0000-0000-0000069A0000}"/>
    <cellStyle name="Normal 9 4 2 4" xfId="38561" xr:uid="{00000000-0005-0000-0000-0000079A0000}"/>
    <cellStyle name="Normal 9 4 2 5" xfId="38562" xr:uid="{00000000-0005-0000-0000-0000089A0000}"/>
    <cellStyle name="Normal 9 4 2 6" xfId="38563" xr:uid="{00000000-0005-0000-0000-0000099A0000}"/>
    <cellStyle name="Normal 9 4 3" xfId="38564" xr:uid="{00000000-0005-0000-0000-00000A9A0000}"/>
    <cellStyle name="Normal 9 4 3 2" xfId="38565" xr:uid="{00000000-0005-0000-0000-00000B9A0000}"/>
    <cellStyle name="Normal 9 4 3 3" xfId="38566" xr:uid="{00000000-0005-0000-0000-00000C9A0000}"/>
    <cellStyle name="Normal 9 4 3 4" xfId="38567" xr:uid="{00000000-0005-0000-0000-00000D9A0000}"/>
    <cellStyle name="Normal 9 4 3 5" xfId="38568" xr:uid="{00000000-0005-0000-0000-00000E9A0000}"/>
    <cellStyle name="Normal 9 4 3 6" xfId="38569" xr:uid="{00000000-0005-0000-0000-00000F9A0000}"/>
    <cellStyle name="Normal 9 4 4" xfId="38570" xr:uid="{00000000-0005-0000-0000-0000109A0000}"/>
    <cellStyle name="Normal 9 4 4 2" xfId="38571" xr:uid="{00000000-0005-0000-0000-0000119A0000}"/>
    <cellStyle name="Normal 9 4 4 3" xfId="38572" xr:uid="{00000000-0005-0000-0000-0000129A0000}"/>
    <cellStyle name="Normal 9 4 4 4" xfId="38573" xr:uid="{00000000-0005-0000-0000-0000139A0000}"/>
    <cellStyle name="Normal 9 4 4 5" xfId="38574" xr:uid="{00000000-0005-0000-0000-0000149A0000}"/>
    <cellStyle name="Normal 9 4 4 6" xfId="38575" xr:uid="{00000000-0005-0000-0000-0000159A0000}"/>
    <cellStyle name="Normal 9 4 5" xfId="38576" xr:uid="{00000000-0005-0000-0000-0000169A0000}"/>
    <cellStyle name="Normal 9 4 5 2" xfId="38577" xr:uid="{00000000-0005-0000-0000-0000179A0000}"/>
    <cellStyle name="Normal 9 4 5 3" xfId="38578" xr:uid="{00000000-0005-0000-0000-0000189A0000}"/>
    <cellStyle name="Normal 9 4 5 4" xfId="38579" xr:uid="{00000000-0005-0000-0000-0000199A0000}"/>
    <cellStyle name="Normal 9 4 5 5" xfId="38580" xr:uid="{00000000-0005-0000-0000-00001A9A0000}"/>
    <cellStyle name="Normal 9 4 5 6" xfId="38581" xr:uid="{00000000-0005-0000-0000-00001B9A0000}"/>
    <cellStyle name="Normal 9 4 6" xfId="38582" xr:uid="{00000000-0005-0000-0000-00001C9A0000}"/>
    <cellStyle name="Normal 9 4 6 2" xfId="38583" xr:uid="{00000000-0005-0000-0000-00001D9A0000}"/>
    <cellStyle name="Normal 9 4 6 3" xfId="38584" xr:uid="{00000000-0005-0000-0000-00001E9A0000}"/>
    <cellStyle name="Normal 9 4 6 4" xfId="38585" xr:uid="{00000000-0005-0000-0000-00001F9A0000}"/>
    <cellStyle name="Normal 9 4 6 5" xfId="38586" xr:uid="{00000000-0005-0000-0000-0000209A0000}"/>
    <cellStyle name="Normal 9 4 6 6" xfId="38587" xr:uid="{00000000-0005-0000-0000-0000219A0000}"/>
    <cellStyle name="Normal 9 4 7" xfId="38588" xr:uid="{00000000-0005-0000-0000-0000229A0000}"/>
    <cellStyle name="Normal 9 4 7 2" xfId="38589" xr:uid="{00000000-0005-0000-0000-0000239A0000}"/>
    <cellStyle name="Normal 9 4 7 3" xfId="38590" xr:uid="{00000000-0005-0000-0000-0000249A0000}"/>
    <cellStyle name="Normal 9 4 7 4" xfId="38591" xr:uid="{00000000-0005-0000-0000-0000259A0000}"/>
    <cellStyle name="Normal 9 4 7 5" xfId="38592" xr:uid="{00000000-0005-0000-0000-0000269A0000}"/>
    <cellStyle name="Normal 9 4 7 6" xfId="38593" xr:uid="{00000000-0005-0000-0000-0000279A0000}"/>
    <cellStyle name="Normal 9 4 8" xfId="38594" xr:uid="{00000000-0005-0000-0000-0000289A0000}"/>
    <cellStyle name="Normal 9 4 8 2" xfId="38595" xr:uid="{00000000-0005-0000-0000-0000299A0000}"/>
    <cellStyle name="Normal 9 4 8 3" xfId="38596" xr:uid="{00000000-0005-0000-0000-00002A9A0000}"/>
    <cellStyle name="Normal 9 4 8 4" xfId="38597" xr:uid="{00000000-0005-0000-0000-00002B9A0000}"/>
    <cellStyle name="Normal 9 4 8 5" xfId="38598" xr:uid="{00000000-0005-0000-0000-00002C9A0000}"/>
    <cellStyle name="Normal 9 4 8 6" xfId="38599" xr:uid="{00000000-0005-0000-0000-00002D9A0000}"/>
    <cellStyle name="Normal 9 4 9" xfId="38600" xr:uid="{00000000-0005-0000-0000-00002E9A0000}"/>
    <cellStyle name="Normal 9 40" xfId="38601" xr:uid="{00000000-0005-0000-0000-00002F9A0000}"/>
    <cellStyle name="Normal 9 40 2" xfId="38602" xr:uid="{00000000-0005-0000-0000-0000309A0000}"/>
    <cellStyle name="Normal 9 40 3" xfId="38603" xr:uid="{00000000-0005-0000-0000-0000319A0000}"/>
    <cellStyle name="Normal 9 40 4" xfId="38604" xr:uid="{00000000-0005-0000-0000-0000329A0000}"/>
    <cellStyle name="Normal 9 40 5" xfId="38605" xr:uid="{00000000-0005-0000-0000-0000339A0000}"/>
    <cellStyle name="Normal 9 40 6" xfId="38606" xr:uid="{00000000-0005-0000-0000-0000349A0000}"/>
    <cellStyle name="Normal 9 41" xfId="38607" xr:uid="{00000000-0005-0000-0000-0000359A0000}"/>
    <cellStyle name="Normal 9 42" xfId="38608" xr:uid="{00000000-0005-0000-0000-0000369A0000}"/>
    <cellStyle name="Normal 9 43" xfId="38609" xr:uid="{00000000-0005-0000-0000-0000379A0000}"/>
    <cellStyle name="Normal 9 44" xfId="38610" xr:uid="{00000000-0005-0000-0000-0000389A0000}"/>
    <cellStyle name="Normal 9 45" xfId="38611" xr:uid="{00000000-0005-0000-0000-0000399A0000}"/>
    <cellStyle name="Normal 9 46" xfId="38612" xr:uid="{00000000-0005-0000-0000-00003A9A0000}"/>
    <cellStyle name="Normal 9 5" xfId="38613" xr:uid="{00000000-0005-0000-0000-00003B9A0000}"/>
    <cellStyle name="Normal 9 5 10" xfId="38614" xr:uid="{00000000-0005-0000-0000-00003C9A0000}"/>
    <cellStyle name="Normal 9 5 11" xfId="38615" xr:uid="{00000000-0005-0000-0000-00003D9A0000}"/>
    <cellStyle name="Normal 9 5 12" xfId="38616" xr:uid="{00000000-0005-0000-0000-00003E9A0000}"/>
    <cellStyle name="Normal 9 5 13" xfId="38617" xr:uid="{00000000-0005-0000-0000-00003F9A0000}"/>
    <cellStyle name="Normal 9 5 2" xfId="38618" xr:uid="{00000000-0005-0000-0000-0000409A0000}"/>
    <cellStyle name="Normal 9 5 2 2" xfId="38619" xr:uid="{00000000-0005-0000-0000-0000419A0000}"/>
    <cellStyle name="Normal 9 5 2 3" xfId="38620" xr:uid="{00000000-0005-0000-0000-0000429A0000}"/>
    <cellStyle name="Normal 9 5 2 4" xfId="38621" xr:uid="{00000000-0005-0000-0000-0000439A0000}"/>
    <cellStyle name="Normal 9 5 2 5" xfId="38622" xr:uid="{00000000-0005-0000-0000-0000449A0000}"/>
    <cellStyle name="Normal 9 5 2 6" xfId="38623" xr:uid="{00000000-0005-0000-0000-0000459A0000}"/>
    <cellStyle name="Normal 9 5 3" xfId="38624" xr:uid="{00000000-0005-0000-0000-0000469A0000}"/>
    <cellStyle name="Normal 9 5 3 2" xfId="38625" xr:uid="{00000000-0005-0000-0000-0000479A0000}"/>
    <cellStyle name="Normal 9 5 3 3" xfId="38626" xr:uid="{00000000-0005-0000-0000-0000489A0000}"/>
    <cellStyle name="Normal 9 5 3 4" xfId="38627" xr:uid="{00000000-0005-0000-0000-0000499A0000}"/>
    <cellStyle name="Normal 9 5 3 5" xfId="38628" xr:uid="{00000000-0005-0000-0000-00004A9A0000}"/>
    <cellStyle name="Normal 9 5 3 6" xfId="38629" xr:uid="{00000000-0005-0000-0000-00004B9A0000}"/>
    <cellStyle name="Normal 9 5 4" xfId="38630" xr:uid="{00000000-0005-0000-0000-00004C9A0000}"/>
    <cellStyle name="Normal 9 5 4 2" xfId="38631" xr:uid="{00000000-0005-0000-0000-00004D9A0000}"/>
    <cellStyle name="Normal 9 5 4 3" xfId="38632" xr:uid="{00000000-0005-0000-0000-00004E9A0000}"/>
    <cellStyle name="Normal 9 5 4 4" xfId="38633" xr:uid="{00000000-0005-0000-0000-00004F9A0000}"/>
    <cellStyle name="Normal 9 5 4 5" xfId="38634" xr:uid="{00000000-0005-0000-0000-0000509A0000}"/>
    <cellStyle name="Normal 9 5 4 6" xfId="38635" xr:uid="{00000000-0005-0000-0000-0000519A0000}"/>
    <cellStyle name="Normal 9 5 5" xfId="38636" xr:uid="{00000000-0005-0000-0000-0000529A0000}"/>
    <cellStyle name="Normal 9 5 5 2" xfId="38637" xr:uid="{00000000-0005-0000-0000-0000539A0000}"/>
    <cellStyle name="Normal 9 5 5 3" xfId="38638" xr:uid="{00000000-0005-0000-0000-0000549A0000}"/>
    <cellStyle name="Normal 9 5 5 4" xfId="38639" xr:uid="{00000000-0005-0000-0000-0000559A0000}"/>
    <cellStyle name="Normal 9 5 5 5" xfId="38640" xr:uid="{00000000-0005-0000-0000-0000569A0000}"/>
    <cellStyle name="Normal 9 5 5 6" xfId="38641" xr:uid="{00000000-0005-0000-0000-0000579A0000}"/>
    <cellStyle name="Normal 9 5 6" xfId="38642" xr:uid="{00000000-0005-0000-0000-0000589A0000}"/>
    <cellStyle name="Normal 9 5 6 2" xfId="38643" xr:uid="{00000000-0005-0000-0000-0000599A0000}"/>
    <cellStyle name="Normal 9 5 6 3" xfId="38644" xr:uid="{00000000-0005-0000-0000-00005A9A0000}"/>
    <cellStyle name="Normal 9 5 6 4" xfId="38645" xr:uid="{00000000-0005-0000-0000-00005B9A0000}"/>
    <cellStyle name="Normal 9 5 6 5" xfId="38646" xr:uid="{00000000-0005-0000-0000-00005C9A0000}"/>
    <cellStyle name="Normal 9 5 6 6" xfId="38647" xr:uid="{00000000-0005-0000-0000-00005D9A0000}"/>
    <cellStyle name="Normal 9 5 7" xfId="38648" xr:uid="{00000000-0005-0000-0000-00005E9A0000}"/>
    <cellStyle name="Normal 9 5 7 2" xfId="38649" xr:uid="{00000000-0005-0000-0000-00005F9A0000}"/>
    <cellStyle name="Normal 9 5 7 3" xfId="38650" xr:uid="{00000000-0005-0000-0000-0000609A0000}"/>
    <cellStyle name="Normal 9 5 7 4" xfId="38651" xr:uid="{00000000-0005-0000-0000-0000619A0000}"/>
    <cellStyle name="Normal 9 5 7 5" xfId="38652" xr:uid="{00000000-0005-0000-0000-0000629A0000}"/>
    <cellStyle name="Normal 9 5 7 6" xfId="38653" xr:uid="{00000000-0005-0000-0000-0000639A0000}"/>
    <cellStyle name="Normal 9 5 8" xfId="38654" xr:uid="{00000000-0005-0000-0000-0000649A0000}"/>
    <cellStyle name="Normal 9 5 8 2" xfId="38655" xr:uid="{00000000-0005-0000-0000-0000659A0000}"/>
    <cellStyle name="Normal 9 5 8 3" xfId="38656" xr:uid="{00000000-0005-0000-0000-0000669A0000}"/>
    <cellStyle name="Normal 9 5 8 4" xfId="38657" xr:uid="{00000000-0005-0000-0000-0000679A0000}"/>
    <cellStyle name="Normal 9 5 8 5" xfId="38658" xr:uid="{00000000-0005-0000-0000-0000689A0000}"/>
    <cellStyle name="Normal 9 5 8 6" xfId="38659" xr:uid="{00000000-0005-0000-0000-0000699A0000}"/>
    <cellStyle name="Normal 9 5 9" xfId="38660" xr:uid="{00000000-0005-0000-0000-00006A9A0000}"/>
    <cellStyle name="Normal 9 6" xfId="38661" xr:uid="{00000000-0005-0000-0000-00006B9A0000}"/>
    <cellStyle name="Normal 9 6 10" xfId="38662" xr:uid="{00000000-0005-0000-0000-00006C9A0000}"/>
    <cellStyle name="Normal 9 6 11" xfId="38663" xr:uid="{00000000-0005-0000-0000-00006D9A0000}"/>
    <cellStyle name="Normal 9 6 12" xfId="38664" xr:uid="{00000000-0005-0000-0000-00006E9A0000}"/>
    <cellStyle name="Normal 9 6 13" xfId="38665" xr:uid="{00000000-0005-0000-0000-00006F9A0000}"/>
    <cellStyle name="Normal 9 6 2" xfId="38666" xr:uid="{00000000-0005-0000-0000-0000709A0000}"/>
    <cellStyle name="Normal 9 6 2 2" xfId="38667" xr:uid="{00000000-0005-0000-0000-0000719A0000}"/>
    <cellStyle name="Normal 9 6 2 3" xfId="38668" xr:uid="{00000000-0005-0000-0000-0000729A0000}"/>
    <cellStyle name="Normal 9 6 2 4" xfId="38669" xr:uid="{00000000-0005-0000-0000-0000739A0000}"/>
    <cellStyle name="Normal 9 6 2 5" xfId="38670" xr:uid="{00000000-0005-0000-0000-0000749A0000}"/>
    <cellStyle name="Normal 9 6 2 6" xfId="38671" xr:uid="{00000000-0005-0000-0000-0000759A0000}"/>
    <cellStyle name="Normal 9 6 3" xfId="38672" xr:uid="{00000000-0005-0000-0000-0000769A0000}"/>
    <cellStyle name="Normal 9 6 3 2" xfId="38673" xr:uid="{00000000-0005-0000-0000-0000779A0000}"/>
    <cellStyle name="Normal 9 6 3 3" xfId="38674" xr:uid="{00000000-0005-0000-0000-0000789A0000}"/>
    <cellStyle name="Normal 9 6 3 4" xfId="38675" xr:uid="{00000000-0005-0000-0000-0000799A0000}"/>
    <cellStyle name="Normal 9 6 3 5" xfId="38676" xr:uid="{00000000-0005-0000-0000-00007A9A0000}"/>
    <cellStyle name="Normal 9 6 3 6" xfId="38677" xr:uid="{00000000-0005-0000-0000-00007B9A0000}"/>
    <cellStyle name="Normal 9 6 4" xfId="38678" xr:uid="{00000000-0005-0000-0000-00007C9A0000}"/>
    <cellStyle name="Normal 9 6 4 2" xfId="38679" xr:uid="{00000000-0005-0000-0000-00007D9A0000}"/>
    <cellStyle name="Normal 9 6 4 3" xfId="38680" xr:uid="{00000000-0005-0000-0000-00007E9A0000}"/>
    <cellStyle name="Normal 9 6 4 4" xfId="38681" xr:uid="{00000000-0005-0000-0000-00007F9A0000}"/>
    <cellStyle name="Normal 9 6 4 5" xfId="38682" xr:uid="{00000000-0005-0000-0000-0000809A0000}"/>
    <cellStyle name="Normal 9 6 4 6" xfId="38683" xr:uid="{00000000-0005-0000-0000-0000819A0000}"/>
    <cellStyle name="Normal 9 6 5" xfId="38684" xr:uid="{00000000-0005-0000-0000-0000829A0000}"/>
    <cellStyle name="Normal 9 6 5 2" xfId="38685" xr:uid="{00000000-0005-0000-0000-0000839A0000}"/>
    <cellStyle name="Normal 9 6 5 3" xfId="38686" xr:uid="{00000000-0005-0000-0000-0000849A0000}"/>
    <cellStyle name="Normal 9 6 5 4" xfId="38687" xr:uid="{00000000-0005-0000-0000-0000859A0000}"/>
    <cellStyle name="Normal 9 6 5 5" xfId="38688" xr:uid="{00000000-0005-0000-0000-0000869A0000}"/>
    <cellStyle name="Normal 9 6 5 6" xfId="38689" xr:uid="{00000000-0005-0000-0000-0000879A0000}"/>
    <cellStyle name="Normal 9 6 6" xfId="38690" xr:uid="{00000000-0005-0000-0000-0000889A0000}"/>
    <cellStyle name="Normal 9 6 6 2" xfId="38691" xr:uid="{00000000-0005-0000-0000-0000899A0000}"/>
    <cellStyle name="Normal 9 6 6 3" xfId="38692" xr:uid="{00000000-0005-0000-0000-00008A9A0000}"/>
    <cellStyle name="Normal 9 6 6 4" xfId="38693" xr:uid="{00000000-0005-0000-0000-00008B9A0000}"/>
    <cellStyle name="Normal 9 6 6 5" xfId="38694" xr:uid="{00000000-0005-0000-0000-00008C9A0000}"/>
    <cellStyle name="Normal 9 6 6 6" xfId="38695" xr:uid="{00000000-0005-0000-0000-00008D9A0000}"/>
    <cellStyle name="Normal 9 6 7" xfId="38696" xr:uid="{00000000-0005-0000-0000-00008E9A0000}"/>
    <cellStyle name="Normal 9 6 7 2" xfId="38697" xr:uid="{00000000-0005-0000-0000-00008F9A0000}"/>
    <cellStyle name="Normal 9 6 7 3" xfId="38698" xr:uid="{00000000-0005-0000-0000-0000909A0000}"/>
    <cellStyle name="Normal 9 6 7 4" xfId="38699" xr:uid="{00000000-0005-0000-0000-0000919A0000}"/>
    <cellStyle name="Normal 9 6 7 5" xfId="38700" xr:uid="{00000000-0005-0000-0000-0000929A0000}"/>
    <cellStyle name="Normal 9 6 7 6" xfId="38701" xr:uid="{00000000-0005-0000-0000-0000939A0000}"/>
    <cellStyle name="Normal 9 6 8" xfId="38702" xr:uid="{00000000-0005-0000-0000-0000949A0000}"/>
    <cellStyle name="Normal 9 6 8 2" xfId="38703" xr:uid="{00000000-0005-0000-0000-0000959A0000}"/>
    <cellStyle name="Normal 9 6 8 3" xfId="38704" xr:uid="{00000000-0005-0000-0000-0000969A0000}"/>
    <cellStyle name="Normal 9 6 8 4" xfId="38705" xr:uid="{00000000-0005-0000-0000-0000979A0000}"/>
    <cellStyle name="Normal 9 6 8 5" xfId="38706" xr:uid="{00000000-0005-0000-0000-0000989A0000}"/>
    <cellStyle name="Normal 9 6 8 6" xfId="38707" xr:uid="{00000000-0005-0000-0000-0000999A0000}"/>
    <cellStyle name="Normal 9 6 9" xfId="38708" xr:uid="{00000000-0005-0000-0000-00009A9A0000}"/>
    <cellStyle name="Normal 9 7" xfId="38709" xr:uid="{00000000-0005-0000-0000-00009B9A0000}"/>
    <cellStyle name="Normal 9 7 10" xfId="38710" xr:uid="{00000000-0005-0000-0000-00009C9A0000}"/>
    <cellStyle name="Normal 9 7 11" xfId="38711" xr:uid="{00000000-0005-0000-0000-00009D9A0000}"/>
    <cellStyle name="Normal 9 7 12" xfId="38712" xr:uid="{00000000-0005-0000-0000-00009E9A0000}"/>
    <cellStyle name="Normal 9 7 13" xfId="38713" xr:uid="{00000000-0005-0000-0000-00009F9A0000}"/>
    <cellStyle name="Normal 9 7 2" xfId="38714" xr:uid="{00000000-0005-0000-0000-0000A09A0000}"/>
    <cellStyle name="Normal 9 7 2 2" xfId="38715" xr:uid="{00000000-0005-0000-0000-0000A19A0000}"/>
    <cellStyle name="Normal 9 7 2 3" xfId="38716" xr:uid="{00000000-0005-0000-0000-0000A29A0000}"/>
    <cellStyle name="Normal 9 7 2 4" xfId="38717" xr:uid="{00000000-0005-0000-0000-0000A39A0000}"/>
    <cellStyle name="Normal 9 7 2 5" xfId="38718" xr:uid="{00000000-0005-0000-0000-0000A49A0000}"/>
    <cellStyle name="Normal 9 7 2 6" xfId="38719" xr:uid="{00000000-0005-0000-0000-0000A59A0000}"/>
    <cellStyle name="Normal 9 7 3" xfId="38720" xr:uid="{00000000-0005-0000-0000-0000A69A0000}"/>
    <cellStyle name="Normal 9 7 3 2" xfId="38721" xr:uid="{00000000-0005-0000-0000-0000A79A0000}"/>
    <cellStyle name="Normal 9 7 3 3" xfId="38722" xr:uid="{00000000-0005-0000-0000-0000A89A0000}"/>
    <cellStyle name="Normal 9 7 3 4" xfId="38723" xr:uid="{00000000-0005-0000-0000-0000A99A0000}"/>
    <cellStyle name="Normal 9 7 3 5" xfId="38724" xr:uid="{00000000-0005-0000-0000-0000AA9A0000}"/>
    <cellStyle name="Normal 9 7 3 6" xfId="38725" xr:uid="{00000000-0005-0000-0000-0000AB9A0000}"/>
    <cellStyle name="Normal 9 7 4" xfId="38726" xr:uid="{00000000-0005-0000-0000-0000AC9A0000}"/>
    <cellStyle name="Normal 9 7 4 2" xfId="38727" xr:uid="{00000000-0005-0000-0000-0000AD9A0000}"/>
    <cellStyle name="Normal 9 7 4 3" xfId="38728" xr:uid="{00000000-0005-0000-0000-0000AE9A0000}"/>
    <cellStyle name="Normal 9 7 4 4" xfId="38729" xr:uid="{00000000-0005-0000-0000-0000AF9A0000}"/>
    <cellStyle name="Normal 9 7 4 5" xfId="38730" xr:uid="{00000000-0005-0000-0000-0000B09A0000}"/>
    <cellStyle name="Normal 9 7 4 6" xfId="38731" xr:uid="{00000000-0005-0000-0000-0000B19A0000}"/>
    <cellStyle name="Normal 9 7 5" xfId="38732" xr:uid="{00000000-0005-0000-0000-0000B29A0000}"/>
    <cellStyle name="Normal 9 7 5 2" xfId="38733" xr:uid="{00000000-0005-0000-0000-0000B39A0000}"/>
    <cellStyle name="Normal 9 7 5 3" xfId="38734" xr:uid="{00000000-0005-0000-0000-0000B49A0000}"/>
    <cellStyle name="Normal 9 7 5 4" xfId="38735" xr:uid="{00000000-0005-0000-0000-0000B59A0000}"/>
    <cellStyle name="Normal 9 7 5 5" xfId="38736" xr:uid="{00000000-0005-0000-0000-0000B69A0000}"/>
    <cellStyle name="Normal 9 7 5 6" xfId="38737" xr:uid="{00000000-0005-0000-0000-0000B79A0000}"/>
    <cellStyle name="Normal 9 7 6" xfId="38738" xr:uid="{00000000-0005-0000-0000-0000B89A0000}"/>
    <cellStyle name="Normal 9 7 6 2" xfId="38739" xr:uid="{00000000-0005-0000-0000-0000B99A0000}"/>
    <cellStyle name="Normal 9 7 6 3" xfId="38740" xr:uid="{00000000-0005-0000-0000-0000BA9A0000}"/>
    <cellStyle name="Normal 9 7 6 4" xfId="38741" xr:uid="{00000000-0005-0000-0000-0000BB9A0000}"/>
    <cellStyle name="Normal 9 7 6 5" xfId="38742" xr:uid="{00000000-0005-0000-0000-0000BC9A0000}"/>
    <cellStyle name="Normal 9 7 6 6" xfId="38743" xr:uid="{00000000-0005-0000-0000-0000BD9A0000}"/>
    <cellStyle name="Normal 9 7 7" xfId="38744" xr:uid="{00000000-0005-0000-0000-0000BE9A0000}"/>
    <cellStyle name="Normal 9 7 7 2" xfId="38745" xr:uid="{00000000-0005-0000-0000-0000BF9A0000}"/>
    <cellStyle name="Normal 9 7 7 3" xfId="38746" xr:uid="{00000000-0005-0000-0000-0000C09A0000}"/>
    <cellStyle name="Normal 9 7 7 4" xfId="38747" xr:uid="{00000000-0005-0000-0000-0000C19A0000}"/>
    <cellStyle name="Normal 9 7 7 5" xfId="38748" xr:uid="{00000000-0005-0000-0000-0000C29A0000}"/>
    <cellStyle name="Normal 9 7 7 6" xfId="38749" xr:uid="{00000000-0005-0000-0000-0000C39A0000}"/>
    <cellStyle name="Normal 9 7 8" xfId="38750" xr:uid="{00000000-0005-0000-0000-0000C49A0000}"/>
    <cellStyle name="Normal 9 7 8 2" xfId="38751" xr:uid="{00000000-0005-0000-0000-0000C59A0000}"/>
    <cellStyle name="Normal 9 7 8 3" xfId="38752" xr:uid="{00000000-0005-0000-0000-0000C69A0000}"/>
    <cellStyle name="Normal 9 7 8 4" xfId="38753" xr:uid="{00000000-0005-0000-0000-0000C79A0000}"/>
    <cellStyle name="Normal 9 7 8 5" xfId="38754" xr:uid="{00000000-0005-0000-0000-0000C89A0000}"/>
    <cellStyle name="Normal 9 7 8 6" xfId="38755" xr:uid="{00000000-0005-0000-0000-0000C99A0000}"/>
    <cellStyle name="Normal 9 7 9" xfId="38756" xr:uid="{00000000-0005-0000-0000-0000CA9A0000}"/>
    <cellStyle name="Normal 9 8" xfId="38757" xr:uid="{00000000-0005-0000-0000-0000CB9A0000}"/>
    <cellStyle name="Normal 9 8 10" xfId="38758" xr:uid="{00000000-0005-0000-0000-0000CC9A0000}"/>
    <cellStyle name="Normal 9 8 11" xfId="38759" xr:uid="{00000000-0005-0000-0000-0000CD9A0000}"/>
    <cellStyle name="Normal 9 8 12" xfId="38760" xr:uid="{00000000-0005-0000-0000-0000CE9A0000}"/>
    <cellStyle name="Normal 9 8 13" xfId="38761" xr:uid="{00000000-0005-0000-0000-0000CF9A0000}"/>
    <cellStyle name="Normal 9 8 2" xfId="38762" xr:uid="{00000000-0005-0000-0000-0000D09A0000}"/>
    <cellStyle name="Normal 9 8 2 2" xfId="38763" xr:uid="{00000000-0005-0000-0000-0000D19A0000}"/>
    <cellStyle name="Normal 9 8 2 3" xfId="38764" xr:uid="{00000000-0005-0000-0000-0000D29A0000}"/>
    <cellStyle name="Normal 9 8 2 4" xfId="38765" xr:uid="{00000000-0005-0000-0000-0000D39A0000}"/>
    <cellStyle name="Normal 9 8 2 5" xfId="38766" xr:uid="{00000000-0005-0000-0000-0000D49A0000}"/>
    <cellStyle name="Normal 9 8 2 6" xfId="38767" xr:uid="{00000000-0005-0000-0000-0000D59A0000}"/>
    <cellStyle name="Normal 9 8 3" xfId="38768" xr:uid="{00000000-0005-0000-0000-0000D69A0000}"/>
    <cellStyle name="Normal 9 8 3 2" xfId="38769" xr:uid="{00000000-0005-0000-0000-0000D79A0000}"/>
    <cellStyle name="Normal 9 8 3 3" xfId="38770" xr:uid="{00000000-0005-0000-0000-0000D89A0000}"/>
    <cellStyle name="Normal 9 8 3 4" xfId="38771" xr:uid="{00000000-0005-0000-0000-0000D99A0000}"/>
    <cellStyle name="Normal 9 8 3 5" xfId="38772" xr:uid="{00000000-0005-0000-0000-0000DA9A0000}"/>
    <cellStyle name="Normal 9 8 3 6" xfId="38773" xr:uid="{00000000-0005-0000-0000-0000DB9A0000}"/>
    <cellStyle name="Normal 9 8 4" xfId="38774" xr:uid="{00000000-0005-0000-0000-0000DC9A0000}"/>
    <cellStyle name="Normal 9 8 4 2" xfId="38775" xr:uid="{00000000-0005-0000-0000-0000DD9A0000}"/>
    <cellStyle name="Normal 9 8 4 3" xfId="38776" xr:uid="{00000000-0005-0000-0000-0000DE9A0000}"/>
    <cellStyle name="Normal 9 8 4 4" xfId="38777" xr:uid="{00000000-0005-0000-0000-0000DF9A0000}"/>
    <cellStyle name="Normal 9 8 4 5" xfId="38778" xr:uid="{00000000-0005-0000-0000-0000E09A0000}"/>
    <cellStyle name="Normal 9 8 4 6" xfId="38779" xr:uid="{00000000-0005-0000-0000-0000E19A0000}"/>
    <cellStyle name="Normal 9 8 5" xfId="38780" xr:uid="{00000000-0005-0000-0000-0000E29A0000}"/>
    <cellStyle name="Normal 9 8 5 2" xfId="38781" xr:uid="{00000000-0005-0000-0000-0000E39A0000}"/>
    <cellStyle name="Normal 9 8 5 3" xfId="38782" xr:uid="{00000000-0005-0000-0000-0000E49A0000}"/>
    <cellStyle name="Normal 9 8 5 4" xfId="38783" xr:uid="{00000000-0005-0000-0000-0000E59A0000}"/>
    <cellStyle name="Normal 9 8 5 5" xfId="38784" xr:uid="{00000000-0005-0000-0000-0000E69A0000}"/>
    <cellStyle name="Normal 9 8 5 6" xfId="38785" xr:uid="{00000000-0005-0000-0000-0000E79A0000}"/>
    <cellStyle name="Normal 9 8 6" xfId="38786" xr:uid="{00000000-0005-0000-0000-0000E89A0000}"/>
    <cellStyle name="Normal 9 8 6 2" xfId="38787" xr:uid="{00000000-0005-0000-0000-0000E99A0000}"/>
    <cellStyle name="Normal 9 8 6 3" xfId="38788" xr:uid="{00000000-0005-0000-0000-0000EA9A0000}"/>
    <cellStyle name="Normal 9 8 6 4" xfId="38789" xr:uid="{00000000-0005-0000-0000-0000EB9A0000}"/>
    <cellStyle name="Normal 9 8 6 5" xfId="38790" xr:uid="{00000000-0005-0000-0000-0000EC9A0000}"/>
    <cellStyle name="Normal 9 8 6 6" xfId="38791" xr:uid="{00000000-0005-0000-0000-0000ED9A0000}"/>
    <cellStyle name="Normal 9 8 7" xfId="38792" xr:uid="{00000000-0005-0000-0000-0000EE9A0000}"/>
    <cellStyle name="Normal 9 8 7 2" xfId="38793" xr:uid="{00000000-0005-0000-0000-0000EF9A0000}"/>
    <cellStyle name="Normal 9 8 7 3" xfId="38794" xr:uid="{00000000-0005-0000-0000-0000F09A0000}"/>
    <cellStyle name="Normal 9 8 7 4" xfId="38795" xr:uid="{00000000-0005-0000-0000-0000F19A0000}"/>
    <cellStyle name="Normal 9 8 7 5" xfId="38796" xr:uid="{00000000-0005-0000-0000-0000F29A0000}"/>
    <cellStyle name="Normal 9 8 7 6" xfId="38797" xr:uid="{00000000-0005-0000-0000-0000F39A0000}"/>
    <cellStyle name="Normal 9 8 8" xfId="38798" xr:uid="{00000000-0005-0000-0000-0000F49A0000}"/>
    <cellStyle name="Normal 9 8 8 2" xfId="38799" xr:uid="{00000000-0005-0000-0000-0000F59A0000}"/>
    <cellStyle name="Normal 9 8 8 3" xfId="38800" xr:uid="{00000000-0005-0000-0000-0000F69A0000}"/>
    <cellStyle name="Normal 9 8 8 4" xfId="38801" xr:uid="{00000000-0005-0000-0000-0000F79A0000}"/>
    <cellStyle name="Normal 9 8 8 5" xfId="38802" xr:uid="{00000000-0005-0000-0000-0000F89A0000}"/>
    <cellStyle name="Normal 9 8 8 6" xfId="38803" xr:uid="{00000000-0005-0000-0000-0000F99A0000}"/>
    <cellStyle name="Normal 9 8 9" xfId="38804" xr:uid="{00000000-0005-0000-0000-0000FA9A0000}"/>
    <cellStyle name="Normal 9 9" xfId="38805" xr:uid="{00000000-0005-0000-0000-0000FB9A0000}"/>
    <cellStyle name="Normal 9 9 10" xfId="38806" xr:uid="{00000000-0005-0000-0000-0000FC9A0000}"/>
    <cellStyle name="Normal 9 9 11" xfId="38807" xr:uid="{00000000-0005-0000-0000-0000FD9A0000}"/>
    <cellStyle name="Normal 9 9 12" xfId="38808" xr:uid="{00000000-0005-0000-0000-0000FE9A0000}"/>
    <cellStyle name="Normal 9 9 13" xfId="38809" xr:uid="{00000000-0005-0000-0000-0000FF9A0000}"/>
    <cellStyle name="Normal 9 9 2" xfId="38810" xr:uid="{00000000-0005-0000-0000-0000009B0000}"/>
    <cellStyle name="Normal 9 9 2 2" xfId="38811" xr:uid="{00000000-0005-0000-0000-0000019B0000}"/>
    <cellStyle name="Normal 9 9 2 3" xfId="38812" xr:uid="{00000000-0005-0000-0000-0000029B0000}"/>
    <cellStyle name="Normal 9 9 2 4" xfId="38813" xr:uid="{00000000-0005-0000-0000-0000039B0000}"/>
    <cellStyle name="Normal 9 9 2 5" xfId="38814" xr:uid="{00000000-0005-0000-0000-0000049B0000}"/>
    <cellStyle name="Normal 9 9 2 6" xfId="38815" xr:uid="{00000000-0005-0000-0000-0000059B0000}"/>
    <cellStyle name="Normal 9 9 3" xfId="38816" xr:uid="{00000000-0005-0000-0000-0000069B0000}"/>
    <cellStyle name="Normal 9 9 3 2" xfId="38817" xr:uid="{00000000-0005-0000-0000-0000079B0000}"/>
    <cellStyle name="Normal 9 9 3 3" xfId="38818" xr:uid="{00000000-0005-0000-0000-0000089B0000}"/>
    <cellStyle name="Normal 9 9 3 4" xfId="38819" xr:uid="{00000000-0005-0000-0000-0000099B0000}"/>
    <cellStyle name="Normal 9 9 3 5" xfId="38820" xr:uid="{00000000-0005-0000-0000-00000A9B0000}"/>
    <cellStyle name="Normal 9 9 3 6" xfId="38821" xr:uid="{00000000-0005-0000-0000-00000B9B0000}"/>
    <cellStyle name="Normal 9 9 4" xfId="38822" xr:uid="{00000000-0005-0000-0000-00000C9B0000}"/>
    <cellStyle name="Normal 9 9 4 2" xfId="38823" xr:uid="{00000000-0005-0000-0000-00000D9B0000}"/>
    <cellStyle name="Normal 9 9 4 3" xfId="38824" xr:uid="{00000000-0005-0000-0000-00000E9B0000}"/>
    <cellStyle name="Normal 9 9 4 4" xfId="38825" xr:uid="{00000000-0005-0000-0000-00000F9B0000}"/>
    <cellStyle name="Normal 9 9 4 5" xfId="38826" xr:uid="{00000000-0005-0000-0000-0000109B0000}"/>
    <cellStyle name="Normal 9 9 4 6" xfId="38827" xr:uid="{00000000-0005-0000-0000-0000119B0000}"/>
    <cellStyle name="Normal 9 9 5" xfId="38828" xr:uid="{00000000-0005-0000-0000-0000129B0000}"/>
    <cellStyle name="Normal 9 9 5 2" xfId="38829" xr:uid="{00000000-0005-0000-0000-0000139B0000}"/>
    <cellStyle name="Normal 9 9 5 3" xfId="38830" xr:uid="{00000000-0005-0000-0000-0000149B0000}"/>
    <cellStyle name="Normal 9 9 5 4" xfId="38831" xr:uid="{00000000-0005-0000-0000-0000159B0000}"/>
    <cellStyle name="Normal 9 9 5 5" xfId="38832" xr:uid="{00000000-0005-0000-0000-0000169B0000}"/>
    <cellStyle name="Normal 9 9 5 6" xfId="38833" xr:uid="{00000000-0005-0000-0000-0000179B0000}"/>
    <cellStyle name="Normal 9 9 6" xfId="38834" xr:uid="{00000000-0005-0000-0000-0000189B0000}"/>
    <cellStyle name="Normal 9 9 6 2" xfId="38835" xr:uid="{00000000-0005-0000-0000-0000199B0000}"/>
    <cellStyle name="Normal 9 9 6 3" xfId="38836" xr:uid="{00000000-0005-0000-0000-00001A9B0000}"/>
    <cellStyle name="Normal 9 9 6 4" xfId="38837" xr:uid="{00000000-0005-0000-0000-00001B9B0000}"/>
    <cellStyle name="Normal 9 9 6 5" xfId="38838" xr:uid="{00000000-0005-0000-0000-00001C9B0000}"/>
    <cellStyle name="Normal 9 9 6 6" xfId="38839" xr:uid="{00000000-0005-0000-0000-00001D9B0000}"/>
    <cellStyle name="Normal 9 9 7" xfId="38840" xr:uid="{00000000-0005-0000-0000-00001E9B0000}"/>
    <cellStyle name="Normal 9 9 7 2" xfId="38841" xr:uid="{00000000-0005-0000-0000-00001F9B0000}"/>
    <cellStyle name="Normal 9 9 7 3" xfId="38842" xr:uid="{00000000-0005-0000-0000-0000209B0000}"/>
    <cellStyle name="Normal 9 9 7 4" xfId="38843" xr:uid="{00000000-0005-0000-0000-0000219B0000}"/>
    <cellStyle name="Normal 9 9 7 5" xfId="38844" xr:uid="{00000000-0005-0000-0000-0000229B0000}"/>
    <cellStyle name="Normal 9 9 7 6" xfId="38845" xr:uid="{00000000-0005-0000-0000-0000239B0000}"/>
    <cellStyle name="Normal 9 9 8" xfId="38846" xr:uid="{00000000-0005-0000-0000-0000249B0000}"/>
    <cellStyle name="Normal 9 9 8 2" xfId="38847" xr:uid="{00000000-0005-0000-0000-0000259B0000}"/>
    <cellStyle name="Normal 9 9 8 3" xfId="38848" xr:uid="{00000000-0005-0000-0000-0000269B0000}"/>
    <cellStyle name="Normal 9 9 8 4" xfId="38849" xr:uid="{00000000-0005-0000-0000-0000279B0000}"/>
    <cellStyle name="Normal 9 9 8 5" xfId="38850" xr:uid="{00000000-0005-0000-0000-0000289B0000}"/>
    <cellStyle name="Normal 9 9 8 6" xfId="38851" xr:uid="{00000000-0005-0000-0000-0000299B0000}"/>
    <cellStyle name="Normal 9 9 9" xfId="38852" xr:uid="{00000000-0005-0000-0000-00002A9B0000}"/>
    <cellStyle name="Normal 9_casulo 5" xfId="853" xr:uid="{00000000-0005-0000-0000-00002B9B0000}"/>
    <cellStyle name="Normal 90" xfId="38853" xr:uid="{00000000-0005-0000-0000-00002C9B0000}"/>
    <cellStyle name="Normal 91" xfId="38854" xr:uid="{00000000-0005-0000-0000-00002D9B0000}"/>
    <cellStyle name="Normal 92" xfId="38855" xr:uid="{00000000-0005-0000-0000-00002E9B0000}"/>
    <cellStyle name="Normal 93" xfId="38856" xr:uid="{00000000-0005-0000-0000-00002F9B0000}"/>
    <cellStyle name="Normal 94" xfId="38857" xr:uid="{00000000-0005-0000-0000-0000309B0000}"/>
    <cellStyle name="Normal 95" xfId="38858" xr:uid="{00000000-0005-0000-0000-0000319B0000}"/>
    <cellStyle name="Normal 96" xfId="38859" xr:uid="{00000000-0005-0000-0000-0000329B0000}"/>
    <cellStyle name="Normal 97" xfId="38860" xr:uid="{00000000-0005-0000-0000-0000339B0000}"/>
    <cellStyle name="Normal 98" xfId="38861" xr:uid="{00000000-0005-0000-0000-0000349B0000}"/>
    <cellStyle name="Normal 99" xfId="38862" xr:uid="{00000000-0005-0000-0000-0000359B0000}"/>
    <cellStyle name="Normal Bold" xfId="1683" xr:uid="{00000000-0005-0000-0000-0000369B0000}"/>
    <cellStyle name="Normal_4T10_Gráficos e Tabelas_CEMAR_Após_baixas_A&amp;P_Regulatórios_v2" xfId="14" xr:uid="{00000000-0005-0000-0000-0000379B0000}"/>
    <cellStyle name="Normal_AC 05.3 - Def Sign Acc's 2004 2" xfId="22" xr:uid="{00000000-0005-0000-0000-0000389B0000}"/>
    <cellStyle name="Normal_Cecrisa - DFC 31 12 2007" xfId="43989" xr:uid="{35F7EC33-76A6-400F-B63B-E6033814655F}"/>
    <cellStyle name="Normal_DFC - 062008_alessandra" xfId="43983" xr:uid="{00000000-0005-0000-0000-0000399B0000}"/>
    <cellStyle name="Normal_DMPL - MODELO - LEI DAS SAs" xfId="43990" xr:uid="{E65F165C-8838-4557-B968-FDE183E42AC6}"/>
    <cellStyle name="Normal_DMPL_SA_1208_DMPL_DMPL" xfId="43984" xr:uid="{00000000-0005-0000-0000-00003A9B0000}"/>
    <cellStyle name="Normal1" xfId="38863" xr:uid="{00000000-0005-0000-0000-00003B9B0000}"/>
    <cellStyle name="Normale_ cellular Costs" xfId="38864" xr:uid="{00000000-0005-0000-0000-00003C9B0000}"/>
    <cellStyle name="normální_Business Plan MCE" xfId="38865" xr:uid="{00000000-0005-0000-0000-00003D9B0000}"/>
    <cellStyle name="normбlnм_laroux" xfId="38866" xr:uid="{00000000-0005-0000-0000-00003E9B0000}"/>
    <cellStyle name="Nota 10" xfId="38867" xr:uid="{00000000-0005-0000-0000-00003F9B0000}"/>
    <cellStyle name="Nota 11" xfId="854" xr:uid="{00000000-0005-0000-0000-0000409B0000}"/>
    <cellStyle name="Nota 2" xfId="1096" xr:uid="{00000000-0005-0000-0000-0000419B0000}"/>
    <cellStyle name="Nota 2 10" xfId="43596" xr:uid="{00000000-0005-0000-0000-0000429B0000}"/>
    <cellStyle name="Nota 2 11" xfId="43597" xr:uid="{00000000-0005-0000-0000-0000439B0000}"/>
    <cellStyle name="Nota 2 12" xfId="43598" xr:uid="{00000000-0005-0000-0000-0000449B0000}"/>
    <cellStyle name="Nota 2 13" xfId="43599" xr:uid="{00000000-0005-0000-0000-0000459B0000}"/>
    <cellStyle name="Nota 2 14" xfId="43600" xr:uid="{00000000-0005-0000-0000-0000469B0000}"/>
    <cellStyle name="Nota 2 15" xfId="43601" xr:uid="{00000000-0005-0000-0000-0000479B0000}"/>
    <cellStyle name="Nota 2 16" xfId="43602" xr:uid="{00000000-0005-0000-0000-0000489B0000}"/>
    <cellStyle name="Nota 2 17" xfId="43603" xr:uid="{00000000-0005-0000-0000-0000499B0000}"/>
    <cellStyle name="Nota 2 18" xfId="43604" xr:uid="{00000000-0005-0000-0000-00004A9B0000}"/>
    <cellStyle name="Nota 2 19" xfId="43605" xr:uid="{00000000-0005-0000-0000-00004B9B0000}"/>
    <cellStyle name="Nota 2 2" xfId="38868" xr:uid="{00000000-0005-0000-0000-00004C9B0000}"/>
    <cellStyle name="Nota 2 20" xfId="43606" xr:uid="{00000000-0005-0000-0000-00004D9B0000}"/>
    <cellStyle name="Nota 2 21" xfId="43607" xr:uid="{00000000-0005-0000-0000-00004E9B0000}"/>
    <cellStyle name="Nota 2 22" xfId="43608" xr:uid="{00000000-0005-0000-0000-00004F9B0000}"/>
    <cellStyle name="Nota 2 23" xfId="43609" xr:uid="{00000000-0005-0000-0000-0000509B0000}"/>
    <cellStyle name="Nota 2 24" xfId="43610" xr:uid="{00000000-0005-0000-0000-0000519B0000}"/>
    <cellStyle name="Nota 2 25" xfId="43611" xr:uid="{00000000-0005-0000-0000-0000529B0000}"/>
    <cellStyle name="Nota 2 26" xfId="43612" xr:uid="{00000000-0005-0000-0000-0000539B0000}"/>
    <cellStyle name="Nota 2 27" xfId="43613" xr:uid="{00000000-0005-0000-0000-0000549B0000}"/>
    <cellStyle name="Nota 2 28" xfId="43614" xr:uid="{00000000-0005-0000-0000-0000559B0000}"/>
    <cellStyle name="Nota 2 29" xfId="43615" xr:uid="{00000000-0005-0000-0000-0000569B0000}"/>
    <cellStyle name="Nota 2 3" xfId="38869" xr:uid="{00000000-0005-0000-0000-0000579B0000}"/>
    <cellStyle name="Nota 2 4" xfId="38870" xr:uid="{00000000-0005-0000-0000-0000589B0000}"/>
    <cellStyle name="Nota 2 5" xfId="43616" xr:uid="{00000000-0005-0000-0000-0000599B0000}"/>
    <cellStyle name="Nota 2 6" xfId="43617" xr:uid="{00000000-0005-0000-0000-00005A9B0000}"/>
    <cellStyle name="Nota 2 7" xfId="43618" xr:uid="{00000000-0005-0000-0000-00005B9B0000}"/>
    <cellStyle name="Nota 2 8" xfId="43619" xr:uid="{00000000-0005-0000-0000-00005C9B0000}"/>
    <cellStyle name="Nota 2 9" xfId="43620" xr:uid="{00000000-0005-0000-0000-00005D9B0000}"/>
    <cellStyle name="Nota 3" xfId="1788" xr:uid="{00000000-0005-0000-0000-00005E9B0000}"/>
    <cellStyle name="Nota 3 10" xfId="43621" xr:uid="{00000000-0005-0000-0000-00005F9B0000}"/>
    <cellStyle name="Nota 3 11" xfId="43622" xr:uid="{00000000-0005-0000-0000-0000609B0000}"/>
    <cellStyle name="Nota 3 12" xfId="43623" xr:uid="{00000000-0005-0000-0000-0000619B0000}"/>
    <cellStyle name="Nota 3 13" xfId="43624" xr:uid="{00000000-0005-0000-0000-0000629B0000}"/>
    <cellStyle name="Nota 3 14" xfId="43625" xr:uid="{00000000-0005-0000-0000-0000639B0000}"/>
    <cellStyle name="Nota 3 15" xfId="43626" xr:uid="{00000000-0005-0000-0000-0000649B0000}"/>
    <cellStyle name="Nota 3 16" xfId="43627" xr:uid="{00000000-0005-0000-0000-0000659B0000}"/>
    <cellStyle name="Nota 3 17" xfId="43628" xr:uid="{00000000-0005-0000-0000-0000669B0000}"/>
    <cellStyle name="Nota 3 18" xfId="43629" xr:uid="{00000000-0005-0000-0000-0000679B0000}"/>
    <cellStyle name="Nota 3 19" xfId="43630" xr:uid="{00000000-0005-0000-0000-0000689B0000}"/>
    <cellStyle name="Nota 3 2" xfId="38871" xr:uid="{00000000-0005-0000-0000-0000699B0000}"/>
    <cellStyle name="Nota 3 20" xfId="43631" xr:uid="{00000000-0005-0000-0000-00006A9B0000}"/>
    <cellStyle name="Nota 3 21" xfId="43632" xr:uid="{00000000-0005-0000-0000-00006B9B0000}"/>
    <cellStyle name="Nota 3 22" xfId="43633" xr:uid="{00000000-0005-0000-0000-00006C9B0000}"/>
    <cellStyle name="Nota 3 23" xfId="43634" xr:uid="{00000000-0005-0000-0000-00006D9B0000}"/>
    <cellStyle name="Nota 3 24" xfId="43635" xr:uid="{00000000-0005-0000-0000-00006E9B0000}"/>
    <cellStyle name="Nota 3 25" xfId="43636" xr:uid="{00000000-0005-0000-0000-00006F9B0000}"/>
    <cellStyle name="Nota 3 26" xfId="43637" xr:uid="{00000000-0005-0000-0000-0000709B0000}"/>
    <cellStyle name="Nota 3 27" xfId="43638" xr:uid="{00000000-0005-0000-0000-0000719B0000}"/>
    <cellStyle name="Nota 3 28" xfId="43639" xr:uid="{00000000-0005-0000-0000-0000729B0000}"/>
    <cellStyle name="Nota 3 3" xfId="43640" xr:uid="{00000000-0005-0000-0000-0000739B0000}"/>
    <cellStyle name="Nota 3 4" xfId="43641" xr:uid="{00000000-0005-0000-0000-0000749B0000}"/>
    <cellStyle name="Nota 3 5" xfId="43642" xr:uid="{00000000-0005-0000-0000-0000759B0000}"/>
    <cellStyle name="Nota 3 6" xfId="43643" xr:uid="{00000000-0005-0000-0000-0000769B0000}"/>
    <cellStyle name="Nota 3 7" xfId="43644" xr:uid="{00000000-0005-0000-0000-0000779B0000}"/>
    <cellStyle name="Nota 3 8" xfId="43645" xr:uid="{00000000-0005-0000-0000-0000789B0000}"/>
    <cellStyle name="Nota 3 9" xfId="43646" xr:uid="{00000000-0005-0000-0000-0000799B0000}"/>
    <cellStyle name="Nota 4" xfId="38872" xr:uid="{00000000-0005-0000-0000-00007A9B0000}"/>
    <cellStyle name="Nota 4 10" xfId="43647" xr:uid="{00000000-0005-0000-0000-00007B9B0000}"/>
    <cellStyle name="Nota 4 11" xfId="43648" xr:uid="{00000000-0005-0000-0000-00007C9B0000}"/>
    <cellStyle name="Nota 4 12" xfId="43649" xr:uid="{00000000-0005-0000-0000-00007D9B0000}"/>
    <cellStyle name="Nota 4 13" xfId="43650" xr:uid="{00000000-0005-0000-0000-00007E9B0000}"/>
    <cellStyle name="Nota 4 14" xfId="43651" xr:uid="{00000000-0005-0000-0000-00007F9B0000}"/>
    <cellStyle name="Nota 4 15" xfId="43652" xr:uid="{00000000-0005-0000-0000-0000809B0000}"/>
    <cellStyle name="Nota 4 16" xfId="43653" xr:uid="{00000000-0005-0000-0000-0000819B0000}"/>
    <cellStyle name="Nota 4 17" xfId="43654" xr:uid="{00000000-0005-0000-0000-0000829B0000}"/>
    <cellStyle name="Nota 4 18" xfId="43655" xr:uid="{00000000-0005-0000-0000-0000839B0000}"/>
    <cellStyle name="Nota 4 19" xfId="43656" xr:uid="{00000000-0005-0000-0000-0000849B0000}"/>
    <cellStyle name="Nota 4 2" xfId="38873" xr:uid="{00000000-0005-0000-0000-0000859B0000}"/>
    <cellStyle name="Nota 4 20" xfId="43657" xr:uid="{00000000-0005-0000-0000-0000869B0000}"/>
    <cellStyle name="Nota 4 21" xfId="43658" xr:uid="{00000000-0005-0000-0000-0000879B0000}"/>
    <cellStyle name="Nota 4 22" xfId="43659" xr:uid="{00000000-0005-0000-0000-0000889B0000}"/>
    <cellStyle name="Nota 4 23" xfId="43660" xr:uid="{00000000-0005-0000-0000-0000899B0000}"/>
    <cellStyle name="Nota 4 24" xfId="43661" xr:uid="{00000000-0005-0000-0000-00008A9B0000}"/>
    <cellStyle name="Nota 4 25" xfId="43662" xr:uid="{00000000-0005-0000-0000-00008B9B0000}"/>
    <cellStyle name="Nota 4 26" xfId="43663" xr:uid="{00000000-0005-0000-0000-00008C9B0000}"/>
    <cellStyle name="Nota 4 27" xfId="43664" xr:uid="{00000000-0005-0000-0000-00008D9B0000}"/>
    <cellStyle name="Nota 4 28" xfId="43665" xr:uid="{00000000-0005-0000-0000-00008E9B0000}"/>
    <cellStyle name="Nota 4 3" xfId="43666" xr:uid="{00000000-0005-0000-0000-00008F9B0000}"/>
    <cellStyle name="Nota 4 4" xfId="43667" xr:uid="{00000000-0005-0000-0000-0000909B0000}"/>
    <cellStyle name="Nota 4 5" xfId="43668" xr:uid="{00000000-0005-0000-0000-0000919B0000}"/>
    <cellStyle name="Nota 4 6" xfId="43669" xr:uid="{00000000-0005-0000-0000-0000929B0000}"/>
    <cellStyle name="Nota 4 7" xfId="43670" xr:uid="{00000000-0005-0000-0000-0000939B0000}"/>
    <cellStyle name="Nota 4 8" xfId="43671" xr:uid="{00000000-0005-0000-0000-0000949B0000}"/>
    <cellStyle name="Nota 4 9" xfId="43672" xr:uid="{00000000-0005-0000-0000-0000959B0000}"/>
    <cellStyle name="Nota 5" xfId="38874" xr:uid="{00000000-0005-0000-0000-0000969B0000}"/>
    <cellStyle name="Nota 5 10" xfId="43673" xr:uid="{00000000-0005-0000-0000-0000979B0000}"/>
    <cellStyle name="Nota 5 11" xfId="43674" xr:uid="{00000000-0005-0000-0000-0000989B0000}"/>
    <cellStyle name="Nota 5 12" xfId="43675" xr:uid="{00000000-0005-0000-0000-0000999B0000}"/>
    <cellStyle name="Nota 5 13" xfId="43676" xr:uid="{00000000-0005-0000-0000-00009A9B0000}"/>
    <cellStyle name="Nota 5 14" xfId="43677" xr:uid="{00000000-0005-0000-0000-00009B9B0000}"/>
    <cellStyle name="Nota 5 15" xfId="43678" xr:uid="{00000000-0005-0000-0000-00009C9B0000}"/>
    <cellStyle name="Nota 5 16" xfId="43679" xr:uid="{00000000-0005-0000-0000-00009D9B0000}"/>
    <cellStyle name="Nota 5 17" xfId="43680" xr:uid="{00000000-0005-0000-0000-00009E9B0000}"/>
    <cellStyle name="Nota 5 18" xfId="43681" xr:uid="{00000000-0005-0000-0000-00009F9B0000}"/>
    <cellStyle name="Nota 5 19" xfId="43682" xr:uid="{00000000-0005-0000-0000-0000A09B0000}"/>
    <cellStyle name="Nota 5 2" xfId="43683" xr:uid="{00000000-0005-0000-0000-0000A19B0000}"/>
    <cellStyle name="Nota 5 20" xfId="43684" xr:uid="{00000000-0005-0000-0000-0000A29B0000}"/>
    <cellStyle name="Nota 5 21" xfId="43685" xr:uid="{00000000-0005-0000-0000-0000A39B0000}"/>
    <cellStyle name="Nota 5 22" xfId="43686" xr:uid="{00000000-0005-0000-0000-0000A49B0000}"/>
    <cellStyle name="Nota 5 23" xfId="43687" xr:uid="{00000000-0005-0000-0000-0000A59B0000}"/>
    <cellStyle name="Nota 5 24" xfId="43688" xr:uid="{00000000-0005-0000-0000-0000A69B0000}"/>
    <cellStyle name="Nota 5 25" xfId="43689" xr:uid="{00000000-0005-0000-0000-0000A79B0000}"/>
    <cellStyle name="Nota 5 26" xfId="43690" xr:uid="{00000000-0005-0000-0000-0000A89B0000}"/>
    <cellStyle name="Nota 5 27" xfId="43691" xr:uid="{00000000-0005-0000-0000-0000A99B0000}"/>
    <cellStyle name="Nota 5 28" xfId="43692" xr:uid="{00000000-0005-0000-0000-0000AA9B0000}"/>
    <cellStyle name="Nota 5 3" xfId="43693" xr:uid="{00000000-0005-0000-0000-0000AB9B0000}"/>
    <cellStyle name="Nota 5 4" xfId="43694" xr:uid="{00000000-0005-0000-0000-0000AC9B0000}"/>
    <cellStyle name="Nota 5 5" xfId="43695" xr:uid="{00000000-0005-0000-0000-0000AD9B0000}"/>
    <cellStyle name="Nota 5 6" xfId="43696" xr:uid="{00000000-0005-0000-0000-0000AE9B0000}"/>
    <cellStyle name="Nota 5 7" xfId="43697" xr:uid="{00000000-0005-0000-0000-0000AF9B0000}"/>
    <cellStyle name="Nota 5 8" xfId="43698" xr:uid="{00000000-0005-0000-0000-0000B09B0000}"/>
    <cellStyle name="Nota 5 9" xfId="43699" xr:uid="{00000000-0005-0000-0000-0000B19B0000}"/>
    <cellStyle name="Nota 6" xfId="38875" xr:uid="{00000000-0005-0000-0000-0000B29B0000}"/>
    <cellStyle name="Nota 6 10" xfId="43700" xr:uid="{00000000-0005-0000-0000-0000B39B0000}"/>
    <cellStyle name="Nota 6 11" xfId="43701" xr:uid="{00000000-0005-0000-0000-0000B49B0000}"/>
    <cellStyle name="Nota 6 12" xfId="43702" xr:uid="{00000000-0005-0000-0000-0000B59B0000}"/>
    <cellStyle name="Nota 6 13" xfId="43703" xr:uid="{00000000-0005-0000-0000-0000B69B0000}"/>
    <cellStyle name="Nota 6 14" xfId="43704" xr:uid="{00000000-0005-0000-0000-0000B79B0000}"/>
    <cellStyle name="Nota 6 15" xfId="43705" xr:uid="{00000000-0005-0000-0000-0000B89B0000}"/>
    <cellStyle name="Nota 6 16" xfId="43706" xr:uid="{00000000-0005-0000-0000-0000B99B0000}"/>
    <cellStyle name="Nota 6 17" xfId="43707" xr:uid="{00000000-0005-0000-0000-0000BA9B0000}"/>
    <cellStyle name="Nota 6 18" xfId="43708" xr:uid="{00000000-0005-0000-0000-0000BB9B0000}"/>
    <cellStyle name="Nota 6 19" xfId="43709" xr:uid="{00000000-0005-0000-0000-0000BC9B0000}"/>
    <cellStyle name="Nota 6 2" xfId="43710" xr:uid="{00000000-0005-0000-0000-0000BD9B0000}"/>
    <cellStyle name="Nota 6 20" xfId="43711" xr:uid="{00000000-0005-0000-0000-0000BE9B0000}"/>
    <cellStyle name="Nota 6 21" xfId="43712" xr:uid="{00000000-0005-0000-0000-0000BF9B0000}"/>
    <cellStyle name="Nota 6 22" xfId="43713" xr:uid="{00000000-0005-0000-0000-0000C09B0000}"/>
    <cellStyle name="Nota 6 23" xfId="43714" xr:uid="{00000000-0005-0000-0000-0000C19B0000}"/>
    <cellStyle name="Nota 6 24" xfId="43715" xr:uid="{00000000-0005-0000-0000-0000C29B0000}"/>
    <cellStyle name="Nota 6 25" xfId="43716" xr:uid="{00000000-0005-0000-0000-0000C39B0000}"/>
    <cellStyle name="Nota 6 26" xfId="43717" xr:uid="{00000000-0005-0000-0000-0000C49B0000}"/>
    <cellStyle name="Nota 6 27" xfId="43718" xr:uid="{00000000-0005-0000-0000-0000C59B0000}"/>
    <cellStyle name="Nota 6 28" xfId="43719" xr:uid="{00000000-0005-0000-0000-0000C69B0000}"/>
    <cellStyle name="Nota 6 3" xfId="43720" xr:uid="{00000000-0005-0000-0000-0000C79B0000}"/>
    <cellStyle name="Nota 6 4" xfId="43721" xr:uid="{00000000-0005-0000-0000-0000C89B0000}"/>
    <cellStyle name="Nota 6 5" xfId="43722" xr:uid="{00000000-0005-0000-0000-0000C99B0000}"/>
    <cellStyle name="Nota 6 6" xfId="43723" xr:uid="{00000000-0005-0000-0000-0000CA9B0000}"/>
    <cellStyle name="Nota 6 7" xfId="43724" xr:uid="{00000000-0005-0000-0000-0000CB9B0000}"/>
    <cellStyle name="Nota 6 8" xfId="43725" xr:uid="{00000000-0005-0000-0000-0000CC9B0000}"/>
    <cellStyle name="Nota 6 9" xfId="43726" xr:uid="{00000000-0005-0000-0000-0000CD9B0000}"/>
    <cellStyle name="Nota 7" xfId="38876" xr:uid="{00000000-0005-0000-0000-0000CE9B0000}"/>
    <cellStyle name="Nota 7 10" xfId="43727" xr:uid="{00000000-0005-0000-0000-0000CF9B0000}"/>
    <cellStyle name="Nota 7 11" xfId="43728" xr:uid="{00000000-0005-0000-0000-0000D09B0000}"/>
    <cellStyle name="Nota 7 12" xfId="43729" xr:uid="{00000000-0005-0000-0000-0000D19B0000}"/>
    <cellStyle name="Nota 7 13" xfId="43730" xr:uid="{00000000-0005-0000-0000-0000D29B0000}"/>
    <cellStyle name="Nota 7 14" xfId="43731" xr:uid="{00000000-0005-0000-0000-0000D39B0000}"/>
    <cellStyle name="Nota 7 15" xfId="43732" xr:uid="{00000000-0005-0000-0000-0000D49B0000}"/>
    <cellStyle name="Nota 7 16" xfId="43733" xr:uid="{00000000-0005-0000-0000-0000D59B0000}"/>
    <cellStyle name="Nota 7 17" xfId="43734" xr:uid="{00000000-0005-0000-0000-0000D69B0000}"/>
    <cellStyle name="Nota 7 18" xfId="43735" xr:uid="{00000000-0005-0000-0000-0000D79B0000}"/>
    <cellStyle name="Nota 7 19" xfId="43736" xr:uid="{00000000-0005-0000-0000-0000D89B0000}"/>
    <cellStyle name="Nota 7 2" xfId="43737" xr:uid="{00000000-0005-0000-0000-0000D99B0000}"/>
    <cellStyle name="Nota 7 20" xfId="43738" xr:uid="{00000000-0005-0000-0000-0000DA9B0000}"/>
    <cellStyle name="Nota 7 21" xfId="43739" xr:uid="{00000000-0005-0000-0000-0000DB9B0000}"/>
    <cellStyle name="Nota 7 22" xfId="43740" xr:uid="{00000000-0005-0000-0000-0000DC9B0000}"/>
    <cellStyle name="Nota 7 23" xfId="43741" xr:uid="{00000000-0005-0000-0000-0000DD9B0000}"/>
    <cellStyle name="Nota 7 24" xfId="43742" xr:uid="{00000000-0005-0000-0000-0000DE9B0000}"/>
    <cellStyle name="Nota 7 25" xfId="43743" xr:uid="{00000000-0005-0000-0000-0000DF9B0000}"/>
    <cellStyle name="Nota 7 26" xfId="43744" xr:uid="{00000000-0005-0000-0000-0000E09B0000}"/>
    <cellStyle name="Nota 7 27" xfId="43745" xr:uid="{00000000-0005-0000-0000-0000E19B0000}"/>
    <cellStyle name="Nota 7 28" xfId="43746" xr:uid="{00000000-0005-0000-0000-0000E29B0000}"/>
    <cellStyle name="Nota 7 3" xfId="43747" xr:uid="{00000000-0005-0000-0000-0000E39B0000}"/>
    <cellStyle name="Nota 7 4" xfId="43748" xr:uid="{00000000-0005-0000-0000-0000E49B0000}"/>
    <cellStyle name="Nota 7 5" xfId="43749" xr:uid="{00000000-0005-0000-0000-0000E59B0000}"/>
    <cellStyle name="Nota 7 6" xfId="43750" xr:uid="{00000000-0005-0000-0000-0000E69B0000}"/>
    <cellStyle name="Nota 7 7" xfId="43751" xr:uid="{00000000-0005-0000-0000-0000E79B0000}"/>
    <cellStyle name="Nota 7 8" xfId="43752" xr:uid="{00000000-0005-0000-0000-0000E89B0000}"/>
    <cellStyle name="Nota 7 9" xfId="43753" xr:uid="{00000000-0005-0000-0000-0000E99B0000}"/>
    <cellStyle name="Nota 8" xfId="38877" xr:uid="{00000000-0005-0000-0000-0000EA9B0000}"/>
    <cellStyle name="Nota 9" xfId="38878" xr:uid="{00000000-0005-0000-0000-0000EB9B0000}"/>
    <cellStyle name="Notas" xfId="1097" xr:uid="{00000000-0005-0000-0000-0000EC9B0000}"/>
    <cellStyle name="Notas 10" xfId="38879" xr:uid="{00000000-0005-0000-0000-0000ED9B0000}"/>
    <cellStyle name="Notas 11" xfId="38880" xr:uid="{00000000-0005-0000-0000-0000EE9B0000}"/>
    <cellStyle name="Notas 12" xfId="38881" xr:uid="{00000000-0005-0000-0000-0000EF9B0000}"/>
    <cellStyle name="Notas 13" xfId="38882" xr:uid="{00000000-0005-0000-0000-0000F09B0000}"/>
    <cellStyle name="Notas 14" xfId="38883" xr:uid="{00000000-0005-0000-0000-0000F19B0000}"/>
    <cellStyle name="Notas 15" xfId="38884" xr:uid="{00000000-0005-0000-0000-0000F29B0000}"/>
    <cellStyle name="Notas 16" xfId="38885" xr:uid="{00000000-0005-0000-0000-0000F39B0000}"/>
    <cellStyle name="Notas 17" xfId="38886" xr:uid="{00000000-0005-0000-0000-0000F49B0000}"/>
    <cellStyle name="Notas 18" xfId="38887" xr:uid="{00000000-0005-0000-0000-0000F59B0000}"/>
    <cellStyle name="Notas 19" xfId="38888" xr:uid="{00000000-0005-0000-0000-0000F69B0000}"/>
    <cellStyle name="Notas 2" xfId="1098" xr:uid="{00000000-0005-0000-0000-0000F79B0000}"/>
    <cellStyle name="Notas 2 2" xfId="38889" xr:uid="{00000000-0005-0000-0000-0000F89B0000}"/>
    <cellStyle name="Notas 20" xfId="38890" xr:uid="{00000000-0005-0000-0000-0000F99B0000}"/>
    <cellStyle name="Notas 21" xfId="38891" xr:uid="{00000000-0005-0000-0000-0000FA9B0000}"/>
    <cellStyle name="Notas 22" xfId="38892" xr:uid="{00000000-0005-0000-0000-0000FB9B0000}"/>
    <cellStyle name="Notas 23" xfId="38893" xr:uid="{00000000-0005-0000-0000-0000FC9B0000}"/>
    <cellStyle name="Notas 24" xfId="38894" xr:uid="{00000000-0005-0000-0000-0000FD9B0000}"/>
    <cellStyle name="Notas 25" xfId="38895" xr:uid="{00000000-0005-0000-0000-0000FE9B0000}"/>
    <cellStyle name="Notas 3" xfId="1099" xr:uid="{00000000-0005-0000-0000-0000FF9B0000}"/>
    <cellStyle name="Notas 3 2" xfId="38896" xr:uid="{00000000-0005-0000-0000-0000009C0000}"/>
    <cellStyle name="Notas 4" xfId="1100" xr:uid="{00000000-0005-0000-0000-0000019C0000}"/>
    <cellStyle name="Notas 5" xfId="38897" xr:uid="{00000000-0005-0000-0000-0000029C0000}"/>
    <cellStyle name="Notas 6" xfId="38898" xr:uid="{00000000-0005-0000-0000-0000039C0000}"/>
    <cellStyle name="Notas 7" xfId="38899" xr:uid="{00000000-0005-0000-0000-0000049C0000}"/>
    <cellStyle name="Notas 8" xfId="38900" xr:uid="{00000000-0005-0000-0000-0000059C0000}"/>
    <cellStyle name="Notas 9" xfId="38901" xr:uid="{00000000-0005-0000-0000-0000069C0000}"/>
    <cellStyle name="Note" xfId="855" xr:uid="{00000000-0005-0000-0000-0000079C0000}"/>
    <cellStyle name="Note 2" xfId="1101" xr:uid="{00000000-0005-0000-0000-0000089C0000}"/>
    <cellStyle name="Note 3" xfId="1102" xr:uid="{00000000-0005-0000-0000-0000099C0000}"/>
    <cellStyle name="Note 4" xfId="1103" xr:uid="{00000000-0005-0000-0000-00000A9C0000}"/>
    <cellStyle name="O" xfId="38902" xr:uid="{00000000-0005-0000-0000-00000B9C0000}"/>
    <cellStyle name="Œ…‹æØ‚è [0.00]_laroux" xfId="38903" xr:uid="{00000000-0005-0000-0000-00000C9C0000}"/>
    <cellStyle name="Œ…‹æØ‚è_laroux" xfId="38904" xr:uid="{00000000-0005-0000-0000-00000D9C0000}"/>
    <cellStyle name="Output" xfId="856" xr:uid="{00000000-0005-0000-0000-00000E9C0000}"/>
    <cellStyle name="Output 2" xfId="38905" xr:uid="{00000000-0005-0000-0000-00000F9C0000}"/>
    <cellStyle name="Output 3" xfId="38906" xr:uid="{00000000-0005-0000-0000-0000109C0000}"/>
    <cellStyle name="Output 4" xfId="38907" xr:uid="{00000000-0005-0000-0000-0000119C0000}"/>
    <cellStyle name="Output Line Items" xfId="38908" xr:uid="{00000000-0005-0000-0000-0000129C0000}"/>
    <cellStyle name="Page Number" xfId="38909" xr:uid="{00000000-0005-0000-0000-0000139C0000}"/>
    <cellStyle name="paint" xfId="857" xr:uid="{00000000-0005-0000-0000-0000149C0000}"/>
    <cellStyle name="pb_page_heading_LS" xfId="38910" xr:uid="{00000000-0005-0000-0000-0000159C0000}"/>
    <cellStyle name="Percen - Estilo1" xfId="38911" xr:uid="{00000000-0005-0000-0000-0000169C0000}"/>
    <cellStyle name="Percen - Estilo2" xfId="38912" xr:uid="{00000000-0005-0000-0000-0000179C0000}"/>
    <cellStyle name="Percent ()" xfId="858" xr:uid="{00000000-0005-0000-0000-0000189C0000}"/>
    <cellStyle name="Percent () 2" xfId="1104" xr:uid="{00000000-0005-0000-0000-0000199C0000}"/>
    <cellStyle name="Percent () 3" xfId="38913" xr:uid="{00000000-0005-0000-0000-00001A9C0000}"/>
    <cellStyle name="Percent () 3 2" xfId="38914" xr:uid="{00000000-0005-0000-0000-00001B9C0000}"/>
    <cellStyle name="Percent (0%)" xfId="38915" xr:uid="{00000000-0005-0000-0000-00001C9C0000}"/>
    <cellStyle name="Percent (0)" xfId="859" xr:uid="{00000000-0005-0000-0000-00001D9C0000}"/>
    <cellStyle name="Percent (0) 2" xfId="38916" xr:uid="{00000000-0005-0000-0000-00001E9C0000}"/>
    <cellStyle name="Percent (0) 3" xfId="38917" xr:uid="{00000000-0005-0000-0000-00001F9C0000}"/>
    <cellStyle name="Percent (0) 3 2" xfId="38918" xr:uid="{00000000-0005-0000-0000-0000209C0000}"/>
    <cellStyle name="Percent (0.0%)" xfId="38919" xr:uid="{00000000-0005-0000-0000-0000219C0000}"/>
    <cellStyle name="Percent (0.00%)" xfId="38920" xr:uid="{00000000-0005-0000-0000-0000229C0000}"/>
    <cellStyle name="Percent (1)" xfId="860" xr:uid="{00000000-0005-0000-0000-0000239C0000}"/>
    <cellStyle name="Percent (1) 2" xfId="38921" xr:uid="{00000000-0005-0000-0000-0000249C0000}"/>
    <cellStyle name="Percent (1) 3" xfId="38922" xr:uid="{00000000-0005-0000-0000-0000259C0000}"/>
    <cellStyle name="Percent (1) 3 2" xfId="38923" xr:uid="{00000000-0005-0000-0000-0000269C0000}"/>
    <cellStyle name="Percent [0]" xfId="861" xr:uid="{00000000-0005-0000-0000-0000279C0000}"/>
    <cellStyle name="Percent [0] 2" xfId="38924" xr:uid="{00000000-0005-0000-0000-0000289C0000}"/>
    <cellStyle name="Percent [0] 3" xfId="38925" xr:uid="{00000000-0005-0000-0000-0000299C0000}"/>
    <cellStyle name="Percent [0] 3 2" xfId="38926" xr:uid="{00000000-0005-0000-0000-00002A9C0000}"/>
    <cellStyle name="Percent [00]" xfId="862" xr:uid="{00000000-0005-0000-0000-00002B9C0000}"/>
    <cellStyle name="Percent [00] 2" xfId="1105" xr:uid="{00000000-0005-0000-0000-00002C9C0000}"/>
    <cellStyle name="Percent [00] 3" xfId="38927" xr:uid="{00000000-0005-0000-0000-00002D9C0000}"/>
    <cellStyle name="Percent [2]" xfId="863" xr:uid="{00000000-0005-0000-0000-00002E9C0000}"/>
    <cellStyle name="Percent [2] 2" xfId="1106" xr:uid="{00000000-0005-0000-0000-00002F9C0000}"/>
    <cellStyle name="Percent [2] 2 2" xfId="38928" xr:uid="{00000000-0005-0000-0000-0000309C0000}"/>
    <cellStyle name="Percent [2] 3" xfId="1107" xr:uid="{00000000-0005-0000-0000-0000319C0000}"/>
    <cellStyle name="Percent [2] 4" xfId="1108" xr:uid="{00000000-0005-0000-0000-0000329C0000}"/>
    <cellStyle name="Percent [2] 4 2" xfId="38929" xr:uid="{00000000-0005-0000-0000-0000339C0000}"/>
    <cellStyle name="Percent 1" xfId="864" xr:uid="{00000000-0005-0000-0000-0000349C0000}"/>
    <cellStyle name="Percent 1 2" xfId="38930" xr:uid="{00000000-0005-0000-0000-0000359C0000}"/>
    <cellStyle name="Percent 1 3" xfId="38931" xr:uid="{00000000-0005-0000-0000-0000369C0000}"/>
    <cellStyle name="Percent 1 3 2" xfId="38932" xr:uid="{00000000-0005-0000-0000-0000379C0000}"/>
    <cellStyle name="Percent 2" xfId="865" xr:uid="{00000000-0005-0000-0000-0000389C0000}"/>
    <cellStyle name="Percent 2 2" xfId="1109" xr:uid="{00000000-0005-0000-0000-0000399C0000}"/>
    <cellStyle name="Percent 2 3" xfId="38933" xr:uid="{00000000-0005-0000-0000-00003A9C0000}"/>
    <cellStyle name="Percent 2 3 2" xfId="38934" xr:uid="{00000000-0005-0000-0000-00003B9C0000}"/>
    <cellStyle name="Percent 3" xfId="1110" xr:uid="{00000000-0005-0000-0000-00003C9C0000}"/>
    <cellStyle name="Percent 3 2" xfId="38935" xr:uid="{00000000-0005-0000-0000-00003D9C0000}"/>
    <cellStyle name="Percent 3 2 2" xfId="38936" xr:uid="{00000000-0005-0000-0000-00003E9C0000}"/>
    <cellStyle name="Percent 4" xfId="38937" xr:uid="{00000000-0005-0000-0000-00003F9C0000}"/>
    <cellStyle name="Percent 5" xfId="38938" xr:uid="{00000000-0005-0000-0000-0000409C0000}"/>
    <cellStyle name="Percent Black [0]" xfId="38939" xr:uid="{00000000-0005-0000-0000-0000419C0000}"/>
    <cellStyle name="Percent Black [1]" xfId="38940" xr:uid="{00000000-0005-0000-0000-0000429C0000}"/>
    <cellStyle name="Percent Black [2]" xfId="38941" xr:uid="{00000000-0005-0000-0000-0000439C0000}"/>
    <cellStyle name="Percent Blue [0]" xfId="38942" xr:uid="{00000000-0005-0000-0000-0000449C0000}"/>
    <cellStyle name="Percent Blue [1]" xfId="38943" xr:uid="{00000000-0005-0000-0000-0000459C0000}"/>
    <cellStyle name="Percent Blue [2]" xfId="38944" xr:uid="{00000000-0005-0000-0000-0000469C0000}"/>
    <cellStyle name="Percent_06_200403" xfId="38945" xr:uid="{00000000-0005-0000-0000-0000479C0000}"/>
    <cellStyle name="Percentual" xfId="38946" xr:uid="{00000000-0005-0000-0000-0000489C0000}"/>
    <cellStyle name="Ponto" xfId="38947" xr:uid="{00000000-0005-0000-0000-0000499C0000}"/>
    <cellStyle name="Porcentagem" xfId="12" builtinId="5"/>
    <cellStyle name="Porcentagem 10" xfId="1111" xr:uid="{00000000-0005-0000-0000-00004B9C0000}"/>
    <cellStyle name="Porcentagem 10 2" xfId="43754" xr:uid="{00000000-0005-0000-0000-00004C9C0000}"/>
    <cellStyle name="Porcentagem 10 2 2" xfId="43755" xr:uid="{00000000-0005-0000-0000-00004D9C0000}"/>
    <cellStyle name="Porcentagem 10 3" xfId="43756" xr:uid="{00000000-0005-0000-0000-00004E9C0000}"/>
    <cellStyle name="Porcentagem 11" xfId="1112" xr:uid="{00000000-0005-0000-0000-00004F9C0000}"/>
    <cellStyle name="Porcentagem 11 2" xfId="43757" xr:uid="{00000000-0005-0000-0000-0000509C0000}"/>
    <cellStyle name="Porcentagem 12" xfId="1113" xr:uid="{00000000-0005-0000-0000-0000519C0000}"/>
    <cellStyle name="Porcentagem 13" xfId="1114" xr:uid="{00000000-0005-0000-0000-0000529C0000}"/>
    <cellStyle name="Porcentagem 14" xfId="1115" xr:uid="{00000000-0005-0000-0000-0000539C0000}"/>
    <cellStyle name="Porcentagem 15" xfId="1116" xr:uid="{00000000-0005-0000-0000-0000549C0000}"/>
    <cellStyle name="Porcentagem 16" xfId="42557" xr:uid="{00000000-0005-0000-0000-0000559C0000}"/>
    <cellStyle name="Porcentagem 17" xfId="43758" xr:uid="{00000000-0005-0000-0000-0000569C0000}"/>
    <cellStyle name="Porcentagem 18" xfId="43947" xr:uid="{00000000-0005-0000-0000-0000579C0000}"/>
    <cellStyle name="Porcentagem 18 2" xfId="43959" xr:uid="{00000000-0005-0000-0000-0000589C0000}"/>
    <cellStyle name="Porcentagem 19" xfId="43973" xr:uid="{00000000-0005-0000-0000-0000599C0000}"/>
    <cellStyle name="Porcentagem 19 2" xfId="43967" xr:uid="{00000000-0005-0000-0000-00005A9C0000}"/>
    <cellStyle name="Porcentagem 2" xfId="43986" xr:uid="{EAE8BA99-9B8F-4B24-910D-765630EF39DC}"/>
    <cellStyle name="Porcentagem 2 10" xfId="38948" xr:uid="{00000000-0005-0000-0000-00005C9C0000}"/>
    <cellStyle name="Porcentagem 2 11" xfId="38949" xr:uid="{00000000-0005-0000-0000-00005D9C0000}"/>
    <cellStyle name="Porcentagem 2 12" xfId="38950" xr:uid="{00000000-0005-0000-0000-00005E9C0000}"/>
    <cellStyle name="Porcentagem 2 13" xfId="38951" xr:uid="{00000000-0005-0000-0000-00005F9C0000}"/>
    <cellStyle name="Porcentagem 2 14" xfId="38952" xr:uid="{00000000-0005-0000-0000-0000609C0000}"/>
    <cellStyle name="Porcentagem 2 15" xfId="38953" xr:uid="{00000000-0005-0000-0000-0000619C0000}"/>
    <cellStyle name="Porcentagem 2 16" xfId="38954" xr:uid="{00000000-0005-0000-0000-0000629C0000}"/>
    <cellStyle name="Porcentagem 2 17" xfId="38955" xr:uid="{00000000-0005-0000-0000-0000639C0000}"/>
    <cellStyle name="Porcentagem 2 18" xfId="38956" xr:uid="{00000000-0005-0000-0000-0000649C0000}"/>
    <cellStyle name="Porcentagem 2 19" xfId="38957" xr:uid="{00000000-0005-0000-0000-0000659C0000}"/>
    <cellStyle name="Porcentagem 2 2" xfId="10" xr:uid="{00000000-0005-0000-0000-0000669C0000}"/>
    <cellStyle name="Porcentagem 2 2 2" xfId="1117" xr:uid="{00000000-0005-0000-0000-0000679C0000}"/>
    <cellStyle name="Porcentagem 2 2 2 2" xfId="38958" xr:uid="{00000000-0005-0000-0000-0000689C0000}"/>
    <cellStyle name="Porcentagem 2 2 3" xfId="38959" xr:uid="{00000000-0005-0000-0000-0000699C0000}"/>
    <cellStyle name="Porcentagem 2 2 4" xfId="43952" xr:uid="{00000000-0005-0000-0000-00006A9C0000}"/>
    <cellStyle name="Porcentagem 2 20" xfId="38960" xr:uid="{00000000-0005-0000-0000-00006B9C0000}"/>
    <cellStyle name="Porcentagem 2 21" xfId="38961" xr:uid="{00000000-0005-0000-0000-00006C9C0000}"/>
    <cellStyle name="Porcentagem 2 22" xfId="38962" xr:uid="{00000000-0005-0000-0000-00006D9C0000}"/>
    <cellStyle name="Porcentagem 2 23" xfId="38963" xr:uid="{00000000-0005-0000-0000-00006E9C0000}"/>
    <cellStyle name="Porcentagem 2 24" xfId="38964" xr:uid="{00000000-0005-0000-0000-00006F9C0000}"/>
    <cellStyle name="Porcentagem 2 25" xfId="38965" xr:uid="{00000000-0005-0000-0000-0000709C0000}"/>
    <cellStyle name="Porcentagem 2 26" xfId="38966" xr:uid="{00000000-0005-0000-0000-0000719C0000}"/>
    <cellStyle name="Porcentagem 2 27" xfId="38967" xr:uid="{00000000-0005-0000-0000-0000729C0000}"/>
    <cellStyle name="Porcentagem 2 28" xfId="38968" xr:uid="{00000000-0005-0000-0000-0000739C0000}"/>
    <cellStyle name="Porcentagem 2 29" xfId="38969" xr:uid="{00000000-0005-0000-0000-0000749C0000}"/>
    <cellStyle name="Porcentagem 2 3" xfId="1118" xr:uid="{00000000-0005-0000-0000-0000759C0000}"/>
    <cellStyle name="Porcentagem 2 3 2" xfId="38970" xr:uid="{00000000-0005-0000-0000-0000769C0000}"/>
    <cellStyle name="Porcentagem 2 3 3" xfId="38971" xr:uid="{00000000-0005-0000-0000-0000779C0000}"/>
    <cellStyle name="Porcentagem 2 30" xfId="38972" xr:uid="{00000000-0005-0000-0000-0000789C0000}"/>
    <cellStyle name="Porcentagem 2 31" xfId="38973" xr:uid="{00000000-0005-0000-0000-0000799C0000}"/>
    <cellStyle name="Porcentagem 2 32" xfId="38974" xr:uid="{00000000-0005-0000-0000-00007A9C0000}"/>
    <cellStyle name="Porcentagem 2 33" xfId="38975" xr:uid="{00000000-0005-0000-0000-00007B9C0000}"/>
    <cellStyle name="Porcentagem 2 34" xfId="38976" xr:uid="{00000000-0005-0000-0000-00007C9C0000}"/>
    <cellStyle name="Porcentagem 2 35" xfId="38977" xr:uid="{00000000-0005-0000-0000-00007D9C0000}"/>
    <cellStyle name="Porcentagem 2 36" xfId="38978" xr:uid="{00000000-0005-0000-0000-00007E9C0000}"/>
    <cellStyle name="Porcentagem 2 37" xfId="38979" xr:uid="{00000000-0005-0000-0000-00007F9C0000}"/>
    <cellStyle name="Porcentagem 2 38" xfId="38980" xr:uid="{00000000-0005-0000-0000-0000809C0000}"/>
    <cellStyle name="Porcentagem 2 39" xfId="38981" xr:uid="{00000000-0005-0000-0000-0000819C0000}"/>
    <cellStyle name="Porcentagem 2 4" xfId="1119" xr:uid="{00000000-0005-0000-0000-0000829C0000}"/>
    <cellStyle name="Porcentagem 2 40" xfId="38982" xr:uid="{00000000-0005-0000-0000-0000839C0000}"/>
    <cellStyle name="Porcentagem 2 41" xfId="38983" xr:uid="{00000000-0005-0000-0000-0000849C0000}"/>
    <cellStyle name="Porcentagem 2 42" xfId="38984" xr:uid="{00000000-0005-0000-0000-0000859C0000}"/>
    <cellStyle name="Porcentagem 2 43" xfId="38985" xr:uid="{00000000-0005-0000-0000-0000869C0000}"/>
    <cellStyle name="Porcentagem 2 44" xfId="38986" xr:uid="{00000000-0005-0000-0000-0000879C0000}"/>
    <cellStyle name="Porcentagem 2 45" xfId="38987" xr:uid="{00000000-0005-0000-0000-0000889C0000}"/>
    <cellStyle name="Porcentagem 2 46" xfId="38988" xr:uid="{00000000-0005-0000-0000-0000899C0000}"/>
    <cellStyle name="Porcentagem 2 5" xfId="1120" xr:uid="{00000000-0005-0000-0000-00008A9C0000}"/>
    <cellStyle name="Porcentagem 2 6" xfId="6" xr:uid="{00000000-0005-0000-0000-00008B9C0000}"/>
    <cellStyle name="Porcentagem 2 6 2" xfId="38989" xr:uid="{00000000-0005-0000-0000-00008C9C0000}"/>
    <cellStyle name="Porcentagem 2 7" xfId="38990" xr:uid="{00000000-0005-0000-0000-00008D9C0000}"/>
    <cellStyle name="Porcentagem 2 8" xfId="38991" xr:uid="{00000000-0005-0000-0000-00008E9C0000}"/>
    <cellStyle name="Porcentagem 2 9" xfId="38992" xr:uid="{00000000-0005-0000-0000-00008F9C0000}"/>
    <cellStyle name="Porcentagem 20" xfId="866" xr:uid="{00000000-0005-0000-0000-0000909C0000}"/>
    <cellStyle name="Porcentagem 3" xfId="922" xr:uid="{00000000-0005-0000-0000-0000919C0000}"/>
    <cellStyle name="Porcentagem 3 10" xfId="43759" xr:uid="{00000000-0005-0000-0000-0000929C0000}"/>
    <cellStyle name="Porcentagem 3 11" xfId="43760" xr:uid="{00000000-0005-0000-0000-0000939C0000}"/>
    <cellStyle name="Porcentagem 3 12" xfId="43761" xr:uid="{00000000-0005-0000-0000-0000949C0000}"/>
    <cellStyle name="Porcentagem 3 13" xfId="43762" xr:uid="{00000000-0005-0000-0000-0000959C0000}"/>
    <cellStyle name="Porcentagem 3 14" xfId="43763" xr:uid="{00000000-0005-0000-0000-0000969C0000}"/>
    <cellStyle name="Porcentagem 3 15" xfId="43764" xr:uid="{00000000-0005-0000-0000-0000979C0000}"/>
    <cellStyle name="Porcentagem 3 16" xfId="43765" xr:uid="{00000000-0005-0000-0000-0000989C0000}"/>
    <cellStyle name="Porcentagem 3 17" xfId="43766" xr:uid="{00000000-0005-0000-0000-0000999C0000}"/>
    <cellStyle name="Porcentagem 3 18" xfId="43767" xr:uid="{00000000-0005-0000-0000-00009A9C0000}"/>
    <cellStyle name="Porcentagem 3 19" xfId="43768" xr:uid="{00000000-0005-0000-0000-00009B9C0000}"/>
    <cellStyle name="Porcentagem 3 2" xfId="1121" xr:uid="{00000000-0005-0000-0000-00009C9C0000}"/>
    <cellStyle name="Porcentagem 3 2 2" xfId="38993" xr:uid="{00000000-0005-0000-0000-00009D9C0000}"/>
    <cellStyle name="Porcentagem 3 2 2 2" xfId="38994" xr:uid="{00000000-0005-0000-0000-00009E9C0000}"/>
    <cellStyle name="Porcentagem 3 2 2 3" xfId="38995" xr:uid="{00000000-0005-0000-0000-00009F9C0000}"/>
    <cellStyle name="Porcentagem 3 2 3" xfId="38996" xr:uid="{00000000-0005-0000-0000-0000A09C0000}"/>
    <cellStyle name="Porcentagem 3 2 4" xfId="43769" xr:uid="{00000000-0005-0000-0000-0000A19C0000}"/>
    <cellStyle name="Porcentagem 3 20" xfId="43770" xr:uid="{00000000-0005-0000-0000-0000A29C0000}"/>
    <cellStyle name="Porcentagem 3 21" xfId="43771" xr:uid="{00000000-0005-0000-0000-0000A39C0000}"/>
    <cellStyle name="Porcentagem 3 22" xfId="43772" xr:uid="{00000000-0005-0000-0000-0000A49C0000}"/>
    <cellStyle name="Porcentagem 3 23" xfId="43773" xr:uid="{00000000-0005-0000-0000-0000A59C0000}"/>
    <cellStyle name="Porcentagem 3 24" xfId="43774" xr:uid="{00000000-0005-0000-0000-0000A69C0000}"/>
    <cellStyle name="Porcentagem 3 25" xfId="43775" xr:uid="{00000000-0005-0000-0000-0000A79C0000}"/>
    <cellStyle name="Porcentagem 3 26" xfId="43776" xr:uid="{00000000-0005-0000-0000-0000A89C0000}"/>
    <cellStyle name="Porcentagem 3 27" xfId="43777" xr:uid="{00000000-0005-0000-0000-0000A99C0000}"/>
    <cellStyle name="Porcentagem 3 28" xfId="43778" xr:uid="{00000000-0005-0000-0000-0000AA9C0000}"/>
    <cellStyle name="Porcentagem 3 29" xfId="43779" xr:uid="{00000000-0005-0000-0000-0000AB9C0000}"/>
    <cellStyle name="Porcentagem 3 3" xfId="1122" xr:uid="{00000000-0005-0000-0000-0000AC9C0000}"/>
    <cellStyle name="Porcentagem 3 4" xfId="1123" xr:uid="{00000000-0005-0000-0000-0000AD9C0000}"/>
    <cellStyle name="Porcentagem 3 5" xfId="38997" xr:uid="{00000000-0005-0000-0000-0000AE9C0000}"/>
    <cellStyle name="Porcentagem 3 6" xfId="43780" xr:uid="{00000000-0005-0000-0000-0000AF9C0000}"/>
    <cellStyle name="Porcentagem 3 7" xfId="43781" xr:uid="{00000000-0005-0000-0000-0000B09C0000}"/>
    <cellStyle name="Porcentagem 3 8" xfId="43782" xr:uid="{00000000-0005-0000-0000-0000B19C0000}"/>
    <cellStyle name="Porcentagem 3 9" xfId="43783" xr:uid="{00000000-0005-0000-0000-0000B29C0000}"/>
    <cellStyle name="Porcentagem 4" xfId="1124" xr:uid="{00000000-0005-0000-0000-0000B39C0000}"/>
    <cellStyle name="Porcentagem 4 10" xfId="38998" xr:uid="{00000000-0005-0000-0000-0000B49C0000}"/>
    <cellStyle name="Porcentagem 4 10 2" xfId="38999" xr:uid="{00000000-0005-0000-0000-0000B59C0000}"/>
    <cellStyle name="Porcentagem 4 10 2 2" xfId="39000" xr:uid="{00000000-0005-0000-0000-0000B69C0000}"/>
    <cellStyle name="Porcentagem 4 10 2 3" xfId="39001" xr:uid="{00000000-0005-0000-0000-0000B79C0000}"/>
    <cellStyle name="Porcentagem 4 10 2 4" xfId="39002" xr:uid="{00000000-0005-0000-0000-0000B89C0000}"/>
    <cellStyle name="Porcentagem 4 10 3" xfId="39003" xr:uid="{00000000-0005-0000-0000-0000B99C0000}"/>
    <cellStyle name="Porcentagem 4 10 3 2" xfId="39004" xr:uid="{00000000-0005-0000-0000-0000BA9C0000}"/>
    <cellStyle name="Porcentagem 4 10 3 3" xfId="39005" xr:uid="{00000000-0005-0000-0000-0000BB9C0000}"/>
    <cellStyle name="Porcentagem 4 10 3 4" xfId="39006" xr:uid="{00000000-0005-0000-0000-0000BC9C0000}"/>
    <cellStyle name="Porcentagem 4 10 4" xfId="39007" xr:uid="{00000000-0005-0000-0000-0000BD9C0000}"/>
    <cellStyle name="Porcentagem 4 10 5" xfId="39008" xr:uid="{00000000-0005-0000-0000-0000BE9C0000}"/>
    <cellStyle name="Porcentagem 4 10 6" xfId="39009" xr:uid="{00000000-0005-0000-0000-0000BF9C0000}"/>
    <cellStyle name="Porcentagem 4 11" xfId="39010" xr:uid="{00000000-0005-0000-0000-0000C09C0000}"/>
    <cellStyle name="Porcentagem 4 11 2" xfId="39011" xr:uid="{00000000-0005-0000-0000-0000C19C0000}"/>
    <cellStyle name="Porcentagem 4 11 2 2" xfId="39012" xr:uid="{00000000-0005-0000-0000-0000C29C0000}"/>
    <cellStyle name="Porcentagem 4 11 2 3" xfId="39013" xr:uid="{00000000-0005-0000-0000-0000C39C0000}"/>
    <cellStyle name="Porcentagem 4 11 2 4" xfId="39014" xr:uid="{00000000-0005-0000-0000-0000C49C0000}"/>
    <cellStyle name="Porcentagem 4 11 3" xfId="39015" xr:uid="{00000000-0005-0000-0000-0000C59C0000}"/>
    <cellStyle name="Porcentagem 4 11 3 2" xfId="39016" xr:uid="{00000000-0005-0000-0000-0000C69C0000}"/>
    <cellStyle name="Porcentagem 4 11 3 3" xfId="39017" xr:uid="{00000000-0005-0000-0000-0000C79C0000}"/>
    <cellStyle name="Porcentagem 4 11 3 4" xfId="39018" xr:uid="{00000000-0005-0000-0000-0000C89C0000}"/>
    <cellStyle name="Porcentagem 4 11 4" xfId="39019" xr:uid="{00000000-0005-0000-0000-0000C99C0000}"/>
    <cellStyle name="Porcentagem 4 11 5" xfId="39020" xr:uid="{00000000-0005-0000-0000-0000CA9C0000}"/>
    <cellStyle name="Porcentagem 4 11 6" xfId="39021" xr:uid="{00000000-0005-0000-0000-0000CB9C0000}"/>
    <cellStyle name="Porcentagem 4 12" xfId="39022" xr:uid="{00000000-0005-0000-0000-0000CC9C0000}"/>
    <cellStyle name="Porcentagem 4 12 2" xfId="39023" xr:uid="{00000000-0005-0000-0000-0000CD9C0000}"/>
    <cellStyle name="Porcentagem 4 12 2 2" xfId="39024" xr:uid="{00000000-0005-0000-0000-0000CE9C0000}"/>
    <cellStyle name="Porcentagem 4 12 2 3" xfId="39025" xr:uid="{00000000-0005-0000-0000-0000CF9C0000}"/>
    <cellStyle name="Porcentagem 4 12 2 4" xfId="39026" xr:uid="{00000000-0005-0000-0000-0000D09C0000}"/>
    <cellStyle name="Porcentagem 4 12 3" xfId="39027" xr:uid="{00000000-0005-0000-0000-0000D19C0000}"/>
    <cellStyle name="Porcentagem 4 12 3 2" xfId="39028" xr:uid="{00000000-0005-0000-0000-0000D29C0000}"/>
    <cellStyle name="Porcentagem 4 12 3 3" xfId="39029" xr:uid="{00000000-0005-0000-0000-0000D39C0000}"/>
    <cellStyle name="Porcentagem 4 12 3 4" xfId="39030" xr:uid="{00000000-0005-0000-0000-0000D49C0000}"/>
    <cellStyle name="Porcentagem 4 12 4" xfId="39031" xr:uid="{00000000-0005-0000-0000-0000D59C0000}"/>
    <cellStyle name="Porcentagem 4 12 5" xfId="39032" xr:uid="{00000000-0005-0000-0000-0000D69C0000}"/>
    <cellStyle name="Porcentagem 4 12 6" xfId="39033" xr:uid="{00000000-0005-0000-0000-0000D79C0000}"/>
    <cellStyle name="Porcentagem 4 13" xfId="39034" xr:uid="{00000000-0005-0000-0000-0000D89C0000}"/>
    <cellStyle name="Porcentagem 4 13 2" xfId="39035" xr:uid="{00000000-0005-0000-0000-0000D99C0000}"/>
    <cellStyle name="Porcentagem 4 13 2 2" xfId="39036" xr:uid="{00000000-0005-0000-0000-0000DA9C0000}"/>
    <cellStyle name="Porcentagem 4 13 2 3" xfId="39037" xr:uid="{00000000-0005-0000-0000-0000DB9C0000}"/>
    <cellStyle name="Porcentagem 4 13 2 4" xfId="39038" xr:uid="{00000000-0005-0000-0000-0000DC9C0000}"/>
    <cellStyle name="Porcentagem 4 13 3" xfId="39039" xr:uid="{00000000-0005-0000-0000-0000DD9C0000}"/>
    <cellStyle name="Porcentagem 4 13 3 2" xfId="39040" xr:uid="{00000000-0005-0000-0000-0000DE9C0000}"/>
    <cellStyle name="Porcentagem 4 13 3 3" xfId="39041" xr:uid="{00000000-0005-0000-0000-0000DF9C0000}"/>
    <cellStyle name="Porcentagem 4 13 3 4" xfId="39042" xr:uid="{00000000-0005-0000-0000-0000E09C0000}"/>
    <cellStyle name="Porcentagem 4 13 4" xfId="39043" xr:uid="{00000000-0005-0000-0000-0000E19C0000}"/>
    <cellStyle name="Porcentagem 4 13 5" xfId="39044" xr:uid="{00000000-0005-0000-0000-0000E29C0000}"/>
    <cellStyle name="Porcentagem 4 13 6" xfId="39045" xr:uid="{00000000-0005-0000-0000-0000E39C0000}"/>
    <cellStyle name="Porcentagem 4 14" xfId="39046" xr:uid="{00000000-0005-0000-0000-0000E49C0000}"/>
    <cellStyle name="Porcentagem 4 14 2" xfId="39047" xr:uid="{00000000-0005-0000-0000-0000E59C0000}"/>
    <cellStyle name="Porcentagem 4 14 2 2" xfId="39048" xr:uid="{00000000-0005-0000-0000-0000E69C0000}"/>
    <cellStyle name="Porcentagem 4 14 2 3" xfId="39049" xr:uid="{00000000-0005-0000-0000-0000E79C0000}"/>
    <cellStyle name="Porcentagem 4 14 2 4" xfId="39050" xr:uid="{00000000-0005-0000-0000-0000E89C0000}"/>
    <cellStyle name="Porcentagem 4 14 3" xfId="39051" xr:uid="{00000000-0005-0000-0000-0000E99C0000}"/>
    <cellStyle name="Porcentagem 4 14 3 2" xfId="39052" xr:uid="{00000000-0005-0000-0000-0000EA9C0000}"/>
    <cellStyle name="Porcentagem 4 14 3 3" xfId="39053" xr:uid="{00000000-0005-0000-0000-0000EB9C0000}"/>
    <cellStyle name="Porcentagem 4 14 3 4" xfId="39054" xr:uid="{00000000-0005-0000-0000-0000EC9C0000}"/>
    <cellStyle name="Porcentagem 4 14 4" xfId="39055" xr:uid="{00000000-0005-0000-0000-0000ED9C0000}"/>
    <cellStyle name="Porcentagem 4 14 5" xfId="39056" xr:uid="{00000000-0005-0000-0000-0000EE9C0000}"/>
    <cellStyle name="Porcentagem 4 14 6" xfId="39057" xr:uid="{00000000-0005-0000-0000-0000EF9C0000}"/>
    <cellStyle name="Porcentagem 4 15" xfId="39058" xr:uid="{00000000-0005-0000-0000-0000F09C0000}"/>
    <cellStyle name="Porcentagem 4 15 2" xfId="39059" xr:uid="{00000000-0005-0000-0000-0000F19C0000}"/>
    <cellStyle name="Porcentagem 4 15 2 2" xfId="39060" xr:uid="{00000000-0005-0000-0000-0000F29C0000}"/>
    <cellStyle name="Porcentagem 4 15 2 3" xfId="39061" xr:uid="{00000000-0005-0000-0000-0000F39C0000}"/>
    <cellStyle name="Porcentagem 4 15 2 4" xfId="39062" xr:uid="{00000000-0005-0000-0000-0000F49C0000}"/>
    <cellStyle name="Porcentagem 4 15 3" xfId="39063" xr:uid="{00000000-0005-0000-0000-0000F59C0000}"/>
    <cellStyle name="Porcentagem 4 15 3 2" xfId="39064" xr:uid="{00000000-0005-0000-0000-0000F69C0000}"/>
    <cellStyle name="Porcentagem 4 15 3 3" xfId="39065" xr:uid="{00000000-0005-0000-0000-0000F79C0000}"/>
    <cellStyle name="Porcentagem 4 15 3 4" xfId="39066" xr:uid="{00000000-0005-0000-0000-0000F89C0000}"/>
    <cellStyle name="Porcentagem 4 15 4" xfId="39067" xr:uid="{00000000-0005-0000-0000-0000F99C0000}"/>
    <cellStyle name="Porcentagem 4 15 5" xfId="39068" xr:uid="{00000000-0005-0000-0000-0000FA9C0000}"/>
    <cellStyle name="Porcentagem 4 15 6" xfId="39069" xr:uid="{00000000-0005-0000-0000-0000FB9C0000}"/>
    <cellStyle name="Porcentagem 4 16" xfId="39070" xr:uid="{00000000-0005-0000-0000-0000FC9C0000}"/>
    <cellStyle name="Porcentagem 4 16 2" xfId="39071" xr:uid="{00000000-0005-0000-0000-0000FD9C0000}"/>
    <cellStyle name="Porcentagem 4 16 2 2" xfId="39072" xr:uid="{00000000-0005-0000-0000-0000FE9C0000}"/>
    <cellStyle name="Porcentagem 4 16 2 3" xfId="39073" xr:uid="{00000000-0005-0000-0000-0000FF9C0000}"/>
    <cellStyle name="Porcentagem 4 16 2 4" xfId="39074" xr:uid="{00000000-0005-0000-0000-0000009D0000}"/>
    <cellStyle name="Porcentagem 4 16 3" xfId="39075" xr:uid="{00000000-0005-0000-0000-0000019D0000}"/>
    <cellStyle name="Porcentagem 4 16 3 2" xfId="39076" xr:uid="{00000000-0005-0000-0000-0000029D0000}"/>
    <cellStyle name="Porcentagem 4 16 3 3" xfId="39077" xr:uid="{00000000-0005-0000-0000-0000039D0000}"/>
    <cellStyle name="Porcentagem 4 16 3 4" xfId="39078" xr:uid="{00000000-0005-0000-0000-0000049D0000}"/>
    <cellStyle name="Porcentagem 4 16 4" xfId="39079" xr:uid="{00000000-0005-0000-0000-0000059D0000}"/>
    <cellStyle name="Porcentagem 4 16 5" xfId="39080" xr:uid="{00000000-0005-0000-0000-0000069D0000}"/>
    <cellStyle name="Porcentagem 4 16 6" xfId="39081" xr:uid="{00000000-0005-0000-0000-0000079D0000}"/>
    <cellStyle name="Porcentagem 4 17" xfId="39082" xr:uid="{00000000-0005-0000-0000-0000089D0000}"/>
    <cellStyle name="Porcentagem 4 17 2" xfId="39083" xr:uid="{00000000-0005-0000-0000-0000099D0000}"/>
    <cellStyle name="Porcentagem 4 17 2 2" xfId="39084" xr:uid="{00000000-0005-0000-0000-00000A9D0000}"/>
    <cellStyle name="Porcentagem 4 17 2 3" xfId="39085" xr:uid="{00000000-0005-0000-0000-00000B9D0000}"/>
    <cellStyle name="Porcentagem 4 17 2 4" xfId="39086" xr:uid="{00000000-0005-0000-0000-00000C9D0000}"/>
    <cellStyle name="Porcentagem 4 17 3" xfId="39087" xr:uid="{00000000-0005-0000-0000-00000D9D0000}"/>
    <cellStyle name="Porcentagem 4 17 3 2" xfId="39088" xr:uid="{00000000-0005-0000-0000-00000E9D0000}"/>
    <cellStyle name="Porcentagem 4 17 3 3" xfId="39089" xr:uid="{00000000-0005-0000-0000-00000F9D0000}"/>
    <cellStyle name="Porcentagem 4 17 3 4" xfId="39090" xr:uid="{00000000-0005-0000-0000-0000109D0000}"/>
    <cellStyle name="Porcentagem 4 17 4" xfId="39091" xr:uid="{00000000-0005-0000-0000-0000119D0000}"/>
    <cellStyle name="Porcentagem 4 17 5" xfId="39092" xr:uid="{00000000-0005-0000-0000-0000129D0000}"/>
    <cellStyle name="Porcentagem 4 17 6" xfId="39093" xr:uid="{00000000-0005-0000-0000-0000139D0000}"/>
    <cellStyle name="Porcentagem 4 18" xfId="39094" xr:uid="{00000000-0005-0000-0000-0000149D0000}"/>
    <cellStyle name="Porcentagem 4 18 2" xfId="39095" xr:uid="{00000000-0005-0000-0000-0000159D0000}"/>
    <cellStyle name="Porcentagem 4 18 2 2" xfId="39096" xr:uid="{00000000-0005-0000-0000-0000169D0000}"/>
    <cellStyle name="Porcentagem 4 18 2 3" xfId="39097" xr:uid="{00000000-0005-0000-0000-0000179D0000}"/>
    <cellStyle name="Porcentagem 4 18 2 4" xfId="39098" xr:uid="{00000000-0005-0000-0000-0000189D0000}"/>
    <cellStyle name="Porcentagem 4 18 3" xfId="39099" xr:uid="{00000000-0005-0000-0000-0000199D0000}"/>
    <cellStyle name="Porcentagem 4 18 3 2" xfId="39100" xr:uid="{00000000-0005-0000-0000-00001A9D0000}"/>
    <cellStyle name="Porcentagem 4 18 3 3" xfId="39101" xr:uid="{00000000-0005-0000-0000-00001B9D0000}"/>
    <cellStyle name="Porcentagem 4 18 3 4" xfId="39102" xr:uid="{00000000-0005-0000-0000-00001C9D0000}"/>
    <cellStyle name="Porcentagem 4 18 4" xfId="39103" xr:uid="{00000000-0005-0000-0000-00001D9D0000}"/>
    <cellStyle name="Porcentagem 4 18 5" xfId="39104" xr:uid="{00000000-0005-0000-0000-00001E9D0000}"/>
    <cellStyle name="Porcentagem 4 18 6" xfId="39105" xr:uid="{00000000-0005-0000-0000-00001F9D0000}"/>
    <cellStyle name="Porcentagem 4 19" xfId="39106" xr:uid="{00000000-0005-0000-0000-0000209D0000}"/>
    <cellStyle name="Porcentagem 4 19 2" xfId="39107" xr:uid="{00000000-0005-0000-0000-0000219D0000}"/>
    <cellStyle name="Porcentagem 4 19 2 2" xfId="39108" xr:uid="{00000000-0005-0000-0000-0000229D0000}"/>
    <cellStyle name="Porcentagem 4 19 2 3" xfId="39109" xr:uid="{00000000-0005-0000-0000-0000239D0000}"/>
    <cellStyle name="Porcentagem 4 19 2 4" xfId="39110" xr:uid="{00000000-0005-0000-0000-0000249D0000}"/>
    <cellStyle name="Porcentagem 4 19 3" xfId="39111" xr:uid="{00000000-0005-0000-0000-0000259D0000}"/>
    <cellStyle name="Porcentagem 4 19 3 2" xfId="39112" xr:uid="{00000000-0005-0000-0000-0000269D0000}"/>
    <cellStyle name="Porcentagem 4 19 3 3" xfId="39113" xr:uid="{00000000-0005-0000-0000-0000279D0000}"/>
    <cellStyle name="Porcentagem 4 19 3 4" xfId="39114" xr:uid="{00000000-0005-0000-0000-0000289D0000}"/>
    <cellStyle name="Porcentagem 4 19 4" xfId="39115" xr:uid="{00000000-0005-0000-0000-0000299D0000}"/>
    <cellStyle name="Porcentagem 4 19 5" xfId="39116" xr:uid="{00000000-0005-0000-0000-00002A9D0000}"/>
    <cellStyle name="Porcentagem 4 19 6" xfId="39117" xr:uid="{00000000-0005-0000-0000-00002B9D0000}"/>
    <cellStyle name="Porcentagem 4 2" xfId="1125" xr:uid="{00000000-0005-0000-0000-00002C9D0000}"/>
    <cellStyle name="Porcentagem 4 2 10" xfId="39118" xr:uid="{00000000-0005-0000-0000-00002D9D0000}"/>
    <cellStyle name="Porcentagem 4 2 10 2" xfId="39119" xr:uid="{00000000-0005-0000-0000-00002E9D0000}"/>
    <cellStyle name="Porcentagem 4 2 10 2 2" xfId="39120" xr:uid="{00000000-0005-0000-0000-00002F9D0000}"/>
    <cellStyle name="Porcentagem 4 2 10 2 3" xfId="39121" xr:uid="{00000000-0005-0000-0000-0000309D0000}"/>
    <cellStyle name="Porcentagem 4 2 10 2 4" xfId="39122" xr:uid="{00000000-0005-0000-0000-0000319D0000}"/>
    <cellStyle name="Porcentagem 4 2 10 3" xfId="39123" xr:uid="{00000000-0005-0000-0000-0000329D0000}"/>
    <cellStyle name="Porcentagem 4 2 10 3 2" xfId="39124" xr:uid="{00000000-0005-0000-0000-0000339D0000}"/>
    <cellStyle name="Porcentagem 4 2 10 3 3" xfId="39125" xr:uid="{00000000-0005-0000-0000-0000349D0000}"/>
    <cellStyle name="Porcentagem 4 2 10 3 4" xfId="39126" xr:uid="{00000000-0005-0000-0000-0000359D0000}"/>
    <cellStyle name="Porcentagem 4 2 10 4" xfId="39127" xr:uid="{00000000-0005-0000-0000-0000369D0000}"/>
    <cellStyle name="Porcentagem 4 2 10 5" xfId="39128" xr:uid="{00000000-0005-0000-0000-0000379D0000}"/>
    <cellStyle name="Porcentagem 4 2 10 6" xfId="39129" xr:uid="{00000000-0005-0000-0000-0000389D0000}"/>
    <cellStyle name="Porcentagem 4 2 11" xfId="39130" xr:uid="{00000000-0005-0000-0000-0000399D0000}"/>
    <cellStyle name="Porcentagem 4 2 11 2" xfId="39131" xr:uid="{00000000-0005-0000-0000-00003A9D0000}"/>
    <cellStyle name="Porcentagem 4 2 11 2 2" xfId="39132" xr:uid="{00000000-0005-0000-0000-00003B9D0000}"/>
    <cellStyle name="Porcentagem 4 2 11 2 3" xfId="39133" xr:uid="{00000000-0005-0000-0000-00003C9D0000}"/>
    <cellStyle name="Porcentagem 4 2 11 2 4" xfId="39134" xr:uid="{00000000-0005-0000-0000-00003D9D0000}"/>
    <cellStyle name="Porcentagem 4 2 11 3" xfId="39135" xr:uid="{00000000-0005-0000-0000-00003E9D0000}"/>
    <cellStyle name="Porcentagem 4 2 11 3 2" xfId="39136" xr:uid="{00000000-0005-0000-0000-00003F9D0000}"/>
    <cellStyle name="Porcentagem 4 2 11 3 3" xfId="39137" xr:uid="{00000000-0005-0000-0000-0000409D0000}"/>
    <cellStyle name="Porcentagem 4 2 11 3 4" xfId="39138" xr:uid="{00000000-0005-0000-0000-0000419D0000}"/>
    <cellStyle name="Porcentagem 4 2 11 4" xfId="39139" xr:uid="{00000000-0005-0000-0000-0000429D0000}"/>
    <cellStyle name="Porcentagem 4 2 11 5" xfId="39140" xr:uid="{00000000-0005-0000-0000-0000439D0000}"/>
    <cellStyle name="Porcentagem 4 2 11 6" xfId="39141" xr:uid="{00000000-0005-0000-0000-0000449D0000}"/>
    <cellStyle name="Porcentagem 4 2 12" xfId="39142" xr:uid="{00000000-0005-0000-0000-0000459D0000}"/>
    <cellStyle name="Porcentagem 4 2 12 2" xfId="39143" xr:uid="{00000000-0005-0000-0000-0000469D0000}"/>
    <cellStyle name="Porcentagem 4 2 12 2 2" xfId="39144" xr:uid="{00000000-0005-0000-0000-0000479D0000}"/>
    <cellStyle name="Porcentagem 4 2 12 2 3" xfId="39145" xr:uid="{00000000-0005-0000-0000-0000489D0000}"/>
    <cellStyle name="Porcentagem 4 2 12 2 4" xfId="39146" xr:uid="{00000000-0005-0000-0000-0000499D0000}"/>
    <cellStyle name="Porcentagem 4 2 12 3" xfId="39147" xr:uid="{00000000-0005-0000-0000-00004A9D0000}"/>
    <cellStyle name="Porcentagem 4 2 12 3 2" xfId="39148" xr:uid="{00000000-0005-0000-0000-00004B9D0000}"/>
    <cellStyle name="Porcentagem 4 2 12 3 3" xfId="39149" xr:uid="{00000000-0005-0000-0000-00004C9D0000}"/>
    <cellStyle name="Porcentagem 4 2 12 3 4" xfId="39150" xr:uid="{00000000-0005-0000-0000-00004D9D0000}"/>
    <cellStyle name="Porcentagem 4 2 12 4" xfId="39151" xr:uid="{00000000-0005-0000-0000-00004E9D0000}"/>
    <cellStyle name="Porcentagem 4 2 12 5" xfId="39152" xr:uid="{00000000-0005-0000-0000-00004F9D0000}"/>
    <cellStyle name="Porcentagem 4 2 12 6" xfId="39153" xr:uid="{00000000-0005-0000-0000-0000509D0000}"/>
    <cellStyle name="Porcentagem 4 2 13" xfId="39154" xr:uid="{00000000-0005-0000-0000-0000519D0000}"/>
    <cellStyle name="Porcentagem 4 2 13 2" xfId="39155" xr:uid="{00000000-0005-0000-0000-0000529D0000}"/>
    <cellStyle name="Porcentagem 4 2 13 2 2" xfId="39156" xr:uid="{00000000-0005-0000-0000-0000539D0000}"/>
    <cellStyle name="Porcentagem 4 2 13 2 3" xfId="39157" xr:uid="{00000000-0005-0000-0000-0000549D0000}"/>
    <cellStyle name="Porcentagem 4 2 13 2 4" xfId="39158" xr:uid="{00000000-0005-0000-0000-0000559D0000}"/>
    <cellStyle name="Porcentagem 4 2 13 3" xfId="39159" xr:uid="{00000000-0005-0000-0000-0000569D0000}"/>
    <cellStyle name="Porcentagem 4 2 13 3 2" xfId="39160" xr:uid="{00000000-0005-0000-0000-0000579D0000}"/>
    <cellStyle name="Porcentagem 4 2 13 3 3" xfId="39161" xr:uid="{00000000-0005-0000-0000-0000589D0000}"/>
    <cellStyle name="Porcentagem 4 2 13 3 4" xfId="39162" xr:uid="{00000000-0005-0000-0000-0000599D0000}"/>
    <cellStyle name="Porcentagem 4 2 13 4" xfId="39163" xr:uid="{00000000-0005-0000-0000-00005A9D0000}"/>
    <cellStyle name="Porcentagem 4 2 13 5" xfId="39164" xr:uid="{00000000-0005-0000-0000-00005B9D0000}"/>
    <cellStyle name="Porcentagem 4 2 13 6" xfId="39165" xr:uid="{00000000-0005-0000-0000-00005C9D0000}"/>
    <cellStyle name="Porcentagem 4 2 14" xfId="39166" xr:uid="{00000000-0005-0000-0000-00005D9D0000}"/>
    <cellStyle name="Porcentagem 4 2 14 2" xfId="39167" xr:uid="{00000000-0005-0000-0000-00005E9D0000}"/>
    <cellStyle name="Porcentagem 4 2 14 2 2" xfId="39168" xr:uid="{00000000-0005-0000-0000-00005F9D0000}"/>
    <cellStyle name="Porcentagem 4 2 14 2 3" xfId="39169" xr:uid="{00000000-0005-0000-0000-0000609D0000}"/>
    <cellStyle name="Porcentagem 4 2 14 2 4" xfId="39170" xr:uid="{00000000-0005-0000-0000-0000619D0000}"/>
    <cellStyle name="Porcentagem 4 2 14 3" xfId="39171" xr:uid="{00000000-0005-0000-0000-0000629D0000}"/>
    <cellStyle name="Porcentagem 4 2 14 3 2" xfId="39172" xr:uid="{00000000-0005-0000-0000-0000639D0000}"/>
    <cellStyle name="Porcentagem 4 2 14 3 3" xfId="39173" xr:uid="{00000000-0005-0000-0000-0000649D0000}"/>
    <cellStyle name="Porcentagem 4 2 14 3 4" xfId="39174" xr:uid="{00000000-0005-0000-0000-0000659D0000}"/>
    <cellStyle name="Porcentagem 4 2 14 4" xfId="39175" xr:uid="{00000000-0005-0000-0000-0000669D0000}"/>
    <cellStyle name="Porcentagem 4 2 14 5" xfId="39176" xr:uid="{00000000-0005-0000-0000-0000679D0000}"/>
    <cellStyle name="Porcentagem 4 2 14 6" xfId="39177" xr:uid="{00000000-0005-0000-0000-0000689D0000}"/>
    <cellStyle name="Porcentagem 4 2 15" xfId="39178" xr:uid="{00000000-0005-0000-0000-0000699D0000}"/>
    <cellStyle name="Porcentagem 4 2 15 2" xfId="39179" xr:uid="{00000000-0005-0000-0000-00006A9D0000}"/>
    <cellStyle name="Porcentagem 4 2 15 2 2" xfId="39180" xr:uid="{00000000-0005-0000-0000-00006B9D0000}"/>
    <cellStyle name="Porcentagem 4 2 15 2 3" xfId="39181" xr:uid="{00000000-0005-0000-0000-00006C9D0000}"/>
    <cellStyle name="Porcentagem 4 2 15 2 4" xfId="39182" xr:uid="{00000000-0005-0000-0000-00006D9D0000}"/>
    <cellStyle name="Porcentagem 4 2 15 3" xfId="39183" xr:uid="{00000000-0005-0000-0000-00006E9D0000}"/>
    <cellStyle name="Porcentagem 4 2 15 3 2" xfId="39184" xr:uid="{00000000-0005-0000-0000-00006F9D0000}"/>
    <cellStyle name="Porcentagem 4 2 15 3 3" xfId="39185" xr:uid="{00000000-0005-0000-0000-0000709D0000}"/>
    <cellStyle name="Porcentagem 4 2 15 3 4" xfId="39186" xr:uid="{00000000-0005-0000-0000-0000719D0000}"/>
    <cellStyle name="Porcentagem 4 2 15 4" xfId="39187" xr:uid="{00000000-0005-0000-0000-0000729D0000}"/>
    <cellStyle name="Porcentagem 4 2 15 5" xfId="39188" xr:uid="{00000000-0005-0000-0000-0000739D0000}"/>
    <cellStyle name="Porcentagem 4 2 15 6" xfId="39189" xr:uid="{00000000-0005-0000-0000-0000749D0000}"/>
    <cellStyle name="Porcentagem 4 2 16" xfId="39190" xr:uid="{00000000-0005-0000-0000-0000759D0000}"/>
    <cellStyle name="Porcentagem 4 2 16 2" xfId="39191" xr:uid="{00000000-0005-0000-0000-0000769D0000}"/>
    <cellStyle name="Porcentagem 4 2 16 2 2" xfId="39192" xr:uid="{00000000-0005-0000-0000-0000779D0000}"/>
    <cellStyle name="Porcentagem 4 2 16 2 3" xfId="39193" xr:uid="{00000000-0005-0000-0000-0000789D0000}"/>
    <cellStyle name="Porcentagem 4 2 16 2 4" xfId="39194" xr:uid="{00000000-0005-0000-0000-0000799D0000}"/>
    <cellStyle name="Porcentagem 4 2 16 3" xfId="39195" xr:uid="{00000000-0005-0000-0000-00007A9D0000}"/>
    <cellStyle name="Porcentagem 4 2 16 3 2" xfId="39196" xr:uid="{00000000-0005-0000-0000-00007B9D0000}"/>
    <cellStyle name="Porcentagem 4 2 16 3 3" xfId="39197" xr:uid="{00000000-0005-0000-0000-00007C9D0000}"/>
    <cellStyle name="Porcentagem 4 2 16 3 4" xfId="39198" xr:uid="{00000000-0005-0000-0000-00007D9D0000}"/>
    <cellStyle name="Porcentagem 4 2 16 4" xfId="39199" xr:uid="{00000000-0005-0000-0000-00007E9D0000}"/>
    <cellStyle name="Porcentagem 4 2 16 5" xfId="39200" xr:uid="{00000000-0005-0000-0000-00007F9D0000}"/>
    <cellStyle name="Porcentagem 4 2 16 6" xfId="39201" xr:uid="{00000000-0005-0000-0000-0000809D0000}"/>
    <cellStyle name="Porcentagem 4 2 17" xfId="39202" xr:uid="{00000000-0005-0000-0000-0000819D0000}"/>
    <cellStyle name="Porcentagem 4 2 17 2" xfId="39203" xr:uid="{00000000-0005-0000-0000-0000829D0000}"/>
    <cellStyle name="Porcentagem 4 2 17 2 2" xfId="39204" xr:uid="{00000000-0005-0000-0000-0000839D0000}"/>
    <cellStyle name="Porcentagem 4 2 17 2 3" xfId="39205" xr:uid="{00000000-0005-0000-0000-0000849D0000}"/>
    <cellStyle name="Porcentagem 4 2 17 2 4" xfId="39206" xr:uid="{00000000-0005-0000-0000-0000859D0000}"/>
    <cellStyle name="Porcentagem 4 2 17 3" xfId="39207" xr:uid="{00000000-0005-0000-0000-0000869D0000}"/>
    <cellStyle name="Porcentagem 4 2 17 3 2" xfId="39208" xr:uid="{00000000-0005-0000-0000-0000879D0000}"/>
    <cellStyle name="Porcentagem 4 2 17 3 3" xfId="39209" xr:uid="{00000000-0005-0000-0000-0000889D0000}"/>
    <cellStyle name="Porcentagem 4 2 17 3 4" xfId="39210" xr:uid="{00000000-0005-0000-0000-0000899D0000}"/>
    <cellStyle name="Porcentagem 4 2 17 4" xfId="39211" xr:uid="{00000000-0005-0000-0000-00008A9D0000}"/>
    <cellStyle name="Porcentagem 4 2 17 5" xfId="39212" xr:uid="{00000000-0005-0000-0000-00008B9D0000}"/>
    <cellStyle name="Porcentagem 4 2 17 6" xfId="39213" xr:uid="{00000000-0005-0000-0000-00008C9D0000}"/>
    <cellStyle name="Porcentagem 4 2 18" xfId="39214" xr:uid="{00000000-0005-0000-0000-00008D9D0000}"/>
    <cellStyle name="Porcentagem 4 2 18 2" xfId="39215" xr:uid="{00000000-0005-0000-0000-00008E9D0000}"/>
    <cellStyle name="Porcentagem 4 2 18 3" xfId="39216" xr:uid="{00000000-0005-0000-0000-00008F9D0000}"/>
    <cellStyle name="Porcentagem 4 2 18 4" xfId="39217" xr:uid="{00000000-0005-0000-0000-0000909D0000}"/>
    <cellStyle name="Porcentagem 4 2 19" xfId="39218" xr:uid="{00000000-0005-0000-0000-0000919D0000}"/>
    <cellStyle name="Porcentagem 4 2 19 2" xfId="39219" xr:uid="{00000000-0005-0000-0000-0000929D0000}"/>
    <cellStyle name="Porcentagem 4 2 19 3" xfId="39220" xr:uid="{00000000-0005-0000-0000-0000939D0000}"/>
    <cellStyle name="Porcentagem 4 2 19 4" xfId="39221" xr:uid="{00000000-0005-0000-0000-0000949D0000}"/>
    <cellStyle name="Porcentagem 4 2 2" xfId="39222" xr:uid="{00000000-0005-0000-0000-0000959D0000}"/>
    <cellStyle name="Porcentagem 4 2 2 2" xfId="39223" xr:uid="{00000000-0005-0000-0000-0000969D0000}"/>
    <cellStyle name="Porcentagem 4 2 2 2 2" xfId="39224" xr:uid="{00000000-0005-0000-0000-0000979D0000}"/>
    <cellStyle name="Porcentagem 4 2 2 2 3" xfId="39225" xr:uid="{00000000-0005-0000-0000-0000989D0000}"/>
    <cellStyle name="Porcentagem 4 2 2 2 4" xfId="39226" xr:uid="{00000000-0005-0000-0000-0000999D0000}"/>
    <cellStyle name="Porcentagem 4 2 2 3" xfId="39227" xr:uid="{00000000-0005-0000-0000-00009A9D0000}"/>
    <cellStyle name="Porcentagem 4 2 2 3 2" xfId="39228" xr:uid="{00000000-0005-0000-0000-00009B9D0000}"/>
    <cellStyle name="Porcentagem 4 2 2 3 3" xfId="39229" xr:uid="{00000000-0005-0000-0000-00009C9D0000}"/>
    <cellStyle name="Porcentagem 4 2 2 3 4" xfId="39230" xr:uid="{00000000-0005-0000-0000-00009D9D0000}"/>
    <cellStyle name="Porcentagem 4 2 2 4" xfId="39231" xr:uid="{00000000-0005-0000-0000-00009E9D0000}"/>
    <cellStyle name="Porcentagem 4 2 2 5" xfId="39232" xr:uid="{00000000-0005-0000-0000-00009F9D0000}"/>
    <cellStyle name="Porcentagem 4 2 2 6" xfId="39233" xr:uid="{00000000-0005-0000-0000-0000A09D0000}"/>
    <cellStyle name="Porcentagem 4 2 20" xfId="39234" xr:uid="{00000000-0005-0000-0000-0000A19D0000}"/>
    <cellStyle name="Porcentagem 4 2 20 2" xfId="39235" xr:uid="{00000000-0005-0000-0000-0000A29D0000}"/>
    <cellStyle name="Porcentagem 4 2 20 3" xfId="39236" xr:uid="{00000000-0005-0000-0000-0000A39D0000}"/>
    <cellStyle name="Porcentagem 4 2 20 4" xfId="39237" xr:uid="{00000000-0005-0000-0000-0000A49D0000}"/>
    <cellStyle name="Porcentagem 4 2 21" xfId="39238" xr:uid="{00000000-0005-0000-0000-0000A59D0000}"/>
    <cellStyle name="Porcentagem 4 2 22" xfId="39239" xr:uid="{00000000-0005-0000-0000-0000A69D0000}"/>
    <cellStyle name="Porcentagem 4 2 23" xfId="39240" xr:uid="{00000000-0005-0000-0000-0000A79D0000}"/>
    <cellStyle name="Porcentagem 4 2 3" xfId="39241" xr:uid="{00000000-0005-0000-0000-0000A89D0000}"/>
    <cellStyle name="Porcentagem 4 2 3 2" xfId="39242" xr:uid="{00000000-0005-0000-0000-0000A99D0000}"/>
    <cellStyle name="Porcentagem 4 2 3 2 2" xfId="39243" xr:uid="{00000000-0005-0000-0000-0000AA9D0000}"/>
    <cellStyle name="Porcentagem 4 2 3 2 3" xfId="39244" xr:uid="{00000000-0005-0000-0000-0000AB9D0000}"/>
    <cellStyle name="Porcentagem 4 2 3 2 4" xfId="39245" xr:uid="{00000000-0005-0000-0000-0000AC9D0000}"/>
    <cellStyle name="Porcentagem 4 2 3 3" xfId="39246" xr:uid="{00000000-0005-0000-0000-0000AD9D0000}"/>
    <cellStyle name="Porcentagem 4 2 3 3 2" xfId="39247" xr:uid="{00000000-0005-0000-0000-0000AE9D0000}"/>
    <cellStyle name="Porcentagem 4 2 3 3 3" xfId="39248" xr:uid="{00000000-0005-0000-0000-0000AF9D0000}"/>
    <cellStyle name="Porcentagem 4 2 3 3 4" xfId="39249" xr:uid="{00000000-0005-0000-0000-0000B09D0000}"/>
    <cellStyle name="Porcentagem 4 2 3 4" xfId="39250" xr:uid="{00000000-0005-0000-0000-0000B19D0000}"/>
    <cellStyle name="Porcentagem 4 2 3 5" xfId="39251" xr:uid="{00000000-0005-0000-0000-0000B29D0000}"/>
    <cellStyle name="Porcentagem 4 2 3 6" xfId="39252" xr:uid="{00000000-0005-0000-0000-0000B39D0000}"/>
    <cellStyle name="Porcentagem 4 2 4" xfId="39253" xr:uid="{00000000-0005-0000-0000-0000B49D0000}"/>
    <cellStyle name="Porcentagem 4 2 4 2" xfId="39254" xr:uid="{00000000-0005-0000-0000-0000B59D0000}"/>
    <cellStyle name="Porcentagem 4 2 4 2 2" xfId="39255" xr:uid="{00000000-0005-0000-0000-0000B69D0000}"/>
    <cellStyle name="Porcentagem 4 2 4 2 3" xfId="39256" xr:uid="{00000000-0005-0000-0000-0000B79D0000}"/>
    <cellStyle name="Porcentagem 4 2 4 2 4" xfId="39257" xr:uid="{00000000-0005-0000-0000-0000B89D0000}"/>
    <cellStyle name="Porcentagem 4 2 4 3" xfId="39258" xr:uid="{00000000-0005-0000-0000-0000B99D0000}"/>
    <cellStyle name="Porcentagem 4 2 4 3 2" xfId="39259" xr:uid="{00000000-0005-0000-0000-0000BA9D0000}"/>
    <cellStyle name="Porcentagem 4 2 4 3 3" xfId="39260" xr:uid="{00000000-0005-0000-0000-0000BB9D0000}"/>
    <cellStyle name="Porcentagem 4 2 4 3 4" xfId="39261" xr:uid="{00000000-0005-0000-0000-0000BC9D0000}"/>
    <cellStyle name="Porcentagem 4 2 4 4" xfId="39262" xr:uid="{00000000-0005-0000-0000-0000BD9D0000}"/>
    <cellStyle name="Porcentagem 4 2 4 5" xfId="39263" xr:uid="{00000000-0005-0000-0000-0000BE9D0000}"/>
    <cellStyle name="Porcentagem 4 2 4 6" xfId="39264" xr:uid="{00000000-0005-0000-0000-0000BF9D0000}"/>
    <cellStyle name="Porcentagem 4 2 5" xfId="39265" xr:uid="{00000000-0005-0000-0000-0000C09D0000}"/>
    <cellStyle name="Porcentagem 4 2 5 2" xfId="39266" xr:uid="{00000000-0005-0000-0000-0000C19D0000}"/>
    <cellStyle name="Porcentagem 4 2 5 2 2" xfId="39267" xr:uid="{00000000-0005-0000-0000-0000C29D0000}"/>
    <cellStyle name="Porcentagem 4 2 5 2 3" xfId="39268" xr:uid="{00000000-0005-0000-0000-0000C39D0000}"/>
    <cellStyle name="Porcentagem 4 2 5 2 4" xfId="39269" xr:uid="{00000000-0005-0000-0000-0000C49D0000}"/>
    <cellStyle name="Porcentagem 4 2 5 3" xfId="39270" xr:uid="{00000000-0005-0000-0000-0000C59D0000}"/>
    <cellStyle name="Porcentagem 4 2 5 3 2" xfId="39271" xr:uid="{00000000-0005-0000-0000-0000C69D0000}"/>
    <cellStyle name="Porcentagem 4 2 5 3 3" xfId="39272" xr:uid="{00000000-0005-0000-0000-0000C79D0000}"/>
    <cellStyle name="Porcentagem 4 2 5 3 4" xfId="39273" xr:uid="{00000000-0005-0000-0000-0000C89D0000}"/>
    <cellStyle name="Porcentagem 4 2 5 4" xfId="39274" xr:uid="{00000000-0005-0000-0000-0000C99D0000}"/>
    <cellStyle name="Porcentagem 4 2 5 5" xfId="39275" xr:uid="{00000000-0005-0000-0000-0000CA9D0000}"/>
    <cellStyle name="Porcentagem 4 2 5 6" xfId="39276" xr:uid="{00000000-0005-0000-0000-0000CB9D0000}"/>
    <cellStyle name="Porcentagem 4 2 6" xfId="39277" xr:uid="{00000000-0005-0000-0000-0000CC9D0000}"/>
    <cellStyle name="Porcentagem 4 2 6 2" xfId="39278" xr:uid="{00000000-0005-0000-0000-0000CD9D0000}"/>
    <cellStyle name="Porcentagem 4 2 6 2 2" xfId="39279" xr:uid="{00000000-0005-0000-0000-0000CE9D0000}"/>
    <cellStyle name="Porcentagem 4 2 6 2 3" xfId="39280" xr:uid="{00000000-0005-0000-0000-0000CF9D0000}"/>
    <cellStyle name="Porcentagem 4 2 6 2 4" xfId="39281" xr:uid="{00000000-0005-0000-0000-0000D09D0000}"/>
    <cellStyle name="Porcentagem 4 2 6 3" xfId="39282" xr:uid="{00000000-0005-0000-0000-0000D19D0000}"/>
    <cellStyle name="Porcentagem 4 2 6 3 2" xfId="39283" xr:uid="{00000000-0005-0000-0000-0000D29D0000}"/>
    <cellStyle name="Porcentagem 4 2 6 3 3" xfId="39284" xr:uid="{00000000-0005-0000-0000-0000D39D0000}"/>
    <cellStyle name="Porcentagem 4 2 6 3 4" xfId="39285" xr:uid="{00000000-0005-0000-0000-0000D49D0000}"/>
    <cellStyle name="Porcentagem 4 2 6 4" xfId="39286" xr:uid="{00000000-0005-0000-0000-0000D59D0000}"/>
    <cellStyle name="Porcentagem 4 2 6 5" xfId="39287" xr:uid="{00000000-0005-0000-0000-0000D69D0000}"/>
    <cellStyle name="Porcentagem 4 2 6 6" xfId="39288" xr:uid="{00000000-0005-0000-0000-0000D79D0000}"/>
    <cellStyle name="Porcentagem 4 2 7" xfId="39289" xr:uid="{00000000-0005-0000-0000-0000D89D0000}"/>
    <cellStyle name="Porcentagem 4 2 7 2" xfId="39290" xr:uid="{00000000-0005-0000-0000-0000D99D0000}"/>
    <cellStyle name="Porcentagem 4 2 7 2 2" xfId="39291" xr:uid="{00000000-0005-0000-0000-0000DA9D0000}"/>
    <cellStyle name="Porcentagem 4 2 7 2 3" xfId="39292" xr:uid="{00000000-0005-0000-0000-0000DB9D0000}"/>
    <cellStyle name="Porcentagem 4 2 7 2 4" xfId="39293" xr:uid="{00000000-0005-0000-0000-0000DC9D0000}"/>
    <cellStyle name="Porcentagem 4 2 7 3" xfId="39294" xr:uid="{00000000-0005-0000-0000-0000DD9D0000}"/>
    <cellStyle name="Porcentagem 4 2 7 3 2" xfId="39295" xr:uid="{00000000-0005-0000-0000-0000DE9D0000}"/>
    <cellStyle name="Porcentagem 4 2 7 3 3" xfId="39296" xr:uid="{00000000-0005-0000-0000-0000DF9D0000}"/>
    <cellStyle name="Porcentagem 4 2 7 3 4" xfId="39297" xr:uid="{00000000-0005-0000-0000-0000E09D0000}"/>
    <cellStyle name="Porcentagem 4 2 7 4" xfId="39298" xr:uid="{00000000-0005-0000-0000-0000E19D0000}"/>
    <cellStyle name="Porcentagem 4 2 7 5" xfId="39299" xr:uid="{00000000-0005-0000-0000-0000E29D0000}"/>
    <cellStyle name="Porcentagem 4 2 7 6" xfId="39300" xr:uid="{00000000-0005-0000-0000-0000E39D0000}"/>
    <cellStyle name="Porcentagem 4 2 8" xfId="39301" xr:uid="{00000000-0005-0000-0000-0000E49D0000}"/>
    <cellStyle name="Porcentagem 4 2 8 2" xfId="39302" xr:uid="{00000000-0005-0000-0000-0000E59D0000}"/>
    <cellStyle name="Porcentagem 4 2 8 2 2" xfId="39303" xr:uid="{00000000-0005-0000-0000-0000E69D0000}"/>
    <cellStyle name="Porcentagem 4 2 8 2 3" xfId="39304" xr:uid="{00000000-0005-0000-0000-0000E79D0000}"/>
    <cellStyle name="Porcentagem 4 2 8 2 4" xfId="39305" xr:uid="{00000000-0005-0000-0000-0000E89D0000}"/>
    <cellStyle name="Porcentagem 4 2 8 3" xfId="39306" xr:uid="{00000000-0005-0000-0000-0000E99D0000}"/>
    <cellStyle name="Porcentagem 4 2 8 3 2" xfId="39307" xr:uid="{00000000-0005-0000-0000-0000EA9D0000}"/>
    <cellStyle name="Porcentagem 4 2 8 3 3" xfId="39308" xr:uid="{00000000-0005-0000-0000-0000EB9D0000}"/>
    <cellStyle name="Porcentagem 4 2 8 3 4" xfId="39309" xr:uid="{00000000-0005-0000-0000-0000EC9D0000}"/>
    <cellStyle name="Porcentagem 4 2 8 4" xfId="39310" xr:uid="{00000000-0005-0000-0000-0000ED9D0000}"/>
    <cellStyle name="Porcentagem 4 2 8 5" xfId="39311" xr:uid="{00000000-0005-0000-0000-0000EE9D0000}"/>
    <cellStyle name="Porcentagem 4 2 8 6" xfId="39312" xr:uid="{00000000-0005-0000-0000-0000EF9D0000}"/>
    <cellStyle name="Porcentagem 4 2 9" xfId="39313" xr:uid="{00000000-0005-0000-0000-0000F09D0000}"/>
    <cellStyle name="Porcentagem 4 2 9 2" xfId="39314" xr:uid="{00000000-0005-0000-0000-0000F19D0000}"/>
    <cellStyle name="Porcentagem 4 2 9 2 2" xfId="39315" xr:uid="{00000000-0005-0000-0000-0000F29D0000}"/>
    <cellStyle name="Porcentagem 4 2 9 2 3" xfId="39316" xr:uid="{00000000-0005-0000-0000-0000F39D0000}"/>
    <cellStyle name="Porcentagem 4 2 9 2 4" xfId="39317" xr:uid="{00000000-0005-0000-0000-0000F49D0000}"/>
    <cellStyle name="Porcentagem 4 2 9 3" xfId="39318" xr:uid="{00000000-0005-0000-0000-0000F59D0000}"/>
    <cellStyle name="Porcentagem 4 2 9 3 2" xfId="39319" xr:uid="{00000000-0005-0000-0000-0000F69D0000}"/>
    <cellStyle name="Porcentagem 4 2 9 3 3" xfId="39320" xr:uid="{00000000-0005-0000-0000-0000F79D0000}"/>
    <cellStyle name="Porcentagem 4 2 9 3 4" xfId="39321" xr:uid="{00000000-0005-0000-0000-0000F89D0000}"/>
    <cellStyle name="Porcentagem 4 2 9 4" xfId="39322" xr:uid="{00000000-0005-0000-0000-0000F99D0000}"/>
    <cellStyle name="Porcentagem 4 2 9 5" xfId="39323" xr:uid="{00000000-0005-0000-0000-0000FA9D0000}"/>
    <cellStyle name="Porcentagem 4 2 9 6" xfId="39324" xr:uid="{00000000-0005-0000-0000-0000FB9D0000}"/>
    <cellStyle name="Porcentagem 4 20" xfId="39325" xr:uid="{00000000-0005-0000-0000-0000FC9D0000}"/>
    <cellStyle name="Porcentagem 4 20 2" xfId="39326" xr:uid="{00000000-0005-0000-0000-0000FD9D0000}"/>
    <cellStyle name="Porcentagem 4 20 3" xfId="39327" xr:uid="{00000000-0005-0000-0000-0000FE9D0000}"/>
    <cellStyle name="Porcentagem 4 20 4" xfId="39328" xr:uid="{00000000-0005-0000-0000-0000FF9D0000}"/>
    <cellStyle name="Porcentagem 4 21" xfId="39329" xr:uid="{00000000-0005-0000-0000-0000009E0000}"/>
    <cellStyle name="Porcentagem 4 21 2" xfId="39330" xr:uid="{00000000-0005-0000-0000-0000019E0000}"/>
    <cellStyle name="Porcentagem 4 21 3" xfId="39331" xr:uid="{00000000-0005-0000-0000-0000029E0000}"/>
    <cellStyle name="Porcentagem 4 21 4" xfId="39332" xr:uid="{00000000-0005-0000-0000-0000039E0000}"/>
    <cellStyle name="Porcentagem 4 22" xfId="39333" xr:uid="{00000000-0005-0000-0000-0000049E0000}"/>
    <cellStyle name="Porcentagem 4 22 2" xfId="39334" xr:uid="{00000000-0005-0000-0000-0000059E0000}"/>
    <cellStyle name="Porcentagem 4 22 3" xfId="39335" xr:uid="{00000000-0005-0000-0000-0000069E0000}"/>
    <cellStyle name="Porcentagem 4 22 4" xfId="39336" xr:uid="{00000000-0005-0000-0000-0000079E0000}"/>
    <cellStyle name="Porcentagem 4 23" xfId="39337" xr:uid="{00000000-0005-0000-0000-0000089E0000}"/>
    <cellStyle name="Porcentagem 4 24" xfId="39338" xr:uid="{00000000-0005-0000-0000-0000099E0000}"/>
    <cellStyle name="Porcentagem 4 25" xfId="39339" xr:uid="{00000000-0005-0000-0000-00000A9E0000}"/>
    <cellStyle name="Porcentagem 4 3" xfId="1789" xr:uid="{00000000-0005-0000-0000-00000B9E0000}"/>
    <cellStyle name="Porcentagem 4 3 10" xfId="39340" xr:uid="{00000000-0005-0000-0000-00000C9E0000}"/>
    <cellStyle name="Porcentagem 4 3 10 2" xfId="39341" xr:uid="{00000000-0005-0000-0000-00000D9E0000}"/>
    <cellStyle name="Porcentagem 4 3 10 2 2" xfId="39342" xr:uid="{00000000-0005-0000-0000-00000E9E0000}"/>
    <cellStyle name="Porcentagem 4 3 10 2 3" xfId="39343" xr:uid="{00000000-0005-0000-0000-00000F9E0000}"/>
    <cellStyle name="Porcentagem 4 3 10 2 4" xfId="39344" xr:uid="{00000000-0005-0000-0000-0000109E0000}"/>
    <cellStyle name="Porcentagem 4 3 10 3" xfId="39345" xr:uid="{00000000-0005-0000-0000-0000119E0000}"/>
    <cellStyle name="Porcentagem 4 3 10 3 2" xfId="39346" xr:uid="{00000000-0005-0000-0000-0000129E0000}"/>
    <cellStyle name="Porcentagem 4 3 10 3 3" xfId="39347" xr:uid="{00000000-0005-0000-0000-0000139E0000}"/>
    <cellStyle name="Porcentagem 4 3 10 3 4" xfId="39348" xr:uid="{00000000-0005-0000-0000-0000149E0000}"/>
    <cellStyle name="Porcentagem 4 3 10 4" xfId="39349" xr:uid="{00000000-0005-0000-0000-0000159E0000}"/>
    <cellStyle name="Porcentagem 4 3 10 5" xfId="39350" xr:uid="{00000000-0005-0000-0000-0000169E0000}"/>
    <cellStyle name="Porcentagem 4 3 10 6" xfId="39351" xr:uid="{00000000-0005-0000-0000-0000179E0000}"/>
    <cellStyle name="Porcentagem 4 3 11" xfId="39352" xr:uid="{00000000-0005-0000-0000-0000189E0000}"/>
    <cellStyle name="Porcentagem 4 3 11 2" xfId="39353" xr:uid="{00000000-0005-0000-0000-0000199E0000}"/>
    <cellStyle name="Porcentagem 4 3 11 2 2" xfId="39354" xr:uid="{00000000-0005-0000-0000-00001A9E0000}"/>
    <cellStyle name="Porcentagem 4 3 11 2 3" xfId="39355" xr:uid="{00000000-0005-0000-0000-00001B9E0000}"/>
    <cellStyle name="Porcentagem 4 3 11 2 4" xfId="39356" xr:uid="{00000000-0005-0000-0000-00001C9E0000}"/>
    <cellStyle name="Porcentagem 4 3 11 3" xfId="39357" xr:uid="{00000000-0005-0000-0000-00001D9E0000}"/>
    <cellStyle name="Porcentagem 4 3 11 3 2" xfId="39358" xr:uid="{00000000-0005-0000-0000-00001E9E0000}"/>
    <cellStyle name="Porcentagem 4 3 11 3 3" xfId="39359" xr:uid="{00000000-0005-0000-0000-00001F9E0000}"/>
    <cellStyle name="Porcentagem 4 3 11 3 4" xfId="39360" xr:uid="{00000000-0005-0000-0000-0000209E0000}"/>
    <cellStyle name="Porcentagem 4 3 11 4" xfId="39361" xr:uid="{00000000-0005-0000-0000-0000219E0000}"/>
    <cellStyle name="Porcentagem 4 3 11 5" xfId="39362" xr:uid="{00000000-0005-0000-0000-0000229E0000}"/>
    <cellStyle name="Porcentagem 4 3 11 6" xfId="39363" xr:uid="{00000000-0005-0000-0000-0000239E0000}"/>
    <cellStyle name="Porcentagem 4 3 12" xfId="39364" xr:uid="{00000000-0005-0000-0000-0000249E0000}"/>
    <cellStyle name="Porcentagem 4 3 12 2" xfId="39365" xr:uid="{00000000-0005-0000-0000-0000259E0000}"/>
    <cellStyle name="Porcentagem 4 3 12 2 2" xfId="39366" xr:uid="{00000000-0005-0000-0000-0000269E0000}"/>
    <cellStyle name="Porcentagem 4 3 12 2 3" xfId="39367" xr:uid="{00000000-0005-0000-0000-0000279E0000}"/>
    <cellStyle name="Porcentagem 4 3 12 2 4" xfId="39368" xr:uid="{00000000-0005-0000-0000-0000289E0000}"/>
    <cellStyle name="Porcentagem 4 3 12 3" xfId="39369" xr:uid="{00000000-0005-0000-0000-0000299E0000}"/>
    <cellStyle name="Porcentagem 4 3 12 3 2" xfId="39370" xr:uid="{00000000-0005-0000-0000-00002A9E0000}"/>
    <cellStyle name="Porcentagem 4 3 12 3 3" xfId="39371" xr:uid="{00000000-0005-0000-0000-00002B9E0000}"/>
    <cellStyle name="Porcentagem 4 3 12 3 4" xfId="39372" xr:uid="{00000000-0005-0000-0000-00002C9E0000}"/>
    <cellStyle name="Porcentagem 4 3 12 4" xfId="39373" xr:uid="{00000000-0005-0000-0000-00002D9E0000}"/>
    <cellStyle name="Porcentagem 4 3 12 5" xfId="39374" xr:uid="{00000000-0005-0000-0000-00002E9E0000}"/>
    <cellStyle name="Porcentagem 4 3 12 6" xfId="39375" xr:uid="{00000000-0005-0000-0000-00002F9E0000}"/>
    <cellStyle name="Porcentagem 4 3 13" xfId="39376" xr:uid="{00000000-0005-0000-0000-0000309E0000}"/>
    <cellStyle name="Porcentagem 4 3 13 2" xfId="39377" xr:uid="{00000000-0005-0000-0000-0000319E0000}"/>
    <cellStyle name="Porcentagem 4 3 13 2 2" xfId="39378" xr:uid="{00000000-0005-0000-0000-0000329E0000}"/>
    <cellStyle name="Porcentagem 4 3 13 2 3" xfId="39379" xr:uid="{00000000-0005-0000-0000-0000339E0000}"/>
    <cellStyle name="Porcentagem 4 3 13 2 4" xfId="39380" xr:uid="{00000000-0005-0000-0000-0000349E0000}"/>
    <cellStyle name="Porcentagem 4 3 13 3" xfId="39381" xr:uid="{00000000-0005-0000-0000-0000359E0000}"/>
    <cellStyle name="Porcentagem 4 3 13 3 2" xfId="39382" xr:uid="{00000000-0005-0000-0000-0000369E0000}"/>
    <cellStyle name="Porcentagem 4 3 13 3 3" xfId="39383" xr:uid="{00000000-0005-0000-0000-0000379E0000}"/>
    <cellStyle name="Porcentagem 4 3 13 3 4" xfId="39384" xr:uid="{00000000-0005-0000-0000-0000389E0000}"/>
    <cellStyle name="Porcentagem 4 3 13 4" xfId="39385" xr:uid="{00000000-0005-0000-0000-0000399E0000}"/>
    <cellStyle name="Porcentagem 4 3 13 5" xfId="39386" xr:uid="{00000000-0005-0000-0000-00003A9E0000}"/>
    <cellStyle name="Porcentagem 4 3 13 6" xfId="39387" xr:uid="{00000000-0005-0000-0000-00003B9E0000}"/>
    <cellStyle name="Porcentagem 4 3 14" xfId="39388" xr:uid="{00000000-0005-0000-0000-00003C9E0000}"/>
    <cellStyle name="Porcentagem 4 3 14 2" xfId="39389" xr:uid="{00000000-0005-0000-0000-00003D9E0000}"/>
    <cellStyle name="Porcentagem 4 3 14 2 2" xfId="39390" xr:uid="{00000000-0005-0000-0000-00003E9E0000}"/>
    <cellStyle name="Porcentagem 4 3 14 2 3" xfId="39391" xr:uid="{00000000-0005-0000-0000-00003F9E0000}"/>
    <cellStyle name="Porcentagem 4 3 14 2 4" xfId="39392" xr:uid="{00000000-0005-0000-0000-0000409E0000}"/>
    <cellStyle name="Porcentagem 4 3 14 3" xfId="39393" xr:uid="{00000000-0005-0000-0000-0000419E0000}"/>
    <cellStyle name="Porcentagem 4 3 14 3 2" xfId="39394" xr:uid="{00000000-0005-0000-0000-0000429E0000}"/>
    <cellStyle name="Porcentagem 4 3 14 3 3" xfId="39395" xr:uid="{00000000-0005-0000-0000-0000439E0000}"/>
    <cellStyle name="Porcentagem 4 3 14 3 4" xfId="39396" xr:uid="{00000000-0005-0000-0000-0000449E0000}"/>
    <cellStyle name="Porcentagem 4 3 14 4" xfId="39397" xr:uid="{00000000-0005-0000-0000-0000459E0000}"/>
    <cellStyle name="Porcentagem 4 3 14 5" xfId="39398" xr:uid="{00000000-0005-0000-0000-0000469E0000}"/>
    <cellStyle name="Porcentagem 4 3 14 6" xfId="39399" xr:uid="{00000000-0005-0000-0000-0000479E0000}"/>
    <cellStyle name="Porcentagem 4 3 15" xfId="39400" xr:uid="{00000000-0005-0000-0000-0000489E0000}"/>
    <cellStyle name="Porcentagem 4 3 15 2" xfId="39401" xr:uid="{00000000-0005-0000-0000-0000499E0000}"/>
    <cellStyle name="Porcentagem 4 3 15 2 2" xfId="39402" xr:uid="{00000000-0005-0000-0000-00004A9E0000}"/>
    <cellStyle name="Porcentagem 4 3 15 2 3" xfId="39403" xr:uid="{00000000-0005-0000-0000-00004B9E0000}"/>
    <cellStyle name="Porcentagem 4 3 15 2 4" xfId="39404" xr:uid="{00000000-0005-0000-0000-00004C9E0000}"/>
    <cellStyle name="Porcentagem 4 3 15 3" xfId="39405" xr:uid="{00000000-0005-0000-0000-00004D9E0000}"/>
    <cellStyle name="Porcentagem 4 3 15 3 2" xfId="39406" xr:uid="{00000000-0005-0000-0000-00004E9E0000}"/>
    <cellStyle name="Porcentagem 4 3 15 3 3" xfId="39407" xr:uid="{00000000-0005-0000-0000-00004F9E0000}"/>
    <cellStyle name="Porcentagem 4 3 15 3 4" xfId="39408" xr:uid="{00000000-0005-0000-0000-0000509E0000}"/>
    <cellStyle name="Porcentagem 4 3 15 4" xfId="39409" xr:uid="{00000000-0005-0000-0000-0000519E0000}"/>
    <cellStyle name="Porcentagem 4 3 15 5" xfId="39410" xr:uid="{00000000-0005-0000-0000-0000529E0000}"/>
    <cellStyle name="Porcentagem 4 3 15 6" xfId="39411" xr:uid="{00000000-0005-0000-0000-0000539E0000}"/>
    <cellStyle name="Porcentagem 4 3 16" xfId="39412" xr:uid="{00000000-0005-0000-0000-0000549E0000}"/>
    <cellStyle name="Porcentagem 4 3 16 2" xfId="39413" xr:uid="{00000000-0005-0000-0000-0000559E0000}"/>
    <cellStyle name="Porcentagem 4 3 16 2 2" xfId="39414" xr:uid="{00000000-0005-0000-0000-0000569E0000}"/>
    <cellStyle name="Porcentagem 4 3 16 2 3" xfId="39415" xr:uid="{00000000-0005-0000-0000-0000579E0000}"/>
    <cellStyle name="Porcentagem 4 3 16 2 4" xfId="39416" xr:uid="{00000000-0005-0000-0000-0000589E0000}"/>
    <cellStyle name="Porcentagem 4 3 16 3" xfId="39417" xr:uid="{00000000-0005-0000-0000-0000599E0000}"/>
    <cellStyle name="Porcentagem 4 3 16 3 2" xfId="39418" xr:uid="{00000000-0005-0000-0000-00005A9E0000}"/>
    <cellStyle name="Porcentagem 4 3 16 3 3" xfId="39419" xr:uid="{00000000-0005-0000-0000-00005B9E0000}"/>
    <cellStyle name="Porcentagem 4 3 16 3 4" xfId="39420" xr:uid="{00000000-0005-0000-0000-00005C9E0000}"/>
    <cellStyle name="Porcentagem 4 3 16 4" xfId="39421" xr:uid="{00000000-0005-0000-0000-00005D9E0000}"/>
    <cellStyle name="Porcentagem 4 3 16 5" xfId="39422" xr:uid="{00000000-0005-0000-0000-00005E9E0000}"/>
    <cellStyle name="Porcentagem 4 3 16 6" xfId="39423" xr:uid="{00000000-0005-0000-0000-00005F9E0000}"/>
    <cellStyle name="Porcentagem 4 3 17" xfId="39424" xr:uid="{00000000-0005-0000-0000-0000609E0000}"/>
    <cellStyle name="Porcentagem 4 3 17 2" xfId="39425" xr:uid="{00000000-0005-0000-0000-0000619E0000}"/>
    <cellStyle name="Porcentagem 4 3 17 2 2" xfId="39426" xr:uid="{00000000-0005-0000-0000-0000629E0000}"/>
    <cellStyle name="Porcentagem 4 3 17 2 3" xfId="39427" xr:uid="{00000000-0005-0000-0000-0000639E0000}"/>
    <cellStyle name="Porcentagem 4 3 17 2 4" xfId="39428" xr:uid="{00000000-0005-0000-0000-0000649E0000}"/>
    <cellStyle name="Porcentagem 4 3 17 3" xfId="39429" xr:uid="{00000000-0005-0000-0000-0000659E0000}"/>
    <cellStyle name="Porcentagem 4 3 17 3 2" xfId="39430" xr:uid="{00000000-0005-0000-0000-0000669E0000}"/>
    <cellStyle name="Porcentagem 4 3 17 3 3" xfId="39431" xr:uid="{00000000-0005-0000-0000-0000679E0000}"/>
    <cellStyle name="Porcentagem 4 3 17 3 4" xfId="39432" xr:uid="{00000000-0005-0000-0000-0000689E0000}"/>
    <cellStyle name="Porcentagem 4 3 17 4" xfId="39433" xr:uid="{00000000-0005-0000-0000-0000699E0000}"/>
    <cellStyle name="Porcentagem 4 3 17 5" xfId="39434" xr:uid="{00000000-0005-0000-0000-00006A9E0000}"/>
    <cellStyle name="Porcentagem 4 3 17 6" xfId="39435" xr:uid="{00000000-0005-0000-0000-00006B9E0000}"/>
    <cellStyle name="Porcentagem 4 3 18" xfId="39436" xr:uid="{00000000-0005-0000-0000-00006C9E0000}"/>
    <cellStyle name="Porcentagem 4 3 18 2" xfId="39437" xr:uid="{00000000-0005-0000-0000-00006D9E0000}"/>
    <cellStyle name="Porcentagem 4 3 18 3" xfId="39438" xr:uid="{00000000-0005-0000-0000-00006E9E0000}"/>
    <cellStyle name="Porcentagem 4 3 18 4" xfId="39439" xr:uid="{00000000-0005-0000-0000-00006F9E0000}"/>
    <cellStyle name="Porcentagem 4 3 19" xfId="39440" xr:uid="{00000000-0005-0000-0000-0000709E0000}"/>
    <cellStyle name="Porcentagem 4 3 19 2" xfId="39441" xr:uid="{00000000-0005-0000-0000-0000719E0000}"/>
    <cellStyle name="Porcentagem 4 3 19 3" xfId="39442" xr:uid="{00000000-0005-0000-0000-0000729E0000}"/>
    <cellStyle name="Porcentagem 4 3 19 4" xfId="39443" xr:uid="{00000000-0005-0000-0000-0000739E0000}"/>
    <cellStyle name="Porcentagem 4 3 2" xfId="39444" xr:uid="{00000000-0005-0000-0000-0000749E0000}"/>
    <cellStyle name="Porcentagem 4 3 2 2" xfId="39445" xr:uid="{00000000-0005-0000-0000-0000759E0000}"/>
    <cellStyle name="Porcentagem 4 3 2 2 2" xfId="39446" xr:uid="{00000000-0005-0000-0000-0000769E0000}"/>
    <cellStyle name="Porcentagem 4 3 2 2 3" xfId="39447" xr:uid="{00000000-0005-0000-0000-0000779E0000}"/>
    <cellStyle name="Porcentagem 4 3 2 2 4" xfId="39448" xr:uid="{00000000-0005-0000-0000-0000789E0000}"/>
    <cellStyle name="Porcentagem 4 3 2 3" xfId="39449" xr:uid="{00000000-0005-0000-0000-0000799E0000}"/>
    <cellStyle name="Porcentagem 4 3 2 3 2" xfId="39450" xr:uid="{00000000-0005-0000-0000-00007A9E0000}"/>
    <cellStyle name="Porcentagem 4 3 2 3 3" xfId="39451" xr:uid="{00000000-0005-0000-0000-00007B9E0000}"/>
    <cellStyle name="Porcentagem 4 3 2 3 4" xfId="39452" xr:uid="{00000000-0005-0000-0000-00007C9E0000}"/>
    <cellStyle name="Porcentagem 4 3 2 4" xfId="39453" xr:uid="{00000000-0005-0000-0000-00007D9E0000}"/>
    <cellStyle name="Porcentagem 4 3 2 5" xfId="39454" xr:uid="{00000000-0005-0000-0000-00007E9E0000}"/>
    <cellStyle name="Porcentagem 4 3 2 6" xfId="39455" xr:uid="{00000000-0005-0000-0000-00007F9E0000}"/>
    <cellStyle name="Porcentagem 4 3 20" xfId="39456" xr:uid="{00000000-0005-0000-0000-0000809E0000}"/>
    <cellStyle name="Porcentagem 4 3 20 2" xfId="39457" xr:uid="{00000000-0005-0000-0000-0000819E0000}"/>
    <cellStyle name="Porcentagem 4 3 20 3" xfId="39458" xr:uid="{00000000-0005-0000-0000-0000829E0000}"/>
    <cellStyle name="Porcentagem 4 3 20 4" xfId="39459" xr:uid="{00000000-0005-0000-0000-0000839E0000}"/>
    <cellStyle name="Porcentagem 4 3 21" xfId="39460" xr:uid="{00000000-0005-0000-0000-0000849E0000}"/>
    <cellStyle name="Porcentagem 4 3 22" xfId="39461" xr:uid="{00000000-0005-0000-0000-0000859E0000}"/>
    <cellStyle name="Porcentagem 4 3 23" xfId="39462" xr:uid="{00000000-0005-0000-0000-0000869E0000}"/>
    <cellStyle name="Porcentagem 4 3 3" xfId="39463" xr:uid="{00000000-0005-0000-0000-0000879E0000}"/>
    <cellStyle name="Porcentagem 4 3 3 2" xfId="39464" xr:uid="{00000000-0005-0000-0000-0000889E0000}"/>
    <cellStyle name="Porcentagem 4 3 3 2 2" xfId="39465" xr:uid="{00000000-0005-0000-0000-0000899E0000}"/>
    <cellStyle name="Porcentagem 4 3 3 2 3" xfId="39466" xr:uid="{00000000-0005-0000-0000-00008A9E0000}"/>
    <cellStyle name="Porcentagem 4 3 3 2 4" xfId="39467" xr:uid="{00000000-0005-0000-0000-00008B9E0000}"/>
    <cellStyle name="Porcentagem 4 3 3 3" xfId="39468" xr:uid="{00000000-0005-0000-0000-00008C9E0000}"/>
    <cellStyle name="Porcentagem 4 3 3 3 2" xfId="39469" xr:uid="{00000000-0005-0000-0000-00008D9E0000}"/>
    <cellStyle name="Porcentagem 4 3 3 3 3" xfId="39470" xr:uid="{00000000-0005-0000-0000-00008E9E0000}"/>
    <cellStyle name="Porcentagem 4 3 3 3 4" xfId="39471" xr:uid="{00000000-0005-0000-0000-00008F9E0000}"/>
    <cellStyle name="Porcentagem 4 3 3 4" xfId="39472" xr:uid="{00000000-0005-0000-0000-0000909E0000}"/>
    <cellStyle name="Porcentagem 4 3 3 5" xfId="39473" xr:uid="{00000000-0005-0000-0000-0000919E0000}"/>
    <cellStyle name="Porcentagem 4 3 3 6" xfId="39474" xr:uid="{00000000-0005-0000-0000-0000929E0000}"/>
    <cellStyle name="Porcentagem 4 3 4" xfId="39475" xr:uid="{00000000-0005-0000-0000-0000939E0000}"/>
    <cellStyle name="Porcentagem 4 3 4 2" xfId="39476" xr:uid="{00000000-0005-0000-0000-0000949E0000}"/>
    <cellStyle name="Porcentagem 4 3 4 2 2" xfId="39477" xr:uid="{00000000-0005-0000-0000-0000959E0000}"/>
    <cellStyle name="Porcentagem 4 3 4 2 3" xfId="39478" xr:uid="{00000000-0005-0000-0000-0000969E0000}"/>
    <cellStyle name="Porcentagem 4 3 4 2 4" xfId="39479" xr:uid="{00000000-0005-0000-0000-0000979E0000}"/>
    <cellStyle name="Porcentagem 4 3 4 3" xfId="39480" xr:uid="{00000000-0005-0000-0000-0000989E0000}"/>
    <cellStyle name="Porcentagem 4 3 4 3 2" xfId="39481" xr:uid="{00000000-0005-0000-0000-0000999E0000}"/>
    <cellStyle name="Porcentagem 4 3 4 3 3" xfId="39482" xr:uid="{00000000-0005-0000-0000-00009A9E0000}"/>
    <cellStyle name="Porcentagem 4 3 4 3 4" xfId="39483" xr:uid="{00000000-0005-0000-0000-00009B9E0000}"/>
    <cellStyle name="Porcentagem 4 3 4 4" xfId="39484" xr:uid="{00000000-0005-0000-0000-00009C9E0000}"/>
    <cellStyle name="Porcentagem 4 3 4 5" xfId="39485" xr:uid="{00000000-0005-0000-0000-00009D9E0000}"/>
    <cellStyle name="Porcentagem 4 3 4 6" xfId="39486" xr:uid="{00000000-0005-0000-0000-00009E9E0000}"/>
    <cellStyle name="Porcentagem 4 3 5" xfId="39487" xr:uid="{00000000-0005-0000-0000-00009F9E0000}"/>
    <cellStyle name="Porcentagem 4 3 5 2" xfId="39488" xr:uid="{00000000-0005-0000-0000-0000A09E0000}"/>
    <cellStyle name="Porcentagem 4 3 5 2 2" xfId="39489" xr:uid="{00000000-0005-0000-0000-0000A19E0000}"/>
    <cellStyle name="Porcentagem 4 3 5 2 3" xfId="39490" xr:uid="{00000000-0005-0000-0000-0000A29E0000}"/>
    <cellStyle name="Porcentagem 4 3 5 2 4" xfId="39491" xr:uid="{00000000-0005-0000-0000-0000A39E0000}"/>
    <cellStyle name="Porcentagem 4 3 5 3" xfId="39492" xr:uid="{00000000-0005-0000-0000-0000A49E0000}"/>
    <cellStyle name="Porcentagem 4 3 5 3 2" xfId="39493" xr:uid="{00000000-0005-0000-0000-0000A59E0000}"/>
    <cellStyle name="Porcentagem 4 3 5 3 3" xfId="39494" xr:uid="{00000000-0005-0000-0000-0000A69E0000}"/>
    <cellStyle name="Porcentagem 4 3 5 3 4" xfId="39495" xr:uid="{00000000-0005-0000-0000-0000A79E0000}"/>
    <cellStyle name="Porcentagem 4 3 5 4" xfId="39496" xr:uid="{00000000-0005-0000-0000-0000A89E0000}"/>
    <cellStyle name="Porcentagem 4 3 5 5" xfId="39497" xr:uid="{00000000-0005-0000-0000-0000A99E0000}"/>
    <cellStyle name="Porcentagem 4 3 5 6" xfId="39498" xr:uid="{00000000-0005-0000-0000-0000AA9E0000}"/>
    <cellStyle name="Porcentagem 4 3 6" xfId="39499" xr:uid="{00000000-0005-0000-0000-0000AB9E0000}"/>
    <cellStyle name="Porcentagem 4 3 6 2" xfId="39500" xr:uid="{00000000-0005-0000-0000-0000AC9E0000}"/>
    <cellStyle name="Porcentagem 4 3 6 2 2" xfId="39501" xr:uid="{00000000-0005-0000-0000-0000AD9E0000}"/>
    <cellStyle name="Porcentagem 4 3 6 2 3" xfId="39502" xr:uid="{00000000-0005-0000-0000-0000AE9E0000}"/>
    <cellStyle name="Porcentagem 4 3 6 2 4" xfId="39503" xr:uid="{00000000-0005-0000-0000-0000AF9E0000}"/>
    <cellStyle name="Porcentagem 4 3 6 3" xfId="39504" xr:uid="{00000000-0005-0000-0000-0000B09E0000}"/>
    <cellStyle name="Porcentagem 4 3 6 3 2" xfId="39505" xr:uid="{00000000-0005-0000-0000-0000B19E0000}"/>
    <cellStyle name="Porcentagem 4 3 6 3 3" xfId="39506" xr:uid="{00000000-0005-0000-0000-0000B29E0000}"/>
    <cellStyle name="Porcentagem 4 3 6 3 4" xfId="39507" xr:uid="{00000000-0005-0000-0000-0000B39E0000}"/>
    <cellStyle name="Porcentagem 4 3 6 4" xfId="39508" xr:uid="{00000000-0005-0000-0000-0000B49E0000}"/>
    <cellStyle name="Porcentagem 4 3 6 5" xfId="39509" xr:uid="{00000000-0005-0000-0000-0000B59E0000}"/>
    <cellStyle name="Porcentagem 4 3 6 6" xfId="39510" xr:uid="{00000000-0005-0000-0000-0000B69E0000}"/>
    <cellStyle name="Porcentagem 4 3 7" xfId="39511" xr:uid="{00000000-0005-0000-0000-0000B79E0000}"/>
    <cellStyle name="Porcentagem 4 3 7 2" xfId="39512" xr:uid="{00000000-0005-0000-0000-0000B89E0000}"/>
    <cellStyle name="Porcentagem 4 3 7 2 2" xfId="39513" xr:uid="{00000000-0005-0000-0000-0000B99E0000}"/>
    <cellStyle name="Porcentagem 4 3 7 2 3" xfId="39514" xr:uid="{00000000-0005-0000-0000-0000BA9E0000}"/>
    <cellStyle name="Porcentagem 4 3 7 2 4" xfId="39515" xr:uid="{00000000-0005-0000-0000-0000BB9E0000}"/>
    <cellStyle name="Porcentagem 4 3 7 3" xfId="39516" xr:uid="{00000000-0005-0000-0000-0000BC9E0000}"/>
    <cellStyle name="Porcentagem 4 3 7 3 2" xfId="39517" xr:uid="{00000000-0005-0000-0000-0000BD9E0000}"/>
    <cellStyle name="Porcentagem 4 3 7 3 3" xfId="39518" xr:uid="{00000000-0005-0000-0000-0000BE9E0000}"/>
    <cellStyle name="Porcentagem 4 3 7 3 4" xfId="39519" xr:uid="{00000000-0005-0000-0000-0000BF9E0000}"/>
    <cellStyle name="Porcentagem 4 3 7 4" xfId="39520" xr:uid="{00000000-0005-0000-0000-0000C09E0000}"/>
    <cellStyle name="Porcentagem 4 3 7 5" xfId="39521" xr:uid="{00000000-0005-0000-0000-0000C19E0000}"/>
    <cellStyle name="Porcentagem 4 3 7 6" xfId="39522" xr:uid="{00000000-0005-0000-0000-0000C29E0000}"/>
    <cellStyle name="Porcentagem 4 3 8" xfId="39523" xr:uid="{00000000-0005-0000-0000-0000C39E0000}"/>
    <cellStyle name="Porcentagem 4 3 8 2" xfId="39524" xr:uid="{00000000-0005-0000-0000-0000C49E0000}"/>
    <cellStyle name="Porcentagem 4 3 8 2 2" xfId="39525" xr:uid="{00000000-0005-0000-0000-0000C59E0000}"/>
    <cellStyle name="Porcentagem 4 3 8 2 3" xfId="39526" xr:uid="{00000000-0005-0000-0000-0000C69E0000}"/>
    <cellStyle name="Porcentagem 4 3 8 2 4" xfId="39527" xr:uid="{00000000-0005-0000-0000-0000C79E0000}"/>
    <cellStyle name="Porcentagem 4 3 8 3" xfId="39528" xr:uid="{00000000-0005-0000-0000-0000C89E0000}"/>
    <cellStyle name="Porcentagem 4 3 8 3 2" xfId="39529" xr:uid="{00000000-0005-0000-0000-0000C99E0000}"/>
    <cellStyle name="Porcentagem 4 3 8 3 3" xfId="39530" xr:uid="{00000000-0005-0000-0000-0000CA9E0000}"/>
    <cellStyle name="Porcentagem 4 3 8 3 4" xfId="39531" xr:uid="{00000000-0005-0000-0000-0000CB9E0000}"/>
    <cellStyle name="Porcentagem 4 3 8 4" xfId="39532" xr:uid="{00000000-0005-0000-0000-0000CC9E0000}"/>
    <cellStyle name="Porcentagem 4 3 8 5" xfId="39533" xr:uid="{00000000-0005-0000-0000-0000CD9E0000}"/>
    <cellStyle name="Porcentagem 4 3 8 6" xfId="39534" xr:uid="{00000000-0005-0000-0000-0000CE9E0000}"/>
    <cellStyle name="Porcentagem 4 3 9" xfId="39535" xr:uid="{00000000-0005-0000-0000-0000CF9E0000}"/>
    <cellStyle name="Porcentagem 4 3 9 2" xfId="39536" xr:uid="{00000000-0005-0000-0000-0000D09E0000}"/>
    <cellStyle name="Porcentagem 4 3 9 2 2" xfId="39537" xr:uid="{00000000-0005-0000-0000-0000D19E0000}"/>
    <cellStyle name="Porcentagem 4 3 9 2 3" xfId="39538" xr:uid="{00000000-0005-0000-0000-0000D29E0000}"/>
    <cellStyle name="Porcentagem 4 3 9 2 4" xfId="39539" xr:uid="{00000000-0005-0000-0000-0000D39E0000}"/>
    <cellStyle name="Porcentagem 4 3 9 3" xfId="39540" xr:uid="{00000000-0005-0000-0000-0000D49E0000}"/>
    <cellStyle name="Porcentagem 4 3 9 3 2" xfId="39541" xr:uid="{00000000-0005-0000-0000-0000D59E0000}"/>
    <cellStyle name="Porcentagem 4 3 9 3 3" xfId="39542" xr:uid="{00000000-0005-0000-0000-0000D69E0000}"/>
    <cellStyle name="Porcentagem 4 3 9 3 4" xfId="39543" xr:uid="{00000000-0005-0000-0000-0000D79E0000}"/>
    <cellStyle name="Porcentagem 4 3 9 4" xfId="39544" xr:uid="{00000000-0005-0000-0000-0000D89E0000}"/>
    <cellStyle name="Porcentagem 4 3 9 5" xfId="39545" xr:uid="{00000000-0005-0000-0000-0000D99E0000}"/>
    <cellStyle name="Porcentagem 4 3 9 6" xfId="39546" xr:uid="{00000000-0005-0000-0000-0000DA9E0000}"/>
    <cellStyle name="Porcentagem 4 4" xfId="39547" xr:uid="{00000000-0005-0000-0000-0000DB9E0000}"/>
    <cellStyle name="Porcentagem 4 4 2" xfId="39548" xr:uid="{00000000-0005-0000-0000-0000DC9E0000}"/>
    <cellStyle name="Porcentagem 4 4 2 2" xfId="39549" xr:uid="{00000000-0005-0000-0000-0000DD9E0000}"/>
    <cellStyle name="Porcentagem 4 4 2 3" xfId="39550" xr:uid="{00000000-0005-0000-0000-0000DE9E0000}"/>
    <cellStyle name="Porcentagem 4 4 2 4" xfId="39551" xr:uid="{00000000-0005-0000-0000-0000DF9E0000}"/>
    <cellStyle name="Porcentagem 4 4 3" xfId="39552" xr:uid="{00000000-0005-0000-0000-0000E09E0000}"/>
    <cellStyle name="Porcentagem 4 4 3 2" xfId="39553" xr:uid="{00000000-0005-0000-0000-0000E19E0000}"/>
    <cellStyle name="Porcentagem 4 4 3 3" xfId="39554" xr:uid="{00000000-0005-0000-0000-0000E29E0000}"/>
    <cellStyle name="Porcentagem 4 4 3 4" xfId="39555" xr:uid="{00000000-0005-0000-0000-0000E39E0000}"/>
    <cellStyle name="Porcentagem 4 4 4" xfId="39556" xr:uid="{00000000-0005-0000-0000-0000E49E0000}"/>
    <cellStyle name="Porcentagem 4 4 5" xfId="39557" xr:uid="{00000000-0005-0000-0000-0000E59E0000}"/>
    <cellStyle name="Porcentagem 4 4 6" xfId="39558" xr:uid="{00000000-0005-0000-0000-0000E69E0000}"/>
    <cellStyle name="Porcentagem 4 5" xfId="39559" xr:uid="{00000000-0005-0000-0000-0000E79E0000}"/>
    <cellStyle name="Porcentagem 4 5 2" xfId="39560" xr:uid="{00000000-0005-0000-0000-0000E89E0000}"/>
    <cellStyle name="Porcentagem 4 5 2 2" xfId="39561" xr:uid="{00000000-0005-0000-0000-0000E99E0000}"/>
    <cellStyle name="Porcentagem 4 5 2 3" xfId="39562" xr:uid="{00000000-0005-0000-0000-0000EA9E0000}"/>
    <cellStyle name="Porcentagem 4 5 2 4" xfId="39563" xr:uid="{00000000-0005-0000-0000-0000EB9E0000}"/>
    <cellStyle name="Porcentagem 4 5 3" xfId="39564" xr:uid="{00000000-0005-0000-0000-0000EC9E0000}"/>
    <cellStyle name="Porcentagem 4 5 3 2" xfId="39565" xr:uid="{00000000-0005-0000-0000-0000ED9E0000}"/>
    <cellStyle name="Porcentagem 4 5 3 3" xfId="39566" xr:uid="{00000000-0005-0000-0000-0000EE9E0000}"/>
    <cellStyle name="Porcentagem 4 5 3 4" xfId="39567" xr:uid="{00000000-0005-0000-0000-0000EF9E0000}"/>
    <cellStyle name="Porcentagem 4 5 4" xfId="39568" xr:uid="{00000000-0005-0000-0000-0000F09E0000}"/>
    <cellStyle name="Porcentagem 4 5 5" xfId="39569" xr:uid="{00000000-0005-0000-0000-0000F19E0000}"/>
    <cellStyle name="Porcentagem 4 5 6" xfId="39570" xr:uid="{00000000-0005-0000-0000-0000F29E0000}"/>
    <cellStyle name="Porcentagem 4 6" xfId="39571" xr:uid="{00000000-0005-0000-0000-0000F39E0000}"/>
    <cellStyle name="Porcentagem 4 6 2" xfId="39572" xr:uid="{00000000-0005-0000-0000-0000F49E0000}"/>
    <cellStyle name="Porcentagem 4 6 2 2" xfId="39573" xr:uid="{00000000-0005-0000-0000-0000F59E0000}"/>
    <cellStyle name="Porcentagem 4 6 2 3" xfId="39574" xr:uid="{00000000-0005-0000-0000-0000F69E0000}"/>
    <cellStyle name="Porcentagem 4 6 2 4" xfId="39575" xr:uid="{00000000-0005-0000-0000-0000F79E0000}"/>
    <cellStyle name="Porcentagem 4 6 3" xfId="39576" xr:uid="{00000000-0005-0000-0000-0000F89E0000}"/>
    <cellStyle name="Porcentagem 4 6 3 2" xfId="39577" xr:uid="{00000000-0005-0000-0000-0000F99E0000}"/>
    <cellStyle name="Porcentagem 4 6 3 3" xfId="39578" xr:uid="{00000000-0005-0000-0000-0000FA9E0000}"/>
    <cellStyle name="Porcentagem 4 6 3 4" xfId="39579" xr:uid="{00000000-0005-0000-0000-0000FB9E0000}"/>
    <cellStyle name="Porcentagem 4 6 4" xfId="39580" xr:uid="{00000000-0005-0000-0000-0000FC9E0000}"/>
    <cellStyle name="Porcentagem 4 6 5" xfId="39581" xr:uid="{00000000-0005-0000-0000-0000FD9E0000}"/>
    <cellStyle name="Porcentagem 4 6 6" xfId="39582" xr:uid="{00000000-0005-0000-0000-0000FE9E0000}"/>
    <cellStyle name="Porcentagem 4 7" xfId="39583" xr:uid="{00000000-0005-0000-0000-0000FF9E0000}"/>
    <cellStyle name="Porcentagem 4 7 2" xfId="39584" xr:uid="{00000000-0005-0000-0000-0000009F0000}"/>
    <cellStyle name="Porcentagem 4 7 2 2" xfId="39585" xr:uid="{00000000-0005-0000-0000-0000019F0000}"/>
    <cellStyle name="Porcentagem 4 7 2 3" xfId="39586" xr:uid="{00000000-0005-0000-0000-0000029F0000}"/>
    <cellStyle name="Porcentagem 4 7 2 4" xfId="39587" xr:uid="{00000000-0005-0000-0000-0000039F0000}"/>
    <cellStyle name="Porcentagem 4 7 3" xfId="39588" xr:uid="{00000000-0005-0000-0000-0000049F0000}"/>
    <cellStyle name="Porcentagem 4 7 3 2" xfId="39589" xr:uid="{00000000-0005-0000-0000-0000059F0000}"/>
    <cellStyle name="Porcentagem 4 7 3 3" xfId="39590" xr:uid="{00000000-0005-0000-0000-0000069F0000}"/>
    <cellStyle name="Porcentagem 4 7 3 4" xfId="39591" xr:uid="{00000000-0005-0000-0000-0000079F0000}"/>
    <cellStyle name="Porcentagem 4 7 4" xfId="39592" xr:uid="{00000000-0005-0000-0000-0000089F0000}"/>
    <cellStyle name="Porcentagem 4 7 5" xfId="39593" xr:uid="{00000000-0005-0000-0000-0000099F0000}"/>
    <cellStyle name="Porcentagem 4 7 6" xfId="39594" xr:uid="{00000000-0005-0000-0000-00000A9F0000}"/>
    <cellStyle name="Porcentagem 4 8" xfId="39595" xr:uid="{00000000-0005-0000-0000-00000B9F0000}"/>
    <cellStyle name="Porcentagem 4 8 2" xfId="39596" xr:uid="{00000000-0005-0000-0000-00000C9F0000}"/>
    <cellStyle name="Porcentagem 4 8 2 2" xfId="39597" xr:uid="{00000000-0005-0000-0000-00000D9F0000}"/>
    <cellStyle name="Porcentagem 4 8 2 3" xfId="39598" xr:uid="{00000000-0005-0000-0000-00000E9F0000}"/>
    <cellStyle name="Porcentagem 4 8 2 4" xfId="39599" xr:uid="{00000000-0005-0000-0000-00000F9F0000}"/>
    <cellStyle name="Porcentagem 4 8 3" xfId="39600" xr:uid="{00000000-0005-0000-0000-0000109F0000}"/>
    <cellStyle name="Porcentagem 4 8 3 2" xfId="39601" xr:uid="{00000000-0005-0000-0000-0000119F0000}"/>
    <cellStyle name="Porcentagem 4 8 3 3" xfId="39602" xr:uid="{00000000-0005-0000-0000-0000129F0000}"/>
    <cellStyle name="Porcentagem 4 8 3 4" xfId="39603" xr:uid="{00000000-0005-0000-0000-0000139F0000}"/>
    <cellStyle name="Porcentagem 4 8 4" xfId="39604" xr:uid="{00000000-0005-0000-0000-0000149F0000}"/>
    <cellStyle name="Porcentagem 4 8 5" xfId="39605" xr:uid="{00000000-0005-0000-0000-0000159F0000}"/>
    <cellStyle name="Porcentagem 4 8 6" xfId="39606" xr:uid="{00000000-0005-0000-0000-0000169F0000}"/>
    <cellStyle name="Porcentagem 4 9" xfId="39607" xr:uid="{00000000-0005-0000-0000-0000179F0000}"/>
    <cellStyle name="Porcentagem 4 9 2" xfId="39608" xr:uid="{00000000-0005-0000-0000-0000189F0000}"/>
    <cellStyle name="Porcentagem 4 9 2 2" xfId="39609" xr:uid="{00000000-0005-0000-0000-0000199F0000}"/>
    <cellStyle name="Porcentagem 4 9 2 3" xfId="39610" xr:uid="{00000000-0005-0000-0000-00001A9F0000}"/>
    <cellStyle name="Porcentagem 4 9 2 4" xfId="39611" xr:uid="{00000000-0005-0000-0000-00001B9F0000}"/>
    <cellStyle name="Porcentagem 4 9 3" xfId="39612" xr:uid="{00000000-0005-0000-0000-00001C9F0000}"/>
    <cellStyle name="Porcentagem 4 9 3 2" xfId="39613" xr:uid="{00000000-0005-0000-0000-00001D9F0000}"/>
    <cellStyle name="Porcentagem 4 9 3 3" xfId="39614" xr:uid="{00000000-0005-0000-0000-00001E9F0000}"/>
    <cellStyle name="Porcentagem 4 9 3 4" xfId="39615" xr:uid="{00000000-0005-0000-0000-00001F9F0000}"/>
    <cellStyle name="Porcentagem 4 9 4" xfId="39616" xr:uid="{00000000-0005-0000-0000-0000209F0000}"/>
    <cellStyle name="Porcentagem 4 9 5" xfId="39617" xr:uid="{00000000-0005-0000-0000-0000219F0000}"/>
    <cellStyle name="Porcentagem 4 9 6" xfId="39618" xr:uid="{00000000-0005-0000-0000-0000229F0000}"/>
    <cellStyle name="Porcentagem 5" xfId="1126" xr:uid="{00000000-0005-0000-0000-0000239F0000}"/>
    <cellStyle name="Porcentagem 5 2" xfId="1127" xr:uid="{00000000-0005-0000-0000-0000249F0000}"/>
    <cellStyle name="Porcentagem 5 2 2" xfId="39619" xr:uid="{00000000-0005-0000-0000-0000259F0000}"/>
    <cellStyle name="Porcentagem 5 3" xfId="39620" xr:uid="{00000000-0005-0000-0000-0000269F0000}"/>
    <cellStyle name="Porcentagem 5 3 2" xfId="39621" xr:uid="{00000000-0005-0000-0000-0000279F0000}"/>
    <cellStyle name="Porcentagem 5 4" xfId="39622" xr:uid="{00000000-0005-0000-0000-0000289F0000}"/>
    <cellStyle name="Porcentagem 5 5" xfId="39623" xr:uid="{00000000-0005-0000-0000-0000299F0000}"/>
    <cellStyle name="Porcentagem 5 6" xfId="42553" xr:uid="{00000000-0005-0000-0000-00002A9F0000}"/>
    <cellStyle name="Porcentagem 6" xfId="1128" xr:uid="{00000000-0005-0000-0000-00002B9F0000}"/>
    <cellStyle name="Porcentagem 6 2" xfId="1684" xr:uid="{00000000-0005-0000-0000-00002C9F0000}"/>
    <cellStyle name="Porcentagem 6 3" xfId="39624" xr:uid="{00000000-0005-0000-0000-00002D9F0000}"/>
    <cellStyle name="Porcentagem 6 4" xfId="39625" xr:uid="{00000000-0005-0000-0000-00002E9F0000}"/>
    <cellStyle name="Porcentagem 7" xfId="1129" xr:uid="{00000000-0005-0000-0000-00002F9F0000}"/>
    <cellStyle name="Porcentagem 7 2" xfId="1489" xr:uid="{00000000-0005-0000-0000-0000309F0000}"/>
    <cellStyle name="Porcentagem 8" xfId="1130" xr:uid="{00000000-0005-0000-0000-0000319F0000}"/>
    <cellStyle name="Porcentagem 8 2" xfId="39626" xr:uid="{00000000-0005-0000-0000-0000329F0000}"/>
    <cellStyle name="Porcentagem 9" xfId="1131" xr:uid="{00000000-0005-0000-0000-0000339F0000}"/>
    <cellStyle name="Porcentagem 9 2" xfId="43784" xr:uid="{00000000-0005-0000-0000-0000349F0000}"/>
    <cellStyle name="Porcentaje" xfId="39627" xr:uid="{00000000-0005-0000-0000-0000359F0000}"/>
    <cellStyle name="Porcentual 2" xfId="1132" xr:uid="{00000000-0005-0000-0000-0000369F0000}"/>
    <cellStyle name="Porcentual 2 10" xfId="39628" xr:uid="{00000000-0005-0000-0000-0000379F0000}"/>
    <cellStyle name="Porcentual 2 11" xfId="39629" xr:uid="{00000000-0005-0000-0000-0000389F0000}"/>
    <cellStyle name="Porcentual 2 12" xfId="39630" xr:uid="{00000000-0005-0000-0000-0000399F0000}"/>
    <cellStyle name="Porcentual 2 13" xfId="39631" xr:uid="{00000000-0005-0000-0000-00003A9F0000}"/>
    <cellStyle name="Porcentual 2 14" xfId="39632" xr:uid="{00000000-0005-0000-0000-00003B9F0000}"/>
    <cellStyle name="Porcentual 2 15" xfId="39633" xr:uid="{00000000-0005-0000-0000-00003C9F0000}"/>
    <cellStyle name="Porcentual 2 16" xfId="39634" xr:uid="{00000000-0005-0000-0000-00003D9F0000}"/>
    <cellStyle name="Porcentual 2 17" xfId="39635" xr:uid="{00000000-0005-0000-0000-00003E9F0000}"/>
    <cellStyle name="Porcentual 2 18" xfId="39636" xr:uid="{00000000-0005-0000-0000-00003F9F0000}"/>
    <cellStyle name="Porcentual 2 19" xfId="39637" xr:uid="{00000000-0005-0000-0000-0000409F0000}"/>
    <cellStyle name="Porcentual 2 2" xfId="39638" xr:uid="{00000000-0005-0000-0000-0000419F0000}"/>
    <cellStyle name="Porcentual 2 20" xfId="39639" xr:uid="{00000000-0005-0000-0000-0000429F0000}"/>
    <cellStyle name="Porcentual 2 21" xfId="39640" xr:uid="{00000000-0005-0000-0000-0000439F0000}"/>
    <cellStyle name="Porcentual 2 22" xfId="39641" xr:uid="{00000000-0005-0000-0000-0000449F0000}"/>
    <cellStyle name="Porcentual 2 23" xfId="39642" xr:uid="{00000000-0005-0000-0000-0000459F0000}"/>
    <cellStyle name="Porcentual 2 24" xfId="39643" xr:uid="{00000000-0005-0000-0000-0000469F0000}"/>
    <cellStyle name="Porcentual 2 25" xfId="39644" xr:uid="{00000000-0005-0000-0000-0000479F0000}"/>
    <cellStyle name="Porcentual 2 3" xfId="39645" xr:uid="{00000000-0005-0000-0000-0000489F0000}"/>
    <cellStyle name="Porcentual 2 4" xfId="39646" xr:uid="{00000000-0005-0000-0000-0000499F0000}"/>
    <cellStyle name="Porcentual 2 5" xfId="39647" xr:uid="{00000000-0005-0000-0000-00004A9F0000}"/>
    <cellStyle name="Porcentual 2 6" xfId="39648" xr:uid="{00000000-0005-0000-0000-00004B9F0000}"/>
    <cellStyle name="Porcentual 2 7" xfId="39649" xr:uid="{00000000-0005-0000-0000-00004C9F0000}"/>
    <cellStyle name="Porcentual 2 8" xfId="39650" xr:uid="{00000000-0005-0000-0000-00004D9F0000}"/>
    <cellStyle name="Porcentual 2 9" xfId="39651" xr:uid="{00000000-0005-0000-0000-00004E9F0000}"/>
    <cellStyle name="Porcentual 3" xfId="1133" xr:uid="{00000000-0005-0000-0000-00004F9F0000}"/>
    <cellStyle name="Porcentual 3 10" xfId="39652" xr:uid="{00000000-0005-0000-0000-0000509F0000}"/>
    <cellStyle name="Porcentual 3 11" xfId="39653" xr:uid="{00000000-0005-0000-0000-0000519F0000}"/>
    <cellStyle name="Porcentual 3 12" xfId="39654" xr:uid="{00000000-0005-0000-0000-0000529F0000}"/>
    <cellStyle name="Porcentual 3 13" xfId="39655" xr:uid="{00000000-0005-0000-0000-0000539F0000}"/>
    <cellStyle name="Porcentual 3 14" xfId="39656" xr:uid="{00000000-0005-0000-0000-0000549F0000}"/>
    <cellStyle name="Porcentual 3 15" xfId="39657" xr:uid="{00000000-0005-0000-0000-0000559F0000}"/>
    <cellStyle name="Porcentual 3 16" xfId="39658" xr:uid="{00000000-0005-0000-0000-0000569F0000}"/>
    <cellStyle name="Porcentual 3 17" xfId="39659" xr:uid="{00000000-0005-0000-0000-0000579F0000}"/>
    <cellStyle name="Porcentual 3 18" xfId="39660" xr:uid="{00000000-0005-0000-0000-0000589F0000}"/>
    <cellStyle name="Porcentual 3 19" xfId="39661" xr:uid="{00000000-0005-0000-0000-0000599F0000}"/>
    <cellStyle name="Porcentual 3 2" xfId="39662" xr:uid="{00000000-0005-0000-0000-00005A9F0000}"/>
    <cellStyle name="Porcentual 3 20" xfId="39663" xr:uid="{00000000-0005-0000-0000-00005B9F0000}"/>
    <cellStyle name="Porcentual 3 21" xfId="39664" xr:uid="{00000000-0005-0000-0000-00005C9F0000}"/>
    <cellStyle name="Porcentual 3 22" xfId="39665" xr:uid="{00000000-0005-0000-0000-00005D9F0000}"/>
    <cellStyle name="Porcentual 3 23" xfId="39666" xr:uid="{00000000-0005-0000-0000-00005E9F0000}"/>
    <cellStyle name="Porcentual 3 24" xfId="39667" xr:uid="{00000000-0005-0000-0000-00005F9F0000}"/>
    <cellStyle name="Porcentual 3 25" xfId="39668" xr:uid="{00000000-0005-0000-0000-0000609F0000}"/>
    <cellStyle name="Porcentual 3 3" xfId="39669" xr:uid="{00000000-0005-0000-0000-0000619F0000}"/>
    <cellStyle name="Porcentual 3 4" xfId="39670" xr:uid="{00000000-0005-0000-0000-0000629F0000}"/>
    <cellStyle name="Porcentual 3 5" xfId="39671" xr:uid="{00000000-0005-0000-0000-0000639F0000}"/>
    <cellStyle name="Porcentual 3 6" xfId="39672" xr:uid="{00000000-0005-0000-0000-0000649F0000}"/>
    <cellStyle name="Porcentual 3 7" xfId="39673" xr:uid="{00000000-0005-0000-0000-0000659F0000}"/>
    <cellStyle name="Porcentual 3 8" xfId="39674" xr:uid="{00000000-0005-0000-0000-0000669F0000}"/>
    <cellStyle name="Porcentual 3 9" xfId="39675" xr:uid="{00000000-0005-0000-0000-0000679F0000}"/>
    <cellStyle name="Porcentual_Cálculo del FC" xfId="1685" xr:uid="{00000000-0005-0000-0000-0000689F0000}"/>
    <cellStyle name="Pourcentage_TEMPTRAN" xfId="39676" xr:uid="{00000000-0005-0000-0000-0000699F0000}"/>
    <cellStyle name="Premissas" xfId="867" xr:uid="{00000000-0005-0000-0000-00006A9F0000}"/>
    <cellStyle name="Premissas 10" xfId="43785" xr:uid="{00000000-0005-0000-0000-00006B9F0000}"/>
    <cellStyle name="Premissas 11" xfId="43786" xr:uid="{00000000-0005-0000-0000-00006C9F0000}"/>
    <cellStyle name="Premissas 12" xfId="43787" xr:uid="{00000000-0005-0000-0000-00006D9F0000}"/>
    <cellStyle name="Premissas 13" xfId="43788" xr:uid="{00000000-0005-0000-0000-00006E9F0000}"/>
    <cellStyle name="Premissas 14" xfId="43789" xr:uid="{00000000-0005-0000-0000-00006F9F0000}"/>
    <cellStyle name="Premissas 15" xfId="43790" xr:uid="{00000000-0005-0000-0000-0000709F0000}"/>
    <cellStyle name="Premissas 16" xfId="43791" xr:uid="{00000000-0005-0000-0000-0000719F0000}"/>
    <cellStyle name="Premissas 17" xfId="43792" xr:uid="{00000000-0005-0000-0000-0000729F0000}"/>
    <cellStyle name="Premissas 18" xfId="43793" xr:uid="{00000000-0005-0000-0000-0000739F0000}"/>
    <cellStyle name="Premissas 19" xfId="43794" xr:uid="{00000000-0005-0000-0000-0000749F0000}"/>
    <cellStyle name="Premissas 2" xfId="1134" xr:uid="{00000000-0005-0000-0000-0000759F0000}"/>
    <cellStyle name="Premissas 20" xfId="43795" xr:uid="{00000000-0005-0000-0000-0000769F0000}"/>
    <cellStyle name="Premissas 21" xfId="43796" xr:uid="{00000000-0005-0000-0000-0000779F0000}"/>
    <cellStyle name="Premissas 22" xfId="43797" xr:uid="{00000000-0005-0000-0000-0000789F0000}"/>
    <cellStyle name="Premissas 23" xfId="43798" xr:uid="{00000000-0005-0000-0000-0000799F0000}"/>
    <cellStyle name="Premissas 24" xfId="43799" xr:uid="{00000000-0005-0000-0000-00007A9F0000}"/>
    <cellStyle name="Premissas 25" xfId="43800" xr:uid="{00000000-0005-0000-0000-00007B9F0000}"/>
    <cellStyle name="Premissas 26" xfId="43801" xr:uid="{00000000-0005-0000-0000-00007C9F0000}"/>
    <cellStyle name="Premissas 27" xfId="43802" xr:uid="{00000000-0005-0000-0000-00007D9F0000}"/>
    <cellStyle name="Premissas 28" xfId="43803" xr:uid="{00000000-0005-0000-0000-00007E9F0000}"/>
    <cellStyle name="Premissas 3" xfId="39677" xr:uid="{00000000-0005-0000-0000-00007F9F0000}"/>
    <cellStyle name="Premissas 4" xfId="39678" xr:uid="{00000000-0005-0000-0000-0000809F0000}"/>
    <cellStyle name="Premissas 5" xfId="39679" xr:uid="{00000000-0005-0000-0000-0000819F0000}"/>
    <cellStyle name="Premissas 6" xfId="39680" xr:uid="{00000000-0005-0000-0000-0000829F0000}"/>
    <cellStyle name="Premissas 7" xfId="39681" xr:uid="{00000000-0005-0000-0000-0000839F0000}"/>
    <cellStyle name="Premissas 8" xfId="39682" xr:uid="{00000000-0005-0000-0000-0000849F0000}"/>
    <cellStyle name="Premissas 9" xfId="39683" xr:uid="{00000000-0005-0000-0000-0000859F0000}"/>
    <cellStyle name="PrePop Currency (0)" xfId="868" xr:uid="{00000000-0005-0000-0000-0000869F0000}"/>
    <cellStyle name="PrePop Currency (0) 2" xfId="1135" xr:uid="{00000000-0005-0000-0000-0000879F0000}"/>
    <cellStyle name="PrePop Currency (0) 3" xfId="39684" xr:uid="{00000000-0005-0000-0000-0000889F0000}"/>
    <cellStyle name="PrePop Currency (0)_IRT_Planilha Básica_ v2010_CERRP" xfId="1790" xr:uid="{00000000-0005-0000-0000-0000899F0000}"/>
    <cellStyle name="PrePop Currency (2)" xfId="869" xr:uid="{00000000-0005-0000-0000-00008A9F0000}"/>
    <cellStyle name="PrePop Units (0)" xfId="870" xr:uid="{00000000-0005-0000-0000-00008B9F0000}"/>
    <cellStyle name="PrePop Units (0) 2" xfId="1136" xr:uid="{00000000-0005-0000-0000-00008C9F0000}"/>
    <cellStyle name="PrePop Units (0) 3" xfId="39685" xr:uid="{00000000-0005-0000-0000-00008D9F0000}"/>
    <cellStyle name="PrePop Units (0)_IRT_Planilha Básica_ v2010_CERRP" xfId="1791" xr:uid="{00000000-0005-0000-0000-00008E9F0000}"/>
    <cellStyle name="PrePop Units (1)" xfId="871" xr:uid="{00000000-0005-0000-0000-00008F9F0000}"/>
    <cellStyle name="PrePop Units (1) 2" xfId="1137" xr:uid="{00000000-0005-0000-0000-0000909F0000}"/>
    <cellStyle name="PrePop Units (1) 3" xfId="39686" xr:uid="{00000000-0005-0000-0000-0000919F0000}"/>
    <cellStyle name="PrePop Units (1)_IRT_Planilha Básica_ v2010_CERRP" xfId="1792" xr:uid="{00000000-0005-0000-0000-0000929F0000}"/>
    <cellStyle name="PrePop Units (2)" xfId="872" xr:uid="{00000000-0005-0000-0000-0000939F0000}"/>
    <cellStyle name="Price_Body" xfId="39687" xr:uid="{00000000-0005-0000-0000-0000949F0000}"/>
    <cellStyle name="Projeções" xfId="873" xr:uid="{00000000-0005-0000-0000-0000959F0000}"/>
    <cellStyle name="Protected" xfId="39688" xr:uid="{00000000-0005-0000-0000-0000969F0000}"/>
    <cellStyle name="PSChar" xfId="39689" xr:uid="{00000000-0005-0000-0000-0000979F0000}"/>
    <cellStyle name="PSDate" xfId="39690" xr:uid="{00000000-0005-0000-0000-0000989F0000}"/>
    <cellStyle name="PSDec" xfId="39691" xr:uid="{00000000-0005-0000-0000-0000999F0000}"/>
    <cellStyle name="PSHeading" xfId="39692" xr:uid="{00000000-0005-0000-0000-00009A9F0000}"/>
    <cellStyle name="PSInt" xfId="39693" xr:uid="{00000000-0005-0000-0000-00009B9F0000}"/>
    <cellStyle name="PSSpacer" xfId="39694" xr:uid="{00000000-0005-0000-0000-00009C9F0000}"/>
    <cellStyle name="Punto0" xfId="39695" xr:uid="{00000000-0005-0000-0000-00009D9F0000}"/>
    <cellStyle name="Punto0 2" xfId="39696" xr:uid="{00000000-0005-0000-0000-00009E9F0000}"/>
    <cellStyle name="Punto0 3" xfId="39697" xr:uid="{00000000-0005-0000-0000-00009F9F0000}"/>
    <cellStyle name="Qté calculées" xfId="39698" xr:uid="{00000000-0005-0000-0000-0000A09F0000}"/>
    <cellStyle name="QTé entrées" xfId="39699" xr:uid="{00000000-0005-0000-0000-0000A19F0000}"/>
    <cellStyle name="RAMEY" xfId="874" xr:uid="{00000000-0005-0000-0000-0000A29F0000}"/>
    <cellStyle name="Ramey $k" xfId="875" xr:uid="{00000000-0005-0000-0000-0000A39F0000}"/>
    <cellStyle name="Ramey $k 2" xfId="39700" xr:uid="{00000000-0005-0000-0000-0000A49F0000}"/>
    <cellStyle name="Ramey $k 3" xfId="39701" xr:uid="{00000000-0005-0000-0000-0000A59F0000}"/>
    <cellStyle name="RAMEY_P&amp;O BKUP" xfId="876" xr:uid="{00000000-0005-0000-0000-0000A69F0000}"/>
    <cellStyle name="Red Text" xfId="39702" xr:uid="{00000000-0005-0000-0000-0000A79F0000}"/>
    <cellStyle name="RM" xfId="39703" xr:uid="{00000000-0005-0000-0000-0000A89F0000}"/>
    <cellStyle name="RowLevel_1_OUTPUT2" xfId="1138" xr:uid="{00000000-0005-0000-0000-0000A99F0000}"/>
    <cellStyle name="Saída 10" xfId="39704" xr:uid="{00000000-0005-0000-0000-0000AA9F0000}"/>
    <cellStyle name="Saída 11" xfId="43804" xr:uid="{00000000-0005-0000-0000-0000AB9F0000}"/>
    <cellStyle name="Saída 12" xfId="877" xr:uid="{00000000-0005-0000-0000-0000AC9F0000}"/>
    <cellStyle name="Saída 2" xfId="1139" xr:uid="{00000000-0005-0000-0000-0000AD9F0000}"/>
    <cellStyle name="Saída 2 2" xfId="39705" xr:uid="{00000000-0005-0000-0000-0000AE9F0000}"/>
    <cellStyle name="Saída 2 3" xfId="39706" xr:uid="{00000000-0005-0000-0000-0000AF9F0000}"/>
    <cellStyle name="Saída 2 4" xfId="39707" xr:uid="{00000000-0005-0000-0000-0000B09F0000}"/>
    <cellStyle name="Saída 3" xfId="1793" xr:uid="{00000000-0005-0000-0000-0000B19F0000}"/>
    <cellStyle name="Saída 3 2" xfId="39708" xr:uid="{00000000-0005-0000-0000-0000B29F0000}"/>
    <cellStyle name="Saída 4" xfId="39709" xr:uid="{00000000-0005-0000-0000-0000B39F0000}"/>
    <cellStyle name="Saída 4 2" xfId="39710" xr:uid="{00000000-0005-0000-0000-0000B49F0000}"/>
    <cellStyle name="Saída 5" xfId="39711" xr:uid="{00000000-0005-0000-0000-0000B59F0000}"/>
    <cellStyle name="Saída 6" xfId="39712" xr:uid="{00000000-0005-0000-0000-0000B69F0000}"/>
    <cellStyle name="Saída 7" xfId="39713" xr:uid="{00000000-0005-0000-0000-0000B79F0000}"/>
    <cellStyle name="Saída 8" xfId="39714" xr:uid="{00000000-0005-0000-0000-0000B89F0000}"/>
    <cellStyle name="Saída 9" xfId="39715" xr:uid="{00000000-0005-0000-0000-0000B99F0000}"/>
    <cellStyle name="Salida" xfId="1140" xr:uid="{00000000-0005-0000-0000-0000BA9F0000}"/>
    <cellStyle name="Salida 2" xfId="39716" xr:uid="{00000000-0005-0000-0000-0000BB9F0000}"/>
    <cellStyle name="Salida 3" xfId="43805" xr:uid="{00000000-0005-0000-0000-0000BC9F0000}"/>
    <cellStyle name="SAN" xfId="1686" xr:uid="{00000000-0005-0000-0000-0000BD9F0000}"/>
    <cellStyle name="SAPBEXaggData" xfId="1687" xr:uid="{00000000-0005-0000-0000-0000BE9F0000}"/>
    <cellStyle name="SAPBEXaggData 2" xfId="39717" xr:uid="{00000000-0005-0000-0000-0000BF9F0000}"/>
    <cellStyle name="SAPBEXaggData 2 2" xfId="39718" xr:uid="{00000000-0005-0000-0000-0000C09F0000}"/>
    <cellStyle name="SAPBEXaggData 3" xfId="43806" xr:uid="{00000000-0005-0000-0000-0000C19F0000}"/>
    <cellStyle name="SAPBEXaggDataEmph" xfId="1688" xr:uid="{00000000-0005-0000-0000-0000C29F0000}"/>
    <cellStyle name="SAPBEXaggDataEmph 2" xfId="39719" xr:uid="{00000000-0005-0000-0000-0000C39F0000}"/>
    <cellStyle name="SAPBEXaggDataEmph 2 2" xfId="39720" xr:uid="{00000000-0005-0000-0000-0000C49F0000}"/>
    <cellStyle name="SAPBEXaggDataEmph 3" xfId="43807" xr:uid="{00000000-0005-0000-0000-0000C59F0000}"/>
    <cellStyle name="SAPBEXaggItem" xfId="1689" xr:uid="{00000000-0005-0000-0000-0000C69F0000}"/>
    <cellStyle name="SAPBEXaggItem 2" xfId="39721" xr:uid="{00000000-0005-0000-0000-0000C79F0000}"/>
    <cellStyle name="SAPBEXaggItem 2 2" xfId="39722" xr:uid="{00000000-0005-0000-0000-0000C89F0000}"/>
    <cellStyle name="SAPBEXaggItem 3" xfId="43808" xr:uid="{00000000-0005-0000-0000-0000C99F0000}"/>
    <cellStyle name="SAPBEXaggItemX" xfId="1690" xr:uid="{00000000-0005-0000-0000-0000CA9F0000}"/>
    <cellStyle name="SAPBEXaggItemX 2" xfId="39723" xr:uid="{00000000-0005-0000-0000-0000CB9F0000}"/>
    <cellStyle name="SAPBEXaggItemX 2 2" xfId="39724" xr:uid="{00000000-0005-0000-0000-0000CC9F0000}"/>
    <cellStyle name="SAPBEXaggItemX 3" xfId="43809" xr:uid="{00000000-0005-0000-0000-0000CD9F0000}"/>
    <cellStyle name="SAPBEXchaText" xfId="1691" xr:uid="{00000000-0005-0000-0000-0000CE9F0000}"/>
    <cellStyle name="SAPBEXchaText 2" xfId="39725" xr:uid="{00000000-0005-0000-0000-0000CF9F0000}"/>
    <cellStyle name="SAPBEXchaText 2 2" xfId="39726" xr:uid="{00000000-0005-0000-0000-0000D09F0000}"/>
    <cellStyle name="SAPBEXchaText 3" xfId="39727" xr:uid="{00000000-0005-0000-0000-0000D19F0000}"/>
    <cellStyle name="SAPBEXexcBad7" xfId="1692" xr:uid="{00000000-0005-0000-0000-0000D29F0000}"/>
    <cellStyle name="SAPBEXexcBad7 2" xfId="39728" xr:uid="{00000000-0005-0000-0000-0000D39F0000}"/>
    <cellStyle name="SAPBEXexcBad7 2 2" xfId="39729" xr:uid="{00000000-0005-0000-0000-0000D49F0000}"/>
    <cellStyle name="SAPBEXexcBad7 3" xfId="43810" xr:uid="{00000000-0005-0000-0000-0000D59F0000}"/>
    <cellStyle name="SAPBEXexcBad8" xfId="1693" xr:uid="{00000000-0005-0000-0000-0000D69F0000}"/>
    <cellStyle name="SAPBEXexcBad8 2" xfId="39730" xr:uid="{00000000-0005-0000-0000-0000D79F0000}"/>
    <cellStyle name="SAPBEXexcBad8 2 2" xfId="39731" xr:uid="{00000000-0005-0000-0000-0000D89F0000}"/>
    <cellStyle name="SAPBEXexcBad8 3" xfId="43811" xr:uid="{00000000-0005-0000-0000-0000D99F0000}"/>
    <cellStyle name="SAPBEXexcBad9" xfId="1694" xr:uid="{00000000-0005-0000-0000-0000DA9F0000}"/>
    <cellStyle name="SAPBEXexcBad9 2" xfId="39732" xr:uid="{00000000-0005-0000-0000-0000DB9F0000}"/>
    <cellStyle name="SAPBEXexcBad9 2 2" xfId="39733" xr:uid="{00000000-0005-0000-0000-0000DC9F0000}"/>
    <cellStyle name="SAPBEXexcBad9 3" xfId="43812" xr:uid="{00000000-0005-0000-0000-0000DD9F0000}"/>
    <cellStyle name="SAPBEXexcCritical4" xfId="1695" xr:uid="{00000000-0005-0000-0000-0000DE9F0000}"/>
    <cellStyle name="SAPBEXexcCritical4 2" xfId="39734" xr:uid="{00000000-0005-0000-0000-0000DF9F0000}"/>
    <cellStyle name="SAPBEXexcCritical4 2 2" xfId="39735" xr:uid="{00000000-0005-0000-0000-0000E09F0000}"/>
    <cellStyle name="SAPBEXexcCritical4 3" xfId="43813" xr:uid="{00000000-0005-0000-0000-0000E19F0000}"/>
    <cellStyle name="SAPBEXexcCritical5" xfId="1696" xr:uid="{00000000-0005-0000-0000-0000E29F0000}"/>
    <cellStyle name="SAPBEXexcCritical5 2" xfId="39736" xr:uid="{00000000-0005-0000-0000-0000E39F0000}"/>
    <cellStyle name="SAPBEXexcCritical5 2 2" xfId="39737" xr:uid="{00000000-0005-0000-0000-0000E49F0000}"/>
    <cellStyle name="SAPBEXexcCritical5 3" xfId="43814" xr:uid="{00000000-0005-0000-0000-0000E59F0000}"/>
    <cellStyle name="SAPBEXexcCritical6" xfId="1697" xr:uid="{00000000-0005-0000-0000-0000E69F0000}"/>
    <cellStyle name="SAPBEXexcCritical6 2" xfId="39738" xr:uid="{00000000-0005-0000-0000-0000E79F0000}"/>
    <cellStyle name="SAPBEXexcCritical6 2 2" xfId="39739" xr:uid="{00000000-0005-0000-0000-0000E89F0000}"/>
    <cellStyle name="SAPBEXexcCritical6 3" xfId="43815" xr:uid="{00000000-0005-0000-0000-0000E99F0000}"/>
    <cellStyle name="SAPBEXexcGood1" xfId="1698" xr:uid="{00000000-0005-0000-0000-0000EA9F0000}"/>
    <cellStyle name="SAPBEXexcGood1 2" xfId="39740" xr:uid="{00000000-0005-0000-0000-0000EB9F0000}"/>
    <cellStyle name="SAPBEXexcGood1 2 2" xfId="39741" xr:uid="{00000000-0005-0000-0000-0000EC9F0000}"/>
    <cellStyle name="SAPBEXexcGood1 3" xfId="43816" xr:uid="{00000000-0005-0000-0000-0000ED9F0000}"/>
    <cellStyle name="SAPBEXexcGood2" xfId="1699" xr:uid="{00000000-0005-0000-0000-0000EE9F0000}"/>
    <cellStyle name="SAPBEXexcGood2 2" xfId="39742" xr:uid="{00000000-0005-0000-0000-0000EF9F0000}"/>
    <cellStyle name="SAPBEXexcGood2 2 2" xfId="39743" xr:uid="{00000000-0005-0000-0000-0000F09F0000}"/>
    <cellStyle name="SAPBEXexcGood2 3" xfId="43817" xr:uid="{00000000-0005-0000-0000-0000F19F0000}"/>
    <cellStyle name="SAPBEXexcGood3" xfId="1700" xr:uid="{00000000-0005-0000-0000-0000F29F0000}"/>
    <cellStyle name="SAPBEXexcGood3 2" xfId="39744" xr:uid="{00000000-0005-0000-0000-0000F39F0000}"/>
    <cellStyle name="SAPBEXexcGood3 2 2" xfId="39745" xr:uid="{00000000-0005-0000-0000-0000F49F0000}"/>
    <cellStyle name="SAPBEXexcGood3 3" xfId="43818" xr:uid="{00000000-0005-0000-0000-0000F59F0000}"/>
    <cellStyle name="SAPBEXfilterDrill" xfId="1701" xr:uid="{00000000-0005-0000-0000-0000F69F0000}"/>
    <cellStyle name="SAPBEXfilterDrill 2" xfId="39746" xr:uid="{00000000-0005-0000-0000-0000F79F0000}"/>
    <cellStyle name="SAPBEXfilterDrill 2 2" xfId="39747" xr:uid="{00000000-0005-0000-0000-0000F89F0000}"/>
    <cellStyle name="SAPBEXfilterItem" xfId="1702" xr:uid="{00000000-0005-0000-0000-0000F99F0000}"/>
    <cellStyle name="SAPBEXfilterItem 2" xfId="39748" xr:uid="{00000000-0005-0000-0000-0000FA9F0000}"/>
    <cellStyle name="SAPBEXfilterItem 2 2" xfId="39749" xr:uid="{00000000-0005-0000-0000-0000FB9F0000}"/>
    <cellStyle name="SAPBEXfilterText" xfId="1703" xr:uid="{00000000-0005-0000-0000-0000FC9F0000}"/>
    <cellStyle name="SAPBEXfilterText 2" xfId="39750" xr:uid="{00000000-0005-0000-0000-0000FD9F0000}"/>
    <cellStyle name="SAPBEXformats" xfId="1704" xr:uid="{00000000-0005-0000-0000-0000FE9F0000}"/>
    <cellStyle name="SAPBEXformats 2" xfId="39751" xr:uid="{00000000-0005-0000-0000-0000FF9F0000}"/>
    <cellStyle name="SAPBEXformats 2 2" xfId="39752" xr:uid="{00000000-0005-0000-0000-000000A00000}"/>
    <cellStyle name="SAPBEXformats 3" xfId="43819" xr:uid="{00000000-0005-0000-0000-000001A00000}"/>
    <cellStyle name="SAPBEXheaderItem" xfId="1705" xr:uid="{00000000-0005-0000-0000-000002A00000}"/>
    <cellStyle name="SAPBEXheaderItem 2" xfId="39753" xr:uid="{00000000-0005-0000-0000-000003A00000}"/>
    <cellStyle name="SAPBEXheaderItem 2 2" xfId="39754" xr:uid="{00000000-0005-0000-0000-000004A00000}"/>
    <cellStyle name="SAPBEXheaderText" xfId="1706" xr:uid="{00000000-0005-0000-0000-000005A00000}"/>
    <cellStyle name="SAPBEXheaderText 2" xfId="39755" xr:uid="{00000000-0005-0000-0000-000006A00000}"/>
    <cellStyle name="SAPBEXheaderText 2 2" xfId="39756" xr:uid="{00000000-0005-0000-0000-000007A00000}"/>
    <cellStyle name="SAPBEXHLevel0" xfId="1707" xr:uid="{00000000-0005-0000-0000-000008A00000}"/>
    <cellStyle name="SAPBEXHLevel0 2" xfId="39757" xr:uid="{00000000-0005-0000-0000-000009A00000}"/>
    <cellStyle name="SAPBEXHLevel0 2 2" xfId="39758" xr:uid="{00000000-0005-0000-0000-00000AA00000}"/>
    <cellStyle name="SAPBEXHLevel0X" xfId="1708" xr:uid="{00000000-0005-0000-0000-00000BA00000}"/>
    <cellStyle name="SAPBEXHLevel0X 2" xfId="39759" xr:uid="{00000000-0005-0000-0000-00000CA00000}"/>
    <cellStyle name="SAPBEXHLevel0X 2 2" xfId="39760" xr:uid="{00000000-0005-0000-0000-00000DA00000}"/>
    <cellStyle name="SAPBEXHLevel0X 3" xfId="43820" xr:uid="{00000000-0005-0000-0000-00000EA00000}"/>
    <cellStyle name="SAPBEXHLevel1" xfId="1709" xr:uid="{00000000-0005-0000-0000-00000FA00000}"/>
    <cellStyle name="SAPBEXHLevel1 2" xfId="39761" xr:uid="{00000000-0005-0000-0000-000010A00000}"/>
    <cellStyle name="SAPBEXHLevel1 2 2" xfId="39762" xr:uid="{00000000-0005-0000-0000-000011A00000}"/>
    <cellStyle name="SAPBEXHLevel1X" xfId="1710" xr:uid="{00000000-0005-0000-0000-000012A00000}"/>
    <cellStyle name="SAPBEXHLevel1X 2" xfId="39763" xr:uid="{00000000-0005-0000-0000-000013A00000}"/>
    <cellStyle name="SAPBEXHLevel1X 2 2" xfId="39764" xr:uid="{00000000-0005-0000-0000-000014A00000}"/>
    <cellStyle name="SAPBEXHLevel1X 3" xfId="43821" xr:uid="{00000000-0005-0000-0000-000015A00000}"/>
    <cellStyle name="SAPBEXHLevel2" xfId="1711" xr:uid="{00000000-0005-0000-0000-000016A00000}"/>
    <cellStyle name="SAPBEXHLevel2 2" xfId="39765" xr:uid="{00000000-0005-0000-0000-000017A00000}"/>
    <cellStyle name="SAPBEXHLevel2 2 2" xfId="39766" xr:uid="{00000000-0005-0000-0000-000018A00000}"/>
    <cellStyle name="SAPBEXHLevel2X" xfId="1712" xr:uid="{00000000-0005-0000-0000-000019A00000}"/>
    <cellStyle name="SAPBEXHLevel2X 2" xfId="39767" xr:uid="{00000000-0005-0000-0000-00001AA00000}"/>
    <cellStyle name="SAPBEXHLevel2X 2 2" xfId="39768" xr:uid="{00000000-0005-0000-0000-00001BA00000}"/>
    <cellStyle name="SAPBEXHLevel2X 3" xfId="43822" xr:uid="{00000000-0005-0000-0000-00001CA00000}"/>
    <cellStyle name="SAPBEXHLevel3" xfId="1713" xr:uid="{00000000-0005-0000-0000-00001DA00000}"/>
    <cellStyle name="SAPBEXHLevel3 2" xfId="39769" xr:uid="{00000000-0005-0000-0000-00001EA00000}"/>
    <cellStyle name="SAPBEXHLevel3 2 2" xfId="39770" xr:uid="{00000000-0005-0000-0000-00001FA00000}"/>
    <cellStyle name="SAPBEXHLevel3 3" xfId="43823" xr:uid="{00000000-0005-0000-0000-000020A00000}"/>
    <cellStyle name="SAPBEXHLevel3X" xfId="1714" xr:uid="{00000000-0005-0000-0000-000021A00000}"/>
    <cellStyle name="SAPBEXHLevel3X 2" xfId="39771" xr:uid="{00000000-0005-0000-0000-000022A00000}"/>
    <cellStyle name="SAPBEXHLevel3X 2 2" xfId="39772" xr:uid="{00000000-0005-0000-0000-000023A00000}"/>
    <cellStyle name="SAPBEXHLevel3X 3" xfId="43824" xr:uid="{00000000-0005-0000-0000-000024A00000}"/>
    <cellStyle name="SAPBEXinputData" xfId="39773" xr:uid="{00000000-0005-0000-0000-000025A00000}"/>
    <cellStyle name="SAPBEXresData" xfId="1715" xr:uid="{00000000-0005-0000-0000-000026A00000}"/>
    <cellStyle name="SAPBEXresData 2" xfId="39774" xr:uid="{00000000-0005-0000-0000-000027A00000}"/>
    <cellStyle name="SAPBEXresData 2 2" xfId="39775" xr:uid="{00000000-0005-0000-0000-000028A00000}"/>
    <cellStyle name="SAPBEXresData 3" xfId="43825" xr:uid="{00000000-0005-0000-0000-000029A00000}"/>
    <cellStyle name="SAPBEXresDataEmph" xfId="1716" xr:uid="{00000000-0005-0000-0000-00002AA00000}"/>
    <cellStyle name="SAPBEXresDataEmph 2" xfId="39776" xr:uid="{00000000-0005-0000-0000-00002BA00000}"/>
    <cellStyle name="SAPBEXresDataEmph 2 2" xfId="39777" xr:uid="{00000000-0005-0000-0000-00002CA00000}"/>
    <cellStyle name="SAPBEXresDataEmph 3" xfId="43826" xr:uid="{00000000-0005-0000-0000-00002DA00000}"/>
    <cellStyle name="SAPBEXresItem" xfId="1717" xr:uid="{00000000-0005-0000-0000-00002EA00000}"/>
    <cellStyle name="SAPBEXresItem 2" xfId="39778" xr:uid="{00000000-0005-0000-0000-00002FA00000}"/>
    <cellStyle name="SAPBEXresItem 2 2" xfId="39779" xr:uid="{00000000-0005-0000-0000-000030A00000}"/>
    <cellStyle name="SAPBEXresItem 3" xfId="43827" xr:uid="{00000000-0005-0000-0000-000031A00000}"/>
    <cellStyle name="SAPBEXresItemX" xfId="1718" xr:uid="{00000000-0005-0000-0000-000032A00000}"/>
    <cellStyle name="SAPBEXresItemX 2" xfId="39780" xr:uid="{00000000-0005-0000-0000-000033A00000}"/>
    <cellStyle name="SAPBEXresItemX 2 2" xfId="39781" xr:uid="{00000000-0005-0000-0000-000034A00000}"/>
    <cellStyle name="SAPBEXresItemX 3" xfId="43828" xr:uid="{00000000-0005-0000-0000-000035A00000}"/>
    <cellStyle name="SAPBEXstdData" xfId="1719" xr:uid="{00000000-0005-0000-0000-000036A00000}"/>
    <cellStyle name="SAPBEXstdData 2" xfId="39782" xr:uid="{00000000-0005-0000-0000-000037A00000}"/>
    <cellStyle name="SAPBEXstdData 2 2" xfId="39783" xr:uid="{00000000-0005-0000-0000-000038A00000}"/>
    <cellStyle name="SAPBEXstdDataEmph" xfId="1720" xr:uid="{00000000-0005-0000-0000-000039A00000}"/>
    <cellStyle name="SAPBEXstdDataEmph 2" xfId="39784" xr:uid="{00000000-0005-0000-0000-00003AA00000}"/>
    <cellStyle name="SAPBEXstdDataEmph 2 2" xfId="39785" xr:uid="{00000000-0005-0000-0000-00003BA00000}"/>
    <cellStyle name="SAPBEXstdDataEmph 3" xfId="43829" xr:uid="{00000000-0005-0000-0000-00003CA00000}"/>
    <cellStyle name="SAPBEXstdItem" xfId="1721" xr:uid="{00000000-0005-0000-0000-00003DA00000}"/>
    <cellStyle name="SAPBEXstdItem 2" xfId="39786" xr:uid="{00000000-0005-0000-0000-00003EA00000}"/>
    <cellStyle name="SAPBEXstdItem 2 2" xfId="39787" xr:uid="{00000000-0005-0000-0000-00003FA00000}"/>
    <cellStyle name="SAPBEXstdItem 3" xfId="39788" xr:uid="{00000000-0005-0000-0000-000040A00000}"/>
    <cellStyle name="SAPBEXstdItem 4" xfId="39789" xr:uid="{00000000-0005-0000-0000-000041A00000}"/>
    <cellStyle name="SAPBEXstdItemX" xfId="1722" xr:uid="{00000000-0005-0000-0000-000042A00000}"/>
    <cellStyle name="SAPBEXstdItemX 2" xfId="39790" xr:uid="{00000000-0005-0000-0000-000043A00000}"/>
    <cellStyle name="SAPBEXstdItemX 2 2" xfId="39791" xr:uid="{00000000-0005-0000-0000-000044A00000}"/>
    <cellStyle name="SAPBEXtitle" xfId="1723" xr:uid="{00000000-0005-0000-0000-000045A00000}"/>
    <cellStyle name="SAPBEXtitle 2" xfId="39792" xr:uid="{00000000-0005-0000-0000-000046A00000}"/>
    <cellStyle name="SAPBEXtitle 2 2" xfId="39793" xr:uid="{00000000-0005-0000-0000-000047A00000}"/>
    <cellStyle name="SAPBEXundefined" xfId="1724" xr:uid="{00000000-0005-0000-0000-000048A00000}"/>
    <cellStyle name="SAPBEXundefined 2" xfId="39794" xr:uid="{00000000-0005-0000-0000-000049A00000}"/>
    <cellStyle name="SAPBEXundefined 2 2" xfId="39795" xr:uid="{00000000-0005-0000-0000-00004AA00000}"/>
    <cellStyle name="SAPBEXundefined 2 2 2" xfId="39796" xr:uid="{00000000-0005-0000-0000-00004BA00000}"/>
    <cellStyle name="SAPBEXundefined 2 2 3" xfId="39797" xr:uid="{00000000-0005-0000-0000-00004CA00000}"/>
    <cellStyle name="SAPBEXundefined 2 3" xfId="39798" xr:uid="{00000000-0005-0000-0000-00004DA00000}"/>
    <cellStyle name="SAPBEXundefined 3" xfId="39799" xr:uid="{00000000-0005-0000-0000-00004EA00000}"/>
    <cellStyle name="SAPOutput" xfId="39800" xr:uid="{00000000-0005-0000-0000-00004FA00000}"/>
    <cellStyle name="SAPOutput 2" xfId="39801" xr:uid="{00000000-0005-0000-0000-000050A00000}"/>
    <cellStyle name="SAPOutput 3" xfId="39802" xr:uid="{00000000-0005-0000-0000-000051A00000}"/>
    <cellStyle name="Sep. milhar [0]" xfId="878" xr:uid="{00000000-0005-0000-0000-000052A00000}"/>
    <cellStyle name="Sep. milhar [0] 2" xfId="39803" xr:uid="{00000000-0005-0000-0000-000053A00000}"/>
    <cellStyle name="Separador de m" xfId="879" xr:uid="{00000000-0005-0000-0000-000054A00000}"/>
    <cellStyle name="Separador de m 2" xfId="39804" xr:uid="{00000000-0005-0000-0000-000055A00000}"/>
    <cellStyle name="Separador de m 3" xfId="39805" xr:uid="{00000000-0005-0000-0000-000056A00000}"/>
    <cellStyle name="Separador de milhares 10" xfId="919" xr:uid="{00000000-0005-0000-0000-000057A00000}"/>
    <cellStyle name="Separador de milhares 10 2" xfId="39806" xr:uid="{00000000-0005-0000-0000-000058A00000}"/>
    <cellStyle name="Separador de milhares 10 2 2" xfId="39807" xr:uid="{00000000-0005-0000-0000-000059A00000}"/>
    <cellStyle name="Separador de milhares 10 3" xfId="43830" xr:uid="{00000000-0005-0000-0000-00005AA00000}"/>
    <cellStyle name="Separador de milhares 11" xfId="1141" xr:uid="{00000000-0005-0000-0000-00005BA00000}"/>
    <cellStyle name="Separador de milhares 11 2" xfId="39808" xr:uid="{00000000-0005-0000-0000-00005CA00000}"/>
    <cellStyle name="Separador de milhares 11 2 2" xfId="43831" xr:uid="{00000000-0005-0000-0000-00005DA00000}"/>
    <cellStyle name="Separador de milhares 11 3" xfId="43832" xr:uid="{00000000-0005-0000-0000-00005EA00000}"/>
    <cellStyle name="Separador de milhares 12" xfId="1142" xr:uid="{00000000-0005-0000-0000-00005FA00000}"/>
    <cellStyle name="Separador de milhares 13" xfId="1143" xr:uid="{00000000-0005-0000-0000-000060A00000}"/>
    <cellStyle name="Separador de milhares 13 2" xfId="39809" xr:uid="{00000000-0005-0000-0000-000061A00000}"/>
    <cellStyle name="Separador de milhares 13 2 2" xfId="43833" xr:uid="{00000000-0005-0000-0000-000062A00000}"/>
    <cellStyle name="Separador de milhares 13 3" xfId="43834" xr:uid="{00000000-0005-0000-0000-000063A00000}"/>
    <cellStyle name="Separador de milhares 14" xfId="1725" xr:uid="{00000000-0005-0000-0000-000064A00000}"/>
    <cellStyle name="Separador de milhares 14 2" xfId="39810" xr:uid="{00000000-0005-0000-0000-000065A00000}"/>
    <cellStyle name="Separador de milhares 147" xfId="39811" xr:uid="{00000000-0005-0000-0000-000066A00000}"/>
    <cellStyle name="Separador de milhares 15" xfId="39812" xr:uid="{00000000-0005-0000-0000-000067A00000}"/>
    <cellStyle name="Separador de milhares 15 2" xfId="39813" xr:uid="{00000000-0005-0000-0000-000068A00000}"/>
    <cellStyle name="Separador de milhares 16" xfId="39814" xr:uid="{00000000-0005-0000-0000-000069A00000}"/>
    <cellStyle name="Separador de milhares 16 2" xfId="39815" xr:uid="{00000000-0005-0000-0000-00006AA00000}"/>
    <cellStyle name="Separador de milhares 16 2 2" xfId="43835" xr:uid="{00000000-0005-0000-0000-00006BA00000}"/>
    <cellStyle name="Separador de milhares 16 3" xfId="43836" xr:uid="{00000000-0005-0000-0000-00006CA00000}"/>
    <cellStyle name="Separador de milhares 17" xfId="42526" xr:uid="{00000000-0005-0000-0000-00006DA00000}"/>
    <cellStyle name="Separador de milhares 17 2" xfId="43943" xr:uid="{00000000-0005-0000-0000-00006EA00000}"/>
    <cellStyle name="Separador de milhares 17 3" xfId="43944" xr:uid="{00000000-0005-0000-0000-00006FA00000}"/>
    <cellStyle name="Separador de milhares 18" xfId="39816" xr:uid="{00000000-0005-0000-0000-000070A00000}"/>
    <cellStyle name="Separador de milhares 18 2" xfId="43837" xr:uid="{00000000-0005-0000-0000-000071A00000}"/>
    <cellStyle name="Separador de milhares 19" xfId="43838" xr:uid="{00000000-0005-0000-0000-000072A00000}"/>
    <cellStyle name="Separador de milhares 19 2" xfId="43839" xr:uid="{00000000-0005-0000-0000-000073A00000}"/>
    <cellStyle name="Separador de milhares 19 2 2" xfId="43840" xr:uid="{00000000-0005-0000-0000-000074A00000}"/>
    <cellStyle name="Separador de milhares 19 3" xfId="43841" xr:uid="{00000000-0005-0000-0000-000075A00000}"/>
    <cellStyle name="Separador de milhares 2" xfId="881" xr:uid="{00000000-0005-0000-0000-000076A00000}"/>
    <cellStyle name="Separador de milhares 2 10" xfId="39817" xr:uid="{00000000-0005-0000-0000-000077A00000}"/>
    <cellStyle name="Separador de milhares 2 10 10" xfId="39818" xr:uid="{00000000-0005-0000-0000-000078A00000}"/>
    <cellStyle name="Separador de milhares 2 10 11" xfId="39819" xr:uid="{00000000-0005-0000-0000-000079A00000}"/>
    <cellStyle name="Separador de milhares 2 10 12" xfId="39820" xr:uid="{00000000-0005-0000-0000-00007AA00000}"/>
    <cellStyle name="Separador de milhares 2 10 13" xfId="39821" xr:uid="{00000000-0005-0000-0000-00007BA00000}"/>
    <cellStyle name="Separador de milhares 2 10 14" xfId="39822" xr:uid="{00000000-0005-0000-0000-00007CA00000}"/>
    <cellStyle name="Separador de milhares 2 10 15" xfId="43951" xr:uid="{00000000-0005-0000-0000-00007DA00000}"/>
    <cellStyle name="Separador de milhares 2 10 15 2" xfId="43961" xr:uid="{00000000-0005-0000-0000-00007EA00000}"/>
    <cellStyle name="Separador de milhares 2 10 2" xfId="39823" xr:uid="{00000000-0005-0000-0000-00007FA00000}"/>
    <cellStyle name="Separador de milhares 2 10 2 2" xfId="39824" xr:uid="{00000000-0005-0000-0000-000080A00000}"/>
    <cellStyle name="Separador de milhares 2 10 2 3" xfId="39825" xr:uid="{00000000-0005-0000-0000-000081A00000}"/>
    <cellStyle name="Separador de milhares 2 10 2 4" xfId="39826" xr:uid="{00000000-0005-0000-0000-000082A00000}"/>
    <cellStyle name="Separador de milhares 2 10 2 5" xfId="39827" xr:uid="{00000000-0005-0000-0000-000083A00000}"/>
    <cellStyle name="Separador de milhares 2 10 2 6" xfId="39828" xr:uid="{00000000-0005-0000-0000-000084A00000}"/>
    <cellStyle name="Separador de milhares 2 10 3" xfId="39829" xr:uid="{00000000-0005-0000-0000-000085A00000}"/>
    <cellStyle name="Separador de milhares 2 10 3 2" xfId="39830" xr:uid="{00000000-0005-0000-0000-000086A00000}"/>
    <cellStyle name="Separador de milhares 2 10 3 3" xfId="39831" xr:uid="{00000000-0005-0000-0000-000087A00000}"/>
    <cellStyle name="Separador de milhares 2 10 3 4" xfId="39832" xr:uid="{00000000-0005-0000-0000-000088A00000}"/>
    <cellStyle name="Separador de milhares 2 10 3 5" xfId="39833" xr:uid="{00000000-0005-0000-0000-000089A00000}"/>
    <cellStyle name="Separador de milhares 2 10 3 6" xfId="39834" xr:uid="{00000000-0005-0000-0000-00008AA00000}"/>
    <cellStyle name="Separador de milhares 2 10 4" xfId="39835" xr:uid="{00000000-0005-0000-0000-00008BA00000}"/>
    <cellStyle name="Separador de milhares 2 10 4 2" xfId="39836" xr:uid="{00000000-0005-0000-0000-00008CA00000}"/>
    <cellStyle name="Separador de milhares 2 10 4 3" xfId="39837" xr:uid="{00000000-0005-0000-0000-00008DA00000}"/>
    <cellStyle name="Separador de milhares 2 10 4 4" xfId="39838" xr:uid="{00000000-0005-0000-0000-00008EA00000}"/>
    <cellStyle name="Separador de milhares 2 10 4 5" xfId="39839" xr:uid="{00000000-0005-0000-0000-00008FA00000}"/>
    <cellStyle name="Separador de milhares 2 10 4 6" xfId="39840" xr:uid="{00000000-0005-0000-0000-000090A00000}"/>
    <cellStyle name="Separador de milhares 2 10 5" xfId="39841" xr:uid="{00000000-0005-0000-0000-000091A00000}"/>
    <cellStyle name="Separador de milhares 2 10 5 2" xfId="39842" xr:uid="{00000000-0005-0000-0000-000092A00000}"/>
    <cellStyle name="Separador de milhares 2 10 5 3" xfId="39843" xr:uid="{00000000-0005-0000-0000-000093A00000}"/>
    <cellStyle name="Separador de milhares 2 10 5 4" xfId="39844" xr:uid="{00000000-0005-0000-0000-000094A00000}"/>
    <cellStyle name="Separador de milhares 2 10 5 5" xfId="39845" xr:uid="{00000000-0005-0000-0000-000095A00000}"/>
    <cellStyle name="Separador de milhares 2 10 5 6" xfId="39846" xr:uid="{00000000-0005-0000-0000-000096A00000}"/>
    <cellStyle name="Separador de milhares 2 10 6" xfId="39847" xr:uid="{00000000-0005-0000-0000-000097A00000}"/>
    <cellStyle name="Separador de milhares 2 10 6 2" xfId="39848" xr:uid="{00000000-0005-0000-0000-000098A00000}"/>
    <cellStyle name="Separador de milhares 2 10 6 3" xfId="39849" xr:uid="{00000000-0005-0000-0000-000099A00000}"/>
    <cellStyle name="Separador de milhares 2 10 6 4" xfId="39850" xr:uid="{00000000-0005-0000-0000-00009AA00000}"/>
    <cellStyle name="Separador de milhares 2 10 6 5" xfId="39851" xr:uid="{00000000-0005-0000-0000-00009BA00000}"/>
    <cellStyle name="Separador de milhares 2 10 6 6" xfId="39852" xr:uid="{00000000-0005-0000-0000-00009CA00000}"/>
    <cellStyle name="Separador de milhares 2 10 7" xfId="39853" xr:uid="{00000000-0005-0000-0000-00009DA00000}"/>
    <cellStyle name="Separador de milhares 2 10 7 2" xfId="39854" xr:uid="{00000000-0005-0000-0000-00009EA00000}"/>
    <cellStyle name="Separador de milhares 2 10 7 3" xfId="39855" xr:uid="{00000000-0005-0000-0000-00009FA00000}"/>
    <cellStyle name="Separador de milhares 2 10 7 4" xfId="39856" xr:uid="{00000000-0005-0000-0000-0000A0A00000}"/>
    <cellStyle name="Separador de milhares 2 10 7 5" xfId="39857" xr:uid="{00000000-0005-0000-0000-0000A1A00000}"/>
    <cellStyle name="Separador de milhares 2 10 7 6" xfId="39858" xr:uid="{00000000-0005-0000-0000-0000A2A00000}"/>
    <cellStyle name="Separador de milhares 2 10 8" xfId="39859" xr:uid="{00000000-0005-0000-0000-0000A3A00000}"/>
    <cellStyle name="Separador de milhares 2 10 8 2" xfId="39860" xr:uid="{00000000-0005-0000-0000-0000A4A00000}"/>
    <cellStyle name="Separador de milhares 2 10 8 3" xfId="39861" xr:uid="{00000000-0005-0000-0000-0000A5A00000}"/>
    <cellStyle name="Separador de milhares 2 10 8 4" xfId="39862" xr:uid="{00000000-0005-0000-0000-0000A6A00000}"/>
    <cellStyle name="Separador de milhares 2 10 8 5" xfId="39863" xr:uid="{00000000-0005-0000-0000-0000A7A00000}"/>
    <cellStyle name="Separador de milhares 2 10 8 6" xfId="39864" xr:uid="{00000000-0005-0000-0000-0000A8A00000}"/>
    <cellStyle name="Separador de milhares 2 10 9" xfId="39865" xr:uid="{00000000-0005-0000-0000-0000A9A00000}"/>
    <cellStyle name="Separador de milhares 2 11" xfId="39866" xr:uid="{00000000-0005-0000-0000-0000AAA00000}"/>
    <cellStyle name="Separador de milhares 2 11 10" xfId="39867" xr:uid="{00000000-0005-0000-0000-0000ABA00000}"/>
    <cellStyle name="Separador de milhares 2 11 11" xfId="39868" xr:uid="{00000000-0005-0000-0000-0000ACA00000}"/>
    <cellStyle name="Separador de milhares 2 11 12" xfId="39869" xr:uid="{00000000-0005-0000-0000-0000ADA00000}"/>
    <cellStyle name="Separador de milhares 2 11 13" xfId="39870" xr:uid="{00000000-0005-0000-0000-0000AEA00000}"/>
    <cellStyle name="Separador de milhares 2 11 14" xfId="39871" xr:uid="{00000000-0005-0000-0000-0000AFA00000}"/>
    <cellStyle name="Separador de milhares 2 11 2" xfId="39872" xr:uid="{00000000-0005-0000-0000-0000B0A00000}"/>
    <cellStyle name="Separador de milhares 2 11 2 2" xfId="39873" xr:uid="{00000000-0005-0000-0000-0000B1A00000}"/>
    <cellStyle name="Separador de milhares 2 11 2 3" xfId="39874" xr:uid="{00000000-0005-0000-0000-0000B2A00000}"/>
    <cellStyle name="Separador de milhares 2 11 2 4" xfId="39875" xr:uid="{00000000-0005-0000-0000-0000B3A00000}"/>
    <cellStyle name="Separador de milhares 2 11 2 5" xfId="39876" xr:uid="{00000000-0005-0000-0000-0000B4A00000}"/>
    <cellStyle name="Separador de milhares 2 11 2 6" xfId="39877" xr:uid="{00000000-0005-0000-0000-0000B5A00000}"/>
    <cellStyle name="Separador de milhares 2 11 3" xfId="39878" xr:uid="{00000000-0005-0000-0000-0000B6A00000}"/>
    <cellStyle name="Separador de milhares 2 11 3 2" xfId="39879" xr:uid="{00000000-0005-0000-0000-0000B7A00000}"/>
    <cellStyle name="Separador de milhares 2 11 3 3" xfId="39880" xr:uid="{00000000-0005-0000-0000-0000B8A00000}"/>
    <cellStyle name="Separador de milhares 2 11 3 4" xfId="39881" xr:uid="{00000000-0005-0000-0000-0000B9A00000}"/>
    <cellStyle name="Separador de milhares 2 11 3 5" xfId="39882" xr:uid="{00000000-0005-0000-0000-0000BAA00000}"/>
    <cellStyle name="Separador de milhares 2 11 3 6" xfId="39883" xr:uid="{00000000-0005-0000-0000-0000BBA00000}"/>
    <cellStyle name="Separador de milhares 2 11 4" xfId="39884" xr:uid="{00000000-0005-0000-0000-0000BCA00000}"/>
    <cellStyle name="Separador de milhares 2 11 4 2" xfId="39885" xr:uid="{00000000-0005-0000-0000-0000BDA00000}"/>
    <cellStyle name="Separador de milhares 2 11 4 3" xfId="39886" xr:uid="{00000000-0005-0000-0000-0000BEA00000}"/>
    <cellStyle name="Separador de milhares 2 11 4 4" xfId="39887" xr:uid="{00000000-0005-0000-0000-0000BFA00000}"/>
    <cellStyle name="Separador de milhares 2 11 4 5" xfId="39888" xr:uid="{00000000-0005-0000-0000-0000C0A00000}"/>
    <cellStyle name="Separador de milhares 2 11 4 6" xfId="39889" xr:uid="{00000000-0005-0000-0000-0000C1A00000}"/>
    <cellStyle name="Separador de milhares 2 11 5" xfId="39890" xr:uid="{00000000-0005-0000-0000-0000C2A00000}"/>
    <cellStyle name="Separador de milhares 2 11 5 2" xfId="39891" xr:uid="{00000000-0005-0000-0000-0000C3A00000}"/>
    <cellStyle name="Separador de milhares 2 11 5 3" xfId="39892" xr:uid="{00000000-0005-0000-0000-0000C4A00000}"/>
    <cellStyle name="Separador de milhares 2 11 5 4" xfId="39893" xr:uid="{00000000-0005-0000-0000-0000C5A00000}"/>
    <cellStyle name="Separador de milhares 2 11 5 5" xfId="39894" xr:uid="{00000000-0005-0000-0000-0000C6A00000}"/>
    <cellStyle name="Separador de milhares 2 11 5 6" xfId="39895" xr:uid="{00000000-0005-0000-0000-0000C7A00000}"/>
    <cellStyle name="Separador de milhares 2 11 6" xfId="39896" xr:uid="{00000000-0005-0000-0000-0000C8A00000}"/>
    <cellStyle name="Separador de milhares 2 11 6 2" xfId="39897" xr:uid="{00000000-0005-0000-0000-0000C9A00000}"/>
    <cellStyle name="Separador de milhares 2 11 6 3" xfId="39898" xr:uid="{00000000-0005-0000-0000-0000CAA00000}"/>
    <cellStyle name="Separador de milhares 2 11 6 4" xfId="39899" xr:uid="{00000000-0005-0000-0000-0000CBA00000}"/>
    <cellStyle name="Separador de milhares 2 11 6 5" xfId="39900" xr:uid="{00000000-0005-0000-0000-0000CCA00000}"/>
    <cellStyle name="Separador de milhares 2 11 6 6" xfId="39901" xr:uid="{00000000-0005-0000-0000-0000CDA00000}"/>
    <cellStyle name="Separador de milhares 2 11 7" xfId="39902" xr:uid="{00000000-0005-0000-0000-0000CEA00000}"/>
    <cellStyle name="Separador de milhares 2 11 7 2" xfId="39903" xr:uid="{00000000-0005-0000-0000-0000CFA00000}"/>
    <cellStyle name="Separador de milhares 2 11 7 3" xfId="39904" xr:uid="{00000000-0005-0000-0000-0000D0A00000}"/>
    <cellStyle name="Separador de milhares 2 11 7 4" xfId="39905" xr:uid="{00000000-0005-0000-0000-0000D1A00000}"/>
    <cellStyle name="Separador de milhares 2 11 7 5" xfId="39906" xr:uid="{00000000-0005-0000-0000-0000D2A00000}"/>
    <cellStyle name="Separador de milhares 2 11 7 6" xfId="39907" xr:uid="{00000000-0005-0000-0000-0000D3A00000}"/>
    <cellStyle name="Separador de milhares 2 11 8" xfId="39908" xr:uid="{00000000-0005-0000-0000-0000D4A00000}"/>
    <cellStyle name="Separador de milhares 2 11 8 2" xfId="39909" xr:uid="{00000000-0005-0000-0000-0000D5A00000}"/>
    <cellStyle name="Separador de milhares 2 11 8 3" xfId="39910" xr:uid="{00000000-0005-0000-0000-0000D6A00000}"/>
    <cellStyle name="Separador de milhares 2 11 8 4" xfId="39911" xr:uid="{00000000-0005-0000-0000-0000D7A00000}"/>
    <cellStyle name="Separador de milhares 2 11 8 5" xfId="39912" xr:uid="{00000000-0005-0000-0000-0000D8A00000}"/>
    <cellStyle name="Separador de milhares 2 11 8 6" xfId="39913" xr:uid="{00000000-0005-0000-0000-0000D9A00000}"/>
    <cellStyle name="Separador de milhares 2 11 9" xfId="39914" xr:uid="{00000000-0005-0000-0000-0000DAA00000}"/>
    <cellStyle name="Separador de milhares 2 12" xfId="39915" xr:uid="{00000000-0005-0000-0000-0000DBA00000}"/>
    <cellStyle name="Separador de milhares 2 12 10" xfId="39916" xr:uid="{00000000-0005-0000-0000-0000DCA00000}"/>
    <cellStyle name="Separador de milhares 2 12 11" xfId="39917" xr:uid="{00000000-0005-0000-0000-0000DDA00000}"/>
    <cellStyle name="Separador de milhares 2 12 12" xfId="39918" xr:uid="{00000000-0005-0000-0000-0000DEA00000}"/>
    <cellStyle name="Separador de milhares 2 12 13" xfId="39919" xr:uid="{00000000-0005-0000-0000-0000DFA00000}"/>
    <cellStyle name="Separador de milhares 2 12 2" xfId="39920" xr:uid="{00000000-0005-0000-0000-0000E0A00000}"/>
    <cellStyle name="Separador de milhares 2 12 2 2" xfId="39921" xr:uid="{00000000-0005-0000-0000-0000E1A00000}"/>
    <cellStyle name="Separador de milhares 2 12 2 3" xfId="39922" xr:uid="{00000000-0005-0000-0000-0000E2A00000}"/>
    <cellStyle name="Separador de milhares 2 12 2 4" xfId="39923" xr:uid="{00000000-0005-0000-0000-0000E3A00000}"/>
    <cellStyle name="Separador de milhares 2 12 2 5" xfId="39924" xr:uid="{00000000-0005-0000-0000-0000E4A00000}"/>
    <cellStyle name="Separador de milhares 2 12 2 6" xfId="39925" xr:uid="{00000000-0005-0000-0000-0000E5A00000}"/>
    <cellStyle name="Separador de milhares 2 12 3" xfId="39926" xr:uid="{00000000-0005-0000-0000-0000E6A00000}"/>
    <cellStyle name="Separador de milhares 2 12 3 2" xfId="39927" xr:uid="{00000000-0005-0000-0000-0000E7A00000}"/>
    <cellStyle name="Separador de milhares 2 12 3 3" xfId="39928" xr:uid="{00000000-0005-0000-0000-0000E8A00000}"/>
    <cellStyle name="Separador de milhares 2 12 3 4" xfId="39929" xr:uid="{00000000-0005-0000-0000-0000E9A00000}"/>
    <cellStyle name="Separador de milhares 2 12 3 5" xfId="39930" xr:uid="{00000000-0005-0000-0000-0000EAA00000}"/>
    <cellStyle name="Separador de milhares 2 12 3 6" xfId="39931" xr:uid="{00000000-0005-0000-0000-0000EBA00000}"/>
    <cellStyle name="Separador de milhares 2 12 4" xfId="39932" xr:uid="{00000000-0005-0000-0000-0000ECA00000}"/>
    <cellStyle name="Separador de milhares 2 12 4 2" xfId="39933" xr:uid="{00000000-0005-0000-0000-0000EDA00000}"/>
    <cellStyle name="Separador de milhares 2 12 4 3" xfId="39934" xr:uid="{00000000-0005-0000-0000-0000EEA00000}"/>
    <cellStyle name="Separador de milhares 2 12 4 4" xfId="39935" xr:uid="{00000000-0005-0000-0000-0000EFA00000}"/>
    <cellStyle name="Separador de milhares 2 12 4 5" xfId="39936" xr:uid="{00000000-0005-0000-0000-0000F0A00000}"/>
    <cellStyle name="Separador de milhares 2 12 4 6" xfId="39937" xr:uid="{00000000-0005-0000-0000-0000F1A00000}"/>
    <cellStyle name="Separador de milhares 2 12 5" xfId="39938" xr:uid="{00000000-0005-0000-0000-0000F2A00000}"/>
    <cellStyle name="Separador de milhares 2 12 5 2" xfId="39939" xr:uid="{00000000-0005-0000-0000-0000F3A00000}"/>
    <cellStyle name="Separador de milhares 2 12 5 3" xfId="39940" xr:uid="{00000000-0005-0000-0000-0000F4A00000}"/>
    <cellStyle name="Separador de milhares 2 12 5 4" xfId="39941" xr:uid="{00000000-0005-0000-0000-0000F5A00000}"/>
    <cellStyle name="Separador de milhares 2 12 5 5" xfId="39942" xr:uid="{00000000-0005-0000-0000-0000F6A00000}"/>
    <cellStyle name="Separador de milhares 2 12 5 6" xfId="39943" xr:uid="{00000000-0005-0000-0000-0000F7A00000}"/>
    <cellStyle name="Separador de milhares 2 12 6" xfId="39944" xr:uid="{00000000-0005-0000-0000-0000F8A00000}"/>
    <cellStyle name="Separador de milhares 2 12 6 2" xfId="39945" xr:uid="{00000000-0005-0000-0000-0000F9A00000}"/>
    <cellStyle name="Separador de milhares 2 12 6 3" xfId="39946" xr:uid="{00000000-0005-0000-0000-0000FAA00000}"/>
    <cellStyle name="Separador de milhares 2 12 6 4" xfId="39947" xr:uid="{00000000-0005-0000-0000-0000FBA00000}"/>
    <cellStyle name="Separador de milhares 2 12 6 5" xfId="39948" xr:uid="{00000000-0005-0000-0000-0000FCA00000}"/>
    <cellStyle name="Separador de milhares 2 12 6 6" xfId="39949" xr:uid="{00000000-0005-0000-0000-0000FDA00000}"/>
    <cellStyle name="Separador de milhares 2 12 7" xfId="39950" xr:uid="{00000000-0005-0000-0000-0000FEA00000}"/>
    <cellStyle name="Separador de milhares 2 12 7 2" xfId="39951" xr:uid="{00000000-0005-0000-0000-0000FFA00000}"/>
    <cellStyle name="Separador de milhares 2 12 7 3" xfId="39952" xr:uid="{00000000-0005-0000-0000-000000A10000}"/>
    <cellStyle name="Separador de milhares 2 12 7 4" xfId="39953" xr:uid="{00000000-0005-0000-0000-000001A10000}"/>
    <cellStyle name="Separador de milhares 2 12 7 5" xfId="39954" xr:uid="{00000000-0005-0000-0000-000002A10000}"/>
    <cellStyle name="Separador de milhares 2 12 7 6" xfId="39955" xr:uid="{00000000-0005-0000-0000-000003A10000}"/>
    <cellStyle name="Separador de milhares 2 12 8" xfId="39956" xr:uid="{00000000-0005-0000-0000-000004A10000}"/>
    <cellStyle name="Separador de milhares 2 12 8 2" xfId="39957" xr:uid="{00000000-0005-0000-0000-000005A10000}"/>
    <cellStyle name="Separador de milhares 2 12 8 3" xfId="39958" xr:uid="{00000000-0005-0000-0000-000006A10000}"/>
    <cellStyle name="Separador de milhares 2 12 8 4" xfId="39959" xr:uid="{00000000-0005-0000-0000-000007A10000}"/>
    <cellStyle name="Separador de milhares 2 12 8 5" xfId="39960" xr:uid="{00000000-0005-0000-0000-000008A10000}"/>
    <cellStyle name="Separador de milhares 2 12 8 6" xfId="39961" xr:uid="{00000000-0005-0000-0000-000009A10000}"/>
    <cellStyle name="Separador de milhares 2 12 9" xfId="39962" xr:uid="{00000000-0005-0000-0000-00000AA10000}"/>
    <cellStyle name="Separador de milhares 2 13" xfId="39963" xr:uid="{00000000-0005-0000-0000-00000BA10000}"/>
    <cellStyle name="Separador de milhares 2 13 10" xfId="39964" xr:uid="{00000000-0005-0000-0000-00000CA10000}"/>
    <cellStyle name="Separador de milhares 2 13 11" xfId="39965" xr:uid="{00000000-0005-0000-0000-00000DA10000}"/>
    <cellStyle name="Separador de milhares 2 13 12" xfId="39966" xr:uid="{00000000-0005-0000-0000-00000EA10000}"/>
    <cellStyle name="Separador de milhares 2 13 13" xfId="39967" xr:uid="{00000000-0005-0000-0000-00000FA10000}"/>
    <cellStyle name="Separador de milhares 2 13 2" xfId="39968" xr:uid="{00000000-0005-0000-0000-000010A10000}"/>
    <cellStyle name="Separador de milhares 2 13 2 2" xfId="39969" xr:uid="{00000000-0005-0000-0000-000011A10000}"/>
    <cellStyle name="Separador de milhares 2 13 2 3" xfId="39970" xr:uid="{00000000-0005-0000-0000-000012A10000}"/>
    <cellStyle name="Separador de milhares 2 13 2 4" xfId="39971" xr:uid="{00000000-0005-0000-0000-000013A10000}"/>
    <cellStyle name="Separador de milhares 2 13 2 5" xfId="39972" xr:uid="{00000000-0005-0000-0000-000014A10000}"/>
    <cellStyle name="Separador de milhares 2 13 2 6" xfId="39973" xr:uid="{00000000-0005-0000-0000-000015A10000}"/>
    <cellStyle name="Separador de milhares 2 13 3" xfId="39974" xr:uid="{00000000-0005-0000-0000-000016A10000}"/>
    <cellStyle name="Separador de milhares 2 13 3 2" xfId="39975" xr:uid="{00000000-0005-0000-0000-000017A10000}"/>
    <cellStyle name="Separador de milhares 2 13 3 3" xfId="39976" xr:uid="{00000000-0005-0000-0000-000018A10000}"/>
    <cellStyle name="Separador de milhares 2 13 3 4" xfId="39977" xr:uid="{00000000-0005-0000-0000-000019A10000}"/>
    <cellStyle name="Separador de milhares 2 13 3 5" xfId="39978" xr:uid="{00000000-0005-0000-0000-00001AA10000}"/>
    <cellStyle name="Separador de milhares 2 13 3 6" xfId="39979" xr:uid="{00000000-0005-0000-0000-00001BA10000}"/>
    <cellStyle name="Separador de milhares 2 13 4" xfId="39980" xr:uid="{00000000-0005-0000-0000-00001CA10000}"/>
    <cellStyle name="Separador de milhares 2 13 4 2" xfId="39981" xr:uid="{00000000-0005-0000-0000-00001DA10000}"/>
    <cellStyle name="Separador de milhares 2 13 4 3" xfId="39982" xr:uid="{00000000-0005-0000-0000-00001EA10000}"/>
    <cellStyle name="Separador de milhares 2 13 4 4" xfId="39983" xr:uid="{00000000-0005-0000-0000-00001FA10000}"/>
    <cellStyle name="Separador de milhares 2 13 4 5" xfId="39984" xr:uid="{00000000-0005-0000-0000-000020A10000}"/>
    <cellStyle name="Separador de milhares 2 13 4 6" xfId="39985" xr:uid="{00000000-0005-0000-0000-000021A10000}"/>
    <cellStyle name="Separador de milhares 2 13 5" xfId="39986" xr:uid="{00000000-0005-0000-0000-000022A10000}"/>
    <cellStyle name="Separador de milhares 2 13 5 2" xfId="39987" xr:uid="{00000000-0005-0000-0000-000023A10000}"/>
    <cellStyle name="Separador de milhares 2 13 5 3" xfId="39988" xr:uid="{00000000-0005-0000-0000-000024A10000}"/>
    <cellStyle name="Separador de milhares 2 13 5 4" xfId="39989" xr:uid="{00000000-0005-0000-0000-000025A10000}"/>
    <cellStyle name="Separador de milhares 2 13 5 5" xfId="39990" xr:uid="{00000000-0005-0000-0000-000026A10000}"/>
    <cellStyle name="Separador de milhares 2 13 5 6" xfId="39991" xr:uid="{00000000-0005-0000-0000-000027A10000}"/>
    <cellStyle name="Separador de milhares 2 13 6" xfId="39992" xr:uid="{00000000-0005-0000-0000-000028A10000}"/>
    <cellStyle name="Separador de milhares 2 13 6 2" xfId="39993" xr:uid="{00000000-0005-0000-0000-000029A10000}"/>
    <cellStyle name="Separador de milhares 2 13 6 3" xfId="39994" xr:uid="{00000000-0005-0000-0000-00002AA10000}"/>
    <cellStyle name="Separador de milhares 2 13 6 4" xfId="39995" xr:uid="{00000000-0005-0000-0000-00002BA10000}"/>
    <cellStyle name="Separador de milhares 2 13 6 5" xfId="39996" xr:uid="{00000000-0005-0000-0000-00002CA10000}"/>
    <cellStyle name="Separador de milhares 2 13 6 6" xfId="39997" xr:uid="{00000000-0005-0000-0000-00002DA10000}"/>
    <cellStyle name="Separador de milhares 2 13 7" xfId="39998" xr:uid="{00000000-0005-0000-0000-00002EA10000}"/>
    <cellStyle name="Separador de milhares 2 13 7 2" xfId="39999" xr:uid="{00000000-0005-0000-0000-00002FA10000}"/>
    <cellStyle name="Separador de milhares 2 13 7 3" xfId="40000" xr:uid="{00000000-0005-0000-0000-000030A10000}"/>
    <cellStyle name="Separador de milhares 2 13 7 4" xfId="40001" xr:uid="{00000000-0005-0000-0000-000031A10000}"/>
    <cellStyle name="Separador de milhares 2 13 7 5" xfId="40002" xr:uid="{00000000-0005-0000-0000-000032A10000}"/>
    <cellStyle name="Separador de milhares 2 13 7 6" xfId="40003" xr:uid="{00000000-0005-0000-0000-000033A10000}"/>
    <cellStyle name="Separador de milhares 2 13 8" xfId="40004" xr:uid="{00000000-0005-0000-0000-000034A10000}"/>
    <cellStyle name="Separador de milhares 2 13 8 2" xfId="40005" xr:uid="{00000000-0005-0000-0000-000035A10000}"/>
    <cellStyle name="Separador de milhares 2 13 8 3" xfId="40006" xr:uid="{00000000-0005-0000-0000-000036A10000}"/>
    <cellStyle name="Separador de milhares 2 13 8 4" xfId="40007" xr:uid="{00000000-0005-0000-0000-000037A10000}"/>
    <cellStyle name="Separador de milhares 2 13 8 5" xfId="40008" xr:uid="{00000000-0005-0000-0000-000038A10000}"/>
    <cellStyle name="Separador de milhares 2 13 8 6" xfId="40009" xr:uid="{00000000-0005-0000-0000-000039A10000}"/>
    <cellStyle name="Separador de milhares 2 13 9" xfId="40010" xr:uid="{00000000-0005-0000-0000-00003AA10000}"/>
    <cellStyle name="Separador de milhares 2 14" xfId="40011" xr:uid="{00000000-0005-0000-0000-00003BA10000}"/>
    <cellStyle name="Separador de milhares 2 14 10" xfId="40012" xr:uid="{00000000-0005-0000-0000-00003CA10000}"/>
    <cellStyle name="Separador de milhares 2 14 11" xfId="40013" xr:uid="{00000000-0005-0000-0000-00003DA10000}"/>
    <cellStyle name="Separador de milhares 2 14 12" xfId="40014" xr:uid="{00000000-0005-0000-0000-00003EA10000}"/>
    <cellStyle name="Separador de milhares 2 14 13" xfId="40015" xr:uid="{00000000-0005-0000-0000-00003FA10000}"/>
    <cellStyle name="Separador de milhares 2 14 2" xfId="40016" xr:uid="{00000000-0005-0000-0000-000040A10000}"/>
    <cellStyle name="Separador de milhares 2 14 2 2" xfId="40017" xr:uid="{00000000-0005-0000-0000-000041A10000}"/>
    <cellStyle name="Separador de milhares 2 14 2 3" xfId="40018" xr:uid="{00000000-0005-0000-0000-000042A10000}"/>
    <cellStyle name="Separador de milhares 2 14 2 4" xfId="40019" xr:uid="{00000000-0005-0000-0000-000043A10000}"/>
    <cellStyle name="Separador de milhares 2 14 2 5" xfId="40020" xr:uid="{00000000-0005-0000-0000-000044A10000}"/>
    <cellStyle name="Separador de milhares 2 14 2 6" xfId="40021" xr:uid="{00000000-0005-0000-0000-000045A10000}"/>
    <cellStyle name="Separador de milhares 2 14 3" xfId="40022" xr:uid="{00000000-0005-0000-0000-000046A10000}"/>
    <cellStyle name="Separador de milhares 2 14 3 2" xfId="40023" xr:uid="{00000000-0005-0000-0000-000047A10000}"/>
    <cellStyle name="Separador de milhares 2 14 3 3" xfId="40024" xr:uid="{00000000-0005-0000-0000-000048A10000}"/>
    <cellStyle name="Separador de milhares 2 14 3 4" xfId="40025" xr:uid="{00000000-0005-0000-0000-000049A10000}"/>
    <cellStyle name="Separador de milhares 2 14 3 5" xfId="40026" xr:uid="{00000000-0005-0000-0000-00004AA10000}"/>
    <cellStyle name="Separador de milhares 2 14 3 6" xfId="40027" xr:uid="{00000000-0005-0000-0000-00004BA10000}"/>
    <cellStyle name="Separador de milhares 2 14 4" xfId="40028" xr:uid="{00000000-0005-0000-0000-00004CA10000}"/>
    <cellStyle name="Separador de milhares 2 14 4 2" xfId="40029" xr:uid="{00000000-0005-0000-0000-00004DA10000}"/>
    <cellStyle name="Separador de milhares 2 14 4 3" xfId="40030" xr:uid="{00000000-0005-0000-0000-00004EA10000}"/>
    <cellStyle name="Separador de milhares 2 14 4 4" xfId="40031" xr:uid="{00000000-0005-0000-0000-00004FA10000}"/>
    <cellStyle name="Separador de milhares 2 14 4 5" xfId="40032" xr:uid="{00000000-0005-0000-0000-000050A10000}"/>
    <cellStyle name="Separador de milhares 2 14 4 6" xfId="40033" xr:uid="{00000000-0005-0000-0000-000051A10000}"/>
    <cellStyle name="Separador de milhares 2 14 5" xfId="40034" xr:uid="{00000000-0005-0000-0000-000052A10000}"/>
    <cellStyle name="Separador de milhares 2 14 5 2" xfId="40035" xr:uid="{00000000-0005-0000-0000-000053A10000}"/>
    <cellStyle name="Separador de milhares 2 14 5 3" xfId="40036" xr:uid="{00000000-0005-0000-0000-000054A10000}"/>
    <cellStyle name="Separador de milhares 2 14 5 4" xfId="40037" xr:uid="{00000000-0005-0000-0000-000055A10000}"/>
    <cellStyle name="Separador de milhares 2 14 5 5" xfId="40038" xr:uid="{00000000-0005-0000-0000-000056A10000}"/>
    <cellStyle name="Separador de milhares 2 14 5 6" xfId="40039" xr:uid="{00000000-0005-0000-0000-000057A10000}"/>
    <cellStyle name="Separador de milhares 2 14 6" xfId="40040" xr:uid="{00000000-0005-0000-0000-000058A10000}"/>
    <cellStyle name="Separador de milhares 2 14 6 2" xfId="40041" xr:uid="{00000000-0005-0000-0000-000059A10000}"/>
    <cellStyle name="Separador de milhares 2 14 6 3" xfId="40042" xr:uid="{00000000-0005-0000-0000-00005AA10000}"/>
    <cellStyle name="Separador de milhares 2 14 6 4" xfId="40043" xr:uid="{00000000-0005-0000-0000-00005BA10000}"/>
    <cellStyle name="Separador de milhares 2 14 6 5" xfId="40044" xr:uid="{00000000-0005-0000-0000-00005CA10000}"/>
    <cellStyle name="Separador de milhares 2 14 6 6" xfId="40045" xr:uid="{00000000-0005-0000-0000-00005DA10000}"/>
    <cellStyle name="Separador de milhares 2 14 7" xfId="40046" xr:uid="{00000000-0005-0000-0000-00005EA10000}"/>
    <cellStyle name="Separador de milhares 2 14 7 2" xfId="40047" xr:uid="{00000000-0005-0000-0000-00005FA10000}"/>
    <cellStyle name="Separador de milhares 2 14 7 3" xfId="40048" xr:uid="{00000000-0005-0000-0000-000060A10000}"/>
    <cellStyle name="Separador de milhares 2 14 7 4" xfId="40049" xr:uid="{00000000-0005-0000-0000-000061A10000}"/>
    <cellStyle name="Separador de milhares 2 14 7 5" xfId="40050" xr:uid="{00000000-0005-0000-0000-000062A10000}"/>
    <cellStyle name="Separador de milhares 2 14 7 6" xfId="40051" xr:uid="{00000000-0005-0000-0000-000063A10000}"/>
    <cellStyle name="Separador de milhares 2 14 8" xfId="40052" xr:uid="{00000000-0005-0000-0000-000064A10000}"/>
    <cellStyle name="Separador de milhares 2 14 8 2" xfId="40053" xr:uid="{00000000-0005-0000-0000-000065A10000}"/>
    <cellStyle name="Separador de milhares 2 14 8 3" xfId="40054" xr:uid="{00000000-0005-0000-0000-000066A10000}"/>
    <cellStyle name="Separador de milhares 2 14 8 4" xfId="40055" xr:uid="{00000000-0005-0000-0000-000067A10000}"/>
    <cellStyle name="Separador de milhares 2 14 8 5" xfId="40056" xr:uid="{00000000-0005-0000-0000-000068A10000}"/>
    <cellStyle name="Separador de milhares 2 14 8 6" xfId="40057" xr:uid="{00000000-0005-0000-0000-000069A10000}"/>
    <cellStyle name="Separador de milhares 2 14 9" xfId="40058" xr:uid="{00000000-0005-0000-0000-00006AA10000}"/>
    <cellStyle name="Separador de milhares 2 15" xfId="40059" xr:uid="{00000000-0005-0000-0000-00006BA10000}"/>
    <cellStyle name="Separador de milhares 2 15 10" xfId="40060" xr:uid="{00000000-0005-0000-0000-00006CA10000}"/>
    <cellStyle name="Separador de milhares 2 15 11" xfId="40061" xr:uid="{00000000-0005-0000-0000-00006DA10000}"/>
    <cellStyle name="Separador de milhares 2 15 12" xfId="40062" xr:uid="{00000000-0005-0000-0000-00006EA10000}"/>
    <cellStyle name="Separador de milhares 2 15 13" xfId="40063" xr:uid="{00000000-0005-0000-0000-00006FA10000}"/>
    <cellStyle name="Separador de milhares 2 15 2" xfId="40064" xr:uid="{00000000-0005-0000-0000-000070A10000}"/>
    <cellStyle name="Separador de milhares 2 15 2 2" xfId="40065" xr:uid="{00000000-0005-0000-0000-000071A10000}"/>
    <cellStyle name="Separador de milhares 2 15 2 3" xfId="40066" xr:uid="{00000000-0005-0000-0000-000072A10000}"/>
    <cellStyle name="Separador de milhares 2 15 2 4" xfId="40067" xr:uid="{00000000-0005-0000-0000-000073A10000}"/>
    <cellStyle name="Separador de milhares 2 15 2 5" xfId="40068" xr:uid="{00000000-0005-0000-0000-000074A10000}"/>
    <cellStyle name="Separador de milhares 2 15 2 6" xfId="40069" xr:uid="{00000000-0005-0000-0000-000075A10000}"/>
    <cellStyle name="Separador de milhares 2 15 3" xfId="40070" xr:uid="{00000000-0005-0000-0000-000076A10000}"/>
    <cellStyle name="Separador de milhares 2 15 3 2" xfId="40071" xr:uid="{00000000-0005-0000-0000-000077A10000}"/>
    <cellStyle name="Separador de milhares 2 15 3 3" xfId="40072" xr:uid="{00000000-0005-0000-0000-000078A10000}"/>
    <cellStyle name="Separador de milhares 2 15 3 4" xfId="40073" xr:uid="{00000000-0005-0000-0000-000079A10000}"/>
    <cellStyle name="Separador de milhares 2 15 3 5" xfId="40074" xr:uid="{00000000-0005-0000-0000-00007AA10000}"/>
    <cellStyle name="Separador de milhares 2 15 3 6" xfId="40075" xr:uid="{00000000-0005-0000-0000-00007BA10000}"/>
    <cellStyle name="Separador de milhares 2 15 4" xfId="40076" xr:uid="{00000000-0005-0000-0000-00007CA10000}"/>
    <cellStyle name="Separador de milhares 2 15 4 2" xfId="40077" xr:uid="{00000000-0005-0000-0000-00007DA10000}"/>
    <cellStyle name="Separador de milhares 2 15 4 3" xfId="40078" xr:uid="{00000000-0005-0000-0000-00007EA10000}"/>
    <cellStyle name="Separador de milhares 2 15 4 4" xfId="40079" xr:uid="{00000000-0005-0000-0000-00007FA10000}"/>
    <cellStyle name="Separador de milhares 2 15 4 5" xfId="40080" xr:uid="{00000000-0005-0000-0000-000080A10000}"/>
    <cellStyle name="Separador de milhares 2 15 4 6" xfId="40081" xr:uid="{00000000-0005-0000-0000-000081A10000}"/>
    <cellStyle name="Separador de milhares 2 15 5" xfId="40082" xr:uid="{00000000-0005-0000-0000-000082A10000}"/>
    <cellStyle name="Separador de milhares 2 15 5 2" xfId="40083" xr:uid="{00000000-0005-0000-0000-000083A10000}"/>
    <cellStyle name="Separador de milhares 2 15 5 3" xfId="40084" xr:uid="{00000000-0005-0000-0000-000084A10000}"/>
    <cellStyle name="Separador de milhares 2 15 5 4" xfId="40085" xr:uid="{00000000-0005-0000-0000-000085A10000}"/>
    <cellStyle name="Separador de milhares 2 15 5 5" xfId="40086" xr:uid="{00000000-0005-0000-0000-000086A10000}"/>
    <cellStyle name="Separador de milhares 2 15 5 6" xfId="40087" xr:uid="{00000000-0005-0000-0000-000087A10000}"/>
    <cellStyle name="Separador de milhares 2 15 6" xfId="40088" xr:uid="{00000000-0005-0000-0000-000088A10000}"/>
    <cellStyle name="Separador de milhares 2 15 6 2" xfId="40089" xr:uid="{00000000-0005-0000-0000-000089A10000}"/>
    <cellStyle name="Separador de milhares 2 15 6 3" xfId="40090" xr:uid="{00000000-0005-0000-0000-00008AA10000}"/>
    <cellStyle name="Separador de milhares 2 15 6 4" xfId="40091" xr:uid="{00000000-0005-0000-0000-00008BA10000}"/>
    <cellStyle name="Separador de milhares 2 15 6 5" xfId="40092" xr:uid="{00000000-0005-0000-0000-00008CA10000}"/>
    <cellStyle name="Separador de milhares 2 15 6 6" xfId="40093" xr:uid="{00000000-0005-0000-0000-00008DA10000}"/>
    <cellStyle name="Separador de milhares 2 15 7" xfId="40094" xr:uid="{00000000-0005-0000-0000-00008EA10000}"/>
    <cellStyle name="Separador de milhares 2 15 7 2" xfId="40095" xr:uid="{00000000-0005-0000-0000-00008FA10000}"/>
    <cellStyle name="Separador de milhares 2 15 7 3" xfId="40096" xr:uid="{00000000-0005-0000-0000-000090A10000}"/>
    <cellStyle name="Separador de milhares 2 15 7 4" xfId="40097" xr:uid="{00000000-0005-0000-0000-000091A10000}"/>
    <cellStyle name="Separador de milhares 2 15 7 5" xfId="40098" xr:uid="{00000000-0005-0000-0000-000092A10000}"/>
    <cellStyle name="Separador de milhares 2 15 7 6" xfId="40099" xr:uid="{00000000-0005-0000-0000-000093A10000}"/>
    <cellStyle name="Separador de milhares 2 15 8" xfId="40100" xr:uid="{00000000-0005-0000-0000-000094A10000}"/>
    <cellStyle name="Separador de milhares 2 15 8 2" xfId="40101" xr:uid="{00000000-0005-0000-0000-000095A10000}"/>
    <cellStyle name="Separador de milhares 2 15 8 3" xfId="40102" xr:uid="{00000000-0005-0000-0000-000096A10000}"/>
    <cellStyle name="Separador de milhares 2 15 8 4" xfId="40103" xr:uid="{00000000-0005-0000-0000-000097A10000}"/>
    <cellStyle name="Separador de milhares 2 15 8 5" xfId="40104" xr:uid="{00000000-0005-0000-0000-000098A10000}"/>
    <cellStyle name="Separador de milhares 2 15 8 6" xfId="40105" xr:uid="{00000000-0005-0000-0000-000099A10000}"/>
    <cellStyle name="Separador de milhares 2 15 9" xfId="40106" xr:uid="{00000000-0005-0000-0000-00009AA10000}"/>
    <cellStyle name="Separador de milhares 2 16" xfId="40107" xr:uid="{00000000-0005-0000-0000-00009BA10000}"/>
    <cellStyle name="Separador de milhares 2 16 10" xfId="40108" xr:uid="{00000000-0005-0000-0000-00009CA10000}"/>
    <cellStyle name="Separador de milhares 2 16 11" xfId="40109" xr:uid="{00000000-0005-0000-0000-00009DA10000}"/>
    <cellStyle name="Separador de milhares 2 16 12" xfId="40110" xr:uid="{00000000-0005-0000-0000-00009EA10000}"/>
    <cellStyle name="Separador de milhares 2 16 13" xfId="40111" xr:uid="{00000000-0005-0000-0000-00009FA10000}"/>
    <cellStyle name="Separador de milhares 2 16 2" xfId="40112" xr:uid="{00000000-0005-0000-0000-0000A0A10000}"/>
    <cellStyle name="Separador de milhares 2 16 2 2" xfId="40113" xr:uid="{00000000-0005-0000-0000-0000A1A10000}"/>
    <cellStyle name="Separador de milhares 2 16 2 3" xfId="40114" xr:uid="{00000000-0005-0000-0000-0000A2A10000}"/>
    <cellStyle name="Separador de milhares 2 16 2 4" xfId="40115" xr:uid="{00000000-0005-0000-0000-0000A3A10000}"/>
    <cellStyle name="Separador de milhares 2 16 2 5" xfId="40116" xr:uid="{00000000-0005-0000-0000-0000A4A10000}"/>
    <cellStyle name="Separador de milhares 2 16 2 6" xfId="40117" xr:uid="{00000000-0005-0000-0000-0000A5A10000}"/>
    <cellStyle name="Separador de milhares 2 16 3" xfId="40118" xr:uid="{00000000-0005-0000-0000-0000A6A10000}"/>
    <cellStyle name="Separador de milhares 2 16 3 2" xfId="40119" xr:uid="{00000000-0005-0000-0000-0000A7A10000}"/>
    <cellStyle name="Separador de milhares 2 16 3 3" xfId="40120" xr:uid="{00000000-0005-0000-0000-0000A8A10000}"/>
    <cellStyle name="Separador de milhares 2 16 3 4" xfId="40121" xr:uid="{00000000-0005-0000-0000-0000A9A10000}"/>
    <cellStyle name="Separador de milhares 2 16 3 5" xfId="40122" xr:uid="{00000000-0005-0000-0000-0000AAA10000}"/>
    <cellStyle name="Separador de milhares 2 16 3 6" xfId="40123" xr:uid="{00000000-0005-0000-0000-0000ABA10000}"/>
    <cellStyle name="Separador de milhares 2 16 4" xfId="40124" xr:uid="{00000000-0005-0000-0000-0000ACA10000}"/>
    <cellStyle name="Separador de milhares 2 16 4 2" xfId="40125" xr:uid="{00000000-0005-0000-0000-0000ADA10000}"/>
    <cellStyle name="Separador de milhares 2 16 4 3" xfId="40126" xr:uid="{00000000-0005-0000-0000-0000AEA10000}"/>
    <cellStyle name="Separador de milhares 2 16 4 4" xfId="40127" xr:uid="{00000000-0005-0000-0000-0000AFA10000}"/>
    <cellStyle name="Separador de milhares 2 16 4 5" xfId="40128" xr:uid="{00000000-0005-0000-0000-0000B0A10000}"/>
    <cellStyle name="Separador de milhares 2 16 4 6" xfId="40129" xr:uid="{00000000-0005-0000-0000-0000B1A10000}"/>
    <cellStyle name="Separador de milhares 2 16 5" xfId="40130" xr:uid="{00000000-0005-0000-0000-0000B2A10000}"/>
    <cellStyle name="Separador de milhares 2 16 5 2" xfId="40131" xr:uid="{00000000-0005-0000-0000-0000B3A10000}"/>
    <cellStyle name="Separador de milhares 2 16 5 3" xfId="40132" xr:uid="{00000000-0005-0000-0000-0000B4A10000}"/>
    <cellStyle name="Separador de milhares 2 16 5 4" xfId="40133" xr:uid="{00000000-0005-0000-0000-0000B5A10000}"/>
    <cellStyle name="Separador de milhares 2 16 5 5" xfId="40134" xr:uid="{00000000-0005-0000-0000-0000B6A10000}"/>
    <cellStyle name="Separador de milhares 2 16 5 6" xfId="40135" xr:uid="{00000000-0005-0000-0000-0000B7A10000}"/>
    <cellStyle name="Separador de milhares 2 16 6" xfId="40136" xr:uid="{00000000-0005-0000-0000-0000B8A10000}"/>
    <cellStyle name="Separador de milhares 2 16 6 2" xfId="40137" xr:uid="{00000000-0005-0000-0000-0000B9A10000}"/>
    <cellStyle name="Separador de milhares 2 16 6 3" xfId="40138" xr:uid="{00000000-0005-0000-0000-0000BAA10000}"/>
    <cellStyle name="Separador de milhares 2 16 6 4" xfId="40139" xr:uid="{00000000-0005-0000-0000-0000BBA10000}"/>
    <cellStyle name="Separador de milhares 2 16 6 5" xfId="40140" xr:uid="{00000000-0005-0000-0000-0000BCA10000}"/>
    <cellStyle name="Separador de milhares 2 16 6 6" xfId="40141" xr:uid="{00000000-0005-0000-0000-0000BDA10000}"/>
    <cellStyle name="Separador de milhares 2 16 7" xfId="40142" xr:uid="{00000000-0005-0000-0000-0000BEA10000}"/>
    <cellStyle name="Separador de milhares 2 16 7 2" xfId="40143" xr:uid="{00000000-0005-0000-0000-0000BFA10000}"/>
    <cellStyle name="Separador de milhares 2 16 7 3" xfId="40144" xr:uid="{00000000-0005-0000-0000-0000C0A10000}"/>
    <cellStyle name="Separador de milhares 2 16 7 4" xfId="40145" xr:uid="{00000000-0005-0000-0000-0000C1A10000}"/>
    <cellStyle name="Separador de milhares 2 16 7 5" xfId="40146" xr:uid="{00000000-0005-0000-0000-0000C2A10000}"/>
    <cellStyle name="Separador de milhares 2 16 7 6" xfId="40147" xr:uid="{00000000-0005-0000-0000-0000C3A10000}"/>
    <cellStyle name="Separador de milhares 2 16 8" xfId="40148" xr:uid="{00000000-0005-0000-0000-0000C4A10000}"/>
    <cellStyle name="Separador de milhares 2 16 8 2" xfId="40149" xr:uid="{00000000-0005-0000-0000-0000C5A10000}"/>
    <cellStyle name="Separador de milhares 2 16 8 3" xfId="40150" xr:uid="{00000000-0005-0000-0000-0000C6A10000}"/>
    <cellStyle name="Separador de milhares 2 16 8 4" xfId="40151" xr:uid="{00000000-0005-0000-0000-0000C7A10000}"/>
    <cellStyle name="Separador de milhares 2 16 8 5" xfId="40152" xr:uid="{00000000-0005-0000-0000-0000C8A10000}"/>
    <cellStyle name="Separador de milhares 2 16 8 6" xfId="40153" xr:uid="{00000000-0005-0000-0000-0000C9A10000}"/>
    <cellStyle name="Separador de milhares 2 16 9" xfId="40154" xr:uid="{00000000-0005-0000-0000-0000CAA10000}"/>
    <cellStyle name="Separador de milhares 2 17" xfId="40155" xr:uid="{00000000-0005-0000-0000-0000CBA10000}"/>
    <cellStyle name="Separador de milhares 2 17 10" xfId="40156" xr:uid="{00000000-0005-0000-0000-0000CCA10000}"/>
    <cellStyle name="Separador de milhares 2 17 11" xfId="40157" xr:uid="{00000000-0005-0000-0000-0000CDA10000}"/>
    <cellStyle name="Separador de milhares 2 17 12" xfId="40158" xr:uid="{00000000-0005-0000-0000-0000CEA10000}"/>
    <cellStyle name="Separador de milhares 2 17 13" xfId="40159" xr:uid="{00000000-0005-0000-0000-0000CFA10000}"/>
    <cellStyle name="Separador de milhares 2 17 2" xfId="40160" xr:uid="{00000000-0005-0000-0000-0000D0A10000}"/>
    <cellStyle name="Separador de milhares 2 17 2 2" xfId="40161" xr:uid="{00000000-0005-0000-0000-0000D1A10000}"/>
    <cellStyle name="Separador de milhares 2 17 2 3" xfId="40162" xr:uid="{00000000-0005-0000-0000-0000D2A10000}"/>
    <cellStyle name="Separador de milhares 2 17 2 4" xfId="40163" xr:uid="{00000000-0005-0000-0000-0000D3A10000}"/>
    <cellStyle name="Separador de milhares 2 17 2 5" xfId="40164" xr:uid="{00000000-0005-0000-0000-0000D4A10000}"/>
    <cellStyle name="Separador de milhares 2 17 2 6" xfId="40165" xr:uid="{00000000-0005-0000-0000-0000D5A10000}"/>
    <cellStyle name="Separador de milhares 2 17 3" xfId="40166" xr:uid="{00000000-0005-0000-0000-0000D6A10000}"/>
    <cellStyle name="Separador de milhares 2 17 3 2" xfId="40167" xr:uid="{00000000-0005-0000-0000-0000D7A10000}"/>
    <cellStyle name="Separador de milhares 2 17 3 3" xfId="40168" xr:uid="{00000000-0005-0000-0000-0000D8A10000}"/>
    <cellStyle name="Separador de milhares 2 17 3 4" xfId="40169" xr:uid="{00000000-0005-0000-0000-0000D9A10000}"/>
    <cellStyle name="Separador de milhares 2 17 3 5" xfId="40170" xr:uid="{00000000-0005-0000-0000-0000DAA10000}"/>
    <cellStyle name="Separador de milhares 2 17 3 6" xfId="40171" xr:uid="{00000000-0005-0000-0000-0000DBA10000}"/>
    <cellStyle name="Separador de milhares 2 17 4" xfId="40172" xr:uid="{00000000-0005-0000-0000-0000DCA10000}"/>
    <cellStyle name="Separador de milhares 2 17 4 2" xfId="40173" xr:uid="{00000000-0005-0000-0000-0000DDA10000}"/>
    <cellStyle name="Separador de milhares 2 17 4 3" xfId="40174" xr:uid="{00000000-0005-0000-0000-0000DEA10000}"/>
    <cellStyle name="Separador de milhares 2 17 4 4" xfId="40175" xr:uid="{00000000-0005-0000-0000-0000DFA10000}"/>
    <cellStyle name="Separador de milhares 2 17 4 5" xfId="40176" xr:uid="{00000000-0005-0000-0000-0000E0A10000}"/>
    <cellStyle name="Separador de milhares 2 17 4 6" xfId="40177" xr:uid="{00000000-0005-0000-0000-0000E1A10000}"/>
    <cellStyle name="Separador de milhares 2 17 5" xfId="40178" xr:uid="{00000000-0005-0000-0000-0000E2A10000}"/>
    <cellStyle name="Separador de milhares 2 17 5 2" xfId="40179" xr:uid="{00000000-0005-0000-0000-0000E3A10000}"/>
    <cellStyle name="Separador de milhares 2 17 5 3" xfId="40180" xr:uid="{00000000-0005-0000-0000-0000E4A10000}"/>
    <cellStyle name="Separador de milhares 2 17 5 4" xfId="40181" xr:uid="{00000000-0005-0000-0000-0000E5A10000}"/>
    <cellStyle name="Separador de milhares 2 17 5 5" xfId="40182" xr:uid="{00000000-0005-0000-0000-0000E6A10000}"/>
    <cellStyle name="Separador de milhares 2 17 5 6" xfId="40183" xr:uid="{00000000-0005-0000-0000-0000E7A10000}"/>
    <cellStyle name="Separador de milhares 2 17 6" xfId="40184" xr:uid="{00000000-0005-0000-0000-0000E8A10000}"/>
    <cellStyle name="Separador de milhares 2 17 6 2" xfId="40185" xr:uid="{00000000-0005-0000-0000-0000E9A10000}"/>
    <cellStyle name="Separador de milhares 2 17 6 3" xfId="40186" xr:uid="{00000000-0005-0000-0000-0000EAA10000}"/>
    <cellStyle name="Separador de milhares 2 17 6 4" xfId="40187" xr:uid="{00000000-0005-0000-0000-0000EBA10000}"/>
    <cellStyle name="Separador de milhares 2 17 6 5" xfId="40188" xr:uid="{00000000-0005-0000-0000-0000ECA10000}"/>
    <cellStyle name="Separador de milhares 2 17 6 6" xfId="40189" xr:uid="{00000000-0005-0000-0000-0000EDA10000}"/>
    <cellStyle name="Separador de milhares 2 17 7" xfId="40190" xr:uid="{00000000-0005-0000-0000-0000EEA10000}"/>
    <cellStyle name="Separador de milhares 2 17 7 2" xfId="40191" xr:uid="{00000000-0005-0000-0000-0000EFA10000}"/>
    <cellStyle name="Separador de milhares 2 17 7 3" xfId="40192" xr:uid="{00000000-0005-0000-0000-0000F0A10000}"/>
    <cellStyle name="Separador de milhares 2 17 7 4" xfId="40193" xr:uid="{00000000-0005-0000-0000-0000F1A10000}"/>
    <cellStyle name="Separador de milhares 2 17 7 5" xfId="40194" xr:uid="{00000000-0005-0000-0000-0000F2A10000}"/>
    <cellStyle name="Separador de milhares 2 17 7 6" xfId="40195" xr:uid="{00000000-0005-0000-0000-0000F3A10000}"/>
    <cellStyle name="Separador de milhares 2 17 8" xfId="40196" xr:uid="{00000000-0005-0000-0000-0000F4A10000}"/>
    <cellStyle name="Separador de milhares 2 17 8 2" xfId="40197" xr:uid="{00000000-0005-0000-0000-0000F5A10000}"/>
    <cellStyle name="Separador de milhares 2 17 8 3" xfId="40198" xr:uid="{00000000-0005-0000-0000-0000F6A10000}"/>
    <cellStyle name="Separador de milhares 2 17 8 4" xfId="40199" xr:uid="{00000000-0005-0000-0000-0000F7A10000}"/>
    <cellStyle name="Separador de milhares 2 17 8 5" xfId="40200" xr:uid="{00000000-0005-0000-0000-0000F8A10000}"/>
    <cellStyle name="Separador de milhares 2 17 8 6" xfId="40201" xr:uid="{00000000-0005-0000-0000-0000F9A10000}"/>
    <cellStyle name="Separador de milhares 2 17 9" xfId="40202" xr:uid="{00000000-0005-0000-0000-0000FAA10000}"/>
    <cellStyle name="Separador de milhares 2 18" xfId="40203" xr:uid="{00000000-0005-0000-0000-0000FBA10000}"/>
    <cellStyle name="Separador de milhares 2 18 10" xfId="40204" xr:uid="{00000000-0005-0000-0000-0000FCA10000}"/>
    <cellStyle name="Separador de milhares 2 18 11" xfId="40205" xr:uid="{00000000-0005-0000-0000-0000FDA10000}"/>
    <cellStyle name="Separador de milhares 2 18 12" xfId="40206" xr:uid="{00000000-0005-0000-0000-0000FEA10000}"/>
    <cellStyle name="Separador de milhares 2 18 13" xfId="40207" xr:uid="{00000000-0005-0000-0000-0000FFA10000}"/>
    <cellStyle name="Separador de milhares 2 18 2" xfId="40208" xr:uid="{00000000-0005-0000-0000-000000A20000}"/>
    <cellStyle name="Separador de milhares 2 18 2 2" xfId="40209" xr:uid="{00000000-0005-0000-0000-000001A20000}"/>
    <cellStyle name="Separador de milhares 2 18 2 3" xfId="40210" xr:uid="{00000000-0005-0000-0000-000002A20000}"/>
    <cellStyle name="Separador de milhares 2 18 2 4" xfId="40211" xr:uid="{00000000-0005-0000-0000-000003A20000}"/>
    <cellStyle name="Separador de milhares 2 18 2 5" xfId="40212" xr:uid="{00000000-0005-0000-0000-000004A20000}"/>
    <cellStyle name="Separador de milhares 2 18 2 6" xfId="40213" xr:uid="{00000000-0005-0000-0000-000005A20000}"/>
    <cellStyle name="Separador de milhares 2 18 3" xfId="40214" xr:uid="{00000000-0005-0000-0000-000006A20000}"/>
    <cellStyle name="Separador de milhares 2 18 3 2" xfId="40215" xr:uid="{00000000-0005-0000-0000-000007A20000}"/>
    <cellStyle name="Separador de milhares 2 18 3 3" xfId="40216" xr:uid="{00000000-0005-0000-0000-000008A20000}"/>
    <cellStyle name="Separador de milhares 2 18 3 4" xfId="40217" xr:uid="{00000000-0005-0000-0000-000009A20000}"/>
    <cellStyle name="Separador de milhares 2 18 3 5" xfId="40218" xr:uid="{00000000-0005-0000-0000-00000AA20000}"/>
    <cellStyle name="Separador de milhares 2 18 3 6" xfId="40219" xr:uid="{00000000-0005-0000-0000-00000BA20000}"/>
    <cellStyle name="Separador de milhares 2 18 4" xfId="40220" xr:uid="{00000000-0005-0000-0000-00000CA20000}"/>
    <cellStyle name="Separador de milhares 2 18 4 2" xfId="40221" xr:uid="{00000000-0005-0000-0000-00000DA20000}"/>
    <cellStyle name="Separador de milhares 2 18 4 3" xfId="40222" xr:uid="{00000000-0005-0000-0000-00000EA20000}"/>
    <cellStyle name="Separador de milhares 2 18 4 4" xfId="40223" xr:uid="{00000000-0005-0000-0000-00000FA20000}"/>
    <cellStyle name="Separador de milhares 2 18 4 5" xfId="40224" xr:uid="{00000000-0005-0000-0000-000010A20000}"/>
    <cellStyle name="Separador de milhares 2 18 4 6" xfId="40225" xr:uid="{00000000-0005-0000-0000-000011A20000}"/>
    <cellStyle name="Separador de milhares 2 18 5" xfId="40226" xr:uid="{00000000-0005-0000-0000-000012A20000}"/>
    <cellStyle name="Separador de milhares 2 18 5 2" xfId="40227" xr:uid="{00000000-0005-0000-0000-000013A20000}"/>
    <cellStyle name="Separador de milhares 2 18 5 3" xfId="40228" xr:uid="{00000000-0005-0000-0000-000014A20000}"/>
    <cellStyle name="Separador de milhares 2 18 5 4" xfId="40229" xr:uid="{00000000-0005-0000-0000-000015A20000}"/>
    <cellStyle name="Separador de milhares 2 18 5 5" xfId="40230" xr:uid="{00000000-0005-0000-0000-000016A20000}"/>
    <cellStyle name="Separador de milhares 2 18 5 6" xfId="40231" xr:uid="{00000000-0005-0000-0000-000017A20000}"/>
    <cellStyle name="Separador de milhares 2 18 6" xfId="40232" xr:uid="{00000000-0005-0000-0000-000018A20000}"/>
    <cellStyle name="Separador de milhares 2 18 6 2" xfId="40233" xr:uid="{00000000-0005-0000-0000-000019A20000}"/>
    <cellStyle name="Separador de milhares 2 18 6 3" xfId="40234" xr:uid="{00000000-0005-0000-0000-00001AA20000}"/>
    <cellStyle name="Separador de milhares 2 18 6 4" xfId="40235" xr:uid="{00000000-0005-0000-0000-00001BA20000}"/>
    <cellStyle name="Separador de milhares 2 18 6 5" xfId="40236" xr:uid="{00000000-0005-0000-0000-00001CA20000}"/>
    <cellStyle name="Separador de milhares 2 18 6 6" xfId="40237" xr:uid="{00000000-0005-0000-0000-00001DA20000}"/>
    <cellStyle name="Separador de milhares 2 18 7" xfId="40238" xr:uid="{00000000-0005-0000-0000-00001EA20000}"/>
    <cellStyle name="Separador de milhares 2 18 7 2" xfId="40239" xr:uid="{00000000-0005-0000-0000-00001FA20000}"/>
    <cellStyle name="Separador de milhares 2 18 7 3" xfId="40240" xr:uid="{00000000-0005-0000-0000-000020A20000}"/>
    <cellStyle name="Separador de milhares 2 18 7 4" xfId="40241" xr:uid="{00000000-0005-0000-0000-000021A20000}"/>
    <cellStyle name="Separador de milhares 2 18 7 5" xfId="40242" xr:uid="{00000000-0005-0000-0000-000022A20000}"/>
    <cellStyle name="Separador de milhares 2 18 7 6" xfId="40243" xr:uid="{00000000-0005-0000-0000-000023A20000}"/>
    <cellStyle name="Separador de milhares 2 18 8" xfId="40244" xr:uid="{00000000-0005-0000-0000-000024A20000}"/>
    <cellStyle name="Separador de milhares 2 18 8 2" xfId="40245" xr:uid="{00000000-0005-0000-0000-000025A20000}"/>
    <cellStyle name="Separador de milhares 2 18 8 3" xfId="40246" xr:uid="{00000000-0005-0000-0000-000026A20000}"/>
    <cellStyle name="Separador de milhares 2 18 8 4" xfId="40247" xr:uid="{00000000-0005-0000-0000-000027A20000}"/>
    <cellStyle name="Separador de milhares 2 18 8 5" xfId="40248" xr:uid="{00000000-0005-0000-0000-000028A20000}"/>
    <cellStyle name="Separador de milhares 2 18 8 6" xfId="40249" xr:uid="{00000000-0005-0000-0000-000029A20000}"/>
    <cellStyle name="Separador de milhares 2 18 9" xfId="40250" xr:uid="{00000000-0005-0000-0000-00002AA20000}"/>
    <cellStyle name="Separador de milhares 2 19" xfId="40251" xr:uid="{00000000-0005-0000-0000-00002BA20000}"/>
    <cellStyle name="Separador de milhares 2 19 10" xfId="40252" xr:uid="{00000000-0005-0000-0000-00002CA20000}"/>
    <cellStyle name="Separador de milhares 2 19 11" xfId="40253" xr:uid="{00000000-0005-0000-0000-00002DA20000}"/>
    <cellStyle name="Separador de milhares 2 19 12" xfId="40254" xr:uid="{00000000-0005-0000-0000-00002EA20000}"/>
    <cellStyle name="Separador de milhares 2 19 13" xfId="40255" xr:uid="{00000000-0005-0000-0000-00002FA20000}"/>
    <cellStyle name="Separador de milhares 2 19 2" xfId="40256" xr:uid="{00000000-0005-0000-0000-000030A20000}"/>
    <cellStyle name="Separador de milhares 2 19 2 2" xfId="40257" xr:uid="{00000000-0005-0000-0000-000031A20000}"/>
    <cellStyle name="Separador de milhares 2 19 2 3" xfId="40258" xr:uid="{00000000-0005-0000-0000-000032A20000}"/>
    <cellStyle name="Separador de milhares 2 19 2 4" xfId="40259" xr:uid="{00000000-0005-0000-0000-000033A20000}"/>
    <cellStyle name="Separador de milhares 2 19 2 5" xfId="40260" xr:uid="{00000000-0005-0000-0000-000034A20000}"/>
    <cellStyle name="Separador de milhares 2 19 2 6" xfId="40261" xr:uid="{00000000-0005-0000-0000-000035A20000}"/>
    <cellStyle name="Separador de milhares 2 19 3" xfId="40262" xr:uid="{00000000-0005-0000-0000-000036A20000}"/>
    <cellStyle name="Separador de milhares 2 19 3 2" xfId="40263" xr:uid="{00000000-0005-0000-0000-000037A20000}"/>
    <cellStyle name="Separador de milhares 2 19 3 3" xfId="40264" xr:uid="{00000000-0005-0000-0000-000038A20000}"/>
    <cellStyle name="Separador de milhares 2 19 3 4" xfId="40265" xr:uid="{00000000-0005-0000-0000-000039A20000}"/>
    <cellStyle name="Separador de milhares 2 19 3 5" xfId="40266" xr:uid="{00000000-0005-0000-0000-00003AA20000}"/>
    <cellStyle name="Separador de milhares 2 19 3 6" xfId="40267" xr:uid="{00000000-0005-0000-0000-00003BA20000}"/>
    <cellStyle name="Separador de milhares 2 19 4" xfId="40268" xr:uid="{00000000-0005-0000-0000-00003CA20000}"/>
    <cellStyle name="Separador de milhares 2 19 4 2" xfId="40269" xr:uid="{00000000-0005-0000-0000-00003DA20000}"/>
    <cellStyle name="Separador de milhares 2 19 4 3" xfId="40270" xr:uid="{00000000-0005-0000-0000-00003EA20000}"/>
    <cellStyle name="Separador de milhares 2 19 4 4" xfId="40271" xr:uid="{00000000-0005-0000-0000-00003FA20000}"/>
    <cellStyle name="Separador de milhares 2 19 4 5" xfId="40272" xr:uid="{00000000-0005-0000-0000-000040A20000}"/>
    <cellStyle name="Separador de milhares 2 19 4 6" xfId="40273" xr:uid="{00000000-0005-0000-0000-000041A20000}"/>
    <cellStyle name="Separador de milhares 2 19 5" xfId="40274" xr:uid="{00000000-0005-0000-0000-000042A20000}"/>
    <cellStyle name="Separador de milhares 2 19 5 2" xfId="40275" xr:uid="{00000000-0005-0000-0000-000043A20000}"/>
    <cellStyle name="Separador de milhares 2 19 5 3" xfId="40276" xr:uid="{00000000-0005-0000-0000-000044A20000}"/>
    <cellStyle name="Separador de milhares 2 19 5 4" xfId="40277" xr:uid="{00000000-0005-0000-0000-000045A20000}"/>
    <cellStyle name="Separador de milhares 2 19 5 5" xfId="40278" xr:uid="{00000000-0005-0000-0000-000046A20000}"/>
    <cellStyle name="Separador de milhares 2 19 5 6" xfId="40279" xr:uid="{00000000-0005-0000-0000-000047A20000}"/>
    <cellStyle name="Separador de milhares 2 19 6" xfId="40280" xr:uid="{00000000-0005-0000-0000-000048A20000}"/>
    <cellStyle name="Separador de milhares 2 19 6 2" xfId="40281" xr:uid="{00000000-0005-0000-0000-000049A20000}"/>
    <cellStyle name="Separador de milhares 2 19 6 3" xfId="40282" xr:uid="{00000000-0005-0000-0000-00004AA20000}"/>
    <cellStyle name="Separador de milhares 2 19 6 4" xfId="40283" xr:uid="{00000000-0005-0000-0000-00004BA20000}"/>
    <cellStyle name="Separador de milhares 2 19 6 5" xfId="40284" xr:uid="{00000000-0005-0000-0000-00004CA20000}"/>
    <cellStyle name="Separador de milhares 2 19 6 6" xfId="40285" xr:uid="{00000000-0005-0000-0000-00004DA20000}"/>
    <cellStyle name="Separador de milhares 2 19 7" xfId="40286" xr:uid="{00000000-0005-0000-0000-00004EA20000}"/>
    <cellStyle name="Separador de milhares 2 19 7 2" xfId="40287" xr:uid="{00000000-0005-0000-0000-00004FA20000}"/>
    <cellStyle name="Separador de milhares 2 19 7 3" xfId="40288" xr:uid="{00000000-0005-0000-0000-000050A20000}"/>
    <cellStyle name="Separador de milhares 2 19 7 4" xfId="40289" xr:uid="{00000000-0005-0000-0000-000051A20000}"/>
    <cellStyle name="Separador de milhares 2 19 7 5" xfId="40290" xr:uid="{00000000-0005-0000-0000-000052A20000}"/>
    <cellStyle name="Separador de milhares 2 19 7 6" xfId="40291" xr:uid="{00000000-0005-0000-0000-000053A20000}"/>
    <cellStyle name="Separador de milhares 2 19 8" xfId="40292" xr:uid="{00000000-0005-0000-0000-000054A20000}"/>
    <cellStyle name="Separador de milhares 2 19 8 2" xfId="40293" xr:uid="{00000000-0005-0000-0000-000055A20000}"/>
    <cellStyle name="Separador de milhares 2 19 8 3" xfId="40294" xr:uid="{00000000-0005-0000-0000-000056A20000}"/>
    <cellStyle name="Separador de milhares 2 19 8 4" xfId="40295" xr:uid="{00000000-0005-0000-0000-000057A20000}"/>
    <cellStyle name="Separador de milhares 2 19 8 5" xfId="40296" xr:uid="{00000000-0005-0000-0000-000058A20000}"/>
    <cellStyle name="Separador de milhares 2 19 8 6" xfId="40297" xr:uid="{00000000-0005-0000-0000-000059A20000}"/>
    <cellStyle name="Separador de milhares 2 19 9" xfId="40298" xr:uid="{00000000-0005-0000-0000-00005AA20000}"/>
    <cellStyle name="Separador de milhares 2 2" xfId="1144" xr:uid="{00000000-0005-0000-0000-00005BA20000}"/>
    <cellStyle name="Separador de milhares 2 2 10" xfId="40299" xr:uid="{00000000-0005-0000-0000-00005CA20000}"/>
    <cellStyle name="Separador de milhares 2 2 10 2" xfId="40300" xr:uid="{00000000-0005-0000-0000-00005DA20000}"/>
    <cellStyle name="Separador de milhares 2 2 11" xfId="40301" xr:uid="{00000000-0005-0000-0000-00005EA20000}"/>
    <cellStyle name="Separador de milhares 2 2 12" xfId="40302" xr:uid="{00000000-0005-0000-0000-00005FA20000}"/>
    <cellStyle name="Separador de milhares 2 2 13" xfId="40303" xr:uid="{00000000-0005-0000-0000-000060A20000}"/>
    <cellStyle name="Separador de milhares 2 2 14" xfId="40304" xr:uid="{00000000-0005-0000-0000-000061A20000}"/>
    <cellStyle name="Separador de milhares 2 2 15" xfId="40305" xr:uid="{00000000-0005-0000-0000-000062A20000}"/>
    <cellStyle name="Separador de milhares 2 2 16" xfId="40306" xr:uid="{00000000-0005-0000-0000-000063A20000}"/>
    <cellStyle name="Separador de milhares 2 2 17" xfId="40307" xr:uid="{00000000-0005-0000-0000-000064A20000}"/>
    <cellStyle name="Separador de milhares 2 2 18" xfId="40308" xr:uid="{00000000-0005-0000-0000-000065A20000}"/>
    <cellStyle name="Separador de milhares 2 2 19" xfId="40309" xr:uid="{00000000-0005-0000-0000-000066A20000}"/>
    <cellStyle name="Separador de milhares 2 2 2" xfId="17" xr:uid="{00000000-0005-0000-0000-000067A20000}"/>
    <cellStyle name="Separador de milhares 2 2 2 10" xfId="40310" xr:uid="{00000000-0005-0000-0000-000068A20000}"/>
    <cellStyle name="Separador de milhares 2 2 2 11" xfId="40311" xr:uid="{00000000-0005-0000-0000-000069A20000}"/>
    <cellStyle name="Separador de milhares 2 2 2 12" xfId="40312" xr:uid="{00000000-0005-0000-0000-00006AA20000}"/>
    <cellStyle name="Separador de milhares 2 2 2 13" xfId="40313" xr:uid="{00000000-0005-0000-0000-00006BA20000}"/>
    <cellStyle name="Separador de milhares 2 2 2 14" xfId="40314" xr:uid="{00000000-0005-0000-0000-00006CA20000}"/>
    <cellStyle name="Separador de milhares 2 2 2 15" xfId="40315" xr:uid="{00000000-0005-0000-0000-00006DA20000}"/>
    <cellStyle name="Separador de milhares 2 2 2 16" xfId="40316" xr:uid="{00000000-0005-0000-0000-00006EA20000}"/>
    <cellStyle name="Separador de milhares 2 2 2 17" xfId="40317" xr:uid="{00000000-0005-0000-0000-00006FA20000}"/>
    <cellStyle name="Separador de milhares 2 2 2 18" xfId="40318" xr:uid="{00000000-0005-0000-0000-000070A20000}"/>
    <cellStyle name="Separador de milhares 2 2 2 19" xfId="40319" xr:uid="{00000000-0005-0000-0000-000071A20000}"/>
    <cellStyle name="Separador de milhares 2 2 2 2" xfId="40320" xr:uid="{00000000-0005-0000-0000-000072A20000}"/>
    <cellStyle name="Separador de milhares 2 2 2 2 10" xfId="40321" xr:uid="{00000000-0005-0000-0000-000073A20000}"/>
    <cellStyle name="Separador de milhares 2 2 2 2 11" xfId="40322" xr:uid="{00000000-0005-0000-0000-000074A20000}"/>
    <cellStyle name="Separador de milhares 2 2 2 2 12" xfId="40323" xr:uid="{00000000-0005-0000-0000-000075A20000}"/>
    <cellStyle name="Separador de milhares 2 2 2 2 13" xfId="40324" xr:uid="{00000000-0005-0000-0000-000076A20000}"/>
    <cellStyle name="Separador de milhares 2 2 2 2 14" xfId="40325" xr:uid="{00000000-0005-0000-0000-000077A20000}"/>
    <cellStyle name="Separador de milhares 2 2 2 2 15" xfId="40326" xr:uid="{00000000-0005-0000-0000-000078A20000}"/>
    <cellStyle name="Separador de milhares 2 2 2 2 16" xfId="40327" xr:uid="{00000000-0005-0000-0000-000079A20000}"/>
    <cellStyle name="Separador de milhares 2 2 2 2 17" xfId="40328" xr:uid="{00000000-0005-0000-0000-00007AA20000}"/>
    <cellStyle name="Separador de milhares 2 2 2 2 18" xfId="40329" xr:uid="{00000000-0005-0000-0000-00007BA20000}"/>
    <cellStyle name="Separador de milhares 2 2 2 2 18 2" xfId="40330" xr:uid="{00000000-0005-0000-0000-00007CA20000}"/>
    <cellStyle name="Separador de milhares 2 2 2 2 18 2 2" xfId="40331" xr:uid="{00000000-0005-0000-0000-00007DA20000}"/>
    <cellStyle name="Separador de milhares 2 2 2 2 18 2 2 2" xfId="40332" xr:uid="{00000000-0005-0000-0000-00007EA20000}"/>
    <cellStyle name="Separador de milhares 2 2 2 2 18 2 3" xfId="40333" xr:uid="{00000000-0005-0000-0000-00007FA20000}"/>
    <cellStyle name="Separador de milhares 2 2 2 2 18 3" xfId="40334" xr:uid="{00000000-0005-0000-0000-000080A20000}"/>
    <cellStyle name="Separador de milhares 2 2 2 2 18 3 2" xfId="40335" xr:uid="{00000000-0005-0000-0000-000081A20000}"/>
    <cellStyle name="Separador de milhares 2 2 2 2 19" xfId="40336" xr:uid="{00000000-0005-0000-0000-000082A20000}"/>
    <cellStyle name="Separador de milhares 2 2 2 2 19 2" xfId="40337" xr:uid="{00000000-0005-0000-0000-000083A20000}"/>
    <cellStyle name="Separador de milhares 2 2 2 2 2" xfId="40338" xr:uid="{00000000-0005-0000-0000-000084A20000}"/>
    <cellStyle name="Separador de milhares 2 2 2 2 2 10" xfId="40339" xr:uid="{00000000-0005-0000-0000-000085A20000}"/>
    <cellStyle name="Separador de milhares 2 2 2 2 2 11" xfId="40340" xr:uid="{00000000-0005-0000-0000-000086A20000}"/>
    <cellStyle name="Separador de milhares 2 2 2 2 2 12" xfId="40341" xr:uid="{00000000-0005-0000-0000-000087A20000}"/>
    <cellStyle name="Separador de milhares 2 2 2 2 2 13" xfId="40342" xr:uid="{00000000-0005-0000-0000-000088A20000}"/>
    <cellStyle name="Separador de milhares 2 2 2 2 2 14" xfId="40343" xr:uid="{00000000-0005-0000-0000-000089A20000}"/>
    <cellStyle name="Separador de milhares 2 2 2 2 2 15" xfId="40344" xr:uid="{00000000-0005-0000-0000-00008AA20000}"/>
    <cellStyle name="Separador de milhares 2 2 2 2 2 16" xfId="40345" xr:uid="{00000000-0005-0000-0000-00008BA20000}"/>
    <cellStyle name="Separador de milhares 2 2 2 2 2 17" xfId="40346" xr:uid="{00000000-0005-0000-0000-00008CA20000}"/>
    <cellStyle name="Separador de milhares 2 2 2 2 2 18" xfId="40347" xr:uid="{00000000-0005-0000-0000-00008DA20000}"/>
    <cellStyle name="Separador de milhares 2 2 2 2 2 18 2" xfId="40348" xr:uid="{00000000-0005-0000-0000-00008EA20000}"/>
    <cellStyle name="Separador de milhares 2 2 2 2 2 18 2 2" xfId="40349" xr:uid="{00000000-0005-0000-0000-00008FA20000}"/>
    <cellStyle name="Separador de milhares 2 2 2 2 2 18 2 2 2" xfId="40350" xr:uid="{00000000-0005-0000-0000-000090A20000}"/>
    <cellStyle name="Separador de milhares 2 2 2 2 2 18 2 3" xfId="40351" xr:uid="{00000000-0005-0000-0000-000091A20000}"/>
    <cellStyle name="Separador de milhares 2 2 2 2 2 18 3" xfId="40352" xr:uid="{00000000-0005-0000-0000-000092A20000}"/>
    <cellStyle name="Separador de milhares 2 2 2 2 2 18 3 2" xfId="40353" xr:uid="{00000000-0005-0000-0000-000093A20000}"/>
    <cellStyle name="Separador de milhares 2 2 2 2 2 19" xfId="40354" xr:uid="{00000000-0005-0000-0000-000094A20000}"/>
    <cellStyle name="Separador de milhares 2 2 2 2 2 19 2" xfId="40355" xr:uid="{00000000-0005-0000-0000-000095A20000}"/>
    <cellStyle name="Separador de milhares 2 2 2 2 2 2" xfId="40356" xr:uid="{00000000-0005-0000-0000-000096A20000}"/>
    <cellStyle name="Separador de milhares 2 2 2 2 2 2 2" xfId="40357" xr:uid="{00000000-0005-0000-0000-000097A20000}"/>
    <cellStyle name="Separador de milhares 2 2 2 2 2 2 2 2" xfId="40358" xr:uid="{00000000-0005-0000-0000-000098A20000}"/>
    <cellStyle name="Separador de milhares 2 2 2 2 2 2 2 2 2" xfId="40359" xr:uid="{00000000-0005-0000-0000-000099A20000}"/>
    <cellStyle name="Separador de milhares 2 2 2 2 2 2 2 2 2 2" xfId="40360" xr:uid="{00000000-0005-0000-0000-00009AA20000}"/>
    <cellStyle name="Separador de milhares 2 2 2 2 2 2 2 2 2 2 2" xfId="40361" xr:uid="{00000000-0005-0000-0000-00009BA20000}"/>
    <cellStyle name="Separador de milhares 2 2 2 2 2 2 2 2 2 2 2 2" xfId="40362" xr:uid="{00000000-0005-0000-0000-00009CA20000}"/>
    <cellStyle name="Separador de milhares 2 2 2 2 2 2 2 2 2 2 2 3" xfId="40363" xr:uid="{00000000-0005-0000-0000-00009DA20000}"/>
    <cellStyle name="Separador de milhares 2 2 2 2 2 2 2 2 2 2 2 4" xfId="40364" xr:uid="{00000000-0005-0000-0000-00009EA20000}"/>
    <cellStyle name="Separador de milhares 2 2 2 2 2 2 2 2 2 2 3" xfId="40365" xr:uid="{00000000-0005-0000-0000-00009FA20000}"/>
    <cellStyle name="Separador de milhares 2 2 2 2 2 2 2 2 2 2 4" xfId="40366" xr:uid="{00000000-0005-0000-0000-0000A0A20000}"/>
    <cellStyle name="Separador de milhares 2 2 2 2 2 2 2 2 2 2 5" xfId="40367" xr:uid="{00000000-0005-0000-0000-0000A1A20000}"/>
    <cellStyle name="Separador de milhares 2 2 2 2 2 2 2 2 2 3" xfId="40368" xr:uid="{00000000-0005-0000-0000-0000A2A20000}"/>
    <cellStyle name="Separador de milhares 2 2 2 2 2 2 2 2 2 3 2" xfId="40369" xr:uid="{00000000-0005-0000-0000-0000A3A20000}"/>
    <cellStyle name="Separador de milhares 2 2 2 2 2 2 2 2 2 3 3" xfId="40370" xr:uid="{00000000-0005-0000-0000-0000A4A20000}"/>
    <cellStyle name="Separador de milhares 2 2 2 2 2 2 2 2 2 3 4" xfId="40371" xr:uid="{00000000-0005-0000-0000-0000A5A20000}"/>
    <cellStyle name="Separador de milhares 2 2 2 2 2 2 2 2 2 4" xfId="40372" xr:uid="{00000000-0005-0000-0000-0000A6A20000}"/>
    <cellStyle name="Separador de milhares 2 2 2 2 2 2 2 2 2 5" xfId="40373" xr:uid="{00000000-0005-0000-0000-0000A7A20000}"/>
    <cellStyle name="Separador de milhares 2 2 2 2 2 2 2 2 3" xfId="40374" xr:uid="{00000000-0005-0000-0000-0000A8A20000}"/>
    <cellStyle name="Separador de milhares 2 2 2 2 2 2 2 2 4" xfId="40375" xr:uid="{00000000-0005-0000-0000-0000A9A20000}"/>
    <cellStyle name="Separador de milhares 2 2 2 2 2 2 2 2 4 2" xfId="40376" xr:uid="{00000000-0005-0000-0000-0000AAA20000}"/>
    <cellStyle name="Separador de milhares 2 2 2 2 2 2 2 2 4 3" xfId="40377" xr:uid="{00000000-0005-0000-0000-0000ABA20000}"/>
    <cellStyle name="Separador de milhares 2 2 2 2 2 2 2 2 4 4" xfId="40378" xr:uid="{00000000-0005-0000-0000-0000ACA20000}"/>
    <cellStyle name="Separador de milhares 2 2 2 2 2 2 2 2 5" xfId="40379" xr:uid="{00000000-0005-0000-0000-0000ADA20000}"/>
    <cellStyle name="Separador de milhares 2 2 2 2 2 2 2 2 6" xfId="40380" xr:uid="{00000000-0005-0000-0000-0000AEA20000}"/>
    <cellStyle name="Separador de milhares 2 2 2 2 2 2 2 3" xfId="40381" xr:uid="{00000000-0005-0000-0000-0000AFA20000}"/>
    <cellStyle name="Separador de milhares 2 2 2 2 2 2 2 3 2" xfId="40382" xr:uid="{00000000-0005-0000-0000-0000B0A20000}"/>
    <cellStyle name="Separador de milhares 2 2 2 2 2 2 2 4" xfId="40383" xr:uid="{00000000-0005-0000-0000-0000B1A20000}"/>
    <cellStyle name="Separador de milhares 2 2 2 2 2 2 2 4 2" xfId="40384" xr:uid="{00000000-0005-0000-0000-0000B2A20000}"/>
    <cellStyle name="Separador de milhares 2 2 2 2 2 2 2 4 3" xfId="40385" xr:uid="{00000000-0005-0000-0000-0000B3A20000}"/>
    <cellStyle name="Separador de milhares 2 2 2 2 2 2 2 4 4" xfId="40386" xr:uid="{00000000-0005-0000-0000-0000B4A20000}"/>
    <cellStyle name="Separador de milhares 2 2 2 2 2 2 2 5" xfId="40387" xr:uid="{00000000-0005-0000-0000-0000B5A20000}"/>
    <cellStyle name="Separador de milhares 2 2 2 2 2 2 2 6" xfId="40388" xr:uid="{00000000-0005-0000-0000-0000B6A20000}"/>
    <cellStyle name="Separador de milhares 2 2 2 2 2 2 3" xfId="40389" xr:uid="{00000000-0005-0000-0000-0000B7A20000}"/>
    <cellStyle name="Separador de milhares 2 2 2 2 2 2 4" xfId="40390" xr:uid="{00000000-0005-0000-0000-0000B8A20000}"/>
    <cellStyle name="Separador de milhares 2 2 2 2 2 2 4 2" xfId="40391" xr:uid="{00000000-0005-0000-0000-0000B9A20000}"/>
    <cellStyle name="Separador de milhares 2 2 2 2 2 2 5" xfId="40392" xr:uid="{00000000-0005-0000-0000-0000BAA20000}"/>
    <cellStyle name="Separador de milhares 2 2 2 2 2 2 6" xfId="40393" xr:uid="{00000000-0005-0000-0000-0000BBA20000}"/>
    <cellStyle name="Separador de milhares 2 2 2 2 2 2 6 2" xfId="40394" xr:uid="{00000000-0005-0000-0000-0000BCA20000}"/>
    <cellStyle name="Separador de milhares 2 2 2 2 2 2 6 3" xfId="40395" xr:uid="{00000000-0005-0000-0000-0000BDA20000}"/>
    <cellStyle name="Separador de milhares 2 2 2 2 2 2 6 4" xfId="40396" xr:uid="{00000000-0005-0000-0000-0000BEA20000}"/>
    <cellStyle name="Separador de milhares 2 2 2 2 2 2 7" xfId="40397" xr:uid="{00000000-0005-0000-0000-0000BFA20000}"/>
    <cellStyle name="Separador de milhares 2 2 2 2 2 2 8" xfId="40398" xr:uid="{00000000-0005-0000-0000-0000C0A20000}"/>
    <cellStyle name="Separador de milhares 2 2 2 2 2 20" xfId="40399" xr:uid="{00000000-0005-0000-0000-0000C1A20000}"/>
    <cellStyle name="Separador de milhares 2 2 2 2 2 21" xfId="40400" xr:uid="{00000000-0005-0000-0000-0000C2A20000}"/>
    <cellStyle name="Separador de milhares 2 2 2 2 2 22" xfId="40401" xr:uid="{00000000-0005-0000-0000-0000C3A20000}"/>
    <cellStyle name="Separador de milhares 2 2 2 2 2 22 2" xfId="40402" xr:uid="{00000000-0005-0000-0000-0000C4A20000}"/>
    <cellStyle name="Separador de milhares 2 2 2 2 2 22 3" xfId="40403" xr:uid="{00000000-0005-0000-0000-0000C5A20000}"/>
    <cellStyle name="Separador de milhares 2 2 2 2 2 22 4" xfId="40404" xr:uid="{00000000-0005-0000-0000-0000C6A20000}"/>
    <cellStyle name="Separador de milhares 2 2 2 2 2 23" xfId="40405" xr:uid="{00000000-0005-0000-0000-0000C7A20000}"/>
    <cellStyle name="Separador de milhares 2 2 2 2 2 24" xfId="40406" xr:uid="{00000000-0005-0000-0000-0000C8A20000}"/>
    <cellStyle name="Separador de milhares 2 2 2 2 2 3" xfId="40407" xr:uid="{00000000-0005-0000-0000-0000C9A20000}"/>
    <cellStyle name="Separador de milhares 2 2 2 2 2 3 2" xfId="40408" xr:uid="{00000000-0005-0000-0000-0000CAA20000}"/>
    <cellStyle name="Separador de milhares 2 2 2 2 2 4" xfId="40409" xr:uid="{00000000-0005-0000-0000-0000CBA20000}"/>
    <cellStyle name="Separador de milhares 2 2 2 2 2 5" xfId="40410" xr:uid="{00000000-0005-0000-0000-0000CCA20000}"/>
    <cellStyle name="Separador de milhares 2 2 2 2 2 6" xfId="40411" xr:uid="{00000000-0005-0000-0000-0000CDA20000}"/>
    <cellStyle name="Separador de milhares 2 2 2 2 2 7" xfId="40412" xr:uid="{00000000-0005-0000-0000-0000CEA20000}"/>
    <cellStyle name="Separador de milhares 2 2 2 2 2 8" xfId="40413" xr:uid="{00000000-0005-0000-0000-0000CFA20000}"/>
    <cellStyle name="Separador de milhares 2 2 2 2 2 9" xfId="40414" xr:uid="{00000000-0005-0000-0000-0000D0A20000}"/>
    <cellStyle name="Separador de milhares 2 2 2 2 20" xfId="40415" xr:uid="{00000000-0005-0000-0000-0000D1A20000}"/>
    <cellStyle name="Separador de milhares 2 2 2 2 21" xfId="40416" xr:uid="{00000000-0005-0000-0000-0000D2A20000}"/>
    <cellStyle name="Separador de milhares 2 2 2 2 22" xfId="40417" xr:uid="{00000000-0005-0000-0000-0000D3A20000}"/>
    <cellStyle name="Separador de milhares 2 2 2 2 22 2" xfId="40418" xr:uid="{00000000-0005-0000-0000-0000D4A20000}"/>
    <cellStyle name="Separador de milhares 2 2 2 2 22 3" xfId="40419" xr:uid="{00000000-0005-0000-0000-0000D5A20000}"/>
    <cellStyle name="Separador de milhares 2 2 2 2 22 4" xfId="40420" xr:uid="{00000000-0005-0000-0000-0000D6A20000}"/>
    <cellStyle name="Separador de milhares 2 2 2 2 23" xfId="40421" xr:uid="{00000000-0005-0000-0000-0000D7A20000}"/>
    <cellStyle name="Separador de milhares 2 2 2 2 24" xfId="40422" xr:uid="{00000000-0005-0000-0000-0000D8A20000}"/>
    <cellStyle name="Separador de milhares 2 2 2 2 3" xfId="40423" xr:uid="{00000000-0005-0000-0000-0000D9A20000}"/>
    <cellStyle name="Separador de milhares 2 2 2 2 3 2" xfId="40424" xr:uid="{00000000-0005-0000-0000-0000DAA20000}"/>
    <cellStyle name="Separador de milhares 2 2 2 2 3 2 2" xfId="40425" xr:uid="{00000000-0005-0000-0000-0000DBA20000}"/>
    <cellStyle name="Separador de milhares 2 2 2 2 3 2 2 2" xfId="40426" xr:uid="{00000000-0005-0000-0000-0000DCA20000}"/>
    <cellStyle name="Separador de milhares 2 2 2 2 3 2 2 2 2" xfId="40427" xr:uid="{00000000-0005-0000-0000-0000DDA20000}"/>
    <cellStyle name="Separador de milhares 2 2 2 2 3 2 2 3" xfId="40428" xr:uid="{00000000-0005-0000-0000-0000DEA20000}"/>
    <cellStyle name="Separador de milhares 2 2 2 2 3 2 3" xfId="40429" xr:uid="{00000000-0005-0000-0000-0000DFA20000}"/>
    <cellStyle name="Separador de milhares 2 2 2 2 3 2 3 2" xfId="40430" xr:uid="{00000000-0005-0000-0000-0000E0A20000}"/>
    <cellStyle name="Separador de milhares 2 2 2 2 3 3" xfId="40431" xr:uid="{00000000-0005-0000-0000-0000E1A20000}"/>
    <cellStyle name="Separador de milhares 2 2 2 2 3 4" xfId="40432" xr:uid="{00000000-0005-0000-0000-0000E2A20000}"/>
    <cellStyle name="Separador de milhares 2 2 2 2 3 4 2" xfId="40433" xr:uid="{00000000-0005-0000-0000-0000E3A20000}"/>
    <cellStyle name="Separador de milhares 2 2 2 2 3 5" xfId="40434" xr:uid="{00000000-0005-0000-0000-0000E4A20000}"/>
    <cellStyle name="Separador de milhares 2 2 2 2 3 6" xfId="40435" xr:uid="{00000000-0005-0000-0000-0000E5A20000}"/>
    <cellStyle name="Separador de milhares 2 2 2 2 4" xfId="40436" xr:uid="{00000000-0005-0000-0000-0000E6A20000}"/>
    <cellStyle name="Separador de milhares 2 2 2 2 5" xfId="40437" xr:uid="{00000000-0005-0000-0000-0000E7A20000}"/>
    <cellStyle name="Separador de milhares 2 2 2 2 6" xfId="40438" xr:uid="{00000000-0005-0000-0000-0000E8A20000}"/>
    <cellStyle name="Separador de milhares 2 2 2 2 6 2" xfId="40439" xr:uid="{00000000-0005-0000-0000-0000E9A20000}"/>
    <cellStyle name="Separador de milhares 2 2 2 2 7" xfId="40440" xr:uid="{00000000-0005-0000-0000-0000EAA20000}"/>
    <cellStyle name="Separador de milhares 2 2 2 2 8" xfId="40441" xr:uid="{00000000-0005-0000-0000-0000EBA20000}"/>
    <cellStyle name="Separador de milhares 2 2 2 2 9" xfId="40442" xr:uid="{00000000-0005-0000-0000-0000ECA20000}"/>
    <cellStyle name="Separador de milhares 2 2 2 20" xfId="40443" xr:uid="{00000000-0005-0000-0000-0000EDA20000}"/>
    <cellStyle name="Separador de milhares 2 2 2 20 2" xfId="40444" xr:uid="{00000000-0005-0000-0000-0000EEA20000}"/>
    <cellStyle name="Separador de milhares 2 2 2 20 2 2" xfId="40445" xr:uid="{00000000-0005-0000-0000-0000EFA20000}"/>
    <cellStyle name="Separador de milhares 2 2 2 20 2 2 2" xfId="40446" xr:uid="{00000000-0005-0000-0000-0000F0A20000}"/>
    <cellStyle name="Separador de milhares 2 2 2 20 2 3" xfId="40447" xr:uid="{00000000-0005-0000-0000-0000F1A20000}"/>
    <cellStyle name="Separador de milhares 2 2 2 20 3" xfId="40448" xr:uid="{00000000-0005-0000-0000-0000F2A20000}"/>
    <cellStyle name="Separador de milhares 2 2 2 20 3 2" xfId="40449" xr:uid="{00000000-0005-0000-0000-0000F3A20000}"/>
    <cellStyle name="Separador de milhares 2 2 2 21" xfId="40450" xr:uid="{00000000-0005-0000-0000-0000F4A20000}"/>
    <cellStyle name="Separador de milhares 2 2 2 21 2" xfId="40451" xr:uid="{00000000-0005-0000-0000-0000F5A20000}"/>
    <cellStyle name="Separador de milhares 2 2 2 22" xfId="40452" xr:uid="{00000000-0005-0000-0000-0000F6A20000}"/>
    <cellStyle name="Separador de milhares 2 2 2 23" xfId="40453" xr:uid="{00000000-0005-0000-0000-0000F7A20000}"/>
    <cellStyle name="Separador de milhares 2 2 2 24" xfId="40454" xr:uid="{00000000-0005-0000-0000-0000F8A20000}"/>
    <cellStyle name="Separador de milhares 2 2 2 24 2" xfId="40455" xr:uid="{00000000-0005-0000-0000-0000F9A20000}"/>
    <cellStyle name="Separador de milhares 2 2 2 24 3" xfId="40456" xr:uid="{00000000-0005-0000-0000-0000FAA20000}"/>
    <cellStyle name="Separador de milhares 2 2 2 24 4" xfId="40457" xr:uid="{00000000-0005-0000-0000-0000FBA20000}"/>
    <cellStyle name="Separador de milhares 2 2 2 25" xfId="40458" xr:uid="{00000000-0005-0000-0000-0000FCA20000}"/>
    <cellStyle name="Separador de milhares 2 2 2 26" xfId="40459" xr:uid="{00000000-0005-0000-0000-0000FDA20000}"/>
    <cellStyle name="Separador de milhares 2 2 2 27" xfId="1145" xr:uid="{00000000-0005-0000-0000-0000FEA20000}"/>
    <cellStyle name="Separador de milhares 2 2 2 3" xfId="40460" xr:uid="{00000000-0005-0000-0000-0000FFA20000}"/>
    <cellStyle name="Separador de milhares 2 2 2 4" xfId="40461" xr:uid="{00000000-0005-0000-0000-000000A30000}"/>
    <cellStyle name="Separador de milhares 2 2 2 4 2" xfId="40462" xr:uid="{00000000-0005-0000-0000-000001A30000}"/>
    <cellStyle name="Separador de milhares 2 2 2 4 2 2" xfId="40463" xr:uid="{00000000-0005-0000-0000-000002A30000}"/>
    <cellStyle name="Separador de milhares 2 2 2 4 2 2 2" xfId="40464" xr:uid="{00000000-0005-0000-0000-000003A30000}"/>
    <cellStyle name="Separador de milhares 2 2 2 4 2 2 2 2" xfId="40465" xr:uid="{00000000-0005-0000-0000-000004A30000}"/>
    <cellStyle name="Separador de milhares 2 2 2 4 2 2 3" xfId="40466" xr:uid="{00000000-0005-0000-0000-000005A30000}"/>
    <cellStyle name="Separador de milhares 2 2 2 4 2 3" xfId="40467" xr:uid="{00000000-0005-0000-0000-000006A30000}"/>
    <cellStyle name="Separador de milhares 2 2 2 4 2 3 2" xfId="40468" xr:uid="{00000000-0005-0000-0000-000007A30000}"/>
    <cellStyle name="Separador de milhares 2 2 2 4 2 4" xfId="40469" xr:uid="{00000000-0005-0000-0000-000008A30000}"/>
    <cellStyle name="Separador de milhares 2 2 2 4 2 5" xfId="40470" xr:uid="{00000000-0005-0000-0000-000009A30000}"/>
    <cellStyle name="Separador de milhares 2 2 2 4 3" xfId="40471" xr:uid="{00000000-0005-0000-0000-00000AA30000}"/>
    <cellStyle name="Separador de milhares 2 2 2 4 3 2" xfId="40472" xr:uid="{00000000-0005-0000-0000-00000BA30000}"/>
    <cellStyle name="Separador de milhares 2 2 2 4 4" xfId="40473" xr:uid="{00000000-0005-0000-0000-00000CA30000}"/>
    <cellStyle name="Separador de milhares 2 2 2 4 4 2" xfId="40474" xr:uid="{00000000-0005-0000-0000-00000DA30000}"/>
    <cellStyle name="Separador de milhares 2 2 2 4 5" xfId="40475" xr:uid="{00000000-0005-0000-0000-00000EA30000}"/>
    <cellStyle name="Separador de milhares 2 2 2 4 6" xfId="40476" xr:uid="{00000000-0005-0000-0000-00000FA30000}"/>
    <cellStyle name="Separador de milhares 2 2 2 5" xfId="40477" xr:uid="{00000000-0005-0000-0000-000010A30000}"/>
    <cellStyle name="Separador de milhares 2 2 2 6" xfId="40478" xr:uid="{00000000-0005-0000-0000-000011A30000}"/>
    <cellStyle name="Separador de milhares 2 2 2 7" xfId="40479" xr:uid="{00000000-0005-0000-0000-000012A30000}"/>
    <cellStyle name="Separador de milhares 2 2 2 7 2" xfId="40480" xr:uid="{00000000-0005-0000-0000-000013A30000}"/>
    <cellStyle name="Separador de milhares 2 2 2 8" xfId="40481" xr:uid="{00000000-0005-0000-0000-000014A30000}"/>
    <cellStyle name="Separador de milhares 2 2 2 9" xfId="40482" xr:uid="{00000000-0005-0000-0000-000015A30000}"/>
    <cellStyle name="Separador de milhares 2 2 20" xfId="40483" xr:uid="{00000000-0005-0000-0000-000016A30000}"/>
    <cellStyle name="Separador de milhares 2 2 21" xfId="40484" xr:uid="{00000000-0005-0000-0000-000017A30000}"/>
    <cellStyle name="Separador de milhares 2 2 22" xfId="40485" xr:uid="{00000000-0005-0000-0000-000018A30000}"/>
    <cellStyle name="Separador de milhares 2 2 22 2" xfId="40486" xr:uid="{00000000-0005-0000-0000-000019A30000}"/>
    <cellStyle name="Separador de milhares 2 2 22 2 2" xfId="40487" xr:uid="{00000000-0005-0000-0000-00001AA30000}"/>
    <cellStyle name="Separador de milhares 2 2 22 2 2 2" xfId="40488" xr:uid="{00000000-0005-0000-0000-00001BA30000}"/>
    <cellStyle name="Separador de milhares 2 2 22 2 3" xfId="40489" xr:uid="{00000000-0005-0000-0000-00001CA30000}"/>
    <cellStyle name="Separador de milhares 2 2 22 3" xfId="40490" xr:uid="{00000000-0005-0000-0000-00001DA30000}"/>
    <cellStyle name="Separador de milhares 2 2 22 3 2" xfId="40491" xr:uid="{00000000-0005-0000-0000-00001EA30000}"/>
    <cellStyle name="Separador de milhares 2 2 23" xfId="40492" xr:uid="{00000000-0005-0000-0000-00001FA30000}"/>
    <cellStyle name="Separador de milhares 2 2 23 2" xfId="40493" xr:uid="{00000000-0005-0000-0000-000020A30000}"/>
    <cellStyle name="Separador de milhares 2 2 24" xfId="40494" xr:uid="{00000000-0005-0000-0000-000021A30000}"/>
    <cellStyle name="Separador de milhares 2 2 25" xfId="40495" xr:uid="{00000000-0005-0000-0000-000022A30000}"/>
    <cellStyle name="Separador de milhares 2 2 26" xfId="40496" xr:uid="{00000000-0005-0000-0000-000023A30000}"/>
    <cellStyle name="Separador de milhares 2 2 26 2" xfId="40497" xr:uid="{00000000-0005-0000-0000-000024A30000}"/>
    <cellStyle name="Separador de milhares 2 2 26 3" xfId="40498" xr:uid="{00000000-0005-0000-0000-000025A30000}"/>
    <cellStyle name="Separador de milhares 2 2 26 4" xfId="40499" xr:uid="{00000000-0005-0000-0000-000026A30000}"/>
    <cellStyle name="Separador de milhares 2 2 27" xfId="40500" xr:uid="{00000000-0005-0000-0000-000027A30000}"/>
    <cellStyle name="Separador de milhares 2 2 28" xfId="40501" xr:uid="{00000000-0005-0000-0000-000028A30000}"/>
    <cellStyle name="Separador de milhares 2 2 3" xfId="1146" xr:uid="{00000000-0005-0000-0000-000029A30000}"/>
    <cellStyle name="Separador de milhares 2 2 3 2" xfId="40502" xr:uid="{00000000-0005-0000-0000-00002AA30000}"/>
    <cellStyle name="Separador de milhares 2 2 3 3" xfId="40503" xr:uid="{00000000-0005-0000-0000-00002BA30000}"/>
    <cellStyle name="Separador de milhares 2 2 3 4" xfId="40504" xr:uid="{00000000-0005-0000-0000-00002CA30000}"/>
    <cellStyle name="Separador de milhares 2 2 3 5" xfId="40505" xr:uid="{00000000-0005-0000-0000-00002DA30000}"/>
    <cellStyle name="Separador de milhares 2 2 3 6" xfId="40506" xr:uid="{00000000-0005-0000-0000-00002EA30000}"/>
    <cellStyle name="Separador de milhares 2 2 3 7" xfId="40507" xr:uid="{00000000-0005-0000-0000-00002FA30000}"/>
    <cellStyle name="Separador de milhares 2 2 4" xfId="1147" xr:uid="{00000000-0005-0000-0000-000030A30000}"/>
    <cellStyle name="Separador de milhares 2 2 4 2" xfId="40508" xr:uid="{00000000-0005-0000-0000-000031A30000}"/>
    <cellStyle name="Separador de milhares 2 2 4 3" xfId="40509" xr:uid="{00000000-0005-0000-0000-000032A30000}"/>
    <cellStyle name="Separador de milhares 2 2 4 4" xfId="40510" xr:uid="{00000000-0005-0000-0000-000033A30000}"/>
    <cellStyle name="Separador de milhares 2 2 4 5" xfId="40511" xr:uid="{00000000-0005-0000-0000-000034A30000}"/>
    <cellStyle name="Separador de milhares 2 2 4 6" xfId="40512" xr:uid="{00000000-0005-0000-0000-000035A30000}"/>
    <cellStyle name="Separador de milhares 2 2 4 7" xfId="40513" xr:uid="{00000000-0005-0000-0000-000036A30000}"/>
    <cellStyle name="Separador de milhares 2 2 5" xfId="40514" xr:uid="{00000000-0005-0000-0000-000037A30000}"/>
    <cellStyle name="Separador de milhares 2 2 5 2" xfId="40515" xr:uid="{00000000-0005-0000-0000-000038A30000}"/>
    <cellStyle name="Separador de milhares 2 2 5 2 2" xfId="40516" xr:uid="{00000000-0005-0000-0000-000039A30000}"/>
    <cellStyle name="Separador de milhares 2 2 5 2 2 2" xfId="40517" xr:uid="{00000000-0005-0000-0000-00003AA30000}"/>
    <cellStyle name="Separador de milhares 2 2 5 2 2 2 2" xfId="40518" xr:uid="{00000000-0005-0000-0000-00003BA30000}"/>
    <cellStyle name="Separador de milhares 2 2 5 2 2 3" xfId="40519" xr:uid="{00000000-0005-0000-0000-00003CA30000}"/>
    <cellStyle name="Separador de milhares 2 2 5 2 3" xfId="40520" xr:uid="{00000000-0005-0000-0000-00003DA30000}"/>
    <cellStyle name="Separador de milhares 2 2 5 2 3 2" xfId="40521" xr:uid="{00000000-0005-0000-0000-00003EA30000}"/>
    <cellStyle name="Separador de milhares 2 2 5 2 4" xfId="40522" xr:uid="{00000000-0005-0000-0000-00003FA30000}"/>
    <cellStyle name="Separador de milhares 2 2 5 2 5" xfId="40523" xr:uid="{00000000-0005-0000-0000-000040A30000}"/>
    <cellStyle name="Separador de milhares 2 2 5 3" xfId="40524" xr:uid="{00000000-0005-0000-0000-000041A30000}"/>
    <cellStyle name="Separador de milhares 2 2 5 3 2" xfId="40525" xr:uid="{00000000-0005-0000-0000-000042A30000}"/>
    <cellStyle name="Separador de milhares 2 2 5 4" xfId="40526" xr:uid="{00000000-0005-0000-0000-000043A30000}"/>
    <cellStyle name="Separador de milhares 2 2 5 4 2" xfId="40527" xr:uid="{00000000-0005-0000-0000-000044A30000}"/>
    <cellStyle name="Separador de milhares 2 2 5 5" xfId="40528" xr:uid="{00000000-0005-0000-0000-000045A30000}"/>
    <cellStyle name="Separador de milhares 2 2 5 6" xfId="40529" xr:uid="{00000000-0005-0000-0000-000046A30000}"/>
    <cellStyle name="Separador de milhares 2 2 5 7" xfId="40530" xr:uid="{00000000-0005-0000-0000-000047A30000}"/>
    <cellStyle name="Separador de milhares 2 2 6" xfId="40531" xr:uid="{00000000-0005-0000-0000-000048A30000}"/>
    <cellStyle name="Separador de milhares 2 2 6 2" xfId="40532" xr:uid="{00000000-0005-0000-0000-000049A30000}"/>
    <cellStyle name="Separador de milhares 2 2 6 2 2" xfId="40533" xr:uid="{00000000-0005-0000-0000-00004AA30000}"/>
    <cellStyle name="Separador de milhares 2 2 6 2 2 2" xfId="40534" xr:uid="{00000000-0005-0000-0000-00004BA30000}"/>
    <cellStyle name="Separador de milhares 2 2 6 2 2 2 2" xfId="40535" xr:uid="{00000000-0005-0000-0000-00004CA30000}"/>
    <cellStyle name="Separador de milhares 2 2 6 2 2 3" xfId="40536" xr:uid="{00000000-0005-0000-0000-00004DA30000}"/>
    <cellStyle name="Separador de milhares 2 2 6 2 3" xfId="40537" xr:uid="{00000000-0005-0000-0000-00004EA30000}"/>
    <cellStyle name="Separador de milhares 2 2 6 2 3 2" xfId="40538" xr:uid="{00000000-0005-0000-0000-00004FA30000}"/>
    <cellStyle name="Separador de milhares 2 2 6 3" xfId="40539" xr:uid="{00000000-0005-0000-0000-000050A30000}"/>
    <cellStyle name="Separador de milhares 2 2 6 4" xfId="40540" xr:uid="{00000000-0005-0000-0000-000051A30000}"/>
    <cellStyle name="Separador de milhares 2 2 6 4 2" xfId="40541" xr:uid="{00000000-0005-0000-0000-000052A30000}"/>
    <cellStyle name="Separador de milhares 2 2 6 5" xfId="40542" xr:uid="{00000000-0005-0000-0000-000053A30000}"/>
    <cellStyle name="Separador de milhares 2 2 6 6" xfId="40543" xr:uid="{00000000-0005-0000-0000-000054A30000}"/>
    <cellStyle name="Separador de milhares 2 2 6 7" xfId="40544" xr:uid="{00000000-0005-0000-0000-000055A30000}"/>
    <cellStyle name="Separador de milhares 2 2 7" xfId="40545" xr:uid="{00000000-0005-0000-0000-000056A30000}"/>
    <cellStyle name="Separador de milhares 2 2 7 2" xfId="40546" xr:uid="{00000000-0005-0000-0000-000057A30000}"/>
    <cellStyle name="Separador de milhares 2 2 7 3" xfId="40547" xr:uid="{00000000-0005-0000-0000-000058A30000}"/>
    <cellStyle name="Separador de milhares 2 2 7 4" xfId="40548" xr:uid="{00000000-0005-0000-0000-000059A30000}"/>
    <cellStyle name="Separador de milhares 2 2 7 5" xfId="40549" xr:uid="{00000000-0005-0000-0000-00005AA30000}"/>
    <cellStyle name="Separador de milhares 2 2 7 6" xfId="40550" xr:uid="{00000000-0005-0000-0000-00005BA30000}"/>
    <cellStyle name="Separador de milhares 2 2 7 7" xfId="40551" xr:uid="{00000000-0005-0000-0000-00005CA30000}"/>
    <cellStyle name="Separador de milhares 2 2 8" xfId="40552" xr:uid="{00000000-0005-0000-0000-00005DA30000}"/>
    <cellStyle name="Separador de milhares 2 2 8 2" xfId="40553" xr:uid="{00000000-0005-0000-0000-00005EA30000}"/>
    <cellStyle name="Separador de milhares 2 2 8 3" xfId="40554" xr:uid="{00000000-0005-0000-0000-00005FA30000}"/>
    <cellStyle name="Separador de milhares 2 2 8 4" xfId="40555" xr:uid="{00000000-0005-0000-0000-000060A30000}"/>
    <cellStyle name="Separador de milhares 2 2 8 5" xfId="40556" xr:uid="{00000000-0005-0000-0000-000061A30000}"/>
    <cellStyle name="Separador de milhares 2 2 8 6" xfId="40557" xr:uid="{00000000-0005-0000-0000-000062A30000}"/>
    <cellStyle name="Separador de milhares 2 2 8 7" xfId="40558" xr:uid="{00000000-0005-0000-0000-000063A30000}"/>
    <cellStyle name="Separador de milhares 2 2 9" xfId="40559" xr:uid="{00000000-0005-0000-0000-000064A30000}"/>
    <cellStyle name="Separador de milhares 2 2 9 2" xfId="40560" xr:uid="{00000000-0005-0000-0000-000065A30000}"/>
    <cellStyle name="Separador de milhares 2 20" xfId="40561" xr:uid="{00000000-0005-0000-0000-000066A30000}"/>
    <cellStyle name="Separador de milhares 2 20 10" xfId="40562" xr:uid="{00000000-0005-0000-0000-000067A30000}"/>
    <cellStyle name="Separador de milhares 2 20 11" xfId="40563" xr:uid="{00000000-0005-0000-0000-000068A30000}"/>
    <cellStyle name="Separador de milhares 2 20 12" xfId="40564" xr:uid="{00000000-0005-0000-0000-000069A30000}"/>
    <cellStyle name="Separador de milhares 2 20 13" xfId="40565" xr:uid="{00000000-0005-0000-0000-00006AA30000}"/>
    <cellStyle name="Separador de milhares 2 20 2" xfId="40566" xr:uid="{00000000-0005-0000-0000-00006BA30000}"/>
    <cellStyle name="Separador de milhares 2 20 2 2" xfId="40567" xr:uid="{00000000-0005-0000-0000-00006CA30000}"/>
    <cellStyle name="Separador de milhares 2 20 2 3" xfId="40568" xr:uid="{00000000-0005-0000-0000-00006DA30000}"/>
    <cellStyle name="Separador de milhares 2 20 2 4" xfId="40569" xr:uid="{00000000-0005-0000-0000-00006EA30000}"/>
    <cellStyle name="Separador de milhares 2 20 2 5" xfId="40570" xr:uid="{00000000-0005-0000-0000-00006FA30000}"/>
    <cellStyle name="Separador de milhares 2 20 2 6" xfId="40571" xr:uid="{00000000-0005-0000-0000-000070A30000}"/>
    <cellStyle name="Separador de milhares 2 20 3" xfId="40572" xr:uid="{00000000-0005-0000-0000-000071A30000}"/>
    <cellStyle name="Separador de milhares 2 20 3 2" xfId="40573" xr:uid="{00000000-0005-0000-0000-000072A30000}"/>
    <cellStyle name="Separador de milhares 2 20 3 3" xfId="40574" xr:uid="{00000000-0005-0000-0000-000073A30000}"/>
    <cellStyle name="Separador de milhares 2 20 3 4" xfId="40575" xr:uid="{00000000-0005-0000-0000-000074A30000}"/>
    <cellStyle name="Separador de milhares 2 20 3 5" xfId="40576" xr:uid="{00000000-0005-0000-0000-000075A30000}"/>
    <cellStyle name="Separador de milhares 2 20 3 6" xfId="40577" xr:uid="{00000000-0005-0000-0000-000076A30000}"/>
    <cellStyle name="Separador de milhares 2 20 4" xfId="40578" xr:uid="{00000000-0005-0000-0000-000077A30000}"/>
    <cellStyle name="Separador de milhares 2 20 4 2" xfId="40579" xr:uid="{00000000-0005-0000-0000-000078A30000}"/>
    <cellStyle name="Separador de milhares 2 20 4 3" xfId="40580" xr:uid="{00000000-0005-0000-0000-000079A30000}"/>
    <cellStyle name="Separador de milhares 2 20 4 4" xfId="40581" xr:uid="{00000000-0005-0000-0000-00007AA30000}"/>
    <cellStyle name="Separador de milhares 2 20 4 5" xfId="40582" xr:uid="{00000000-0005-0000-0000-00007BA30000}"/>
    <cellStyle name="Separador de milhares 2 20 4 6" xfId="40583" xr:uid="{00000000-0005-0000-0000-00007CA30000}"/>
    <cellStyle name="Separador de milhares 2 20 5" xfId="40584" xr:uid="{00000000-0005-0000-0000-00007DA30000}"/>
    <cellStyle name="Separador de milhares 2 20 5 2" xfId="40585" xr:uid="{00000000-0005-0000-0000-00007EA30000}"/>
    <cellStyle name="Separador de milhares 2 20 5 3" xfId="40586" xr:uid="{00000000-0005-0000-0000-00007FA30000}"/>
    <cellStyle name="Separador de milhares 2 20 5 4" xfId="40587" xr:uid="{00000000-0005-0000-0000-000080A30000}"/>
    <cellStyle name="Separador de milhares 2 20 5 5" xfId="40588" xr:uid="{00000000-0005-0000-0000-000081A30000}"/>
    <cellStyle name="Separador de milhares 2 20 5 6" xfId="40589" xr:uid="{00000000-0005-0000-0000-000082A30000}"/>
    <cellStyle name="Separador de milhares 2 20 6" xfId="40590" xr:uid="{00000000-0005-0000-0000-000083A30000}"/>
    <cellStyle name="Separador de milhares 2 20 6 2" xfId="40591" xr:uid="{00000000-0005-0000-0000-000084A30000}"/>
    <cellStyle name="Separador de milhares 2 20 6 3" xfId="40592" xr:uid="{00000000-0005-0000-0000-000085A30000}"/>
    <cellStyle name="Separador de milhares 2 20 6 4" xfId="40593" xr:uid="{00000000-0005-0000-0000-000086A30000}"/>
    <cellStyle name="Separador de milhares 2 20 6 5" xfId="40594" xr:uid="{00000000-0005-0000-0000-000087A30000}"/>
    <cellStyle name="Separador de milhares 2 20 6 6" xfId="40595" xr:uid="{00000000-0005-0000-0000-000088A30000}"/>
    <cellStyle name="Separador de milhares 2 20 7" xfId="40596" xr:uid="{00000000-0005-0000-0000-000089A30000}"/>
    <cellStyle name="Separador de milhares 2 20 7 2" xfId="40597" xr:uid="{00000000-0005-0000-0000-00008AA30000}"/>
    <cellStyle name="Separador de milhares 2 20 7 3" xfId="40598" xr:uid="{00000000-0005-0000-0000-00008BA30000}"/>
    <cellStyle name="Separador de milhares 2 20 7 4" xfId="40599" xr:uid="{00000000-0005-0000-0000-00008CA30000}"/>
    <cellStyle name="Separador de milhares 2 20 7 5" xfId="40600" xr:uid="{00000000-0005-0000-0000-00008DA30000}"/>
    <cellStyle name="Separador de milhares 2 20 7 6" xfId="40601" xr:uid="{00000000-0005-0000-0000-00008EA30000}"/>
    <cellStyle name="Separador de milhares 2 20 8" xfId="40602" xr:uid="{00000000-0005-0000-0000-00008FA30000}"/>
    <cellStyle name="Separador de milhares 2 20 8 2" xfId="40603" xr:uid="{00000000-0005-0000-0000-000090A30000}"/>
    <cellStyle name="Separador de milhares 2 20 8 3" xfId="40604" xr:uid="{00000000-0005-0000-0000-000091A30000}"/>
    <cellStyle name="Separador de milhares 2 20 8 4" xfId="40605" xr:uid="{00000000-0005-0000-0000-000092A30000}"/>
    <cellStyle name="Separador de milhares 2 20 8 5" xfId="40606" xr:uid="{00000000-0005-0000-0000-000093A30000}"/>
    <cellStyle name="Separador de milhares 2 20 8 6" xfId="40607" xr:uid="{00000000-0005-0000-0000-000094A30000}"/>
    <cellStyle name="Separador de milhares 2 20 9" xfId="40608" xr:uid="{00000000-0005-0000-0000-000095A30000}"/>
    <cellStyle name="Separador de milhares 2 21" xfId="40609" xr:uid="{00000000-0005-0000-0000-000096A30000}"/>
    <cellStyle name="Separador de milhares 2 21 10" xfId="40610" xr:uid="{00000000-0005-0000-0000-000097A30000}"/>
    <cellStyle name="Separador de milhares 2 21 11" xfId="40611" xr:uid="{00000000-0005-0000-0000-000098A30000}"/>
    <cellStyle name="Separador de milhares 2 21 12" xfId="40612" xr:uid="{00000000-0005-0000-0000-000099A30000}"/>
    <cellStyle name="Separador de milhares 2 21 13" xfId="40613" xr:uid="{00000000-0005-0000-0000-00009AA30000}"/>
    <cellStyle name="Separador de milhares 2 21 2" xfId="40614" xr:uid="{00000000-0005-0000-0000-00009BA30000}"/>
    <cellStyle name="Separador de milhares 2 21 2 2" xfId="40615" xr:uid="{00000000-0005-0000-0000-00009CA30000}"/>
    <cellStyle name="Separador de milhares 2 21 2 3" xfId="40616" xr:uid="{00000000-0005-0000-0000-00009DA30000}"/>
    <cellStyle name="Separador de milhares 2 21 2 4" xfId="40617" xr:uid="{00000000-0005-0000-0000-00009EA30000}"/>
    <cellStyle name="Separador de milhares 2 21 2 5" xfId="40618" xr:uid="{00000000-0005-0000-0000-00009FA30000}"/>
    <cellStyle name="Separador de milhares 2 21 2 6" xfId="40619" xr:uid="{00000000-0005-0000-0000-0000A0A30000}"/>
    <cellStyle name="Separador de milhares 2 21 3" xfId="40620" xr:uid="{00000000-0005-0000-0000-0000A1A30000}"/>
    <cellStyle name="Separador de milhares 2 21 3 2" xfId="40621" xr:uid="{00000000-0005-0000-0000-0000A2A30000}"/>
    <cellStyle name="Separador de milhares 2 21 3 3" xfId="40622" xr:uid="{00000000-0005-0000-0000-0000A3A30000}"/>
    <cellStyle name="Separador de milhares 2 21 3 4" xfId="40623" xr:uid="{00000000-0005-0000-0000-0000A4A30000}"/>
    <cellStyle name="Separador de milhares 2 21 3 5" xfId="40624" xr:uid="{00000000-0005-0000-0000-0000A5A30000}"/>
    <cellStyle name="Separador de milhares 2 21 3 6" xfId="40625" xr:uid="{00000000-0005-0000-0000-0000A6A30000}"/>
    <cellStyle name="Separador de milhares 2 21 4" xfId="40626" xr:uid="{00000000-0005-0000-0000-0000A7A30000}"/>
    <cellStyle name="Separador de milhares 2 21 4 2" xfId="40627" xr:uid="{00000000-0005-0000-0000-0000A8A30000}"/>
    <cellStyle name="Separador de milhares 2 21 4 3" xfId="40628" xr:uid="{00000000-0005-0000-0000-0000A9A30000}"/>
    <cellStyle name="Separador de milhares 2 21 4 4" xfId="40629" xr:uid="{00000000-0005-0000-0000-0000AAA30000}"/>
    <cellStyle name="Separador de milhares 2 21 4 5" xfId="40630" xr:uid="{00000000-0005-0000-0000-0000ABA30000}"/>
    <cellStyle name="Separador de milhares 2 21 4 6" xfId="40631" xr:uid="{00000000-0005-0000-0000-0000ACA30000}"/>
    <cellStyle name="Separador de milhares 2 21 5" xfId="40632" xr:uid="{00000000-0005-0000-0000-0000ADA30000}"/>
    <cellStyle name="Separador de milhares 2 21 5 2" xfId="40633" xr:uid="{00000000-0005-0000-0000-0000AEA30000}"/>
    <cellStyle name="Separador de milhares 2 21 5 3" xfId="40634" xr:uid="{00000000-0005-0000-0000-0000AFA30000}"/>
    <cellStyle name="Separador de milhares 2 21 5 4" xfId="40635" xr:uid="{00000000-0005-0000-0000-0000B0A30000}"/>
    <cellStyle name="Separador de milhares 2 21 5 5" xfId="40636" xr:uid="{00000000-0005-0000-0000-0000B1A30000}"/>
    <cellStyle name="Separador de milhares 2 21 5 6" xfId="40637" xr:uid="{00000000-0005-0000-0000-0000B2A30000}"/>
    <cellStyle name="Separador de milhares 2 21 6" xfId="40638" xr:uid="{00000000-0005-0000-0000-0000B3A30000}"/>
    <cellStyle name="Separador de milhares 2 21 6 2" xfId="40639" xr:uid="{00000000-0005-0000-0000-0000B4A30000}"/>
    <cellStyle name="Separador de milhares 2 21 6 3" xfId="40640" xr:uid="{00000000-0005-0000-0000-0000B5A30000}"/>
    <cellStyle name="Separador de milhares 2 21 6 4" xfId="40641" xr:uid="{00000000-0005-0000-0000-0000B6A30000}"/>
    <cellStyle name="Separador de milhares 2 21 6 5" xfId="40642" xr:uid="{00000000-0005-0000-0000-0000B7A30000}"/>
    <cellStyle name="Separador de milhares 2 21 6 6" xfId="40643" xr:uid="{00000000-0005-0000-0000-0000B8A30000}"/>
    <cellStyle name="Separador de milhares 2 21 7" xfId="40644" xr:uid="{00000000-0005-0000-0000-0000B9A30000}"/>
    <cellStyle name="Separador de milhares 2 21 7 2" xfId="40645" xr:uid="{00000000-0005-0000-0000-0000BAA30000}"/>
    <cellStyle name="Separador de milhares 2 21 7 3" xfId="40646" xr:uid="{00000000-0005-0000-0000-0000BBA30000}"/>
    <cellStyle name="Separador de milhares 2 21 7 4" xfId="40647" xr:uid="{00000000-0005-0000-0000-0000BCA30000}"/>
    <cellStyle name="Separador de milhares 2 21 7 5" xfId="40648" xr:uid="{00000000-0005-0000-0000-0000BDA30000}"/>
    <cellStyle name="Separador de milhares 2 21 7 6" xfId="40649" xr:uid="{00000000-0005-0000-0000-0000BEA30000}"/>
    <cellStyle name="Separador de milhares 2 21 8" xfId="40650" xr:uid="{00000000-0005-0000-0000-0000BFA30000}"/>
    <cellStyle name="Separador de milhares 2 21 8 2" xfId="40651" xr:uid="{00000000-0005-0000-0000-0000C0A30000}"/>
    <cellStyle name="Separador de milhares 2 21 8 3" xfId="40652" xr:uid="{00000000-0005-0000-0000-0000C1A30000}"/>
    <cellStyle name="Separador de milhares 2 21 8 4" xfId="40653" xr:uid="{00000000-0005-0000-0000-0000C2A30000}"/>
    <cellStyle name="Separador de milhares 2 21 8 5" xfId="40654" xr:uid="{00000000-0005-0000-0000-0000C3A30000}"/>
    <cellStyle name="Separador de milhares 2 21 8 6" xfId="40655" xr:uid="{00000000-0005-0000-0000-0000C4A30000}"/>
    <cellStyle name="Separador de milhares 2 21 9" xfId="40656" xr:uid="{00000000-0005-0000-0000-0000C5A30000}"/>
    <cellStyle name="Separador de milhares 2 22" xfId="40657" xr:uid="{00000000-0005-0000-0000-0000C6A30000}"/>
    <cellStyle name="Separador de milhares 2 22 10" xfId="40658" xr:uid="{00000000-0005-0000-0000-0000C7A30000}"/>
    <cellStyle name="Separador de milhares 2 22 11" xfId="40659" xr:uid="{00000000-0005-0000-0000-0000C8A30000}"/>
    <cellStyle name="Separador de milhares 2 22 12" xfId="40660" xr:uid="{00000000-0005-0000-0000-0000C9A30000}"/>
    <cellStyle name="Separador de milhares 2 22 13" xfId="40661" xr:uid="{00000000-0005-0000-0000-0000CAA30000}"/>
    <cellStyle name="Separador de milhares 2 22 2" xfId="40662" xr:uid="{00000000-0005-0000-0000-0000CBA30000}"/>
    <cellStyle name="Separador de milhares 2 22 2 2" xfId="40663" xr:uid="{00000000-0005-0000-0000-0000CCA30000}"/>
    <cellStyle name="Separador de milhares 2 22 2 3" xfId="40664" xr:uid="{00000000-0005-0000-0000-0000CDA30000}"/>
    <cellStyle name="Separador de milhares 2 22 2 4" xfId="40665" xr:uid="{00000000-0005-0000-0000-0000CEA30000}"/>
    <cellStyle name="Separador de milhares 2 22 2 5" xfId="40666" xr:uid="{00000000-0005-0000-0000-0000CFA30000}"/>
    <cellStyle name="Separador de milhares 2 22 2 6" xfId="40667" xr:uid="{00000000-0005-0000-0000-0000D0A30000}"/>
    <cellStyle name="Separador de milhares 2 22 3" xfId="40668" xr:uid="{00000000-0005-0000-0000-0000D1A30000}"/>
    <cellStyle name="Separador de milhares 2 22 3 2" xfId="40669" xr:uid="{00000000-0005-0000-0000-0000D2A30000}"/>
    <cellStyle name="Separador de milhares 2 22 3 3" xfId="40670" xr:uid="{00000000-0005-0000-0000-0000D3A30000}"/>
    <cellStyle name="Separador de milhares 2 22 3 4" xfId="40671" xr:uid="{00000000-0005-0000-0000-0000D4A30000}"/>
    <cellStyle name="Separador de milhares 2 22 3 5" xfId="40672" xr:uid="{00000000-0005-0000-0000-0000D5A30000}"/>
    <cellStyle name="Separador de milhares 2 22 3 6" xfId="40673" xr:uid="{00000000-0005-0000-0000-0000D6A30000}"/>
    <cellStyle name="Separador de milhares 2 22 4" xfId="40674" xr:uid="{00000000-0005-0000-0000-0000D7A30000}"/>
    <cellStyle name="Separador de milhares 2 22 4 2" xfId="40675" xr:uid="{00000000-0005-0000-0000-0000D8A30000}"/>
    <cellStyle name="Separador de milhares 2 22 4 3" xfId="40676" xr:uid="{00000000-0005-0000-0000-0000D9A30000}"/>
    <cellStyle name="Separador de milhares 2 22 4 4" xfId="40677" xr:uid="{00000000-0005-0000-0000-0000DAA30000}"/>
    <cellStyle name="Separador de milhares 2 22 4 5" xfId="40678" xr:uid="{00000000-0005-0000-0000-0000DBA30000}"/>
    <cellStyle name="Separador de milhares 2 22 4 6" xfId="40679" xr:uid="{00000000-0005-0000-0000-0000DCA30000}"/>
    <cellStyle name="Separador de milhares 2 22 5" xfId="40680" xr:uid="{00000000-0005-0000-0000-0000DDA30000}"/>
    <cellStyle name="Separador de milhares 2 22 5 2" xfId="40681" xr:uid="{00000000-0005-0000-0000-0000DEA30000}"/>
    <cellStyle name="Separador de milhares 2 22 5 3" xfId="40682" xr:uid="{00000000-0005-0000-0000-0000DFA30000}"/>
    <cellStyle name="Separador de milhares 2 22 5 4" xfId="40683" xr:uid="{00000000-0005-0000-0000-0000E0A30000}"/>
    <cellStyle name="Separador de milhares 2 22 5 5" xfId="40684" xr:uid="{00000000-0005-0000-0000-0000E1A30000}"/>
    <cellStyle name="Separador de milhares 2 22 5 6" xfId="40685" xr:uid="{00000000-0005-0000-0000-0000E2A30000}"/>
    <cellStyle name="Separador de milhares 2 22 6" xfId="40686" xr:uid="{00000000-0005-0000-0000-0000E3A30000}"/>
    <cellStyle name="Separador de milhares 2 22 6 2" xfId="40687" xr:uid="{00000000-0005-0000-0000-0000E4A30000}"/>
    <cellStyle name="Separador de milhares 2 22 6 3" xfId="40688" xr:uid="{00000000-0005-0000-0000-0000E5A30000}"/>
    <cellStyle name="Separador de milhares 2 22 6 4" xfId="40689" xr:uid="{00000000-0005-0000-0000-0000E6A30000}"/>
    <cellStyle name="Separador de milhares 2 22 6 5" xfId="40690" xr:uid="{00000000-0005-0000-0000-0000E7A30000}"/>
    <cellStyle name="Separador de milhares 2 22 6 6" xfId="40691" xr:uid="{00000000-0005-0000-0000-0000E8A30000}"/>
    <cellStyle name="Separador de milhares 2 22 7" xfId="40692" xr:uid="{00000000-0005-0000-0000-0000E9A30000}"/>
    <cellStyle name="Separador de milhares 2 22 7 2" xfId="40693" xr:uid="{00000000-0005-0000-0000-0000EAA30000}"/>
    <cellStyle name="Separador de milhares 2 22 7 3" xfId="40694" xr:uid="{00000000-0005-0000-0000-0000EBA30000}"/>
    <cellStyle name="Separador de milhares 2 22 7 4" xfId="40695" xr:uid="{00000000-0005-0000-0000-0000ECA30000}"/>
    <cellStyle name="Separador de milhares 2 22 7 5" xfId="40696" xr:uid="{00000000-0005-0000-0000-0000EDA30000}"/>
    <cellStyle name="Separador de milhares 2 22 7 6" xfId="40697" xr:uid="{00000000-0005-0000-0000-0000EEA30000}"/>
    <cellStyle name="Separador de milhares 2 22 8" xfId="40698" xr:uid="{00000000-0005-0000-0000-0000EFA30000}"/>
    <cellStyle name="Separador de milhares 2 22 8 2" xfId="40699" xr:uid="{00000000-0005-0000-0000-0000F0A30000}"/>
    <cellStyle name="Separador de milhares 2 22 8 3" xfId="40700" xr:uid="{00000000-0005-0000-0000-0000F1A30000}"/>
    <cellStyle name="Separador de milhares 2 22 8 4" xfId="40701" xr:uid="{00000000-0005-0000-0000-0000F2A30000}"/>
    <cellStyle name="Separador de milhares 2 22 8 5" xfId="40702" xr:uid="{00000000-0005-0000-0000-0000F3A30000}"/>
    <cellStyle name="Separador de milhares 2 22 8 6" xfId="40703" xr:uid="{00000000-0005-0000-0000-0000F4A30000}"/>
    <cellStyle name="Separador de milhares 2 22 9" xfId="40704" xr:uid="{00000000-0005-0000-0000-0000F5A30000}"/>
    <cellStyle name="Separador de milhares 2 23" xfId="40705" xr:uid="{00000000-0005-0000-0000-0000F6A30000}"/>
    <cellStyle name="Separador de milhares 2 23 10" xfId="40706" xr:uid="{00000000-0005-0000-0000-0000F7A30000}"/>
    <cellStyle name="Separador de milhares 2 23 11" xfId="40707" xr:uid="{00000000-0005-0000-0000-0000F8A30000}"/>
    <cellStyle name="Separador de milhares 2 23 12" xfId="40708" xr:uid="{00000000-0005-0000-0000-0000F9A30000}"/>
    <cellStyle name="Separador de milhares 2 23 13" xfId="40709" xr:uid="{00000000-0005-0000-0000-0000FAA30000}"/>
    <cellStyle name="Separador de milhares 2 23 2" xfId="40710" xr:uid="{00000000-0005-0000-0000-0000FBA30000}"/>
    <cellStyle name="Separador de milhares 2 23 2 2" xfId="40711" xr:uid="{00000000-0005-0000-0000-0000FCA30000}"/>
    <cellStyle name="Separador de milhares 2 23 2 3" xfId="40712" xr:uid="{00000000-0005-0000-0000-0000FDA30000}"/>
    <cellStyle name="Separador de milhares 2 23 2 4" xfId="40713" xr:uid="{00000000-0005-0000-0000-0000FEA30000}"/>
    <cellStyle name="Separador de milhares 2 23 2 5" xfId="40714" xr:uid="{00000000-0005-0000-0000-0000FFA30000}"/>
    <cellStyle name="Separador de milhares 2 23 2 6" xfId="40715" xr:uid="{00000000-0005-0000-0000-000000A40000}"/>
    <cellStyle name="Separador de milhares 2 23 3" xfId="40716" xr:uid="{00000000-0005-0000-0000-000001A40000}"/>
    <cellStyle name="Separador de milhares 2 23 3 2" xfId="40717" xr:uid="{00000000-0005-0000-0000-000002A40000}"/>
    <cellStyle name="Separador de milhares 2 23 3 3" xfId="40718" xr:uid="{00000000-0005-0000-0000-000003A40000}"/>
    <cellStyle name="Separador de milhares 2 23 3 4" xfId="40719" xr:uid="{00000000-0005-0000-0000-000004A40000}"/>
    <cellStyle name="Separador de milhares 2 23 3 5" xfId="40720" xr:uid="{00000000-0005-0000-0000-000005A40000}"/>
    <cellStyle name="Separador de milhares 2 23 3 6" xfId="40721" xr:uid="{00000000-0005-0000-0000-000006A40000}"/>
    <cellStyle name="Separador de milhares 2 23 4" xfId="40722" xr:uid="{00000000-0005-0000-0000-000007A40000}"/>
    <cellStyle name="Separador de milhares 2 23 4 2" xfId="40723" xr:uid="{00000000-0005-0000-0000-000008A40000}"/>
    <cellStyle name="Separador de milhares 2 23 4 3" xfId="40724" xr:uid="{00000000-0005-0000-0000-000009A40000}"/>
    <cellStyle name="Separador de milhares 2 23 4 4" xfId="40725" xr:uid="{00000000-0005-0000-0000-00000AA40000}"/>
    <cellStyle name="Separador de milhares 2 23 4 5" xfId="40726" xr:uid="{00000000-0005-0000-0000-00000BA40000}"/>
    <cellStyle name="Separador de milhares 2 23 4 6" xfId="40727" xr:uid="{00000000-0005-0000-0000-00000CA40000}"/>
    <cellStyle name="Separador de milhares 2 23 5" xfId="40728" xr:uid="{00000000-0005-0000-0000-00000DA40000}"/>
    <cellStyle name="Separador de milhares 2 23 5 2" xfId="40729" xr:uid="{00000000-0005-0000-0000-00000EA40000}"/>
    <cellStyle name="Separador de milhares 2 23 5 3" xfId="40730" xr:uid="{00000000-0005-0000-0000-00000FA40000}"/>
    <cellStyle name="Separador de milhares 2 23 5 4" xfId="40731" xr:uid="{00000000-0005-0000-0000-000010A40000}"/>
    <cellStyle name="Separador de milhares 2 23 5 5" xfId="40732" xr:uid="{00000000-0005-0000-0000-000011A40000}"/>
    <cellStyle name="Separador de milhares 2 23 5 6" xfId="40733" xr:uid="{00000000-0005-0000-0000-000012A40000}"/>
    <cellStyle name="Separador de milhares 2 23 6" xfId="40734" xr:uid="{00000000-0005-0000-0000-000013A40000}"/>
    <cellStyle name="Separador de milhares 2 23 6 2" xfId="40735" xr:uid="{00000000-0005-0000-0000-000014A40000}"/>
    <cellStyle name="Separador de milhares 2 23 6 3" xfId="40736" xr:uid="{00000000-0005-0000-0000-000015A40000}"/>
    <cellStyle name="Separador de milhares 2 23 6 4" xfId="40737" xr:uid="{00000000-0005-0000-0000-000016A40000}"/>
    <cellStyle name="Separador de milhares 2 23 6 5" xfId="40738" xr:uid="{00000000-0005-0000-0000-000017A40000}"/>
    <cellStyle name="Separador de milhares 2 23 6 6" xfId="40739" xr:uid="{00000000-0005-0000-0000-000018A40000}"/>
    <cellStyle name="Separador de milhares 2 23 7" xfId="40740" xr:uid="{00000000-0005-0000-0000-000019A40000}"/>
    <cellStyle name="Separador de milhares 2 23 7 2" xfId="40741" xr:uid="{00000000-0005-0000-0000-00001AA40000}"/>
    <cellStyle name="Separador de milhares 2 23 7 3" xfId="40742" xr:uid="{00000000-0005-0000-0000-00001BA40000}"/>
    <cellStyle name="Separador de milhares 2 23 7 4" xfId="40743" xr:uid="{00000000-0005-0000-0000-00001CA40000}"/>
    <cellStyle name="Separador de milhares 2 23 7 5" xfId="40744" xr:uid="{00000000-0005-0000-0000-00001DA40000}"/>
    <cellStyle name="Separador de milhares 2 23 7 6" xfId="40745" xr:uid="{00000000-0005-0000-0000-00001EA40000}"/>
    <cellStyle name="Separador de milhares 2 23 8" xfId="40746" xr:uid="{00000000-0005-0000-0000-00001FA40000}"/>
    <cellStyle name="Separador de milhares 2 23 8 2" xfId="40747" xr:uid="{00000000-0005-0000-0000-000020A40000}"/>
    <cellStyle name="Separador de milhares 2 23 8 3" xfId="40748" xr:uid="{00000000-0005-0000-0000-000021A40000}"/>
    <cellStyle name="Separador de milhares 2 23 8 4" xfId="40749" xr:uid="{00000000-0005-0000-0000-000022A40000}"/>
    <cellStyle name="Separador de milhares 2 23 8 5" xfId="40750" xr:uid="{00000000-0005-0000-0000-000023A40000}"/>
    <cellStyle name="Separador de milhares 2 23 8 6" xfId="40751" xr:uid="{00000000-0005-0000-0000-000024A40000}"/>
    <cellStyle name="Separador de milhares 2 23 9" xfId="40752" xr:uid="{00000000-0005-0000-0000-000025A40000}"/>
    <cellStyle name="Separador de milhares 2 24" xfId="40753" xr:uid="{00000000-0005-0000-0000-000026A40000}"/>
    <cellStyle name="Separador de milhares 2 24 10" xfId="40754" xr:uid="{00000000-0005-0000-0000-000027A40000}"/>
    <cellStyle name="Separador de milhares 2 24 11" xfId="40755" xr:uid="{00000000-0005-0000-0000-000028A40000}"/>
    <cellStyle name="Separador de milhares 2 24 12" xfId="40756" xr:uid="{00000000-0005-0000-0000-000029A40000}"/>
    <cellStyle name="Separador de milhares 2 24 13" xfId="40757" xr:uid="{00000000-0005-0000-0000-00002AA40000}"/>
    <cellStyle name="Separador de milhares 2 24 2" xfId="40758" xr:uid="{00000000-0005-0000-0000-00002BA40000}"/>
    <cellStyle name="Separador de milhares 2 24 2 2" xfId="40759" xr:uid="{00000000-0005-0000-0000-00002CA40000}"/>
    <cellStyle name="Separador de milhares 2 24 2 3" xfId="40760" xr:uid="{00000000-0005-0000-0000-00002DA40000}"/>
    <cellStyle name="Separador de milhares 2 24 2 4" xfId="40761" xr:uid="{00000000-0005-0000-0000-00002EA40000}"/>
    <cellStyle name="Separador de milhares 2 24 2 5" xfId="40762" xr:uid="{00000000-0005-0000-0000-00002FA40000}"/>
    <cellStyle name="Separador de milhares 2 24 2 6" xfId="40763" xr:uid="{00000000-0005-0000-0000-000030A40000}"/>
    <cellStyle name="Separador de milhares 2 24 3" xfId="40764" xr:uid="{00000000-0005-0000-0000-000031A40000}"/>
    <cellStyle name="Separador de milhares 2 24 3 2" xfId="40765" xr:uid="{00000000-0005-0000-0000-000032A40000}"/>
    <cellStyle name="Separador de milhares 2 24 3 3" xfId="40766" xr:uid="{00000000-0005-0000-0000-000033A40000}"/>
    <cellStyle name="Separador de milhares 2 24 3 4" xfId="40767" xr:uid="{00000000-0005-0000-0000-000034A40000}"/>
    <cellStyle name="Separador de milhares 2 24 3 5" xfId="40768" xr:uid="{00000000-0005-0000-0000-000035A40000}"/>
    <cellStyle name="Separador de milhares 2 24 3 6" xfId="40769" xr:uid="{00000000-0005-0000-0000-000036A40000}"/>
    <cellStyle name="Separador de milhares 2 24 4" xfId="40770" xr:uid="{00000000-0005-0000-0000-000037A40000}"/>
    <cellStyle name="Separador de milhares 2 24 4 2" xfId="40771" xr:uid="{00000000-0005-0000-0000-000038A40000}"/>
    <cellStyle name="Separador de milhares 2 24 4 3" xfId="40772" xr:uid="{00000000-0005-0000-0000-000039A40000}"/>
    <cellStyle name="Separador de milhares 2 24 4 4" xfId="40773" xr:uid="{00000000-0005-0000-0000-00003AA40000}"/>
    <cellStyle name="Separador de milhares 2 24 4 5" xfId="40774" xr:uid="{00000000-0005-0000-0000-00003BA40000}"/>
    <cellStyle name="Separador de milhares 2 24 4 6" xfId="40775" xr:uid="{00000000-0005-0000-0000-00003CA40000}"/>
    <cellStyle name="Separador de milhares 2 24 5" xfId="40776" xr:uid="{00000000-0005-0000-0000-00003DA40000}"/>
    <cellStyle name="Separador de milhares 2 24 5 2" xfId="40777" xr:uid="{00000000-0005-0000-0000-00003EA40000}"/>
    <cellStyle name="Separador de milhares 2 24 5 3" xfId="40778" xr:uid="{00000000-0005-0000-0000-00003FA40000}"/>
    <cellStyle name="Separador de milhares 2 24 5 4" xfId="40779" xr:uid="{00000000-0005-0000-0000-000040A40000}"/>
    <cellStyle name="Separador de milhares 2 24 5 5" xfId="40780" xr:uid="{00000000-0005-0000-0000-000041A40000}"/>
    <cellStyle name="Separador de milhares 2 24 5 6" xfId="40781" xr:uid="{00000000-0005-0000-0000-000042A40000}"/>
    <cellStyle name="Separador de milhares 2 24 6" xfId="40782" xr:uid="{00000000-0005-0000-0000-000043A40000}"/>
    <cellStyle name="Separador de milhares 2 24 6 2" xfId="40783" xr:uid="{00000000-0005-0000-0000-000044A40000}"/>
    <cellStyle name="Separador de milhares 2 24 6 3" xfId="40784" xr:uid="{00000000-0005-0000-0000-000045A40000}"/>
    <cellStyle name="Separador de milhares 2 24 6 4" xfId="40785" xr:uid="{00000000-0005-0000-0000-000046A40000}"/>
    <cellStyle name="Separador de milhares 2 24 6 5" xfId="40786" xr:uid="{00000000-0005-0000-0000-000047A40000}"/>
    <cellStyle name="Separador de milhares 2 24 6 6" xfId="40787" xr:uid="{00000000-0005-0000-0000-000048A40000}"/>
    <cellStyle name="Separador de milhares 2 24 7" xfId="40788" xr:uid="{00000000-0005-0000-0000-000049A40000}"/>
    <cellStyle name="Separador de milhares 2 24 7 2" xfId="40789" xr:uid="{00000000-0005-0000-0000-00004AA40000}"/>
    <cellStyle name="Separador de milhares 2 24 7 3" xfId="40790" xr:uid="{00000000-0005-0000-0000-00004BA40000}"/>
    <cellStyle name="Separador de milhares 2 24 7 4" xfId="40791" xr:uid="{00000000-0005-0000-0000-00004CA40000}"/>
    <cellStyle name="Separador de milhares 2 24 7 5" xfId="40792" xr:uid="{00000000-0005-0000-0000-00004DA40000}"/>
    <cellStyle name="Separador de milhares 2 24 7 6" xfId="40793" xr:uid="{00000000-0005-0000-0000-00004EA40000}"/>
    <cellStyle name="Separador de milhares 2 24 8" xfId="40794" xr:uid="{00000000-0005-0000-0000-00004FA40000}"/>
    <cellStyle name="Separador de milhares 2 24 8 2" xfId="40795" xr:uid="{00000000-0005-0000-0000-000050A40000}"/>
    <cellStyle name="Separador de milhares 2 24 8 3" xfId="40796" xr:uid="{00000000-0005-0000-0000-000051A40000}"/>
    <cellStyle name="Separador de milhares 2 24 8 4" xfId="40797" xr:uid="{00000000-0005-0000-0000-000052A40000}"/>
    <cellStyle name="Separador de milhares 2 24 8 5" xfId="40798" xr:uid="{00000000-0005-0000-0000-000053A40000}"/>
    <cellStyle name="Separador de milhares 2 24 8 6" xfId="40799" xr:uid="{00000000-0005-0000-0000-000054A40000}"/>
    <cellStyle name="Separador de milhares 2 24 9" xfId="40800" xr:uid="{00000000-0005-0000-0000-000055A40000}"/>
    <cellStyle name="Separador de milhares 2 25" xfId="40801" xr:uid="{00000000-0005-0000-0000-000056A40000}"/>
    <cellStyle name="Separador de milhares 2 25 10" xfId="40802" xr:uid="{00000000-0005-0000-0000-000057A40000}"/>
    <cellStyle name="Separador de milhares 2 25 11" xfId="40803" xr:uid="{00000000-0005-0000-0000-000058A40000}"/>
    <cellStyle name="Separador de milhares 2 25 12" xfId="40804" xr:uid="{00000000-0005-0000-0000-000059A40000}"/>
    <cellStyle name="Separador de milhares 2 25 13" xfId="40805" xr:uid="{00000000-0005-0000-0000-00005AA40000}"/>
    <cellStyle name="Separador de milhares 2 25 2" xfId="40806" xr:uid="{00000000-0005-0000-0000-00005BA40000}"/>
    <cellStyle name="Separador de milhares 2 25 2 2" xfId="40807" xr:uid="{00000000-0005-0000-0000-00005CA40000}"/>
    <cellStyle name="Separador de milhares 2 25 2 3" xfId="40808" xr:uid="{00000000-0005-0000-0000-00005DA40000}"/>
    <cellStyle name="Separador de milhares 2 25 2 4" xfId="40809" xr:uid="{00000000-0005-0000-0000-00005EA40000}"/>
    <cellStyle name="Separador de milhares 2 25 2 5" xfId="40810" xr:uid="{00000000-0005-0000-0000-00005FA40000}"/>
    <cellStyle name="Separador de milhares 2 25 2 6" xfId="40811" xr:uid="{00000000-0005-0000-0000-000060A40000}"/>
    <cellStyle name="Separador de milhares 2 25 3" xfId="40812" xr:uid="{00000000-0005-0000-0000-000061A40000}"/>
    <cellStyle name="Separador de milhares 2 25 3 2" xfId="40813" xr:uid="{00000000-0005-0000-0000-000062A40000}"/>
    <cellStyle name="Separador de milhares 2 25 3 3" xfId="40814" xr:uid="{00000000-0005-0000-0000-000063A40000}"/>
    <cellStyle name="Separador de milhares 2 25 3 4" xfId="40815" xr:uid="{00000000-0005-0000-0000-000064A40000}"/>
    <cellStyle name="Separador de milhares 2 25 3 5" xfId="40816" xr:uid="{00000000-0005-0000-0000-000065A40000}"/>
    <cellStyle name="Separador de milhares 2 25 3 6" xfId="40817" xr:uid="{00000000-0005-0000-0000-000066A40000}"/>
    <cellStyle name="Separador de milhares 2 25 4" xfId="40818" xr:uid="{00000000-0005-0000-0000-000067A40000}"/>
    <cellStyle name="Separador de milhares 2 25 4 2" xfId="40819" xr:uid="{00000000-0005-0000-0000-000068A40000}"/>
    <cellStyle name="Separador de milhares 2 25 4 3" xfId="40820" xr:uid="{00000000-0005-0000-0000-000069A40000}"/>
    <cellStyle name="Separador de milhares 2 25 4 4" xfId="40821" xr:uid="{00000000-0005-0000-0000-00006AA40000}"/>
    <cellStyle name="Separador de milhares 2 25 4 5" xfId="40822" xr:uid="{00000000-0005-0000-0000-00006BA40000}"/>
    <cellStyle name="Separador de milhares 2 25 4 6" xfId="40823" xr:uid="{00000000-0005-0000-0000-00006CA40000}"/>
    <cellStyle name="Separador de milhares 2 25 5" xfId="40824" xr:uid="{00000000-0005-0000-0000-00006DA40000}"/>
    <cellStyle name="Separador de milhares 2 25 5 2" xfId="40825" xr:uid="{00000000-0005-0000-0000-00006EA40000}"/>
    <cellStyle name="Separador de milhares 2 25 5 3" xfId="40826" xr:uid="{00000000-0005-0000-0000-00006FA40000}"/>
    <cellStyle name="Separador de milhares 2 25 5 4" xfId="40827" xr:uid="{00000000-0005-0000-0000-000070A40000}"/>
    <cellStyle name="Separador de milhares 2 25 5 5" xfId="40828" xr:uid="{00000000-0005-0000-0000-000071A40000}"/>
    <cellStyle name="Separador de milhares 2 25 5 6" xfId="40829" xr:uid="{00000000-0005-0000-0000-000072A40000}"/>
    <cellStyle name="Separador de milhares 2 25 6" xfId="40830" xr:uid="{00000000-0005-0000-0000-000073A40000}"/>
    <cellStyle name="Separador de milhares 2 25 6 2" xfId="40831" xr:uid="{00000000-0005-0000-0000-000074A40000}"/>
    <cellStyle name="Separador de milhares 2 25 6 3" xfId="40832" xr:uid="{00000000-0005-0000-0000-000075A40000}"/>
    <cellStyle name="Separador de milhares 2 25 6 4" xfId="40833" xr:uid="{00000000-0005-0000-0000-000076A40000}"/>
    <cellStyle name="Separador de milhares 2 25 6 5" xfId="40834" xr:uid="{00000000-0005-0000-0000-000077A40000}"/>
    <cellStyle name="Separador de milhares 2 25 6 6" xfId="40835" xr:uid="{00000000-0005-0000-0000-000078A40000}"/>
    <cellStyle name="Separador de milhares 2 25 7" xfId="40836" xr:uid="{00000000-0005-0000-0000-000079A40000}"/>
    <cellStyle name="Separador de milhares 2 25 7 2" xfId="40837" xr:uid="{00000000-0005-0000-0000-00007AA40000}"/>
    <cellStyle name="Separador de milhares 2 25 7 3" xfId="40838" xr:uid="{00000000-0005-0000-0000-00007BA40000}"/>
    <cellStyle name="Separador de milhares 2 25 7 4" xfId="40839" xr:uid="{00000000-0005-0000-0000-00007CA40000}"/>
    <cellStyle name="Separador de milhares 2 25 7 5" xfId="40840" xr:uid="{00000000-0005-0000-0000-00007DA40000}"/>
    <cellStyle name="Separador de milhares 2 25 7 6" xfId="40841" xr:uid="{00000000-0005-0000-0000-00007EA40000}"/>
    <cellStyle name="Separador de milhares 2 25 8" xfId="40842" xr:uid="{00000000-0005-0000-0000-00007FA40000}"/>
    <cellStyle name="Separador de milhares 2 25 8 2" xfId="40843" xr:uid="{00000000-0005-0000-0000-000080A40000}"/>
    <cellStyle name="Separador de milhares 2 25 8 3" xfId="40844" xr:uid="{00000000-0005-0000-0000-000081A40000}"/>
    <cellStyle name="Separador de milhares 2 25 8 4" xfId="40845" xr:uid="{00000000-0005-0000-0000-000082A40000}"/>
    <cellStyle name="Separador de milhares 2 25 8 5" xfId="40846" xr:uid="{00000000-0005-0000-0000-000083A40000}"/>
    <cellStyle name="Separador de milhares 2 25 8 6" xfId="40847" xr:uid="{00000000-0005-0000-0000-000084A40000}"/>
    <cellStyle name="Separador de milhares 2 25 9" xfId="40848" xr:uid="{00000000-0005-0000-0000-000085A40000}"/>
    <cellStyle name="Separador de milhares 2 26" xfId="40849" xr:uid="{00000000-0005-0000-0000-000086A40000}"/>
    <cellStyle name="Separador de milhares 2 26 10" xfId="40850" xr:uid="{00000000-0005-0000-0000-000087A40000}"/>
    <cellStyle name="Separador de milhares 2 26 11" xfId="40851" xr:uid="{00000000-0005-0000-0000-000088A40000}"/>
    <cellStyle name="Separador de milhares 2 26 12" xfId="40852" xr:uid="{00000000-0005-0000-0000-000089A40000}"/>
    <cellStyle name="Separador de milhares 2 26 13" xfId="40853" xr:uid="{00000000-0005-0000-0000-00008AA40000}"/>
    <cellStyle name="Separador de milhares 2 26 2" xfId="40854" xr:uid="{00000000-0005-0000-0000-00008BA40000}"/>
    <cellStyle name="Separador de milhares 2 26 2 2" xfId="40855" xr:uid="{00000000-0005-0000-0000-00008CA40000}"/>
    <cellStyle name="Separador de milhares 2 26 2 3" xfId="40856" xr:uid="{00000000-0005-0000-0000-00008DA40000}"/>
    <cellStyle name="Separador de milhares 2 26 2 4" xfId="40857" xr:uid="{00000000-0005-0000-0000-00008EA40000}"/>
    <cellStyle name="Separador de milhares 2 26 2 5" xfId="40858" xr:uid="{00000000-0005-0000-0000-00008FA40000}"/>
    <cellStyle name="Separador de milhares 2 26 2 6" xfId="40859" xr:uid="{00000000-0005-0000-0000-000090A40000}"/>
    <cellStyle name="Separador de milhares 2 26 3" xfId="40860" xr:uid="{00000000-0005-0000-0000-000091A40000}"/>
    <cellStyle name="Separador de milhares 2 26 3 2" xfId="40861" xr:uid="{00000000-0005-0000-0000-000092A40000}"/>
    <cellStyle name="Separador de milhares 2 26 3 3" xfId="40862" xr:uid="{00000000-0005-0000-0000-000093A40000}"/>
    <cellStyle name="Separador de milhares 2 26 3 4" xfId="40863" xr:uid="{00000000-0005-0000-0000-000094A40000}"/>
    <cellStyle name="Separador de milhares 2 26 3 5" xfId="40864" xr:uid="{00000000-0005-0000-0000-000095A40000}"/>
    <cellStyle name="Separador de milhares 2 26 3 6" xfId="40865" xr:uid="{00000000-0005-0000-0000-000096A40000}"/>
    <cellStyle name="Separador de milhares 2 26 4" xfId="40866" xr:uid="{00000000-0005-0000-0000-000097A40000}"/>
    <cellStyle name="Separador de milhares 2 26 4 2" xfId="40867" xr:uid="{00000000-0005-0000-0000-000098A40000}"/>
    <cellStyle name="Separador de milhares 2 26 4 3" xfId="40868" xr:uid="{00000000-0005-0000-0000-000099A40000}"/>
    <cellStyle name="Separador de milhares 2 26 4 4" xfId="40869" xr:uid="{00000000-0005-0000-0000-00009AA40000}"/>
    <cellStyle name="Separador de milhares 2 26 4 5" xfId="40870" xr:uid="{00000000-0005-0000-0000-00009BA40000}"/>
    <cellStyle name="Separador de milhares 2 26 4 6" xfId="40871" xr:uid="{00000000-0005-0000-0000-00009CA40000}"/>
    <cellStyle name="Separador de milhares 2 26 5" xfId="40872" xr:uid="{00000000-0005-0000-0000-00009DA40000}"/>
    <cellStyle name="Separador de milhares 2 26 5 2" xfId="40873" xr:uid="{00000000-0005-0000-0000-00009EA40000}"/>
    <cellStyle name="Separador de milhares 2 26 5 3" xfId="40874" xr:uid="{00000000-0005-0000-0000-00009FA40000}"/>
    <cellStyle name="Separador de milhares 2 26 5 4" xfId="40875" xr:uid="{00000000-0005-0000-0000-0000A0A40000}"/>
    <cellStyle name="Separador de milhares 2 26 5 5" xfId="40876" xr:uid="{00000000-0005-0000-0000-0000A1A40000}"/>
    <cellStyle name="Separador de milhares 2 26 5 6" xfId="40877" xr:uid="{00000000-0005-0000-0000-0000A2A40000}"/>
    <cellStyle name="Separador de milhares 2 26 6" xfId="40878" xr:uid="{00000000-0005-0000-0000-0000A3A40000}"/>
    <cellStyle name="Separador de milhares 2 26 6 2" xfId="40879" xr:uid="{00000000-0005-0000-0000-0000A4A40000}"/>
    <cellStyle name="Separador de milhares 2 26 6 3" xfId="40880" xr:uid="{00000000-0005-0000-0000-0000A5A40000}"/>
    <cellStyle name="Separador de milhares 2 26 6 4" xfId="40881" xr:uid="{00000000-0005-0000-0000-0000A6A40000}"/>
    <cellStyle name="Separador de milhares 2 26 6 5" xfId="40882" xr:uid="{00000000-0005-0000-0000-0000A7A40000}"/>
    <cellStyle name="Separador de milhares 2 26 6 6" xfId="40883" xr:uid="{00000000-0005-0000-0000-0000A8A40000}"/>
    <cellStyle name="Separador de milhares 2 26 7" xfId="40884" xr:uid="{00000000-0005-0000-0000-0000A9A40000}"/>
    <cellStyle name="Separador de milhares 2 26 7 2" xfId="40885" xr:uid="{00000000-0005-0000-0000-0000AAA40000}"/>
    <cellStyle name="Separador de milhares 2 26 7 3" xfId="40886" xr:uid="{00000000-0005-0000-0000-0000ABA40000}"/>
    <cellStyle name="Separador de milhares 2 26 7 4" xfId="40887" xr:uid="{00000000-0005-0000-0000-0000ACA40000}"/>
    <cellStyle name="Separador de milhares 2 26 7 5" xfId="40888" xr:uid="{00000000-0005-0000-0000-0000ADA40000}"/>
    <cellStyle name="Separador de milhares 2 26 7 6" xfId="40889" xr:uid="{00000000-0005-0000-0000-0000AEA40000}"/>
    <cellStyle name="Separador de milhares 2 26 8" xfId="40890" xr:uid="{00000000-0005-0000-0000-0000AFA40000}"/>
    <cellStyle name="Separador de milhares 2 26 8 2" xfId="40891" xr:uid="{00000000-0005-0000-0000-0000B0A40000}"/>
    <cellStyle name="Separador de milhares 2 26 8 3" xfId="40892" xr:uid="{00000000-0005-0000-0000-0000B1A40000}"/>
    <cellStyle name="Separador de milhares 2 26 8 4" xfId="40893" xr:uid="{00000000-0005-0000-0000-0000B2A40000}"/>
    <cellStyle name="Separador de milhares 2 26 8 5" xfId="40894" xr:uid="{00000000-0005-0000-0000-0000B3A40000}"/>
    <cellStyle name="Separador de milhares 2 26 8 6" xfId="40895" xr:uid="{00000000-0005-0000-0000-0000B4A40000}"/>
    <cellStyle name="Separador de milhares 2 26 9" xfId="40896" xr:uid="{00000000-0005-0000-0000-0000B5A40000}"/>
    <cellStyle name="Separador de milhares 2 27" xfId="40897" xr:uid="{00000000-0005-0000-0000-0000B6A40000}"/>
    <cellStyle name="Separador de milhares 2 27 10" xfId="40898" xr:uid="{00000000-0005-0000-0000-0000B7A40000}"/>
    <cellStyle name="Separador de milhares 2 27 11" xfId="40899" xr:uid="{00000000-0005-0000-0000-0000B8A40000}"/>
    <cellStyle name="Separador de milhares 2 27 12" xfId="40900" xr:uid="{00000000-0005-0000-0000-0000B9A40000}"/>
    <cellStyle name="Separador de milhares 2 27 13" xfId="40901" xr:uid="{00000000-0005-0000-0000-0000BAA40000}"/>
    <cellStyle name="Separador de milhares 2 27 2" xfId="40902" xr:uid="{00000000-0005-0000-0000-0000BBA40000}"/>
    <cellStyle name="Separador de milhares 2 27 2 2" xfId="40903" xr:uid="{00000000-0005-0000-0000-0000BCA40000}"/>
    <cellStyle name="Separador de milhares 2 27 2 3" xfId="40904" xr:uid="{00000000-0005-0000-0000-0000BDA40000}"/>
    <cellStyle name="Separador de milhares 2 27 2 4" xfId="40905" xr:uid="{00000000-0005-0000-0000-0000BEA40000}"/>
    <cellStyle name="Separador de milhares 2 27 2 5" xfId="40906" xr:uid="{00000000-0005-0000-0000-0000BFA40000}"/>
    <cellStyle name="Separador de milhares 2 27 2 6" xfId="40907" xr:uid="{00000000-0005-0000-0000-0000C0A40000}"/>
    <cellStyle name="Separador de milhares 2 27 3" xfId="40908" xr:uid="{00000000-0005-0000-0000-0000C1A40000}"/>
    <cellStyle name="Separador de milhares 2 27 3 2" xfId="40909" xr:uid="{00000000-0005-0000-0000-0000C2A40000}"/>
    <cellStyle name="Separador de milhares 2 27 3 3" xfId="40910" xr:uid="{00000000-0005-0000-0000-0000C3A40000}"/>
    <cellStyle name="Separador de milhares 2 27 3 4" xfId="40911" xr:uid="{00000000-0005-0000-0000-0000C4A40000}"/>
    <cellStyle name="Separador de milhares 2 27 3 5" xfId="40912" xr:uid="{00000000-0005-0000-0000-0000C5A40000}"/>
    <cellStyle name="Separador de milhares 2 27 3 6" xfId="40913" xr:uid="{00000000-0005-0000-0000-0000C6A40000}"/>
    <cellStyle name="Separador de milhares 2 27 4" xfId="40914" xr:uid="{00000000-0005-0000-0000-0000C7A40000}"/>
    <cellStyle name="Separador de milhares 2 27 4 2" xfId="40915" xr:uid="{00000000-0005-0000-0000-0000C8A40000}"/>
    <cellStyle name="Separador de milhares 2 27 4 3" xfId="40916" xr:uid="{00000000-0005-0000-0000-0000C9A40000}"/>
    <cellStyle name="Separador de milhares 2 27 4 4" xfId="40917" xr:uid="{00000000-0005-0000-0000-0000CAA40000}"/>
    <cellStyle name="Separador de milhares 2 27 4 5" xfId="40918" xr:uid="{00000000-0005-0000-0000-0000CBA40000}"/>
    <cellStyle name="Separador de milhares 2 27 4 6" xfId="40919" xr:uid="{00000000-0005-0000-0000-0000CCA40000}"/>
    <cellStyle name="Separador de milhares 2 27 5" xfId="40920" xr:uid="{00000000-0005-0000-0000-0000CDA40000}"/>
    <cellStyle name="Separador de milhares 2 27 5 2" xfId="40921" xr:uid="{00000000-0005-0000-0000-0000CEA40000}"/>
    <cellStyle name="Separador de milhares 2 27 5 3" xfId="40922" xr:uid="{00000000-0005-0000-0000-0000CFA40000}"/>
    <cellStyle name="Separador de milhares 2 27 5 4" xfId="40923" xr:uid="{00000000-0005-0000-0000-0000D0A40000}"/>
    <cellStyle name="Separador de milhares 2 27 5 5" xfId="40924" xr:uid="{00000000-0005-0000-0000-0000D1A40000}"/>
    <cellStyle name="Separador de milhares 2 27 5 6" xfId="40925" xr:uid="{00000000-0005-0000-0000-0000D2A40000}"/>
    <cellStyle name="Separador de milhares 2 27 6" xfId="40926" xr:uid="{00000000-0005-0000-0000-0000D3A40000}"/>
    <cellStyle name="Separador de milhares 2 27 6 2" xfId="40927" xr:uid="{00000000-0005-0000-0000-0000D4A40000}"/>
    <cellStyle name="Separador de milhares 2 27 6 3" xfId="40928" xr:uid="{00000000-0005-0000-0000-0000D5A40000}"/>
    <cellStyle name="Separador de milhares 2 27 6 4" xfId="40929" xr:uid="{00000000-0005-0000-0000-0000D6A40000}"/>
    <cellStyle name="Separador de milhares 2 27 6 5" xfId="40930" xr:uid="{00000000-0005-0000-0000-0000D7A40000}"/>
    <cellStyle name="Separador de milhares 2 27 6 6" xfId="40931" xr:uid="{00000000-0005-0000-0000-0000D8A40000}"/>
    <cellStyle name="Separador de milhares 2 27 7" xfId="40932" xr:uid="{00000000-0005-0000-0000-0000D9A40000}"/>
    <cellStyle name="Separador de milhares 2 27 7 2" xfId="40933" xr:uid="{00000000-0005-0000-0000-0000DAA40000}"/>
    <cellStyle name="Separador de milhares 2 27 7 3" xfId="40934" xr:uid="{00000000-0005-0000-0000-0000DBA40000}"/>
    <cellStyle name="Separador de milhares 2 27 7 4" xfId="40935" xr:uid="{00000000-0005-0000-0000-0000DCA40000}"/>
    <cellStyle name="Separador de milhares 2 27 7 5" xfId="40936" xr:uid="{00000000-0005-0000-0000-0000DDA40000}"/>
    <cellStyle name="Separador de milhares 2 27 7 6" xfId="40937" xr:uid="{00000000-0005-0000-0000-0000DEA40000}"/>
    <cellStyle name="Separador de milhares 2 27 8" xfId="40938" xr:uid="{00000000-0005-0000-0000-0000DFA40000}"/>
    <cellStyle name="Separador de milhares 2 27 8 2" xfId="40939" xr:uid="{00000000-0005-0000-0000-0000E0A40000}"/>
    <cellStyle name="Separador de milhares 2 27 8 3" xfId="40940" xr:uid="{00000000-0005-0000-0000-0000E1A40000}"/>
    <cellStyle name="Separador de milhares 2 27 8 4" xfId="40941" xr:uid="{00000000-0005-0000-0000-0000E2A40000}"/>
    <cellStyle name="Separador de milhares 2 27 8 5" xfId="40942" xr:uid="{00000000-0005-0000-0000-0000E3A40000}"/>
    <cellStyle name="Separador de milhares 2 27 8 6" xfId="40943" xr:uid="{00000000-0005-0000-0000-0000E4A40000}"/>
    <cellStyle name="Separador de milhares 2 27 9" xfId="40944" xr:uid="{00000000-0005-0000-0000-0000E5A40000}"/>
    <cellStyle name="Separador de milhares 2 28" xfId="40945" xr:uid="{00000000-0005-0000-0000-0000E6A40000}"/>
    <cellStyle name="Separador de milhares 2 28 10" xfId="40946" xr:uid="{00000000-0005-0000-0000-0000E7A40000}"/>
    <cellStyle name="Separador de milhares 2 28 11" xfId="40947" xr:uid="{00000000-0005-0000-0000-0000E8A40000}"/>
    <cellStyle name="Separador de milhares 2 28 12" xfId="40948" xr:uid="{00000000-0005-0000-0000-0000E9A40000}"/>
    <cellStyle name="Separador de milhares 2 28 13" xfId="40949" xr:uid="{00000000-0005-0000-0000-0000EAA40000}"/>
    <cellStyle name="Separador de milhares 2 28 2" xfId="40950" xr:uid="{00000000-0005-0000-0000-0000EBA40000}"/>
    <cellStyle name="Separador de milhares 2 28 2 2" xfId="40951" xr:uid="{00000000-0005-0000-0000-0000ECA40000}"/>
    <cellStyle name="Separador de milhares 2 28 2 3" xfId="40952" xr:uid="{00000000-0005-0000-0000-0000EDA40000}"/>
    <cellStyle name="Separador de milhares 2 28 2 4" xfId="40953" xr:uid="{00000000-0005-0000-0000-0000EEA40000}"/>
    <cellStyle name="Separador de milhares 2 28 2 5" xfId="40954" xr:uid="{00000000-0005-0000-0000-0000EFA40000}"/>
    <cellStyle name="Separador de milhares 2 28 2 6" xfId="40955" xr:uid="{00000000-0005-0000-0000-0000F0A40000}"/>
    <cellStyle name="Separador de milhares 2 28 3" xfId="40956" xr:uid="{00000000-0005-0000-0000-0000F1A40000}"/>
    <cellStyle name="Separador de milhares 2 28 3 2" xfId="40957" xr:uid="{00000000-0005-0000-0000-0000F2A40000}"/>
    <cellStyle name="Separador de milhares 2 28 3 3" xfId="40958" xr:uid="{00000000-0005-0000-0000-0000F3A40000}"/>
    <cellStyle name="Separador de milhares 2 28 3 4" xfId="40959" xr:uid="{00000000-0005-0000-0000-0000F4A40000}"/>
    <cellStyle name="Separador de milhares 2 28 3 5" xfId="40960" xr:uid="{00000000-0005-0000-0000-0000F5A40000}"/>
    <cellStyle name="Separador de milhares 2 28 3 6" xfId="40961" xr:uid="{00000000-0005-0000-0000-0000F6A40000}"/>
    <cellStyle name="Separador de milhares 2 28 4" xfId="40962" xr:uid="{00000000-0005-0000-0000-0000F7A40000}"/>
    <cellStyle name="Separador de milhares 2 28 4 2" xfId="40963" xr:uid="{00000000-0005-0000-0000-0000F8A40000}"/>
    <cellStyle name="Separador de milhares 2 28 4 3" xfId="40964" xr:uid="{00000000-0005-0000-0000-0000F9A40000}"/>
    <cellStyle name="Separador de milhares 2 28 4 4" xfId="40965" xr:uid="{00000000-0005-0000-0000-0000FAA40000}"/>
    <cellStyle name="Separador de milhares 2 28 4 5" xfId="40966" xr:uid="{00000000-0005-0000-0000-0000FBA40000}"/>
    <cellStyle name="Separador de milhares 2 28 4 6" xfId="40967" xr:uid="{00000000-0005-0000-0000-0000FCA40000}"/>
    <cellStyle name="Separador de milhares 2 28 5" xfId="40968" xr:uid="{00000000-0005-0000-0000-0000FDA40000}"/>
    <cellStyle name="Separador de milhares 2 28 5 2" xfId="40969" xr:uid="{00000000-0005-0000-0000-0000FEA40000}"/>
    <cellStyle name="Separador de milhares 2 28 5 3" xfId="40970" xr:uid="{00000000-0005-0000-0000-0000FFA40000}"/>
    <cellStyle name="Separador de milhares 2 28 5 4" xfId="40971" xr:uid="{00000000-0005-0000-0000-000000A50000}"/>
    <cellStyle name="Separador de milhares 2 28 5 5" xfId="40972" xr:uid="{00000000-0005-0000-0000-000001A50000}"/>
    <cellStyle name="Separador de milhares 2 28 5 6" xfId="40973" xr:uid="{00000000-0005-0000-0000-000002A50000}"/>
    <cellStyle name="Separador de milhares 2 28 6" xfId="40974" xr:uid="{00000000-0005-0000-0000-000003A50000}"/>
    <cellStyle name="Separador de milhares 2 28 6 2" xfId="40975" xr:uid="{00000000-0005-0000-0000-000004A50000}"/>
    <cellStyle name="Separador de milhares 2 28 6 3" xfId="40976" xr:uid="{00000000-0005-0000-0000-000005A50000}"/>
    <cellStyle name="Separador de milhares 2 28 6 4" xfId="40977" xr:uid="{00000000-0005-0000-0000-000006A50000}"/>
    <cellStyle name="Separador de milhares 2 28 6 5" xfId="40978" xr:uid="{00000000-0005-0000-0000-000007A50000}"/>
    <cellStyle name="Separador de milhares 2 28 6 6" xfId="40979" xr:uid="{00000000-0005-0000-0000-000008A50000}"/>
    <cellStyle name="Separador de milhares 2 28 7" xfId="40980" xr:uid="{00000000-0005-0000-0000-000009A50000}"/>
    <cellStyle name="Separador de milhares 2 28 7 2" xfId="40981" xr:uid="{00000000-0005-0000-0000-00000AA50000}"/>
    <cellStyle name="Separador de milhares 2 28 7 3" xfId="40982" xr:uid="{00000000-0005-0000-0000-00000BA50000}"/>
    <cellStyle name="Separador de milhares 2 28 7 4" xfId="40983" xr:uid="{00000000-0005-0000-0000-00000CA50000}"/>
    <cellStyle name="Separador de milhares 2 28 7 5" xfId="40984" xr:uid="{00000000-0005-0000-0000-00000DA50000}"/>
    <cellStyle name="Separador de milhares 2 28 7 6" xfId="40985" xr:uid="{00000000-0005-0000-0000-00000EA50000}"/>
    <cellStyle name="Separador de milhares 2 28 8" xfId="40986" xr:uid="{00000000-0005-0000-0000-00000FA50000}"/>
    <cellStyle name="Separador de milhares 2 28 8 2" xfId="40987" xr:uid="{00000000-0005-0000-0000-000010A50000}"/>
    <cellStyle name="Separador de milhares 2 28 8 3" xfId="40988" xr:uid="{00000000-0005-0000-0000-000011A50000}"/>
    <cellStyle name="Separador de milhares 2 28 8 4" xfId="40989" xr:uid="{00000000-0005-0000-0000-000012A50000}"/>
    <cellStyle name="Separador de milhares 2 28 8 5" xfId="40990" xr:uid="{00000000-0005-0000-0000-000013A50000}"/>
    <cellStyle name="Separador de milhares 2 28 8 6" xfId="40991" xr:uid="{00000000-0005-0000-0000-000014A50000}"/>
    <cellStyle name="Separador de milhares 2 28 9" xfId="40992" xr:uid="{00000000-0005-0000-0000-000015A50000}"/>
    <cellStyle name="Separador de milhares 2 29" xfId="40993" xr:uid="{00000000-0005-0000-0000-000016A50000}"/>
    <cellStyle name="Separador de milhares 2 29 10" xfId="40994" xr:uid="{00000000-0005-0000-0000-000017A50000}"/>
    <cellStyle name="Separador de milhares 2 29 11" xfId="40995" xr:uid="{00000000-0005-0000-0000-000018A50000}"/>
    <cellStyle name="Separador de milhares 2 29 12" xfId="40996" xr:uid="{00000000-0005-0000-0000-000019A50000}"/>
    <cellStyle name="Separador de milhares 2 29 13" xfId="40997" xr:uid="{00000000-0005-0000-0000-00001AA50000}"/>
    <cellStyle name="Separador de milhares 2 29 2" xfId="40998" xr:uid="{00000000-0005-0000-0000-00001BA50000}"/>
    <cellStyle name="Separador de milhares 2 29 2 2" xfId="40999" xr:uid="{00000000-0005-0000-0000-00001CA50000}"/>
    <cellStyle name="Separador de milhares 2 29 2 3" xfId="41000" xr:uid="{00000000-0005-0000-0000-00001DA50000}"/>
    <cellStyle name="Separador de milhares 2 29 2 4" xfId="41001" xr:uid="{00000000-0005-0000-0000-00001EA50000}"/>
    <cellStyle name="Separador de milhares 2 29 2 5" xfId="41002" xr:uid="{00000000-0005-0000-0000-00001FA50000}"/>
    <cellStyle name="Separador de milhares 2 29 2 6" xfId="41003" xr:uid="{00000000-0005-0000-0000-000020A50000}"/>
    <cellStyle name="Separador de milhares 2 29 3" xfId="41004" xr:uid="{00000000-0005-0000-0000-000021A50000}"/>
    <cellStyle name="Separador de milhares 2 29 3 2" xfId="41005" xr:uid="{00000000-0005-0000-0000-000022A50000}"/>
    <cellStyle name="Separador de milhares 2 29 3 3" xfId="41006" xr:uid="{00000000-0005-0000-0000-000023A50000}"/>
    <cellStyle name="Separador de milhares 2 29 3 4" xfId="41007" xr:uid="{00000000-0005-0000-0000-000024A50000}"/>
    <cellStyle name="Separador de milhares 2 29 3 5" xfId="41008" xr:uid="{00000000-0005-0000-0000-000025A50000}"/>
    <cellStyle name="Separador de milhares 2 29 3 6" xfId="41009" xr:uid="{00000000-0005-0000-0000-000026A50000}"/>
    <cellStyle name="Separador de milhares 2 29 4" xfId="41010" xr:uid="{00000000-0005-0000-0000-000027A50000}"/>
    <cellStyle name="Separador de milhares 2 29 4 2" xfId="41011" xr:uid="{00000000-0005-0000-0000-000028A50000}"/>
    <cellStyle name="Separador de milhares 2 29 4 3" xfId="41012" xr:uid="{00000000-0005-0000-0000-000029A50000}"/>
    <cellStyle name="Separador de milhares 2 29 4 4" xfId="41013" xr:uid="{00000000-0005-0000-0000-00002AA50000}"/>
    <cellStyle name="Separador de milhares 2 29 4 5" xfId="41014" xr:uid="{00000000-0005-0000-0000-00002BA50000}"/>
    <cellStyle name="Separador de milhares 2 29 4 6" xfId="41015" xr:uid="{00000000-0005-0000-0000-00002CA50000}"/>
    <cellStyle name="Separador de milhares 2 29 5" xfId="41016" xr:uid="{00000000-0005-0000-0000-00002DA50000}"/>
    <cellStyle name="Separador de milhares 2 29 5 2" xfId="41017" xr:uid="{00000000-0005-0000-0000-00002EA50000}"/>
    <cellStyle name="Separador de milhares 2 29 5 3" xfId="41018" xr:uid="{00000000-0005-0000-0000-00002FA50000}"/>
    <cellStyle name="Separador de milhares 2 29 5 4" xfId="41019" xr:uid="{00000000-0005-0000-0000-000030A50000}"/>
    <cellStyle name="Separador de milhares 2 29 5 5" xfId="41020" xr:uid="{00000000-0005-0000-0000-000031A50000}"/>
    <cellStyle name="Separador de milhares 2 29 5 6" xfId="41021" xr:uid="{00000000-0005-0000-0000-000032A50000}"/>
    <cellStyle name="Separador de milhares 2 29 6" xfId="41022" xr:uid="{00000000-0005-0000-0000-000033A50000}"/>
    <cellStyle name="Separador de milhares 2 29 6 2" xfId="41023" xr:uid="{00000000-0005-0000-0000-000034A50000}"/>
    <cellStyle name="Separador de milhares 2 29 6 3" xfId="41024" xr:uid="{00000000-0005-0000-0000-000035A50000}"/>
    <cellStyle name="Separador de milhares 2 29 6 4" xfId="41025" xr:uid="{00000000-0005-0000-0000-000036A50000}"/>
    <cellStyle name="Separador de milhares 2 29 6 5" xfId="41026" xr:uid="{00000000-0005-0000-0000-000037A50000}"/>
    <cellStyle name="Separador de milhares 2 29 6 6" xfId="41027" xr:uid="{00000000-0005-0000-0000-000038A50000}"/>
    <cellStyle name="Separador de milhares 2 29 7" xfId="41028" xr:uid="{00000000-0005-0000-0000-000039A50000}"/>
    <cellStyle name="Separador de milhares 2 29 7 2" xfId="41029" xr:uid="{00000000-0005-0000-0000-00003AA50000}"/>
    <cellStyle name="Separador de milhares 2 29 7 3" xfId="41030" xr:uid="{00000000-0005-0000-0000-00003BA50000}"/>
    <cellStyle name="Separador de milhares 2 29 7 4" xfId="41031" xr:uid="{00000000-0005-0000-0000-00003CA50000}"/>
    <cellStyle name="Separador de milhares 2 29 7 5" xfId="41032" xr:uid="{00000000-0005-0000-0000-00003DA50000}"/>
    <cellStyle name="Separador de milhares 2 29 7 6" xfId="41033" xr:uid="{00000000-0005-0000-0000-00003EA50000}"/>
    <cellStyle name="Separador de milhares 2 29 8" xfId="41034" xr:uid="{00000000-0005-0000-0000-00003FA50000}"/>
    <cellStyle name="Separador de milhares 2 29 8 2" xfId="41035" xr:uid="{00000000-0005-0000-0000-000040A50000}"/>
    <cellStyle name="Separador de milhares 2 29 8 3" xfId="41036" xr:uid="{00000000-0005-0000-0000-000041A50000}"/>
    <cellStyle name="Separador de milhares 2 29 8 4" xfId="41037" xr:uid="{00000000-0005-0000-0000-000042A50000}"/>
    <cellStyle name="Separador de milhares 2 29 8 5" xfId="41038" xr:uid="{00000000-0005-0000-0000-000043A50000}"/>
    <cellStyle name="Separador de milhares 2 29 8 6" xfId="41039" xr:uid="{00000000-0005-0000-0000-000044A50000}"/>
    <cellStyle name="Separador de milhares 2 29 9" xfId="41040" xr:uid="{00000000-0005-0000-0000-000045A50000}"/>
    <cellStyle name="Separador de milhares 2 3" xfId="1148" xr:uid="{00000000-0005-0000-0000-000046A50000}"/>
    <cellStyle name="Separador de milhares 2 3 10" xfId="41041" xr:uid="{00000000-0005-0000-0000-000047A50000}"/>
    <cellStyle name="Separador de milhares 2 3 11" xfId="41042" xr:uid="{00000000-0005-0000-0000-000048A50000}"/>
    <cellStyle name="Separador de milhares 2 3 12" xfId="41043" xr:uid="{00000000-0005-0000-0000-000049A50000}"/>
    <cellStyle name="Separador de milhares 2 3 13" xfId="41044" xr:uid="{00000000-0005-0000-0000-00004AA50000}"/>
    <cellStyle name="Separador de milhares 2 3 14" xfId="41045" xr:uid="{00000000-0005-0000-0000-00004BA50000}"/>
    <cellStyle name="Separador de milhares 2 3 2" xfId="41046" xr:uid="{00000000-0005-0000-0000-00004CA50000}"/>
    <cellStyle name="Separador de milhares 2 3 2 2" xfId="41047" xr:uid="{00000000-0005-0000-0000-00004DA50000}"/>
    <cellStyle name="Separador de milhares 2 3 2 3" xfId="41048" xr:uid="{00000000-0005-0000-0000-00004EA50000}"/>
    <cellStyle name="Separador de milhares 2 3 2 4" xfId="41049" xr:uid="{00000000-0005-0000-0000-00004FA50000}"/>
    <cellStyle name="Separador de milhares 2 3 2 5" xfId="41050" xr:uid="{00000000-0005-0000-0000-000050A50000}"/>
    <cellStyle name="Separador de milhares 2 3 2 6" xfId="41051" xr:uid="{00000000-0005-0000-0000-000051A50000}"/>
    <cellStyle name="Separador de milhares 2 3 3" xfId="41052" xr:uid="{00000000-0005-0000-0000-000052A50000}"/>
    <cellStyle name="Separador de milhares 2 3 3 2" xfId="41053" xr:uid="{00000000-0005-0000-0000-000053A50000}"/>
    <cellStyle name="Separador de milhares 2 3 3 3" xfId="41054" xr:uid="{00000000-0005-0000-0000-000054A50000}"/>
    <cellStyle name="Separador de milhares 2 3 3 4" xfId="41055" xr:uid="{00000000-0005-0000-0000-000055A50000}"/>
    <cellStyle name="Separador de milhares 2 3 3 5" xfId="41056" xr:uid="{00000000-0005-0000-0000-000056A50000}"/>
    <cellStyle name="Separador de milhares 2 3 3 6" xfId="41057" xr:uid="{00000000-0005-0000-0000-000057A50000}"/>
    <cellStyle name="Separador de milhares 2 3 4" xfId="41058" xr:uid="{00000000-0005-0000-0000-000058A50000}"/>
    <cellStyle name="Separador de milhares 2 3 4 2" xfId="41059" xr:uid="{00000000-0005-0000-0000-000059A50000}"/>
    <cellStyle name="Separador de milhares 2 3 4 3" xfId="41060" xr:uid="{00000000-0005-0000-0000-00005AA50000}"/>
    <cellStyle name="Separador de milhares 2 3 4 4" xfId="41061" xr:uid="{00000000-0005-0000-0000-00005BA50000}"/>
    <cellStyle name="Separador de milhares 2 3 4 5" xfId="41062" xr:uid="{00000000-0005-0000-0000-00005CA50000}"/>
    <cellStyle name="Separador de milhares 2 3 4 6" xfId="41063" xr:uid="{00000000-0005-0000-0000-00005DA50000}"/>
    <cellStyle name="Separador de milhares 2 3 5" xfId="41064" xr:uid="{00000000-0005-0000-0000-00005EA50000}"/>
    <cellStyle name="Separador de milhares 2 3 5 2" xfId="41065" xr:uid="{00000000-0005-0000-0000-00005FA50000}"/>
    <cellStyle name="Separador de milhares 2 3 5 3" xfId="41066" xr:uid="{00000000-0005-0000-0000-000060A50000}"/>
    <cellStyle name="Separador de milhares 2 3 5 4" xfId="41067" xr:uid="{00000000-0005-0000-0000-000061A50000}"/>
    <cellStyle name="Separador de milhares 2 3 5 5" xfId="41068" xr:uid="{00000000-0005-0000-0000-000062A50000}"/>
    <cellStyle name="Separador de milhares 2 3 5 6" xfId="41069" xr:uid="{00000000-0005-0000-0000-000063A50000}"/>
    <cellStyle name="Separador de milhares 2 3 6" xfId="41070" xr:uid="{00000000-0005-0000-0000-000064A50000}"/>
    <cellStyle name="Separador de milhares 2 3 6 2" xfId="41071" xr:uid="{00000000-0005-0000-0000-000065A50000}"/>
    <cellStyle name="Separador de milhares 2 3 6 3" xfId="41072" xr:uid="{00000000-0005-0000-0000-000066A50000}"/>
    <cellStyle name="Separador de milhares 2 3 6 4" xfId="41073" xr:uid="{00000000-0005-0000-0000-000067A50000}"/>
    <cellStyle name="Separador de milhares 2 3 6 5" xfId="41074" xr:uid="{00000000-0005-0000-0000-000068A50000}"/>
    <cellStyle name="Separador de milhares 2 3 6 6" xfId="41075" xr:uid="{00000000-0005-0000-0000-000069A50000}"/>
    <cellStyle name="Separador de milhares 2 3 7" xfId="41076" xr:uid="{00000000-0005-0000-0000-00006AA50000}"/>
    <cellStyle name="Separador de milhares 2 3 7 2" xfId="41077" xr:uid="{00000000-0005-0000-0000-00006BA50000}"/>
    <cellStyle name="Separador de milhares 2 3 7 3" xfId="41078" xr:uid="{00000000-0005-0000-0000-00006CA50000}"/>
    <cellStyle name="Separador de milhares 2 3 7 4" xfId="41079" xr:uid="{00000000-0005-0000-0000-00006DA50000}"/>
    <cellStyle name="Separador de milhares 2 3 7 5" xfId="41080" xr:uid="{00000000-0005-0000-0000-00006EA50000}"/>
    <cellStyle name="Separador de milhares 2 3 7 6" xfId="41081" xr:uid="{00000000-0005-0000-0000-00006FA50000}"/>
    <cellStyle name="Separador de milhares 2 3 8" xfId="41082" xr:uid="{00000000-0005-0000-0000-000070A50000}"/>
    <cellStyle name="Separador de milhares 2 3 8 2" xfId="41083" xr:uid="{00000000-0005-0000-0000-000071A50000}"/>
    <cellStyle name="Separador de milhares 2 3 8 3" xfId="41084" xr:uid="{00000000-0005-0000-0000-000072A50000}"/>
    <cellStyle name="Separador de milhares 2 3 8 4" xfId="41085" xr:uid="{00000000-0005-0000-0000-000073A50000}"/>
    <cellStyle name="Separador de milhares 2 3 8 5" xfId="41086" xr:uid="{00000000-0005-0000-0000-000074A50000}"/>
    <cellStyle name="Separador de milhares 2 3 8 6" xfId="41087" xr:uid="{00000000-0005-0000-0000-000075A50000}"/>
    <cellStyle name="Separador de milhares 2 3 9" xfId="41088" xr:uid="{00000000-0005-0000-0000-000076A50000}"/>
    <cellStyle name="Separador de milhares 2 30" xfId="41089" xr:uid="{00000000-0005-0000-0000-000077A50000}"/>
    <cellStyle name="Separador de milhares 2 30 10" xfId="41090" xr:uid="{00000000-0005-0000-0000-000078A50000}"/>
    <cellStyle name="Separador de milhares 2 30 11" xfId="41091" xr:uid="{00000000-0005-0000-0000-000079A50000}"/>
    <cellStyle name="Separador de milhares 2 30 12" xfId="41092" xr:uid="{00000000-0005-0000-0000-00007AA50000}"/>
    <cellStyle name="Separador de milhares 2 30 13" xfId="41093" xr:uid="{00000000-0005-0000-0000-00007BA50000}"/>
    <cellStyle name="Separador de milhares 2 30 2" xfId="41094" xr:uid="{00000000-0005-0000-0000-00007CA50000}"/>
    <cellStyle name="Separador de milhares 2 30 2 2" xfId="41095" xr:uid="{00000000-0005-0000-0000-00007DA50000}"/>
    <cellStyle name="Separador de milhares 2 30 2 3" xfId="41096" xr:uid="{00000000-0005-0000-0000-00007EA50000}"/>
    <cellStyle name="Separador de milhares 2 30 2 4" xfId="41097" xr:uid="{00000000-0005-0000-0000-00007FA50000}"/>
    <cellStyle name="Separador de milhares 2 30 2 5" xfId="41098" xr:uid="{00000000-0005-0000-0000-000080A50000}"/>
    <cellStyle name="Separador de milhares 2 30 2 6" xfId="41099" xr:uid="{00000000-0005-0000-0000-000081A50000}"/>
    <cellStyle name="Separador de milhares 2 30 3" xfId="41100" xr:uid="{00000000-0005-0000-0000-000082A50000}"/>
    <cellStyle name="Separador de milhares 2 30 3 2" xfId="41101" xr:uid="{00000000-0005-0000-0000-000083A50000}"/>
    <cellStyle name="Separador de milhares 2 30 3 3" xfId="41102" xr:uid="{00000000-0005-0000-0000-000084A50000}"/>
    <cellStyle name="Separador de milhares 2 30 3 4" xfId="41103" xr:uid="{00000000-0005-0000-0000-000085A50000}"/>
    <cellStyle name="Separador de milhares 2 30 3 5" xfId="41104" xr:uid="{00000000-0005-0000-0000-000086A50000}"/>
    <cellStyle name="Separador de milhares 2 30 3 6" xfId="41105" xr:uid="{00000000-0005-0000-0000-000087A50000}"/>
    <cellStyle name="Separador de milhares 2 30 4" xfId="41106" xr:uid="{00000000-0005-0000-0000-000088A50000}"/>
    <cellStyle name="Separador de milhares 2 30 4 2" xfId="41107" xr:uid="{00000000-0005-0000-0000-000089A50000}"/>
    <cellStyle name="Separador de milhares 2 30 4 3" xfId="41108" xr:uid="{00000000-0005-0000-0000-00008AA50000}"/>
    <cellStyle name="Separador de milhares 2 30 4 4" xfId="41109" xr:uid="{00000000-0005-0000-0000-00008BA50000}"/>
    <cellStyle name="Separador de milhares 2 30 4 5" xfId="41110" xr:uid="{00000000-0005-0000-0000-00008CA50000}"/>
    <cellStyle name="Separador de milhares 2 30 4 6" xfId="41111" xr:uid="{00000000-0005-0000-0000-00008DA50000}"/>
    <cellStyle name="Separador de milhares 2 30 5" xfId="41112" xr:uid="{00000000-0005-0000-0000-00008EA50000}"/>
    <cellStyle name="Separador de milhares 2 30 5 2" xfId="41113" xr:uid="{00000000-0005-0000-0000-00008FA50000}"/>
    <cellStyle name="Separador de milhares 2 30 5 3" xfId="41114" xr:uid="{00000000-0005-0000-0000-000090A50000}"/>
    <cellStyle name="Separador de milhares 2 30 5 4" xfId="41115" xr:uid="{00000000-0005-0000-0000-000091A50000}"/>
    <cellStyle name="Separador de milhares 2 30 5 5" xfId="41116" xr:uid="{00000000-0005-0000-0000-000092A50000}"/>
    <cellStyle name="Separador de milhares 2 30 5 6" xfId="41117" xr:uid="{00000000-0005-0000-0000-000093A50000}"/>
    <cellStyle name="Separador de milhares 2 30 6" xfId="41118" xr:uid="{00000000-0005-0000-0000-000094A50000}"/>
    <cellStyle name="Separador de milhares 2 30 6 2" xfId="41119" xr:uid="{00000000-0005-0000-0000-000095A50000}"/>
    <cellStyle name="Separador de milhares 2 30 6 3" xfId="41120" xr:uid="{00000000-0005-0000-0000-000096A50000}"/>
    <cellStyle name="Separador de milhares 2 30 6 4" xfId="41121" xr:uid="{00000000-0005-0000-0000-000097A50000}"/>
    <cellStyle name="Separador de milhares 2 30 6 5" xfId="41122" xr:uid="{00000000-0005-0000-0000-000098A50000}"/>
    <cellStyle name="Separador de milhares 2 30 6 6" xfId="41123" xr:uid="{00000000-0005-0000-0000-000099A50000}"/>
    <cellStyle name="Separador de milhares 2 30 7" xfId="41124" xr:uid="{00000000-0005-0000-0000-00009AA50000}"/>
    <cellStyle name="Separador de milhares 2 30 7 2" xfId="41125" xr:uid="{00000000-0005-0000-0000-00009BA50000}"/>
    <cellStyle name="Separador de milhares 2 30 7 3" xfId="41126" xr:uid="{00000000-0005-0000-0000-00009CA50000}"/>
    <cellStyle name="Separador de milhares 2 30 7 4" xfId="41127" xr:uid="{00000000-0005-0000-0000-00009DA50000}"/>
    <cellStyle name="Separador de milhares 2 30 7 5" xfId="41128" xr:uid="{00000000-0005-0000-0000-00009EA50000}"/>
    <cellStyle name="Separador de milhares 2 30 7 6" xfId="41129" xr:uid="{00000000-0005-0000-0000-00009FA50000}"/>
    <cellStyle name="Separador de milhares 2 30 8" xfId="41130" xr:uid="{00000000-0005-0000-0000-0000A0A50000}"/>
    <cellStyle name="Separador de milhares 2 30 8 2" xfId="41131" xr:uid="{00000000-0005-0000-0000-0000A1A50000}"/>
    <cellStyle name="Separador de milhares 2 30 8 3" xfId="41132" xr:uid="{00000000-0005-0000-0000-0000A2A50000}"/>
    <cellStyle name="Separador de milhares 2 30 8 4" xfId="41133" xr:uid="{00000000-0005-0000-0000-0000A3A50000}"/>
    <cellStyle name="Separador de milhares 2 30 8 5" xfId="41134" xr:uid="{00000000-0005-0000-0000-0000A4A50000}"/>
    <cellStyle name="Separador de milhares 2 30 8 6" xfId="41135" xr:uid="{00000000-0005-0000-0000-0000A5A50000}"/>
    <cellStyle name="Separador de milhares 2 30 9" xfId="41136" xr:uid="{00000000-0005-0000-0000-0000A6A50000}"/>
    <cellStyle name="Separador de milhares 2 31" xfId="41137" xr:uid="{00000000-0005-0000-0000-0000A7A50000}"/>
    <cellStyle name="Separador de milhares 2 31 10" xfId="41138" xr:uid="{00000000-0005-0000-0000-0000A8A50000}"/>
    <cellStyle name="Separador de milhares 2 31 11" xfId="41139" xr:uid="{00000000-0005-0000-0000-0000A9A50000}"/>
    <cellStyle name="Separador de milhares 2 31 12" xfId="41140" xr:uid="{00000000-0005-0000-0000-0000AAA50000}"/>
    <cellStyle name="Separador de milhares 2 31 13" xfId="41141" xr:uid="{00000000-0005-0000-0000-0000ABA50000}"/>
    <cellStyle name="Separador de milhares 2 31 2" xfId="41142" xr:uid="{00000000-0005-0000-0000-0000ACA50000}"/>
    <cellStyle name="Separador de milhares 2 31 2 2" xfId="41143" xr:uid="{00000000-0005-0000-0000-0000ADA50000}"/>
    <cellStyle name="Separador de milhares 2 31 2 3" xfId="41144" xr:uid="{00000000-0005-0000-0000-0000AEA50000}"/>
    <cellStyle name="Separador de milhares 2 31 2 4" xfId="41145" xr:uid="{00000000-0005-0000-0000-0000AFA50000}"/>
    <cellStyle name="Separador de milhares 2 31 2 5" xfId="41146" xr:uid="{00000000-0005-0000-0000-0000B0A50000}"/>
    <cellStyle name="Separador de milhares 2 31 2 6" xfId="41147" xr:uid="{00000000-0005-0000-0000-0000B1A50000}"/>
    <cellStyle name="Separador de milhares 2 31 3" xfId="41148" xr:uid="{00000000-0005-0000-0000-0000B2A50000}"/>
    <cellStyle name="Separador de milhares 2 31 3 2" xfId="41149" xr:uid="{00000000-0005-0000-0000-0000B3A50000}"/>
    <cellStyle name="Separador de milhares 2 31 3 3" xfId="41150" xr:uid="{00000000-0005-0000-0000-0000B4A50000}"/>
    <cellStyle name="Separador de milhares 2 31 3 4" xfId="41151" xr:uid="{00000000-0005-0000-0000-0000B5A50000}"/>
    <cellStyle name="Separador de milhares 2 31 3 5" xfId="41152" xr:uid="{00000000-0005-0000-0000-0000B6A50000}"/>
    <cellStyle name="Separador de milhares 2 31 3 6" xfId="41153" xr:uid="{00000000-0005-0000-0000-0000B7A50000}"/>
    <cellStyle name="Separador de milhares 2 31 4" xfId="41154" xr:uid="{00000000-0005-0000-0000-0000B8A50000}"/>
    <cellStyle name="Separador de milhares 2 31 4 2" xfId="41155" xr:uid="{00000000-0005-0000-0000-0000B9A50000}"/>
    <cellStyle name="Separador de milhares 2 31 4 3" xfId="41156" xr:uid="{00000000-0005-0000-0000-0000BAA50000}"/>
    <cellStyle name="Separador de milhares 2 31 4 4" xfId="41157" xr:uid="{00000000-0005-0000-0000-0000BBA50000}"/>
    <cellStyle name="Separador de milhares 2 31 4 5" xfId="41158" xr:uid="{00000000-0005-0000-0000-0000BCA50000}"/>
    <cellStyle name="Separador de milhares 2 31 4 6" xfId="41159" xr:uid="{00000000-0005-0000-0000-0000BDA50000}"/>
    <cellStyle name="Separador de milhares 2 31 5" xfId="41160" xr:uid="{00000000-0005-0000-0000-0000BEA50000}"/>
    <cellStyle name="Separador de milhares 2 31 5 2" xfId="41161" xr:uid="{00000000-0005-0000-0000-0000BFA50000}"/>
    <cellStyle name="Separador de milhares 2 31 5 3" xfId="41162" xr:uid="{00000000-0005-0000-0000-0000C0A50000}"/>
    <cellStyle name="Separador de milhares 2 31 5 4" xfId="41163" xr:uid="{00000000-0005-0000-0000-0000C1A50000}"/>
    <cellStyle name="Separador de milhares 2 31 5 5" xfId="41164" xr:uid="{00000000-0005-0000-0000-0000C2A50000}"/>
    <cellStyle name="Separador de milhares 2 31 5 6" xfId="41165" xr:uid="{00000000-0005-0000-0000-0000C3A50000}"/>
    <cellStyle name="Separador de milhares 2 31 6" xfId="41166" xr:uid="{00000000-0005-0000-0000-0000C4A50000}"/>
    <cellStyle name="Separador de milhares 2 31 6 2" xfId="41167" xr:uid="{00000000-0005-0000-0000-0000C5A50000}"/>
    <cellStyle name="Separador de milhares 2 31 6 3" xfId="41168" xr:uid="{00000000-0005-0000-0000-0000C6A50000}"/>
    <cellStyle name="Separador de milhares 2 31 6 4" xfId="41169" xr:uid="{00000000-0005-0000-0000-0000C7A50000}"/>
    <cellStyle name="Separador de milhares 2 31 6 5" xfId="41170" xr:uid="{00000000-0005-0000-0000-0000C8A50000}"/>
    <cellStyle name="Separador de milhares 2 31 6 6" xfId="41171" xr:uid="{00000000-0005-0000-0000-0000C9A50000}"/>
    <cellStyle name="Separador de milhares 2 31 7" xfId="41172" xr:uid="{00000000-0005-0000-0000-0000CAA50000}"/>
    <cellStyle name="Separador de milhares 2 31 7 2" xfId="41173" xr:uid="{00000000-0005-0000-0000-0000CBA50000}"/>
    <cellStyle name="Separador de milhares 2 31 7 3" xfId="41174" xr:uid="{00000000-0005-0000-0000-0000CCA50000}"/>
    <cellStyle name="Separador de milhares 2 31 7 4" xfId="41175" xr:uid="{00000000-0005-0000-0000-0000CDA50000}"/>
    <cellStyle name="Separador de milhares 2 31 7 5" xfId="41176" xr:uid="{00000000-0005-0000-0000-0000CEA50000}"/>
    <cellStyle name="Separador de milhares 2 31 7 6" xfId="41177" xr:uid="{00000000-0005-0000-0000-0000CFA50000}"/>
    <cellStyle name="Separador de milhares 2 31 8" xfId="41178" xr:uid="{00000000-0005-0000-0000-0000D0A50000}"/>
    <cellStyle name="Separador de milhares 2 31 8 2" xfId="41179" xr:uid="{00000000-0005-0000-0000-0000D1A50000}"/>
    <cellStyle name="Separador de milhares 2 31 8 3" xfId="41180" xr:uid="{00000000-0005-0000-0000-0000D2A50000}"/>
    <cellStyle name="Separador de milhares 2 31 8 4" xfId="41181" xr:uid="{00000000-0005-0000-0000-0000D3A50000}"/>
    <cellStyle name="Separador de milhares 2 31 8 5" xfId="41182" xr:uid="{00000000-0005-0000-0000-0000D4A50000}"/>
    <cellStyle name="Separador de milhares 2 31 8 6" xfId="41183" xr:uid="{00000000-0005-0000-0000-0000D5A50000}"/>
    <cellStyle name="Separador de milhares 2 31 9" xfId="41184" xr:uid="{00000000-0005-0000-0000-0000D6A50000}"/>
    <cellStyle name="Separador de milhares 2 32" xfId="41185" xr:uid="{00000000-0005-0000-0000-0000D7A50000}"/>
    <cellStyle name="Separador de milhares 2 32 10" xfId="41186" xr:uid="{00000000-0005-0000-0000-0000D8A50000}"/>
    <cellStyle name="Separador de milhares 2 32 11" xfId="41187" xr:uid="{00000000-0005-0000-0000-0000D9A50000}"/>
    <cellStyle name="Separador de milhares 2 32 12" xfId="41188" xr:uid="{00000000-0005-0000-0000-0000DAA50000}"/>
    <cellStyle name="Separador de milhares 2 32 13" xfId="41189" xr:uid="{00000000-0005-0000-0000-0000DBA50000}"/>
    <cellStyle name="Separador de milhares 2 32 2" xfId="41190" xr:uid="{00000000-0005-0000-0000-0000DCA50000}"/>
    <cellStyle name="Separador de milhares 2 32 2 2" xfId="41191" xr:uid="{00000000-0005-0000-0000-0000DDA50000}"/>
    <cellStyle name="Separador de milhares 2 32 2 3" xfId="41192" xr:uid="{00000000-0005-0000-0000-0000DEA50000}"/>
    <cellStyle name="Separador de milhares 2 32 2 4" xfId="41193" xr:uid="{00000000-0005-0000-0000-0000DFA50000}"/>
    <cellStyle name="Separador de milhares 2 32 2 5" xfId="41194" xr:uid="{00000000-0005-0000-0000-0000E0A50000}"/>
    <cellStyle name="Separador de milhares 2 32 2 6" xfId="41195" xr:uid="{00000000-0005-0000-0000-0000E1A50000}"/>
    <cellStyle name="Separador de milhares 2 32 3" xfId="41196" xr:uid="{00000000-0005-0000-0000-0000E2A50000}"/>
    <cellStyle name="Separador de milhares 2 32 3 2" xfId="41197" xr:uid="{00000000-0005-0000-0000-0000E3A50000}"/>
    <cellStyle name="Separador de milhares 2 32 3 3" xfId="41198" xr:uid="{00000000-0005-0000-0000-0000E4A50000}"/>
    <cellStyle name="Separador de milhares 2 32 3 4" xfId="41199" xr:uid="{00000000-0005-0000-0000-0000E5A50000}"/>
    <cellStyle name="Separador de milhares 2 32 3 5" xfId="41200" xr:uid="{00000000-0005-0000-0000-0000E6A50000}"/>
    <cellStyle name="Separador de milhares 2 32 3 6" xfId="41201" xr:uid="{00000000-0005-0000-0000-0000E7A50000}"/>
    <cellStyle name="Separador de milhares 2 32 4" xfId="41202" xr:uid="{00000000-0005-0000-0000-0000E8A50000}"/>
    <cellStyle name="Separador de milhares 2 32 4 2" xfId="41203" xr:uid="{00000000-0005-0000-0000-0000E9A50000}"/>
    <cellStyle name="Separador de milhares 2 32 4 3" xfId="41204" xr:uid="{00000000-0005-0000-0000-0000EAA50000}"/>
    <cellStyle name="Separador de milhares 2 32 4 4" xfId="41205" xr:uid="{00000000-0005-0000-0000-0000EBA50000}"/>
    <cellStyle name="Separador de milhares 2 32 4 5" xfId="41206" xr:uid="{00000000-0005-0000-0000-0000ECA50000}"/>
    <cellStyle name="Separador de milhares 2 32 4 6" xfId="41207" xr:uid="{00000000-0005-0000-0000-0000EDA50000}"/>
    <cellStyle name="Separador de milhares 2 32 5" xfId="41208" xr:uid="{00000000-0005-0000-0000-0000EEA50000}"/>
    <cellStyle name="Separador de milhares 2 32 5 2" xfId="41209" xr:uid="{00000000-0005-0000-0000-0000EFA50000}"/>
    <cellStyle name="Separador de milhares 2 32 5 3" xfId="41210" xr:uid="{00000000-0005-0000-0000-0000F0A50000}"/>
    <cellStyle name="Separador de milhares 2 32 5 4" xfId="41211" xr:uid="{00000000-0005-0000-0000-0000F1A50000}"/>
    <cellStyle name="Separador de milhares 2 32 5 5" xfId="41212" xr:uid="{00000000-0005-0000-0000-0000F2A50000}"/>
    <cellStyle name="Separador de milhares 2 32 5 6" xfId="41213" xr:uid="{00000000-0005-0000-0000-0000F3A50000}"/>
    <cellStyle name="Separador de milhares 2 32 6" xfId="41214" xr:uid="{00000000-0005-0000-0000-0000F4A50000}"/>
    <cellStyle name="Separador de milhares 2 32 6 2" xfId="41215" xr:uid="{00000000-0005-0000-0000-0000F5A50000}"/>
    <cellStyle name="Separador de milhares 2 32 6 3" xfId="41216" xr:uid="{00000000-0005-0000-0000-0000F6A50000}"/>
    <cellStyle name="Separador de milhares 2 32 6 4" xfId="41217" xr:uid="{00000000-0005-0000-0000-0000F7A50000}"/>
    <cellStyle name="Separador de milhares 2 32 6 5" xfId="41218" xr:uid="{00000000-0005-0000-0000-0000F8A50000}"/>
    <cellStyle name="Separador de milhares 2 32 6 6" xfId="41219" xr:uid="{00000000-0005-0000-0000-0000F9A50000}"/>
    <cellStyle name="Separador de milhares 2 32 7" xfId="41220" xr:uid="{00000000-0005-0000-0000-0000FAA50000}"/>
    <cellStyle name="Separador de milhares 2 32 7 2" xfId="41221" xr:uid="{00000000-0005-0000-0000-0000FBA50000}"/>
    <cellStyle name="Separador de milhares 2 32 7 3" xfId="41222" xr:uid="{00000000-0005-0000-0000-0000FCA50000}"/>
    <cellStyle name="Separador de milhares 2 32 7 4" xfId="41223" xr:uid="{00000000-0005-0000-0000-0000FDA50000}"/>
    <cellStyle name="Separador de milhares 2 32 7 5" xfId="41224" xr:uid="{00000000-0005-0000-0000-0000FEA50000}"/>
    <cellStyle name="Separador de milhares 2 32 7 6" xfId="41225" xr:uid="{00000000-0005-0000-0000-0000FFA50000}"/>
    <cellStyle name="Separador de milhares 2 32 8" xfId="41226" xr:uid="{00000000-0005-0000-0000-000000A60000}"/>
    <cellStyle name="Separador de milhares 2 32 8 2" xfId="41227" xr:uid="{00000000-0005-0000-0000-000001A60000}"/>
    <cellStyle name="Separador de milhares 2 32 8 3" xfId="41228" xr:uid="{00000000-0005-0000-0000-000002A60000}"/>
    <cellStyle name="Separador de milhares 2 32 8 4" xfId="41229" xr:uid="{00000000-0005-0000-0000-000003A60000}"/>
    <cellStyle name="Separador de milhares 2 32 8 5" xfId="41230" xr:uid="{00000000-0005-0000-0000-000004A60000}"/>
    <cellStyle name="Separador de milhares 2 32 8 6" xfId="41231" xr:uid="{00000000-0005-0000-0000-000005A60000}"/>
    <cellStyle name="Separador de milhares 2 32 9" xfId="41232" xr:uid="{00000000-0005-0000-0000-000006A60000}"/>
    <cellStyle name="Separador de milhares 2 33" xfId="41233" xr:uid="{00000000-0005-0000-0000-000007A60000}"/>
    <cellStyle name="Separador de milhares 2 33 10" xfId="41234" xr:uid="{00000000-0005-0000-0000-000008A60000}"/>
    <cellStyle name="Separador de milhares 2 33 11" xfId="41235" xr:uid="{00000000-0005-0000-0000-000009A60000}"/>
    <cellStyle name="Separador de milhares 2 33 12" xfId="41236" xr:uid="{00000000-0005-0000-0000-00000AA60000}"/>
    <cellStyle name="Separador de milhares 2 33 13" xfId="41237" xr:uid="{00000000-0005-0000-0000-00000BA60000}"/>
    <cellStyle name="Separador de milhares 2 33 2" xfId="41238" xr:uid="{00000000-0005-0000-0000-00000CA60000}"/>
    <cellStyle name="Separador de milhares 2 33 2 2" xfId="41239" xr:uid="{00000000-0005-0000-0000-00000DA60000}"/>
    <cellStyle name="Separador de milhares 2 33 2 3" xfId="41240" xr:uid="{00000000-0005-0000-0000-00000EA60000}"/>
    <cellStyle name="Separador de milhares 2 33 2 4" xfId="41241" xr:uid="{00000000-0005-0000-0000-00000FA60000}"/>
    <cellStyle name="Separador de milhares 2 33 2 5" xfId="41242" xr:uid="{00000000-0005-0000-0000-000010A60000}"/>
    <cellStyle name="Separador de milhares 2 33 2 6" xfId="41243" xr:uid="{00000000-0005-0000-0000-000011A60000}"/>
    <cellStyle name="Separador de milhares 2 33 3" xfId="41244" xr:uid="{00000000-0005-0000-0000-000012A60000}"/>
    <cellStyle name="Separador de milhares 2 33 3 2" xfId="41245" xr:uid="{00000000-0005-0000-0000-000013A60000}"/>
    <cellStyle name="Separador de milhares 2 33 3 3" xfId="41246" xr:uid="{00000000-0005-0000-0000-000014A60000}"/>
    <cellStyle name="Separador de milhares 2 33 3 4" xfId="41247" xr:uid="{00000000-0005-0000-0000-000015A60000}"/>
    <cellStyle name="Separador de milhares 2 33 3 5" xfId="41248" xr:uid="{00000000-0005-0000-0000-000016A60000}"/>
    <cellStyle name="Separador de milhares 2 33 3 6" xfId="41249" xr:uid="{00000000-0005-0000-0000-000017A60000}"/>
    <cellStyle name="Separador de milhares 2 33 4" xfId="41250" xr:uid="{00000000-0005-0000-0000-000018A60000}"/>
    <cellStyle name="Separador de milhares 2 33 4 2" xfId="41251" xr:uid="{00000000-0005-0000-0000-000019A60000}"/>
    <cellStyle name="Separador de milhares 2 33 4 3" xfId="41252" xr:uid="{00000000-0005-0000-0000-00001AA60000}"/>
    <cellStyle name="Separador de milhares 2 33 4 4" xfId="41253" xr:uid="{00000000-0005-0000-0000-00001BA60000}"/>
    <cellStyle name="Separador de milhares 2 33 4 5" xfId="41254" xr:uid="{00000000-0005-0000-0000-00001CA60000}"/>
    <cellStyle name="Separador de milhares 2 33 4 6" xfId="41255" xr:uid="{00000000-0005-0000-0000-00001DA60000}"/>
    <cellStyle name="Separador de milhares 2 33 5" xfId="41256" xr:uid="{00000000-0005-0000-0000-00001EA60000}"/>
    <cellStyle name="Separador de milhares 2 33 5 2" xfId="41257" xr:uid="{00000000-0005-0000-0000-00001FA60000}"/>
    <cellStyle name="Separador de milhares 2 33 5 3" xfId="41258" xr:uid="{00000000-0005-0000-0000-000020A60000}"/>
    <cellStyle name="Separador de milhares 2 33 5 4" xfId="41259" xr:uid="{00000000-0005-0000-0000-000021A60000}"/>
    <cellStyle name="Separador de milhares 2 33 5 5" xfId="41260" xr:uid="{00000000-0005-0000-0000-000022A60000}"/>
    <cellStyle name="Separador de milhares 2 33 5 6" xfId="41261" xr:uid="{00000000-0005-0000-0000-000023A60000}"/>
    <cellStyle name="Separador de milhares 2 33 6" xfId="41262" xr:uid="{00000000-0005-0000-0000-000024A60000}"/>
    <cellStyle name="Separador de milhares 2 33 6 2" xfId="41263" xr:uid="{00000000-0005-0000-0000-000025A60000}"/>
    <cellStyle name="Separador de milhares 2 33 6 3" xfId="41264" xr:uid="{00000000-0005-0000-0000-000026A60000}"/>
    <cellStyle name="Separador de milhares 2 33 6 4" xfId="41265" xr:uid="{00000000-0005-0000-0000-000027A60000}"/>
    <cellStyle name="Separador de milhares 2 33 6 5" xfId="41266" xr:uid="{00000000-0005-0000-0000-000028A60000}"/>
    <cellStyle name="Separador de milhares 2 33 6 6" xfId="41267" xr:uid="{00000000-0005-0000-0000-000029A60000}"/>
    <cellStyle name="Separador de milhares 2 33 7" xfId="41268" xr:uid="{00000000-0005-0000-0000-00002AA60000}"/>
    <cellStyle name="Separador de milhares 2 33 7 2" xfId="41269" xr:uid="{00000000-0005-0000-0000-00002BA60000}"/>
    <cellStyle name="Separador de milhares 2 33 7 3" xfId="41270" xr:uid="{00000000-0005-0000-0000-00002CA60000}"/>
    <cellStyle name="Separador de milhares 2 33 7 4" xfId="41271" xr:uid="{00000000-0005-0000-0000-00002DA60000}"/>
    <cellStyle name="Separador de milhares 2 33 7 5" xfId="41272" xr:uid="{00000000-0005-0000-0000-00002EA60000}"/>
    <cellStyle name="Separador de milhares 2 33 7 6" xfId="41273" xr:uid="{00000000-0005-0000-0000-00002FA60000}"/>
    <cellStyle name="Separador de milhares 2 33 8" xfId="41274" xr:uid="{00000000-0005-0000-0000-000030A60000}"/>
    <cellStyle name="Separador de milhares 2 33 8 2" xfId="41275" xr:uid="{00000000-0005-0000-0000-000031A60000}"/>
    <cellStyle name="Separador de milhares 2 33 8 3" xfId="41276" xr:uid="{00000000-0005-0000-0000-000032A60000}"/>
    <cellStyle name="Separador de milhares 2 33 8 4" xfId="41277" xr:uid="{00000000-0005-0000-0000-000033A60000}"/>
    <cellStyle name="Separador de milhares 2 33 8 5" xfId="41278" xr:uid="{00000000-0005-0000-0000-000034A60000}"/>
    <cellStyle name="Separador de milhares 2 33 8 6" xfId="41279" xr:uid="{00000000-0005-0000-0000-000035A60000}"/>
    <cellStyle name="Separador de milhares 2 33 9" xfId="41280" xr:uid="{00000000-0005-0000-0000-000036A60000}"/>
    <cellStyle name="Separador de milhares 2 34" xfId="41281" xr:uid="{00000000-0005-0000-0000-000037A60000}"/>
    <cellStyle name="Separador de milhares 2 34 2" xfId="41282" xr:uid="{00000000-0005-0000-0000-000038A60000}"/>
    <cellStyle name="Separador de milhares 2 34 3" xfId="41283" xr:uid="{00000000-0005-0000-0000-000039A60000}"/>
    <cellStyle name="Separador de milhares 2 34 4" xfId="41284" xr:uid="{00000000-0005-0000-0000-00003AA60000}"/>
    <cellStyle name="Separador de milhares 2 34 5" xfId="41285" xr:uid="{00000000-0005-0000-0000-00003BA60000}"/>
    <cellStyle name="Separador de milhares 2 34 6" xfId="41286" xr:uid="{00000000-0005-0000-0000-00003CA60000}"/>
    <cellStyle name="Separador de milhares 2 35" xfId="41287" xr:uid="{00000000-0005-0000-0000-00003DA60000}"/>
    <cellStyle name="Separador de milhares 2 35 2" xfId="41288" xr:uid="{00000000-0005-0000-0000-00003EA60000}"/>
    <cellStyle name="Separador de milhares 2 35 3" xfId="41289" xr:uid="{00000000-0005-0000-0000-00003FA60000}"/>
    <cellStyle name="Separador de milhares 2 35 4" xfId="41290" xr:uid="{00000000-0005-0000-0000-000040A60000}"/>
    <cellStyle name="Separador de milhares 2 35 5" xfId="41291" xr:uid="{00000000-0005-0000-0000-000041A60000}"/>
    <cellStyle name="Separador de milhares 2 35 6" xfId="41292" xr:uid="{00000000-0005-0000-0000-000042A60000}"/>
    <cellStyle name="Separador de milhares 2 36" xfId="41293" xr:uid="{00000000-0005-0000-0000-000043A60000}"/>
    <cellStyle name="Separador de milhares 2 36 2" xfId="41294" xr:uid="{00000000-0005-0000-0000-000044A60000}"/>
    <cellStyle name="Separador de milhares 2 36 3" xfId="41295" xr:uid="{00000000-0005-0000-0000-000045A60000}"/>
    <cellStyle name="Separador de milhares 2 36 4" xfId="41296" xr:uid="{00000000-0005-0000-0000-000046A60000}"/>
    <cellStyle name="Separador de milhares 2 36 5" xfId="41297" xr:uid="{00000000-0005-0000-0000-000047A60000}"/>
    <cellStyle name="Separador de milhares 2 36 6" xfId="41298" xr:uid="{00000000-0005-0000-0000-000048A60000}"/>
    <cellStyle name="Separador de milhares 2 37" xfId="41299" xr:uid="{00000000-0005-0000-0000-000049A60000}"/>
    <cellStyle name="Separador de milhares 2 37 2" xfId="41300" xr:uid="{00000000-0005-0000-0000-00004AA60000}"/>
    <cellStyle name="Separador de milhares 2 37 3" xfId="41301" xr:uid="{00000000-0005-0000-0000-00004BA60000}"/>
    <cellStyle name="Separador de milhares 2 37 4" xfId="41302" xr:uid="{00000000-0005-0000-0000-00004CA60000}"/>
    <cellStyle name="Separador de milhares 2 37 5" xfId="41303" xr:uid="{00000000-0005-0000-0000-00004DA60000}"/>
    <cellStyle name="Separador de milhares 2 37 6" xfId="41304" xr:uid="{00000000-0005-0000-0000-00004EA60000}"/>
    <cellStyle name="Separador de milhares 2 38" xfId="41305" xr:uid="{00000000-0005-0000-0000-00004FA60000}"/>
    <cellStyle name="Separador de milhares 2 38 2" xfId="41306" xr:uid="{00000000-0005-0000-0000-000050A60000}"/>
    <cellStyle name="Separador de milhares 2 38 3" xfId="41307" xr:uid="{00000000-0005-0000-0000-000051A60000}"/>
    <cellStyle name="Separador de milhares 2 38 4" xfId="41308" xr:uid="{00000000-0005-0000-0000-000052A60000}"/>
    <cellStyle name="Separador de milhares 2 38 5" xfId="41309" xr:uid="{00000000-0005-0000-0000-000053A60000}"/>
    <cellStyle name="Separador de milhares 2 38 6" xfId="41310" xr:uid="{00000000-0005-0000-0000-000054A60000}"/>
    <cellStyle name="Separador de milhares 2 39" xfId="41311" xr:uid="{00000000-0005-0000-0000-000055A60000}"/>
    <cellStyle name="Separador de milhares 2 39 2" xfId="41312" xr:uid="{00000000-0005-0000-0000-000056A60000}"/>
    <cellStyle name="Separador de milhares 2 39 3" xfId="41313" xr:uid="{00000000-0005-0000-0000-000057A60000}"/>
    <cellStyle name="Separador de milhares 2 39 4" xfId="41314" xr:uid="{00000000-0005-0000-0000-000058A60000}"/>
    <cellStyle name="Separador de milhares 2 39 5" xfId="41315" xr:uid="{00000000-0005-0000-0000-000059A60000}"/>
    <cellStyle name="Separador de milhares 2 39 6" xfId="41316" xr:uid="{00000000-0005-0000-0000-00005AA60000}"/>
    <cellStyle name="Separador de milhares 2 4" xfId="41317" xr:uid="{00000000-0005-0000-0000-00005BA60000}"/>
    <cellStyle name="Separador de milhares 2 4 10" xfId="41318" xr:uid="{00000000-0005-0000-0000-00005CA60000}"/>
    <cellStyle name="Separador de milhares 2 4 11" xfId="41319" xr:uid="{00000000-0005-0000-0000-00005DA60000}"/>
    <cellStyle name="Separador de milhares 2 4 12" xfId="41320" xr:uid="{00000000-0005-0000-0000-00005EA60000}"/>
    <cellStyle name="Separador de milhares 2 4 13" xfId="41321" xr:uid="{00000000-0005-0000-0000-00005FA60000}"/>
    <cellStyle name="Separador de milhares 2 4 14" xfId="41322" xr:uid="{00000000-0005-0000-0000-000060A60000}"/>
    <cellStyle name="Separador de milhares 2 4 2" xfId="41323" xr:uid="{00000000-0005-0000-0000-000061A60000}"/>
    <cellStyle name="Separador de milhares 2 4 2 2" xfId="41324" xr:uid="{00000000-0005-0000-0000-000062A60000}"/>
    <cellStyle name="Separador de milhares 2 4 2 3" xfId="41325" xr:uid="{00000000-0005-0000-0000-000063A60000}"/>
    <cellStyle name="Separador de milhares 2 4 2 4" xfId="41326" xr:uid="{00000000-0005-0000-0000-000064A60000}"/>
    <cellStyle name="Separador de milhares 2 4 2 5" xfId="41327" xr:uid="{00000000-0005-0000-0000-000065A60000}"/>
    <cellStyle name="Separador de milhares 2 4 2 6" xfId="41328" xr:uid="{00000000-0005-0000-0000-000066A60000}"/>
    <cellStyle name="Separador de milhares 2 4 3" xfId="41329" xr:uid="{00000000-0005-0000-0000-000067A60000}"/>
    <cellStyle name="Separador de milhares 2 4 3 2" xfId="41330" xr:uid="{00000000-0005-0000-0000-000068A60000}"/>
    <cellStyle name="Separador de milhares 2 4 3 3" xfId="41331" xr:uid="{00000000-0005-0000-0000-000069A60000}"/>
    <cellStyle name="Separador de milhares 2 4 3 4" xfId="41332" xr:uid="{00000000-0005-0000-0000-00006AA60000}"/>
    <cellStyle name="Separador de milhares 2 4 3 5" xfId="41333" xr:uid="{00000000-0005-0000-0000-00006BA60000}"/>
    <cellStyle name="Separador de milhares 2 4 3 6" xfId="41334" xr:uid="{00000000-0005-0000-0000-00006CA60000}"/>
    <cellStyle name="Separador de milhares 2 4 4" xfId="41335" xr:uid="{00000000-0005-0000-0000-00006DA60000}"/>
    <cellStyle name="Separador de milhares 2 4 4 2" xfId="41336" xr:uid="{00000000-0005-0000-0000-00006EA60000}"/>
    <cellStyle name="Separador de milhares 2 4 4 3" xfId="41337" xr:uid="{00000000-0005-0000-0000-00006FA60000}"/>
    <cellStyle name="Separador de milhares 2 4 4 4" xfId="41338" xr:uid="{00000000-0005-0000-0000-000070A60000}"/>
    <cellStyle name="Separador de milhares 2 4 4 5" xfId="41339" xr:uid="{00000000-0005-0000-0000-000071A60000}"/>
    <cellStyle name="Separador de milhares 2 4 4 6" xfId="41340" xr:uid="{00000000-0005-0000-0000-000072A60000}"/>
    <cellStyle name="Separador de milhares 2 4 5" xfId="41341" xr:uid="{00000000-0005-0000-0000-000073A60000}"/>
    <cellStyle name="Separador de milhares 2 4 5 2" xfId="41342" xr:uid="{00000000-0005-0000-0000-000074A60000}"/>
    <cellStyle name="Separador de milhares 2 4 5 3" xfId="41343" xr:uid="{00000000-0005-0000-0000-000075A60000}"/>
    <cellStyle name="Separador de milhares 2 4 5 4" xfId="41344" xr:uid="{00000000-0005-0000-0000-000076A60000}"/>
    <cellStyle name="Separador de milhares 2 4 5 5" xfId="41345" xr:uid="{00000000-0005-0000-0000-000077A60000}"/>
    <cellStyle name="Separador de milhares 2 4 5 6" xfId="41346" xr:uid="{00000000-0005-0000-0000-000078A60000}"/>
    <cellStyle name="Separador de milhares 2 4 6" xfId="41347" xr:uid="{00000000-0005-0000-0000-000079A60000}"/>
    <cellStyle name="Separador de milhares 2 4 6 2" xfId="41348" xr:uid="{00000000-0005-0000-0000-00007AA60000}"/>
    <cellStyle name="Separador de milhares 2 4 6 3" xfId="41349" xr:uid="{00000000-0005-0000-0000-00007BA60000}"/>
    <cellStyle name="Separador de milhares 2 4 6 4" xfId="41350" xr:uid="{00000000-0005-0000-0000-00007CA60000}"/>
    <cellStyle name="Separador de milhares 2 4 6 5" xfId="41351" xr:uid="{00000000-0005-0000-0000-00007DA60000}"/>
    <cellStyle name="Separador de milhares 2 4 6 6" xfId="41352" xr:uid="{00000000-0005-0000-0000-00007EA60000}"/>
    <cellStyle name="Separador de milhares 2 4 7" xfId="41353" xr:uid="{00000000-0005-0000-0000-00007FA60000}"/>
    <cellStyle name="Separador de milhares 2 4 7 2" xfId="41354" xr:uid="{00000000-0005-0000-0000-000080A60000}"/>
    <cellStyle name="Separador de milhares 2 4 7 3" xfId="41355" xr:uid="{00000000-0005-0000-0000-000081A60000}"/>
    <cellStyle name="Separador de milhares 2 4 7 4" xfId="41356" xr:uid="{00000000-0005-0000-0000-000082A60000}"/>
    <cellStyle name="Separador de milhares 2 4 7 5" xfId="41357" xr:uid="{00000000-0005-0000-0000-000083A60000}"/>
    <cellStyle name="Separador de milhares 2 4 7 6" xfId="41358" xr:uid="{00000000-0005-0000-0000-000084A60000}"/>
    <cellStyle name="Separador de milhares 2 4 8" xfId="41359" xr:uid="{00000000-0005-0000-0000-000085A60000}"/>
    <cellStyle name="Separador de milhares 2 4 8 2" xfId="41360" xr:uid="{00000000-0005-0000-0000-000086A60000}"/>
    <cellStyle name="Separador de milhares 2 4 8 3" xfId="41361" xr:uid="{00000000-0005-0000-0000-000087A60000}"/>
    <cellStyle name="Separador de milhares 2 4 8 4" xfId="41362" xr:uid="{00000000-0005-0000-0000-000088A60000}"/>
    <cellStyle name="Separador de milhares 2 4 8 5" xfId="41363" xr:uid="{00000000-0005-0000-0000-000089A60000}"/>
    <cellStyle name="Separador de milhares 2 4 8 6" xfId="41364" xr:uid="{00000000-0005-0000-0000-00008AA60000}"/>
    <cellStyle name="Separador de milhares 2 4 9" xfId="41365" xr:uid="{00000000-0005-0000-0000-00008BA60000}"/>
    <cellStyle name="Separador de milhares 2 40" xfId="41366" xr:uid="{00000000-0005-0000-0000-00008CA60000}"/>
    <cellStyle name="Separador de milhares 2 40 2" xfId="41367" xr:uid="{00000000-0005-0000-0000-00008DA60000}"/>
    <cellStyle name="Separador de milhares 2 40 3" xfId="41368" xr:uid="{00000000-0005-0000-0000-00008EA60000}"/>
    <cellStyle name="Separador de milhares 2 40 4" xfId="41369" xr:uid="{00000000-0005-0000-0000-00008FA60000}"/>
    <cellStyle name="Separador de milhares 2 40 5" xfId="41370" xr:uid="{00000000-0005-0000-0000-000090A60000}"/>
    <cellStyle name="Separador de milhares 2 40 6" xfId="41371" xr:uid="{00000000-0005-0000-0000-000091A60000}"/>
    <cellStyle name="Separador de milhares 2 41" xfId="41372" xr:uid="{00000000-0005-0000-0000-000092A60000}"/>
    <cellStyle name="Separador de milhares 2 42" xfId="41373" xr:uid="{00000000-0005-0000-0000-000093A60000}"/>
    <cellStyle name="Separador de milhares 2 43" xfId="41374" xr:uid="{00000000-0005-0000-0000-000094A60000}"/>
    <cellStyle name="Separador de milhares 2 44" xfId="41375" xr:uid="{00000000-0005-0000-0000-000095A60000}"/>
    <cellStyle name="Separador de milhares 2 45" xfId="41376" xr:uid="{00000000-0005-0000-0000-000096A60000}"/>
    <cellStyle name="Separador de milhares 2 46" xfId="41377" xr:uid="{00000000-0005-0000-0000-000097A60000}"/>
    <cellStyle name="Separador de milhares 2 47" xfId="42555" xr:uid="{00000000-0005-0000-0000-000098A60000}"/>
    <cellStyle name="Separador de milhares 2 48" xfId="43950" xr:uid="{00000000-0005-0000-0000-000099A60000}"/>
    <cellStyle name="Separador de milhares 2 48 2" xfId="43960" xr:uid="{00000000-0005-0000-0000-00009AA60000}"/>
    <cellStyle name="Separador de milhares 2 5" xfId="41378" xr:uid="{00000000-0005-0000-0000-00009BA60000}"/>
    <cellStyle name="Separador de milhares 2 5 10" xfId="41379" xr:uid="{00000000-0005-0000-0000-00009CA60000}"/>
    <cellStyle name="Separador de milhares 2 5 11" xfId="41380" xr:uid="{00000000-0005-0000-0000-00009DA60000}"/>
    <cellStyle name="Separador de milhares 2 5 12" xfId="41381" xr:uid="{00000000-0005-0000-0000-00009EA60000}"/>
    <cellStyle name="Separador de milhares 2 5 13" xfId="41382" xr:uid="{00000000-0005-0000-0000-00009FA60000}"/>
    <cellStyle name="Separador de milhares 2 5 14" xfId="41383" xr:uid="{00000000-0005-0000-0000-0000A0A60000}"/>
    <cellStyle name="Separador de milhares 2 5 2" xfId="41384" xr:uid="{00000000-0005-0000-0000-0000A1A60000}"/>
    <cellStyle name="Separador de milhares 2 5 2 2" xfId="41385" xr:uid="{00000000-0005-0000-0000-0000A2A60000}"/>
    <cellStyle name="Separador de milhares 2 5 2 3" xfId="41386" xr:uid="{00000000-0005-0000-0000-0000A3A60000}"/>
    <cellStyle name="Separador de milhares 2 5 2 4" xfId="41387" xr:uid="{00000000-0005-0000-0000-0000A4A60000}"/>
    <cellStyle name="Separador de milhares 2 5 2 5" xfId="41388" xr:uid="{00000000-0005-0000-0000-0000A5A60000}"/>
    <cellStyle name="Separador de milhares 2 5 2 6" xfId="41389" xr:uid="{00000000-0005-0000-0000-0000A6A60000}"/>
    <cellStyle name="Separador de milhares 2 5 3" xfId="41390" xr:uid="{00000000-0005-0000-0000-0000A7A60000}"/>
    <cellStyle name="Separador de milhares 2 5 3 2" xfId="41391" xr:uid="{00000000-0005-0000-0000-0000A8A60000}"/>
    <cellStyle name="Separador de milhares 2 5 3 3" xfId="41392" xr:uid="{00000000-0005-0000-0000-0000A9A60000}"/>
    <cellStyle name="Separador de milhares 2 5 3 4" xfId="41393" xr:uid="{00000000-0005-0000-0000-0000AAA60000}"/>
    <cellStyle name="Separador de milhares 2 5 3 5" xfId="41394" xr:uid="{00000000-0005-0000-0000-0000ABA60000}"/>
    <cellStyle name="Separador de milhares 2 5 3 6" xfId="41395" xr:uid="{00000000-0005-0000-0000-0000ACA60000}"/>
    <cellStyle name="Separador de milhares 2 5 4" xfId="41396" xr:uid="{00000000-0005-0000-0000-0000ADA60000}"/>
    <cellStyle name="Separador de milhares 2 5 4 2" xfId="41397" xr:uid="{00000000-0005-0000-0000-0000AEA60000}"/>
    <cellStyle name="Separador de milhares 2 5 4 3" xfId="41398" xr:uid="{00000000-0005-0000-0000-0000AFA60000}"/>
    <cellStyle name="Separador de milhares 2 5 4 4" xfId="41399" xr:uid="{00000000-0005-0000-0000-0000B0A60000}"/>
    <cellStyle name="Separador de milhares 2 5 4 5" xfId="41400" xr:uid="{00000000-0005-0000-0000-0000B1A60000}"/>
    <cellStyle name="Separador de milhares 2 5 4 6" xfId="41401" xr:uid="{00000000-0005-0000-0000-0000B2A60000}"/>
    <cellStyle name="Separador de milhares 2 5 5" xfId="41402" xr:uid="{00000000-0005-0000-0000-0000B3A60000}"/>
    <cellStyle name="Separador de milhares 2 5 5 2" xfId="41403" xr:uid="{00000000-0005-0000-0000-0000B4A60000}"/>
    <cellStyle name="Separador de milhares 2 5 5 3" xfId="41404" xr:uid="{00000000-0005-0000-0000-0000B5A60000}"/>
    <cellStyle name="Separador de milhares 2 5 5 4" xfId="41405" xr:uid="{00000000-0005-0000-0000-0000B6A60000}"/>
    <cellStyle name="Separador de milhares 2 5 5 5" xfId="41406" xr:uid="{00000000-0005-0000-0000-0000B7A60000}"/>
    <cellStyle name="Separador de milhares 2 5 5 6" xfId="41407" xr:uid="{00000000-0005-0000-0000-0000B8A60000}"/>
    <cellStyle name="Separador de milhares 2 5 6" xfId="41408" xr:uid="{00000000-0005-0000-0000-0000B9A60000}"/>
    <cellStyle name="Separador de milhares 2 5 6 2" xfId="41409" xr:uid="{00000000-0005-0000-0000-0000BAA60000}"/>
    <cellStyle name="Separador de milhares 2 5 6 3" xfId="41410" xr:uid="{00000000-0005-0000-0000-0000BBA60000}"/>
    <cellStyle name="Separador de milhares 2 5 6 4" xfId="41411" xr:uid="{00000000-0005-0000-0000-0000BCA60000}"/>
    <cellStyle name="Separador de milhares 2 5 6 5" xfId="41412" xr:uid="{00000000-0005-0000-0000-0000BDA60000}"/>
    <cellStyle name="Separador de milhares 2 5 6 6" xfId="41413" xr:uid="{00000000-0005-0000-0000-0000BEA60000}"/>
    <cellStyle name="Separador de milhares 2 5 7" xfId="41414" xr:uid="{00000000-0005-0000-0000-0000BFA60000}"/>
    <cellStyle name="Separador de milhares 2 5 7 2" xfId="41415" xr:uid="{00000000-0005-0000-0000-0000C0A60000}"/>
    <cellStyle name="Separador de milhares 2 5 7 3" xfId="41416" xr:uid="{00000000-0005-0000-0000-0000C1A60000}"/>
    <cellStyle name="Separador de milhares 2 5 7 4" xfId="41417" xr:uid="{00000000-0005-0000-0000-0000C2A60000}"/>
    <cellStyle name="Separador de milhares 2 5 7 5" xfId="41418" xr:uid="{00000000-0005-0000-0000-0000C3A60000}"/>
    <cellStyle name="Separador de milhares 2 5 7 6" xfId="41419" xr:uid="{00000000-0005-0000-0000-0000C4A60000}"/>
    <cellStyle name="Separador de milhares 2 5 8" xfId="41420" xr:uid="{00000000-0005-0000-0000-0000C5A60000}"/>
    <cellStyle name="Separador de milhares 2 5 8 2" xfId="41421" xr:uid="{00000000-0005-0000-0000-0000C6A60000}"/>
    <cellStyle name="Separador de milhares 2 5 8 3" xfId="41422" xr:uid="{00000000-0005-0000-0000-0000C7A60000}"/>
    <cellStyle name="Separador de milhares 2 5 8 4" xfId="41423" xr:uid="{00000000-0005-0000-0000-0000C8A60000}"/>
    <cellStyle name="Separador de milhares 2 5 8 5" xfId="41424" xr:uid="{00000000-0005-0000-0000-0000C9A60000}"/>
    <cellStyle name="Separador de milhares 2 5 8 6" xfId="41425" xr:uid="{00000000-0005-0000-0000-0000CAA60000}"/>
    <cellStyle name="Separador de milhares 2 5 9" xfId="41426" xr:uid="{00000000-0005-0000-0000-0000CBA60000}"/>
    <cellStyle name="Separador de milhares 2 6" xfId="41427" xr:uid="{00000000-0005-0000-0000-0000CCA60000}"/>
    <cellStyle name="Separador de milhares 2 6 10" xfId="41428" xr:uid="{00000000-0005-0000-0000-0000CDA60000}"/>
    <cellStyle name="Separador de milhares 2 6 11" xfId="41429" xr:uid="{00000000-0005-0000-0000-0000CEA60000}"/>
    <cellStyle name="Separador de milhares 2 6 12" xfId="41430" xr:uid="{00000000-0005-0000-0000-0000CFA60000}"/>
    <cellStyle name="Separador de milhares 2 6 13" xfId="41431" xr:uid="{00000000-0005-0000-0000-0000D0A60000}"/>
    <cellStyle name="Separador de milhares 2 6 14" xfId="41432" xr:uid="{00000000-0005-0000-0000-0000D1A60000}"/>
    <cellStyle name="Separador de milhares 2 6 2" xfId="41433" xr:uid="{00000000-0005-0000-0000-0000D2A60000}"/>
    <cellStyle name="Separador de milhares 2 6 2 2" xfId="41434" xr:uid="{00000000-0005-0000-0000-0000D3A60000}"/>
    <cellStyle name="Separador de milhares 2 6 2 3" xfId="41435" xr:uid="{00000000-0005-0000-0000-0000D4A60000}"/>
    <cellStyle name="Separador de milhares 2 6 2 4" xfId="41436" xr:uid="{00000000-0005-0000-0000-0000D5A60000}"/>
    <cellStyle name="Separador de milhares 2 6 2 5" xfId="41437" xr:uid="{00000000-0005-0000-0000-0000D6A60000}"/>
    <cellStyle name="Separador de milhares 2 6 2 6" xfId="41438" xr:uid="{00000000-0005-0000-0000-0000D7A60000}"/>
    <cellStyle name="Separador de milhares 2 6 3" xfId="41439" xr:uid="{00000000-0005-0000-0000-0000D8A60000}"/>
    <cellStyle name="Separador de milhares 2 6 3 2" xfId="41440" xr:uid="{00000000-0005-0000-0000-0000D9A60000}"/>
    <cellStyle name="Separador de milhares 2 6 3 3" xfId="41441" xr:uid="{00000000-0005-0000-0000-0000DAA60000}"/>
    <cellStyle name="Separador de milhares 2 6 3 4" xfId="41442" xr:uid="{00000000-0005-0000-0000-0000DBA60000}"/>
    <cellStyle name="Separador de milhares 2 6 3 5" xfId="41443" xr:uid="{00000000-0005-0000-0000-0000DCA60000}"/>
    <cellStyle name="Separador de milhares 2 6 3 6" xfId="41444" xr:uid="{00000000-0005-0000-0000-0000DDA60000}"/>
    <cellStyle name="Separador de milhares 2 6 4" xfId="41445" xr:uid="{00000000-0005-0000-0000-0000DEA60000}"/>
    <cellStyle name="Separador de milhares 2 6 4 2" xfId="41446" xr:uid="{00000000-0005-0000-0000-0000DFA60000}"/>
    <cellStyle name="Separador de milhares 2 6 4 3" xfId="41447" xr:uid="{00000000-0005-0000-0000-0000E0A60000}"/>
    <cellStyle name="Separador de milhares 2 6 4 4" xfId="41448" xr:uid="{00000000-0005-0000-0000-0000E1A60000}"/>
    <cellStyle name="Separador de milhares 2 6 4 5" xfId="41449" xr:uid="{00000000-0005-0000-0000-0000E2A60000}"/>
    <cellStyle name="Separador de milhares 2 6 4 6" xfId="41450" xr:uid="{00000000-0005-0000-0000-0000E3A60000}"/>
    <cellStyle name="Separador de milhares 2 6 5" xfId="41451" xr:uid="{00000000-0005-0000-0000-0000E4A60000}"/>
    <cellStyle name="Separador de milhares 2 6 5 2" xfId="41452" xr:uid="{00000000-0005-0000-0000-0000E5A60000}"/>
    <cellStyle name="Separador de milhares 2 6 5 3" xfId="41453" xr:uid="{00000000-0005-0000-0000-0000E6A60000}"/>
    <cellStyle name="Separador de milhares 2 6 5 4" xfId="41454" xr:uid="{00000000-0005-0000-0000-0000E7A60000}"/>
    <cellStyle name="Separador de milhares 2 6 5 5" xfId="41455" xr:uid="{00000000-0005-0000-0000-0000E8A60000}"/>
    <cellStyle name="Separador de milhares 2 6 5 6" xfId="41456" xr:uid="{00000000-0005-0000-0000-0000E9A60000}"/>
    <cellStyle name="Separador de milhares 2 6 6" xfId="41457" xr:uid="{00000000-0005-0000-0000-0000EAA60000}"/>
    <cellStyle name="Separador de milhares 2 6 6 2" xfId="41458" xr:uid="{00000000-0005-0000-0000-0000EBA60000}"/>
    <cellStyle name="Separador de milhares 2 6 6 3" xfId="41459" xr:uid="{00000000-0005-0000-0000-0000ECA60000}"/>
    <cellStyle name="Separador de milhares 2 6 6 4" xfId="41460" xr:uid="{00000000-0005-0000-0000-0000EDA60000}"/>
    <cellStyle name="Separador de milhares 2 6 6 5" xfId="41461" xr:uid="{00000000-0005-0000-0000-0000EEA60000}"/>
    <cellStyle name="Separador de milhares 2 6 6 6" xfId="41462" xr:uid="{00000000-0005-0000-0000-0000EFA60000}"/>
    <cellStyle name="Separador de milhares 2 6 7" xfId="41463" xr:uid="{00000000-0005-0000-0000-0000F0A60000}"/>
    <cellStyle name="Separador de milhares 2 6 7 2" xfId="41464" xr:uid="{00000000-0005-0000-0000-0000F1A60000}"/>
    <cellStyle name="Separador de milhares 2 6 7 3" xfId="41465" xr:uid="{00000000-0005-0000-0000-0000F2A60000}"/>
    <cellStyle name="Separador de milhares 2 6 7 4" xfId="41466" xr:uid="{00000000-0005-0000-0000-0000F3A60000}"/>
    <cellStyle name="Separador de milhares 2 6 7 5" xfId="41467" xr:uid="{00000000-0005-0000-0000-0000F4A60000}"/>
    <cellStyle name="Separador de milhares 2 6 7 6" xfId="41468" xr:uid="{00000000-0005-0000-0000-0000F5A60000}"/>
    <cellStyle name="Separador de milhares 2 6 8" xfId="41469" xr:uid="{00000000-0005-0000-0000-0000F6A60000}"/>
    <cellStyle name="Separador de milhares 2 6 8 2" xfId="41470" xr:uid="{00000000-0005-0000-0000-0000F7A60000}"/>
    <cellStyle name="Separador de milhares 2 6 8 3" xfId="41471" xr:uid="{00000000-0005-0000-0000-0000F8A60000}"/>
    <cellStyle name="Separador de milhares 2 6 8 4" xfId="41472" xr:uid="{00000000-0005-0000-0000-0000F9A60000}"/>
    <cellStyle name="Separador de milhares 2 6 8 5" xfId="41473" xr:uid="{00000000-0005-0000-0000-0000FAA60000}"/>
    <cellStyle name="Separador de milhares 2 6 8 6" xfId="41474" xr:uid="{00000000-0005-0000-0000-0000FBA60000}"/>
    <cellStyle name="Separador de milhares 2 6 9" xfId="41475" xr:uid="{00000000-0005-0000-0000-0000FCA60000}"/>
    <cellStyle name="Separador de milhares 2 7" xfId="41476" xr:uid="{00000000-0005-0000-0000-0000FDA60000}"/>
    <cellStyle name="Separador de milhares 2 7 10" xfId="41477" xr:uid="{00000000-0005-0000-0000-0000FEA60000}"/>
    <cellStyle name="Separador de milhares 2 7 11" xfId="41478" xr:uid="{00000000-0005-0000-0000-0000FFA60000}"/>
    <cellStyle name="Separador de milhares 2 7 12" xfId="41479" xr:uid="{00000000-0005-0000-0000-000000A70000}"/>
    <cellStyle name="Separador de milhares 2 7 13" xfId="41480" xr:uid="{00000000-0005-0000-0000-000001A70000}"/>
    <cellStyle name="Separador de milhares 2 7 14" xfId="41481" xr:uid="{00000000-0005-0000-0000-000002A70000}"/>
    <cellStyle name="Separador de milhares 2 7 2" xfId="41482" xr:uid="{00000000-0005-0000-0000-000003A70000}"/>
    <cellStyle name="Separador de milhares 2 7 2 2" xfId="41483" xr:uid="{00000000-0005-0000-0000-000004A70000}"/>
    <cellStyle name="Separador de milhares 2 7 2 3" xfId="41484" xr:uid="{00000000-0005-0000-0000-000005A70000}"/>
    <cellStyle name="Separador de milhares 2 7 2 4" xfId="41485" xr:uid="{00000000-0005-0000-0000-000006A70000}"/>
    <cellStyle name="Separador de milhares 2 7 2 5" xfId="41486" xr:uid="{00000000-0005-0000-0000-000007A70000}"/>
    <cellStyle name="Separador de milhares 2 7 2 6" xfId="41487" xr:uid="{00000000-0005-0000-0000-000008A70000}"/>
    <cellStyle name="Separador de milhares 2 7 3" xfId="41488" xr:uid="{00000000-0005-0000-0000-000009A70000}"/>
    <cellStyle name="Separador de milhares 2 7 3 2" xfId="41489" xr:uid="{00000000-0005-0000-0000-00000AA70000}"/>
    <cellStyle name="Separador de milhares 2 7 3 3" xfId="41490" xr:uid="{00000000-0005-0000-0000-00000BA70000}"/>
    <cellStyle name="Separador de milhares 2 7 3 4" xfId="41491" xr:uid="{00000000-0005-0000-0000-00000CA70000}"/>
    <cellStyle name="Separador de milhares 2 7 3 5" xfId="41492" xr:uid="{00000000-0005-0000-0000-00000DA70000}"/>
    <cellStyle name="Separador de milhares 2 7 3 6" xfId="41493" xr:uid="{00000000-0005-0000-0000-00000EA70000}"/>
    <cellStyle name="Separador de milhares 2 7 4" xfId="41494" xr:uid="{00000000-0005-0000-0000-00000FA70000}"/>
    <cellStyle name="Separador de milhares 2 7 4 2" xfId="41495" xr:uid="{00000000-0005-0000-0000-000010A70000}"/>
    <cellStyle name="Separador de milhares 2 7 4 3" xfId="41496" xr:uid="{00000000-0005-0000-0000-000011A70000}"/>
    <cellStyle name="Separador de milhares 2 7 4 4" xfId="41497" xr:uid="{00000000-0005-0000-0000-000012A70000}"/>
    <cellStyle name="Separador de milhares 2 7 4 5" xfId="41498" xr:uid="{00000000-0005-0000-0000-000013A70000}"/>
    <cellStyle name="Separador de milhares 2 7 4 6" xfId="41499" xr:uid="{00000000-0005-0000-0000-000014A70000}"/>
    <cellStyle name="Separador de milhares 2 7 5" xfId="41500" xr:uid="{00000000-0005-0000-0000-000015A70000}"/>
    <cellStyle name="Separador de milhares 2 7 5 2" xfId="41501" xr:uid="{00000000-0005-0000-0000-000016A70000}"/>
    <cellStyle name="Separador de milhares 2 7 5 3" xfId="41502" xr:uid="{00000000-0005-0000-0000-000017A70000}"/>
    <cellStyle name="Separador de milhares 2 7 5 4" xfId="41503" xr:uid="{00000000-0005-0000-0000-000018A70000}"/>
    <cellStyle name="Separador de milhares 2 7 5 5" xfId="41504" xr:uid="{00000000-0005-0000-0000-000019A70000}"/>
    <cellStyle name="Separador de milhares 2 7 5 6" xfId="41505" xr:uid="{00000000-0005-0000-0000-00001AA70000}"/>
    <cellStyle name="Separador de milhares 2 7 6" xfId="41506" xr:uid="{00000000-0005-0000-0000-00001BA70000}"/>
    <cellStyle name="Separador de milhares 2 7 6 2" xfId="41507" xr:uid="{00000000-0005-0000-0000-00001CA70000}"/>
    <cellStyle name="Separador de milhares 2 7 6 3" xfId="41508" xr:uid="{00000000-0005-0000-0000-00001DA70000}"/>
    <cellStyle name="Separador de milhares 2 7 6 4" xfId="41509" xr:uid="{00000000-0005-0000-0000-00001EA70000}"/>
    <cellStyle name="Separador de milhares 2 7 6 5" xfId="41510" xr:uid="{00000000-0005-0000-0000-00001FA70000}"/>
    <cellStyle name="Separador de milhares 2 7 6 6" xfId="41511" xr:uid="{00000000-0005-0000-0000-000020A70000}"/>
    <cellStyle name="Separador de milhares 2 7 7" xfId="41512" xr:uid="{00000000-0005-0000-0000-000021A70000}"/>
    <cellStyle name="Separador de milhares 2 7 7 2" xfId="41513" xr:uid="{00000000-0005-0000-0000-000022A70000}"/>
    <cellStyle name="Separador de milhares 2 7 7 3" xfId="41514" xr:uid="{00000000-0005-0000-0000-000023A70000}"/>
    <cellStyle name="Separador de milhares 2 7 7 4" xfId="41515" xr:uid="{00000000-0005-0000-0000-000024A70000}"/>
    <cellStyle name="Separador de milhares 2 7 7 5" xfId="41516" xr:uid="{00000000-0005-0000-0000-000025A70000}"/>
    <cellStyle name="Separador de milhares 2 7 7 6" xfId="41517" xr:uid="{00000000-0005-0000-0000-000026A70000}"/>
    <cellStyle name="Separador de milhares 2 7 8" xfId="41518" xr:uid="{00000000-0005-0000-0000-000027A70000}"/>
    <cellStyle name="Separador de milhares 2 7 8 2" xfId="41519" xr:uid="{00000000-0005-0000-0000-000028A70000}"/>
    <cellStyle name="Separador de milhares 2 7 8 3" xfId="41520" xr:uid="{00000000-0005-0000-0000-000029A70000}"/>
    <cellStyle name="Separador de milhares 2 7 8 4" xfId="41521" xr:uid="{00000000-0005-0000-0000-00002AA70000}"/>
    <cellStyle name="Separador de milhares 2 7 8 5" xfId="41522" xr:uid="{00000000-0005-0000-0000-00002BA70000}"/>
    <cellStyle name="Separador de milhares 2 7 8 6" xfId="41523" xr:uid="{00000000-0005-0000-0000-00002CA70000}"/>
    <cellStyle name="Separador de milhares 2 7 9" xfId="41524" xr:uid="{00000000-0005-0000-0000-00002DA70000}"/>
    <cellStyle name="Separador de milhares 2 8" xfId="41525" xr:uid="{00000000-0005-0000-0000-00002EA70000}"/>
    <cellStyle name="Separador de milhares 2 8 10" xfId="41526" xr:uid="{00000000-0005-0000-0000-00002FA70000}"/>
    <cellStyle name="Separador de milhares 2 8 11" xfId="41527" xr:uid="{00000000-0005-0000-0000-000030A70000}"/>
    <cellStyle name="Separador de milhares 2 8 12" xfId="41528" xr:uid="{00000000-0005-0000-0000-000031A70000}"/>
    <cellStyle name="Separador de milhares 2 8 13" xfId="41529" xr:uid="{00000000-0005-0000-0000-000032A70000}"/>
    <cellStyle name="Separador de milhares 2 8 14" xfId="41530" xr:uid="{00000000-0005-0000-0000-000033A70000}"/>
    <cellStyle name="Separador de milhares 2 8 2" xfId="41531" xr:uid="{00000000-0005-0000-0000-000034A70000}"/>
    <cellStyle name="Separador de milhares 2 8 2 2" xfId="41532" xr:uid="{00000000-0005-0000-0000-000035A70000}"/>
    <cellStyle name="Separador de milhares 2 8 2 3" xfId="41533" xr:uid="{00000000-0005-0000-0000-000036A70000}"/>
    <cellStyle name="Separador de milhares 2 8 2 4" xfId="41534" xr:uid="{00000000-0005-0000-0000-000037A70000}"/>
    <cellStyle name="Separador de milhares 2 8 2 5" xfId="41535" xr:uid="{00000000-0005-0000-0000-000038A70000}"/>
    <cellStyle name="Separador de milhares 2 8 2 6" xfId="41536" xr:uid="{00000000-0005-0000-0000-000039A70000}"/>
    <cellStyle name="Separador de milhares 2 8 2 7" xfId="41537" xr:uid="{00000000-0005-0000-0000-00003AA70000}"/>
    <cellStyle name="Separador de milhares 2 8 3" xfId="41538" xr:uid="{00000000-0005-0000-0000-00003BA70000}"/>
    <cellStyle name="Separador de milhares 2 8 3 2" xfId="41539" xr:uid="{00000000-0005-0000-0000-00003CA70000}"/>
    <cellStyle name="Separador de milhares 2 8 3 3" xfId="41540" xr:uid="{00000000-0005-0000-0000-00003DA70000}"/>
    <cellStyle name="Separador de milhares 2 8 3 4" xfId="41541" xr:uid="{00000000-0005-0000-0000-00003EA70000}"/>
    <cellStyle name="Separador de milhares 2 8 3 5" xfId="41542" xr:uid="{00000000-0005-0000-0000-00003FA70000}"/>
    <cellStyle name="Separador de milhares 2 8 3 6" xfId="41543" xr:uid="{00000000-0005-0000-0000-000040A70000}"/>
    <cellStyle name="Separador de milhares 2 8 4" xfId="41544" xr:uid="{00000000-0005-0000-0000-000041A70000}"/>
    <cellStyle name="Separador de milhares 2 8 4 2" xfId="41545" xr:uid="{00000000-0005-0000-0000-000042A70000}"/>
    <cellStyle name="Separador de milhares 2 8 4 3" xfId="41546" xr:uid="{00000000-0005-0000-0000-000043A70000}"/>
    <cellStyle name="Separador de milhares 2 8 4 4" xfId="41547" xr:uid="{00000000-0005-0000-0000-000044A70000}"/>
    <cellStyle name="Separador de milhares 2 8 4 5" xfId="41548" xr:uid="{00000000-0005-0000-0000-000045A70000}"/>
    <cellStyle name="Separador de milhares 2 8 4 6" xfId="41549" xr:uid="{00000000-0005-0000-0000-000046A70000}"/>
    <cellStyle name="Separador de milhares 2 8 5" xfId="41550" xr:uid="{00000000-0005-0000-0000-000047A70000}"/>
    <cellStyle name="Separador de milhares 2 8 5 2" xfId="41551" xr:uid="{00000000-0005-0000-0000-000048A70000}"/>
    <cellStyle name="Separador de milhares 2 8 5 3" xfId="41552" xr:uid="{00000000-0005-0000-0000-000049A70000}"/>
    <cellStyle name="Separador de milhares 2 8 5 4" xfId="41553" xr:uid="{00000000-0005-0000-0000-00004AA70000}"/>
    <cellStyle name="Separador de milhares 2 8 5 5" xfId="41554" xr:uid="{00000000-0005-0000-0000-00004BA70000}"/>
    <cellStyle name="Separador de milhares 2 8 5 6" xfId="41555" xr:uid="{00000000-0005-0000-0000-00004CA70000}"/>
    <cellStyle name="Separador de milhares 2 8 6" xfId="41556" xr:uid="{00000000-0005-0000-0000-00004DA70000}"/>
    <cellStyle name="Separador de milhares 2 8 6 2" xfId="41557" xr:uid="{00000000-0005-0000-0000-00004EA70000}"/>
    <cellStyle name="Separador de milhares 2 8 6 3" xfId="41558" xr:uid="{00000000-0005-0000-0000-00004FA70000}"/>
    <cellStyle name="Separador de milhares 2 8 6 4" xfId="41559" xr:uid="{00000000-0005-0000-0000-000050A70000}"/>
    <cellStyle name="Separador de milhares 2 8 6 5" xfId="41560" xr:uid="{00000000-0005-0000-0000-000051A70000}"/>
    <cellStyle name="Separador de milhares 2 8 6 6" xfId="41561" xr:uid="{00000000-0005-0000-0000-000052A70000}"/>
    <cellStyle name="Separador de milhares 2 8 7" xfId="41562" xr:uid="{00000000-0005-0000-0000-000053A70000}"/>
    <cellStyle name="Separador de milhares 2 8 7 2" xfId="41563" xr:uid="{00000000-0005-0000-0000-000054A70000}"/>
    <cellStyle name="Separador de milhares 2 8 7 3" xfId="41564" xr:uid="{00000000-0005-0000-0000-000055A70000}"/>
    <cellStyle name="Separador de milhares 2 8 7 4" xfId="41565" xr:uid="{00000000-0005-0000-0000-000056A70000}"/>
    <cellStyle name="Separador de milhares 2 8 7 5" xfId="41566" xr:uid="{00000000-0005-0000-0000-000057A70000}"/>
    <cellStyle name="Separador de milhares 2 8 7 6" xfId="41567" xr:uid="{00000000-0005-0000-0000-000058A70000}"/>
    <cellStyle name="Separador de milhares 2 8 8" xfId="41568" xr:uid="{00000000-0005-0000-0000-000059A70000}"/>
    <cellStyle name="Separador de milhares 2 8 8 2" xfId="41569" xr:uid="{00000000-0005-0000-0000-00005AA70000}"/>
    <cellStyle name="Separador de milhares 2 8 8 3" xfId="41570" xr:uid="{00000000-0005-0000-0000-00005BA70000}"/>
    <cellStyle name="Separador de milhares 2 8 8 4" xfId="41571" xr:uid="{00000000-0005-0000-0000-00005CA70000}"/>
    <cellStyle name="Separador de milhares 2 8 8 5" xfId="41572" xr:uid="{00000000-0005-0000-0000-00005DA70000}"/>
    <cellStyle name="Separador de milhares 2 8 8 6" xfId="41573" xr:uid="{00000000-0005-0000-0000-00005EA70000}"/>
    <cellStyle name="Separador de milhares 2 8 9" xfId="41574" xr:uid="{00000000-0005-0000-0000-00005FA70000}"/>
    <cellStyle name="Separador de milhares 2 9" xfId="41575" xr:uid="{00000000-0005-0000-0000-000060A70000}"/>
    <cellStyle name="Separador de milhares 2 9 10" xfId="41576" xr:uid="{00000000-0005-0000-0000-000061A70000}"/>
    <cellStyle name="Separador de milhares 2 9 11" xfId="41577" xr:uid="{00000000-0005-0000-0000-000062A70000}"/>
    <cellStyle name="Separador de milhares 2 9 12" xfId="41578" xr:uid="{00000000-0005-0000-0000-000063A70000}"/>
    <cellStyle name="Separador de milhares 2 9 13" xfId="41579" xr:uid="{00000000-0005-0000-0000-000064A70000}"/>
    <cellStyle name="Separador de milhares 2 9 14" xfId="41580" xr:uid="{00000000-0005-0000-0000-000065A70000}"/>
    <cellStyle name="Separador de milhares 2 9 2" xfId="41581" xr:uid="{00000000-0005-0000-0000-000066A70000}"/>
    <cellStyle name="Separador de milhares 2 9 2 2" xfId="41582" xr:uid="{00000000-0005-0000-0000-000067A70000}"/>
    <cellStyle name="Separador de milhares 2 9 2 3" xfId="41583" xr:uid="{00000000-0005-0000-0000-000068A70000}"/>
    <cellStyle name="Separador de milhares 2 9 2 4" xfId="41584" xr:uid="{00000000-0005-0000-0000-000069A70000}"/>
    <cellStyle name="Separador de milhares 2 9 2 5" xfId="41585" xr:uid="{00000000-0005-0000-0000-00006AA70000}"/>
    <cellStyle name="Separador de milhares 2 9 2 6" xfId="41586" xr:uid="{00000000-0005-0000-0000-00006BA70000}"/>
    <cellStyle name="Separador de milhares 2 9 3" xfId="41587" xr:uid="{00000000-0005-0000-0000-00006CA70000}"/>
    <cellStyle name="Separador de milhares 2 9 3 2" xfId="41588" xr:uid="{00000000-0005-0000-0000-00006DA70000}"/>
    <cellStyle name="Separador de milhares 2 9 3 3" xfId="41589" xr:uid="{00000000-0005-0000-0000-00006EA70000}"/>
    <cellStyle name="Separador de milhares 2 9 3 4" xfId="41590" xr:uid="{00000000-0005-0000-0000-00006FA70000}"/>
    <cellStyle name="Separador de milhares 2 9 3 5" xfId="41591" xr:uid="{00000000-0005-0000-0000-000070A70000}"/>
    <cellStyle name="Separador de milhares 2 9 3 6" xfId="41592" xr:uid="{00000000-0005-0000-0000-000071A70000}"/>
    <cellStyle name="Separador de milhares 2 9 4" xfId="41593" xr:uid="{00000000-0005-0000-0000-000072A70000}"/>
    <cellStyle name="Separador de milhares 2 9 4 2" xfId="41594" xr:uid="{00000000-0005-0000-0000-000073A70000}"/>
    <cellStyle name="Separador de milhares 2 9 4 3" xfId="41595" xr:uid="{00000000-0005-0000-0000-000074A70000}"/>
    <cellStyle name="Separador de milhares 2 9 4 4" xfId="41596" xr:uid="{00000000-0005-0000-0000-000075A70000}"/>
    <cellStyle name="Separador de milhares 2 9 4 5" xfId="41597" xr:uid="{00000000-0005-0000-0000-000076A70000}"/>
    <cellStyle name="Separador de milhares 2 9 4 6" xfId="41598" xr:uid="{00000000-0005-0000-0000-000077A70000}"/>
    <cellStyle name="Separador de milhares 2 9 5" xfId="41599" xr:uid="{00000000-0005-0000-0000-000078A70000}"/>
    <cellStyle name="Separador de milhares 2 9 5 2" xfId="41600" xr:uid="{00000000-0005-0000-0000-000079A70000}"/>
    <cellStyle name="Separador de milhares 2 9 5 3" xfId="41601" xr:uid="{00000000-0005-0000-0000-00007AA70000}"/>
    <cellStyle name="Separador de milhares 2 9 5 4" xfId="41602" xr:uid="{00000000-0005-0000-0000-00007BA70000}"/>
    <cellStyle name="Separador de milhares 2 9 5 5" xfId="41603" xr:uid="{00000000-0005-0000-0000-00007CA70000}"/>
    <cellStyle name="Separador de milhares 2 9 5 6" xfId="41604" xr:uid="{00000000-0005-0000-0000-00007DA70000}"/>
    <cellStyle name="Separador de milhares 2 9 6" xfId="41605" xr:uid="{00000000-0005-0000-0000-00007EA70000}"/>
    <cellStyle name="Separador de milhares 2 9 6 2" xfId="41606" xr:uid="{00000000-0005-0000-0000-00007FA70000}"/>
    <cellStyle name="Separador de milhares 2 9 6 3" xfId="41607" xr:uid="{00000000-0005-0000-0000-000080A70000}"/>
    <cellStyle name="Separador de milhares 2 9 6 4" xfId="41608" xr:uid="{00000000-0005-0000-0000-000081A70000}"/>
    <cellStyle name="Separador de milhares 2 9 6 5" xfId="41609" xr:uid="{00000000-0005-0000-0000-000082A70000}"/>
    <cellStyle name="Separador de milhares 2 9 6 6" xfId="41610" xr:uid="{00000000-0005-0000-0000-000083A70000}"/>
    <cellStyle name="Separador de milhares 2 9 7" xfId="41611" xr:uid="{00000000-0005-0000-0000-000084A70000}"/>
    <cellStyle name="Separador de milhares 2 9 7 2" xfId="41612" xr:uid="{00000000-0005-0000-0000-000085A70000}"/>
    <cellStyle name="Separador de milhares 2 9 7 3" xfId="41613" xr:uid="{00000000-0005-0000-0000-000086A70000}"/>
    <cellStyle name="Separador de milhares 2 9 7 4" xfId="41614" xr:uid="{00000000-0005-0000-0000-000087A70000}"/>
    <cellStyle name="Separador de milhares 2 9 7 5" xfId="41615" xr:uid="{00000000-0005-0000-0000-000088A70000}"/>
    <cellStyle name="Separador de milhares 2 9 7 6" xfId="41616" xr:uid="{00000000-0005-0000-0000-000089A70000}"/>
    <cellStyle name="Separador de milhares 2 9 8" xfId="41617" xr:uid="{00000000-0005-0000-0000-00008AA70000}"/>
    <cellStyle name="Separador de milhares 2 9 8 2" xfId="41618" xr:uid="{00000000-0005-0000-0000-00008BA70000}"/>
    <cellStyle name="Separador de milhares 2 9 8 3" xfId="41619" xr:uid="{00000000-0005-0000-0000-00008CA70000}"/>
    <cellStyle name="Separador de milhares 2 9 8 4" xfId="41620" xr:uid="{00000000-0005-0000-0000-00008DA70000}"/>
    <cellStyle name="Separador de milhares 2 9 8 5" xfId="41621" xr:uid="{00000000-0005-0000-0000-00008EA70000}"/>
    <cellStyle name="Separador de milhares 2 9 8 6" xfId="41622" xr:uid="{00000000-0005-0000-0000-00008FA70000}"/>
    <cellStyle name="Separador de milhares 2 9 9" xfId="41623" xr:uid="{00000000-0005-0000-0000-000090A70000}"/>
    <cellStyle name="Separador de milhares 2_COELBA_IRT 2010_Simulador_v19_MAR_10(Breno)_2 (envio)" xfId="43842" xr:uid="{00000000-0005-0000-0000-000091A70000}"/>
    <cellStyle name="Separador de milhares 20" xfId="43843" xr:uid="{00000000-0005-0000-0000-000092A70000}"/>
    <cellStyle name="Separador de milhares 21" xfId="43844" xr:uid="{00000000-0005-0000-0000-000093A70000}"/>
    <cellStyle name="Separador de milhares 22" xfId="43845" xr:uid="{00000000-0005-0000-0000-000094A70000}"/>
    <cellStyle name="Separador de milhares 23" xfId="41624" xr:uid="{00000000-0005-0000-0000-000095A70000}"/>
    <cellStyle name="Separador de milhares 24" xfId="43846" xr:uid="{00000000-0005-0000-0000-000096A70000}"/>
    <cellStyle name="Separador de milhares 25" xfId="43847" xr:uid="{00000000-0005-0000-0000-000097A70000}"/>
    <cellStyle name="Separador de milhares 26" xfId="43848" xr:uid="{00000000-0005-0000-0000-000098A70000}"/>
    <cellStyle name="Separador de milhares 27" xfId="43849" xr:uid="{00000000-0005-0000-0000-000099A70000}"/>
    <cellStyle name="Separador de milhares 28" xfId="43850" xr:uid="{00000000-0005-0000-0000-00009AA70000}"/>
    <cellStyle name="Separador de milhares 3" xfId="882" xr:uid="{00000000-0005-0000-0000-00009BA70000}"/>
    <cellStyle name="Separador de milhares 3 10" xfId="41625" xr:uid="{00000000-0005-0000-0000-00009CA70000}"/>
    <cellStyle name="Separador de milhares 3 11" xfId="41626" xr:uid="{00000000-0005-0000-0000-00009DA70000}"/>
    <cellStyle name="Separador de milhares 3 12" xfId="41627" xr:uid="{00000000-0005-0000-0000-00009EA70000}"/>
    <cellStyle name="Separador de milhares 3 13" xfId="41628" xr:uid="{00000000-0005-0000-0000-00009FA70000}"/>
    <cellStyle name="Separador de milhares 3 14" xfId="41629" xr:uid="{00000000-0005-0000-0000-0000A0A70000}"/>
    <cellStyle name="Separador de milhares 3 15" xfId="41630" xr:uid="{00000000-0005-0000-0000-0000A1A70000}"/>
    <cellStyle name="Separador de milhares 3 16" xfId="41631" xr:uid="{00000000-0005-0000-0000-0000A2A70000}"/>
    <cellStyle name="Separador de milhares 3 17" xfId="41632" xr:uid="{00000000-0005-0000-0000-0000A3A70000}"/>
    <cellStyle name="Separador de milhares 3 18" xfId="41633" xr:uid="{00000000-0005-0000-0000-0000A4A70000}"/>
    <cellStyle name="Separador de milhares 3 19" xfId="41634" xr:uid="{00000000-0005-0000-0000-0000A5A70000}"/>
    <cellStyle name="Separador de milhares 3 2" xfId="1149" xr:uid="{00000000-0005-0000-0000-0000A6A70000}"/>
    <cellStyle name="Separador de milhares 3 2 2" xfId="41635" xr:uid="{00000000-0005-0000-0000-0000A7A70000}"/>
    <cellStyle name="Separador de milhares 3 2 2 2" xfId="41636" xr:uid="{00000000-0005-0000-0000-0000A8A70000}"/>
    <cellStyle name="Separador de milhares 3 2 2 3" xfId="41637" xr:uid="{00000000-0005-0000-0000-0000A9A70000}"/>
    <cellStyle name="Separador de milhares 3 2 3" xfId="41638" xr:uid="{00000000-0005-0000-0000-0000AAA70000}"/>
    <cellStyle name="Separador de milhares 3 2 4" xfId="41639" xr:uid="{00000000-0005-0000-0000-0000ABA70000}"/>
    <cellStyle name="Separador de milhares 3 20" xfId="41640" xr:uid="{00000000-0005-0000-0000-0000ACA70000}"/>
    <cellStyle name="Separador de milhares 3 21" xfId="41641" xr:uid="{00000000-0005-0000-0000-0000ADA70000}"/>
    <cellStyle name="Separador de milhares 3 22" xfId="41642" xr:uid="{00000000-0005-0000-0000-0000AEA70000}"/>
    <cellStyle name="Separador de milhares 3 23" xfId="41643" xr:uid="{00000000-0005-0000-0000-0000AFA70000}"/>
    <cellStyle name="Separador de milhares 3 24" xfId="41644" xr:uid="{00000000-0005-0000-0000-0000B0A70000}"/>
    <cellStyle name="Separador de milhares 3 25" xfId="41645" xr:uid="{00000000-0005-0000-0000-0000B1A70000}"/>
    <cellStyle name="Separador de milhares 3 26" xfId="41646" xr:uid="{00000000-0005-0000-0000-0000B2A70000}"/>
    <cellStyle name="Separador de milhares 3 27" xfId="41647" xr:uid="{00000000-0005-0000-0000-0000B3A70000}"/>
    <cellStyle name="Separador de milhares 3 28" xfId="41648" xr:uid="{00000000-0005-0000-0000-0000B4A70000}"/>
    <cellStyle name="Separador de milhares 3 29" xfId="41649" xr:uid="{00000000-0005-0000-0000-0000B5A70000}"/>
    <cellStyle name="Separador de milhares 3 3" xfId="1150" xr:uid="{00000000-0005-0000-0000-0000B6A70000}"/>
    <cellStyle name="Separador de milhares 3 30" xfId="41650" xr:uid="{00000000-0005-0000-0000-0000B7A70000}"/>
    <cellStyle name="Separador de milhares 3 31" xfId="41651" xr:uid="{00000000-0005-0000-0000-0000B8A70000}"/>
    <cellStyle name="Separador de milhares 3 32" xfId="41652" xr:uid="{00000000-0005-0000-0000-0000B9A70000}"/>
    <cellStyle name="Separador de milhares 3 33" xfId="41653" xr:uid="{00000000-0005-0000-0000-0000BAA70000}"/>
    <cellStyle name="Separador de milhares 3 34" xfId="41654" xr:uid="{00000000-0005-0000-0000-0000BBA70000}"/>
    <cellStyle name="Separador de milhares 3 35" xfId="41655" xr:uid="{00000000-0005-0000-0000-0000BCA70000}"/>
    <cellStyle name="Separador de milhares 3 36" xfId="41656" xr:uid="{00000000-0005-0000-0000-0000BDA70000}"/>
    <cellStyle name="Separador de milhares 3 37" xfId="41657" xr:uid="{00000000-0005-0000-0000-0000BEA70000}"/>
    <cellStyle name="Separador de milhares 3 38" xfId="41658" xr:uid="{00000000-0005-0000-0000-0000BFA70000}"/>
    <cellStyle name="Separador de milhares 3 39" xfId="41659" xr:uid="{00000000-0005-0000-0000-0000C0A70000}"/>
    <cellStyle name="Separador de milhares 3 4" xfId="1151" xr:uid="{00000000-0005-0000-0000-0000C1A70000}"/>
    <cellStyle name="Separador de milhares 3 40" xfId="41660" xr:uid="{00000000-0005-0000-0000-0000C2A70000}"/>
    <cellStyle name="Separador de milhares 3 41" xfId="41661" xr:uid="{00000000-0005-0000-0000-0000C3A70000}"/>
    <cellStyle name="Separador de milhares 3 42" xfId="41662" xr:uid="{00000000-0005-0000-0000-0000C4A70000}"/>
    <cellStyle name="Separador de milhares 3 43" xfId="41663" xr:uid="{00000000-0005-0000-0000-0000C5A70000}"/>
    <cellStyle name="Separador de milhares 3 44" xfId="41664" xr:uid="{00000000-0005-0000-0000-0000C6A70000}"/>
    <cellStyle name="Separador de milhares 3 45" xfId="41665" xr:uid="{00000000-0005-0000-0000-0000C7A70000}"/>
    <cellStyle name="Separador de milhares 3 46" xfId="41666" xr:uid="{00000000-0005-0000-0000-0000C8A70000}"/>
    <cellStyle name="Separador de milhares 3 47" xfId="41667" xr:uid="{00000000-0005-0000-0000-0000C9A70000}"/>
    <cellStyle name="Separador de milhares 3 48" xfId="41668" xr:uid="{00000000-0005-0000-0000-0000CAA70000}"/>
    <cellStyle name="Separador de milhares 3 5" xfId="1152" xr:uid="{00000000-0005-0000-0000-0000CBA70000}"/>
    <cellStyle name="Separador de milhares 3 6" xfId="41669" xr:uid="{00000000-0005-0000-0000-0000CCA70000}"/>
    <cellStyle name="Separador de milhares 3 7" xfId="41670" xr:uid="{00000000-0005-0000-0000-0000CDA70000}"/>
    <cellStyle name="Separador de milhares 3 8" xfId="41671" xr:uid="{00000000-0005-0000-0000-0000CEA70000}"/>
    <cellStyle name="Separador de milhares 3 9" xfId="41672" xr:uid="{00000000-0005-0000-0000-0000CFA70000}"/>
    <cellStyle name="Separador de milhares 34" xfId="43851" xr:uid="{00000000-0005-0000-0000-0000D0A70000}"/>
    <cellStyle name="Separador de milhares 4" xfId="1153" xr:uid="{00000000-0005-0000-0000-0000D1A70000}"/>
    <cellStyle name="Separador de milhares 4 10" xfId="41673" xr:uid="{00000000-0005-0000-0000-0000D2A70000}"/>
    <cellStyle name="Separador de milhares 4 10 2" xfId="41674" xr:uid="{00000000-0005-0000-0000-0000D3A70000}"/>
    <cellStyle name="Separador de milhares 4 10 2 2" xfId="41675" xr:uid="{00000000-0005-0000-0000-0000D4A70000}"/>
    <cellStyle name="Separador de milhares 4 10 2 3" xfId="41676" xr:uid="{00000000-0005-0000-0000-0000D5A70000}"/>
    <cellStyle name="Separador de milhares 4 10 2 4" xfId="41677" xr:uid="{00000000-0005-0000-0000-0000D6A70000}"/>
    <cellStyle name="Separador de milhares 4 10 3" xfId="41678" xr:uid="{00000000-0005-0000-0000-0000D7A70000}"/>
    <cellStyle name="Separador de milhares 4 10 3 2" xfId="41679" xr:uid="{00000000-0005-0000-0000-0000D8A70000}"/>
    <cellStyle name="Separador de milhares 4 10 3 3" xfId="41680" xr:uid="{00000000-0005-0000-0000-0000D9A70000}"/>
    <cellStyle name="Separador de milhares 4 10 3 4" xfId="41681" xr:uid="{00000000-0005-0000-0000-0000DAA70000}"/>
    <cellStyle name="Separador de milhares 4 10 4" xfId="41682" xr:uid="{00000000-0005-0000-0000-0000DBA70000}"/>
    <cellStyle name="Separador de milhares 4 10 5" xfId="41683" xr:uid="{00000000-0005-0000-0000-0000DCA70000}"/>
    <cellStyle name="Separador de milhares 4 10 6" xfId="41684" xr:uid="{00000000-0005-0000-0000-0000DDA70000}"/>
    <cellStyle name="Separador de milhares 4 11" xfId="41685" xr:uid="{00000000-0005-0000-0000-0000DEA70000}"/>
    <cellStyle name="Separador de milhares 4 11 2" xfId="41686" xr:uid="{00000000-0005-0000-0000-0000DFA70000}"/>
    <cellStyle name="Separador de milhares 4 11 2 2" xfId="41687" xr:uid="{00000000-0005-0000-0000-0000E0A70000}"/>
    <cellStyle name="Separador de milhares 4 11 2 3" xfId="41688" xr:uid="{00000000-0005-0000-0000-0000E1A70000}"/>
    <cellStyle name="Separador de milhares 4 11 2 4" xfId="41689" xr:uid="{00000000-0005-0000-0000-0000E2A70000}"/>
    <cellStyle name="Separador de milhares 4 11 3" xfId="41690" xr:uid="{00000000-0005-0000-0000-0000E3A70000}"/>
    <cellStyle name="Separador de milhares 4 11 3 2" xfId="41691" xr:uid="{00000000-0005-0000-0000-0000E4A70000}"/>
    <cellStyle name="Separador de milhares 4 11 3 3" xfId="41692" xr:uid="{00000000-0005-0000-0000-0000E5A70000}"/>
    <cellStyle name="Separador de milhares 4 11 3 4" xfId="41693" xr:uid="{00000000-0005-0000-0000-0000E6A70000}"/>
    <cellStyle name="Separador de milhares 4 11 4" xfId="41694" xr:uid="{00000000-0005-0000-0000-0000E7A70000}"/>
    <cellStyle name="Separador de milhares 4 11 5" xfId="41695" xr:uid="{00000000-0005-0000-0000-0000E8A70000}"/>
    <cellStyle name="Separador de milhares 4 11 6" xfId="41696" xr:uid="{00000000-0005-0000-0000-0000E9A70000}"/>
    <cellStyle name="Separador de milhares 4 12" xfId="41697" xr:uid="{00000000-0005-0000-0000-0000EAA70000}"/>
    <cellStyle name="Separador de milhares 4 12 2" xfId="41698" xr:uid="{00000000-0005-0000-0000-0000EBA70000}"/>
    <cellStyle name="Separador de milhares 4 12 2 2" xfId="41699" xr:uid="{00000000-0005-0000-0000-0000ECA70000}"/>
    <cellStyle name="Separador de milhares 4 12 2 3" xfId="41700" xr:uid="{00000000-0005-0000-0000-0000EDA70000}"/>
    <cellStyle name="Separador de milhares 4 12 2 4" xfId="41701" xr:uid="{00000000-0005-0000-0000-0000EEA70000}"/>
    <cellStyle name="Separador de milhares 4 12 3" xfId="41702" xr:uid="{00000000-0005-0000-0000-0000EFA70000}"/>
    <cellStyle name="Separador de milhares 4 12 3 2" xfId="41703" xr:uid="{00000000-0005-0000-0000-0000F0A70000}"/>
    <cellStyle name="Separador de milhares 4 12 3 3" xfId="41704" xr:uid="{00000000-0005-0000-0000-0000F1A70000}"/>
    <cellStyle name="Separador de milhares 4 12 3 4" xfId="41705" xr:uid="{00000000-0005-0000-0000-0000F2A70000}"/>
    <cellStyle name="Separador de milhares 4 12 4" xfId="41706" xr:uid="{00000000-0005-0000-0000-0000F3A70000}"/>
    <cellStyle name="Separador de milhares 4 12 5" xfId="41707" xr:uid="{00000000-0005-0000-0000-0000F4A70000}"/>
    <cellStyle name="Separador de milhares 4 12 6" xfId="41708" xr:uid="{00000000-0005-0000-0000-0000F5A70000}"/>
    <cellStyle name="Separador de milhares 4 13" xfId="41709" xr:uid="{00000000-0005-0000-0000-0000F6A70000}"/>
    <cellStyle name="Separador de milhares 4 13 2" xfId="41710" xr:uid="{00000000-0005-0000-0000-0000F7A70000}"/>
    <cellStyle name="Separador de milhares 4 13 2 2" xfId="41711" xr:uid="{00000000-0005-0000-0000-0000F8A70000}"/>
    <cellStyle name="Separador de milhares 4 13 2 3" xfId="41712" xr:uid="{00000000-0005-0000-0000-0000F9A70000}"/>
    <cellStyle name="Separador de milhares 4 13 2 4" xfId="41713" xr:uid="{00000000-0005-0000-0000-0000FAA70000}"/>
    <cellStyle name="Separador de milhares 4 13 3" xfId="41714" xr:uid="{00000000-0005-0000-0000-0000FBA70000}"/>
    <cellStyle name="Separador de milhares 4 13 3 2" xfId="41715" xr:uid="{00000000-0005-0000-0000-0000FCA70000}"/>
    <cellStyle name="Separador de milhares 4 13 3 3" xfId="41716" xr:uid="{00000000-0005-0000-0000-0000FDA70000}"/>
    <cellStyle name="Separador de milhares 4 13 3 4" xfId="41717" xr:uid="{00000000-0005-0000-0000-0000FEA70000}"/>
    <cellStyle name="Separador de milhares 4 13 4" xfId="41718" xr:uid="{00000000-0005-0000-0000-0000FFA70000}"/>
    <cellStyle name="Separador de milhares 4 13 5" xfId="41719" xr:uid="{00000000-0005-0000-0000-000000A80000}"/>
    <cellStyle name="Separador de milhares 4 13 6" xfId="41720" xr:uid="{00000000-0005-0000-0000-000001A80000}"/>
    <cellStyle name="Separador de milhares 4 14" xfId="41721" xr:uid="{00000000-0005-0000-0000-000002A80000}"/>
    <cellStyle name="Separador de milhares 4 14 2" xfId="41722" xr:uid="{00000000-0005-0000-0000-000003A80000}"/>
    <cellStyle name="Separador de milhares 4 14 2 2" xfId="41723" xr:uid="{00000000-0005-0000-0000-000004A80000}"/>
    <cellStyle name="Separador de milhares 4 14 2 3" xfId="41724" xr:uid="{00000000-0005-0000-0000-000005A80000}"/>
    <cellStyle name="Separador de milhares 4 14 2 4" xfId="41725" xr:uid="{00000000-0005-0000-0000-000006A80000}"/>
    <cellStyle name="Separador de milhares 4 14 3" xfId="41726" xr:uid="{00000000-0005-0000-0000-000007A80000}"/>
    <cellStyle name="Separador de milhares 4 14 3 2" xfId="41727" xr:uid="{00000000-0005-0000-0000-000008A80000}"/>
    <cellStyle name="Separador de milhares 4 14 3 3" xfId="41728" xr:uid="{00000000-0005-0000-0000-000009A80000}"/>
    <cellStyle name="Separador de milhares 4 14 3 4" xfId="41729" xr:uid="{00000000-0005-0000-0000-00000AA80000}"/>
    <cellStyle name="Separador de milhares 4 14 4" xfId="41730" xr:uid="{00000000-0005-0000-0000-00000BA80000}"/>
    <cellStyle name="Separador de milhares 4 14 5" xfId="41731" xr:uid="{00000000-0005-0000-0000-00000CA80000}"/>
    <cellStyle name="Separador de milhares 4 14 6" xfId="41732" xr:uid="{00000000-0005-0000-0000-00000DA80000}"/>
    <cellStyle name="Separador de milhares 4 15" xfId="41733" xr:uid="{00000000-0005-0000-0000-00000EA80000}"/>
    <cellStyle name="Separador de milhares 4 15 2" xfId="41734" xr:uid="{00000000-0005-0000-0000-00000FA80000}"/>
    <cellStyle name="Separador de milhares 4 15 2 2" xfId="41735" xr:uid="{00000000-0005-0000-0000-000010A80000}"/>
    <cellStyle name="Separador de milhares 4 15 2 3" xfId="41736" xr:uid="{00000000-0005-0000-0000-000011A80000}"/>
    <cellStyle name="Separador de milhares 4 15 2 4" xfId="41737" xr:uid="{00000000-0005-0000-0000-000012A80000}"/>
    <cellStyle name="Separador de milhares 4 15 3" xfId="41738" xr:uid="{00000000-0005-0000-0000-000013A80000}"/>
    <cellStyle name="Separador de milhares 4 15 3 2" xfId="41739" xr:uid="{00000000-0005-0000-0000-000014A80000}"/>
    <cellStyle name="Separador de milhares 4 15 3 3" xfId="41740" xr:uid="{00000000-0005-0000-0000-000015A80000}"/>
    <cellStyle name="Separador de milhares 4 15 3 4" xfId="41741" xr:uid="{00000000-0005-0000-0000-000016A80000}"/>
    <cellStyle name="Separador de milhares 4 15 4" xfId="41742" xr:uid="{00000000-0005-0000-0000-000017A80000}"/>
    <cellStyle name="Separador de milhares 4 15 5" xfId="41743" xr:uid="{00000000-0005-0000-0000-000018A80000}"/>
    <cellStyle name="Separador de milhares 4 15 6" xfId="41744" xr:uid="{00000000-0005-0000-0000-000019A80000}"/>
    <cellStyle name="Separador de milhares 4 16" xfId="41745" xr:uid="{00000000-0005-0000-0000-00001AA80000}"/>
    <cellStyle name="Separador de milhares 4 16 2" xfId="41746" xr:uid="{00000000-0005-0000-0000-00001BA80000}"/>
    <cellStyle name="Separador de milhares 4 16 2 2" xfId="41747" xr:uid="{00000000-0005-0000-0000-00001CA80000}"/>
    <cellStyle name="Separador de milhares 4 16 2 3" xfId="41748" xr:uid="{00000000-0005-0000-0000-00001DA80000}"/>
    <cellStyle name="Separador de milhares 4 16 2 4" xfId="41749" xr:uid="{00000000-0005-0000-0000-00001EA80000}"/>
    <cellStyle name="Separador de milhares 4 16 3" xfId="41750" xr:uid="{00000000-0005-0000-0000-00001FA80000}"/>
    <cellStyle name="Separador de milhares 4 16 3 2" xfId="41751" xr:uid="{00000000-0005-0000-0000-000020A80000}"/>
    <cellStyle name="Separador de milhares 4 16 3 3" xfId="41752" xr:uid="{00000000-0005-0000-0000-000021A80000}"/>
    <cellStyle name="Separador de milhares 4 16 3 4" xfId="41753" xr:uid="{00000000-0005-0000-0000-000022A80000}"/>
    <cellStyle name="Separador de milhares 4 16 4" xfId="41754" xr:uid="{00000000-0005-0000-0000-000023A80000}"/>
    <cellStyle name="Separador de milhares 4 16 5" xfId="41755" xr:uid="{00000000-0005-0000-0000-000024A80000}"/>
    <cellStyle name="Separador de milhares 4 16 6" xfId="41756" xr:uid="{00000000-0005-0000-0000-000025A80000}"/>
    <cellStyle name="Separador de milhares 4 17" xfId="41757" xr:uid="{00000000-0005-0000-0000-000026A80000}"/>
    <cellStyle name="Separador de milhares 4 17 2" xfId="41758" xr:uid="{00000000-0005-0000-0000-000027A80000}"/>
    <cellStyle name="Separador de milhares 4 17 2 2" xfId="41759" xr:uid="{00000000-0005-0000-0000-000028A80000}"/>
    <cellStyle name="Separador de milhares 4 17 2 3" xfId="41760" xr:uid="{00000000-0005-0000-0000-000029A80000}"/>
    <cellStyle name="Separador de milhares 4 17 2 4" xfId="41761" xr:uid="{00000000-0005-0000-0000-00002AA80000}"/>
    <cellStyle name="Separador de milhares 4 17 3" xfId="41762" xr:uid="{00000000-0005-0000-0000-00002BA80000}"/>
    <cellStyle name="Separador de milhares 4 17 3 2" xfId="41763" xr:uid="{00000000-0005-0000-0000-00002CA80000}"/>
    <cellStyle name="Separador de milhares 4 17 3 3" xfId="41764" xr:uid="{00000000-0005-0000-0000-00002DA80000}"/>
    <cellStyle name="Separador de milhares 4 17 3 4" xfId="41765" xr:uid="{00000000-0005-0000-0000-00002EA80000}"/>
    <cellStyle name="Separador de milhares 4 17 4" xfId="41766" xr:uid="{00000000-0005-0000-0000-00002FA80000}"/>
    <cellStyle name="Separador de milhares 4 17 5" xfId="41767" xr:uid="{00000000-0005-0000-0000-000030A80000}"/>
    <cellStyle name="Separador de milhares 4 17 6" xfId="41768" xr:uid="{00000000-0005-0000-0000-000031A80000}"/>
    <cellStyle name="Separador de milhares 4 18" xfId="41769" xr:uid="{00000000-0005-0000-0000-000032A80000}"/>
    <cellStyle name="Separador de milhares 4 18 2" xfId="41770" xr:uid="{00000000-0005-0000-0000-000033A80000}"/>
    <cellStyle name="Separador de milhares 4 18 2 2" xfId="41771" xr:uid="{00000000-0005-0000-0000-000034A80000}"/>
    <cellStyle name="Separador de milhares 4 18 2 3" xfId="41772" xr:uid="{00000000-0005-0000-0000-000035A80000}"/>
    <cellStyle name="Separador de milhares 4 18 2 4" xfId="41773" xr:uid="{00000000-0005-0000-0000-000036A80000}"/>
    <cellStyle name="Separador de milhares 4 18 3" xfId="41774" xr:uid="{00000000-0005-0000-0000-000037A80000}"/>
    <cellStyle name="Separador de milhares 4 18 3 2" xfId="41775" xr:uid="{00000000-0005-0000-0000-000038A80000}"/>
    <cellStyle name="Separador de milhares 4 18 3 3" xfId="41776" xr:uid="{00000000-0005-0000-0000-000039A80000}"/>
    <cellStyle name="Separador de milhares 4 18 3 4" xfId="41777" xr:uid="{00000000-0005-0000-0000-00003AA80000}"/>
    <cellStyle name="Separador de milhares 4 18 4" xfId="41778" xr:uid="{00000000-0005-0000-0000-00003BA80000}"/>
    <cellStyle name="Separador de milhares 4 18 5" xfId="41779" xr:uid="{00000000-0005-0000-0000-00003CA80000}"/>
    <cellStyle name="Separador de milhares 4 18 6" xfId="41780" xr:uid="{00000000-0005-0000-0000-00003DA80000}"/>
    <cellStyle name="Separador de milhares 4 19" xfId="41781" xr:uid="{00000000-0005-0000-0000-00003EA80000}"/>
    <cellStyle name="Separador de milhares 4 19 2" xfId="41782" xr:uid="{00000000-0005-0000-0000-00003FA80000}"/>
    <cellStyle name="Separador de milhares 4 19 2 2" xfId="41783" xr:uid="{00000000-0005-0000-0000-000040A80000}"/>
    <cellStyle name="Separador de milhares 4 19 2 3" xfId="41784" xr:uid="{00000000-0005-0000-0000-000041A80000}"/>
    <cellStyle name="Separador de milhares 4 19 2 4" xfId="41785" xr:uid="{00000000-0005-0000-0000-000042A80000}"/>
    <cellStyle name="Separador de milhares 4 19 3" xfId="41786" xr:uid="{00000000-0005-0000-0000-000043A80000}"/>
    <cellStyle name="Separador de milhares 4 19 3 2" xfId="41787" xr:uid="{00000000-0005-0000-0000-000044A80000}"/>
    <cellStyle name="Separador de milhares 4 19 3 3" xfId="41788" xr:uid="{00000000-0005-0000-0000-000045A80000}"/>
    <cellStyle name="Separador de milhares 4 19 3 4" xfId="41789" xr:uid="{00000000-0005-0000-0000-000046A80000}"/>
    <cellStyle name="Separador de milhares 4 19 4" xfId="41790" xr:uid="{00000000-0005-0000-0000-000047A80000}"/>
    <cellStyle name="Separador de milhares 4 19 5" xfId="41791" xr:uid="{00000000-0005-0000-0000-000048A80000}"/>
    <cellStyle name="Separador de milhares 4 19 6" xfId="41792" xr:uid="{00000000-0005-0000-0000-000049A80000}"/>
    <cellStyle name="Separador de milhares 4 2" xfId="1154" xr:uid="{00000000-0005-0000-0000-00004AA80000}"/>
    <cellStyle name="Separador de milhares 4 2 10" xfId="41793" xr:uid="{00000000-0005-0000-0000-00004BA80000}"/>
    <cellStyle name="Separador de milhares 4 2 10 2" xfId="41794" xr:uid="{00000000-0005-0000-0000-00004CA80000}"/>
    <cellStyle name="Separador de milhares 4 2 10 2 2" xfId="41795" xr:uid="{00000000-0005-0000-0000-00004DA80000}"/>
    <cellStyle name="Separador de milhares 4 2 10 2 3" xfId="41796" xr:uid="{00000000-0005-0000-0000-00004EA80000}"/>
    <cellStyle name="Separador de milhares 4 2 10 2 4" xfId="41797" xr:uid="{00000000-0005-0000-0000-00004FA80000}"/>
    <cellStyle name="Separador de milhares 4 2 10 3" xfId="41798" xr:uid="{00000000-0005-0000-0000-000050A80000}"/>
    <cellStyle name="Separador de milhares 4 2 10 3 2" xfId="41799" xr:uid="{00000000-0005-0000-0000-000051A80000}"/>
    <cellStyle name="Separador de milhares 4 2 10 3 3" xfId="41800" xr:uid="{00000000-0005-0000-0000-000052A80000}"/>
    <cellStyle name="Separador de milhares 4 2 10 3 4" xfId="41801" xr:uid="{00000000-0005-0000-0000-000053A80000}"/>
    <cellStyle name="Separador de milhares 4 2 10 4" xfId="41802" xr:uid="{00000000-0005-0000-0000-000054A80000}"/>
    <cellStyle name="Separador de milhares 4 2 10 5" xfId="41803" xr:uid="{00000000-0005-0000-0000-000055A80000}"/>
    <cellStyle name="Separador de milhares 4 2 10 6" xfId="41804" xr:uid="{00000000-0005-0000-0000-000056A80000}"/>
    <cellStyle name="Separador de milhares 4 2 11" xfId="41805" xr:uid="{00000000-0005-0000-0000-000057A80000}"/>
    <cellStyle name="Separador de milhares 4 2 11 2" xfId="41806" xr:uid="{00000000-0005-0000-0000-000058A80000}"/>
    <cellStyle name="Separador de milhares 4 2 11 2 2" xfId="41807" xr:uid="{00000000-0005-0000-0000-000059A80000}"/>
    <cellStyle name="Separador de milhares 4 2 11 2 3" xfId="41808" xr:uid="{00000000-0005-0000-0000-00005AA80000}"/>
    <cellStyle name="Separador de milhares 4 2 11 2 4" xfId="41809" xr:uid="{00000000-0005-0000-0000-00005BA80000}"/>
    <cellStyle name="Separador de milhares 4 2 11 3" xfId="41810" xr:uid="{00000000-0005-0000-0000-00005CA80000}"/>
    <cellStyle name="Separador de milhares 4 2 11 3 2" xfId="41811" xr:uid="{00000000-0005-0000-0000-00005DA80000}"/>
    <cellStyle name="Separador de milhares 4 2 11 3 3" xfId="41812" xr:uid="{00000000-0005-0000-0000-00005EA80000}"/>
    <cellStyle name="Separador de milhares 4 2 11 3 4" xfId="41813" xr:uid="{00000000-0005-0000-0000-00005FA80000}"/>
    <cellStyle name="Separador de milhares 4 2 11 4" xfId="41814" xr:uid="{00000000-0005-0000-0000-000060A80000}"/>
    <cellStyle name="Separador de milhares 4 2 11 5" xfId="41815" xr:uid="{00000000-0005-0000-0000-000061A80000}"/>
    <cellStyle name="Separador de milhares 4 2 11 6" xfId="41816" xr:uid="{00000000-0005-0000-0000-000062A80000}"/>
    <cellStyle name="Separador de milhares 4 2 12" xfId="41817" xr:uid="{00000000-0005-0000-0000-000063A80000}"/>
    <cellStyle name="Separador de milhares 4 2 12 2" xfId="41818" xr:uid="{00000000-0005-0000-0000-000064A80000}"/>
    <cellStyle name="Separador de milhares 4 2 12 2 2" xfId="41819" xr:uid="{00000000-0005-0000-0000-000065A80000}"/>
    <cellStyle name="Separador de milhares 4 2 12 2 3" xfId="41820" xr:uid="{00000000-0005-0000-0000-000066A80000}"/>
    <cellStyle name="Separador de milhares 4 2 12 2 4" xfId="41821" xr:uid="{00000000-0005-0000-0000-000067A80000}"/>
    <cellStyle name="Separador de milhares 4 2 12 3" xfId="41822" xr:uid="{00000000-0005-0000-0000-000068A80000}"/>
    <cellStyle name="Separador de milhares 4 2 12 3 2" xfId="41823" xr:uid="{00000000-0005-0000-0000-000069A80000}"/>
    <cellStyle name="Separador de milhares 4 2 12 3 3" xfId="41824" xr:uid="{00000000-0005-0000-0000-00006AA80000}"/>
    <cellStyle name="Separador de milhares 4 2 12 3 4" xfId="41825" xr:uid="{00000000-0005-0000-0000-00006BA80000}"/>
    <cellStyle name="Separador de milhares 4 2 12 4" xfId="41826" xr:uid="{00000000-0005-0000-0000-00006CA80000}"/>
    <cellStyle name="Separador de milhares 4 2 12 5" xfId="41827" xr:uid="{00000000-0005-0000-0000-00006DA80000}"/>
    <cellStyle name="Separador de milhares 4 2 12 6" xfId="41828" xr:uid="{00000000-0005-0000-0000-00006EA80000}"/>
    <cellStyle name="Separador de milhares 4 2 13" xfId="41829" xr:uid="{00000000-0005-0000-0000-00006FA80000}"/>
    <cellStyle name="Separador de milhares 4 2 13 2" xfId="41830" xr:uid="{00000000-0005-0000-0000-000070A80000}"/>
    <cellStyle name="Separador de milhares 4 2 13 2 2" xfId="41831" xr:uid="{00000000-0005-0000-0000-000071A80000}"/>
    <cellStyle name="Separador de milhares 4 2 13 2 3" xfId="41832" xr:uid="{00000000-0005-0000-0000-000072A80000}"/>
    <cellStyle name="Separador de milhares 4 2 13 2 4" xfId="41833" xr:uid="{00000000-0005-0000-0000-000073A80000}"/>
    <cellStyle name="Separador de milhares 4 2 13 3" xfId="41834" xr:uid="{00000000-0005-0000-0000-000074A80000}"/>
    <cellStyle name="Separador de milhares 4 2 13 3 2" xfId="41835" xr:uid="{00000000-0005-0000-0000-000075A80000}"/>
    <cellStyle name="Separador de milhares 4 2 13 3 3" xfId="41836" xr:uid="{00000000-0005-0000-0000-000076A80000}"/>
    <cellStyle name="Separador de milhares 4 2 13 3 4" xfId="41837" xr:uid="{00000000-0005-0000-0000-000077A80000}"/>
    <cellStyle name="Separador de milhares 4 2 13 4" xfId="41838" xr:uid="{00000000-0005-0000-0000-000078A80000}"/>
    <cellStyle name="Separador de milhares 4 2 13 5" xfId="41839" xr:uid="{00000000-0005-0000-0000-000079A80000}"/>
    <cellStyle name="Separador de milhares 4 2 13 6" xfId="41840" xr:uid="{00000000-0005-0000-0000-00007AA80000}"/>
    <cellStyle name="Separador de milhares 4 2 14" xfId="41841" xr:uid="{00000000-0005-0000-0000-00007BA80000}"/>
    <cellStyle name="Separador de milhares 4 2 14 2" xfId="41842" xr:uid="{00000000-0005-0000-0000-00007CA80000}"/>
    <cellStyle name="Separador de milhares 4 2 14 2 2" xfId="41843" xr:uid="{00000000-0005-0000-0000-00007DA80000}"/>
    <cellStyle name="Separador de milhares 4 2 14 2 3" xfId="41844" xr:uid="{00000000-0005-0000-0000-00007EA80000}"/>
    <cellStyle name="Separador de milhares 4 2 14 2 4" xfId="41845" xr:uid="{00000000-0005-0000-0000-00007FA80000}"/>
    <cellStyle name="Separador de milhares 4 2 14 3" xfId="41846" xr:uid="{00000000-0005-0000-0000-000080A80000}"/>
    <cellStyle name="Separador de milhares 4 2 14 3 2" xfId="41847" xr:uid="{00000000-0005-0000-0000-000081A80000}"/>
    <cellStyle name="Separador de milhares 4 2 14 3 3" xfId="41848" xr:uid="{00000000-0005-0000-0000-000082A80000}"/>
    <cellStyle name="Separador de milhares 4 2 14 3 4" xfId="41849" xr:uid="{00000000-0005-0000-0000-000083A80000}"/>
    <cellStyle name="Separador de milhares 4 2 14 4" xfId="41850" xr:uid="{00000000-0005-0000-0000-000084A80000}"/>
    <cellStyle name="Separador de milhares 4 2 14 5" xfId="41851" xr:uid="{00000000-0005-0000-0000-000085A80000}"/>
    <cellStyle name="Separador de milhares 4 2 14 6" xfId="41852" xr:uid="{00000000-0005-0000-0000-000086A80000}"/>
    <cellStyle name="Separador de milhares 4 2 15" xfId="41853" xr:uid="{00000000-0005-0000-0000-000087A80000}"/>
    <cellStyle name="Separador de milhares 4 2 15 2" xfId="41854" xr:uid="{00000000-0005-0000-0000-000088A80000}"/>
    <cellStyle name="Separador de milhares 4 2 15 2 2" xfId="41855" xr:uid="{00000000-0005-0000-0000-000089A80000}"/>
    <cellStyle name="Separador de milhares 4 2 15 2 3" xfId="41856" xr:uid="{00000000-0005-0000-0000-00008AA80000}"/>
    <cellStyle name="Separador de milhares 4 2 15 2 4" xfId="41857" xr:uid="{00000000-0005-0000-0000-00008BA80000}"/>
    <cellStyle name="Separador de milhares 4 2 15 3" xfId="41858" xr:uid="{00000000-0005-0000-0000-00008CA80000}"/>
    <cellStyle name="Separador de milhares 4 2 15 3 2" xfId="41859" xr:uid="{00000000-0005-0000-0000-00008DA80000}"/>
    <cellStyle name="Separador de milhares 4 2 15 3 3" xfId="41860" xr:uid="{00000000-0005-0000-0000-00008EA80000}"/>
    <cellStyle name="Separador de milhares 4 2 15 3 4" xfId="41861" xr:uid="{00000000-0005-0000-0000-00008FA80000}"/>
    <cellStyle name="Separador de milhares 4 2 15 4" xfId="41862" xr:uid="{00000000-0005-0000-0000-000090A80000}"/>
    <cellStyle name="Separador de milhares 4 2 15 5" xfId="41863" xr:uid="{00000000-0005-0000-0000-000091A80000}"/>
    <cellStyle name="Separador de milhares 4 2 15 6" xfId="41864" xr:uid="{00000000-0005-0000-0000-000092A80000}"/>
    <cellStyle name="Separador de milhares 4 2 16" xfId="41865" xr:uid="{00000000-0005-0000-0000-000093A80000}"/>
    <cellStyle name="Separador de milhares 4 2 16 2" xfId="41866" xr:uid="{00000000-0005-0000-0000-000094A80000}"/>
    <cellStyle name="Separador de milhares 4 2 16 2 2" xfId="41867" xr:uid="{00000000-0005-0000-0000-000095A80000}"/>
    <cellStyle name="Separador de milhares 4 2 16 2 3" xfId="41868" xr:uid="{00000000-0005-0000-0000-000096A80000}"/>
    <cellStyle name="Separador de milhares 4 2 16 2 4" xfId="41869" xr:uid="{00000000-0005-0000-0000-000097A80000}"/>
    <cellStyle name="Separador de milhares 4 2 16 3" xfId="41870" xr:uid="{00000000-0005-0000-0000-000098A80000}"/>
    <cellStyle name="Separador de milhares 4 2 16 3 2" xfId="41871" xr:uid="{00000000-0005-0000-0000-000099A80000}"/>
    <cellStyle name="Separador de milhares 4 2 16 3 3" xfId="41872" xr:uid="{00000000-0005-0000-0000-00009AA80000}"/>
    <cellStyle name="Separador de milhares 4 2 16 3 4" xfId="41873" xr:uid="{00000000-0005-0000-0000-00009BA80000}"/>
    <cellStyle name="Separador de milhares 4 2 16 4" xfId="41874" xr:uid="{00000000-0005-0000-0000-00009CA80000}"/>
    <cellStyle name="Separador de milhares 4 2 16 5" xfId="41875" xr:uid="{00000000-0005-0000-0000-00009DA80000}"/>
    <cellStyle name="Separador de milhares 4 2 16 6" xfId="41876" xr:uid="{00000000-0005-0000-0000-00009EA80000}"/>
    <cellStyle name="Separador de milhares 4 2 17" xfId="41877" xr:uid="{00000000-0005-0000-0000-00009FA80000}"/>
    <cellStyle name="Separador de milhares 4 2 17 2" xfId="41878" xr:uid="{00000000-0005-0000-0000-0000A0A80000}"/>
    <cellStyle name="Separador de milhares 4 2 17 2 2" xfId="41879" xr:uid="{00000000-0005-0000-0000-0000A1A80000}"/>
    <cellStyle name="Separador de milhares 4 2 17 2 3" xfId="41880" xr:uid="{00000000-0005-0000-0000-0000A2A80000}"/>
    <cellStyle name="Separador de milhares 4 2 17 2 4" xfId="41881" xr:uid="{00000000-0005-0000-0000-0000A3A80000}"/>
    <cellStyle name="Separador de milhares 4 2 17 3" xfId="41882" xr:uid="{00000000-0005-0000-0000-0000A4A80000}"/>
    <cellStyle name="Separador de milhares 4 2 17 3 2" xfId="41883" xr:uid="{00000000-0005-0000-0000-0000A5A80000}"/>
    <cellStyle name="Separador de milhares 4 2 17 3 3" xfId="41884" xr:uid="{00000000-0005-0000-0000-0000A6A80000}"/>
    <cellStyle name="Separador de milhares 4 2 17 3 4" xfId="41885" xr:uid="{00000000-0005-0000-0000-0000A7A80000}"/>
    <cellStyle name="Separador de milhares 4 2 17 4" xfId="41886" xr:uid="{00000000-0005-0000-0000-0000A8A80000}"/>
    <cellStyle name="Separador de milhares 4 2 17 5" xfId="41887" xr:uid="{00000000-0005-0000-0000-0000A9A80000}"/>
    <cellStyle name="Separador de milhares 4 2 17 6" xfId="41888" xr:uid="{00000000-0005-0000-0000-0000AAA80000}"/>
    <cellStyle name="Separador de milhares 4 2 18" xfId="41889" xr:uid="{00000000-0005-0000-0000-0000ABA80000}"/>
    <cellStyle name="Separador de milhares 4 2 18 2" xfId="41890" xr:uid="{00000000-0005-0000-0000-0000ACA80000}"/>
    <cellStyle name="Separador de milhares 4 2 18 3" xfId="41891" xr:uid="{00000000-0005-0000-0000-0000ADA80000}"/>
    <cellStyle name="Separador de milhares 4 2 18 4" xfId="41892" xr:uid="{00000000-0005-0000-0000-0000AEA80000}"/>
    <cellStyle name="Separador de milhares 4 2 19" xfId="41893" xr:uid="{00000000-0005-0000-0000-0000AFA80000}"/>
    <cellStyle name="Separador de milhares 4 2 19 2" xfId="41894" xr:uid="{00000000-0005-0000-0000-0000B0A80000}"/>
    <cellStyle name="Separador de milhares 4 2 19 3" xfId="41895" xr:uid="{00000000-0005-0000-0000-0000B1A80000}"/>
    <cellStyle name="Separador de milhares 4 2 19 4" xfId="41896" xr:uid="{00000000-0005-0000-0000-0000B2A80000}"/>
    <cellStyle name="Separador de milhares 4 2 2" xfId="41897" xr:uid="{00000000-0005-0000-0000-0000B3A80000}"/>
    <cellStyle name="Separador de milhares 4 2 2 2" xfId="41898" xr:uid="{00000000-0005-0000-0000-0000B4A80000}"/>
    <cellStyle name="Separador de milhares 4 2 2 2 2" xfId="41899" xr:uid="{00000000-0005-0000-0000-0000B5A80000}"/>
    <cellStyle name="Separador de milhares 4 2 2 2 3" xfId="41900" xr:uid="{00000000-0005-0000-0000-0000B6A80000}"/>
    <cellStyle name="Separador de milhares 4 2 2 2 4" xfId="41901" xr:uid="{00000000-0005-0000-0000-0000B7A80000}"/>
    <cellStyle name="Separador de milhares 4 2 2 3" xfId="41902" xr:uid="{00000000-0005-0000-0000-0000B8A80000}"/>
    <cellStyle name="Separador de milhares 4 2 2 3 2" xfId="41903" xr:uid="{00000000-0005-0000-0000-0000B9A80000}"/>
    <cellStyle name="Separador de milhares 4 2 2 3 3" xfId="41904" xr:uid="{00000000-0005-0000-0000-0000BAA80000}"/>
    <cellStyle name="Separador de milhares 4 2 2 3 4" xfId="41905" xr:uid="{00000000-0005-0000-0000-0000BBA80000}"/>
    <cellStyle name="Separador de milhares 4 2 2 4" xfId="41906" xr:uid="{00000000-0005-0000-0000-0000BCA80000}"/>
    <cellStyle name="Separador de milhares 4 2 2 5" xfId="41907" xr:uid="{00000000-0005-0000-0000-0000BDA80000}"/>
    <cellStyle name="Separador de milhares 4 2 2 6" xfId="41908" xr:uid="{00000000-0005-0000-0000-0000BEA80000}"/>
    <cellStyle name="Separador de milhares 4 2 20" xfId="41909" xr:uid="{00000000-0005-0000-0000-0000BFA80000}"/>
    <cellStyle name="Separador de milhares 4 2 20 2" xfId="41910" xr:uid="{00000000-0005-0000-0000-0000C0A80000}"/>
    <cellStyle name="Separador de milhares 4 2 20 3" xfId="41911" xr:uid="{00000000-0005-0000-0000-0000C1A80000}"/>
    <cellStyle name="Separador de milhares 4 2 20 4" xfId="41912" xr:uid="{00000000-0005-0000-0000-0000C2A80000}"/>
    <cellStyle name="Separador de milhares 4 2 21" xfId="41913" xr:uid="{00000000-0005-0000-0000-0000C3A80000}"/>
    <cellStyle name="Separador de milhares 4 2 22" xfId="41914" xr:uid="{00000000-0005-0000-0000-0000C4A80000}"/>
    <cellStyle name="Separador de milhares 4 2 23" xfId="41915" xr:uid="{00000000-0005-0000-0000-0000C5A80000}"/>
    <cellStyle name="Separador de milhares 4 2 3" xfId="41916" xr:uid="{00000000-0005-0000-0000-0000C6A80000}"/>
    <cellStyle name="Separador de milhares 4 2 3 2" xfId="41917" xr:uid="{00000000-0005-0000-0000-0000C7A80000}"/>
    <cellStyle name="Separador de milhares 4 2 3 2 2" xfId="41918" xr:uid="{00000000-0005-0000-0000-0000C8A80000}"/>
    <cellStyle name="Separador de milhares 4 2 3 2 3" xfId="41919" xr:uid="{00000000-0005-0000-0000-0000C9A80000}"/>
    <cellStyle name="Separador de milhares 4 2 3 2 4" xfId="41920" xr:uid="{00000000-0005-0000-0000-0000CAA80000}"/>
    <cellStyle name="Separador de milhares 4 2 3 3" xfId="41921" xr:uid="{00000000-0005-0000-0000-0000CBA80000}"/>
    <cellStyle name="Separador de milhares 4 2 3 3 2" xfId="41922" xr:uid="{00000000-0005-0000-0000-0000CCA80000}"/>
    <cellStyle name="Separador de milhares 4 2 3 3 3" xfId="41923" xr:uid="{00000000-0005-0000-0000-0000CDA80000}"/>
    <cellStyle name="Separador de milhares 4 2 3 3 4" xfId="41924" xr:uid="{00000000-0005-0000-0000-0000CEA80000}"/>
    <cellStyle name="Separador de milhares 4 2 3 4" xfId="41925" xr:uid="{00000000-0005-0000-0000-0000CFA80000}"/>
    <cellStyle name="Separador de milhares 4 2 3 5" xfId="41926" xr:uid="{00000000-0005-0000-0000-0000D0A80000}"/>
    <cellStyle name="Separador de milhares 4 2 3 6" xfId="41927" xr:uid="{00000000-0005-0000-0000-0000D1A80000}"/>
    <cellStyle name="Separador de milhares 4 2 4" xfId="41928" xr:uid="{00000000-0005-0000-0000-0000D2A80000}"/>
    <cellStyle name="Separador de milhares 4 2 4 2" xfId="41929" xr:uid="{00000000-0005-0000-0000-0000D3A80000}"/>
    <cellStyle name="Separador de milhares 4 2 4 2 2" xfId="41930" xr:uid="{00000000-0005-0000-0000-0000D4A80000}"/>
    <cellStyle name="Separador de milhares 4 2 4 2 3" xfId="41931" xr:uid="{00000000-0005-0000-0000-0000D5A80000}"/>
    <cellStyle name="Separador de milhares 4 2 4 2 4" xfId="41932" xr:uid="{00000000-0005-0000-0000-0000D6A80000}"/>
    <cellStyle name="Separador de milhares 4 2 4 3" xfId="41933" xr:uid="{00000000-0005-0000-0000-0000D7A80000}"/>
    <cellStyle name="Separador de milhares 4 2 4 3 2" xfId="41934" xr:uid="{00000000-0005-0000-0000-0000D8A80000}"/>
    <cellStyle name="Separador de milhares 4 2 4 3 3" xfId="41935" xr:uid="{00000000-0005-0000-0000-0000D9A80000}"/>
    <cellStyle name="Separador de milhares 4 2 4 3 4" xfId="41936" xr:uid="{00000000-0005-0000-0000-0000DAA80000}"/>
    <cellStyle name="Separador de milhares 4 2 4 4" xfId="41937" xr:uid="{00000000-0005-0000-0000-0000DBA80000}"/>
    <cellStyle name="Separador de milhares 4 2 4 5" xfId="41938" xr:uid="{00000000-0005-0000-0000-0000DCA80000}"/>
    <cellStyle name="Separador de milhares 4 2 4 6" xfId="41939" xr:uid="{00000000-0005-0000-0000-0000DDA80000}"/>
    <cellStyle name="Separador de milhares 4 2 5" xfId="41940" xr:uid="{00000000-0005-0000-0000-0000DEA80000}"/>
    <cellStyle name="Separador de milhares 4 2 5 2" xfId="41941" xr:uid="{00000000-0005-0000-0000-0000DFA80000}"/>
    <cellStyle name="Separador de milhares 4 2 5 2 2" xfId="41942" xr:uid="{00000000-0005-0000-0000-0000E0A80000}"/>
    <cellStyle name="Separador de milhares 4 2 5 2 3" xfId="41943" xr:uid="{00000000-0005-0000-0000-0000E1A80000}"/>
    <cellStyle name="Separador de milhares 4 2 5 2 4" xfId="41944" xr:uid="{00000000-0005-0000-0000-0000E2A80000}"/>
    <cellStyle name="Separador de milhares 4 2 5 3" xfId="41945" xr:uid="{00000000-0005-0000-0000-0000E3A80000}"/>
    <cellStyle name="Separador de milhares 4 2 5 3 2" xfId="41946" xr:uid="{00000000-0005-0000-0000-0000E4A80000}"/>
    <cellStyle name="Separador de milhares 4 2 5 3 3" xfId="41947" xr:uid="{00000000-0005-0000-0000-0000E5A80000}"/>
    <cellStyle name="Separador de milhares 4 2 5 3 4" xfId="41948" xr:uid="{00000000-0005-0000-0000-0000E6A80000}"/>
    <cellStyle name="Separador de milhares 4 2 5 4" xfId="41949" xr:uid="{00000000-0005-0000-0000-0000E7A80000}"/>
    <cellStyle name="Separador de milhares 4 2 5 5" xfId="41950" xr:uid="{00000000-0005-0000-0000-0000E8A80000}"/>
    <cellStyle name="Separador de milhares 4 2 5 6" xfId="41951" xr:uid="{00000000-0005-0000-0000-0000E9A80000}"/>
    <cellStyle name="Separador de milhares 4 2 6" xfId="41952" xr:uid="{00000000-0005-0000-0000-0000EAA80000}"/>
    <cellStyle name="Separador de milhares 4 2 6 2" xfId="41953" xr:uid="{00000000-0005-0000-0000-0000EBA80000}"/>
    <cellStyle name="Separador de milhares 4 2 6 2 2" xfId="41954" xr:uid="{00000000-0005-0000-0000-0000ECA80000}"/>
    <cellStyle name="Separador de milhares 4 2 6 2 3" xfId="41955" xr:uid="{00000000-0005-0000-0000-0000EDA80000}"/>
    <cellStyle name="Separador de milhares 4 2 6 2 4" xfId="41956" xr:uid="{00000000-0005-0000-0000-0000EEA80000}"/>
    <cellStyle name="Separador de milhares 4 2 6 3" xfId="41957" xr:uid="{00000000-0005-0000-0000-0000EFA80000}"/>
    <cellStyle name="Separador de milhares 4 2 6 3 2" xfId="41958" xr:uid="{00000000-0005-0000-0000-0000F0A80000}"/>
    <cellStyle name="Separador de milhares 4 2 6 3 3" xfId="41959" xr:uid="{00000000-0005-0000-0000-0000F1A80000}"/>
    <cellStyle name="Separador de milhares 4 2 6 3 4" xfId="41960" xr:uid="{00000000-0005-0000-0000-0000F2A80000}"/>
    <cellStyle name="Separador de milhares 4 2 6 4" xfId="41961" xr:uid="{00000000-0005-0000-0000-0000F3A80000}"/>
    <cellStyle name="Separador de milhares 4 2 6 5" xfId="41962" xr:uid="{00000000-0005-0000-0000-0000F4A80000}"/>
    <cellStyle name="Separador de milhares 4 2 6 6" xfId="41963" xr:uid="{00000000-0005-0000-0000-0000F5A80000}"/>
    <cellStyle name="Separador de milhares 4 2 7" xfId="41964" xr:uid="{00000000-0005-0000-0000-0000F6A80000}"/>
    <cellStyle name="Separador de milhares 4 2 7 2" xfId="41965" xr:uid="{00000000-0005-0000-0000-0000F7A80000}"/>
    <cellStyle name="Separador de milhares 4 2 7 2 2" xfId="41966" xr:uid="{00000000-0005-0000-0000-0000F8A80000}"/>
    <cellStyle name="Separador de milhares 4 2 7 2 3" xfId="41967" xr:uid="{00000000-0005-0000-0000-0000F9A80000}"/>
    <cellStyle name="Separador de milhares 4 2 7 2 4" xfId="41968" xr:uid="{00000000-0005-0000-0000-0000FAA80000}"/>
    <cellStyle name="Separador de milhares 4 2 7 3" xfId="41969" xr:uid="{00000000-0005-0000-0000-0000FBA80000}"/>
    <cellStyle name="Separador de milhares 4 2 7 3 2" xfId="41970" xr:uid="{00000000-0005-0000-0000-0000FCA80000}"/>
    <cellStyle name="Separador de milhares 4 2 7 3 3" xfId="41971" xr:uid="{00000000-0005-0000-0000-0000FDA80000}"/>
    <cellStyle name="Separador de milhares 4 2 7 3 4" xfId="41972" xr:uid="{00000000-0005-0000-0000-0000FEA80000}"/>
    <cellStyle name="Separador de milhares 4 2 7 4" xfId="41973" xr:uid="{00000000-0005-0000-0000-0000FFA80000}"/>
    <cellStyle name="Separador de milhares 4 2 7 5" xfId="41974" xr:uid="{00000000-0005-0000-0000-000000A90000}"/>
    <cellStyle name="Separador de milhares 4 2 7 6" xfId="41975" xr:uid="{00000000-0005-0000-0000-000001A90000}"/>
    <cellStyle name="Separador de milhares 4 2 8" xfId="41976" xr:uid="{00000000-0005-0000-0000-000002A90000}"/>
    <cellStyle name="Separador de milhares 4 2 8 2" xfId="41977" xr:uid="{00000000-0005-0000-0000-000003A90000}"/>
    <cellStyle name="Separador de milhares 4 2 8 2 2" xfId="41978" xr:uid="{00000000-0005-0000-0000-000004A90000}"/>
    <cellStyle name="Separador de milhares 4 2 8 2 3" xfId="41979" xr:uid="{00000000-0005-0000-0000-000005A90000}"/>
    <cellStyle name="Separador de milhares 4 2 8 2 4" xfId="41980" xr:uid="{00000000-0005-0000-0000-000006A90000}"/>
    <cellStyle name="Separador de milhares 4 2 8 3" xfId="41981" xr:uid="{00000000-0005-0000-0000-000007A90000}"/>
    <cellStyle name="Separador de milhares 4 2 8 3 2" xfId="41982" xr:uid="{00000000-0005-0000-0000-000008A90000}"/>
    <cellStyle name="Separador de milhares 4 2 8 3 3" xfId="41983" xr:uid="{00000000-0005-0000-0000-000009A90000}"/>
    <cellStyle name="Separador de milhares 4 2 8 3 4" xfId="41984" xr:uid="{00000000-0005-0000-0000-00000AA90000}"/>
    <cellStyle name="Separador de milhares 4 2 8 4" xfId="41985" xr:uid="{00000000-0005-0000-0000-00000BA90000}"/>
    <cellStyle name="Separador de milhares 4 2 8 5" xfId="41986" xr:uid="{00000000-0005-0000-0000-00000CA90000}"/>
    <cellStyle name="Separador de milhares 4 2 8 6" xfId="41987" xr:uid="{00000000-0005-0000-0000-00000DA90000}"/>
    <cellStyle name="Separador de milhares 4 2 9" xfId="41988" xr:uid="{00000000-0005-0000-0000-00000EA90000}"/>
    <cellStyle name="Separador de milhares 4 2 9 2" xfId="41989" xr:uid="{00000000-0005-0000-0000-00000FA90000}"/>
    <cellStyle name="Separador de milhares 4 2 9 2 2" xfId="41990" xr:uid="{00000000-0005-0000-0000-000010A90000}"/>
    <cellStyle name="Separador de milhares 4 2 9 2 3" xfId="41991" xr:uid="{00000000-0005-0000-0000-000011A90000}"/>
    <cellStyle name="Separador de milhares 4 2 9 2 4" xfId="41992" xr:uid="{00000000-0005-0000-0000-000012A90000}"/>
    <cellStyle name="Separador de milhares 4 2 9 3" xfId="41993" xr:uid="{00000000-0005-0000-0000-000013A90000}"/>
    <cellStyle name="Separador de milhares 4 2 9 3 2" xfId="41994" xr:uid="{00000000-0005-0000-0000-000014A90000}"/>
    <cellStyle name="Separador de milhares 4 2 9 3 3" xfId="41995" xr:uid="{00000000-0005-0000-0000-000015A90000}"/>
    <cellStyle name="Separador de milhares 4 2 9 3 4" xfId="41996" xr:uid="{00000000-0005-0000-0000-000016A90000}"/>
    <cellStyle name="Separador de milhares 4 2 9 4" xfId="41997" xr:uid="{00000000-0005-0000-0000-000017A90000}"/>
    <cellStyle name="Separador de milhares 4 2 9 5" xfId="41998" xr:uid="{00000000-0005-0000-0000-000018A90000}"/>
    <cellStyle name="Separador de milhares 4 2 9 6" xfId="41999" xr:uid="{00000000-0005-0000-0000-000019A90000}"/>
    <cellStyle name="Separador de milhares 4 20" xfId="42000" xr:uid="{00000000-0005-0000-0000-00001AA90000}"/>
    <cellStyle name="Separador de milhares 4 20 2" xfId="42001" xr:uid="{00000000-0005-0000-0000-00001BA90000}"/>
    <cellStyle name="Separador de milhares 4 20 3" xfId="42002" xr:uid="{00000000-0005-0000-0000-00001CA90000}"/>
    <cellStyle name="Separador de milhares 4 20 4" xfId="42003" xr:uid="{00000000-0005-0000-0000-00001DA90000}"/>
    <cellStyle name="Separador de milhares 4 21" xfId="42004" xr:uid="{00000000-0005-0000-0000-00001EA90000}"/>
    <cellStyle name="Separador de milhares 4 21 2" xfId="42005" xr:uid="{00000000-0005-0000-0000-00001FA90000}"/>
    <cellStyle name="Separador de milhares 4 21 3" xfId="42006" xr:uid="{00000000-0005-0000-0000-000020A90000}"/>
    <cellStyle name="Separador de milhares 4 21 4" xfId="42007" xr:uid="{00000000-0005-0000-0000-000021A90000}"/>
    <cellStyle name="Separador de milhares 4 22" xfId="42008" xr:uid="{00000000-0005-0000-0000-000022A90000}"/>
    <cellStyle name="Separador de milhares 4 22 2" xfId="42009" xr:uid="{00000000-0005-0000-0000-000023A90000}"/>
    <cellStyle name="Separador de milhares 4 22 3" xfId="42010" xr:uid="{00000000-0005-0000-0000-000024A90000}"/>
    <cellStyle name="Separador de milhares 4 22 4" xfId="42011" xr:uid="{00000000-0005-0000-0000-000025A90000}"/>
    <cellStyle name="Separador de milhares 4 23" xfId="42012" xr:uid="{00000000-0005-0000-0000-000026A90000}"/>
    <cellStyle name="Separador de milhares 4 24" xfId="42013" xr:uid="{00000000-0005-0000-0000-000027A90000}"/>
    <cellStyle name="Separador de milhares 4 25" xfId="42014" xr:uid="{00000000-0005-0000-0000-000028A90000}"/>
    <cellStyle name="Separador de milhares 4 26" xfId="43852" xr:uid="{00000000-0005-0000-0000-000029A90000}"/>
    <cellStyle name="Separador de milhares 4 27" xfId="43853" xr:uid="{00000000-0005-0000-0000-00002AA90000}"/>
    <cellStyle name="Separador de milhares 4 28" xfId="43854" xr:uid="{00000000-0005-0000-0000-00002BA90000}"/>
    <cellStyle name="Separador de milhares 4 29" xfId="43855" xr:uid="{00000000-0005-0000-0000-00002CA90000}"/>
    <cellStyle name="Separador de milhares 4 3" xfId="42015" xr:uid="{00000000-0005-0000-0000-00002DA90000}"/>
    <cellStyle name="Separador de milhares 4 3 10" xfId="42016" xr:uid="{00000000-0005-0000-0000-00002EA90000}"/>
    <cellStyle name="Separador de milhares 4 3 10 2" xfId="42017" xr:uid="{00000000-0005-0000-0000-00002FA90000}"/>
    <cellStyle name="Separador de milhares 4 3 10 2 2" xfId="42018" xr:uid="{00000000-0005-0000-0000-000030A90000}"/>
    <cellStyle name="Separador de milhares 4 3 10 2 3" xfId="42019" xr:uid="{00000000-0005-0000-0000-000031A90000}"/>
    <cellStyle name="Separador de milhares 4 3 10 2 4" xfId="42020" xr:uid="{00000000-0005-0000-0000-000032A90000}"/>
    <cellStyle name="Separador de milhares 4 3 10 3" xfId="42021" xr:uid="{00000000-0005-0000-0000-000033A90000}"/>
    <cellStyle name="Separador de milhares 4 3 10 3 2" xfId="42022" xr:uid="{00000000-0005-0000-0000-000034A90000}"/>
    <cellStyle name="Separador de milhares 4 3 10 3 3" xfId="42023" xr:uid="{00000000-0005-0000-0000-000035A90000}"/>
    <cellStyle name="Separador de milhares 4 3 10 3 4" xfId="42024" xr:uid="{00000000-0005-0000-0000-000036A90000}"/>
    <cellStyle name="Separador de milhares 4 3 10 4" xfId="42025" xr:uid="{00000000-0005-0000-0000-000037A90000}"/>
    <cellStyle name="Separador de milhares 4 3 10 5" xfId="42026" xr:uid="{00000000-0005-0000-0000-000038A90000}"/>
    <cellStyle name="Separador de milhares 4 3 10 6" xfId="42027" xr:uid="{00000000-0005-0000-0000-000039A90000}"/>
    <cellStyle name="Separador de milhares 4 3 11" xfId="42028" xr:uid="{00000000-0005-0000-0000-00003AA90000}"/>
    <cellStyle name="Separador de milhares 4 3 11 2" xfId="42029" xr:uid="{00000000-0005-0000-0000-00003BA90000}"/>
    <cellStyle name="Separador de milhares 4 3 11 2 2" xfId="42030" xr:uid="{00000000-0005-0000-0000-00003CA90000}"/>
    <cellStyle name="Separador de milhares 4 3 11 2 3" xfId="42031" xr:uid="{00000000-0005-0000-0000-00003DA90000}"/>
    <cellStyle name="Separador de milhares 4 3 11 2 4" xfId="42032" xr:uid="{00000000-0005-0000-0000-00003EA90000}"/>
    <cellStyle name="Separador de milhares 4 3 11 3" xfId="42033" xr:uid="{00000000-0005-0000-0000-00003FA90000}"/>
    <cellStyle name="Separador de milhares 4 3 11 3 2" xfId="42034" xr:uid="{00000000-0005-0000-0000-000040A90000}"/>
    <cellStyle name="Separador de milhares 4 3 11 3 3" xfId="42035" xr:uid="{00000000-0005-0000-0000-000041A90000}"/>
    <cellStyle name="Separador de milhares 4 3 11 3 4" xfId="42036" xr:uid="{00000000-0005-0000-0000-000042A90000}"/>
    <cellStyle name="Separador de milhares 4 3 11 4" xfId="42037" xr:uid="{00000000-0005-0000-0000-000043A90000}"/>
    <cellStyle name="Separador de milhares 4 3 11 5" xfId="42038" xr:uid="{00000000-0005-0000-0000-000044A90000}"/>
    <cellStyle name="Separador de milhares 4 3 11 6" xfId="42039" xr:uid="{00000000-0005-0000-0000-000045A90000}"/>
    <cellStyle name="Separador de milhares 4 3 12" xfId="42040" xr:uid="{00000000-0005-0000-0000-000046A90000}"/>
    <cellStyle name="Separador de milhares 4 3 12 2" xfId="42041" xr:uid="{00000000-0005-0000-0000-000047A90000}"/>
    <cellStyle name="Separador de milhares 4 3 12 2 2" xfId="42042" xr:uid="{00000000-0005-0000-0000-000048A90000}"/>
    <cellStyle name="Separador de milhares 4 3 12 2 3" xfId="42043" xr:uid="{00000000-0005-0000-0000-000049A90000}"/>
    <cellStyle name="Separador de milhares 4 3 12 2 4" xfId="42044" xr:uid="{00000000-0005-0000-0000-00004AA90000}"/>
    <cellStyle name="Separador de milhares 4 3 12 3" xfId="42045" xr:uid="{00000000-0005-0000-0000-00004BA90000}"/>
    <cellStyle name="Separador de milhares 4 3 12 3 2" xfId="42046" xr:uid="{00000000-0005-0000-0000-00004CA90000}"/>
    <cellStyle name="Separador de milhares 4 3 12 3 3" xfId="42047" xr:uid="{00000000-0005-0000-0000-00004DA90000}"/>
    <cellStyle name="Separador de milhares 4 3 12 3 4" xfId="42048" xr:uid="{00000000-0005-0000-0000-00004EA90000}"/>
    <cellStyle name="Separador de milhares 4 3 12 4" xfId="42049" xr:uid="{00000000-0005-0000-0000-00004FA90000}"/>
    <cellStyle name="Separador de milhares 4 3 12 5" xfId="42050" xr:uid="{00000000-0005-0000-0000-000050A90000}"/>
    <cellStyle name="Separador de milhares 4 3 12 6" xfId="42051" xr:uid="{00000000-0005-0000-0000-000051A90000}"/>
    <cellStyle name="Separador de milhares 4 3 13" xfId="42052" xr:uid="{00000000-0005-0000-0000-000052A90000}"/>
    <cellStyle name="Separador de milhares 4 3 13 2" xfId="42053" xr:uid="{00000000-0005-0000-0000-000053A90000}"/>
    <cellStyle name="Separador de milhares 4 3 13 2 2" xfId="42054" xr:uid="{00000000-0005-0000-0000-000054A90000}"/>
    <cellStyle name="Separador de milhares 4 3 13 2 3" xfId="42055" xr:uid="{00000000-0005-0000-0000-000055A90000}"/>
    <cellStyle name="Separador de milhares 4 3 13 2 4" xfId="42056" xr:uid="{00000000-0005-0000-0000-000056A90000}"/>
    <cellStyle name="Separador de milhares 4 3 13 3" xfId="42057" xr:uid="{00000000-0005-0000-0000-000057A90000}"/>
    <cellStyle name="Separador de milhares 4 3 13 3 2" xfId="42058" xr:uid="{00000000-0005-0000-0000-000058A90000}"/>
    <cellStyle name="Separador de milhares 4 3 13 3 3" xfId="42059" xr:uid="{00000000-0005-0000-0000-000059A90000}"/>
    <cellStyle name="Separador de milhares 4 3 13 3 4" xfId="42060" xr:uid="{00000000-0005-0000-0000-00005AA90000}"/>
    <cellStyle name="Separador de milhares 4 3 13 4" xfId="42061" xr:uid="{00000000-0005-0000-0000-00005BA90000}"/>
    <cellStyle name="Separador de milhares 4 3 13 5" xfId="42062" xr:uid="{00000000-0005-0000-0000-00005CA90000}"/>
    <cellStyle name="Separador de milhares 4 3 13 6" xfId="42063" xr:uid="{00000000-0005-0000-0000-00005DA90000}"/>
    <cellStyle name="Separador de milhares 4 3 14" xfId="42064" xr:uid="{00000000-0005-0000-0000-00005EA90000}"/>
    <cellStyle name="Separador de milhares 4 3 14 2" xfId="42065" xr:uid="{00000000-0005-0000-0000-00005FA90000}"/>
    <cellStyle name="Separador de milhares 4 3 14 2 2" xfId="42066" xr:uid="{00000000-0005-0000-0000-000060A90000}"/>
    <cellStyle name="Separador de milhares 4 3 14 2 3" xfId="42067" xr:uid="{00000000-0005-0000-0000-000061A90000}"/>
    <cellStyle name="Separador de milhares 4 3 14 2 4" xfId="42068" xr:uid="{00000000-0005-0000-0000-000062A90000}"/>
    <cellStyle name="Separador de milhares 4 3 14 3" xfId="42069" xr:uid="{00000000-0005-0000-0000-000063A90000}"/>
    <cellStyle name="Separador de milhares 4 3 14 3 2" xfId="42070" xr:uid="{00000000-0005-0000-0000-000064A90000}"/>
    <cellStyle name="Separador de milhares 4 3 14 3 3" xfId="42071" xr:uid="{00000000-0005-0000-0000-000065A90000}"/>
    <cellStyle name="Separador de milhares 4 3 14 3 4" xfId="42072" xr:uid="{00000000-0005-0000-0000-000066A90000}"/>
    <cellStyle name="Separador de milhares 4 3 14 4" xfId="42073" xr:uid="{00000000-0005-0000-0000-000067A90000}"/>
    <cellStyle name="Separador de milhares 4 3 14 5" xfId="42074" xr:uid="{00000000-0005-0000-0000-000068A90000}"/>
    <cellStyle name="Separador de milhares 4 3 14 6" xfId="42075" xr:uid="{00000000-0005-0000-0000-000069A90000}"/>
    <cellStyle name="Separador de milhares 4 3 15" xfId="42076" xr:uid="{00000000-0005-0000-0000-00006AA90000}"/>
    <cellStyle name="Separador de milhares 4 3 15 2" xfId="42077" xr:uid="{00000000-0005-0000-0000-00006BA90000}"/>
    <cellStyle name="Separador de milhares 4 3 15 2 2" xfId="42078" xr:uid="{00000000-0005-0000-0000-00006CA90000}"/>
    <cellStyle name="Separador de milhares 4 3 15 2 3" xfId="42079" xr:uid="{00000000-0005-0000-0000-00006DA90000}"/>
    <cellStyle name="Separador de milhares 4 3 15 2 4" xfId="42080" xr:uid="{00000000-0005-0000-0000-00006EA90000}"/>
    <cellStyle name="Separador de milhares 4 3 15 3" xfId="42081" xr:uid="{00000000-0005-0000-0000-00006FA90000}"/>
    <cellStyle name="Separador de milhares 4 3 15 3 2" xfId="42082" xr:uid="{00000000-0005-0000-0000-000070A90000}"/>
    <cellStyle name="Separador de milhares 4 3 15 3 3" xfId="42083" xr:uid="{00000000-0005-0000-0000-000071A90000}"/>
    <cellStyle name="Separador de milhares 4 3 15 3 4" xfId="42084" xr:uid="{00000000-0005-0000-0000-000072A90000}"/>
    <cellStyle name="Separador de milhares 4 3 15 4" xfId="42085" xr:uid="{00000000-0005-0000-0000-000073A90000}"/>
    <cellStyle name="Separador de milhares 4 3 15 5" xfId="42086" xr:uid="{00000000-0005-0000-0000-000074A90000}"/>
    <cellStyle name="Separador de milhares 4 3 15 6" xfId="42087" xr:uid="{00000000-0005-0000-0000-000075A90000}"/>
    <cellStyle name="Separador de milhares 4 3 16" xfId="42088" xr:uid="{00000000-0005-0000-0000-000076A90000}"/>
    <cellStyle name="Separador de milhares 4 3 16 2" xfId="42089" xr:uid="{00000000-0005-0000-0000-000077A90000}"/>
    <cellStyle name="Separador de milhares 4 3 16 2 2" xfId="42090" xr:uid="{00000000-0005-0000-0000-000078A90000}"/>
    <cellStyle name="Separador de milhares 4 3 16 2 3" xfId="42091" xr:uid="{00000000-0005-0000-0000-000079A90000}"/>
    <cellStyle name="Separador de milhares 4 3 16 2 4" xfId="42092" xr:uid="{00000000-0005-0000-0000-00007AA90000}"/>
    <cellStyle name="Separador de milhares 4 3 16 3" xfId="42093" xr:uid="{00000000-0005-0000-0000-00007BA90000}"/>
    <cellStyle name="Separador de milhares 4 3 16 3 2" xfId="42094" xr:uid="{00000000-0005-0000-0000-00007CA90000}"/>
    <cellStyle name="Separador de milhares 4 3 16 3 3" xfId="42095" xr:uid="{00000000-0005-0000-0000-00007DA90000}"/>
    <cellStyle name="Separador de milhares 4 3 16 3 4" xfId="42096" xr:uid="{00000000-0005-0000-0000-00007EA90000}"/>
    <cellStyle name="Separador de milhares 4 3 16 4" xfId="42097" xr:uid="{00000000-0005-0000-0000-00007FA90000}"/>
    <cellStyle name="Separador de milhares 4 3 16 5" xfId="42098" xr:uid="{00000000-0005-0000-0000-000080A90000}"/>
    <cellStyle name="Separador de milhares 4 3 16 6" xfId="42099" xr:uid="{00000000-0005-0000-0000-000081A90000}"/>
    <cellStyle name="Separador de milhares 4 3 17" xfId="42100" xr:uid="{00000000-0005-0000-0000-000082A90000}"/>
    <cellStyle name="Separador de milhares 4 3 17 2" xfId="42101" xr:uid="{00000000-0005-0000-0000-000083A90000}"/>
    <cellStyle name="Separador de milhares 4 3 17 2 2" xfId="42102" xr:uid="{00000000-0005-0000-0000-000084A90000}"/>
    <cellStyle name="Separador de milhares 4 3 17 2 3" xfId="42103" xr:uid="{00000000-0005-0000-0000-000085A90000}"/>
    <cellStyle name="Separador de milhares 4 3 17 2 4" xfId="42104" xr:uid="{00000000-0005-0000-0000-000086A90000}"/>
    <cellStyle name="Separador de milhares 4 3 17 3" xfId="42105" xr:uid="{00000000-0005-0000-0000-000087A90000}"/>
    <cellStyle name="Separador de milhares 4 3 17 3 2" xfId="42106" xr:uid="{00000000-0005-0000-0000-000088A90000}"/>
    <cellStyle name="Separador de milhares 4 3 17 3 3" xfId="42107" xr:uid="{00000000-0005-0000-0000-000089A90000}"/>
    <cellStyle name="Separador de milhares 4 3 17 3 4" xfId="42108" xr:uid="{00000000-0005-0000-0000-00008AA90000}"/>
    <cellStyle name="Separador de milhares 4 3 17 4" xfId="42109" xr:uid="{00000000-0005-0000-0000-00008BA90000}"/>
    <cellStyle name="Separador de milhares 4 3 17 5" xfId="42110" xr:uid="{00000000-0005-0000-0000-00008CA90000}"/>
    <cellStyle name="Separador de milhares 4 3 17 6" xfId="42111" xr:uid="{00000000-0005-0000-0000-00008DA90000}"/>
    <cellStyle name="Separador de milhares 4 3 18" xfId="42112" xr:uid="{00000000-0005-0000-0000-00008EA90000}"/>
    <cellStyle name="Separador de milhares 4 3 18 2" xfId="42113" xr:uid="{00000000-0005-0000-0000-00008FA90000}"/>
    <cellStyle name="Separador de milhares 4 3 18 3" xfId="42114" xr:uid="{00000000-0005-0000-0000-000090A90000}"/>
    <cellStyle name="Separador de milhares 4 3 18 4" xfId="42115" xr:uid="{00000000-0005-0000-0000-000091A90000}"/>
    <cellStyle name="Separador de milhares 4 3 19" xfId="42116" xr:uid="{00000000-0005-0000-0000-000092A90000}"/>
    <cellStyle name="Separador de milhares 4 3 19 2" xfId="42117" xr:uid="{00000000-0005-0000-0000-000093A90000}"/>
    <cellStyle name="Separador de milhares 4 3 19 3" xfId="42118" xr:uid="{00000000-0005-0000-0000-000094A90000}"/>
    <cellStyle name="Separador de milhares 4 3 19 4" xfId="42119" xr:uid="{00000000-0005-0000-0000-000095A90000}"/>
    <cellStyle name="Separador de milhares 4 3 2" xfId="42120" xr:uid="{00000000-0005-0000-0000-000096A90000}"/>
    <cellStyle name="Separador de milhares 4 3 2 2" xfId="42121" xr:uid="{00000000-0005-0000-0000-000097A90000}"/>
    <cellStyle name="Separador de milhares 4 3 2 2 2" xfId="42122" xr:uid="{00000000-0005-0000-0000-000098A90000}"/>
    <cellStyle name="Separador de milhares 4 3 2 2 3" xfId="42123" xr:uid="{00000000-0005-0000-0000-000099A90000}"/>
    <cellStyle name="Separador de milhares 4 3 2 2 4" xfId="42124" xr:uid="{00000000-0005-0000-0000-00009AA90000}"/>
    <cellStyle name="Separador de milhares 4 3 2 3" xfId="42125" xr:uid="{00000000-0005-0000-0000-00009BA90000}"/>
    <cellStyle name="Separador de milhares 4 3 2 3 2" xfId="42126" xr:uid="{00000000-0005-0000-0000-00009CA90000}"/>
    <cellStyle name="Separador de milhares 4 3 2 3 3" xfId="42127" xr:uid="{00000000-0005-0000-0000-00009DA90000}"/>
    <cellStyle name="Separador de milhares 4 3 2 3 4" xfId="42128" xr:uid="{00000000-0005-0000-0000-00009EA90000}"/>
    <cellStyle name="Separador de milhares 4 3 2 4" xfId="42129" xr:uid="{00000000-0005-0000-0000-00009FA90000}"/>
    <cellStyle name="Separador de milhares 4 3 2 5" xfId="42130" xr:uid="{00000000-0005-0000-0000-0000A0A90000}"/>
    <cellStyle name="Separador de milhares 4 3 2 6" xfId="42131" xr:uid="{00000000-0005-0000-0000-0000A1A90000}"/>
    <cellStyle name="Separador de milhares 4 3 20" xfId="42132" xr:uid="{00000000-0005-0000-0000-0000A2A90000}"/>
    <cellStyle name="Separador de milhares 4 3 20 2" xfId="42133" xr:uid="{00000000-0005-0000-0000-0000A3A90000}"/>
    <cellStyle name="Separador de milhares 4 3 20 3" xfId="42134" xr:uid="{00000000-0005-0000-0000-0000A4A90000}"/>
    <cellStyle name="Separador de milhares 4 3 20 4" xfId="42135" xr:uid="{00000000-0005-0000-0000-0000A5A90000}"/>
    <cellStyle name="Separador de milhares 4 3 21" xfId="42136" xr:uid="{00000000-0005-0000-0000-0000A6A90000}"/>
    <cellStyle name="Separador de milhares 4 3 22" xfId="42137" xr:uid="{00000000-0005-0000-0000-0000A7A90000}"/>
    <cellStyle name="Separador de milhares 4 3 23" xfId="42138" xr:uid="{00000000-0005-0000-0000-0000A8A90000}"/>
    <cellStyle name="Separador de milhares 4 3 3" xfId="42139" xr:uid="{00000000-0005-0000-0000-0000A9A90000}"/>
    <cellStyle name="Separador de milhares 4 3 3 2" xfId="42140" xr:uid="{00000000-0005-0000-0000-0000AAA90000}"/>
    <cellStyle name="Separador de milhares 4 3 3 2 2" xfId="42141" xr:uid="{00000000-0005-0000-0000-0000ABA90000}"/>
    <cellStyle name="Separador de milhares 4 3 3 2 3" xfId="42142" xr:uid="{00000000-0005-0000-0000-0000ACA90000}"/>
    <cellStyle name="Separador de milhares 4 3 3 2 4" xfId="42143" xr:uid="{00000000-0005-0000-0000-0000ADA90000}"/>
    <cellStyle name="Separador de milhares 4 3 3 3" xfId="42144" xr:uid="{00000000-0005-0000-0000-0000AEA90000}"/>
    <cellStyle name="Separador de milhares 4 3 3 3 2" xfId="42145" xr:uid="{00000000-0005-0000-0000-0000AFA90000}"/>
    <cellStyle name="Separador de milhares 4 3 3 3 3" xfId="42146" xr:uid="{00000000-0005-0000-0000-0000B0A90000}"/>
    <cellStyle name="Separador de milhares 4 3 3 3 4" xfId="42147" xr:uid="{00000000-0005-0000-0000-0000B1A90000}"/>
    <cellStyle name="Separador de milhares 4 3 3 4" xfId="42148" xr:uid="{00000000-0005-0000-0000-0000B2A90000}"/>
    <cellStyle name="Separador de milhares 4 3 3 5" xfId="42149" xr:uid="{00000000-0005-0000-0000-0000B3A90000}"/>
    <cellStyle name="Separador de milhares 4 3 3 6" xfId="42150" xr:uid="{00000000-0005-0000-0000-0000B4A90000}"/>
    <cellStyle name="Separador de milhares 4 3 4" xfId="42151" xr:uid="{00000000-0005-0000-0000-0000B5A90000}"/>
    <cellStyle name="Separador de milhares 4 3 4 2" xfId="42152" xr:uid="{00000000-0005-0000-0000-0000B6A90000}"/>
    <cellStyle name="Separador de milhares 4 3 4 2 2" xfId="42153" xr:uid="{00000000-0005-0000-0000-0000B7A90000}"/>
    <cellStyle name="Separador de milhares 4 3 4 2 3" xfId="42154" xr:uid="{00000000-0005-0000-0000-0000B8A90000}"/>
    <cellStyle name="Separador de milhares 4 3 4 2 4" xfId="42155" xr:uid="{00000000-0005-0000-0000-0000B9A90000}"/>
    <cellStyle name="Separador de milhares 4 3 4 3" xfId="42156" xr:uid="{00000000-0005-0000-0000-0000BAA90000}"/>
    <cellStyle name="Separador de milhares 4 3 4 3 2" xfId="42157" xr:uid="{00000000-0005-0000-0000-0000BBA90000}"/>
    <cellStyle name="Separador de milhares 4 3 4 3 3" xfId="42158" xr:uid="{00000000-0005-0000-0000-0000BCA90000}"/>
    <cellStyle name="Separador de milhares 4 3 4 3 4" xfId="42159" xr:uid="{00000000-0005-0000-0000-0000BDA90000}"/>
    <cellStyle name="Separador de milhares 4 3 4 4" xfId="42160" xr:uid="{00000000-0005-0000-0000-0000BEA90000}"/>
    <cellStyle name="Separador de milhares 4 3 4 5" xfId="42161" xr:uid="{00000000-0005-0000-0000-0000BFA90000}"/>
    <cellStyle name="Separador de milhares 4 3 4 6" xfId="42162" xr:uid="{00000000-0005-0000-0000-0000C0A90000}"/>
    <cellStyle name="Separador de milhares 4 3 5" xfId="42163" xr:uid="{00000000-0005-0000-0000-0000C1A90000}"/>
    <cellStyle name="Separador de milhares 4 3 5 2" xfId="42164" xr:uid="{00000000-0005-0000-0000-0000C2A90000}"/>
    <cellStyle name="Separador de milhares 4 3 5 2 2" xfId="42165" xr:uid="{00000000-0005-0000-0000-0000C3A90000}"/>
    <cellStyle name="Separador de milhares 4 3 5 2 3" xfId="42166" xr:uid="{00000000-0005-0000-0000-0000C4A90000}"/>
    <cellStyle name="Separador de milhares 4 3 5 2 4" xfId="42167" xr:uid="{00000000-0005-0000-0000-0000C5A90000}"/>
    <cellStyle name="Separador de milhares 4 3 5 3" xfId="42168" xr:uid="{00000000-0005-0000-0000-0000C6A90000}"/>
    <cellStyle name="Separador de milhares 4 3 5 3 2" xfId="42169" xr:uid="{00000000-0005-0000-0000-0000C7A90000}"/>
    <cellStyle name="Separador de milhares 4 3 5 3 3" xfId="42170" xr:uid="{00000000-0005-0000-0000-0000C8A90000}"/>
    <cellStyle name="Separador de milhares 4 3 5 3 4" xfId="42171" xr:uid="{00000000-0005-0000-0000-0000C9A90000}"/>
    <cellStyle name="Separador de milhares 4 3 5 4" xfId="42172" xr:uid="{00000000-0005-0000-0000-0000CAA90000}"/>
    <cellStyle name="Separador de milhares 4 3 5 5" xfId="42173" xr:uid="{00000000-0005-0000-0000-0000CBA90000}"/>
    <cellStyle name="Separador de milhares 4 3 5 6" xfId="42174" xr:uid="{00000000-0005-0000-0000-0000CCA90000}"/>
    <cellStyle name="Separador de milhares 4 3 6" xfId="42175" xr:uid="{00000000-0005-0000-0000-0000CDA90000}"/>
    <cellStyle name="Separador de milhares 4 3 6 2" xfId="42176" xr:uid="{00000000-0005-0000-0000-0000CEA90000}"/>
    <cellStyle name="Separador de milhares 4 3 6 2 2" xfId="42177" xr:uid="{00000000-0005-0000-0000-0000CFA90000}"/>
    <cellStyle name="Separador de milhares 4 3 6 2 3" xfId="42178" xr:uid="{00000000-0005-0000-0000-0000D0A90000}"/>
    <cellStyle name="Separador de milhares 4 3 6 2 4" xfId="42179" xr:uid="{00000000-0005-0000-0000-0000D1A90000}"/>
    <cellStyle name="Separador de milhares 4 3 6 3" xfId="42180" xr:uid="{00000000-0005-0000-0000-0000D2A90000}"/>
    <cellStyle name="Separador de milhares 4 3 6 3 2" xfId="42181" xr:uid="{00000000-0005-0000-0000-0000D3A90000}"/>
    <cellStyle name="Separador de milhares 4 3 6 3 3" xfId="42182" xr:uid="{00000000-0005-0000-0000-0000D4A90000}"/>
    <cellStyle name="Separador de milhares 4 3 6 3 4" xfId="42183" xr:uid="{00000000-0005-0000-0000-0000D5A90000}"/>
    <cellStyle name="Separador de milhares 4 3 6 4" xfId="42184" xr:uid="{00000000-0005-0000-0000-0000D6A90000}"/>
    <cellStyle name="Separador de milhares 4 3 6 5" xfId="42185" xr:uid="{00000000-0005-0000-0000-0000D7A90000}"/>
    <cellStyle name="Separador de milhares 4 3 6 6" xfId="42186" xr:uid="{00000000-0005-0000-0000-0000D8A90000}"/>
    <cellStyle name="Separador de milhares 4 3 7" xfId="42187" xr:uid="{00000000-0005-0000-0000-0000D9A90000}"/>
    <cellStyle name="Separador de milhares 4 3 7 2" xfId="42188" xr:uid="{00000000-0005-0000-0000-0000DAA90000}"/>
    <cellStyle name="Separador de milhares 4 3 7 2 2" xfId="42189" xr:uid="{00000000-0005-0000-0000-0000DBA90000}"/>
    <cellStyle name="Separador de milhares 4 3 7 2 3" xfId="42190" xr:uid="{00000000-0005-0000-0000-0000DCA90000}"/>
    <cellStyle name="Separador de milhares 4 3 7 2 4" xfId="42191" xr:uid="{00000000-0005-0000-0000-0000DDA90000}"/>
    <cellStyle name="Separador de milhares 4 3 7 3" xfId="42192" xr:uid="{00000000-0005-0000-0000-0000DEA90000}"/>
    <cellStyle name="Separador de milhares 4 3 7 3 2" xfId="42193" xr:uid="{00000000-0005-0000-0000-0000DFA90000}"/>
    <cellStyle name="Separador de milhares 4 3 7 3 3" xfId="42194" xr:uid="{00000000-0005-0000-0000-0000E0A90000}"/>
    <cellStyle name="Separador de milhares 4 3 7 3 4" xfId="42195" xr:uid="{00000000-0005-0000-0000-0000E1A90000}"/>
    <cellStyle name="Separador de milhares 4 3 7 4" xfId="42196" xr:uid="{00000000-0005-0000-0000-0000E2A90000}"/>
    <cellStyle name="Separador de milhares 4 3 7 5" xfId="42197" xr:uid="{00000000-0005-0000-0000-0000E3A90000}"/>
    <cellStyle name="Separador de milhares 4 3 7 6" xfId="42198" xr:uid="{00000000-0005-0000-0000-0000E4A90000}"/>
    <cellStyle name="Separador de milhares 4 3 8" xfId="42199" xr:uid="{00000000-0005-0000-0000-0000E5A90000}"/>
    <cellStyle name="Separador de milhares 4 3 8 2" xfId="42200" xr:uid="{00000000-0005-0000-0000-0000E6A90000}"/>
    <cellStyle name="Separador de milhares 4 3 8 2 2" xfId="42201" xr:uid="{00000000-0005-0000-0000-0000E7A90000}"/>
    <cellStyle name="Separador de milhares 4 3 8 2 3" xfId="42202" xr:uid="{00000000-0005-0000-0000-0000E8A90000}"/>
    <cellStyle name="Separador de milhares 4 3 8 2 4" xfId="42203" xr:uid="{00000000-0005-0000-0000-0000E9A90000}"/>
    <cellStyle name="Separador de milhares 4 3 8 3" xfId="42204" xr:uid="{00000000-0005-0000-0000-0000EAA90000}"/>
    <cellStyle name="Separador de milhares 4 3 8 3 2" xfId="42205" xr:uid="{00000000-0005-0000-0000-0000EBA90000}"/>
    <cellStyle name="Separador de milhares 4 3 8 3 3" xfId="42206" xr:uid="{00000000-0005-0000-0000-0000ECA90000}"/>
    <cellStyle name="Separador de milhares 4 3 8 3 4" xfId="42207" xr:uid="{00000000-0005-0000-0000-0000EDA90000}"/>
    <cellStyle name="Separador de milhares 4 3 8 4" xfId="42208" xr:uid="{00000000-0005-0000-0000-0000EEA90000}"/>
    <cellStyle name="Separador de milhares 4 3 8 5" xfId="42209" xr:uid="{00000000-0005-0000-0000-0000EFA90000}"/>
    <cellStyle name="Separador de milhares 4 3 8 6" xfId="42210" xr:uid="{00000000-0005-0000-0000-0000F0A90000}"/>
    <cellStyle name="Separador de milhares 4 3 9" xfId="42211" xr:uid="{00000000-0005-0000-0000-0000F1A90000}"/>
    <cellStyle name="Separador de milhares 4 3 9 2" xfId="42212" xr:uid="{00000000-0005-0000-0000-0000F2A90000}"/>
    <cellStyle name="Separador de milhares 4 3 9 2 2" xfId="42213" xr:uid="{00000000-0005-0000-0000-0000F3A90000}"/>
    <cellStyle name="Separador de milhares 4 3 9 2 3" xfId="42214" xr:uid="{00000000-0005-0000-0000-0000F4A90000}"/>
    <cellStyle name="Separador de milhares 4 3 9 2 4" xfId="42215" xr:uid="{00000000-0005-0000-0000-0000F5A90000}"/>
    <cellStyle name="Separador de milhares 4 3 9 3" xfId="42216" xr:uid="{00000000-0005-0000-0000-0000F6A90000}"/>
    <cellStyle name="Separador de milhares 4 3 9 3 2" xfId="42217" xr:uid="{00000000-0005-0000-0000-0000F7A90000}"/>
    <cellStyle name="Separador de milhares 4 3 9 3 3" xfId="42218" xr:uid="{00000000-0005-0000-0000-0000F8A90000}"/>
    <cellStyle name="Separador de milhares 4 3 9 3 4" xfId="42219" xr:uid="{00000000-0005-0000-0000-0000F9A90000}"/>
    <cellStyle name="Separador de milhares 4 3 9 4" xfId="42220" xr:uid="{00000000-0005-0000-0000-0000FAA90000}"/>
    <cellStyle name="Separador de milhares 4 3 9 5" xfId="42221" xr:uid="{00000000-0005-0000-0000-0000FBA90000}"/>
    <cellStyle name="Separador de milhares 4 3 9 6" xfId="42222" xr:uid="{00000000-0005-0000-0000-0000FCA90000}"/>
    <cellStyle name="Separador de milhares 4 4" xfId="42223" xr:uid="{00000000-0005-0000-0000-0000FDA90000}"/>
    <cellStyle name="Separador de milhares 4 4 2" xfId="42224" xr:uid="{00000000-0005-0000-0000-0000FEA90000}"/>
    <cellStyle name="Separador de milhares 4 4 2 2" xfId="42225" xr:uid="{00000000-0005-0000-0000-0000FFA90000}"/>
    <cellStyle name="Separador de milhares 4 4 2 3" xfId="42226" xr:uid="{00000000-0005-0000-0000-000000AA0000}"/>
    <cellStyle name="Separador de milhares 4 4 2 4" xfId="42227" xr:uid="{00000000-0005-0000-0000-000001AA0000}"/>
    <cellStyle name="Separador de milhares 4 4 3" xfId="42228" xr:uid="{00000000-0005-0000-0000-000002AA0000}"/>
    <cellStyle name="Separador de milhares 4 4 3 2" xfId="42229" xr:uid="{00000000-0005-0000-0000-000003AA0000}"/>
    <cellStyle name="Separador de milhares 4 4 3 3" xfId="42230" xr:uid="{00000000-0005-0000-0000-000004AA0000}"/>
    <cellStyle name="Separador de milhares 4 4 3 4" xfId="42231" xr:uid="{00000000-0005-0000-0000-000005AA0000}"/>
    <cellStyle name="Separador de milhares 4 4 4" xfId="42232" xr:uid="{00000000-0005-0000-0000-000006AA0000}"/>
    <cellStyle name="Separador de milhares 4 4 5" xfId="42233" xr:uid="{00000000-0005-0000-0000-000007AA0000}"/>
    <cellStyle name="Separador de milhares 4 4 6" xfId="42234" xr:uid="{00000000-0005-0000-0000-000008AA0000}"/>
    <cellStyle name="Separador de milhares 4 5" xfId="42235" xr:uid="{00000000-0005-0000-0000-000009AA0000}"/>
    <cellStyle name="Separador de milhares 4 5 2" xfId="42236" xr:uid="{00000000-0005-0000-0000-00000AAA0000}"/>
    <cellStyle name="Separador de milhares 4 5 2 2" xfId="42237" xr:uid="{00000000-0005-0000-0000-00000BAA0000}"/>
    <cellStyle name="Separador de milhares 4 5 2 3" xfId="42238" xr:uid="{00000000-0005-0000-0000-00000CAA0000}"/>
    <cellStyle name="Separador de milhares 4 5 2 4" xfId="42239" xr:uid="{00000000-0005-0000-0000-00000DAA0000}"/>
    <cellStyle name="Separador de milhares 4 5 3" xfId="42240" xr:uid="{00000000-0005-0000-0000-00000EAA0000}"/>
    <cellStyle name="Separador de milhares 4 5 3 2" xfId="42241" xr:uid="{00000000-0005-0000-0000-00000FAA0000}"/>
    <cellStyle name="Separador de milhares 4 5 3 3" xfId="42242" xr:uid="{00000000-0005-0000-0000-000010AA0000}"/>
    <cellStyle name="Separador de milhares 4 5 3 4" xfId="42243" xr:uid="{00000000-0005-0000-0000-000011AA0000}"/>
    <cellStyle name="Separador de milhares 4 5 4" xfId="42244" xr:uid="{00000000-0005-0000-0000-000012AA0000}"/>
    <cellStyle name="Separador de milhares 4 5 5" xfId="42245" xr:uid="{00000000-0005-0000-0000-000013AA0000}"/>
    <cellStyle name="Separador de milhares 4 5 6" xfId="42246" xr:uid="{00000000-0005-0000-0000-000014AA0000}"/>
    <cellStyle name="Separador de milhares 4 6" xfId="42247" xr:uid="{00000000-0005-0000-0000-000015AA0000}"/>
    <cellStyle name="Separador de milhares 4 6 2" xfId="42248" xr:uid="{00000000-0005-0000-0000-000016AA0000}"/>
    <cellStyle name="Separador de milhares 4 6 2 2" xfId="42249" xr:uid="{00000000-0005-0000-0000-000017AA0000}"/>
    <cellStyle name="Separador de milhares 4 6 2 3" xfId="42250" xr:uid="{00000000-0005-0000-0000-000018AA0000}"/>
    <cellStyle name="Separador de milhares 4 6 2 4" xfId="42251" xr:uid="{00000000-0005-0000-0000-000019AA0000}"/>
    <cellStyle name="Separador de milhares 4 6 3" xfId="42252" xr:uid="{00000000-0005-0000-0000-00001AAA0000}"/>
    <cellStyle name="Separador de milhares 4 6 3 2" xfId="42253" xr:uid="{00000000-0005-0000-0000-00001BAA0000}"/>
    <cellStyle name="Separador de milhares 4 6 3 3" xfId="42254" xr:uid="{00000000-0005-0000-0000-00001CAA0000}"/>
    <cellStyle name="Separador de milhares 4 6 3 4" xfId="42255" xr:uid="{00000000-0005-0000-0000-00001DAA0000}"/>
    <cellStyle name="Separador de milhares 4 6 4" xfId="42256" xr:uid="{00000000-0005-0000-0000-00001EAA0000}"/>
    <cellStyle name="Separador de milhares 4 6 5" xfId="42257" xr:uid="{00000000-0005-0000-0000-00001FAA0000}"/>
    <cellStyle name="Separador de milhares 4 6 6" xfId="42258" xr:uid="{00000000-0005-0000-0000-000020AA0000}"/>
    <cellStyle name="Separador de milhares 4 7" xfId="42259" xr:uid="{00000000-0005-0000-0000-000021AA0000}"/>
    <cellStyle name="Separador de milhares 4 7 2" xfId="42260" xr:uid="{00000000-0005-0000-0000-000022AA0000}"/>
    <cellStyle name="Separador de milhares 4 7 2 2" xfId="42261" xr:uid="{00000000-0005-0000-0000-000023AA0000}"/>
    <cellStyle name="Separador de milhares 4 7 2 3" xfId="42262" xr:uid="{00000000-0005-0000-0000-000024AA0000}"/>
    <cellStyle name="Separador de milhares 4 7 2 4" xfId="42263" xr:uid="{00000000-0005-0000-0000-000025AA0000}"/>
    <cellStyle name="Separador de milhares 4 7 3" xfId="42264" xr:uid="{00000000-0005-0000-0000-000026AA0000}"/>
    <cellStyle name="Separador de milhares 4 7 3 2" xfId="42265" xr:uid="{00000000-0005-0000-0000-000027AA0000}"/>
    <cellStyle name="Separador de milhares 4 7 3 3" xfId="42266" xr:uid="{00000000-0005-0000-0000-000028AA0000}"/>
    <cellStyle name="Separador de milhares 4 7 3 4" xfId="42267" xr:uid="{00000000-0005-0000-0000-000029AA0000}"/>
    <cellStyle name="Separador de milhares 4 7 4" xfId="42268" xr:uid="{00000000-0005-0000-0000-00002AAA0000}"/>
    <cellStyle name="Separador de milhares 4 7 5" xfId="42269" xr:uid="{00000000-0005-0000-0000-00002BAA0000}"/>
    <cellStyle name="Separador de milhares 4 7 6" xfId="42270" xr:uid="{00000000-0005-0000-0000-00002CAA0000}"/>
    <cellStyle name="Separador de milhares 4 8" xfId="42271" xr:uid="{00000000-0005-0000-0000-00002DAA0000}"/>
    <cellStyle name="Separador de milhares 4 8 2" xfId="42272" xr:uid="{00000000-0005-0000-0000-00002EAA0000}"/>
    <cellStyle name="Separador de milhares 4 8 2 2" xfId="42273" xr:uid="{00000000-0005-0000-0000-00002FAA0000}"/>
    <cellStyle name="Separador de milhares 4 8 2 3" xfId="42274" xr:uid="{00000000-0005-0000-0000-000030AA0000}"/>
    <cellStyle name="Separador de milhares 4 8 2 4" xfId="42275" xr:uid="{00000000-0005-0000-0000-000031AA0000}"/>
    <cellStyle name="Separador de milhares 4 8 3" xfId="42276" xr:uid="{00000000-0005-0000-0000-000032AA0000}"/>
    <cellStyle name="Separador de milhares 4 8 3 2" xfId="42277" xr:uid="{00000000-0005-0000-0000-000033AA0000}"/>
    <cellStyle name="Separador de milhares 4 8 3 3" xfId="42278" xr:uid="{00000000-0005-0000-0000-000034AA0000}"/>
    <cellStyle name="Separador de milhares 4 8 3 4" xfId="42279" xr:uid="{00000000-0005-0000-0000-000035AA0000}"/>
    <cellStyle name="Separador de milhares 4 8 4" xfId="42280" xr:uid="{00000000-0005-0000-0000-000036AA0000}"/>
    <cellStyle name="Separador de milhares 4 8 5" xfId="42281" xr:uid="{00000000-0005-0000-0000-000037AA0000}"/>
    <cellStyle name="Separador de milhares 4 8 6" xfId="42282" xr:uid="{00000000-0005-0000-0000-000038AA0000}"/>
    <cellStyle name="Separador de milhares 4 9" xfId="42283" xr:uid="{00000000-0005-0000-0000-000039AA0000}"/>
    <cellStyle name="Separador de milhares 4 9 2" xfId="42284" xr:uid="{00000000-0005-0000-0000-00003AAA0000}"/>
    <cellStyle name="Separador de milhares 4 9 2 2" xfId="42285" xr:uid="{00000000-0005-0000-0000-00003BAA0000}"/>
    <cellStyle name="Separador de milhares 4 9 2 3" xfId="42286" xr:uid="{00000000-0005-0000-0000-00003CAA0000}"/>
    <cellStyle name="Separador de milhares 4 9 2 4" xfId="42287" xr:uid="{00000000-0005-0000-0000-00003DAA0000}"/>
    <cellStyle name="Separador de milhares 4 9 3" xfId="42288" xr:uid="{00000000-0005-0000-0000-00003EAA0000}"/>
    <cellStyle name="Separador de milhares 4 9 3 2" xfId="42289" xr:uid="{00000000-0005-0000-0000-00003FAA0000}"/>
    <cellStyle name="Separador de milhares 4 9 3 3" xfId="42290" xr:uid="{00000000-0005-0000-0000-000040AA0000}"/>
    <cellStyle name="Separador de milhares 4 9 3 4" xfId="42291" xr:uid="{00000000-0005-0000-0000-000041AA0000}"/>
    <cellStyle name="Separador de milhares 4 9 4" xfId="42292" xr:uid="{00000000-0005-0000-0000-000042AA0000}"/>
    <cellStyle name="Separador de milhares 4 9 5" xfId="42293" xr:uid="{00000000-0005-0000-0000-000043AA0000}"/>
    <cellStyle name="Separador de milhares 4 9 6" xfId="42294" xr:uid="{00000000-0005-0000-0000-000044AA0000}"/>
    <cellStyle name="Separador de milhares 40" xfId="43856" xr:uid="{00000000-0005-0000-0000-000045AA0000}"/>
    <cellStyle name="Separador de milhares 44" xfId="43857" xr:uid="{00000000-0005-0000-0000-000046AA0000}"/>
    <cellStyle name="Separador de milhares 48" xfId="43858" xr:uid="{00000000-0005-0000-0000-000047AA0000}"/>
    <cellStyle name="Separador de milhares 5" xfId="1155" xr:uid="{00000000-0005-0000-0000-000048AA0000}"/>
    <cellStyle name="Separador de milhares 5 2" xfId="1794" xr:uid="{00000000-0005-0000-0000-000049AA0000}"/>
    <cellStyle name="Separador de milhares 5 2 2" xfId="42295" xr:uid="{00000000-0005-0000-0000-00004AAA0000}"/>
    <cellStyle name="Separador de milhares 5 3" xfId="42296" xr:uid="{00000000-0005-0000-0000-00004BAA0000}"/>
    <cellStyle name="Separador de milhares 5 3 2" xfId="43859" xr:uid="{00000000-0005-0000-0000-00004CAA0000}"/>
    <cellStyle name="Separador de milhares 5 4" xfId="43860" xr:uid="{00000000-0005-0000-0000-00004DAA0000}"/>
    <cellStyle name="Separador de milhares 52" xfId="43861" xr:uid="{00000000-0005-0000-0000-00004EAA0000}"/>
    <cellStyle name="Separador de milhares 56" xfId="43862" xr:uid="{00000000-0005-0000-0000-00004FAA0000}"/>
    <cellStyle name="Separador de milhares 6" xfId="1156" xr:uid="{00000000-0005-0000-0000-000050AA0000}"/>
    <cellStyle name="Separador de milhares 6 2" xfId="1487" xr:uid="{00000000-0005-0000-0000-000051AA0000}"/>
    <cellStyle name="Separador de milhares 6 3" xfId="42297" xr:uid="{00000000-0005-0000-0000-000052AA0000}"/>
    <cellStyle name="Separador de milhares 60" xfId="43863" xr:uid="{00000000-0005-0000-0000-000053AA0000}"/>
    <cellStyle name="Separador de milhares 64" xfId="43864" xr:uid="{00000000-0005-0000-0000-000054AA0000}"/>
    <cellStyle name="Separador de milhares 7" xfId="1157" xr:uid="{00000000-0005-0000-0000-000055AA0000}"/>
    <cellStyle name="Separador de milhares 7 2" xfId="42298" xr:uid="{00000000-0005-0000-0000-000056AA0000}"/>
    <cellStyle name="Separador de milhares 7 2 2" xfId="43865" xr:uid="{00000000-0005-0000-0000-000057AA0000}"/>
    <cellStyle name="Separador de milhares 7 3" xfId="42299" xr:uid="{00000000-0005-0000-0000-000058AA0000}"/>
    <cellStyle name="Separador de milhares 7 4" xfId="42300" xr:uid="{00000000-0005-0000-0000-000059AA0000}"/>
    <cellStyle name="Separador de milhares 7 5" xfId="42301" xr:uid="{00000000-0005-0000-0000-00005AAA0000}"/>
    <cellStyle name="Separador de milhares 8" xfId="1158" xr:uid="{00000000-0005-0000-0000-00005BAA0000}"/>
    <cellStyle name="Separador de milhares 8 10" xfId="43866" xr:uid="{00000000-0005-0000-0000-00005CAA0000}"/>
    <cellStyle name="Separador de milhares 8 11" xfId="43867" xr:uid="{00000000-0005-0000-0000-00005DAA0000}"/>
    <cellStyle name="Separador de milhares 8 12" xfId="43868" xr:uid="{00000000-0005-0000-0000-00005EAA0000}"/>
    <cellStyle name="Separador de milhares 8 13" xfId="43869" xr:uid="{00000000-0005-0000-0000-00005FAA0000}"/>
    <cellStyle name="Separador de milhares 8 14" xfId="43870" xr:uid="{00000000-0005-0000-0000-000060AA0000}"/>
    <cellStyle name="Separador de milhares 8 15" xfId="43871" xr:uid="{00000000-0005-0000-0000-000061AA0000}"/>
    <cellStyle name="Separador de milhares 8 16" xfId="43872" xr:uid="{00000000-0005-0000-0000-000062AA0000}"/>
    <cellStyle name="Separador de milhares 8 17" xfId="43873" xr:uid="{00000000-0005-0000-0000-000063AA0000}"/>
    <cellStyle name="Separador de milhares 8 18" xfId="43874" xr:uid="{00000000-0005-0000-0000-000064AA0000}"/>
    <cellStyle name="Separador de milhares 8 19" xfId="43875" xr:uid="{00000000-0005-0000-0000-000065AA0000}"/>
    <cellStyle name="Separador de milhares 8 2" xfId="42302" xr:uid="{00000000-0005-0000-0000-000066AA0000}"/>
    <cellStyle name="Separador de milhares 8 20" xfId="43876" xr:uid="{00000000-0005-0000-0000-000067AA0000}"/>
    <cellStyle name="Separador de milhares 8 21" xfId="43877" xr:uid="{00000000-0005-0000-0000-000068AA0000}"/>
    <cellStyle name="Separador de milhares 8 22" xfId="43878" xr:uid="{00000000-0005-0000-0000-000069AA0000}"/>
    <cellStyle name="Separador de milhares 8 23" xfId="43879" xr:uid="{00000000-0005-0000-0000-00006AAA0000}"/>
    <cellStyle name="Separador de milhares 8 24" xfId="43880" xr:uid="{00000000-0005-0000-0000-00006BAA0000}"/>
    <cellStyle name="Separador de milhares 8 25" xfId="43881" xr:uid="{00000000-0005-0000-0000-00006CAA0000}"/>
    <cellStyle name="Separador de milhares 8 26" xfId="43882" xr:uid="{00000000-0005-0000-0000-00006DAA0000}"/>
    <cellStyle name="Separador de milhares 8 27" xfId="43883" xr:uid="{00000000-0005-0000-0000-00006EAA0000}"/>
    <cellStyle name="Separador de milhares 8 28" xfId="43884" xr:uid="{00000000-0005-0000-0000-00006FAA0000}"/>
    <cellStyle name="Separador de milhares 8 3" xfId="42303" xr:uid="{00000000-0005-0000-0000-000070AA0000}"/>
    <cellStyle name="Separador de milhares 8 4" xfId="43885" xr:uid="{00000000-0005-0000-0000-000071AA0000}"/>
    <cellStyle name="Separador de milhares 8 5" xfId="43886" xr:uid="{00000000-0005-0000-0000-000072AA0000}"/>
    <cellStyle name="Separador de milhares 8 6" xfId="43887" xr:uid="{00000000-0005-0000-0000-000073AA0000}"/>
    <cellStyle name="Separador de milhares 8 7" xfId="43888" xr:uid="{00000000-0005-0000-0000-000074AA0000}"/>
    <cellStyle name="Separador de milhares 8 8" xfId="43889" xr:uid="{00000000-0005-0000-0000-000075AA0000}"/>
    <cellStyle name="Separador de milhares 8 9" xfId="43890" xr:uid="{00000000-0005-0000-0000-000076AA0000}"/>
    <cellStyle name="Separador de milhares 9" xfId="1159" xr:uid="{00000000-0005-0000-0000-000077AA0000}"/>
    <cellStyle name="Separador de milhares 9 2" xfId="1726" xr:uid="{00000000-0005-0000-0000-000078AA0000}"/>
    <cellStyle name="Separador de milhares 9 3" xfId="42304" xr:uid="{00000000-0005-0000-0000-000079AA0000}"/>
    <cellStyle name="Separador de milhares 9 4" xfId="42305" xr:uid="{00000000-0005-0000-0000-00007AAA0000}"/>
    <cellStyle name="Separador de milhares 9 5" xfId="42306" xr:uid="{00000000-0005-0000-0000-00007BAA0000}"/>
    <cellStyle name="Shaded" xfId="883" xr:uid="{00000000-0005-0000-0000-00007CAA0000}"/>
    <cellStyle name="Shaded 2" xfId="42307" xr:uid="{00000000-0005-0000-0000-00007DAA0000}"/>
    <cellStyle name="Sheet Title" xfId="42308" xr:uid="{00000000-0005-0000-0000-00007EAA0000}"/>
    <cellStyle name="ssubtitulo" xfId="884" xr:uid="{00000000-0005-0000-0000-00007FAA0000}"/>
    <cellStyle name="Standard format" xfId="1160" xr:uid="{00000000-0005-0000-0000-000080AA0000}"/>
    <cellStyle name="STA-TI - Style4" xfId="42309" xr:uid="{00000000-0005-0000-0000-000081AA0000}"/>
    <cellStyle name="Strange" xfId="1727" xr:uid="{00000000-0005-0000-0000-000082AA0000}"/>
    <cellStyle name="Style 1" xfId="885" xr:uid="{00000000-0005-0000-0000-000083AA0000}"/>
    <cellStyle name="Style 1 2" xfId="924" xr:uid="{00000000-0005-0000-0000-000084AA0000}"/>
    <cellStyle name="Style 1 3" xfId="42310" xr:uid="{00000000-0005-0000-0000-000085AA0000}"/>
    <cellStyle name="Style 1_IF - Autoprodutores" xfId="42311" xr:uid="{00000000-0005-0000-0000-000086AA0000}"/>
    <cellStyle name="Style 21" xfId="42312" xr:uid="{00000000-0005-0000-0000-000087AA0000}"/>
    <cellStyle name="Style 22" xfId="42313" xr:uid="{00000000-0005-0000-0000-000088AA0000}"/>
    <cellStyle name="Style 23" xfId="42314" xr:uid="{00000000-0005-0000-0000-000089AA0000}"/>
    <cellStyle name="Style 24" xfId="42315" xr:uid="{00000000-0005-0000-0000-00008AAA0000}"/>
    <cellStyle name="Style 25" xfId="42316" xr:uid="{00000000-0005-0000-0000-00008BAA0000}"/>
    <cellStyle name="STYLE1 - Style1" xfId="886" xr:uid="{00000000-0005-0000-0000-00008CAA0000}"/>
    <cellStyle name="STYLE1 - Style1 10" xfId="42317" xr:uid="{00000000-0005-0000-0000-00008DAA0000}"/>
    <cellStyle name="STYLE1 - Style1 2" xfId="1161" xr:uid="{00000000-0005-0000-0000-00008EAA0000}"/>
    <cellStyle name="STYLE1 - Style1 3" xfId="42318" xr:uid="{00000000-0005-0000-0000-00008FAA0000}"/>
    <cellStyle name="STYLE1 - Style1 4" xfId="42319" xr:uid="{00000000-0005-0000-0000-000090AA0000}"/>
    <cellStyle name="STYLE1 - Style1 5" xfId="42320" xr:uid="{00000000-0005-0000-0000-000091AA0000}"/>
    <cellStyle name="STYLE1 - Style1 6" xfId="42321" xr:uid="{00000000-0005-0000-0000-000092AA0000}"/>
    <cellStyle name="STYLE1 - Style1 7" xfId="42322" xr:uid="{00000000-0005-0000-0000-000093AA0000}"/>
    <cellStyle name="STYLE1 - Style1 8" xfId="42323" xr:uid="{00000000-0005-0000-0000-000094AA0000}"/>
    <cellStyle name="STYLE1 - Style1 9" xfId="42324" xr:uid="{00000000-0005-0000-0000-000095AA0000}"/>
    <cellStyle name="STYLE1 - Style1_COELCE CVA SRE (4)" xfId="42325" xr:uid="{00000000-0005-0000-0000-000096AA0000}"/>
    <cellStyle name="STYLE2 - Style2" xfId="887" xr:uid="{00000000-0005-0000-0000-000097AA0000}"/>
    <cellStyle name="STYLE2 - Style2 10" xfId="42326" xr:uid="{00000000-0005-0000-0000-000098AA0000}"/>
    <cellStyle name="STYLE2 - Style2 2" xfId="1162" xr:uid="{00000000-0005-0000-0000-000099AA0000}"/>
    <cellStyle name="STYLE2 - Style2 3" xfId="42327" xr:uid="{00000000-0005-0000-0000-00009AAA0000}"/>
    <cellStyle name="STYLE2 - Style2 4" xfId="42328" xr:uid="{00000000-0005-0000-0000-00009BAA0000}"/>
    <cellStyle name="STYLE2 - Style2 5" xfId="42329" xr:uid="{00000000-0005-0000-0000-00009CAA0000}"/>
    <cellStyle name="STYLE2 - Style2 6" xfId="42330" xr:uid="{00000000-0005-0000-0000-00009DAA0000}"/>
    <cellStyle name="STYLE2 - Style2 7" xfId="42331" xr:uid="{00000000-0005-0000-0000-00009EAA0000}"/>
    <cellStyle name="STYLE2 - Style2 8" xfId="42332" xr:uid="{00000000-0005-0000-0000-00009FAA0000}"/>
    <cellStyle name="STYLE2 - Style2 9" xfId="42333" xr:uid="{00000000-0005-0000-0000-0000A0AA0000}"/>
    <cellStyle name="STYLE2 - Style2_COELCE CVA SRE (4)" xfId="42334" xr:uid="{00000000-0005-0000-0000-0000A1AA0000}"/>
    <cellStyle name="STYLE3 - Style3" xfId="888" xr:uid="{00000000-0005-0000-0000-0000A2AA0000}"/>
    <cellStyle name="STYLE3 - Style3 10" xfId="42335" xr:uid="{00000000-0005-0000-0000-0000A3AA0000}"/>
    <cellStyle name="STYLE3 - Style3 2" xfId="1163" xr:uid="{00000000-0005-0000-0000-0000A4AA0000}"/>
    <cellStyle name="STYLE3 - Style3 3" xfId="42336" xr:uid="{00000000-0005-0000-0000-0000A5AA0000}"/>
    <cellStyle name="STYLE3 - Style3 4" xfId="42337" xr:uid="{00000000-0005-0000-0000-0000A6AA0000}"/>
    <cellStyle name="STYLE3 - Style3 5" xfId="42338" xr:uid="{00000000-0005-0000-0000-0000A7AA0000}"/>
    <cellStyle name="STYLE3 - Style3 6" xfId="42339" xr:uid="{00000000-0005-0000-0000-0000A8AA0000}"/>
    <cellStyle name="STYLE3 - Style3 7" xfId="42340" xr:uid="{00000000-0005-0000-0000-0000A9AA0000}"/>
    <cellStyle name="STYLE3 - Style3 8" xfId="42341" xr:uid="{00000000-0005-0000-0000-0000AAAA0000}"/>
    <cellStyle name="STYLE3 - Style3 9" xfId="42342" xr:uid="{00000000-0005-0000-0000-0000ABAA0000}"/>
    <cellStyle name="STYLE3 - Style3_COELCE CVA SRE (4)" xfId="42343" xr:uid="{00000000-0005-0000-0000-0000ACAA0000}"/>
    <cellStyle name="STYLE4 - Style4" xfId="889" xr:uid="{00000000-0005-0000-0000-0000ADAA0000}"/>
    <cellStyle name="STYLE4 - Style4 10" xfId="42344" xr:uid="{00000000-0005-0000-0000-0000AEAA0000}"/>
    <cellStyle name="STYLE4 - Style4 2" xfId="1164" xr:uid="{00000000-0005-0000-0000-0000AFAA0000}"/>
    <cellStyle name="STYLE4 - Style4 3" xfId="42345" xr:uid="{00000000-0005-0000-0000-0000B0AA0000}"/>
    <cellStyle name="STYLE4 - Style4 4" xfId="42346" xr:uid="{00000000-0005-0000-0000-0000B1AA0000}"/>
    <cellStyle name="STYLE4 - Style4 5" xfId="42347" xr:uid="{00000000-0005-0000-0000-0000B2AA0000}"/>
    <cellStyle name="STYLE4 - Style4 6" xfId="42348" xr:uid="{00000000-0005-0000-0000-0000B3AA0000}"/>
    <cellStyle name="STYLE4 - Style4 7" xfId="42349" xr:uid="{00000000-0005-0000-0000-0000B4AA0000}"/>
    <cellStyle name="STYLE4 - Style4 8" xfId="42350" xr:uid="{00000000-0005-0000-0000-0000B5AA0000}"/>
    <cellStyle name="STYLE4 - Style4 9" xfId="42351" xr:uid="{00000000-0005-0000-0000-0000B6AA0000}"/>
    <cellStyle name="STYLE4 - Style4_COELCE CVA SRE (4)" xfId="42352" xr:uid="{00000000-0005-0000-0000-0000B7AA0000}"/>
    <cellStyle name="sub-to - Style3" xfId="42353" xr:uid="{00000000-0005-0000-0000-0000B8AA0000}"/>
    <cellStyle name="Sum" xfId="890" xr:uid="{00000000-0005-0000-0000-0000B9AA0000}"/>
    <cellStyle name="Sum %of HV" xfId="891" xr:uid="{00000000-0005-0000-0000-0000BAAA0000}"/>
    <cellStyle name="Sum %of HV 2" xfId="42354" xr:uid="{00000000-0005-0000-0000-0000BBAA0000}"/>
    <cellStyle name="Sum %of HV 3" xfId="42355" xr:uid="{00000000-0005-0000-0000-0000BCAA0000}"/>
    <cellStyle name="Sum %of HV 3 2" xfId="42356" xr:uid="{00000000-0005-0000-0000-0000BDAA0000}"/>
    <cellStyle name="Sum %of HV_IF - Autoprodutores 2" xfId="42357" xr:uid="{00000000-0005-0000-0000-0000BEAA0000}"/>
    <cellStyle name="t" xfId="42358" xr:uid="{00000000-0005-0000-0000-0000BFAA0000}"/>
    <cellStyle name="T¡tu-1 - Style2" xfId="42359" xr:uid="{00000000-0005-0000-0000-0000C0AA0000}"/>
    <cellStyle name="T0" xfId="1728" xr:uid="{00000000-0005-0000-0000-0000C1AA0000}"/>
    <cellStyle name="T1" xfId="1729" xr:uid="{00000000-0005-0000-0000-0000C2AA0000}"/>
    <cellStyle name="Table Head" xfId="42360" xr:uid="{00000000-0005-0000-0000-0000C3AA0000}"/>
    <cellStyle name="Table Head Aligned" xfId="42361" xr:uid="{00000000-0005-0000-0000-0000C4AA0000}"/>
    <cellStyle name="Table Head Aligned 2" xfId="43891" xr:uid="{00000000-0005-0000-0000-0000C5AA0000}"/>
    <cellStyle name="Table Head Blue" xfId="42362" xr:uid="{00000000-0005-0000-0000-0000C6AA0000}"/>
    <cellStyle name="Table Head Green" xfId="42363" xr:uid="{00000000-0005-0000-0000-0000C7AA0000}"/>
    <cellStyle name="Table Head Green 2" xfId="43892" xr:uid="{00000000-0005-0000-0000-0000C8AA0000}"/>
    <cellStyle name="Table Title" xfId="42364" xr:uid="{00000000-0005-0000-0000-0000C9AA0000}"/>
    <cellStyle name="Table Units" xfId="42365" xr:uid="{00000000-0005-0000-0000-0000CAAA0000}"/>
    <cellStyle name="Table Units 2" xfId="43893" xr:uid="{00000000-0005-0000-0000-0000CBAA0000}"/>
    <cellStyle name="taples Plaza" xfId="42366" xr:uid="{00000000-0005-0000-0000-0000CCAA0000}"/>
    <cellStyle name="TESTE" xfId="42367" xr:uid="{00000000-0005-0000-0000-0000CDAA0000}"/>
    <cellStyle name="Text" xfId="42368" xr:uid="{00000000-0005-0000-0000-0000CEAA0000}"/>
    <cellStyle name="Text Indent A" xfId="892" xr:uid="{00000000-0005-0000-0000-0000CFAA0000}"/>
    <cellStyle name="Text Indent A 2" xfId="1165" xr:uid="{00000000-0005-0000-0000-0000D0AA0000}"/>
    <cellStyle name="Text Indent A 3" xfId="42369" xr:uid="{00000000-0005-0000-0000-0000D1AA0000}"/>
    <cellStyle name="Text Indent A_IRT_Planilha Básica_ v2010_CERRP" xfId="1795" xr:uid="{00000000-0005-0000-0000-0000D2AA0000}"/>
    <cellStyle name="Text Indent B" xfId="893" xr:uid="{00000000-0005-0000-0000-0000D3AA0000}"/>
    <cellStyle name="Text Indent B 2" xfId="1166" xr:uid="{00000000-0005-0000-0000-0000D4AA0000}"/>
    <cellStyle name="Text Indent B 3" xfId="42370" xr:uid="{00000000-0005-0000-0000-0000D5AA0000}"/>
    <cellStyle name="Text Indent B_IRT_Planilha Básica_ v2010_CERRP" xfId="1796" xr:uid="{00000000-0005-0000-0000-0000D6AA0000}"/>
    <cellStyle name="Text Indent C" xfId="894" xr:uid="{00000000-0005-0000-0000-0000D7AA0000}"/>
    <cellStyle name="Text Indent C 2" xfId="1167" xr:uid="{00000000-0005-0000-0000-0000D8AA0000}"/>
    <cellStyle name="Text Indent C 3" xfId="42371" xr:uid="{00000000-0005-0000-0000-0000D9AA0000}"/>
    <cellStyle name="Text Indent C_IRT_Planilha Básica_ v2010_CERRP" xfId="1797" xr:uid="{00000000-0005-0000-0000-0000DAAA0000}"/>
    <cellStyle name="Texto de advertencia" xfId="1168" xr:uid="{00000000-0005-0000-0000-0000DBAA0000}"/>
    <cellStyle name="Texto de Aviso 2" xfId="1169" xr:uid="{00000000-0005-0000-0000-0000DCAA0000}"/>
    <cellStyle name="Texto de Aviso 2 2" xfId="42372" xr:uid="{00000000-0005-0000-0000-0000DDAA0000}"/>
    <cellStyle name="Texto de Aviso 3" xfId="1798" xr:uid="{00000000-0005-0000-0000-0000DEAA0000}"/>
    <cellStyle name="Texto de Aviso 4" xfId="42373" xr:uid="{00000000-0005-0000-0000-0000DFAA0000}"/>
    <cellStyle name="Texto de Aviso 5" xfId="43894" xr:uid="{00000000-0005-0000-0000-0000E0AA0000}"/>
    <cellStyle name="Texto de Aviso 6" xfId="43895" xr:uid="{00000000-0005-0000-0000-0000E1AA0000}"/>
    <cellStyle name="Texto de Aviso 7" xfId="43896" xr:uid="{00000000-0005-0000-0000-0000E2AA0000}"/>
    <cellStyle name="Texto de Aviso 8" xfId="43897" xr:uid="{00000000-0005-0000-0000-0000E3AA0000}"/>
    <cellStyle name="Texto de Aviso 9" xfId="895" xr:uid="{00000000-0005-0000-0000-0000E4AA0000}"/>
    <cellStyle name="Texto explicativo 10" xfId="42374" xr:uid="{00000000-0005-0000-0000-0000E5AA0000}"/>
    <cellStyle name="Texto Explicativo 11" xfId="43898" xr:uid="{00000000-0005-0000-0000-0000E6AA0000}"/>
    <cellStyle name="Texto Explicativo 12" xfId="43899" xr:uid="{00000000-0005-0000-0000-0000E7AA0000}"/>
    <cellStyle name="Texto Explicativo 13" xfId="896" xr:uid="{00000000-0005-0000-0000-0000E8AA0000}"/>
    <cellStyle name="Texto Explicativo 2" xfId="1170" xr:uid="{00000000-0005-0000-0000-0000E9AA0000}"/>
    <cellStyle name="Texto explicativo 2 2" xfId="42375" xr:uid="{00000000-0005-0000-0000-0000EAAA0000}"/>
    <cellStyle name="Texto Explicativo 3" xfId="1799" xr:uid="{00000000-0005-0000-0000-0000EBAA0000}"/>
    <cellStyle name="Texto explicativo 3 2" xfId="42376" xr:uid="{00000000-0005-0000-0000-0000ECAA0000}"/>
    <cellStyle name="Texto explicativo 4" xfId="42377" xr:uid="{00000000-0005-0000-0000-0000EDAA0000}"/>
    <cellStyle name="Texto explicativo 4 2" xfId="42378" xr:uid="{00000000-0005-0000-0000-0000EEAA0000}"/>
    <cellStyle name="Texto explicativo 5" xfId="42379" xr:uid="{00000000-0005-0000-0000-0000EFAA0000}"/>
    <cellStyle name="Texto explicativo 6" xfId="42380" xr:uid="{00000000-0005-0000-0000-0000F0AA0000}"/>
    <cellStyle name="Texto explicativo 7" xfId="42381" xr:uid="{00000000-0005-0000-0000-0000F1AA0000}"/>
    <cellStyle name="Texto explicativo 8" xfId="42382" xr:uid="{00000000-0005-0000-0000-0000F2AA0000}"/>
    <cellStyle name="Texto explicativo 9" xfId="42383" xr:uid="{00000000-0005-0000-0000-0000F3AA0000}"/>
    <cellStyle name="Thousands (0)" xfId="897" xr:uid="{00000000-0005-0000-0000-0000F4AA0000}"/>
    <cellStyle name="Thousands (0) 2" xfId="42384" xr:uid="{00000000-0005-0000-0000-0000F5AA0000}"/>
    <cellStyle name="Thousands (0) 3" xfId="42385" xr:uid="{00000000-0005-0000-0000-0000F6AA0000}"/>
    <cellStyle name="Thousands (0) 3 2" xfId="42386" xr:uid="{00000000-0005-0000-0000-0000F7AA0000}"/>
    <cellStyle name="Thousands (1)" xfId="898" xr:uid="{00000000-0005-0000-0000-0000F8AA0000}"/>
    <cellStyle name="Thousands (1) 2" xfId="42387" xr:uid="{00000000-0005-0000-0000-0000F9AA0000}"/>
    <cellStyle name="Thousands (1) 3" xfId="42388" xr:uid="{00000000-0005-0000-0000-0000FAAA0000}"/>
    <cellStyle name="Thousands (1) 3 2" xfId="42389" xr:uid="{00000000-0005-0000-0000-0000FBAA0000}"/>
    <cellStyle name="time" xfId="899" xr:uid="{00000000-0005-0000-0000-0000FCAA0000}"/>
    <cellStyle name="Times New Roman" xfId="42390" xr:uid="{00000000-0005-0000-0000-0000FDAA0000}"/>
    <cellStyle name="Title" xfId="900" xr:uid="{00000000-0005-0000-0000-0000FEAA0000}"/>
    <cellStyle name="Title 2" xfId="42391" xr:uid="{00000000-0005-0000-0000-0000FFAA0000}"/>
    <cellStyle name="titulo" xfId="901" xr:uid="{00000000-0005-0000-0000-000000AB0000}"/>
    <cellStyle name="Título 1 10" xfId="42392" xr:uid="{00000000-0005-0000-0000-000001AB0000}"/>
    <cellStyle name="Título 1 11" xfId="43900" xr:uid="{00000000-0005-0000-0000-000002AB0000}"/>
    <cellStyle name="Título 1 12" xfId="903" xr:uid="{00000000-0005-0000-0000-000003AB0000}"/>
    <cellStyle name="Título 1 2" xfId="1171" xr:uid="{00000000-0005-0000-0000-000004AB0000}"/>
    <cellStyle name="Título 1 2 2" xfId="42393" xr:uid="{00000000-0005-0000-0000-000005AB0000}"/>
    <cellStyle name="Título 1 2 3" xfId="42394" xr:uid="{00000000-0005-0000-0000-000006AB0000}"/>
    <cellStyle name="Título 1 3" xfId="1800" xr:uid="{00000000-0005-0000-0000-000007AB0000}"/>
    <cellStyle name="Título 1 3 2" xfId="42395" xr:uid="{00000000-0005-0000-0000-000008AB0000}"/>
    <cellStyle name="Título 1 4" xfId="1801" xr:uid="{00000000-0005-0000-0000-000009AB0000}"/>
    <cellStyle name="Título 1 4 2" xfId="42396" xr:uid="{00000000-0005-0000-0000-00000AAB0000}"/>
    <cellStyle name="Título 1 5" xfId="42397" xr:uid="{00000000-0005-0000-0000-00000BAB0000}"/>
    <cellStyle name="Título 1 6" xfId="42398" xr:uid="{00000000-0005-0000-0000-00000CAB0000}"/>
    <cellStyle name="Título 1 7" xfId="42399" xr:uid="{00000000-0005-0000-0000-00000DAB0000}"/>
    <cellStyle name="Título 1 8" xfId="42400" xr:uid="{00000000-0005-0000-0000-00000EAB0000}"/>
    <cellStyle name="Título 1 9" xfId="42401" xr:uid="{00000000-0005-0000-0000-00000FAB0000}"/>
    <cellStyle name="Título 10" xfId="42402" xr:uid="{00000000-0005-0000-0000-000010AB0000}"/>
    <cellStyle name="Título 11" xfId="42403" xr:uid="{00000000-0005-0000-0000-000011AB0000}"/>
    <cellStyle name="Título 12" xfId="42404" xr:uid="{00000000-0005-0000-0000-000012AB0000}"/>
    <cellStyle name="Título 13" xfId="42405" xr:uid="{00000000-0005-0000-0000-000013AB0000}"/>
    <cellStyle name="Título 14" xfId="43901" xr:uid="{00000000-0005-0000-0000-000014AB0000}"/>
    <cellStyle name="Título 15" xfId="902" xr:uid="{00000000-0005-0000-0000-000015AB0000}"/>
    <cellStyle name="Título 2 10" xfId="42406" xr:uid="{00000000-0005-0000-0000-000016AB0000}"/>
    <cellStyle name="Título 2 11" xfId="43902" xr:uid="{00000000-0005-0000-0000-000017AB0000}"/>
    <cellStyle name="Título 2 12" xfId="904" xr:uid="{00000000-0005-0000-0000-000018AB0000}"/>
    <cellStyle name="Título 2 2" xfId="1172" xr:uid="{00000000-0005-0000-0000-000019AB0000}"/>
    <cellStyle name="Título 2 2 2" xfId="42407" xr:uid="{00000000-0005-0000-0000-00001AAB0000}"/>
    <cellStyle name="Título 2 2 3" xfId="42408" xr:uid="{00000000-0005-0000-0000-00001BAB0000}"/>
    <cellStyle name="Título 2 3" xfId="1802" xr:uid="{00000000-0005-0000-0000-00001CAB0000}"/>
    <cellStyle name="Título 2 3 2" xfId="42409" xr:uid="{00000000-0005-0000-0000-00001DAB0000}"/>
    <cellStyle name="Título 2 4" xfId="1803" xr:uid="{00000000-0005-0000-0000-00001EAB0000}"/>
    <cellStyle name="Título 2 4 2" xfId="42410" xr:uid="{00000000-0005-0000-0000-00001FAB0000}"/>
    <cellStyle name="Título 2 5" xfId="42411" xr:uid="{00000000-0005-0000-0000-000020AB0000}"/>
    <cellStyle name="Título 2 6" xfId="42412" xr:uid="{00000000-0005-0000-0000-000021AB0000}"/>
    <cellStyle name="Título 2 7" xfId="42413" xr:uid="{00000000-0005-0000-0000-000022AB0000}"/>
    <cellStyle name="Título 2 8" xfId="42414" xr:uid="{00000000-0005-0000-0000-000023AB0000}"/>
    <cellStyle name="Título 2 9" xfId="42415" xr:uid="{00000000-0005-0000-0000-000024AB0000}"/>
    <cellStyle name="Título 3 10" xfId="42416" xr:uid="{00000000-0005-0000-0000-000025AB0000}"/>
    <cellStyle name="Título 3 11" xfId="43903" xr:uid="{00000000-0005-0000-0000-000026AB0000}"/>
    <cellStyle name="Título 3 12" xfId="905" xr:uid="{00000000-0005-0000-0000-000027AB0000}"/>
    <cellStyle name="Título 3 2" xfId="1173" xr:uid="{00000000-0005-0000-0000-000028AB0000}"/>
    <cellStyle name="Título 3 2 2" xfId="42417" xr:uid="{00000000-0005-0000-0000-000029AB0000}"/>
    <cellStyle name="Título 3 3" xfId="1804" xr:uid="{00000000-0005-0000-0000-00002AAB0000}"/>
    <cellStyle name="Título 3 3 2" xfId="42418" xr:uid="{00000000-0005-0000-0000-00002BAB0000}"/>
    <cellStyle name="Título 3 4" xfId="42419" xr:uid="{00000000-0005-0000-0000-00002CAB0000}"/>
    <cellStyle name="Título 3 4 2" xfId="42420" xr:uid="{00000000-0005-0000-0000-00002DAB0000}"/>
    <cellStyle name="Título 3 5" xfId="42421" xr:uid="{00000000-0005-0000-0000-00002EAB0000}"/>
    <cellStyle name="Título 3 6" xfId="42422" xr:uid="{00000000-0005-0000-0000-00002FAB0000}"/>
    <cellStyle name="Título 3 7" xfId="42423" xr:uid="{00000000-0005-0000-0000-000030AB0000}"/>
    <cellStyle name="Título 3 8" xfId="42424" xr:uid="{00000000-0005-0000-0000-000031AB0000}"/>
    <cellStyle name="Título 3 9" xfId="42425" xr:uid="{00000000-0005-0000-0000-000032AB0000}"/>
    <cellStyle name="Título 4 2" xfId="1174" xr:uid="{00000000-0005-0000-0000-000033AB0000}"/>
    <cellStyle name="Título 4 2 2" xfId="42426" xr:uid="{00000000-0005-0000-0000-000034AB0000}"/>
    <cellStyle name="Título 4 3" xfId="1805" xr:uid="{00000000-0005-0000-0000-000035AB0000}"/>
    <cellStyle name="Título 4 4" xfId="42427" xr:uid="{00000000-0005-0000-0000-000036AB0000}"/>
    <cellStyle name="Título 4 5" xfId="43904" xr:uid="{00000000-0005-0000-0000-000037AB0000}"/>
    <cellStyle name="Título 4 6" xfId="43905" xr:uid="{00000000-0005-0000-0000-000038AB0000}"/>
    <cellStyle name="Título 4 7" xfId="43906" xr:uid="{00000000-0005-0000-0000-000039AB0000}"/>
    <cellStyle name="Título 4 8" xfId="43907" xr:uid="{00000000-0005-0000-0000-00003AAB0000}"/>
    <cellStyle name="Título 4 9" xfId="906" xr:uid="{00000000-0005-0000-0000-00003BAB0000}"/>
    <cellStyle name="Título 5" xfId="1175" xr:uid="{00000000-0005-0000-0000-00003CAB0000}"/>
    <cellStyle name="Título 5 2" xfId="42428" xr:uid="{00000000-0005-0000-0000-00003DAB0000}"/>
    <cellStyle name="Título 6" xfId="1806" xr:uid="{00000000-0005-0000-0000-00003EAB0000}"/>
    <cellStyle name="Título 6 2" xfId="42429" xr:uid="{00000000-0005-0000-0000-00003FAB0000}"/>
    <cellStyle name="Título 7" xfId="42430" xr:uid="{00000000-0005-0000-0000-000040AB0000}"/>
    <cellStyle name="Título 7 2" xfId="42431" xr:uid="{00000000-0005-0000-0000-000041AB0000}"/>
    <cellStyle name="Título 8" xfId="42432" xr:uid="{00000000-0005-0000-0000-000042AB0000}"/>
    <cellStyle name="Título 9" xfId="42433" xr:uid="{00000000-0005-0000-0000-000043AB0000}"/>
    <cellStyle name="Titulo1" xfId="42434" xr:uid="{00000000-0005-0000-0000-000044AB0000}"/>
    <cellStyle name="Titulo2" xfId="42435" xr:uid="{00000000-0005-0000-0000-000045AB0000}"/>
    <cellStyle name="Todos" xfId="907" xr:uid="{00000000-0005-0000-0000-000046AB0000}"/>
    <cellStyle name="Tope - Style1" xfId="42436" xr:uid="{00000000-0005-0000-0000-000047AB0000}"/>
    <cellStyle name="TopGrey" xfId="42437" xr:uid="{00000000-0005-0000-0000-000048AB0000}"/>
    <cellStyle name="Total 10" xfId="908" xr:uid="{00000000-0005-0000-0000-000049AB0000}"/>
    <cellStyle name="Total 2" xfId="1176" xr:uid="{00000000-0005-0000-0000-00004AAB0000}"/>
    <cellStyle name="Total 2 2" xfId="42438" xr:uid="{00000000-0005-0000-0000-00004BAB0000}"/>
    <cellStyle name="Total 2 3" xfId="42439" xr:uid="{00000000-0005-0000-0000-00004CAB0000}"/>
    <cellStyle name="Total 3" xfId="1807" xr:uid="{00000000-0005-0000-0000-00004DAB0000}"/>
    <cellStyle name="Total 4" xfId="1808" xr:uid="{00000000-0005-0000-0000-00004EAB0000}"/>
    <cellStyle name="Total 4 2" xfId="42440" xr:uid="{00000000-0005-0000-0000-00004FAB0000}"/>
    <cellStyle name="Total 5" xfId="42441" xr:uid="{00000000-0005-0000-0000-000050AB0000}"/>
    <cellStyle name="Total 6" xfId="43908" xr:uid="{00000000-0005-0000-0000-000051AB0000}"/>
    <cellStyle name="Total 7" xfId="43909" xr:uid="{00000000-0005-0000-0000-000052AB0000}"/>
    <cellStyle name="Total 8" xfId="43910" xr:uid="{00000000-0005-0000-0000-000053AB0000}"/>
    <cellStyle name="Total 9" xfId="43911" xr:uid="{00000000-0005-0000-0000-000054AB0000}"/>
    <cellStyle name="totalbalan" xfId="909" xr:uid="{00000000-0005-0000-0000-000055AB0000}"/>
    <cellStyle name="ubordinated Debt" xfId="42442" xr:uid="{00000000-0005-0000-0000-000056AB0000}"/>
    <cellStyle name="Underline 2" xfId="910" xr:uid="{00000000-0005-0000-0000-000057AB0000}"/>
    <cellStyle name="UNIDAGSCode" xfId="42443" xr:uid="{00000000-0005-0000-0000-000058AB0000}"/>
    <cellStyle name="UNIDAGSCode 2" xfId="42444" xr:uid="{00000000-0005-0000-0000-000059AB0000}"/>
    <cellStyle name="UNIDAGSCode 3" xfId="42445" xr:uid="{00000000-0005-0000-0000-00005AAB0000}"/>
    <cellStyle name="UNIDAGSCode2" xfId="42446" xr:uid="{00000000-0005-0000-0000-00005BAB0000}"/>
    <cellStyle name="UNIDAGSCurrency" xfId="42447" xr:uid="{00000000-0005-0000-0000-00005CAB0000}"/>
    <cellStyle name="UNIDAGSCurrency 2" xfId="42448" xr:uid="{00000000-0005-0000-0000-00005DAB0000}"/>
    <cellStyle name="UNIDAGSCurrency 3" xfId="42449" xr:uid="{00000000-0005-0000-0000-00005EAB0000}"/>
    <cellStyle name="UNIDAGSDate" xfId="42450" xr:uid="{00000000-0005-0000-0000-00005FAB0000}"/>
    <cellStyle name="UNIDAGSDate 2" xfId="42451" xr:uid="{00000000-0005-0000-0000-000060AB0000}"/>
    <cellStyle name="UNIDAGSDate 3" xfId="42452" xr:uid="{00000000-0005-0000-0000-000061AB0000}"/>
    <cellStyle name="UNIDAGSPercent" xfId="42453" xr:uid="{00000000-0005-0000-0000-000062AB0000}"/>
    <cellStyle name="UNIDAGSPercent 2" xfId="42454" xr:uid="{00000000-0005-0000-0000-000063AB0000}"/>
    <cellStyle name="UNIDAGSPercent 3" xfId="42455" xr:uid="{00000000-0005-0000-0000-000064AB0000}"/>
    <cellStyle name="UNIDAGSPercent2" xfId="42456" xr:uid="{00000000-0005-0000-0000-000065AB0000}"/>
    <cellStyle name="UNIDAGSPercent2 2" xfId="42457" xr:uid="{00000000-0005-0000-0000-000066AB0000}"/>
    <cellStyle name="UNIDAGSPercent2 3" xfId="42458" xr:uid="{00000000-0005-0000-0000-000067AB0000}"/>
    <cellStyle name="Unprot" xfId="911" xr:uid="{00000000-0005-0000-0000-000068AB0000}"/>
    <cellStyle name="Unprot 2" xfId="1177" xr:uid="{00000000-0005-0000-0000-000069AB0000}"/>
    <cellStyle name="Unprot 3" xfId="1178" xr:uid="{00000000-0005-0000-0000-00006AAB0000}"/>
    <cellStyle name="Unprot 4" xfId="1179" xr:uid="{00000000-0005-0000-0000-00006BAB0000}"/>
    <cellStyle name="Unprot 5" xfId="1180" xr:uid="{00000000-0005-0000-0000-00006CAB0000}"/>
    <cellStyle name="Unprot 6" xfId="42459" xr:uid="{00000000-0005-0000-0000-00006DAB0000}"/>
    <cellStyle name="Unprot 7" xfId="42460" xr:uid="{00000000-0005-0000-0000-00006EAB0000}"/>
    <cellStyle name="Unprot 8" xfId="42461" xr:uid="{00000000-0005-0000-0000-00006FAB0000}"/>
    <cellStyle name="Unprot 9" xfId="42462" xr:uid="{00000000-0005-0000-0000-000070AB0000}"/>
    <cellStyle name="Unprot$" xfId="912" xr:uid="{00000000-0005-0000-0000-000071AB0000}"/>
    <cellStyle name="Unprot$ 10" xfId="43912" xr:uid="{00000000-0005-0000-0000-000072AB0000}"/>
    <cellStyle name="Unprot$ 11" xfId="43913" xr:uid="{00000000-0005-0000-0000-000073AB0000}"/>
    <cellStyle name="Unprot$ 12" xfId="43914" xr:uid="{00000000-0005-0000-0000-000074AB0000}"/>
    <cellStyle name="Unprot$ 13" xfId="43915" xr:uid="{00000000-0005-0000-0000-000075AB0000}"/>
    <cellStyle name="Unprot$ 14" xfId="43916" xr:uid="{00000000-0005-0000-0000-000076AB0000}"/>
    <cellStyle name="Unprot$ 15" xfId="43917" xr:uid="{00000000-0005-0000-0000-000077AB0000}"/>
    <cellStyle name="Unprot$ 16" xfId="43918" xr:uid="{00000000-0005-0000-0000-000078AB0000}"/>
    <cellStyle name="Unprot$ 17" xfId="43919" xr:uid="{00000000-0005-0000-0000-000079AB0000}"/>
    <cellStyle name="Unprot$ 18" xfId="43920" xr:uid="{00000000-0005-0000-0000-00007AAB0000}"/>
    <cellStyle name="Unprot$ 19" xfId="43921" xr:uid="{00000000-0005-0000-0000-00007BAB0000}"/>
    <cellStyle name="Unprot$ 2" xfId="42463" xr:uid="{00000000-0005-0000-0000-00007CAB0000}"/>
    <cellStyle name="Unprot$ 20" xfId="43922" xr:uid="{00000000-0005-0000-0000-00007DAB0000}"/>
    <cellStyle name="Unprot$ 21" xfId="43923" xr:uid="{00000000-0005-0000-0000-00007EAB0000}"/>
    <cellStyle name="Unprot$ 22" xfId="43924" xr:uid="{00000000-0005-0000-0000-00007FAB0000}"/>
    <cellStyle name="Unprot$ 23" xfId="43925" xr:uid="{00000000-0005-0000-0000-000080AB0000}"/>
    <cellStyle name="Unprot$ 24" xfId="43926" xr:uid="{00000000-0005-0000-0000-000081AB0000}"/>
    <cellStyle name="Unprot$ 25" xfId="43927" xr:uid="{00000000-0005-0000-0000-000082AB0000}"/>
    <cellStyle name="Unprot$ 26" xfId="43928" xr:uid="{00000000-0005-0000-0000-000083AB0000}"/>
    <cellStyle name="Unprot$ 27" xfId="43929" xr:uid="{00000000-0005-0000-0000-000084AB0000}"/>
    <cellStyle name="Unprot$ 28" xfId="43930" xr:uid="{00000000-0005-0000-0000-000085AB0000}"/>
    <cellStyle name="Unprot$ 3" xfId="42464" xr:uid="{00000000-0005-0000-0000-000086AB0000}"/>
    <cellStyle name="Unprot$ 4" xfId="43931" xr:uid="{00000000-0005-0000-0000-000087AB0000}"/>
    <cellStyle name="Unprot$ 5" xfId="43932" xr:uid="{00000000-0005-0000-0000-000088AB0000}"/>
    <cellStyle name="Unprot$ 6" xfId="43933" xr:uid="{00000000-0005-0000-0000-000089AB0000}"/>
    <cellStyle name="Unprot$ 7" xfId="43934" xr:uid="{00000000-0005-0000-0000-00008AAB0000}"/>
    <cellStyle name="Unprot$ 8" xfId="43935" xr:uid="{00000000-0005-0000-0000-00008BAB0000}"/>
    <cellStyle name="Unprot$ 9" xfId="43936" xr:uid="{00000000-0005-0000-0000-00008CAB0000}"/>
    <cellStyle name="Unprot$_IF - Autoprodutores 2" xfId="42465" xr:uid="{00000000-0005-0000-0000-00008DAB0000}"/>
    <cellStyle name="Unprot_Abertura Tarifária CEB RTP 2008" xfId="42466" xr:uid="{00000000-0005-0000-0000-00008EAB0000}"/>
    <cellStyle name="Unprotect" xfId="913" xr:uid="{00000000-0005-0000-0000-00008FAB0000}"/>
    <cellStyle name="Update" xfId="42467" xr:uid="{00000000-0005-0000-0000-000090AB0000}"/>
    <cellStyle name="User Entered" xfId="42468" xr:uid="{00000000-0005-0000-0000-000091AB0000}"/>
    <cellStyle name="V¡rgula" xfId="914" xr:uid="{00000000-0005-0000-0000-000092AB0000}"/>
    <cellStyle name="V¡rgula 2" xfId="42469" xr:uid="{00000000-0005-0000-0000-000093AB0000}"/>
    <cellStyle name="V¡rgula 3" xfId="42470" xr:uid="{00000000-0005-0000-0000-000094AB0000}"/>
    <cellStyle name="V¡rgula0" xfId="915" xr:uid="{00000000-0005-0000-0000-000095AB0000}"/>
    <cellStyle name="V¡rgula0 2" xfId="42471" xr:uid="{00000000-0005-0000-0000-000096AB0000}"/>
    <cellStyle name="V¡rgula0 3" xfId="42472" xr:uid="{00000000-0005-0000-0000-000097AB0000}"/>
    <cellStyle name="Valuta (0)_ cellular Costs" xfId="42473" xr:uid="{00000000-0005-0000-0000-000098AB0000}"/>
    <cellStyle name="Valuta_ cellular Costs" xfId="42474" xr:uid="{00000000-0005-0000-0000-000099AB0000}"/>
    <cellStyle name="Vírgula" xfId="23" builtinId="3"/>
    <cellStyle name="Vírgula 10" xfId="43937" xr:uid="{00000000-0005-0000-0000-00009BAB0000}"/>
    <cellStyle name="Vírgula 10 2" xfId="43938" xr:uid="{00000000-0005-0000-0000-00009CAB0000}"/>
    <cellStyle name="Vírgula 11" xfId="43939" xr:uid="{00000000-0005-0000-0000-00009DAB0000}"/>
    <cellStyle name="Vírgula 12" xfId="42559" xr:uid="{00000000-0005-0000-0000-00009EAB0000}"/>
    <cellStyle name="Vírgula 13" xfId="43945" xr:uid="{00000000-0005-0000-0000-00009FAB0000}"/>
    <cellStyle name="Vírgula 13 2" xfId="43953" xr:uid="{00000000-0005-0000-0000-0000A0AB0000}"/>
    <cellStyle name="Vírgula 14" xfId="43949" xr:uid="{00000000-0005-0000-0000-0000A1AB0000}"/>
    <cellStyle name="Vírgula 14 2" xfId="43962" xr:uid="{00000000-0005-0000-0000-0000A2AB0000}"/>
    <cellStyle name="Vírgula 15" xfId="43979" xr:uid="{00000000-0005-0000-0000-0000A3AB0000}"/>
    <cellStyle name="Vírgula 15 2" xfId="43981" xr:uid="{00000000-0005-0000-0000-0000A4AB0000}"/>
    <cellStyle name="Vírgula 16" xfId="880" xr:uid="{00000000-0005-0000-0000-0000A5AB0000}"/>
    <cellStyle name="Vírgula 17" xfId="43963" xr:uid="{00000000-0005-0000-0000-0000A6AB0000}"/>
    <cellStyle name="Vírgula 17 2" xfId="43976" xr:uid="{00000000-0005-0000-0000-0000A7AB0000}"/>
    <cellStyle name="Vírgula 18" xfId="43982" xr:uid="{00000000-0005-0000-0000-0000A8AB0000}"/>
    <cellStyle name="Vírgula 2" xfId="1" xr:uid="{00000000-0005-0000-0000-0000A9AB0000}"/>
    <cellStyle name="Vírgula 2 10" xfId="19" xr:uid="{00000000-0005-0000-0000-0000AAAB0000}"/>
    <cellStyle name="Vírgula 2 2" xfId="7" xr:uid="{00000000-0005-0000-0000-0000ABAB0000}"/>
    <cellStyle name="Vírgula 2 2 2" xfId="42560" xr:uid="{00000000-0005-0000-0000-0000ACAB0000}"/>
    <cellStyle name="Vírgula 2 2 3" xfId="43987" xr:uid="{52F238D7-FD50-4E1E-A694-EFD09FE71A7C}"/>
    <cellStyle name="Vírgula 2 2 3 2" xfId="43971" xr:uid="{00000000-0005-0000-0000-0000AEAB0000}"/>
    <cellStyle name="Vírgula 2 2 4" xfId="43940" xr:uid="{00000000-0005-0000-0000-0000AFAB0000}"/>
    <cellStyle name="Vírgula 2 3" xfId="42475" xr:uid="{00000000-0005-0000-0000-0000B0AB0000}"/>
    <cellStyle name="Vírgula 2 4" xfId="43941" xr:uid="{00000000-0005-0000-0000-0000B1AB0000}"/>
    <cellStyle name="Vírgula 2 5" xfId="43969" xr:uid="{00000000-0005-0000-0000-0000B2AB0000}"/>
    <cellStyle name="Vírgula 2 6" xfId="43974" xr:uid="{00000000-0005-0000-0000-0000B3AB0000}"/>
    <cellStyle name="Vírgula 2 7" xfId="1730" xr:uid="{00000000-0005-0000-0000-0000B4AB0000}"/>
    <cellStyle name="Vírgula 23" xfId="43964" xr:uid="{00000000-0005-0000-0000-0000B5AB0000}"/>
    <cellStyle name="Vírgula 3" xfId="1731" xr:uid="{00000000-0005-0000-0000-0000B6AB0000}"/>
    <cellStyle name="Vírgula 3 2" xfId="15" xr:uid="{00000000-0005-0000-0000-0000B7AB0000}"/>
    <cellStyle name="Vírgula 3 2 2" xfId="42476" xr:uid="{00000000-0005-0000-0000-0000B8AB0000}"/>
    <cellStyle name="Vírgula 3 2 2 2" xfId="21" xr:uid="{00000000-0005-0000-0000-0000B9AB0000}"/>
    <cellStyle name="Vírgula 4" xfId="16" xr:uid="{00000000-0005-0000-0000-0000BAAB0000}"/>
    <cellStyle name="Vírgula 4 2" xfId="42477" xr:uid="{00000000-0005-0000-0000-0000BBAB0000}"/>
    <cellStyle name="Vírgula 5" xfId="42478" xr:uid="{00000000-0005-0000-0000-0000BCAB0000}"/>
    <cellStyle name="Vírgula 5 2" xfId="43942" xr:uid="{00000000-0005-0000-0000-0000BDAB0000}"/>
    <cellStyle name="Vírgula 6" xfId="42479" xr:uid="{00000000-0005-0000-0000-0000BEAB0000}"/>
    <cellStyle name="Vírgula 7" xfId="42548" xr:uid="{00000000-0005-0000-0000-0000BFAB0000}"/>
    <cellStyle name="Vírgula 7 2" xfId="42556" xr:uid="{00000000-0005-0000-0000-0000C0AB0000}"/>
    <cellStyle name="Vírgula 8" xfId="42550" xr:uid="{00000000-0005-0000-0000-0000C1AB0000}"/>
    <cellStyle name="Vírgula 9" xfId="42552" xr:uid="{00000000-0005-0000-0000-0000C2AB0000}"/>
    <cellStyle name="Vírgula 9 2" xfId="43975" xr:uid="{00000000-0005-0000-0000-0000C3AB0000}"/>
    <cellStyle name="Vírgula0" xfId="42480" xr:uid="{00000000-0005-0000-0000-0000C4AB0000}"/>
    <cellStyle name="Virgule fixe" xfId="42481" xr:uid="{00000000-0005-0000-0000-0000C5AB0000}"/>
    <cellStyle name="vittorio's model" xfId="42482" xr:uid="{00000000-0005-0000-0000-0000C6AB0000}"/>
    <cellStyle name="Warning Text" xfId="916" xr:uid="{00000000-0005-0000-0000-0000C7AB0000}"/>
    <cellStyle name="Warning Text 2" xfId="42483" xr:uid="{00000000-0005-0000-0000-0000C8AB0000}"/>
    <cellStyle name="Year" xfId="917" xr:uid="{00000000-0005-0000-0000-0000C9AB0000}"/>
    <cellStyle name="Year 2" xfId="42484" xr:uid="{00000000-0005-0000-0000-0000CAAB0000}"/>
    <cellStyle name="Year 3" xfId="42485" xr:uid="{00000000-0005-0000-0000-0000CBAB0000}"/>
    <cellStyle name="Year 3 2" xfId="42486" xr:uid="{00000000-0005-0000-0000-0000CCAB0000}"/>
    <cellStyle name="Year 4" xfId="42487" xr:uid="{00000000-0005-0000-0000-0000CDAB0000}"/>
    <cellStyle name="Денежный [0]_18.04" xfId="42488" xr:uid="{00000000-0005-0000-0000-0000CEAB0000}"/>
    <cellStyle name="Денежный_18.04" xfId="42489" xr:uid="{00000000-0005-0000-0000-0000CFAB0000}"/>
    <cellStyle name="Обычный_3Com" xfId="42490" xr:uid="{00000000-0005-0000-0000-0000D0AB0000}"/>
    <cellStyle name="Тысячи [0]_3Com" xfId="42491" xr:uid="{00000000-0005-0000-0000-0000D1AB0000}"/>
    <cellStyle name="Тысячи_3Com" xfId="42492" xr:uid="{00000000-0005-0000-0000-0000D2AB0000}"/>
    <cellStyle name="Финансовый [0]_18.04" xfId="42493" xr:uid="{00000000-0005-0000-0000-0000D3AB0000}"/>
    <cellStyle name="Финансовый_18.04" xfId="42494" xr:uid="{00000000-0005-0000-0000-0000D4AB0000}"/>
    <cellStyle name="桁区切り [0.00]_Balanzas" xfId="42495" xr:uid="{00000000-0005-0000-0000-0000D5AB0000}"/>
    <cellStyle name="桁区切り_details expenses" xfId="42496" xr:uid="{00000000-0005-0000-0000-0000D6AB0000}"/>
    <cellStyle name="標準_assumption" xfId="42497" xr:uid="{00000000-0005-0000-0000-0000D7AB0000}"/>
  </cellStyles>
  <dxfs count="23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b/>
        <i val="0"/>
        <strike val="0"/>
        <color theme="0"/>
      </font>
      <fill>
        <patternFill>
          <bgColor theme="3"/>
        </patternFill>
      </fill>
    </dxf>
    <dxf>
      <fill>
        <patternFill>
          <bgColor theme="9" tint="0.59996337778862885"/>
        </patternFill>
      </fill>
    </dxf>
    <dxf>
      <font>
        <b/>
        <i val="0"/>
        <strike val="0"/>
        <color theme="0"/>
      </font>
      <fill>
        <patternFill>
          <bgColor theme="3"/>
        </patternFill>
      </fill>
    </dxf>
    <dxf>
      <fill>
        <patternFill>
          <bgColor theme="9" tint="0.59996337778862885"/>
        </patternFill>
      </fill>
    </dxf>
    <dxf>
      <font>
        <b/>
        <i val="0"/>
        <strike val="0"/>
        <color theme="0"/>
      </font>
      <fill>
        <patternFill>
          <bgColor theme="3"/>
        </patternFill>
      </fill>
    </dxf>
    <dxf>
      <fill>
        <patternFill>
          <bgColor theme="9" tint="0.59996337778862885"/>
        </patternFill>
      </fill>
    </dxf>
    <dxf>
      <font>
        <b/>
        <i val="0"/>
        <strike val="0"/>
        <color theme="0"/>
      </font>
      <fill>
        <patternFill>
          <bgColor theme="3"/>
        </patternFill>
      </fill>
    </dxf>
    <dxf>
      <fill>
        <patternFill>
          <bgColor theme="9" tint="0.59996337778862885"/>
        </patternFill>
      </fill>
    </dxf>
    <dxf>
      <font>
        <b/>
        <i val="0"/>
        <strike val="0"/>
        <color theme="0"/>
      </font>
      <fill>
        <patternFill>
          <bgColor theme="3"/>
        </patternFill>
      </fill>
    </dxf>
    <dxf>
      <fill>
        <patternFill>
          <bgColor theme="9" tint="0.59996337778862885"/>
        </patternFill>
      </fill>
    </dxf>
    <dxf>
      <font>
        <b/>
        <i val="0"/>
        <strike val="0"/>
        <color theme="0"/>
      </font>
      <fill>
        <patternFill>
          <bgColor theme="3"/>
        </patternFill>
      </fill>
    </dxf>
    <dxf>
      <fill>
        <patternFill>
          <bgColor theme="9" tint="0.59996337778862885"/>
        </patternFill>
      </fill>
    </dxf>
    <dxf>
      <font>
        <b/>
        <i val="0"/>
        <color theme="0"/>
      </font>
      <fill>
        <patternFill>
          <bgColor theme="3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</border>
    </dxf>
    <dxf>
      <font>
        <b/>
        <i val="0"/>
      </font>
      <border>
        <top style="thin">
          <color auto="1"/>
        </top>
      </border>
    </dxf>
    <dxf>
      <fill>
        <patternFill>
          <bgColor theme="3"/>
        </patternFill>
      </fill>
    </dxf>
    <dxf>
      <border diagonalUp="1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  <diagonal style="double">
          <color auto="1"/>
        </diagonal>
      </border>
    </dxf>
    <dxf>
      <font>
        <b/>
        <i val="0"/>
      </font>
      <border>
        <top style="thin">
          <color auto="1"/>
        </top>
      </border>
    </dxf>
    <dxf>
      <fill>
        <patternFill>
          <bgColor theme="3"/>
        </patternFill>
      </fill>
    </dxf>
    <dxf>
      <border diagonalUp="1"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  <diagonal style="double">
          <color auto="1"/>
        </diagonal>
      </border>
    </dxf>
    <dxf>
      <font>
        <color theme="3"/>
      </font>
    </dxf>
  </dxfs>
  <tableStyles count="11" defaultTableStyle="TableStyleMedium2" defaultPivotStyle="PivotStyleLight16">
    <tableStyle name="Estilo de Tabela 1" pivot="0" count="1" xr9:uid="{00000000-0011-0000-FFFF-FFFF00000000}">
      <tableStyleElement type="headerRow" dxfId="22"/>
    </tableStyle>
    <tableStyle name="Estilo de Tabela 1 2" pivot="0" count="3" xr9:uid="{00000000-0011-0000-FFFF-FFFF01000000}">
      <tableStyleElement type="wholeTable" dxfId="21"/>
      <tableStyleElement type="headerRow" dxfId="20"/>
      <tableStyleElement type="totalRow" dxfId="19"/>
    </tableStyle>
    <tableStyle name="Estilo de Tabela 1 3" pivot="0" count="3" xr9:uid="{00000000-0011-0000-FFFF-FFFF02000000}">
      <tableStyleElement type="wholeTable" dxfId="18"/>
      <tableStyleElement type="headerRow" dxfId="17"/>
      <tableStyleElement type="totalRow" dxfId="16"/>
    </tableStyle>
    <tableStyle name="Invisible" pivot="0" table="0" count="0" xr9:uid="{00000000-0011-0000-FFFF-FFFF03000000}"/>
    <tableStyle name="Padrão" pivot="0" count="2" xr9:uid="{00000000-0011-0000-FFFF-FFFF04000000}">
      <tableStyleElement type="wholeTable" dxfId="15"/>
      <tableStyleElement type="headerRow" dxfId="14"/>
    </tableStyle>
    <tableStyle name="Padrão 2" pivot="0" count="2" xr9:uid="{00000000-0011-0000-FFFF-FFFF05000000}">
      <tableStyleElement type="wholeTable" dxfId="13"/>
      <tableStyleElement type="headerRow" dxfId="12"/>
    </tableStyle>
    <tableStyle name="Padrão 3" pivot="0" count="2" xr9:uid="{00000000-0011-0000-FFFF-FFFF06000000}">
      <tableStyleElement type="wholeTable" dxfId="11"/>
      <tableStyleElement type="headerRow" dxfId="10"/>
    </tableStyle>
    <tableStyle name="Padrão 4" pivot="0" count="2" xr9:uid="{00000000-0011-0000-FFFF-FFFF07000000}">
      <tableStyleElement type="wholeTable" dxfId="9"/>
      <tableStyleElement type="headerRow" dxfId="8"/>
    </tableStyle>
    <tableStyle name="Padrão 5" pivot="0" count="2" xr9:uid="{00000000-0011-0000-FFFF-FFFF08000000}">
      <tableStyleElement type="wholeTable" dxfId="7"/>
      <tableStyleElement type="headerRow" dxfId="6"/>
    </tableStyle>
    <tableStyle name="Padrão 6" pivot="0" count="2" xr9:uid="{00000000-0011-0000-FFFF-FFFF09000000}">
      <tableStyleElement type="wholeTable" dxfId="5"/>
      <tableStyleElement type="headerRow" dxfId="4"/>
    </tableStyle>
    <tableStyle name="Padrão 7" pivot="0" count="2" xr9:uid="{00000000-0011-0000-FFFF-FFFF0A000000}">
      <tableStyleElement type="wholeTable" dxfId="3"/>
      <tableStyleElement type="headerRow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customXml" Target="../customXml/item2.xml"/><Relationship Id="rId16" Type="http://schemas.openxmlformats.org/officeDocument/2006/relationships/worksheet" Target="worksheets/sheet16.xml"/><Relationship Id="rId107" Type="http://schemas.openxmlformats.org/officeDocument/2006/relationships/styles" Target="styles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customXml" Target="../customXml/item3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sharedStrings" Target="sharedString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microsoft.com/office/2017/10/relationships/person" Target="persons/person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calcChain" Target="calcChain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'Sistemas Isolados'!A1"/><Relationship Id="rId13" Type="http://schemas.openxmlformats.org/officeDocument/2006/relationships/hyperlink" Target="#'Tabela Margem Bruta'!A1"/><Relationship Id="rId3" Type="http://schemas.openxmlformats.org/officeDocument/2006/relationships/hyperlink" Target="#'Balance Sheet'!A1"/><Relationship Id="rId7" Type="http://schemas.openxmlformats.org/officeDocument/2006/relationships/hyperlink" Target="#'Balan&#231;o CVA'!A1"/><Relationship Id="rId12" Type="http://schemas.openxmlformats.org/officeDocument/2006/relationships/hyperlink" Target="#'Fluxo A&#231;&#245;es Preferenciais'!A1"/><Relationship Id="rId2" Type="http://schemas.openxmlformats.org/officeDocument/2006/relationships/hyperlink" Target="#'P&amp;L Statement'!A1"/><Relationship Id="rId16" Type="http://schemas.openxmlformats.org/officeDocument/2006/relationships/image" Target="../media/image2.svg"/><Relationship Id="rId1" Type="http://schemas.openxmlformats.org/officeDocument/2006/relationships/hyperlink" Target="#'Standard Income Statement'!A1"/><Relationship Id="rId6" Type="http://schemas.openxmlformats.org/officeDocument/2006/relationships/hyperlink" Target="#'Regulatory Data'!A1"/><Relationship Id="rId11" Type="http://schemas.openxmlformats.org/officeDocument/2006/relationships/hyperlink" Target="#'Beneficios Fiscais'!A1"/><Relationship Id="rId5" Type="http://schemas.openxmlformats.org/officeDocument/2006/relationships/hyperlink" Target="#'Operational Indicators'!A1"/><Relationship Id="rId15" Type="http://schemas.openxmlformats.org/officeDocument/2006/relationships/image" Target="../media/image1.png"/><Relationship Id="rId10" Type="http://schemas.openxmlformats.org/officeDocument/2006/relationships/hyperlink" Target="#'Informa&#231;&#245;es Financeiras Aj.'!A1"/><Relationship Id="rId4" Type="http://schemas.openxmlformats.org/officeDocument/2006/relationships/hyperlink" Target="#'Debt and Capex'!A1"/><Relationship Id="rId9" Type="http://schemas.openxmlformats.org/officeDocument/2006/relationships/hyperlink" Target="#'Apura&#231;&#227;o IR CS '!A1"/><Relationship Id="rId14" Type="http://schemas.openxmlformats.org/officeDocument/2006/relationships/hyperlink" Target="#'Cash Flow Statement'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'Sistemas Isolados'!A1"/><Relationship Id="rId13" Type="http://schemas.openxmlformats.org/officeDocument/2006/relationships/hyperlink" Target="#'Tabela Margem Bruta'!A1"/><Relationship Id="rId3" Type="http://schemas.openxmlformats.org/officeDocument/2006/relationships/hyperlink" Target="#BPs!A1"/><Relationship Id="rId7" Type="http://schemas.openxmlformats.org/officeDocument/2006/relationships/hyperlink" Target="#'Balan&#231;o CVA'!A1"/><Relationship Id="rId12" Type="http://schemas.openxmlformats.org/officeDocument/2006/relationships/hyperlink" Target="#'Fluxo A&#231;&#245;es Preferenciais'!A1"/><Relationship Id="rId2" Type="http://schemas.openxmlformats.org/officeDocument/2006/relationships/hyperlink" Target="#'DRE Resumida'!A1"/><Relationship Id="rId16" Type="http://schemas.openxmlformats.org/officeDocument/2006/relationships/image" Target="../media/image2.svg"/><Relationship Id="rId1" Type="http://schemas.openxmlformats.org/officeDocument/2006/relationships/hyperlink" Target="#'DRE ITR'!A1"/><Relationship Id="rId6" Type="http://schemas.openxmlformats.org/officeDocument/2006/relationships/hyperlink" Target="#'Dados Regulat&#243;rios'!A1"/><Relationship Id="rId11" Type="http://schemas.openxmlformats.org/officeDocument/2006/relationships/hyperlink" Target="#'Beneficios Fiscais'!A1"/><Relationship Id="rId5" Type="http://schemas.openxmlformats.org/officeDocument/2006/relationships/hyperlink" Target="#Operacional!A1"/><Relationship Id="rId15" Type="http://schemas.openxmlformats.org/officeDocument/2006/relationships/image" Target="../media/image1.png"/><Relationship Id="rId10" Type="http://schemas.openxmlformats.org/officeDocument/2006/relationships/hyperlink" Target="#'Informa&#231;&#245;es Financeiras Aj.'!A1"/><Relationship Id="rId4" Type="http://schemas.openxmlformats.org/officeDocument/2006/relationships/hyperlink" Target="#'D&#237;vida e CAPEX'!A1"/><Relationship Id="rId9" Type="http://schemas.openxmlformats.org/officeDocument/2006/relationships/hyperlink" Target="#'Apura&#231;&#227;o IR CS '!A1"/><Relationship Id="rId14" Type="http://schemas.openxmlformats.org/officeDocument/2006/relationships/hyperlink" Target="#FCIs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#'Mercado Distribui&#231;&#227;o (P&#243;s CP09)'!A1"/><Relationship Id="rId13" Type="http://schemas.openxmlformats.org/officeDocument/2006/relationships/hyperlink" Target="#ESG!A1"/><Relationship Id="rId3" Type="http://schemas.openxmlformats.org/officeDocument/2006/relationships/hyperlink" Target="#'Perdas Distribui&#231;&#227;o (Pr&#233; CP 09)'!A1"/><Relationship Id="rId7" Type="http://schemas.openxmlformats.org/officeDocument/2006/relationships/hyperlink" Target="#Capa!A1"/><Relationship Id="rId12" Type="http://schemas.openxmlformats.org/officeDocument/2006/relationships/hyperlink" Target="#'Perdas Distribui&#231;&#227;o (P&#243;s CP 09)'!A1"/><Relationship Id="rId2" Type="http://schemas.openxmlformats.org/officeDocument/2006/relationships/hyperlink" Target="#'Bal. Energ&#233;tico D (Pr&#233; CP 09)'!A1"/><Relationship Id="rId16" Type="http://schemas.openxmlformats.org/officeDocument/2006/relationships/hyperlink" Target="#'Portfolio de Ativos Renov&#225;veis'!A1"/><Relationship Id="rId1" Type="http://schemas.openxmlformats.org/officeDocument/2006/relationships/hyperlink" Target="#'Mercado Distribui&#231;&#227;o (Pr&#233; CP09)'!A1"/><Relationship Id="rId6" Type="http://schemas.openxmlformats.org/officeDocument/2006/relationships/hyperlink" Target="#'Operacional Saneamento'!A1"/><Relationship Id="rId11" Type="http://schemas.openxmlformats.org/officeDocument/2006/relationships/image" Target="../media/image2.svg"/><Relationship Id="rId5" Type="http://schemas.openxmlformats.org/officeDocument/2006/relationships/hyperlink" Target="#'Operacional Renov&#225;veis'!A1"/><Relationship Id="rId15" Type="http://schemas.openxmlformats.org/officeDocument/2006/relationships/hyperlink" Target="#'IAR PDD'!A1"/><Relationship Id="rId10" Type="http://schemas.openxmlformats.org/officeDocument/2006/relationships/image" Target="../media/image1.png"/><Relationship Id="rId4" Type="http://schemas.openxmlformats.org/officeDocument/2006/relationships/hyperlink" Target="#'Contratos Distribui&#231;&#227;o'!A1"/><Relationship Id="rId9" Type="http://schemas.openxmlformats.org/officeDocument/2006/relationships/hyperlink" Target="#'Bal. Energ&#233;tico D (P&#243;s CP 09)'!A1"/><Relationship Id="rId14" Type="http://schemas.openxmlformats.org/officeDocument/2006/relationships/hyperlink" Target="#'DEC FEC'!A1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#'Cover Page'!A1"/><Relationship Id="rId13" Type="http://schemas.openxmlformats.org/officeDocument/2006/relationships/hyperlink" Target="#ESG!A1"/><Relationship Id="rId3" Type="http://schemas.openxmlformats.org/officeDocument/2006/relationships/hyperlink" Target="#'Perdas Distribui&#231;&#227;o (Pr&#233; CP 09)'!A1"/><Relationship Id="rId7" Type="http://schemas.openxmlformats.org/officeDocument/2006/relationships/hyperlink" Target="#'Operacional Saneamento'!A1"/><Relationship Id="rId12" Type="http://schemas.openxmlformats.org/officeDocument/2006/relationships/image" Target="../media/image2.svg"/><Relationship Id="rId2" Type="http://schemas.openxmlformats.org/officeDocument/2006/relationships/hyperlink" Target="#'Bal. Energ&#233;tico D (Pr&#233; CP 09)'!A1"/><Relationship Id="rId16" Type="http://schemas.openxmlformats.org/officeDocument/2006/relationships/hyperlink" Target="#'Portfolio de Ativos Renov&#225;veis'!A1"/><Relationship Id="rId1" Type="http://schemas.openxmlformats.org/officeDocument/2006/relationships/hyperlink" Target="#'Mercado Distribui&#231;&#227;o (Pr&#233; CP09)'!A1"/><Relationship Id="rId6" Type="http://schemas.openxmlformats.org/officeDocument/2006/relationships/hyperlink" Target="#'Operacional Renov&#225;veis'!A1"/><Relationship Id="rId11" Type="http://schemas.openxmlformats.org/officeDocument/2006/relationships/image" Target="../media/image1.png"/><Relationship Id="rId5" Type="http://schemas.openxmlformats.org/officeDocument/2006/relationships/hyperlink" Target="#'Contratos Distribui&#231;&#227;o'!A1"/><Relationship Id="rId15" Type="http://schemas.openxmlformats.org/officeDocument/2006/relationships/hyperlink" Target="#'IAR PDD'!A1"/><Relationship Id="rId10" Type="http://schemas.openxmlformats.org/officeDocument/2006/relationships/hyperlink" Target="#'Mercado Distribui&#231;&#227;o (P&#243;s CP09)'!A1"/><Relationship Id="rId4" Type="http://schemas.openxmlformats.org/officeDocument/2006/relationships/hyperlink" Target="#'DEC FEC'!A1"/><Relationship Id="rId9" Type="http://schemas.openxmlformats.org/officeDocument/2006/relationships/hyperlink" Target="#'Bal. Energ&#233;tico D (P&#243;s CP 09)'!A1"/><Relationship Id="rId14" Type="http://schemas.openxmlformats.org/officeDocument/2006/relationships/hyperlink" Target="#'Perdas Distribui&#231;&#227;o (P&#243;s CP 09)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Operational Indicators'!A1"/><Relationship Id="rId2" Type="http://schemas.openxmlformats.org/officeDocument/2006/relationships/hyperlink" Target="#Operacional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Operational Indicators'!A1"/><Relationship Id="rId2" Type="http://schemas.openxmlformats.org/officeDocument/2006/relationships/hyperlink" Target="#Operacional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'Operational Indicators'!A1"/><Relationship Id="rId2" Type="http://schemas.openxmlformats.org/officeDocument/2006/relationships/hyperlink" Target="#Operacional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'Operational Indicators'!A1"/><Relationship Id="rId2" Type="http://schemas.openxmlformats.org/officeDocument/2006/relationships/hyperlink" Target="#Operacional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'Operational Indicators'!A1"/><Relationship Id="rId2" Type="http://schemas.openxmlformats.org/officeDocument/2006/relationships/hyperlink" Target="#Operacional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'Operational Indicators'!A1"/><Relationship Id="rId2" Type="http://schemas.openxmlformats.org/officeDocument/2006/relationships/hyperlink" Target="#Operacional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'Operational Indicators'!A1"/><Relationship Id="rId2" Type="http://schemas.openxmlformats.org/officeDocument/2006/relationships/hyperlink" Target="#Operacional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'Operational Indicators'!A1"/><Relationship Id="rId2" Type="http://schemas.openxmlformats.org/officeDocument/2006/relationships/hyperlink" Target="#Operacional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#'Operational Indicators'!A1"/><Relationship Id="rId2" Type="http://schemas.openxmlformats.org/officeDocument/2006/relationships/hyperlink" Target="#Operacional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#'Operational Indicators'!A1"/><Relationship Id="rId2" Type="http://schemas.openxmlformats.org/officeDocument/2006/relationships/hyperlink" Target="#Operacional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hyperlink" Target="#'Operational Indicators'!A1"/><Relationship Id="rId2" Type="http://schemas.openxmlformats.org/officeDocument/2006/relationships/hyperlink" Target="#Operacional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hyperlink" Target="#'Operational Indicators'!A1"/><Relationship Id="rId2" Type="http://schemas.openxmlformats.org/officeDocument/2006/relationships/hyperlink" Target="#Operacional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hyperlink" Target="#'Operational Indicators'!A1"/><Relationship Id="rId2" Type="http://schemas.openxmlformats.org/officeDocument/2006/relationships/hyperlink" Target="#Operacional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hyperlink" Target="#'DRE ITR Echo Participa&#231;&#245;es'!A1"/><Relationship Id="rId13" Type="http://schemas.openxmlformats.org/officeDocument/2006/relationships/hyperlink" Target="#'DRE ITR Holding'!A1"/><Relationship Id="rId18" Type="http://schemas.openxmlformats.org/officeDocument/2006/relationships/image" Target="../media/image1.png"/><Relationship Id="rId3" Type="http://schemas.openxmlformats.org/officeDocument/2006/relationships/hyperlink" Target="#'DRE ITR Piau&#237;'!A1"/><Relationship Id="rId7" Type="http://schemas.openxmlformats.org/officeDocument/2006/relationships/hyperlink" Target="#'DRE ITR INTESA'!A1"/><Relationship Id="rId12" Type="http://schemas.openxmlformats.org/officeDocument/2006/relationships/hyperlink" Target="#'DRE ITR Servi&#231;os'!A1"/><Relationship Id="rId17" Type="http://schemas.openxmlformats.org/officeDocument/2006/relationships/hyperlink" Target="#Capa!A1"/><Relationship Id="rId2" Type="http://schemas.openxmlformats.org/officeDocument/2006/relationships/hyperlink" Target="#'DRE ITR Par&#225;'!A1"/><Relationship Id="rId16" Type="http://schemas.openxmlformats.org/officeDocument/2006/relationships/hyperlink" Target="#'DRE ITR SPEs'!A1"/><Relationship Id="rId1" Type="http://schemas.openxmlformats.org/officeDocument/2006/relationships/hyperlink" Target="#'DRE ITR Maranh&#227;o'!A1"/><Relationship Id="rId6" Type="http://schemas.openxmlformats.org/officeDocument/2006/relationships/hyperlink" Target="#'DRE ITR EQTT'!A1"/><Relationship Id="rId11" Type="http://schemas.openxmlformats.org/officeDocument/2006/relationships/hyperlink" Target="#'DRE ITR CSA'!A1"/><Relationship Id="rId5" Type="http://schemas.openxmlformats.org/officeDocument/2006/relationships/hyperlink" Target="#'DRE ITR CEEE-D'!A1"/><Relationship Id="rId15" Type="http://schemas.openxmlformats.org/officeDocument/2006/relationships/hyperlink" Target="#'DRE ITR Echo Crescimento'!A1"/><Relationship Id="rId10" Type="http://schemas.openxmlformats.org/officeDocument/2006/relationships/hyperlink" Target="#'DRE ITR Goi&#225;s'!A1"/><Relationship Id="rId19" Type="http://schemas.openxmlformats.org/officeDocument/2006/relationships/image" Target="../media/image2.svg"/><Relationship Id="rId4" Type="http://schemas.openxmlformats.org/officeDocument/2006/relationships/hyperlink" Target="#'DRE ITR Alagoas'!A1"/><Relationship Id="rId9" Type="http://schemas.openxmlformats.org/officeDocument/2006/relationships/hyperlink" Target="#'DRE ITR CEA'!A1"/><Relationship Id="rId14" Type="http://schemas.openxmlformats.org/officeDocument/2006/relationships/hyperlink" Target="#'DRE ITR Consolidado'!A1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hyperlink" Target="#'DRE ITR Echoenergia'!A1"/><Relationship Id="rId13" Type="http://schemas.openxmlformats.org/officeDocument/2006/relationships/hyperlink" Target="#'DRE ITR Holding'!A1"/><Relationship Id="rId18" Type="http://schemas.openxmlformats.org/officeDocument/2006/relationships/image" Target="../media/image1.png"/><Relationship Id="rId3" Type="http://schemas.openxmlformats.org/officeDocument/2006/relationships/hyperlink" Target="#'DRE ITR Piau&#237;'!A1"/><Relationship Id="rId7" Type="http://schemas.openxmlformats.org/officeDocument/2006/relationships/hyperlink" Target="#'DRE ITR INTESA'!A1"/><Relationship Id="rId12" Type="http://schemas.openxmlformats.org/officeDocument/2006/relationships/hyperlink" Target="#'DRE ITR Servi&#231;os'!A1"/><Relationship Id="rId17" Type="http://schemas.openxmlformats.org/officeDocument/2006/relationships/hyperlink" Target="#'Cover Page'!A1"/><Relationship Id="rId2" Type="http://schemas.openxmlformats.org/officeDocument/2006/relationships/hyperlink" Target="#'DRE ITR Par&#225;'!A1"/><Relationship Id="rId16" Type="http://schemas.openxmlformats.org/officeDocument/2006/relationships/hyperlink" Target="#'DRE ITR SPEs'!A1"/><Relationship Id="rId1" Type="http://schemas.openxmlformats.org/officeDocument/2006/relationships/hyperlink" Target="#'DRE ITR Maranh&#227;o'!A1"/><Relationship Id="rId6" Type="http://schemas.openxmlformats.org/officeDocument/2006/relationships/hyperlink" Target="#'DRE ITR EQTT'!A1"/><Relationship Id="rId11" Type="http://schemas.openxmlformats.org/officeDocument/2006/relationships/hyperlink" Target="#'DRE ITR CSA'!A1"/><Relationship Id="rId5" Type="http://schemas.openxmlformats.org/officeDocument/2006/relationships/hyperlink" Target="#'DRE ITR CEEE-D'!A1"/><Relationship Id="rId15" Type="http://schemas.openxmlformats.org/officeDocument/2006/relationships/hyperlink" Target="#'DRE ITR Echo Crescimento'!A1"/><Relationship Id="rId10" Type="http://schemas.openxmlformats.org/officeDocument/2006/relationships/hyperlink" Target="#'DRE ITR Goi&#225;s'!A1"/><Relationship Id="rId19" Type="http://schemas.openxmlformats.org/officeDocument/2006/relationships/image" Target="../media/image2.svg"/><Relationship Id="rId4" Type="http://schemas.openxmlformats.org/officeDocument/2006/relationships/hyperlink" Target="#'DRE ITR Alagoas'!A1"/><Relationship Id="rId9" Type="http://schemas.openxmlformats.org/officeDocument/2006/relationships/hyperlink" Target="#'DRE ITR CEA'!A1"/><Relationship Id="rId14" Type="http://schemas.openxmlformats.org/officeDocument/2006/relationships/hyperlink" Target="#'DRE ITR Consolidado'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Standard Income Statement'!A1"/><Relationship Id="rId1" Type="http://schemas.openxmlformats.org/officeDocument/2006/relationships/hyperlink" Target="#Capa!A1"/><Relationship Id="rId4" Type="http://schemas.openxmlformats.org/officeDocument/2006/relationships/hyperlink" Target="#'DRE ITR'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hyperlink" Target="#'DRE ITR'!A1"/><Relationship Id="rId1" Type="http://schemas.openxmlformats.org/officeDocument/2006/relationships/hyperlink" Target="#Capa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hyperlink" Target="#'Standard Income Statement'!A1"/><Relationship Id="rId2" Type="http://schemas.openxmlformats.org/officeDocument/2006/relationships/hyperlink" Target="#'DRE ITR'!A1"/><Relationship Id="rId1" Type="http://schemas.openxmlformats.org/officeDocument/2006/relationships/hyperlink" Target="#Capa!A1"/><Relationship Id="rId4" Type="http://schemas.openxmlformats.org/officeDocument/2006/relationships/hyperlink" Target="#'Cover Page'!A1"/></Relationships>
</file>

<file path=xl/drawings/_rels/drawing38.xml.rels><?xml version="1.0" encoding="UTF-8" standalone="yes"?>
<Relationships xmlns="http://schemas.openxmlformats.org/package/2006/relationships"><Relationship Id="rId8" Type="http://schemas.openxmlformats.org/officeDocument/2006/relationships/hyperlink" Target="#'DRE EQTT Reg'!A1"/><Relationship Id="rId13" Type="http://schemas.openxmlformats.org/officeDocument/2006/relationships/hyperlink" Target="#'DRE CSA'!A1"/><Relationship Id="rId18" Type="http://schemas.openxmlformats.org/officeDocument/2006/relationships/hyperlink" Target="#'DRE Individual'!A1"/><Relationship Id="rId3" Type="http://schemas.openxmlformats.org/officeDocument/2006/relationships/hyperlink" Target="#'DRE Piau&#237;'!A1"/><Relationship Id="rId21" Type="http://schemas.openxmlformats.org/officeDocument/2006/relationships/image" Target="../media/image2.svg"/><Relationship Id="rId7" Type="http://schemas.openxmlformats.org/officeDocument/2006/relationships/hyperlink" Target="#'DRE Intesa IFRS'!A1"/><Relationship Id="rId12" Type="http://schemas.openxmlformats.org/officeDocument/2006/relationships/hyperlink" Target="#'DRE Goi&#225;s'!A1"/><Relationship Id="rId17" Type="http://schemas.openxmlformats.org/officeDocument/2006/relationships/hyperlink" Target="#Capa!A1"/><Relationship Id="rId2" Type="http://schemas.openxmlformats.org/officeDocument/2006/relationships/hyperlink" Target="#'DRE Par&#225;'!A1"/><Relationship Id="rId16" Type="http://schemas.openxmlformats.org/officeDocument/2006/relationships/hyperlink" Target="#'DRE EQTL Cons '!A1"/><Relationship Id="rId20" Type="http://schemas.openxmlformats.org/officeDocument/2006/relationships/image" Target="../media/image1.png"/><Relationship Id="rId1" Type="http://schemas.openxmlformats.org/officeDocument/2006/relationships/hyperlink" Target="#'DRE Maranh&#227;o'!A1"/><Relationship Id="rId6" Type="http://schemas.openxmlformats.org/officeDocument/2006/relationships/hyperlink" Target="#'DRE EQTT IFRS'!A1"/><Relationship Id="rId11" Type="http://schemas.openxmlformats.org/officeDocument/2006/relationships/hyperlink" Target="#'DRE CEA'!A1"/><Relationship Id="rId5" Type="http://schemas.openxmlformats.org/officeDocument/2006/relationships/hyperlink" Target="#'DRE CEEE-D'!A1"/><Relationship Id="rId15" Type="http://schemas.openxmlformats.org/officeDocument/2006/relationships/hyperlink" Target="#'DRE EQTL Holding'!A1"/><Relationship Id="rId10" Type="http://schemas.openxmlformats.org/officeDocument/2006/relationships/hyperlink" Target="#'DRE Echo Participa&#231;&#245;es'!A1"/><Relationship Id="rId19" Type="http://schemas.openxmlformats.org/officeDocument/2006/relationships/hyperlink" Target="#'DRE Echo Crescimento'!A1"/><Relationship Id="rId4" Type="http://schemas.openxmlformats.org/officeDocument/2006/relationships/hyperlink" Target="#'DRE Alagoas'!A1"/><Relationship Id="rId9" Type="http://schemas.openxmlformats.org/officeDocument/2006/relationships/hyperlink" Target="#'DRE Intesa Reg'!A1"/><Relationship Id="rId14" Type="http://schemas.openxmlformats.org/officeDocument/2006/relationships/hyperlink" Target="#'DRE EQTL Servi&#231;os'!A1"/></Relationships>
</file>

<file path=xl/drawings/_rels/drawing39.xml.rels><?xml version="1.0" encoding="UTF-8" standalone="yes"?>
<Relationships xmlns="http://schemas.openxmlformats.org/package/2006/relationships"><Relationship Id="rId8" Type="http://schemas.openxmlformats.org/officeDocument/2006/relationships/hyperlink" Target="#'DRE EQTT Reg'!A1"/><Relationship Id="rId13" Type="http://schemas.openxmlformats.org/officeDocument/2006/relationships/hyperlink" Target="#'DRE CSA'!A1"/><Relationship Id="rId18" Type="http://schemas.openxmlformats.org/officeDocument/2006/relationships/hyperlink" Target="#'DRE Individual'!A1"/><Relationship Id="rId3" Type="http://schemas.openxmlformats.org/officeDocument/2006/relationships/hyperlink" Target="#'DRE Piau&#237;'!A1"/><Relationship Id="rId21" Type="http://schemas.openxmlformats.org/officeDocument/2006/relationships/image" Target="../media/image2.svg"/><Relationship Id="rId7" Type="http://schemas.openxmlformats.org/officeDocument/2006/relationships/hyperlink" Target="#'DRE Intesa IFRS'!A1"/><Relationship Id="rId12" Type="http://schemas.openxmlformats.org/officeDocument/2006/relationships/hyperlink" Target="#'DRE Goi&#225;s'!A1"/><Relationship Id="rId17" Type="http://schemas.openxmlformats.org/officeDocument/2006/relationships/hyperlink" Target="#'Cover Page'!A1"/><Relationship Id="rId2" Type="http://schemas.openxmlformats.org/officeDocument/2006/relationships/hyperlink" Target="#'DRE Par&#225;'!A1"/><Relationship Id="rId16" Type="http://schemas.openxmlformats.org/officeDocument/2006/relationships/hyperlink" Target="#'DRE EQTL Cons '!A1"/><Relationship Id="rId20" Type="http://schemas.openxmlformats.org/officeDocument/2006/relationships/image" Target="../media/image1.png"/><Relationship Id="rId1" Type="http://schemas.openxmlformats.org/officeDocument/2006/relationships/hyperlink" Target="#'DRE Maranh&#227;o'!A1"/><Relationship Id="rId6" Type="http://schemas.openxmlformats.org/officeDocument/2006/relationships/hyperlink" Target="#'DRE EQTT IFRS'!A1"/><Relationship Id="rId11" Type="http://schemas.openxmlformats.org/officeDocument/2006/relationships/hyperlink" Target="#'DRE CEA'!A1"/><Relationship Id="rId5" Type="http://schemas.openxmlformats.org/officeDocument/2006/relationships/hyperlink" Target="#'DRE CEEE-D'!A1"/><Relationship Id="rId15" Type="http://schemas.openxmlformats.org/officeDocument/2006/relationships/hyperlink" Target="#'DRE EQTL Holding'!A1"/><Relationship Id="rId10" Type="http://schemas.openxmlformats.org/officeDocument/2006/relationships/hyperlink" Target="#'DRE Echo Participa&#231;&#245;es'!A1"/><Relationship Id="rId19" Type="http://schemas.openxmlformats.org/officeDocument/2006/relationships/hyperlink" Target="#'DRE Echo Crescimento'!A1"/><Relationship Id="rId4" Type="http://schemas.openxmlformats.org/officeDocument/2006/relationships/hyperlink" Target="#'DRE Alagoas'!A1"/><Relationship Id="rId9" Type="http://schemas.openxmlformats.org/officeDocument/2006/relationships/hyperlink" Target="#'DRE Intesa Reg'!A1"/><Relationship Id="rId14" Type="http://schemas.openxmlformats.org/officeDocument/2006/relationships/hyperlink" Target="#'DRE EQTL Servi&#231;os'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hyperlink" Target="#'DRE Resumida'!A1"/><Relationship Id="rId1" Type="http://schemas.openxmlformats.org/officeDocument/2006/relationships/hyperlink" Target="#Capa!A1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hyperlink" Target="#'DRE Resumida'!A1"/><Relationship Id="rId1" Type="http://schemas.openxmlformats.org/officeDocument/2006/relationships/hyperlink" Target="#Capa!A1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52.xml.rels><?xml version="1.0" encoding="UTF-8" standalone="yes"?>
<Relationships xmlns="http://schemas.openxmlformats.org/package/2006/relationships"><Relationship Id="rId2" Type="http://schemas.openxmlformats.org/officeDocument/2006/relationships/hyperlink" Target="#'DRE Resumida'!A1"/><Relationship Id="rId1" Type="http://schemas.openxmlformats.org/officeDocument/2006/relationships/hyperlink" Target="#Capa!A1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RE Resumida'!A1"/><Relationship Id="rId1" Type="http://schemas.openxmlformats.org/officeDocument/2006/relationships/hyperlink" Target="#Capa!A1"/><Relationship Id="rId4" Type="http://schemas.openxmlformats.org/officeDocument/2006/relationships/hyperlink" Target="#'P&amp;L Statement'!A1"/></Relationships>
</file>

<file path=xl/drawings/_rels/drawing58.xml.rels><?xml version="1.0" encoding="UTF-8" standalone="yes"?>
<Relationships xmlns="http://schemas.openxmlformats.org/package/2006/relationships"><Relationship Id="rId2" Type="http://schemas.openxmlformats.org/officeDocument/2006/relationships/hyperlink" Target="#'Cover Page'!A1"/><Relationship Id="rId1" Type="http://schemas.openxmlformats.org/officeDocument/2006/relationships/hyperlink" Target="#Capa!A1"/></Relationships>
</file>

<file path=xl/drawings/_rels/drawing59.xml.rels><?xml version="1.0" encoding="UTF-8" standalone="yes"?>
<Relationships xmlns="http://schemas.openxmlformats.org/package/2006/relationships"><Relationship Id="rId8" Type="http://schemas.openxmlformats.org/officeDocument/2006/relationships/hyperlink" Target="#'BP Echo Participa&#231;&#245;es'!A1"/><Relationship Id="rId13" Type="http://schemas.openxmlformats.org/officeDocument/2006/relationships/hyperlink" Target="#'BP EQTL Cons'!A1"/><Relationship Id="rId18" Type="http://schemas.openxmlformats.org/officeDocument/2006/relationships/image" Target="../media/image2.svg"/><Relationship Id="rId3" Type="http://schemas.openxmlformats.org/officeDocument/2006/relationships/hyperlink" Target="#'BP Piau&#237;'!A1"/><Relationship Id="rId7" Type="http://schemas.openxmlformats.org/officeDocument/2006/relationships/hyperlink" Target="#'BP Intesa'!A1"/><Relationship Id="rId12" Type="http://schemas.openxmlformats.org/officeDocument/2006/relationships/hyperlink" Target="#'BP EQTL Holding'!A1"/><Relationship Id="rId17" Type="http://schemas.openxmlformats.org/officeDocument/2006/relationships/image" Target="../media/image1.png"/><Relationship Id="rId2" Type="http://schemas.openxmlformats.org/officeDocument/2006/relationships/hyperlink" Target="#'BP Par&#225;'!A1"/><Relationship Id="rId16" Type="http://schemas.openxmlformats.org/officeDocument/2006/relationships/hyperlink" Target="#'BP EQTL Servi&#231;os'!A1"/><Relationship Id="rId1" Type="http://schemas.openxmlformats.org/officeDocument/2006/relationships/hyperlink" Target="#'BP Maranh&#227;o'!A1"/><Relationship Id="rId6" Type="http://schemas.openxmlformats.org/officeDocument/2006/relationships/hyperlink" Target="#'BP Transmiss&#227;o'!A1"/><Relationship Id="rId11" Type="http://schemas.openxmlformats.org/officeDocument/2006/relationships/hyperlink" Target="#'BP CSA'!A1"/><Relationship Id="rId5" Type="http://schemas.openxmlformats.org/officeDocument/2006/relationships/hyperlink" Target="#'BP CEEE-D '!A1"/><Relationship Id="rId15" Type="http://schemas.openxmlformats.org/officeDocument/2006/relationships/hyperlink" Target="#'BP Echo Crescimento'!A1"/><Relationship Id="rId10" Type="http://schemas.openxmlformats.org/officeDocument/2006/relationships/hyperlink" Target="#'BP CELG'!A1"/><Relationship Id="rId4" Type="http://schemas.openxmlformats.org/officeDocument/2006/relationships/hyperlink" Target="#'BP Alagoas'!A1"/><Relationship Id="rId9" Type="http://schemas.openxmlformats.org/officeDocument/2006/relationships/hyperlink" Target="#'BP CEA'!A1"/><Relationship Id="rId14" Type="http://schemas.openxmlformats.org/officeDocument/2006/relationships/hyperlink" Target="#Capa!A1"/></Relationships>
</file>

<file path=xl/drawings/_rels/drawing60.xml.rels><?xml version="1.0" encoding="UTF-8" standalone="yes"?>
<Relationships xmlns="http://schemas.openxmlformats.org/package/2006/relationships"><Relationship Id="rId8" Type="http://schemas.openxmlformats.org/officeDocument/2006/relationships/hyperlink" Target="#'BP Echoenergia'!A1"/><Relationship Id="rId13" Type="http://schemas.openxmlformats.org/officeDocument/2006/relationships/hyperlink" Target="#'BP EQTL Cons'!A1"/><Relationship Id="rId3" Type="http://schemas.openxmlformats.org/officeDocument/2006/relationships/hyperlink" Target="#'BP Piau&#237;'!A1"/><Relationship Id="rId7" Type="http://schemas.openxmlformats.org/officeDocument/2006/relationships/hyperlink" Target="#'BP Intesa'!A1"/><Relationship Id="rId12" Type="http://schemas.openxmlformats.org/officeDocument/2006/relationships/hyperlink" Target="#'BP EQTL Holding'!A1"/><Relationship Id="rId17" Type="http://schemas.openxmlformats.org/officeDocument/2006/relationships/image" Target="../media/image2.svg"/><Relationship Id="rId2" Type="http://schemas.openxmlformats.org/officeDocument/2006/relationships/hyperlink" Target="#'BP Par&#225;'!A1"/><Relationship Id="rId16" Type="http://schemas.openxmlformats.org/officeDocument/2006/relationships/image" Target="../media/image1.png"/><Relationship Id="rId1" Type="http://schemas.openxmlformats.org/officeDocument/2006/relationships/hyperlink" Target="#'BP Maranh&#227;o'!A1"/><Relationship Id="rId6" Type="http://schemas.openxmlformats.org/officeDocument/2006/relationships/hyperlink" Target="#'BP Transmiss&#227;o'!A1"/><Relationship Id="rId11" Type="http://schemas.openxmlformats.org/officeDocument/2006/relationships/hyperlink" Target="#'BP CSA'!A1"/><Relationship Id="rId5" Type="http://schemas.openxmlformats.org/officeDocument/2006/relationships/hyperlink" Target="#'BP CEEE-D '!A1"/><Relationship Id="rId15" Type="http://schemas.openxmlformats.org/officeDocument/2006/relationships/hyperlink" Target="#'BP Echo Crescimento'!A1"/><Relationship Id="rId10" Type="http://schemas.openxmlformats.org/officeDocument/2006/relationships/hyperlink" Target="#'BP CELG'!A1"/><Relationship Id="rId4" Type="http://schemas.openxmlformats.org/officeDocument/2006/relationships/hyperlink" Target="#'BP Alagoas'!A1"/><Relationship Id="rId9" Type="http://schemas.openxmlformats.org/officeDocument/2006/relationships/hyperlink" Target="#'BP CEA'!A1"/><Relationship Id="rId14" Type="http://schemas.openxmlformats.org/officeDocument/2006/relationships/hyperlink" Target="#'Cover Page'!A1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73.xml.rels><?xml version="1.0" encoding="UTF-8" standalone="yes"?>
<Relationships xmlns="http://schemas.openxmlformats.org/package/2006/relationships"><Relationship Id="rId2" Type="http://schemas.openxmlformats.org/officeDocument/2006/relationships/hyperlink" Target="#BPs!A1"/><Relationship Id="rId1" Type="http://schemas.openxmlformats.org/officeDocument/2006/relationships/hyperlink" Target="#Capa!A1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BPs!A1"/><Relationship Id="rId1" Type="http://schemas.openxmlformats.org/officeDocument/2006/relationships/hyperlink" Target="#Capa!A1"/><Relationship Id="rId4" Type="http://schemas.openxmlformats.org/officeDocument/2006/relationships/hyperlink" Target="#'Balance Sheet'!A1"/></Relationships>
</file>

<file path=xl/drawings/_rels/drawing76.xml.rels><?xml version="1.0" encoding="UTF-8" standalone="yes"?>
<Relationships xmlns="http://schemas.openxmlformats.org/package/2006/relationships"><Relationship Id="rId8" Type="http://schemas.openxmlformats.org/officeDocument/2006/relationships/hyperlink" Target="#'FCI GO'!A1"/><Relationship Id="rId13" Type="http://schemas.openxmlformats.org/officeDocument/2006/relationships/hyperlink" Target="#'FCI Echo Crescimento'!A1"/><Relationship Id="rId3" Type="http://schemas.openxmlformats.org/officeDocument/2006/relationships/hyperlink" Target="#'FCI Piau&#237;'!A1"/><Relationship Id="rId7" Type="http://schemas.openxmlformats.org/officeDocument/2006/relationships/hyperlink" Target="#'FCI CEA'!A1"/><Relationship Id="rId12" Type="http://schemas.openxmlformats.org/officeDocument/2006/relationships/hyperlink" Target="#Capa!A1"/><Relationship Id="rId2" Type="http://schemas.openxmlformats.org/officeDocument/2006/relationships/hyperlink" Target="#'FCI Par&#225;'!A1"/><Relationship Id="rId1" Type="http://schemas.openxmlformats.org/officeDocument/2006/relationships/hyperlink" Target="#'FCI Maranh&#227;o'!A1"/><Relationship Id="rId6" Type="http://schemas.openxmlformats.org/officeDocument/2006/relationships/hyperlink" Target="#'FCI Echo Participa&#231;&#245;es'!A1"/><Relationship Id="rId11" Type="http://schemas.openxmlformats.org/officeDocument/2006/relationships/hyperlink" Target="#'FCI EQTL Consolidado'!A1"/><Relationship Id="rId5" Type="http://schemas.openxmlformats.org/officeDocument/2006/relationships/hyperlink" Target="#'FCI CEEE-D'!A1"/><Relationship Id="rId15" Type="http://schemas.openxmlformats.org/officeDocument/2006/relationships/image" Target="../media/image2.svg"/><Relationship Id="rId10" Type="http://schemas.openxmlformats.org/officeDocument/2006/relationships/hyperlink" Target="#'FCI EQTL Holding'!A1"/><Relationship Id="rId4" Type="http://schemas.openxmlformats.org/officeDocument/2006/relationships/hyperlink" Target="#'FCI Alagoas'!A1"/><Relationship Id="rId9" Type="http://schemas.openxmlformats.org/officeDocument/2006/relationships/hyperlink" Target="#'FCI CSA'!A1"/><Relationship Id="rId14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8" Type="http://schemas.openxmlformats.org/officeDocument/2006/relationships/hyperlink" Target="#'FCI GO'!A1"/><Relationship Id="rId13" Type="http://schemas.openxmlformats.org/officeDocument/2006/relationships/hyperlink" Target="#'FCI Echo Crescimento'!A1"/><Relationship Id="rId3" Type="http://schemas.openxmlformats.org/officeDocument/2006/relationships/hyperlink" Target="#'FCI Piau&#237;'!A1"/><Relationship Id="rId7" Type="http://schemas.openxmlformats.org/officeDocument/2006/relationships/hyperlink" Target="#'FCI CEA'!A1"/><Relationship Id="rId12" Type="http://schemas.openxmlformats.org/officeDocument/2006/relationships/hyperlink" Target="#'Cover Page'!A1"/><Relationship Id="rId2" Type="http://schemas.openxmlformats.org/officeDocument/2006/relationships/hyperlink" Target="#'FCI Par&#225;'!A1"/><Relationship Id="rId1" Type="http://schemas.openxmlformats.org/officeDocument/2006/relationships/hyperlink" Target="#'FCI Maranh&#227;o'!A1"/><Relationship Id="rId6" Type="http://schemas.openxmlformats.org/officeDocument/2006/relationships/hyperlink" Target="#'FCI Echo Participa&#231;&#245;es'!A1"/><Relationship Id="rId11" Type="http://schemas.openxmlformats.org/officeDocument/2006/relationships/hyperlink" Target="#'FCI EQTL Consolidado'!A1"/><Relationship Id="rId5" Type="http://schemas.openxmlformats.org/officeDocument/2006/relationships/hyperlink" Target="#'FCI CEEE-D'!A1"/><Relationship Id="rId15" Type="http://schemas.openxmlformats.org/officeDocument/2006/relationships/image" Target="../media/image2.svg"/><Relationship Id="rId10" Type="http://schemas.openxmlformats.org/officeDocument/2006/relationships/hyperlink" Target="#'FCI EQTL Holding'!A1"/><Relationship Id="rId4" Type="http://schemas.openxmlformats.org/officeDocument/2006/relationships/hyperlink" Target="#'FCI Alagoas'!A1"/><Relationship Id="rId9" Type="http://schemas.openxmlformats.org/officeDocument/2006/relationships/hyperlink" Target="#'FCI CSA'!A1"/><Relationship Id="rId14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2" Type="http://schemas.openxmlformats.org/officeDocument/2006/relationships/hyperlink" Target="#FCIs!A1"/><Relationship Id="rId1" Type="http://schemas.openxmlformats.org/officeDocument/2006/relationships/hyperlink" Target="#Capa!A1"/></Relationships>
</file>

<file path=xl/drawings/_rels/drawing79.xml.rels><?xml version="1.0" encoding="UTF-8" standalone="yes"?>
<Relationships xmlns="http://schemas.openxmlformats.org/package/2006/relationships"><Relationship Id="rId2" Type="http://schemas.openxmlformats.org/officeDocument/2006/relationships/hyperlink" Target="#FCIs!A1"/><Relationship Id="rId1" Type="http://schemas.openxmlformats.org/officeDocument/2006/relationships/hyperlink" Target="#Capa!A1"/></Relationships>
</file>

<file path=xl/drawings/_rels/drawing80.xml.rels><?xml version="1.0" encoding="UTF-8" standalone="yes"?>
<Relationships xmlns="http://schemas.openxmlformats.org/package/2006/relationships"><Relationship Id="rId2" Type="http://schemas.openxmlformats.org/officeDocument/2006/relationships/hyperlink" Target="#FCIs!A1"/><Relationship Id="rId1" Type="http://schemas.openxmlformats.org/officeDocument/2006/relationships/hyperlink" Target="#Capa!A1"/></Relationships>
</file>

<file path=xl/drawings/_rels/drawing81.xml.rels><?xml version="1.0" encoding="UTF-8" standalone="yes"?>
<Relationships xmlns="http://schemas.openxmlformats.org/package/2006/relationships"><Relationship Id="rId2" Type="http://schemas.openxmlformats.org/officeDocument/2006/relationships/hyperlink" Target="#FCIs!A1"/><Relationship Id="rId1" Type="http://schemas.openxmlformats.org/officeDocument/2006/relationships/hyperlink" Target="#Capa!A1"/></Relationships>
</file>

<file path=xl/drawings/_rels/drawing82.xml.rels><?xml version="1.0" encoding="UTF-8" standalone="yes"?>
<Relationships xmlns="http://schemas.openxmlformats.org/package/2006/relationships"><Relationship Id="rId2" Type="http://schemas.openxmlformats.org/officeDocument/2006/relationships/hyperlink" Target="#FCIs!A1"/><Relationship Id="rId1" Type="http://schemas.openxmlformats.org/officeDocument/2006/relationships/hyperlink" Target="#Capa!A1"/></Relationships>
</file>

<file path=xl/drawings/_rels/drawing83.xml.rels><?xml version="1.0" encoding="UTF-8" standalone="yes"?>
<Relationships xmlns="http://schemas.openxmlformats.org/package/2006/relationships"><Relationship Id="rId2" Type="http://schemas.openxmlformats.org/officeDocument/2006/relationships/hyperlink" Target="#FCIs!A1"/><Relationship Id="rId1" Type="http://schemas.openxmlformats.org/officeDocument/2006/relationships/hyperlink" Target="#Capa!A1"/></Relationships>
</file>

<file path=xl/drawings/_rels/drawing84.xml.rels><?xml version="1.0" encoding="UTF-8" standalone="yes"?>
<Relationships xmlns="http://schemas.openxmlformats.org/package/2006/relationships"><Relationship Id="rId2" Type="http://schemas.openxmlformats.org/officeDocument/2006/relationships/hyperlink" Target="#FCIs!A1"/><Relationship Id="rId1" Type="http://schemas.openxmlformats.org/officeDocument/2006/relationships/hyperlink" Target="#Capa!A1"/></Relationships>
</file>

<file path=xl/drawings/_rels/drawing85.xml.rels><?xml version="1.0" encoding="UTF-8" standalone="yes"?>
<Relationships xmlns="http://schemas.openxmlformats.org/package/2006/relationships"><Relationship Id="rId2" Type="http://schemas.openxmlformats.org/officeDocument/2006/relationships/hyperlink" Target="#FCIs!A1"/><Relationship Id="rId1" Type="http://schemas.openxmlformats.org/officeDocument/2006/relationships/hyperlink" Target="#Capa!A1"/></Relationships>
</file>

<file path=xl/drawings/_rels/drawing86.xml.rels><?xml version="1.0" encoding="UTF-8" standalone="yes"?>
<Relationships xmlns="http://schemas.openxmlformats.org/package/2006/relationships"><Relationship Id="rId2" Type="http://schemas.openxmlformats.org/officeDocument/2006/relationships/hyperlink" Target="#FCIs!A1"/><Relationship Id="rId1" Type="http://schemas.openxmlformats.org/officeDocument/2006/relationships/hyperlink" Target="#Capa!A1"/></Relationships>
</file>

<file path=xl/drawings/_rels/drawing87.xml.rels><?xml version="1.0" encoding="UTF-8" standalone="yes"?>
<Relationships xmlns="http://schemas.openxmlformats.org/package/2006/relationships"><Relationship Id="rId2" Type="http://schemas.openxmlformats.org/officeDocument/2006/relationships/hyperlink" Target="#FCIs!A1"/><Relationship Id="rId1" Type="http://schemas.openxmlformats.org/officeDocument/2006/relationships/hyperlink" Target="#Capa!A1"/></Relationships>
</file>

<file path=xl/drawings/_rels/drawing88.xml.rels><?xml version="1.0" encoding="UTF-8" standalone="yes"?>
<Relationships xmlns="http://schemas.openxmlformats.org/package/2006/relationships"><Relationship Id="rId2" Type="http://schemas.openxmlformats.org/officeDocument/2006/relationships/hyperlink" Target="#FCIs!A1"/><Relationship Id="rId1" Type="http://schemas.openxmlformats.org/officeDocument/2006/relationships/hyperlink" Target="#Capa!A1"/></Relationships>
</file>

<file path=xl/drawings/_rels/drawing89.xml.rels><?xml version="1.0" encoding="UTF-8" standalone="yes"?>
<Relationships xmlns="http://schemas.openxmlformats.org/package/2006/relationships"><Relationship Id="rId2" Type="http://schemas.openxmlformats.org/officeDocument/2006/relationships/hyperlink" Target="#FCIs!A1"/><Relationship Id="rId1" Type="http://schemas.openxmlformats.org/officeDocument/2006/relationships/hyperlink" Target="#Capa!A1"/></Relationships>
</file>

<file path=xl/drawings/_rels/drawing90.xml.rels><?xml version="1.0" encoding="UTF-8" standalone="yes"?>
<Relationships xmlns="http://schemas.openxmlformats.org/package/2006/relationships"><Relationship Id="rId3" Type="http://schemas.openxmlformats.org/officeDocument/2006/relationships/hyperlink" Target="#'D&#237;vida Detalhada'!A1"/><Relationship Id="rId7" Type="http://schemas.openxmlformats.org/officeDocument/2006/relationships/image" Target="../media/image2.svg"/><Relationship Id="rId2" Type="http://schemas.openxmlformats.org/officeDocument/2006/relationships/hyperlink" Target="#'D&#237;vida L&#237;quida'!A1"/><Relationship Id="rId1" Type="http://schemas.openxmlformats.org/officeDocument/2006/relationships/hyperlink" Target="#'D&#237;vida Bruta'!A1"/><Relationship Id="rId6" Type="http://schemas.openxmlformats.org/officeDocument/2006/relationships/image" Target="../media/image1.png"/><Relationship Id="rId5" Type="http://schemas.openxmlformats.org/officeDocument/2006/relationships/hyperlink" Target="#Capa!A1"/><Relationship Id="rId4" Type="http://schemas.openxmlformats.org/officeDocument/2006/relationships/hyperlink" Target="#Investimentos!A1"/></Relationships>
</file>

<file path=xl/drawings/_rels/drawing91.xml.rels><?xml version="1.0" encoding="UTF-8" standalone="yes"?>
<Relationships xmlns="http://schemas.openxmlformats.org/package/2006/relationships"><Relationship Id="rId3" Type="http://schemas.openxmlformats.org/officeDocument/2006/relationships/hyperlink" Target="#'D&#237;vida Detalhada'!A1"/><Relationship Id="rId7" Type="http://schemas.openxmlformats.org/officeDocument/2006/relationships/image" Target="../media/image2.svg"/><Relationship Id="rId2" Type="http://schemas.openxmlformats.org/officeDocument/2006/relationships/hyperlink" Target="#'D&#237;vida L&#237;quida'!A1"/><Relationship Id="rId1" Type="http://schemas.openxmlformats.org/officeDocument/2006/relationships/hyperlink" Target="#'D&#237;vida Bruta'!A1"/><Relationship Id="rId6" Type="http://schemas.openxmlformats.org/officeDocument/2006/relationships/image" Target="../media/image1.png"/><Relationship Id="rId5" Type="http://schemas.openxmlformats.org/officeDocument/2006/relationships/hyperlink" Target="#'Cover Page'!A1"/><Relationship Id="rId4" Type="http://schemas.openxmlformats.org/officeDocument/2006/relationships/hyperlink" Target="#Investimentos!A1"/></Relationships>
</file>

<file path=xl/drawings/_rels/drawing92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&#237;vida e CAPEX'!A1"/><Relationship Id="rId1" Type="http://schemas.openxmlformats.org/officeDocument/2006/relationships/hyperlink" Target="#Capa!A1"/><Relationship Id="rId4" Type="http://schemas.openxmlformats.org/officeDocument/2006/relationships/hyperlink" Target="#'Debt and Capex'!A1"/></Relationships>
</file>

<file path=xl/drawings/_rels/drawing93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&#237;vida e CAPEX'!A1"/><Relationship Id="rId1" Type="http://schemas.openxmlformats.org/officeDocument/2006/relationships/hyperlink" Target="#Capa!A1"/><Relationship Id="rId4" Type="http://schemas.openxmlformats.org/officeDocument/2006/relationships/hyperlink" Target="#'Debt and Capex'!A1"/></Relationships>
</file>

<file path=xl/drawings/_rels/drawing94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&#237;vida e CAPEX'!A1"/><Relationship Id="rId1" Type="http://schemas.openxmlformats.org/officeDocument/2006/relationships/hyperlink" Target="#Capa!A1"/><Relationship Id="rId4" Type="http://schemas.openxmlformats.org/officeDocument/2006/relationships/hyperlink" Target="#'Debt and Capex'!A1"/></Relationships>
</file>

<file path=xl/drawings/_rels/drawing95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&#237;vida e CAPEX'!A1"/><Relationship Id="rId1" Type="http://schemas.openxmlformats.org/officeDocument/2006/relationships/hyperlink" Target="#Capa!A1"/><Relationship Id="rId4" Type="http://schemas.openxmlformats.org/officeDocument/2006/relationships/hyperlink" Target="#'Debt and Capex'!A1"/></Relationships>
</file>

<file path=xl/drawings/_rels/drawing96.xml.rels><?xml version="1.0" encoding="UTF-8" standalone="yes"?>
<Relationships xmlns="http://schemas.openxmlformats.org/package/2006/relationships"><Relationship Id="rId2" Type="http://schemas.openxmlformats.org/officeDocument/2006/relationships/hyperlink" Target="#'Cover Page'!A1"/><Relationship Id="rId1" Type="http://schemas.openxmlformats.org/officeDocument/2006/relationships/hyperlink" Target="#Capa!A1"/></Relationships>
</file>

<file path=xl/drawings/_rels/drawing97.xml.rels><?xml version="1.0" encoding="UTF-8" standalone="yes"?>
<Relationships xmlns="http://schemas.openxmlformats.org/package/2006/relationships"><Relationship Id="rId2" Type="http://schemas.openxmlformats.org/officeDocument/2006/relationships/hyperlink" Target="#'Cover Page'!A1"/><Relationship Id="rId1" Type="http://schemas.openxmlformats.org/officeDocument/2006/relationships/hyperlink" Target="#Capa!A1"/></Relationships>
</file>

<file path=xl/drawings/_rels/drawing98.xml.rels><?xml version="1.0" encoding="UTF-8" standalone="yes"?>
<Relationships xmlns="http://schemas.openxmlformats.org/package/2006/relationships"><Relationship Id="rId2" Type="http://schemas.openxmlformats.org/officeDocument/2006/relationships/hyperlink" Target="#'Cover Page'!A1"/><Relationship Id="rId1" Type="http://schemas.openxmlformats.org/officeDocument/2006/relationships/hyperlink" Target="#Capa!A1"/></Relationships>
</file>

<file path=xl/drawings/_rels/drawing99.xml.rels><?xml version="1.0" encoding="UTF-8" standalone="yes"?>
<Relationships xmlns="http://schemas.openxmlformats.org/package/2006/relationships"><Relationship Id="rId3" Type="http://schemas.openxmlformats.org/officeDocument/2006/relationships/hyperlink" Target="#'Dados Concess&#245;es'!A1"/><Relationship Id="rId2" Type="http://schemas.openxmlformats.org/officeDocument/2006/relationships/hyperlink" Target="#Capa!A1"/><Relationship Id="rId1" Type="http://schemas.openxmlformats.org/officeDocument/2006/relationships/hyperlink" Target="#'Dados Regulat&#243;rios Distribui&#231;&#227;o'!A1"/><Relationship Id="rId5" Type="http://schemas.openxmlformats.org/officeDocument/2006/relationships/image" Target="../media/image2.svg"/><Relationship Id="rId4" Type="http://schemas.openxmlformats.org/officeDocument/2006/relationships/image" Target="../media/image1.png"/></Relationships>
</file>

<file path=xl/drawings/_rels/drawing100.xml.rels><?xml version="1.0" encoding="UTF-8" standalone="yes"?>
<Relationships xmlns="http://schemas.openxmlformats.org/package/2006/relationships"><Relationship Id="rId3" Type="http://schemas.openxmlformats.org/officeDocument/2006/relationships/hyperlink" Target="#'Dados Concess&#245;es'!A1"/><Relationship Id="rId2" Type="http://schemas.openxmlformats.org/officeDocument/2006/relationships/hyperlink" Target="#'Cover Page'!A1"/><Relationship Id="rId1" Type="http://schemas.openxmlformats.org/officeDocument/2006/relationships/hyperlink" Target="#'Dados Regulat&#243;rios Distribui&#231;&#227;o'!A1"/><Relationship Id="rId5" Type="http://schemas.openxmlformats.org/officeDocument/2006/relationships/image" Target="../media/image2.svg"/><Relationship Id="rId4" Type="http://schemas.openxmlformats.org/officeDocument/2006/relationships/image" Target="../media/image1.png"/></Relationships>
</file>

<file path=xl/drawings/_rels/drawing101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ados Regulat&#243;rios'!A1"/><Relationship Id="rId1" Type="http://schemas.openxmlformats.org/officeDocument/2006/relationships/hyperlink" Target="#Capa!A1"/><Relationship Id="rId4" Type="http://schemas.openxmlformats.org/officeDocument/2006/relationships/hyperlink" Target="#'Regulatory Data'!A1"/></Relationships>
</file>

<file path=xl/drawings/_rels/drawing102.xml.rels><?xml version="1.0" encoding="UTF-8" standalone="yes"?>
<Relationships xmlns="http://schemas.openxmlformats.org/package/2006/relationships"><Relationship Id="rId3" Type="http://schemas.openxmlformats.org/officeDocument/2006/relationships/hyperlink" Target="#'Cover Page'!A1"/><Relationship Id="rId2" Type="http://schemas.openxmlformats.org/officeDocument/2006/relationships/hyperlink" Target="#'Dados Regulat&#243;rios'!A1"/><Relationship Id="rId1" Type="http://schemas.openxmlformats.org/officeDocument/2006/relationships/hyperlink" Target="#Capa!A1"/><Relationship Id="rId4" Type="http://schemas.openxmlformats.org/officeDocument/2006/relationships/hyperlink" Target="#'Regulatory Data'!A1"/></Relationships>
</file>

<file path=xl/drawings/_rels/drawing103.xml.rels><?xml version="1.0" encoding="UTF-8" standalone="yes"?>
<Relationships xmlns="http://schemas.openxmlformats.org/package/2006/relationships"><Relationship Id="rId2" Type="http://schemas.openxmlformats.org/officeDocument/2006/relationships/hyperlink" Target="#'Cover Page'!A1"/><Relationship Id="rId1" Type="http://schemas.openxmlformats.org/officeDocument/2006/relationships/hyperlink" Target="#Capa!A1"/></Relationships>
</file>

<file path=xl/drawings/_rels/drawing104.xml.rels><?xml version="1.0" encoding="UTF-8" standalone="yes"?>
<Relationships xmlns="http://schemas.openxmlformats.org/package/2006/relationships"><Relationship Id="rId2" Type="http://schemas.openxmlformats.org/officeDocument/2006/relationships/hyperlink" Target="#'Cover Page'!A1"/><Relationship Id="rId1" Type="http://schemas.openxmlformats.org/officeDocument/2006/relationships/hyperlink" Target="#Capa!A1"/></Relationships>
</file>

<file path=xl/drawings/_rels/drawing105.xml.rels><?xml version="1.0" encoding="UTF-8" standalone="yes"?>
<Relationships xmlns="http://schemas.openxmlformats.org/package/2006/relationships"><Relationship Id="rId2" Type="http://schemas.openxmlformats.org/officeDocument/2006/relationships/hyperlink" Target="#'Cover Page'!A1"/><Relationship Id="rId1" Type="http://schemas.openxmlformats.org/officeDocument/2006/relationships/hyperlink" Target="#Cap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22412</xdr:colOff>
      <xdr:row>0</xdr:row>
      <xdr:rowOff>89646</xdr:rowOff>
    </xdr:from>
    <xdr:to>
      <xdr:col>4</xdr:col>
      <xdr:colOff>359123</xdr:colOff>
      <xdr:row>2</xdr:row>
      <xdr:rowOff>149916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F1930A68-D320-43BD-8B7C-7148EFE56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27530" y="89646"/>
          <a:ext cx="1873597" cy="4188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526677</xdr:colOff>
      <xdr:row>0</xdr:row>
      <xdr:rowOff>100854</xdr:rowOff>
    </xdr:from>
    <xdr:to>
      <xdr:col>3</xdr:col>
      <xdr:colOff>495274</xdr:colOff>
      <xdr:row>2</xdr:row>
      <xdr:rowOff>172554</xdr:rowOff>
    </xdr:to>
    <xdr:pic>
      <xdr:nvPicPr>
        <xdr:cNvPr id="3" name="Gráfico 2">
          <a:extLst>
            <a:ext uri="{FF2B5EF4-FFF2-40B4-BE49-F238E27FC236}">
              <a16:creationId xmlns:a16="http://schemas.microsoft.com/office/drawing/2014/main" id="{45489E87-4955-49E1-ACA8-EADCC9AC3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26677" y="100854"/>
          <a:ext cx="1873597" cy="4188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2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438275" y="20097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Standard Income</a:t>
          </a:r>
          <a:r>
            <a:rPr lang="pt-BR" sz="1100" b="1" baseline="0"/>
            <a:t> Statement</a:t>
          </a:r>
          <a:endParaRPr lang="pt-BR" sz="1100" b="1"/>
        </a:p>
      </xdr:txBody>
    </xdr:sp>
    <xdr:clientData/>
  </xdr:twoCellAnchor>
  <xdr:twoCellAnchor>
    <xdr:from>
      <xdr:col>3</xdr:col>
      <xdr:colOff>114300</xdr:colOff>
      <xdr:row>11</xdr:row>
      <xdr:rowOff>66675</xdr:rowOff>
    </xdr:from>
    <xdr:to>
      <xdr:col>6</xdr:col>
      <xdr:colOff>476250</xdr:colOff>
      <xdr:row>13</xdr:row>
      <xdr:rowOff>22225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1438275" y="24828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P&amp;L</a:t>
          </a:r>
          <a:r>
            <a:rPr lang="pt-BR" sz="1100" b="1" baseline="0"/>
            <a:t> Statement</a:t>
          </a:r>
          <a:endParaRPr lang="pt-BR" sz="1100" b="1"/>
        </a:p>
      </xdr:txBody>
    </xdr:sp>
    <xdr:clientData/>
  </xdr:twoCellAnchor>
  <xdr:twoCellAnchor>
    <xdr:from>
      <xdr:col>3</xdr:col>
      <xdr:colOff>114300</xdr:colOff>
      <xdr:row>16</xdr:row>
      <xdr:rowOff>80220</xdr:rowOff>
    </xdr:from>
    <xdr:to>
      <xdr:col>6</xdr:col>
      <xdr:colOff>476250</xdr:colOff>
      <xdr:row>18</xdr:row>
      <xdr:rowOff>34275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438275" y="3407620"/>
          <a:ext cx="2190750" cy="30965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Balance Sheet</a:t>
          </a:r>
        </a:p>
      </xdr:txBody>
    </xdr:sp>
    <xdr:clientData/>
  </xdr:twoCellAnchor>
  <xdr:twoCellAnchor>
    <xdr:from>
      <xdr:col>3</xdr:col>
      <xdr:colOff>114300</xdr:colOff>
      <xdr:row>21</xdr:row>
      <xdr:rowOff>87041</xdr:rowOff>
    </xdr:from>
    <xdr:to>
      <xdr:col>6</xdr:col>
      <xdr:colOff>476250</xdr:colOff>
      <xdr:row>23</xdr:row>
      <xdr:rowOff>48942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1438275" y="4312966"/>
          <a:ext cx="2190750" cy="323851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Debt and</a:t>
          </a:r>
          <a:r>
            <a:rPr lang="pt-BR" sz="1100" b="1" baseline="0"/>
            <a:t> Capex Information</a:t>
          </a:r>
          <a:endParaRPr lang="pt-BR" sz="1100" b="1"/>
        </a:p>
      </xdr:txBody>
    </xdr:sp>
    <xdr:clientData/>
  </xdr:twoCellAnchor>
  <xdr:twoCellAnchor>
    <xdr:from>
      <xdr:col>8</xdr:col>
      <xdr:colOff>69850</xdr:colOff>
      <xdr:row>8</xdr:row>
      <xdr:rowOff>133350</xdr:rowOff>
    </xdr:from>
    <xdr:to>
      <xdr:col>11</xdr:col>
      <xdr:colOff>431800</xdr:colOff>
      <xdr:row>10</xdr:row>
      <xdr:rowOff>88900</xdr:rowOff>
    </xdr:to>
    <xdr:sp macro="" textlink="">
      <xdr:nvSpPr>
        <xdr:cNvPr id="6" name="Retângulo: Cantos Arredondado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4038600" y="20097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Operational</a:t>
          </a:r>
          <a:r>
            <a:rPr lang="pt-BR" sz="1100" b="1" baseline="0"/>
            <a:t> Sheet</a:t>
          </a:r>
        </a:p>
      </xdr:txBody>
    </xdr:sp>
    <xdr:clientData/>
  </xdr:twoCellAnchor>
  <xdr:twoCellAnchor>
    <xdr:from>
      <xdr:col>13</xdr:col>
      <xdr:colOff>92214</xdr:colOff>
      <xdr:row>8</xdr:row>
      <xdr:rowOff>127000</xdr:rowOff>
    </xdr:from>
    <xdr:to>
      <xdr:col>16</xdr:col>
      <xdr:colOff>454164</xdr:colOff>
      <xdr:row>10</xdr:row>
      <xdr:rowOff>82550</xdr:rowOff>
    </xdr:to>
    <xdr:sp macro="" textlink="">
      <xdr:nvSpPr>
        <xdr:cNvPr id="7" name="Retângulo: Cantos Arredondado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6712089" y="20002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Regulatory</a:t>
          </a:r>
          <a:r>
            <a:rPr lang="pt-BR" sz="1100" b="1" baseline="0"/>
            <a:t> Sheet</a:t>
          </a:r>
          <a:endParaRPr lang="pt-BR" sz="1100" b="1"/>
        </a:p>
      </xdr:txBody>
    </xdr:sp>
    <xdr:clientData/>
  </xdr:twoCellAnchor>
  <xdr:twoCellAnchor>
    <xdr:from>
      <xdr:col>3</xdr:col>
      <xdr:colOff>113926</xdr:colOff>
      <xdr:row>24</xdr:row>
      <xdr:rowOff>11825</xdr:rowOff>
    </xdr:from>
    <xdr:to>
      <xdr:col>6</xdr:col>
      <xdr:colOff>475876</xdr:colOff>
      <xdr:row>25</xdr:row>
      <xdr:rowOff>153580</xdr:rowOff>
    </xdr:to>
    <xdr:sp macro="" textlink="">
      <xdr:nvSpPr>
        <xdr:cNvPr id="8" name="Retângulo: Cantos Arredondados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1437901" y="4780675"/>
          <a:ext cx="2190750" cy="32590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Parcel A (CVA)</a:t>
          </a:r>
          <a:r>
            <a:rPr lang="pt-BR" sz="1100" b="1" baseline="0"/>
            <a:t> Balance Sheet</a:t>
          </a:r>
          <a:endParaRPr lang="pt-BR" sz="1100" b="1"/>
        </a:p>
      </xdr:txBody>
    </xdr:sp>
    <xdr:clientData/>
  </xdr:twoCellAnchor>
  <xdr:twoCellAnchor>
    <xdr:from>
      <xdr:col>3</xdr:col>
      <xdr:colOff>113926</xdr:colOff>
      <xdr:row>26</xdr:row>
      <xdr:rowOff>116463</xdr:rowOff>
    </xdr:from>
    <xdr:to>
      <xdr:col>6</xdr:col>
      <xdr:colOff>475876</xdr:colOff>
      <xdr:row>28</xdr:row>
      <xdr:rowOff>98533</xdr:rowOff>
    </xdr:to>
    <xdr:sp macro="" textlink="">
      <xdr:nvSpPr>
        <xdr:cNvPr id="9" name="Retângulo: Cantos Arredondados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1437901" y="5250438"/>
          <a:ext cx="2190750" cy="34719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CCC P&amp;L Statement</a:t>
          </a:r>
        </a:p>
      </xdr:txBody>
    </xdr:sp>
    <xdr:clientData/>
  </xdr:twoCellAnchor>
  <xdr:twoCellAnchor>
    <xdr:from>
      <xdr:col>3</xdr:col>
      <xdr:colOff>113926</xdr:colOff>
      <xdr:row>29</xdr:row>
      <xdr:rowOff>61416</xdr:rowOff>
    </xdr:from>
    <xdr:to>
      <xdr:col>6</xdr:col>
      <xdr:colOff>475876</xdr:colOff>
      <xdr:row>31</xdr:row>
      <xdr:rowOff>26492</xdr:rowOff>
    </xdr:to>
    <xdr:sp macro="" textlink="">
      <xdr:nvSpPr>
        <xdr:cNvPr id="10" name="Retângulo: Cantos Arredondados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1437901" y="5741491"/>
          <a:ext cx="2190750" cy="327026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Income Taxes</a:t>
          </a:r>
        </a:p>
      </xdr:txBody>
    </xdr:sp>
    <xdr:clientData/>
  </xdr:twoCellAnchor>
  <xdr:twoCellAnchor>
    <xdr:from>
      <xdr:col>3</xdr:col>
      <xdr:colOff>106642</xdr:colOff>
      <xdr:row>13</xdr:row>
      <xdr:rowOff>167577</xdr:rowOff>
    </xdr:from>
    <xdr:to>
      <xdr:col>6</xdr:col>
      <xdr:colOff>468592</xdr:colOff>
      <xdr:row>15</xdr:row>
      <xdr:rowOff>117337</xdr:rowOff>
    </xdr:to>
    <xdr:sp macro="" textlink="">
      <xdr:nvSpPr>
        <xdr:cNvPr id="11" name="Retângulo: Cantos Arredondados 1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1427442" y="2945702"/>
          <a:ext cx="2190750" cy="31488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Adjusted Financial</a:t>
          </a:r>
          <a:r>
            <a:rPr lang="pt-BR" sz="1100" b="1" baseline="0"/>
            <a:t> Information</a:t>
          </a:r>
          <a:endParaRPr lang="pt-BR" sz="1100" b="1"/>
        </a:p>
      </xdr:txBody>
    </xdr:sp>
    <xdr:clientData/>
  </xdr:twoCellAnchor>
  <xdr:twoCellAnchor>
    <xdr:from>
      <xdr:col>3</xdr:col>
      <xdr:colOff>136337</xdr:colOff>
      <xdr:row>31</xdr:row>
      <xdr:rowOff>168669</xdr:rowOff>
    </xdr:from>
    <xdr:to>
      <xdr:col>6</xdr:col>
      <xdr:colOff>498287</xdr:colOff>
      <xdr:row>33</xdr:row>
      <xdr:rowOff>92469</xdr:rowOff>
    </xdr:to>
    <xdr:sp macro="" textlink="">
      <xdr:nvSpPr>
        <xdr:cNvPr id="12" name="Retângulo: Cantos Arredondados 2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1460312" y="6207519"/>
          <a:ext cx="2190750" cy="2857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Fiscal Benefits</a:t>
          </a:r>
        </a:p>
      </xdr:txBody>
    </xdr:sp>
    <xdr:clientData/>
  </xdr:twoCellAnchor>
  <xdr:twoCellAnchor>
    <xdr:from>
      <xdr:col>3</xdr:col>
      <xdr:colOff>132602</xdr:colOff>
      <xdr:row>34</xdr:row>
      <xdr:rowOff>55352</xdr:rowOff>
    </xdr:from>
    <xdr:to>
      <xdr:col>6</xdr:col>
      <xdr:colOff>494552</xdr:colOff>
      <xdr:row>36</xdr:row>
      <xdr:rowOff>9407</xdr:rowOff>
    </xdr:to>
    <xdr:sp macro="" textlink="">
      <xdr:nvSpPr>
        <xdr:cNvPr id="13" name="Retângulo: Cantos Arredondados 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1456577" y="6637127"/>
          <a:ext cx="2190750" cy="31918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Preferred Shares</a:t>
          </a:r>
          <a:endParaRPr lang="pt-BR" sz="1100" b="1"/>
        </a:p>
      </xdr:txBody>
    </xdr:sp>
    <xdr:clientData/>
  </xdr:twoCellAnchor>
  <xdr:twoCellAnchor>
    <xdr:from>
      <xdr:col>3</xdr:col>
      <xdr:colOff>125207</xdr:colOff>
      <xdr:row>36</xdr:row>
      <xdr:rowOff>151581</xdr:rowOff>
    </xdr:from>
    <xdr:to>
      <xdr:col>6</xdr:col>
      <xdr:colOff>477632</xdr:colOff>
      <xdr:row>38</xdr:row>
      <xdr:rowOff>123417</xdr:rowOff>
    </xdr:to>
    <xdr:sp macro="" textlink="">
      <xdr:nvSpPr>
        <xdr:cNvPr id="15" name="Retângulo: Cantos Arredondados 1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1446007" y="7095306"/>
          <a:ext cx="2184400" cy="336961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Gross Margin - Earnings</a:t>
          </a:r>
          <a:r>
            <a:rPr lang="en-US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Release</a:t>
          </a:r>
          <a:r>
            <a:rPr lang="en-US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Layout</a:t>
          </a:r>
          <a:endParaRPr lang="pt-BR" sz="1100" b="1"/>
        </a:p>
      </xdr:txBody>
    </xdr:sp>
    <xdr:clientData/>
  </xdr:twoCellAnchor>
  <xdr:twoCellAnchor>
    <xdr:from>
      <xdr:col>3</xdr:col>
      <xdr:colOff>125506</xdr:colOff>
      <xdr:row>18</xdr:row>
      <xdr:rowOff>176452</xdr:rowOff>
    </xdr:from>
    <xdr:to>
      <xdr:col>6</xdr:col>
      <xdr:colOff>487456</xdr:colOff>
      <xdr:row>20</xdr:row>
      <xdr:rowOff>124158</xdr:rowOff>
    </xdr:to>
    <xdr:sp macro="" textlink="">
      <xdr:nvSpPr>
        <xdr:cNvPr id="16" name="Retângulo: Cantos Arredondados 15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1446306" y="3865802"/>
          <a:ext cx="2190750" cy="303306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CF Statement</a:t>
          </a:r>
          <a:r>
            <a:rPr lang="pt-BR" sz="1100" b="1" baseline="0"/>
            <a:t> - Indirect Method</a:t>
          </a:r>
          <a:endParaRPr lang="pt-BR" sz="1100" b="1"/>
        </a:p>
      </xdr:txBody>
    </xdr:sp>
    <xdr:clientData/>
  </xdr:twoCellAnchor>
  <xdr:twoCellAnchor editAs="oneCell">
    <xdr:from>
      <xdr:col>1</xdr:col>
      <xdr:colOff>73958</xdr:colOff>
      <xdr:row>0</xdr:row>
      <xdr:rowOff>58270</xdr:rowOff>
    </xdr:from>
    <xdr:to>
      <xdr:col>5</xdr:col>
      <xdr:colOff>35495</xdr:colOff>
      <xdr:row>2</xdr:row>
      <xdr:rowOff>118540</xdr:rowOff>
    </xdr:to>
    <xdr:pic>
      <xdr:nvPicPr>
        <xdr:cNvPr id="17" name="Gráfico 16">
          <a:extLst>
            <a:ext uri="{FF2B5EF4-FFF2-40B4-BE49-F238E27FC236}">
              <a16:creationId xmlns:a16="http://schemas.microsoft.com/office/drawing/2014/main" id="{76C9427B-E912-4E90-A9A0-22ED375C9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683558" y="58270"/>
          <a:ext cx="1888949" cy="4188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11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1428750" y="203200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DRE ITRs</a:t>
          </a:r>
        </a:p>
      </xdr:txBody>
    </xdr:sp>
    <xdr:clientData/>
  </xdr:twoCellAnchor>
  <xdr:twoCellAnchor>
    <xdr:from>
      <xdr:col>3</xdr:col>
      <xdr:colOff>114300</xdr:colOff>
      <xdr:row>11</xdr:row>
      <xdr:rowOff>66675</xdr:rowOff>
    </xdr:from>
    <xdr:to>
      <xdr:col>6</xdr:col>
      <xdr:colOff>476250</xdr:colOff>
      <xdr:row>13</xdr:row>
      <xdr:rowOff>22225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428750" y="251777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DRE Resumida</a:t>
          </a:r>
        </a:p>
      </xdr:txBody>
    </xdr:sp>
    <xdr:clientData/>
  </xdr:twoCellAnchor>
  <xdr:twoCellAnchor>
    <xdr:from>
      <xdr:col>3</xdr:col>
      <xdr:colOff>114300</xdr:colOff>
      <xdr:row>16</xdr:row>
      <xdr:rowOff>80220</xdr:rowOff>
    </xdr:from>
    <xdr:to>
      <xdr:col>6</xdr:col>
      <xdr:colOff>476250</xdr:colOff>
      <xdr:row>18</xdr:row>
      <xdr:rowOff>34275</xdr:rowOff>
    </xdr:to>
    <xdr:sp macro="" textlink="">
      <xdr:nvSpPr>
        <xdr:cNvPr id="5" name="Retângulo: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1425388" y="3385955"/>
          <a:ext cx="2177303" cy="312644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Balanços Patrimoniais</a:t>
          </a:r>
        </a:p>
      </xdr:txBody>
    </xdr:sp>
    <xdr:clientData/>
  </xdr:twoCellAnchor>
  <xdr:twoCellAnchor>
    <xdr:from>
      <xdr:col>3</xdr:col>
      <xdr:colOff>114300</xdr:colOff>
      <xdr:row>21</xdr:row>
      <xdr:rowOff>87041</xdr:rowOff>
    </xdr:from>
    <xdr:to>
      <xdr:col>6</xdr:col>
      <xdr:colOff>476250</xdr:colOff>
      <xdr:row>23</xdr:row>
      <xdr:rowOff>48942</xdr:rowOff>
    </xdr:to>
    <xdr:sp macro="" textlink="">
      <xdr:nvSpPr>
        <xdr:cNvPr id="6" name="Retângulo: Cantos Arredondado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1425388" y="4289247"/>
          <a:ext cx="2177303" cy="32048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Dívida e CAPEX</a:t>
          </a:r>
        </a:p>
      </xdr:txBody>
    </xdr:sp>
    <xdr:clientData/>
  </xdr:twoCellAnchor>
  <xdr:twoCellAnchor>
    <xdr:from>
      <xdr:col>8</xdr:col>
      <xdr:colOff>69850</xdr:colOff>
      <xdr:row>8</xdr:row>
      <xdr:rowOff>133350</xdr:rowOff>
    </xdr:from>
    <xdr:to>
      <xdr:col>11</xdr:col>
      <xdr:colOff>431800</xdr:colOff>
      <xdr:row>10</xdr:row>
      <xdr:rowOff>88900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4432300" y="203200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Operacional</a:t>
          </a:r>
        </a:p>
      </xdr:txBody>
    </xdr:sp>
    <xdr:clientData/>
  </xdr:twoCellAnchor>
  <xdr:twoCellAnchor>
    <xdr:from>
      <xdr:col>13</xdr:col>
      <xdr:colOff>92214</xdr:colOff>
      <xdr:row>8</xdr:row>
      <xdr:rowOff>127000</xdr:rowOff>
    </xdr:from>
    <xdr:to>
      <xdr:col>16</xdr:col>
      <xdr:colOff>454164</xdr:colOff>
      <xdr:row>10</xdr:row>
      <xdr:rowOff>82550</xdr:rowOff>
    </xdr:to>
    <xdr:sp macro="" textlink="">
      <xdr:nvSpPr>
        <xdr:cNvPr id="24" name="Retângulo: Cantos Arredondados 2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>
          <a:off x="7474779" y="2015435"/>
          <a:ext cx="2184124" cy="31998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Dados Regulatórios</a:t>
          </a:r>
        </a:p>
      </xdr:txBody>
    </xdr:sp>
    <xdr:clientData/>
  </xdr:twoCellAnchor>
  <xdr:twoCellAnchor>
    <xdr:from>
      <xdr:col>3</xdr:col>
      <xdr:colOff>113926</xdr:colOff>
      <xdr:row>24</xdr:row>
      <xdr:rowOff>11825</xdr:rowOff>
    </xdr:from>
    <xdr:to>
      <xdr:col>6</xdr:col>
      <xdr:colOff>475876</xdr:colOff>
      <xdr:row>25</xdr:row>
      <xdr:rowOff>153580</xdr:rowOff>
    </xdr:to>
    <xdr:sp macro="" textlink="">
      <xdr:nvSpPr>
        <xdr:cNvPr id="7" name="Retângulo: Cantos Arredondados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1425014" y="4751913"/>
          <a:ext cx="2177303" cy="32104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Balanço CVA</a:t>
          </a:r>
        </a:p>
      </xdr:txBody>
    </xdr:sp>
    <xdr:clientData/>
  </xdr:twoCellAnchor>
  <xdr:twoCellAnchor>
    <xdr:from>
      <xdr:col>3</xdr:col>
      <xdr:colOff>113926</xdr:colOff>
      <xdr:row>26</xdr:row>
      <xdr:rowOff>116463</xdr:rowOff>
    </xdr:from>
    <xdr:to>
      <xdr:col>6</xdr:col>
      <xdr:colOff>475876</xdr:colOff>
      <xdr:row>28</xdr:row>
      <xdr:rowOff>98533</xdr:rowOff>
    </xdr:to>
    <xdr:sp macro="" textlink="">
      <xdr:nvSpPr>
        <xdr:cNvPr id="8" name="Retângulo: Cantos Arredondados 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1425014" y="5215139"/>
          <a:ext cx="2177303" cy="34065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Sistemas Isolados</a:t>
          </a:r>
        </a:p>
      </xdr:txBody>
    </xdr:sp>
    <xdr:clientData/>
  </xdr:twoCellAnchor>
  <xdr:twoCellAnchor>
    <xdr:from>
      <xdr:col>3</xdr:col>
      <xdr:colOff>113926</xdr:colOff>
      <xdr:row>29</xdr:row>
      <xdr:rowOff>61416</xdr:rowOff>
    </xdr:from>
    <xdr:to>
      <xdr:col>6</xdr:col>
      <xdr:colOff>475876</xdr:colOff>
      <xdr:row>31</xdr:row>
      <xdr:rowOff>26492</xdr:rowOff>
    </xdr:to>
    <xdr:sp macro="" textlink="">
      <xdr:nvSpPr>
        <xdr:cNvPr id="9" name="Retângulo: Cantos Arredondados 1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1425014" y="5697975"/>
          <a:ext cx="2177303" cy="323664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Apuração IR e CSLL</a:t>
          </a:r>
        </a:p>
      </xdr:txBody>
    </xdr:sp>
    <xdr:clientData/>
  </xdr:twoCellAnchor>
  <xdr:twoCellAnchor>
    <xdr:from>
      <xdr:col>3</xdr:col>
      <xdr:colOff>106642</xdr:colOff>
      <xdr:row>13</xdr:row>
      <xdr:rowOff>167577</xdr:rowOff>
    </xdr:from>
    <xdr:to>
      <xdr:col>6</xdr:col>
      <xdr:colOff>468592</xdr:colOff>
      <xdr:row>15</xdr:row>
      <xdr:rowOff>117337</xdr:rowOff>
    </xdr:to>
    <xdr:sp macro="" textlink="">
      <xdr:nvSpPr>
        <xdr:cNvPr id="2" name="Retângulo: Cantos Arredondados 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417730" y="2935430"/>
          <a:ext cx="2177303" cy="30834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Informações Fin. Ajustadas</a:t>
          </a:r>
        </a:p>
      </xdr:txBody>
    </xdr:sp>
    <xdr:clientData/>
  </xdr:twoCellAnchor>
  <xdr:twoCellAnchor>
    <xdr:from>
      <xdr:col>3</xdr:col>
      <xdr:colOff>136337</xdr:colOff>
      <xdr:row>31</xdr:row>
      <xdr:rowOff>168669</xdr:rowOff>
    </xdr:from>
    <xdr:to>
      <xdr:col>6</xdr:col>
      <xdr:colOff>498287</xdr:colOff>
      <xdr:row>33</xdr:row>
      <xdr:rowOff>92469</xdr:rowOff>
    </xdr:to>
    <xdr:sp macro="" textlink="">
      <xdr:nvSpPr>
        <xdr:cNvPr id="15" name="Retângulo: Cantos Arredondados 2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/>
      </xdr:nvSpPr>
      <xdr:spPr>
        <a:xfrm>
          <a:off x="1447425" y="6163816"/>
          <a:ext cx="2177303" cy="28238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Benefícios Fiscais</a:t>
          </a:r>
        </a:p>
      </xdr:txBody>
    </xdr:sp>
    <xdr:clientData/>
  </xdr:twoCellAnchor>
  <xdr:twoCellAnchor>
    <xdr:from>
      <xdr:col>3</xdr:col>
      <xdr:colOff>132602</xdr:colOff>
      <xdr:row>34</xdr:row>
      <xdr:rowOff>55352</xdr:rowOff>
    </xdr:from>
    <xdr:to>
      <xdr:col>6</xdr:col>
      <xdr:colOff>494552</xdr:colOff>
      <xdr:row>36</xdr:row>
      <xdr:rowOff>9407</xdr:rowOff>
    </xdr:to>
    <xdr:sp macro="" textlink="">
      <xdr:nvSpPr>
        <xdr:cNvPr id="14" name="Retângulo: Cantos Arredondados 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1443690" y="6588381"/>
          <a:ext cx="2177303" cy="312644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Fluxo Ações Preferenciais</a:t>
          </a:r>
          <a:endParaRPr lang="pt-BR" sz="1100" b="1"/>
        </a:p>
      </xdr:txBody>
    </xdr:sp>
    <xdr:clientData/>
  </xdr:twoCellAnchor>
  <xdr:twoCellAnchor>
    <xdr:from>
      <xdr:col>3</xdr:col>
      <xdr:colOff>127112</xdr:colOff>
      <xdr:row>36</xdr:row>
      <xdr:rowOff>151581</xdr:rowOff>
    </xdr:from>
    <xdr:to>
      <xdr:col>6</xdr:col>
      <xdr:colOff>473822</xdr:colOff>
      <xdr:row>38</xdr:row>
      <xdr:rowOff>125322</xdr:rowOff>
    </xdr:to>
    <xdr:sp macro="" textlink="">
      <xdr:nvSpPr>
        <xdr:cNvPr id="3" name="Retângulo: Cantos Arredondados 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444924" y="7045440"/>
          <a:ext cx="2175510" cy="33232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Tabela Margem Bruta - Release</a:t>
          </a:r>
          <a:endParaRPr lang="pt-BR" sz="1100" b="1"/>
        </a:p>
      </xdr:txBody>
    </xdr:sp>
    <xdr:clientData/>
  </xdr:twoCellAnchor>
  <xdr:twoCellAnchor>
    <xdr:from>
      <xdr:col>3</xdr:col>
      <xdr:colOff>125506</xdr:colOff>
      <xdr:row>18</xdr:row>
      <xdr:rowOff>176452</xdr:rowOff>
    </xdr:from>
    <xdr:to>
      <xdr:col>6</xdr:col>
      <xdr:colOff>487456</xdr:colOff>
      <xdr:row>20</xdr:row>
      <xdr:rowOff>124158</xdr:rowOff>
    </xdr:to>
    <xdr:sp macro="" textlink="">
      <xdr:nvSpPr>
        <xdr:cNvPr id="12" name="Retângulo: Cantos Arredondados 1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1436594" y="3840776"/>
          <a:ext cx="2177303" cy="306294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Fluxos</a:t>
          </a:r>
          <a:r>
            <a:rPr lang="pt-BR" sz="1100" b="1" baseline="0"/>
            <a:t> de Caixa Indireto</a:t>
          </a:r>
          <a:endParaRPr lang="pt-BR" sz="1100" b="1"/>
        </a:p>
      </xdr:txBody>
    </xdr:sp>
    <xdr:clientData/>
  </xdr:twoCellAnchor>
  <xdr:twoCellAnchor editAs="oneCell">
    <xdr:from>
      <xdr:col>1</xdr:col>
      <xdr:colOff>11724</xdr:colOff>
      <xdr:row>0</xdr:row>
      <xdr:rowOff>94768</xdr:rowOff>
    </xdr:from>
    <xdr:to>
      <xdr:col>4</xdr:col>
      <xdr:colOff>572231</xdr:colOff>
      <xdr:row>2</xdr:row>
      <xdr:rowOff>152220</xdr:rowOff>
    </xdr:to>
    <xdr:pic>
      <xdr:nvPicPr>
        <xdr:cNvPr id="23" name="Gráfico 22">
          <a:extLst>
            <a:ext uri="{FF2B5EF4-FFF2-40B4-BE49-F238E27FC236}">
              <a16:creationId xmlns:a16="http://schemas.microsoft.com/office/drawing/2014/main" id="{FB1A52D6-71CB-F97D-B22E-AB4199C8E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96DAC541-7B7A-43D3-8B79-37D633B846F1}">
              <asvg:svgBlip xmlns:asvg="http://schemas.microsoft.com/office/drawing/2016/SVG/main" r:embed="rId16"/>
            </a:ext>
          </a:extLst>
        </a:blip>
        <a:stretch>
          <a:fillRect/>
        </a:stretch>
      </xdr:blipFill>
      <xdr:spPr>
        <a:xfrm>
          <a:off x="621324" y="94768"/>
          <a:ext cx="1874957" cy="41940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8</xdr:row>
      <xdr:rowOff>133350</xdr:rowOff>
    </xdr:from>
    <xdr:to>
      <xdr:col>9</xdr:col>
      <xdr:colOff>476250</xdr:colOff>
      <xdr:row>10</xdr:row>
      <xdr:rowOff>88900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1428750" y="203200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Mercado Pré CP 09</a:t>
          </a:r>
        </a:p>
      </xdr:txBody>
    </xdr:sp>
    <xdr:clientData/>
  </xdr:twoCellAnchor>
  <xdr:twoCellAnchor>
    <xdr:from>
      <xdr:col>6</xdr:col>
      <xdr:colOff>103094</xdr:colOff>
      <xdr:row>13</xdr:row>
      <xdr:rowOff>85278</xdr:rowOff>
    </xdr:from>
    <xdr:to>
      <xdr:col>9</xdr:col>
      <xdr:colOff>465044</xdr:colOff>
      <xdr:row>15</xdr:row>
      <xdr:rowOff>44638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3476065" y="2853131"/>
          <a:ext cx="2177303" cy="31794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Bal. Energético Pré CP 09</a:t>
          </a:r>
        </a:p>
      </xdr:txBody>
    </xdr:sp>
    <xdr:clientData/>
  </xdr:twoCellAnchor>
  <xdr:twoCellAnchor>
    <xdr:from>
      <xdr:col>6</xdr:col>
      <xdr:colOff>116205</xdr:colOff>
      <xdr:row>18</xdr:row>
      <xdr:rowOff>40716</xdr:rowOff>
    </xdr:from>
    <xdr:to>
      <xdr:col>9</xdr:col>
      <xdr:colOff>472440</xdr:colOff>
      <xdr:row>19</xdr:row>
      <xdr:rowOff>151417</xdr:rowOff>
    </xdr:to>
    <xdr:sp macro="" textlink="">
      <xdr:nvSpPr>
        <xdr:cNvPr id="5" name="Retângulo: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3489176" y="3705040"/>
          <a:ext cx="2171588" cy="28999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Perdas</a:t>
          </a:r>
          <a:r>
            <a:rPr lang="pt-BR" sz="1100" b="1" baseline="0"/>
            <a:t> Pré CP 09</a:t>
          </a:r>
          <a:endParaRPr lang="pt-BR" sz="1100" b="1"/>
        </a:p>
      </xdr:txBody>
    </xdr:sp>
    <xdr:clientData/>
  </xdr:twoCellAnchor>
  <xdr:twoCellAnchor>
    <xdr:from>
      <xdr:col>6</xdr:col>
      <xdr:colOff>99284</xdr:colOff>
      <xdr:row>27</xdr:row>
      <xdr:rowOff>7142</xdr:rowOff>
    </xdr:from>
    <xdr:to>
      <xdr:col>9</xdr:col>
      <xdr:colOff>468854</xdr:colOff>
      <xdr:row>28</xdr:row>
      <xdr:rowOff>128667</xdr:rowOff>
    </xdr:to>
    <xdr:sp macro="" textlink="">
      <xdr:nvSpPr>
        <xdr:cNvPr id="7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3472255" y="5285113"/>
          <a:ext cx="2184923" cy="30081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Contratos</a:t>
          </a:r>
        </a:p>
      </xdr:txBody>
    </xdr:sp>
    <xdr:clientData/>
  </xdr:twoCellAnchor>
  <xdr:twoCellAnchor>
    <xdr:from>
      <xdr:col>12</xdr:col>
      <xdr:colOff>137037</xdr:colOff>
      <xdr:row>8</xdr:row>
      <xdr:rowOff>149410</xdr:rowOff>
    </xdr:from>
    <xdr:to>
      <xdr:col>15</xdr:col>
      <xdr:colOff>498987</xdr:colOff>
      <xdr:row>10</xdr:row>
      <xdr:rowOff>104960</xdr:rowOff>
    </xdr:to>
    <xdr:sp macro="" textlink="">
      <xdr:nvSpPr>
        <xdr:cNvPr id="12" name="Retângulo: Cantos Arredondados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4193566" y="2061881"/>
          <a:ext cx="2199715" cy="32907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</a:t>
          </a:r>
        </a:p>
      </xdr:txBody>
    </xdr:sp>
    <xdr:clientData/>
  </xdr:twoCellAnchor>
  <xdr:twoCellAnchor>
    <xdr:from>
      <xdr:col>17</xdr:col>
      <xdr:colOff>87732</xdr:colOff>
      <xdr:row>8</xdr:row>
      <xdr:rowOff>152400</xdr:rowOff>
    </xdr:from>
    <xdr:to>
      <xdr:col>20</xdr:col>
      <xdr:colOff>449682</xdr:colOff>
      <xdr:row>10</xdr:row>
      <xdr:rowOff>107950</xdr:rowOff>
    </xdr:to>
    <xdr:sp macro="" textlink="">
      <xdr:nvSpPr>
        <xdr:cNvPr id="15" name="Retângulo: Cantos Arredondados 1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9136482" y="20510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CSA</a:t>
          </a:r>
        </a:p>
      </xdr:txBody>
    </xdr:sp>
    <xdr:clientData/>
  </xdr:twoCellAnchor>
  <xdr:twoCellAnchor>
    <xdr:from>
      <xdr:col>3</xdr:col>
      <xdr:colOff>593912</xdr:colOff>
      <xdr:row>0</xdr:row>
      <xdr:rowOff>156882</xdr:rowOff>
    </xdr:from>
    <xdr:to>
      <xdr:col>7</xdr:col>
      <xdr:colOff>513033</xdr:colOff>
      <xdr:row>2</xdr:row>
      <xdr:rowOff>56724</xdr:rowOff>
    </xdr:to>
    <xdr:sp macro="" textlink="">
      <xdr:nvSpPr>
        <xdr:cNvPr id="8" name="Retângulo: Cantos Arredondados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2409265" y="156882"/>
          <a:ext cx="2081856" cy="25843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6</xdr:col>
      <xdr:colOff>110938</xdr:colOff>
      <xdr:row>11</xdr:row>
      <xdr:rowOff>26821</xdr:rowOff>
    </xdr:from>
    <xdr:to>
      <xdr:col>9</xdr:col>
      <xdr:colOff>476698</xdr:colOff>
      <xdr:row>12</xdr:row>
      <xdr:rowOff>169285</xdr:rowOff>
    </xdr:to>
    <xdr:sp macro="" textlink="">
      <xdr:nvSpPr>
        <xdr:cNvPr id="2" name="Retângulo: Cantos Arredondados 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2E5DB960-900A-4E6A-A991-9464DDA039E2}"/>
            </a:ext>
          </a:extLst>
        </xdr:cNvPr>
        <xdr:cNvSpPr/>
      </xdr:nvSpPr>
      <xdr:spPr>
        <a:xfrm>
          <a:off x="3483909" y="2436086"/>
          <a:ext cx="2181113" cy="32175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Mercado Pós CP 09</a:t>
          </a:r>
        </a:p>
      </xdr:txBody>
    </xdr:sp>
    <xdr:clientData/>
  </xdr:twoCellAnchor>
  <xdr:twoCellAnchor>
    <xdr:from>
      <xdr:col>6</xdr:col>
      <xdr:colOff>110378</xdr:colOff>
      <xdr:row>15</xdr:row>
      <xdr:rowOff>162708</xdr:rowOff>
    </xdr:from>
    <xdr:to>
      <xdr:col>9</xdr:col>
      <xdr:colOff>455183</xdr:colOff>
      <xdr:row>17</xdr:row>
      <xdr:rowOff>114447</xdr:rowOff>
    </xdr:to>
    <xdr:sp macro="" textlink="">
      <xdr:nvSpPr>
        <xdr:cNvPr id="9" name="Retângulo: Cantos Arredondados 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80F8696-FBE9-4B42-911C-93CEE4DAB298}"/>
            </a:ext>
          </a:extLst>
        </xdr:cNvPr>
        <xdr:cNvSpPr/>
      </xdr:nvSpPr>
      <xdr:spPr>
        <a:xfrm>
          <a:off x="3483349" y="3289149"/>
          <a:ext cx="2160158" cy="310327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Bal. Energético Pós CP 09</a:t>
          </a:r>
        </a:p>
      </xdr:txBody>
    </xdr:sp>
    <xdr:clientData/>
  </xdr:twoCellAnchor>
  <xdr:twoCellAnchor editAs="oneCell">
    <xdr:from>
      <xdr:col>0</xdr:col>
      <xdr:colOff>224118</xdr:colOff>
      <xdr:row>0</xdr:row>
      <xdr:rowOff>67235</xdr:rowOff>
    </xdr:from>
    <xdr:to>
      <xdr:col>3</xdr:col>
      <xdr:colOff>268930</xdr:colOff>
      <xdr:row>2</xdr:row>
      <xdr:rowOff>130402</xdr:rowOff>
    </xdr:to>
    <xdr:pic>
      <xdr:nvPicPr>
        <xdr:cNvPr id="10" name="Gráfico 9">
          <a:extLst>
            <a:ext uri="{FF2B5EF4-FFF2-40B4-BE49-F238E27FC236}">
              <a16:creationId xmlns:a16="http://schemas.microsoft.com/office/drawing/2014/main" id="{15B642BD-304A-4BA2-BB60-F2924823E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>
          <a:off x="224118" y="67235"/>
          <a:ext cx="1863975" cy="416040"/>
        </a:xfrm>
        <a:prstGeom prst="rect">
          <a:avLst/>
        </a:prstGeom>
      </xdr:spPr>
    </xdr:pic>
    <xdr:clientData/>
  </xdr:twoCellAnchor>
  <xdr:twoCellAnchor>
    <xdr:from>
      <xdr:col>6</xdr:col>
      <xdr:colOff>107912</xdr:colOff>
      <xdr:row>20</xdr:row>
      <xdr:rowOff>90359</xdr:rowOff>
    </xdr:from>
    <xdr:to>
      <xdr:col>9</xdr:col>
      <xdr:colOff>466052</xdr:colOff>
      <xdr:row>22</xdr:row>
      <xdr:rowOff>8431</xdr:rowOff>
    </xdr:to>
    <xdr:sp macro="" textlink="">
      <xdr:nvSpPr>
        <xdr:cNvPr id="14" name="Retângulo: Cantos Arredondados 13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A09B84E5-9C8C-4088-9DD9-EB54C67D2946}"/>
            </a:ext>
          </a:extLst>
        </xdr:cNvPr>
        <xdr:cNvSpPr/>
      </xdr:nvSpPr>
      <xdr:spPr>
        <a:xfrm>
          <a:off x="3480883" y="4113271"/>
          <a:ext cx="2173493" cy="27666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Perdas Pós CP 09</a:t>
          </a:r>
        </a:p>
      </xdr:txBody>
    </xdr:sp>
    <xdr:clientData/>
  </xdr:twoCellAnchor>
  <xdr:twoCellAnchor>
    <xdr:from>
      <xdr:col>1</xdr:col>
      <xdr:colOff>3697</xdr:colOff>
      <xdr:row>8</xdr:row>
      <xdr:rowOff>162523</xdr:rowOff>
    </xdr:from>
    <xdr:to>
      <xdr:col>5</xdr:col>
      <xdr:colOff>16360</xdr:colOff>
      <xdr:row>10</xdr:row>
      <xdr:rowOff>125693</xdr:rowOff>
    </xdr:to>
    <xdr:sp macro="" textlink="">
      <xdr:nvSpPr>
        <xdr:cNvPr id="16" name="Retângulo: Cantos Arredondados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8371D446-86A3-49EF-88AE-30216B48DCF5}"/>
            </a:ext>
          </a:extLst>
        </xdr:cNvPr>
        <xdr:cNvSpPr/>
      </xdr:nvSpPr>
      <xdr:spPr>
        <a:xfrm>
          <a:off x="608815" y="2033905"/>
          <a:ext cx="2175398" cy="32175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ESG</a:t>
          </a:r>
        </a:p>
      </xdr:txBody>
    </xdr:sp>
    <xdr:clientData/>
  </xdr:twoCellAnchor>
  <xdr:twoCellAnchor>
    <xdr:from>
      <xdr:col>6</xdr:col>
      <xdr:colOff>91889</xdr:colOff>
      <xdr:row>24</xdr:row>
      <xdr:rowOff>142957</xdr:rowOff>
    </xdr:from>
    <xdr:to>
      <xdr:col>9</xdr:col>
      <xdr:colOff>467174</xdr:colOff>
      <xdr:row>26</xdr:row>
      <xdr:rowOff>89000</xdr:rowOff>
    </xdr:to>
    <xdr:sp macro="" textlink="">
      <xdr:nvSpPr>
        <xdr:cNvPr id="18" name="Retângulo: Cantos Arredondados 1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8D1613D-C110-4E2B-8888-C8962735B6EA}"/>
            </a:ext>
          </a:extLst>
        </xdr:cNvPr>
        <xdr:cNvSpPr/>
      </xdr:nvSpPr>
      <xdr:spPr>
        <a:xfrm>
          <a:off x="3464860" y="4883045"/>
          <a:ext cx="2190638" cy="304631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DEC/FEC</a:t>
          </a:r>
        </a:p>
      </xdr:txBody>
    </xdr:sp>
    <xdr:clientData/>
  </xdr:twoCellAnchor>
  <xdr:twoCellAnchor>
    <xdr:from>
      <xdr:col>6</xdr:col>
      <xdr:colOff>89648</xdr:colOff>
      <xdr:row>22</xdr:row>
      <xdr:rowOff>113964</xdr:rowOff>
    </xdr:from>
    <xdr:to>
      <xdr:col>9</xdr:col>
      <xdr:colOff>472553</xdr:colOff>
      <xdr:row>24</xdr:row>
      <xdr:rowOff>50482</xdr:rowOff>
    </xdr:to>
    <xdr:sp macro="" textlink="">
      <xdr:nvSpPr>
        <xdr:cNvPr id="20" name="Retângulo: Cantos Arredondados 19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0F756C6-9D7D-E08C-092B-0F61F086D45A}"/>
            </a:ext>
          </a:extLst>
        </xdr:cNvPr>
        <xdr:cNvSpPr/>
      </xdr:nvSpPr>
      <xdr:spPr>
        <a:xfrm>
          <a:off x="3462619" y="4495464"/>
          <a:ext cx="2198258" cy="295106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IAR/PDD</a:t>
          </a:r>
        </a:p>
      </xdr:txBody>
    </xdr:sp>
    <xdr:clientData/>
  </xdr:twoCellAnchor>
  <xdr:twoCellAnchor>
    <xdr:from>
      <xdr:col>12</xdr:col>
      <xdr:colOff>134471</xdr:colOff>
      <xdr:row>11</xdr:row>
      <xdr:rowOff>44823</xdr:rowOff>
    </xdr:from>
    <xdr:to>
      <xdr:col>15</xdr:col>
      <xdr:colOff>496421</xdr:colOff>
      <xdr:row>13</xdr:row>
      <xdr:rowOff>373</xdr:rowOff>
    </xdr:to>
    <xdr:sp macro="" textlink="">
      <xdr:nvSpPr>
        <xdr:cNvPr id="6" name="Retângulo: Cantos Arredondados 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6C36698-FA94-45CD-B088-22BAB3B75C17}"/>
            </a:ext>
          </a:extLst>
        </xdr:cNvPr>
        <xdr:cNvSpPr/>
      </xdr:nvSpPr>
      <xdr:spPr>
        <a:xfrm>
          <a:off x="6239436" y="2456329"/>
          <a:ext cx="2190750" cy="31413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Portfolio Echoenergia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8</xdr:row>
      <xdr:rowOff>133350</xdr:rowOff>
    </xdr:from>
    <xdr:to>
      <xdr:col>10</xdr:col>
      <xdr:colOff>476250</xdr:colOff>
      <xdr:row>10</xdr:row>
      <xdr:rowOff>88900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438275" y="20097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Distributed</a:t>
          </a:r>
          <a:r>
            <a:rPr lang="pt-BR" sz="1100" b="1" baseline="0"/>
            <a:t> Energy Before CP09</a:t>
          </a:r>
          <a:endParaRPr lang="pt-BR" sz="1100" b="1"/>
        </a:p>
      </xdr:txBody>
    </xdr:sp>
    <xdr:clientData/>
  </xdr:twoCellAnchor>
  <xdr:twoCellAnchor>
    <xdr:from>
      <xdr:col>7</xdr:col>
      <xdr:colOff>114300</xdr:colOff>
      <xdr:row>13</xdr:row>
      <xdr:rowOff>125779</xdr:rowOff>
    </xdr:from>
    <xdr:to>
      <xdr:col>10</xdr:col>
      <xdr:colOff>476250</xdr:colOff>
      <xdr:row>15</xdr:row>
      <xdr:rowOff>52771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432112" y="2895873"/>
          <a:ext cx="2190750" cy="28558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Energy</a:t>
          </a:r>
          <a:r>
            <a:rPr lang="pt-BR" sz="1100" b="1" baseline="0"/>
            <a:t> Balance Before CP 09</a:t>
          </a:r>
          <a:endParaRPr lang="pt-BR" sz="1100" b="1"/>
        </a:p>
      </xdr:txBody>
    </xdr:sp>
    <xdr:clientData/>
  </xdr:twoCellAnchor>
  <xdr:twoCellAnchor>
    <xdr:from>
      <xdr:col>7</xdr:col>
      <xdr:colOff>114300</xdr:colOff>
      <xdr:row>18</xdr:row>
      <xdr:rowOff>53789</xdr:rowOff>
    </xdr:from>
    <xdr:to>
      <xdr:col>10</xdr:col>
      <xdr:colOff>476250</xdr:colOff>
      <xdr:row>20</xdr:row>
      <xdr:rowOff>14195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432112" y="3720354"/>
          <a:ext cx="2190750" cy="318994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Energy Losses Before CP 09</a:t>
          </a:r>
        </a:p>
      </xdr:txBody>
    </xdr:sp>
    <xdr:clientData/>
  </xdr:twoCellAnchor>
  <xdr:twoCellAnchor>
    <xdr:from>
      <xdr:col>7</xdr:col>
      <xdr:colOff>106904</xdr:colOff>
      <xdr:row>25</xdr:row>
      <xdr:rowOff>87332</xdr:rowOff>
    </xdr:from>
    <xdr:to>
      <xdr:col>10</xdr:col>
      <xdr:colOff>459329</xdr:colOff>
      <xdr:row>27</xdr:row>
      <xdr:rowOff>39072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3838463" y="5006714"/>
          <a:ext cx="2167778" cy="31032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SAIDI/SAIFI</a:t>
          </a:r>
        </a:p>
      </xdr:txBody>
    </xdr:sp>
    <xdr:clientData/>
  </xdr:twoCellAnchor>
  <xdr:twoCellAnchor>
    <xdr:from>
      <xdr:col>7</xdr:col>
      <xdr:colOff>106904</xdr:colOff>
      <xdr:row>28</xdr:row>
      <xdr:rowOff>32087</xdr:rowOff>
    </xdr:from>
    <xdr:to>
      <xdr:col>10</xdr:col>
      <xdr:colOff>459329</xdr:colOff>
      <xdr:row>29</xdr:row>
      <xdr:rowOff>172645</xdr:rowOff>
    </xdr:to>
    <xdr:sp macro="" textlink="">
      <xdr:nvSpPr>
        <xdr:cNvPr id="6" name="Retângulo: Cantos Arredondado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3838463" y="5489352"/>
          <a:ext cx="2167778" cy="319852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Contracted Energy</a:t>
          </a:r>
        </a:p>
      </xdr:txBody>
    </xdr:sp>
    <xdr:clientData/>
  </xdr:twoCellAnchor>
  <xdr:twoCellAnchor>
    <xdr:from>
      <xdr:col>13</xdr:col>
      <xdr:colOff>137037</xdr:colOff>
      <xdr:row>8</xdr:row>
      <xdr:rowOff>149410</xdr:rowOff>
    </xdr:from>
    <xdr:to>
      <xdr:col>16</xdr:col>
      <xdr:colOff>498987</xdr:colOff>
      <xdr:row>10</xdr:row>
      <xdr:rowOff>104960</xdr:rowOff>
    </xdr:to>
    <xdr:sp macro="" textlink="">
      <xdr:nvSpPr>
        <xdr:cNvPr id="7" name="Retângulo: Cantos Arredondado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4188337" y="202583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</a:t>
          </a:r>
        </a:p>
      </xdr:txBody>
    </xdr:sp>
    <xdr:clientData/>
  </xdr:twoCellAnchor>
  <xdr:twoCellAnchor>
    <xdr:from>
      <xdr:col>18</xdr:col>
      <xdr:colOff>87732</xdr:colOff>
      <xdr:row>8</xdr:row>
      <xdr:rowOff>152400</xdr:rowOff>
    </xdr:from>
    <xdr:to>
      <xdr:col>21</xdr:col>
      <xdr:colOff>449682</xdr:colOff>
      <xdr:row>10</xdr:row>
      <xdr:rowOff>107950</xdr:rowOff>
    </xdr:to>
    <xdr:sp macro="" textlink="">
      <xdr:nvSpPr>
        <xdr:cNvPr id="8" name="Retângulo: Cantos Arredondados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6713957" y="202882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CSA</a:t>
          </a:r>
        </a:p>
      </xdr:txBody>
    </xdr:sp>
    <xdr:clientData/>
  </xdr:twoCellAnchor>
  <xdr:twoCellAnchor>
    <xdr:from>
      <xdr:col>3</xdr:col>
      <xdr:colOff>338082</xdr:colOff>
      <xdr:row>0</xdr:row>
      <xdr:rowOff>169994</xdr:rowOff>
    </xdr:from>
    <xdr:to>
      <xdr:col>7</xdr:col>
      <xdr:colOff>498018</xdr:colOff>
      <xdr:row>2</xdr:row>
      <xdr:rowOff>64121</xdr:rowOff>
    </xdr:to>
    <xdr:sp macro="" textlink="">
      <xdr:nvSpPr>
        <xdr:cNvPr id="9" name="Retângulo: Cantos Arredondados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2153435" y="169994"/>
          <a:ext cx="2076142" cy="25271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7</xdr:col>
      <xdr:colOff>114301</xdr:colOff>
      <xdr:row>15</xdr:row>
      <xdr:rowOff>170602</xdr:rowOff>
    </xdr:from>
    <xdr:to>
      <xdr:col>10</xdr:col>
      <xdr:colOff>476251</xdr:colOff>
      <xdr:row>17</xdr:row>
      <xdr:rowOff>97593</xdr:rowOff>
    </xdr:to>
    <xdr:sp macro="" textlink="">
      <xdr:nvSpPr>
        <xdr:cNvPr id="11" name="Retângulo: Cantos Arredondados 1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E04A50E-3588-4756-B7DE-EA883435DAB9}"/>
            </a:ext>
          </a:extLst>
        </xdr:cNvPr>
        <xdr:cNvSpPr/>
      </xdr:nvSpPr>
      <xdr:spPr>
        <a:xfrm>
          <a:off x="1432113" y="3299284"/>
          <a:ext cx="2190750" cy="28558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Energy</a:t>
          </a:r>
          <a:r>
            <a:rPr lang="pt-BR" sz="1100" b="1" baseline="0"/>
            <a:t> Balance After CP 09</a:t>
          </a:r>
          <a:endParaRPr lang="pt-BR" sz="1100" b="1"/>
        </a:p>
      </xdr:txBody>
    </xdr:sp>
    <xdr:clientData/>
  </xdr:twoCellAnchor>
  <xdr:twoCellAnchor>
    <xdr:from>
      <xdr:col>7</xdr:col>
      <xdr:colOff>102534</xdr:colOff>
      <xdr:row>11</xdr:row>
      <xdr:rowOff>1681</xdr:rowOff>
    </xdr:from>
    <xdr:to>
      <xdr:col>10</xdr:col>
      <xdr:colOff>464484</xdr:colOff>
      <xdr:row>12</xdr:row>
      <xdr:rowOff>136525</xdr:rowOff>
    </xdr:to>
    <xdr:sp macro="" textlink="">
      <xdr:nvSpPr>
        <xdr:cNvPr id="12" name="Retângulo: Cantos Arredondados 1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D3610744-6122-4CA8-BEA1-0DAC22CD48AE}"/>
            </a:ext>
          </a:extLst>
        </xdr:cNvPr>
        <xdr:cNvSpPr/>
      </xdr:nvSpPr>
      <xdr:spPr>
        <a:xfrm>
          <a:off x="1420346" y="2413187"/>
          <a:ext cx="2190750" cy="31413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Distributed</a:t>
          </a:r>
          <a:r>
            <a:rPr lang="pt-BR" sz="1100" b="1" baseline="0"/>
            <a:t> Energy After CP09</a:t>
          </a:r>
          <a:endParaRPr lang="pt-BR" sz="1100" b="1"/>
        </a:p>
      </xdr:txBody>
    </xdr:sp>
    <xdr:clientData/>
  </xdr:twoCellAnchor>
  <xdr:twoCellAnchor editAs="oneCell">
    <xdr:from>
      <xdr:col>0</xdr:col>
      <xdr:colOff>192405</xdr:colOff>
      <xdr:row>0</xdr:row>
      <xdr:rowOff>67235</xdr:rowOff>
    </xdr:from>
    <xdr:to>
      <xdr:col>3</xdr:col>
      <xdr:colOff>239122</xdr:colOff>
      <xdr:row>2</xdr:row>
      <xdr:rowOff>130402</xdr:rowOff>
    </xdr:to>
    <xdr:pic>
      <xdr:nvPicPr>
        <xdr:cNvPr id="13" name="Gráfico 12">
          <a:extLst>
            <a:ext uri="{FF2B5EF4-FFF2-40B4-BE49-F238E27FC236}">
              <a16:creationId xmlns:a16="http://schemas.microsoft.com/office/drawing/2014/main" id="{3445EAF0-CC73-49A3-8CD1-9B0C92B0E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192405" y="67235"/>
          <a:ext cx="1858260" cy="416040"/>
        </a:xfrm>
        <a:prstGeom prst="rect">
          <a:avLst/>
        </a:prstGeom>
      </xdr:spPr>
    </xdr:pic>
    <xdr:clientData/>
  </xdr:twoCellAnchor>
  <xdr:twoCellAnchor>
    <xdr:from>
      <xdr:col>1</xdr:col>
      <xdr:colOff>3697</xdr:colOff>
      <xdr:row>8</xdr:row>
      <xdr:rowOff>162523</xdr:rowOff>
    </xdr:from>
    <xdr:to>
      <xdr:col>5</xdr:col>
      <xdr:colOff>16360</xdr:colOff>
      <xdr:row>10</xdr:row>
      <xdr:rowOff>125693</xdr:rowOff>
    </xdr:to>
    <xdr:sp macro="" textlink="">
      <xdr:nvSpPr>
        <xdr:cNvPr id="14" name="Retângulo: Cantos Arredondados 1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3A781557-F6DF-4F23-93C3-8BEFEDA6CAB7}"/>
            </a:ext>
          </a:extLst>
        </xdr:cNvPr>
        <xdr:cNvSpPr/>
      </xdr:nvSpPr>
      <xdr:spPr>
        <a:xfrm>
          <a:off x="613297" y="2040853"/>
          <a:ext cx="2197698" cy="32512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ESG</a:t>
          </a:r>
        </a:p>
      </xdr:txBody>
    </xdr:sp>
    <xdr:clientData/>
  </xdr:twoCellAnchor>
  <xdr:twoCellAnchor>
    <xdr:from>
      <xdr:col>7</xdr:col>
      <xdr:colOff>119118</xdr:colOff>
      <xdr:row>20</xdr:row>
      <xdr:rowOff>127076</xdr:rowOff>
    </xdr:from>
    <xdr:to>
      <xdr:col>10</xdr:col>
      <xdr:colOff>475353</xdr:colOff>
      <xdr:row>22</xdr:row>
      <xdr:rowOff>87482</xdr:rowOff>
    </xdr:to>
    <xdr:sp macro="" textlink="">
      <xdr:nvSpPr>
        <xdr:cNvPr id="15" name="Retângulo: Cantos Arredondados 1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51155F3-250E-49B8-AE67-8B55B00943DE}"/>
            </a:ext>
          </a:extLst>
        </xdr:cNvPr>
        <xdr:cNvSpPr/>
      </xdr:nvSpPr>
      <xdr:spPr>
        <a:xfrm>
          <a:off x="3850677" y="4149988"/>
          <a:ext cx="2171588" cy="318994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Energy Losses After CP 09</a:t>
          </a:r>
        </a:p>
      </xdr:txBody>
    </xdr:sp>
    <xdr:clientData/>
  </xdr:twoCellAnchor>
  <xdr:twoCellAnchor>
    <xdr:from>
      <xdr:col>7</xdr:col>
      <xdr:colOff>107913</xdr:colOff>
      <xdr:row>23</xdr:row>
      <xdr:rowOff>3811</xdr:rowOff>
    </xdr:from>
    <xdr:to>
      <xdr:col>10</xdr:col>
      <xdr:colOff>464148</xdr:colOff>
      <xdr:row>24</xdr:row>
      <xdr:rowOff>143511</xdr:rowOff>
    </xdr:to>
    <xdr:sp macro="" textlink="">
      <xdr:nvSpPr>
        <xdr:cNvPr id="16" name="Retângulo: Cantos Arredondados 1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29E1A38-036F-4591-9F06-54E707795541}"/>
            </a:ext>
          </a:extLst>
        </xdr:cNvPr>
        <xdr:cNvSpPr/>
      </xdr:nvSpPr>
      <xdr:spPr>
        <a:xfrm>
          <a:off x="3839472" y="4564605"/>
          <a:ext cx="2171588" cy="318994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PDA / Collection Index</a:t>
          </a:r>
        </a:p>
      </xdr:txBody>
    </xdr:sp>
    <xdr:clientData/>
  </xdr:twoCellAnchor>
  <xdr:twoCellAnchor>
    <xdr:from>
      <xdr:col>13</xdr:col>
      <xdr:colOff>136290</xdr:colOff>
      <xdr:row>11</xdr:row>
      <xdr:rowOff>17740</xdr:rowOff>
    </xdr:from>
    <xdr:to>
      <xdr:col>16</xdr:col>
      <xdr:colOff>498240</xdr:colOff>
      <xdr:row>12</xdr:row>
      <xdr:rowOff>152584</xdr:rowOff>
    </xdr:to>
    <xdr:sp macro="" textlink="">
      <xdr:nvSpPr>
        <xdr:cNvPr id="10" name="Retângulo: Cantos Arredondados 9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22D29B09-6EE4-4923-8861-E750EB2D51EA}"/>
            </a:ext>
          </a:extLst>
        </xdr:cNvPr>
        <xdr:cNvSpPr/>
      </xdr:nvSpPr>
      <xdr:spPr>
        <a:xfrm>
          <a:off x="6599843" y="2429246"/>
          <a:ext cx="2190750" cy="31413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 Portfolio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2256</xdr:rowOff>
    </xdr:from>
    <xdr:to>
      <xdr:col>1</xdr:col>
      <xdr:colOff>2111443</xdr:colOff>
      <xdr:row>4</xdr:row>
      <xdr:rowOff>134101</xdr:rowOff>
    </xdr:to>
    <xdr:sp macro="" textlink="">
      <xdr:nvSpPr>
        <xdr:cNvPr id="2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2D93E1-B7BE-4D3F-8284-9D8349A28BFE}"/>
            </a:ext>
          </a:extLst>
        </xdr:cNvPr>
        <xdr:cNvSpPr/>
      </xdr:nvSpPr>
      <xdr:spPr>
        <a:xfrm>
          <a:off x="590550" y="573756"/>
          <a:ext cx="2115253" cy="31853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3042</xdr:colOff>
      <xdr:row>1</xdr:row>
      <xdr:rowOff>0</xdr:rowOff>
    </xdr:from>
    <xdr:to>
      <xdr:col>1</xdr:col>
      <xdr:colOff>2116685</xdr:colOff>
      <xdr:row>2</xdr:row>
      <xdr:rowOff>139341</xdr:rowOff>
    </xdr:to>
    <xdr:sp macro="" textlink="">
      <xdr:nvSpPr>
        <xdr:cNvPr id="3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34338B2-61F8-4FB1-B884-A3DCF9DCFDD0}"/>
            </a:ext>
          </a:extLst>
        </xdr:cNvPr>
        <xdr:cNvSpPr/>
      </xdr:nvSpPr>
      <xdr:spPr>
        <a:xfrm>
          <a:off x="593592" y="190500"/>
          <a:ext cx="2109833" cy="32603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Operacional</a:t>
          </a:r>
        </a:p>
      </xdr:txBody>
    </xdr:sp>
    <xdr:clientData/>
  </xdr:twoCellAnchor>
  <xdr:twoCellAnchor>
    <xdr:from>
      <xdr:col>3</xdr:col>
      <xdr:colOff>0</xdr:colOff>
      <xdr:row>1</xdr:row>
      <xdr:rowOff>0</xdr:rowOff>
    </xdr:from>
    <xdr:to>
      <xdr:col>3</xdr:col>
      <xdr:colOff>0</xdr:colOff>
      <xdr:row>2</xdr:row>
      <xdr:rowOff>130970</xdr:rowOff>
    </xdr:to>
    <xdr:sp macro="" textlink="">
      <xdr:nvSpPr>
        <xdr:cNvPr id="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226EDC6-8D5C-4C36-BB40-5846141AF57C}"/>
            </a:ext>
          </a:extLst>
        </xdr:cNvPr>
        <xdr:cNvSpPr/>
      </xdr:nvSpPr>
      <xdr:spPr>
        <a:xfrm>
          <a:off x="2898643" y="190500"/>
          <a:ext cx="2142229" cy="32528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Operational</a:t>
          </a:r>
          <a:endParaRPr lang="pt-BR" sz="1200" b="1"/>
        </a:p>
      </xdr:txBody>
    </xdr:sp>
    <xdr:clientData/>
  </xdr:twoCellAnchor>
  <xdr:twoCellAnchor>
    <xdr:from>
      <xdr:col>3</xdr:col>
      <xdr:colOff>0</xdr:colOff>
      <xdr:row>3</xdr:row>
      <xdr:rowOff>5953</xdr:rowOff>
    </xdr:from>
    <xdr:to>
      <xdr:col>3</xdr:col>
      <xdr:colOff>0</xdr:colOff>
      <xdr:row>4</xdr:row>
      <xdr:rowOff>136922</xdr:rowOff>
    </xdr:to>
    <xdr:sp macro="" textlink="">
      <xdr:nvSpPr>
        <xdr:cNvPr id="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B215BCF-653D-4566-887A-16D470496C73}"/>
            </a:ext>
          </a:extLst>
        </xdr:cNvPr>
        <xdr:cNvSpPr/>
      </xdr:nvSpPr>
      <xdr:spPr>
        <a:xfrm>
          <a:off x="2898642" y="579358"/>
          <a:ext cx="2111848" cy="31575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2256</xdr:rowOff>
    </xdr:from>
    <xdr:to>
      <xdr:col>1</xdr:col>
      <xdr:colOff>2111443</xdr:colOff>
      <xdr:row>4</xdr:row>
      <xdr:rowOff>134101</xdr:rowOff>
    </xdr:to>
    <xdr:sp macro="" textlink="">
      <xdr:nvSpPr>
        <xdr:cNvPr id="8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>
          <a:off x="582706" y="573756"/>
          <a:ext cx="2111443" cy="32234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3042</xdr:colOff>
      <xdr:row>1</xdr:row>
      <xdr:rowOff>0</xdr:rowOff>
    </xdr:from>
    <xdr:to>
      <xdr:col>1</xdr:col>
      <xdr:colOff>2116685</xdr:colOff>
      <xdr:row>2</xdr:row>
      <xdr:rowOff>139341</xdr:rowOff>
    </xdr:to>
    <xdr:sp macro="" textlink="">
      <xdr:nvSpPr>
        <xdr:cNvPr id="9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/>
      </xdr:nvSpPr>
      <xdr:spPr>
        <a:xfrm>
          <a:off x="585748" y="190500"/>
          <a:ext cx="2113643" cy="32984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Operacional</a:t>
          </a:r>
        </a:p>
      </xdr:txBody>
    </xdr:sp>
    <xdr:clientData/>
  </xdr:twoCellAnchor>
  <xdr:twoCellAnchor>
    <xdr:from>
      <xdr:col>2</xdr:col>
      <xdr:colOff>3043</xdr:colOff>
      <xdr:row>1</xdr:row>
      <xdr:rowOff>0</xdr:rowOff>
    </xdr:from>
    <xdr:to>
      <xdr:col>2</xdr:col>
      <xdr:colOff>2143367</xdr:colOff>
      <xdr:row>2</xdr:row>
      <xdr:rowOff>130970</xdr:rowOff>
    </xdr:to>
    <xdr:sp macro="" textlink="">
      <xdr:nvSpPr>
        <xdr:cNvPr id="10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/>
      </xdr:nvSpPr>
      <xdr:spPr>
        <a:xfrm>
          <a:off x="2838131" y="190500"/>
          <a:ext cx="2140324" cy="32147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Operational</a:t>
          </a:r>
          <a:endParaRPr lang="pt-BR" sz="1200" b="1"/>
        </a:p>
      </xdr:txBody>
    </xdr:sp>
    <xdr:clientData/>
  </xdr:twoCellAnchor>
  <xdr:twoCellAnchor>
    <xdr:from>
      <xdr:col>2</xdr:col>
      <xdr:colOff>3042</xdr:colOff>
      <xdr:row>3</xdr:row>
      <xdr:rowOff>5953</xdr:rowOff>
    </xdr:from>
    <xdr:to>
      <xdr:col>2</xdr:col>
      <xdr:colOff>2118700</xdr:colOff>
      <xdr:row>4</xdr:row>
      <xdr:rowOff>136922</xdr:rowOff>
    </xdr:to>
    <xdr:sp macro="" textlink="">
      <xdr:nvSpPr>
        <xdr:cNvPr id="11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/>
      </xdr:nvSpPr>
      <xdr:spPr>
        <a:xfrm>
          <a:off x="2838130" y="577453"/>
          <a:ext cx="2115658" cy="32146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2256</xdr:rowOff>
    </xdr:from>
    <xdr:to>
      <xdr:col>1</xdr:col>
      <xdr:colOff>2111443</xdr:colOff>
      <xdr:row>4</xdr:row>
      <xdr:rowOff>134101</xdr:rowOff>
    </xdr:to>
    <xdr:sp macro="" textlink="">
      <xdr:nvSpPr>
        <xdr:cNvPr id="2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3D3CC0-480B-442C-9059-7D0F897D74BE}"/>
            </a:ext>
          </a:extLst>
        </xdr:cNvPr>
        <xdr:cNvSpPr/>
      </xdr:nvSpPr>
      <xdr:spPr>
        <a:xfrm>
          <a:off x="590550" y="573756"/>
          <a:ext cx="2115253" cy="31853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3042</xdr:colOff>
      <xdr:row>1</xdr:row>
      <xdr:rowOff>0</xdr:rowOff>
    </xdr:from>
    <xdr:to>
      <xdr:col>1</xdr:col>
      <xdr:colOff>2116685</xdr:colOff>
      <xdr:row>2</xdr:row>
      <xdr:rowOff>139341</xdr:rowOff>
    </xdr:to>
    <xdr:sp macro="" textlink="">
      <xdr:nvSpPr>
        <xdr:cNvPr id="3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EB999E4-80D6-4CFA-905C-83264763A671}"/>
            </a:ext>
          </a:extLst>
        </xdr:cNvPr>
        <xdr:cNvSpPr/>
      </xdr:nvSpPr>
      <xdr:spPr>
        <a:xfrm>
          <a:off x="593592" y="190500"/>
          <a:ext cx="2109833" cy="32603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Operacional</a:t>
          </a:r>
        </a:p>
      </xdr:txBody>
    </xdr:sp>
    <xdr:clientData/>
  </xdr:twoCellAnchor>
  <xdr:twoCellAnchor>
    <xdr:from>
      <xdr:col>2</xdr:col>
      <xdr:colOff>3043</xdr:colOff>
      <xdr:row>1</xdr:row>
      <xdr:rowOff>0</xdr:rowOff>
    </xdr:from>
    <xdr:to>
      <xdr:col>2</xdr:col>
      <xdr:colOff>2143367</xdr:colOff>
      <xdr:row>2</xdr:row>
      <xdr:rowOff>130970</xdr:rowOff>
    </xdr:to>
    <xdr:sp macro="" textlink="">
      <xdr:nvSpPr>
        <xdr:cNvPr id="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18C677C-2210-4BD2-B282-1E5B899EE9E7}"/>
            </a:ext>
          </a:extLst>
        </xdr:cNvPr>
        <xdr:cNvSpPr/>
      </xdr:nvSpPr>
      <xdr:spPr>
        <a:xfrm>
          <a:off x="4384543" y="190500"/>
          <a:ext cx="2142229" cy="32528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Operational</a:t>
          </a:r>
          <a:endParaRPr lang="pt-BR" sz="1200" b="1"/>
        </a:p>
      </xdr:txBody>
    </xdr:sp>
    <xdr:clientData/>
  </xdr:twoCellAnchor>
  <xdr:twoCellAnchor>
    <xdr:from>
      <xdr:col>2</xdr:col>
      <xdr:colOff>3042</xdr:colOff>
      <xdr:row>3</xdr:row>
      <xdr:rowOff>5953</xdr:rowOff>
    </xdr:from>
    <xdr:to>
      <xdr:col>2</xdr:col>
      <xdr:colOff>2118700</xdr:colOff>
      <xdr:row>4</xdr:row>
      <xdr:rowOff>136922</xdr:rowOff>
    </xdr:to>
    <xdr:sp macro="" textlink="">
      <xdr:nvSpPr>
        <xdr:cNvPr id="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64B87EB-D0E0-47D1-A078-D4D230A1103F}"/>
            </a:ext>
          </a:extLst>
        </xdr:cNvPr>
        <xdr:cNvSpPr/>
      </xdr:nvSpPr>
      <xdr:spPr>
        <a:xfrm>
          <a:off x="4384542" y="579358"/>
          <a:ext cx="2111848" cy="31575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2256</xdr:rowOff>
    </xdr:from>
    <xdr:to>
      <xdr:col>1</xdr:col>
      <xdr:colOff>2111443</xdr:colOff>
      <xdr:row>4</xdr:row>
      <xdr:rowOff>134101</xdr:rowOff>
    </xdr:to>
    <xdr:sp macro="" textlink="">
      <xdr:nvSpPr>
        <xdr:cNvPr id="12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>
        <a:xfrm>
          <a:off x="582706" y="573756"/>
          <a:ext cx="2111443" cy="32234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3042</xdr:colOff>
      <xdr:row>1</xdr:row>
      <xdr:rowOff>0</xdr:rowOff>
    </xdr:from>
    <xdr:to>
      <xdr:col>1</xdr:col>
      <xdr:colOff>2116685</xdr:colOff>
      <xdr:row>2</xdr:row>
      <xdr:rowOff>139341</xdr:rowOff>
    </xdr:to>
    <xdr:sp macro="" textlink="">
      <xdr:nvSpPr>
        <xdr:cNvPr id="13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/>
      </xdr:nvSpPr>
      <xdr:spPr>
        <a:xfrm>
          <a:off x="585748" y="190500"/>
          <a:ext cx="2113643" cy="32984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Operacional</a:t>
          </a:r>
        </a:p>
      </xdr:txBody>
    </xdr:sp>
    <xdr:clientData/>
  </xdr:twoCellAnchor>
  <xdr:twoCellAnchor>
    <xdr:from>
      <xdr:col>2</xdr:col>
      <xdr:colOff>3043</xdr:colOff>
      <xdr:row>1</xdr:row>
      <xdr:rowOff>0</xdr:rowOff>
    </xdr:from>
    <xdr:to>
      <xdr:col>2</xdr:col>
      <xdr:colOff>2143367</xdr:colOff>
      <xdr:row>2</xdr:row>
      <xdr:rowOff>130970</xdr:rowOff>
    </xdr:to>
    <xdr:sp macro="" textlink="">
      <xdr:nvSpPr>
        <xdr:cNvPr id="1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>
        <a:xfrm>
          <a:off x="2838131" y="190500"/>
          <a:ext cx="2140324" cy="32147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Operational</a:t>
          </a:r>
          <a:endParaRPr lang="pt-BR" sz="1200" b="1"/>
        </a:p>
      </xdr:txBody>
    </xdr:sp>
    <xdr:clientData/>
  </xdr:twoCellAnchor>
  <xdr:twoCellAnchor>
    <xdr:from>
      <xdr:col>2</xdr:col>
      <xdr:colOff>3042</xdr:colOff>
      <xdr:row>3</xdr:row>
      <xdr:rowOff>5953</xdr:rowOff>
    </xdr:from>
    <xdr:to>
      <xdr:col>2</xdr:col>
      <xdr:colOff>2118700</xdr:colOff>
      <xdr:row>4</xdr:row>
      <xdr:rowOff>136922</xdr:rowOff>
    </xdr:to>
    <xdr:sp macro="" textlink="">
      <xdr:nvSpPr>
        <xdr:cNvPr id="1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>
        <a:xfrm>
          <a:off x="2838130" y="577453"/>
          <a:ext cx="2115658" cy="32146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2256</xdr:rowOff>
    </xdr:from>
    <xdr:to>
      <xdr:col>1</xdr:col>
      <xdr:colOff>2111443</xdr:colOff>
      <xdr:row>4</xdr:row>
      <xdr:rowOff>134101</xdr:rowOff>
    </xdr:to>
    <xdr:sp macro="" textlink="">
      <xdr:nvSpPr>
        <xdr:cNvPr id="2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159193-39C9-4C2E-B685-EBC6DDE62CE9}"/>
            </a:ext>
          </a:extLst>
        </xdr:cNvPr>
        <xdr:cNvSpPr/>
      </xdr:nvSpPr>
      <xdr:spPr>
        <a:xfrm>
          <a:off x="590550" y="573756"/>
          <a:ext cx="2115253" cy="31853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3042</xdr:colOff>
      <xdr:row>1</xdr:row>
      <xdr:rowOff>0</xdr:rowOff>
    </xdr:from>
    <xdr:to>
      <xdr:col>1</xdr:col>
      <xdr:colOff>2116685</xdr:colOff>
      <xdr:row>2</xdr:row>
      <xdr:rowOff>139341</xdr:rowOff>
    </xdr:to>
    <xdr:sp macro="" textlink="">
      <xdr:nvSpPr>
        <xdr:cNvPr id="3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996D7C-A6E5-43D5-BD22-DB31A6C124EE}"/>
            </a:ext>
          </a:extLst>
        </xdr:cNvPr>
        <xdr:cNvSpPr/>
      </xdr:nvSpPr>
      <xdr:spPr>
        <a:xfrm>
          <a:off x="593592" y="190500"/>
          <a:ext cx="2109833" cy="32603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Operacional</a:t>
          </a:r>
        </a:p>
      </xdr:txBody>
    </xdr:sp>
    <xdr:clientData/>
  </xdr:twoCellAnchor>
  <xdr:twoCellAnchor>
    <xdr:from>
      <xdr:col>2</xdr:col>
      <xdr:colOff>3043</xdr:colOff>
      <xdr:row>1</xdr:row>
      <xdr:rowOff>0</xdr:rowOff>
    </xdr:from>
    <xdr:to>
      <xdr:col>2</xdr:col>
      <xdr:colOff>2143367</xdr:colOff>
      <xdr:row>2</xdr:row>
      <xdr:rowOff>130970</xdr:rowOff>
    </xdr:to>
    <xdr:sp macro="" textlink="">
      <xdr:nvSpPr>
        <xdr:cNvPr id="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ACBC453-26C6-47D4-8BC0-2FC4613DA810}"/>
            </a:ext>
          </a:extLst>
        </xdr:cNvPr>
        <xdr:cNvSpPr/>
      </xdr:nvSpPr>
      <xdr:spPr>
        <a:xfrm>
          <a:off x="2898643" y="190500"/>
          <a:ext cx="2142229" cy="32528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Operational</a:t>
          </a:r>
          <a:endParaRPr lang="pt-BR" sz="1200" b="1"/>
        </a:p>
      </xdr:txBody>
    </xdr:sp>
    <xdr:clientData/>
  </xdr:twoCellAnchor>
  <xdr:twoCellAnchor>
    <xdr:from>
      <xdr:col>2</xdr:col>
      <xdr:colOff>3042</xdr:colOff>
      <xdr:row>3</xdr:row>
      <xdr:rowOff>5953</xdr:rowOff>
    </xdr:from>
    <xdr:to>
      <xdr:col>2</xdr:col>
      <xdr:colOff>2118700</xdr:colOff>
      <xdr:row>4</xdr:row>
      <xdr:rowOff>136922</xdr:rowOff>
    </xdr:to>
    <xdr:sp macro="" textlink="">
      <xdr:nvSpPr>
        <xdr:cNvPr id="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7337788-998C-408C-A618-BC978C988795}"/>
            </a:ext>
          </a:extLst>
        </xdr:cNvPr>
        <xdr:cNvSpPr/>
      </xdr:nvSpPr>
      <xdr:spPr>
        <a:xfrm>
          <a:off x="2898642" y="579358"/>
          <a:ext cx="2111848" cy="31575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2256</xdr:rowOff>
    </xdr:from>
    <xdr:to>
      <xdr:col>1</xdr:col>
      <xdr:colOff>2111443</xdr:colOff>
      <xdr:row>4</xdr:row>
      <xdr:rowOff>134101</xdr:rowOff>
    </xdr:to>
    <xdr:sp macro="" textlink="">
      <xdr:nvSpPr>
        <xdr:cNvPr id="11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/>
      </xdr:nvSpPr>
      <xdr:spPr>
        <a:xfrm>
          <a:off x="582706" y="573756"/>
          <a:ext cx="2111443" cy="32234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3042</xdr:colOff>
      <xdr:row>1</xdr:row>
      <xdr:rowOff>0</xdr:rowOff>
    </xdr:from>
    <xdr:to>
      <xdr:col>1</xdr:col>
      <xdr:colOff>2116685</xdr:colOff>
      <xdr:row>2</xdr:row>
      <xdr:rowOff>139341</xdr:rowOff>
    </xdr:to>
    <xdr:sp macro="" textlink="">
      <xdr:nvSpPr>
        <xdr:cNvPr id="12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/>
      </xdr:nvSpPr>
      <xdr:spPr>
        <a:xfrm>
          <a:off x="585748" y="190500"/>
          <a:ext cx="2113643" cy="32984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Operacional</a:t>
          </a:r>
        </a:p>
      </xdr:txBody>
    </xdr:sp>
    <xdr:clientData/>
  </xdr:twoCellAnchor>
  <xdr:twoCellAnchor>
    <xdr:from>
      <xdr:col>2</xdr:col>
      <xdr:colOff>3043</xdr:colOff>
      <xdr:row>1</xdr:row>
      <xdr:rowOff>0</xdr:rowOff>
    </xdr:from>
    <xdr:to>
      <xdr:col>2</xdr:col>
      <xdr:colOff>2143367</xdr:colOff>
      <xdr:row>2</xdr:row>
      <xdr:rowOff>130970</xdr:rowOff>
    </xdr:to>
    <xdr:sp macro="" textlink="">
      <xdr:nvSpPr>
        <xdr:cNvPr id="13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/>
      </xdr:nvSpPr>
      <xdr:spPr>
        <a:xfrm>
          <a:off x="2838131" y="190500"/>
          <a:ext cx="2140324" cy="32147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Operational</a:t>
          </a:r>
          <a:endParaRPr lang="pt-BR" sz="1200" b="1"/>
        </a:p>
      </xdr:txBody>
    </xdr:sp>
    <xdr:clientData/>
  </xdr:twoCellAnchor>
  <xdr:twoCellAnchor>
    <xdr:from>
      <xdr:col>2</xdr:col>
      <xdr:colOff>3042</xdr:colOff>
      <xdr:row>3</xdr:row>
      <xdr:rowOff>5953</xdr:rowOff>
    </xdr:from>
    <xdr:to>
      <xdr:col>2</xdr:col>
      <xdr:colOff>2118700</xdr:colOff>
      <xdr:row>4</xdr:row>
      <xdr:rowOff>136922</xdr:rowOff>
    </xdr:to>
    <xdr:sp macro="" textlink="">
      <xdr:nvSpPr>
        <xdr:cNvPr id="14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/>
      </xdr:nvSpPr>
      <xdr:spPr>
        <a:xfrm>
          <a:off x="2838130" y="577453"/>
          <a:ext cx="2115658" cy="32146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2256</xdr:rowOff>
    </xdr:from>
    <xdr:to>
      <xdr:col>1</xdr:col>
      <xdr:colOff>2111443</xdr:colOff>
      <xdr:row>4</xdr:row>
      <xdr:rowOff>134101</xdr:rowOff>
    </xdr:to>
    <xdr:sp macro="" textlink="">
      <xdr:nvSpPr>
        <xdr:cNvPr id="2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A54642-6DE4-4BAC-AF09-DF92289BF931}"/>
            </a:ext>
          </a:extLst>
        </xdr:cNvPr>
        <xdr:cNvSpPr/>
      </xdr:nvSpPr>
      <xdr:spPr>
        <a:xfrm>
          <a:off x="590550" y="573756"/>
          <a:ext cx="2115253" cy="31853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3042</xdr:colOff>
      <xdr:row>1</xdr:row>
      <xdr:rowOff>0</xdr:rowOff>
    </xdr:from>
    <xdr:to>
      <xdr:col>1</xdr:col>
      <xdr:colOff>2116685</xdr:colOff>
      <xdr:row>2</xdr:row>
      <xdr:rowOff>139341</xdr:rowOff>
    </xdr:to>
    <xdr:sp macro="" textlink="">
      <xdr:nvSpPr>
        <xdr:cNvPr id="3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86C722E-B950-40C8-ACD7-74C00641E55C}"/>
            </a:ext>
          </a:extLst>
        </xdr:cNvPr>
        <xdr:cNvSpPr/>
      </xdr:nvSpPr>
      <xdr:spPr>
        <a:xfrm>
          <a:off x="593592" y="190500"/>
          <a:ext cx="2109833" cy="32603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Operacional</a:t>
          </a:r>
        </a:p>
      </xdr:txBody>
    </xdr:sp>
    <xdr:clientData/>
  </xdr:twoCellAnchor>
  <xdr:twoCellAnchor>
    <xdr:from>
      <xdr:col>2</xdr:col>
      <xdr:colOff>3043</xdr:colOff>
      <xdr:row>1</xdr:row>
      <xdr:rowOff>0</xdr:rowOff>
    </xdr:from>
    <xdr:to>
      <xdr:col>2</xdr:col>
      <xdr:colOff>2143367</xdr:colOff>
      <xdr:row>2</xdr:row>
      <xdr:rowOff>130970</xdr:rowOff>
    </xdr:to>
    <xdr:sp macro="" textlink="">
      <xdr:nvSpPr>
        <xdr:cNvPr id="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0C70F5B-2EBF-40FE-8BD3-F1EE6ECB52A2}"/>
            </a:ext>
          </a:extLst>
        </xdr:cNvPr>
        <xdr:cNvSpPr/>
      </xdr:nvSpPr>
      <xdr:spPr>
        <a:xfrm>
          <a:off x="2898643" y="190500"/>
          <a:ext cx="2142229" cy="32528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Operational</a:t>
          </a:r>
          <a:endParaRPr lang="pt-BR" sz="1200" b="1"/>
        </a:p>
      </xdr:txBody>
    </xdr:sp>
    <xdr:clientData/>
  </xdr:twoCellAnchor>
  <xdr:twoCellAnchor>
    <xdr:from>
      <xdr:col>2</xdr:col>
      <xdr:colOff>3042</xdr:colOff>
      <xdr:row>3</xdr:row>
      <xdr:rowOff>5953</xdr:rowOff>
    </xdr:from>
    <xdr:to>
      <xdr:col>2</xdr:col>
      <xdr:colOff>2118700</xdr:colOff>
      <xdr:row>4</xdr:row>
      <xdr:rowOff>136922</xdr:rowOff>
    </xdr:to>
    <xdr:sp macro="" textlink="">
      <xdr:nvSpPr>
        <xdr:cNvPr id="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91EADE13-6FFE-4960-A726-069FA38D4B2B}"/>
            </a:ext>
          </a:extLst>
        </xdr:cNvPr>
        <xdr:cNvSpPr/>
      </xdr:nvSpPr>
      <xdr:spPr>
        <a:xfrm>
          <a:off x="2898642" y="579358"/>
          <a:ext cx="2111848" cy="31575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2256</xdr:rowOff>
    </xdr:from>
    <xdr:to>
      <xdr:col>1</xdr:col>
      <xdr:colOff>2111443</xdr:colOff>
      <xdr:row>4</xdr:row>
      <xdr:rowOff>134101</xdr:rowOff>
    </xdr:to>
    <xdr:sp macro="" textlink="">
      <xdr:nvSpPr>
        <xdr:cNvPr id="12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/>
      </xdr:nvSpPr>
      <xdr:spPr>
        <a:xfrm>
          <a:off x="582706" y="573756"/>
          <a:ext cx="2111443" cy="32234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3042</xdr:colOff>
      <xdr:row>1</xdr:row>
      <xdr:rowOff>0</xdr:rowOff>
    </xdr:from>
    <xdr:to>
      <xdr:col>1</xdr:col>
      <xdr:colOff>2116685</xdr:colOff>
      <xdr:row>2</xdr:row>
      <xdr:rowOff>139341</xdr:rowOff>
    </xdr:to>
    <xdr:sp macro="" textlink="">
      <xdr:nvSpPr>
        <xdr:cNvPr id="13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/>
      </xdr:nvSpPr>
      <xdr:spPr>
        <a:xfrm>
          <a:off x="585748" y="190500"/>
          <a:ext cx="2113643" cy="32984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Operacional</a:t>
          </a:r>
        </a:p>
      </xdr:txBody>
    </xdr:sp>
    <xdr:clientData/>
  </xdr:twoCellAnchor>
  <xdr:twoCellAnchor>
    <xdr:from>
      <xdr:col>2</xdr:col>
      <xdr:colOff>3043</xdr:colOff>
      <xdr:row>1</xdr:row>
      <xdr:rowOff>0</xdr:rowOff>
    </xdr:from>
    <xdr:to>
      <xdr:col>2</xdr:col>
      <xdr:colOff>2143367</xdr:colOff>
      <xdr:row>2</xdr:row>
      <xdr:rowOff>130970</xdr:rowOff>
    </xdr:to>
    <xdr:sp macro="" textlink="">
      <xdr:nvSpPr>
        <xdr:cNvPr id="1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/>
      </xdr:nvSpPr>
      <xdr:spPr>
        <a:xfrm>
          <a:off x="2838131" y="190500"/>
          <a:ext cx="2140324" cy="32147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Operational</a:t>
          </a:r>
          <a:endParaRPr lang="pt-BR" sz="1200" b="1"/>
        </a:p>
      </xdr:txBody>
    </xdr:sp>
    <xdr:clientData/>
  </xdr:twoCellAnchor>
  <xdr:twoCellAnchor>
    <xdr:from>
      <xdr:col>2</xdr:col>
      <xdr:colOff>3042</xdr:colOff>
      <xdr:row>3</xdr:row>
      <xdr:rowOff>5953</xdr:rowOff>
    </xdr:from>
    <xdr:to>
      <xdr:col>2</xdr:col>
      <xdr:colOff>2118700</xdr:colOff>
      <xdr:row>4</xdr:row>
      <xdr:rowOff>136922</xdr:rowOff>
    </xdr:to>
    <xdr:sp macro="" textlink="">
      <xdr:nvSpPr>
        <xdr:cNvPr id="1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/>
      </xdr:nvSpPr>
      <xdr:spPr>
        <a:xfrm>
          <a:off x="2838130" y="577453"/>
          <a:ext cx="2115658" cy="32146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2256</xdr:rowOff>
    </xdr:from>
    <xdr:to>
      <xdr:col>2</xdr:col>
      <xdr:colOff>2111443</xdr:colOff>
      <xdr:row>4</xdr:row>
      <xdr:rowOff>134101</xdr:rowOff>
    </xdr:to>
    <xdr:sp macro="" textlink="">
      <xdr:nvSpPr>
        <xdr:cNvPr id="7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>
        <a:xfrm>
          <a:off x="627529" y="573756"/>
          <a:ext cx="2111443" cy="32234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2</xdr:col>
      <xdr:colOff>3042</xdr:colOff>
      <xdr:row>1</xdr:row>
      <xdr:rowOff>0</xdr:rowOff>
    </xdr:from>
    <xdr:to>
      <xdr:col>2</xdr:col>
      <xdr:colOff>2116685</xdr:colOff>
      <xdr:row>2</xdr:row>
      <xdr:rowOff>139341</xdr:rowOff>
    </xdr:to>
    <xdr:sp macro="" textlink="">
      <xdr:nvSpPr>
        <xdr:cNvPr id="8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/>
      </xdr:nvSpPr>
      <xdr:spPr>
        <a:xfrm>
          <a:off x="630571" y="190500"/>
          <a:ext cx="2113643" cy="32984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Operacional</a:t>
          </a:r>
        </a:p>
      </xdr:txBody>
    </xdr:sp>
    <xdr:clientData/>
  </xdr:twoCellAnchor>
  <xdr:twoCellAnchor>
    <xdr:from>
      <xdr:col>3</xdr:col>
      <xdr:colOff>3042</xdr:colOff>
      <xdr:row>1</xdr:row>
      <xdr:rowOff>0</xdr:rowOff>
    </xdr:from>
    <xdr:to>
      <xdr:col>3</xdr:col>
      <xdr:colOff>2143366</xdr:colOff>
      <xdr:row>2</xdr:row>
      <xdr:rowOff>130970</xdr:rowOff>
    </xdr:to>
    <xdr:sp macro="" textlink="">
      <xdr:nvSpPr>
        <xdr:cNvPr id="9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/>
      </xdr:nvSpPr>
      <xdr:spPr>
        <a:xfrm>
          <a:off x="2882954" y="190500"/>
          <a:ext cx="2140324" cy="32147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Operational</a:t>
          </a:r>
          <a:endParaRPr lang="pt-BR" sz="1200" b="1"/>
        </a:p>
      </xdr:txBody>
    </xdr:sp>
    <xdr:clientData/>
  </xdr:twoCellAnchor>
  <xdr:twoCellAnchor>
    <xdr:from>
      <xdr:col>3</xdr:col>
      <xdr:colOff>3041</xdr:colOff>
      <xdr:row>3</xdr:row>
      <xdr:rowOff>5953</xdr:rowOff>
    </xdr:from>
    <xdr:to>
      <xdr:col>3</xdr:col>
      <xdr:colOff>2118699</xdr:colOff>
      <xdr:row>4</xdr:row>
      <xdr:rowOff>136922</xdr:rowOff>
    </xdr:to>
    <xdr:sp macro="" textlink="">
      <xdr:nvSpPr>
        <xdr:cNvPr id="10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/>
      </xdr:nvSpPr>
      <xdr:spPr>
        <a:xfrm>
          <a:off x="2882953" y="577453"/>
          <a:ext cx="2115658" cy="32146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2256</xdr:rowOff>
    </xdr:from>
    <xdr:to>
      <xdr:col>2</xdr:col>
      <xdr:colOff>2111443</xdr:colOff>
      <xdr:row>4</xdr:row>
      <xdr:rowOff>134101</xdr:rowOff>
    </xdr:to>
    <xdr:sp macro="" textlink="">
      <xdr:nvSpPr>
        <xdr:cNvPr id="2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A19C69-BA7D-4FFE-A420-E36B19E7CB4F}"/>
            </a:ext>
          </a:extLst>
        </xdr:cNvPr>
        <xdr:cNvSpPr/>
      </xdr:nvSpPr>
      <xdr:spPr>
        <a:xfrm>
          <a:off x="624840" y="573756"/>
          <a:ext cx="2111443" cy="32234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2</xdr:col>
      <xdr:colOff>3042</xdr:colOff>
      <xdr:row>1</xdr:row>
      <xdr:rowOff>0</xdr:rowOff>
    </xdr:from>
    <xdr:to>
      <xdr:col>2</xdr:col>
      <xdr:colOff>2116685</xdr:colOff>
      <xdr:row>2</xdr:row>
      <xdr:rowOff>139341</xdr:rowOff>
    </xdr:to>
    <xdr:sp macro="" textlink="">
      <xdr:nvSpPr>
        <xdr:cNvPr id="3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6A4C0F-7430-4A87-99D2-81137B6FF008}"/>
            </a:ext>
          </a:extLst>
        </xdr:cNvPr>
        <xdr:cNvSpPr/>
      </xdr:nvSpPr>
      <xdr:spPr>
        <a:xfrm>
          <a:off x="627882" y="190500"/>
          <a:ext cx="2113643" cy="32984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Operacional</a:t>
          </a:r>
        </a:p>
      </xdr:txBody>
    </xdr:sp>
    <xdr:clientData/>
  </xdr:twoCellAnchor>
  <xdr:twoCellAnchor>
    <xdr:from>
      <xdr:col>3</xdr:col>
      <xdr:colOff>3042</xdr:colOff>
      <xdr:row>1</xdr:row>
      <xdr:rowOff>0</xdr:rowOff>
    </xdr:from>
    <xdr:to>
      <xdr:col>3</xdr:col>
      <xdr:colOff>2143366</xdr:colOff>
      <xdr:row>2</xdr:row>
      <xdr:rowOff>130970</xdr:rowOff>
    </xdr:to>
    <xdr:sp macro="" textlink="">
      <xdr:nvSpPr>
        <xdr:cNvPr id="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3BB1B9-4DDA-40D7-AB43-20ABF7543D4B}"/>
            </a:ext>
          </a:extLst>
        </xdr:cNvPr>
        <xdr:cNvSpPr/>
      </xdr:nvSpPr>
      <xdr:spPr>
        <a:xfrm>
          <a:off x="3142482" y="190500"/>
          <a:ext cx="2140324" cy="32147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Operational</a:t>
          </a:r>
          <a:endParaRPr lang="pt-BR" sz="1200" b="1"/>
        </a:p>
      </xdr:txBody>
    </xdr:sp>
    <xdr:clientData/>
  </xdr:twoCellAnchor>
  <xdr:twoCellAnchor>
    <xdr:from>
      <xdr:col>3</xdr:col>
      <xdr:colOff>3041</xdr:colOff>
      <xdr:row>3</xdr:row>
      <xdr:rowOff>5953</xdr:rowOff>
    </xdr:from>
    <xdr:to>
      <xdr:col>3</xdr:col>
      <xdr:colOff>2118699</xdr:colOff>
      <xdr:row>4</xdr:row>
      <xdr:rowOff>136922</xdr:rowOff>
    </xdr:to>
    <xdr:sp macro="" textlink="">
      <xdr:nvSpPr>
        <xdr:cNvPr id="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9AD4420-C84C-441B-BF1B-BC7EC1791285}"/>
            </a:ext>
          </a:extLst>
        </xdr:cNvPr>
        <xdr:cNvSpPr/>
      </xdr:nvSpPr>
      <xdr:spPr>
        <a:xfrm>
          <a:off x="3142481" y="577453"/>
          <a:ext cx="2115658" cy="32146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2256</xdr:rowOff>
    </xdr:from>
    <xdr:to>
      <xdr:col>1</xdr:col>
      <xdr:colOff>2111443</xdr:colOff>
      <xdr:row>4</xdr:row>
      <xdr:rowOff>134101</xdr:rowOff>
    </xdr:to>
    <xdr:sp macro="" textlink="">
      <xdr:nvSpPr>
        <xdr:cNvPr id="2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88495B-4127-4D2A-9BAF-2D9F8A5BB297}"/>
            </a:ext>
          </a:extLst>
        </xdr:cNvPr>
        <xdr:cNvSpPr/>
      </xdr:nvSpPr>
      <xdr:spPr>
        <a:xfrm>
          <a:off x="586740" y="573756"/>
          <a:ext cx="2111443" cy="32234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3042</xdr:colOff>
      <xdr:row>1</xdr:row>
      <xdr:rowOff>0</xdr:rowOff>
    </xdr:from>
    <xdr:to>
      <xdr:col>1</xdr:col>
      <xdr:colOff>2116685</xdr:colOff>
      <xdr:row>2</xdr:row>
      <xdr:rowOff>139341</xdr:rowOff>
    </xdr:to>
    <xdr:sp macro="" textlink="">
      <xdr:nvSpPr>
        <xdr:cNvPr id="3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8964A8-F823-4E1B-9919-02133FF7C9B1}"/>
            </a:ext>
          </a:extLst>
        </xdr:cNvPr>
        <xdr:cNvSpPr/>
      </xdr:nvSpPr>
      <xdr:spPr>
        <a:xfrm>
          <a:off x="589782" y="190500"/>
          <a:ext cx="2113643" cy="32984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Operacional</a:t>
          </a:r>
        </a:p>
      </xdr:txBody>
    </xdr:sp>
    <xdr:clientData/>
  </xdr:twoCellAnchor>
  <xdr:twoCellAnchor>
    <xdr:from>
      <xdr:col>2</xdr:col>
      <xdr:colOff>3043</xdr:colOff>
      <xdr:row>1</xdr:row>
      <xdr:rowOff>0</xdr:rowOff>
    </xdr:from>
    <xdr:to>
      <xdr:col>2</xdr:col>
      <xdr:colOff>2143367</xdr:colOff>
      <xdr:row>2</xdr:row>
      <xdr:rowOff>130970</xdr:rowOff>
    </xdr:to>
    <xdr:sp macro="" textlink="">
      <xdr:nvSpPr>
        <xdr:cNvPr id="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82AA487-6E24-4E31-9FDD-5B509C62ABC0}"/>
            </a:ext>
          </a:extLst>
        </xdr:cNvPr>
        <xdr:cNvSpPr/>
      </xdr:nvSpPr>
      <xdr:spPr>
        <a:xfrm>
          <a:off x="2891023" y="190500"/>
          <a:ext cx="2140324" cy="32147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Operational</a:t>
          </a:r>
          <a:endParaRPr lang="pt-BR" sz="1200" b="1"/>
        </a:p>
      </xdr:txBody>
    </xdr:sp>
    <xdr:clientData/>
  </xdr:twoCellAnchor>
  <xdr:twoCellAnchor>
    <xdr:from>
      <xdr:col>2</xdr:col>
      <xdr:colOff>3042</xdr:colOff>
      <xdr:row>3</xdr:row>
      <xdr:rowOff>5953</xdr:rowOff>
    </xdr:from>
    <xdr:to>
      <xdr:col>2</xdr:col>
      <xdr:colOff>2118700</xdr:colOff>
      <xdr:row>4</xdr:row>
      <xdr:rowOff>136922</xdr:rowOff>
    </xdr:to>
    <xdr:sp macro="" textlink="">
      <xdr:nvSpPr>
        <xdr:cNvPr id="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64E516-3939-4E8D-B036-846C549A634E}"/>
            </a:ext>
          </a:extLst>
        </xdr:cNvPr>
        <xdr:cNvSpPr/>
      </xdr:nvSpPr>
      <xdr:spPr>
        <a:xfrm>
          <a:off x="2891022" y="577453"/>
          <a:ext cx="2115658" cy="32146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280035</xdr:colOff>
      <xdr:row>24</xdr:row>
      <xdr:rowOff>44450</xdr:rowOff>
    </xdr:from>
    <xdr:to>
      <xdr:col>22</xdr:col>
      <xdr:colOff>386715</xdr:colOff>
      <xdr:row>27</xdr:row>
      <xdr:rowOff>120650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/>
      </xdr:nvSpPr>
      <xdr:spPr>
        <a:xfrm>
          <a:off x="2070100" y="4464050"/>
          <a:ext cx="0" cy="6286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/>
            <a:t>Os</a:t>
          </a:r>
          <a:r>
            <a:rPr lang="pt-BR" sz="1100" baseline="0"/>
            <a:t> valores históricos de DEC/FEC de Alagoas foram recalculados retroativamente, desde o 4T18</a:t>
          </a:r>
          <a:endParaRPr lang="pt-BR" sz="1100"/>
        </a:p>
      </xdr:txBody>
    </xdr:sp>
    <xdr:clientData/>
  </xdr:twoCellAnchor>
  <xdr:twoCellAnchor>
    <xdr:from>
      <xdr:col>1</xdr:col>
      <xdr:colOff>0</xdr:colOff>
      <xdr:row>3</xdr:row>
      <xdr:rowOff>2256</xdr:rowOff>
    </xdr:from>
    <xdr:to>
      <xdr:col>1</xdr:col>
      <xdr:colOff>2111443</xdr:colOff>
      <xdr:row>4</xdr:row>
      <xdr:rowOff>134101</xdr:rowOff>
    </xdr:to>
    <xdr:sp macro="" textlink="">
      <xdr:nvSpPr>
        <xdr:cNvPr id="13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/>
      </xdr:nvSpPr>
      <xdr:spPr>
        <a:xfrm>
          <a:off x="582706" y="573756"/>
          <a:ext cx="2111443" cy="32234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3042</xdr:colOff>
      <xdr:row>1</xdr:row>
      <xdr:rowOff>0</xdr:rowOff>
    </xdr:from>
    <xdr:to>
      <xdr:col>1</xdr:col>
      <xdr:colOff>2116685</xdr:colOff>
      <xdr:row>2</xdr:row>
      <xdr:rowOff>139341</xdr:rowOff>
    </xdr:to>
    <xdr:sp macro="" textlink="">
      <xdr:nvSpPr>
        <xdr:cNvPr id="14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/>
      </xdr:nvSpPr>
      <xdr:spPr>
        <a:xfrm>
          <a:off x="585748" y="190500"/>
          <a:ext cx="2113643" cy="32984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Operacional</a:t>
          </a:r>
        </a:p>
      </xdr:txBody>
    </xdr:sp>
    <xdr:clientData/>
  </xdr:twoCellAnchor>
  <xdr:twoCellAnchor>
    <xdr:from>
      <xdr:col>2</xdr:col>
      <xdr:colOff>3043</xdr:colOff>
      <xdr:row>1</xdr:row>
      <xdr:rowOff>0</xdr:rowOff>
    </xdr:from>
    <xdr:to>
      <xdr:col>2</xdr:col>
      <xdr:colOff>2143367</xdr:colOff>
      <xdr:row>2</xdr:row>
      <xdr:rowOff>130970</xdr:rowOff>
    </xdr:to>
    <xdr:sp macro="" textlink="">
      <xdr:nvSpPr>
        <xdr:cNvPr id="15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/>
      </xdr:nvSpPr>
      <xdr:spPr>
        <a:xfrm>
          <a:off x="2838131" y="190500"/>
          <a:ext cx="2140324" cy="32147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Operational</a:t>
          </a:r>
          <a:endParaRPr lang="pt-BR" sz="1200" b="1"/>
        </a:p>
      </xdr:txBody>
    </xdr:sp>
    <xdr:clientData/>
  </xdr:twoCellAnchor>
  <xdr:twoCellAnchor>
    <xdr:from>
      <xdr:col>2</xdr:col>
      <xdr:colOff>3042</xdr:colOff>
      <xdr:row>3</xdr:row>
      <xdr:rowOff>5953</xdr:rowOff>
    </xdr:from>
    <xdr:to>
      <xdr:col>2</xdr:col>
      <xdr:colOff>2118700</xdr:colOff>
      <xdr:row>4</xdr:row>
      <xdr:rowOff>136922</xdr:rowOff>
    </xdr:to>
    <xdr:sp macro="" textlink="">
      <xdr:nvSpPr>
        <xdr:cNvPr id="16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/>
      </xdr:nvSpPr>
      <xdr:spPr>
        <a:xfrm>
          <a:off x="2838130" y="577453"/>
          <a:ext cx="2115658" cy="32146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2256</xdr:rowOff>
    </xdr:from>
    <xdr:to>
      <xdr:col>1</xdr:col>
      <xdr:colOff>2111443</xdr:colOff>
      <xdr:row>4</xdr:row>
      <xdr:rowOff>134101</xdr:rowOff>
    </xdr:to>
    <xdr:sp macro="" textlink="">
      <xdr:nvSpPr>
        <xdr:cNvPr id="11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/>
      </xdr:nvSpPr>
      <xdr:spPr>
        <a:xfrm>
          <a:off x="582706" y="573756"/>
          <a:ext cx="2111443" cy="322345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3042</xdr:colOff>
      <xdr:row>1</xdr:row>
      <xdr:rowOff>0</xdr:rowOff>
    </xdr:from>
    <xdr:to>
      <xdr:col>1</xdr:col>
      <xdr:colOff>2116685</xdr:colOff>
      <xdr:row>2</xdr:row>
      <xdr:rowOff>139341</xdr:rowOff>
    </xdr:to>
    <xdr:sp macro="" textlink="">
      <xdr:nvSpPr>
        <xdr:cNvPr id="12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/>
      </xdr:nvSpPr>
      <xdr:spPr>
        <a:xfrm>
          <a:off x="585748" y="190500"/>
          <a:ext cx="2113643" cy="32984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Operacional</a:t>
          </a:r>
        </a:p>
      </xdr:txBody>
    </xdr:sp>
    <xdr:clientData/>
  </xdr:twoCellAnchor>
  <xdr:twoCellAnchor>
    <xdr:from>
      <xdr:col>2</xdr:col>
      <xdr:colOff>3043</xdr:colOff>
      <xdr:row>1</xdr:row>
      <xdr:rowOff>0</xdr:rowOff>
    </xdr:from>
    <xdr:to>
      <xdr:col>2</xdr:col>
      <xdr:colOff>2143367</xdr:colOff>
      <xdr:row>2</xdr:row>
      <xdr:rowOff>130970</xdr:rowOff>
    </xdr:to>
    <xdr:sp macro="" textlink="">
      <xdr:nvSpPr>
        <xdr:cNvPr id="13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/>
      </xdr:nvSpPr>
      <xdr:spPr>
        <a:xfrm>
          <a:off x="2838131" y="190500"/>
          <a:ext cx="2140324" cy="32147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Operational</a:t>
          </a:r>
          <a:endParaRPr lang="pt-BR" sz="1200" b="1"/>
        </a:p>
      </xdr:txBody>
    </xdr:sp>
    <xdr:clientData/>
  </xdr:twoCellAnchor>
  <xdr:twoCellAnchor>
    <xdr:from>
      <xdr:col>2</xdr:col>
      <xdr:colOff>3042</xdr:colOff>
      <xdr:row>3</xdr:row>
      <xdr:rowOff>5953</xdr:rowOff>
    </xdr:from>
    <xdr:to>
      <xdr:col>2</xdr:col>
      <xdr:colOff>2118700</xdr:colOff>
      <xdr:row>4</xdr:row>
      <xdr:rowOff>136922</xdr:rowOff>
    </xdr:to>
    <xdr:sp macro="" textlink="">
      <xdr:nvSpPr>
        <xdr:cNvPr id="14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/>
      </xdr:nvSpPr>
      <xdr:spPr>
        <a:xfrm>
          <a:off x="2838130" y="577453"/>
          <a:ext cx="2115658" cy="32146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1428750" y="203200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Maranhão</a:t>
          </a:r>
        </a:p>
      </xdr:txBody>
    </xdr:sp>
    <xdr:clientData/>
  </xdr:twoCellAnchor>
  <xdr:twoCellAnchor>
    <xdr:from>
      <xdr:col>3</xdr:col>
      <xdr:colOff>114300</xdr:colOff>
      <xdr:row>11</xdr:row>
      <xdr:rowOff>66675</xdr:rowOff>
    </xdr:from>
    <xdr:to>
      <xdr:col>6</xdr:col>
      <xdr:colOff>476250</xdr:colOff>
      <xdr:row>13</xdr:row>
      <xdr:rowOff>22225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/>
      </xdr:nvSpPr>
      <xdr:spPr>
        <a:xfrm>
          <a:off x="1428750" y="251777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Pará</a:t>
          </a:r>
        </a:p>
      </xdr:txBody>
    </xdr:sp>
    <xdr:clientData/>
  </xdr:twoCellAnchor>
  <xdr:twoCellAnchor>
    <xdr:from>
      <xdr:col>3</xdr:col>
      <xdr:colOff>114300</xdr:colOff>
      <xdr:row>14</xdr:row>
      <xdr:rowOff>0</xdr:rowOff>
    </xdr:from>
    <xdr:to>
      <xdr:col>6</xdr:col>
      <xdr:colOff>476250</xdr:colOff>
      <xdr:row>15</xdr:row>
      <xdr:rowOff>139700</xdr:rowOff>
    </xdr:to>
    <xdr:sp macro="" textlink="">
      <xdr:nvSpPr>
        <xdr:cNvPr id="5" name="Retângulo: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/>
      </xdr:nvSpPr>
      <xdr:spPr>
        <a:xfrm>
          <a:off x="1428750" y="30035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Piauí</a:t>
          </a:r>
        </a:p>
      </xdr:txBody>
    </xdr:sp>
    <xdr:clientData/>
  </xdr:twoCellAnchor>
  <xdr:twoCellAnchor>
    <xdr:from>
      <xdr:col>3</xdr:col>
      <xdr:colOff>114300</xdr:colOff>
      <xdr:row>16</xdr:row>
      <xdr:rowOff>117475</xdr:rowOff>
    </xdr:from>
    <xdr:to>
      <xdr:col>6</xdr:col>
      <xdr:colOff>476250</xdr:colOff>
      <xdr:row>18</xdr:row>
      <xdr:rowOff>73025</xdr:rowOff>
    </xdr:to>
    <xdr:sp macro="" textlink="">
      <xdr:nvSpPr>
        <xdr:cNvPr id="6" name="Retângulo: Cantos Arredondado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/>
      </xdr:nvSpPr>
      <xdr:spPr>
        <a:xfrm>
          <a:off x="1428750" y="348932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Alagoas</a:t>
          </a:r>
        </a:p>
      </xdr:txBody>
    </xdr:sp>
    <xdr:clientData/>
  </xdr:twoCellAnchor>
  <xdr:twoCellAnchor>
    <xdr:from>
      <xdr:col>3</xdr:col>
      <xdr:colOff>114300</xdr:colOff>
      <xdr:row>19</xdr:row>
      <xdr:rowOff>69850</xdr:rowOff>
    </xdr:from>
    <xdr:to>
      <xdr:col>6</xdr:col>
      <xdr:colOff>476250</xdr:colOff>
      <xdr:row>21</xdr:row>
      <xdr:rowOff>25400</xdr:rowOff>
    </xdr:to>
    <xdr:sp macro="" textlink="">
      <xdr:nvSpPr>
        <xdr:cNvPr id="7" name="Retângulo: Cantos Arredondados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/>
      </xdr:nvSpPr>
      <xdr:spPr>
        <a:xfrm>
          <a:off x="1428750" y="39941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CEEE-D</a:t>
          </a:r>
        </a:p>
      </xdr:txBody>
    </xdr:sp>
    <xdr:clientData/>
  </xdr:twoCellAnchor>
  <xdr:twoCellAnchor>
    <xdr:from>
      <xdr:col>8</xdr:col>
      <xdr:colOff>174438</xdr:colOff>
      <xdr:row>11</xdr:row>
      <xdr:rowOff>125879</xdr:rowOff>
    </xdr:from>
    <xdr:to>
      <xdr:col>11</xdr:col>
      <xdr:colOff>536388</xdr:colOff>
      <xdr:row>13</xdr:row>
      <xdr:rowOff>81429</xdr:rowOff>
    </xdr:to>
    <xdr:sp macro="" textlink="">
      <xdr:nvSpPr>
        <xdr:cNvPr id="8" name="Retângulo: Cantos Arredondados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/>
      </xdr:nvSpPr>
      <xdr:spPr>
        <a:xfrm>
          <a:off x="4089026" y="2598644"/>
          <a:ext cx="2199715" cy="32907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EQTT</a:t>
          </a:r>
        </a:p>
      </xdr:txBody>
    </xdr:sp>
    <xdr:clientData/>
  </xdr:twoCellAnchor>
  <xdr:twoCellAnchor>
    <xdr:from>
      <xdr:col>8</xdr:col>
      <xdr:colOff>174438</xdr:colOff>
      <xdr:row>14</xdr:row>
      <xdr:rowOff>59204</xdr:rowOff>
    </xdr:from>
    <xdr:to>
      <xdr:col>11</xdr:col>
      <xdr:colOff>536388</xdr:colOff>
      <xdr:row>16</xdr:row>
      <xdr:rowOff>14754</xdr:rowOff>
    </xdr:to>
    <xdr:sp macro="" textlink="">
      <xdr:nvSpPr>
        <xdr:cNvPr id="9" name="Retângulo: Cantos Arredondados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/>
      </xdr:nvSpPr>
      <xdr:spPr>
        <a:xfrm>
          <a:off x="4089026" y="3092263"/>
          <a:ext cx="2199715" cy="32907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INTESA</a:t>
          </a:r>
        </a:p>
      </xdr:txBody>
    </xdr:sp>
    <xdr:clientData/>
  </xdr:twoCellAnchor>
  <xdr:twoCellAnchor>
    <xdr:from>
      <xdr:col>13</xdr:col>
      <xdr:colOff>92214</xdr:colOff>
      <xdr:row>8</xdr:row>
      <xdr:rowOff>149411</xdr:rowOff>
    </xdr:from>
    <xdr:to>
      <xdr:col>16</xdr:col>
      <xdr:colOff>454164</xdr:colOff>
      <xdr:row>10</xdr:row>
      <xdr:rowOff>104961</xdr:rowOff>
    </xdr:to>
    <xdr:sp macro="" textlink="">
      <xdr:nvSpPr>
        <xdr:cNvPr id="12" name="Retângulo: Cantos Arredondados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/>
      </xdr:nvSpPr>
      <xdr:spPr>
        <a:xfrm>
          <a:off x="6562864" y="2048061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</a:t>
          </a:r>
          <a:r>
            <a:rPr lang="pt-BR" sz="1100" b="1" baseline="0"/>
            <a:t> Participações</a:t>
          </a:r>
          <a:endParaRPr lang="pt-BR" sz="1100" b="1"/>
        </a:p>
      </xdr:txBody>
    </xdr:sp>
    <xdr:clientData/>
  </xdr:twoCellAnchor>
  <xdr:twoCellAnchor>
    <xdr:from>
      <xdr:col>3</xdr:col>
      <xdr:colOff>114300</xdr:colOff>
      <xdr:row>21</xdr:row>
      <xdr:rowOff>149225</xdr:rowOff>
    </xdr:from>
    <xdr:to>
      <xdr:col>6</xdr:col>
      <xdr:colOff>476250</xdr:colOff>
      <xdr:row>23</xdr:row>
      <xdr:rowOff>104775</xdr:rowOff>
    </xdr:to>
    <xdr:sp macro="" textlink="">
      <xdr:nvSpPr>
        <xdr:cNvPr id="13" name="Retângulo: Cantos Arredondados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/>
      </xdr:nvSpPr>
      <xdr:spPr>
        <a:xfrm>
          <a:off x="1428750" y="444182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CEA</a:t>
          </a:r>
        </a:p>
      </xdr:txBody>
    </xdr:sp>
    <xdr:clientData/>
  </xdr:twoCellAnchor>
  <xdr:twoCellAnchor>
    <xdr:from>
      <xdr:col>3</xdr:col>
      <xdr:colOff>114300</xdr:colOff>
      <xdr:row>24</xdr:row>
      <xdr:rowOff>101600</xdr:rowOff>
    </xdr:from>
    <xdr:to>
      <xdr:col>6</xdr:col>
      <xdr:colOff>476250</xdr:colOff>
      <xdr:row>26</xdr:row>
      <xdr:rowOff>57150</xdr:rowOff>
    </xdr:to>
    <xdr:sp macro="" textlink="">
      <xdr:nvSpPr>
        <xdr:cNvPr id="14" name="Retângulo: Cantos Arredondados 1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/>
      </xdr:nvSpPr>
      <xdr:spPr>
        <a:xfrm>
          <a:off x="1428750" y="49466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Goiás</a:t>
          </a:r>
        </a:p>
      </xdr:txBody>
    </xdr:sp>
    <xdr:clientData/>
  </xdr:twoCellAnchor>
  <xdr:twoCellAnchor>
    <xdr:from>
      <xdr:col>18</xdr:col>
      <xdr:colOff>87732</xdr:colOff>
      <xdr:row>8</xdr:row>
      <xdr:rowOff>152400</xdr:rowOff>
    </xdr:from>
    <xdr:to>
      <xdr:col>21</xdr:col>
      <xdr:colOff>449682</xdr:colOff>
      <xdr:row>10</xdr:row>
      <xdr:rowOff>107950</xdr:rowOff>
    </xdr:to>
    <xdr:sp macro="" textlink="">
      <xdr:nvSpPr>
        <xdr:cNvPr id="15" name="Retângulo: Cantos Arredondados 1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/>
      </xdr:nvSpPr>
      <xdr:spPr>
        <a:xfrm>
          <a:off x="9136482" y="20510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CSA</a:t>
          </a:r>
        </a:p>
      </xdr:txBody>
    </xdr:sp>
    <xdr:clientData/>
  </xdr:twoCellAnchor>
  <xdr:twoCellAnchor>
    <xdr:from>
      <xdr:col>23</xdr:col>
      <xdr:colOff>110143</xdr:colOff>
      <xdr:row>8</xdr:row>
      <xdr:rowOff>144928</xdr:rowOff>
    </xdr:from>
    <xdr:to>
      <xdr:col>26</xdr:col>
      <xdr:colOff>472094</xdr:colOff>
      <xdr:row>10</xdr:row>
      <xdr:rowOff>100478</xdr:rowOff>
    </xdr:to>
    <xdr:sp macro="" textlink="">
      <xdr:nvSpPr>
        <xdr:cNvPr id="16" name="Retângulo: Cantos Arredondados 15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/>
      </xdr:nvSpPr>
      <xdr:spPr>
        <a:xfrm>
          <a:off x="11736993" y="2043578"/>
          <a:ext cx="2190751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Serviços</a:t>
          </a:r>
        </a:p>
      </xdr:txBody>
    </xdr:sp>
    <xdr:clientData/>
  </xdr:twoCellAnchor>
  <xdr:twoCellAnchor>
    <xdr:from>
      <xdr:col>23</xdr:col>
      <xdr:colOff>110143</xdr:colOff>
      <xdr:row>11</xdr:row>
      <xdr:rowOff>55842</xdr:rowOff>
    </xdr:from>
    <xdr:to>
      <xdr:col>26</xdr:col>
      <xdr:colOff>472094</xdr:colOff>
      <xdr:row>13</xdr:row>
      <xdr:rowOff>11392</xdr:rowOff>
    </xdr:to>
    <xdr:sp macro="" textlink="">
      <xdr:nvSpPr>
        <xdr:cNvPr id="17" name="Retângulo: Cantos Arredondados 16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/>
      </xdr:nvSpPr>
      <xdr:spPr>
        <a:xfrm>
          <a:off x="11736993" y="2506942"/>
          <a:ext cx="2190751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Holding</a:t>
          </a:r>
        </a:p>
      </xdr:txBody>
    </xdr:sp>
    <xdr:clientData/>
  </xdr:twoCellAnchor>
  <xdr:twoCellAnchor>
    <xdr:from>
      <xdr:col>23</xdr:col>
      <xdr:colOff>110143</xdr:colOff>
      <xdr:row>13</xdr:row>
      <xdr:rowOff>171384</xdr:rowOff>
    </xdr:from>
    <xdr:to>
      <xdr:col>26</xdr:col>
      <xdr:colOff>472094</xdr:colOff>
      <xdr:row>15</xdr:row>
      <xdr:rowOff>128867</xdr:rowOff>
    </xdr:to>
    <xdr:sp macro="" textlink="">
      <xdr:nvSpPr>
        <xdr:cNvPr id="18" name="Retângulo: Cantos Arredondados 17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/>
      </xdr:nvSpPr>
      <xdr:spPr>
        <a:xfrm>
          <a:off x="11736993" y="2990784"/>
          <a:ext cx="2190751" cy="325783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Consolidado</a:t>
          </a:r>
        </a:p>
      </xdr:txBody>
    </xdr:sp>
    <xdr:clientData/>
  </xdr:twoCellAnchor>
  <xdr:twoCellAnchor>
    <xdr:from>
      <xdr:col>13</xdr:col>
      <xdr:colOff>108276</xdr:colOff>
      <xdr:row>11</xdr:row>
      <xdr:rowOff>60885</xdr:rowOff>
    </xdr:from>
    <xdr:to>
      <xdr:col>16</xdr:col>
      <xdr:colOff>470226</xdr:colOff>
      <xdr:row>13</xdr:row>
      <xdr:rowOff>16435</xdr:rowOff>
    </xdr:to>
    <xdr:sp macro="" textlink="">
      <xdr:nvSpPr>
        <xdr:cNvPr id="19" name="Retângulo: Cantos Arredondados 18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/>
      </xdr:nvSpPr>
      <xdr:spPr>
        <a:xfrm>
          <a:off x="6615158" y="2533650"/>
          <a:ext cx="2199715" cy="32907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 Crescimento</a:t>
          </a:r>
        </a:p>
      </xdr:txBody>
    </xdr:sp>
    <xdr:clientData/>
  </xdr:twoCellAnchor>
  <xdr:twoCellAnchor>
    <xdr:from>
      <xdr:col>8</xdr:col>
      <xdr:colOff>168041</xdr:colOff>
      <xdr:row>8</xdr:row>
      <xdr:rowOff>172943</xdr:rowOff>
    </xdr:from>
    <xdr:to>
      <xdr:col>11</xdr:col>
      <xdr:colOff>529991</xdr:colOff>
      <xdr:row>10</xdr:row>
      <xdr:rowOff>128493</xdr:rowOff>
    </xdr:to>
    <xdr:sp macro="" textlink="">
      <xdr:nvSpPr>
        <xdr:cNvPr id="10" name="Retângulo: Cantos Arredondados 9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/>
      </xdr:nvSpPr>
      <xdr:spPr>
        <a:xfrm>
          <a:off x="4082629" y="2085414"/>
          <a:ext cx="2199715" cy="32907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SPEs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9</xdr:col>
      <xdr:colOff>133938</xdr:colOff>
      <xdr:row>2</xdr:row>
      <xdr:rowOff>79136</xdr:rowOff>
    </xdr:to>
    <xdr:sp macro="" textlink="">
      <xdr:nvSpPr>
        <xdr:cNvPr id="20" name="Retângulo: Cantos Arredondados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/>
      </xdr:nvSpPr>
      <xdr:spPr>
        <a:xfrm>
          <a:off x="2547471" y="186765"/>
          <a:ext cx="2113643" cy="26590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 editAs="oneCell">
    <xdr:from>
      <xdr:col>0</xdr:col>
      <xdr:colOff>224118</xdr:colOff>
      <xdr:row>0</xdr:row>
      <xdr:rowOff>78442</xdr:rowOff>
    </xdr:from>
    <xdr:to>
      <xdr:col>4</xdr:col>
      <xdr:colOff>171887</xdr:colOff>
      <xdr:row>2</xdr:row>
      <xdr:rowOff>135894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3399805F-4380-4005-84F2-0DC8CF77A7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>
          <a:off x="224118" y="78442"/>
          <a:ext cx="1863975" cy="41604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1438275" y="20097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Maranhão</a:t>
          </a:r>
        </a:p>
      </xdr:txBody>
    </xdr:sp>
    <xdr:clientData/>
  </xdr:twoCellAnchor>
  <xdr:twoCellAnchor>
    <xdr:from>
      <xdr:col>3</xdr:col>
      <xdr:colOff>114300</xdr:colOff>
      <xdr:row>11</xdr:row>
      <xdr:rowOff>66675</xdr:rowOff>
    </xdr:from>
    <xdr:to>
      <xdr:col>6</xdr:col>
      <xdr:colOff>476250</xdr:colOff>
      <xdr:row>13</xdr:row>
      <xdr:rowOff>22225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>
          <a:off x="1438275" y="24828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Pará</a:t>
          </a:r>
        </a:p>
      </xdr:txBody>
    </xdr:sp>
    <xdr:clientData/>
  </xdr:twoCellAnchor>
  <xdr:twoCellAnchor>
    <xdr:from>
      <xdr:col>3</xdr:col>
      <xdr:colOff>114300</xdr:colOff>
      <xdr:row>14</xdr:row>
      <xdr:rowOff>0</xdr:rowOff>
    </xdr:from>
    <xdr:to>
      <xdr:col>6</xdr:col>
      <xdr:colOff>476250</xdr:colOff>
      <xdr:row>15</xdr:row>
      <xdr:rowOff>139700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/>
      </xdr:nvSpPr>
      <xdr:spPr>
        <a:xfrm>
          <a:off x="1438275" y="296227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Piauí</a:t>
          </a:r>
        </a:p>
      </xdr:txBody>
    </xdr:sp>
    <xdr:clientData/>
  </xdr:twoCellAnchor>
  <xdr:twoCellAnchor>
    <xdr:from>
      <xdr:col>3</xdr:col>
      <xdr:colOff>114300</xdr:colOff>
      <xdr:row>16</xdr:row>
      <xdr:rowOff>117475</xdr:rowOff>
    </xdr:from>
    <xdr:to>
      <xdr:col>6</xdr:col>
      <xdr:colOff>476250</xdr:colOff>
      <xdr:row>18</xdr:row>
      <xdr:rowOff>73025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/>
      </xdr:nvSpPr>
      <xdr:spPr>
        <a:xfrm>
          <a:off x="1438275" y="34448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Alagoas</a:t>
          </a:r>
        </a:p>
      </xdr:txBody>
    </xdr:sp>
    <xdr:clientData/>
  </xdr:twoCellAnchor>
  <xdr:twoCellAnchor>
    <xdr:from>
      <xdr:col>3</xdr:col>
      <xdr:colOff>114300</xdr:colOff>
      <xdr:row>19</xdr:row>
      <xdr:rowOff>69850</xdr:rowOff>
    </xdr:from>
    <xdr:to>
      <xdr:col>6</xdr:col>
      <xdr:colOff>476250</xdr:colOff>
      <xdr:row>21</xdr:row>
      <xdr:rowOff>25400</xdr:rowOff>
    </xdr:to>
    <xdr:sp macro="" textlink="">
      <xdr:nvSpPr>
        <xdr:cNvPr id="6" name="Retângulo: Cantos Arredondado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/>
      </xdr:nvSpPr>
      <xdr:spPr>
        <a:xfrm>
          <a:off x="1438275" y="393382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CEEE-D</a:t>
          </a:r>
        </a:p>
      </xdr:txBody>
    </xdr:sp>
    <xdr:clientData/>
  </xdr:twoCellAnchor>
  <xdr:twoCellAnchor>
    <xdr:from>
      <xdr:col>8</xdr:col>
      <xdr:colOff>174438</xdr:colOff>
      <xdr:row>11</xdr:row>
      <xdr:rowOff>125879</xdr:rowOff>
    </xdr:from>
    <xdr:to>
      <xdr:col>11</xdr:col>
      <xdr:colOff>536388</xdr:colOff>
      <xdr:row>13</xdr:row>
      <xdr:rowOff>81429</xdr:rowOff>
    </xdr:to>
    <xdr:sp macro="" textlink="">
      <xdr:nvSpPr>
        <xdr:cNvPr id="7" name="Retângulo: Cantos Arredondado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/>
      </xdr:nvSpPr>
      <xdr:spPr>
        <a:xfrm>
          <a:off x="4079688" y="2542054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EQTT</a:t>
          </a:r>
        </a:p>
      </xdr:txBody>
    </xdr:sp>
    <xdr:clientData/>
  </xdr:twoCellAnchor>
  <xdr:twoCellAnchor>
    <xdr:from>
      <xdr:col>8</xdr:col>
      <xdr:colOff>174438</xdr:colOff>
      <xdr:row>14</xdr:row>
      <xdr:rowOff>59204</xdr:rowOff>
    </xdr:from>
    <xdr:to>
      <xdr:col>11</xdr:col>
      <xdr:colOff>536388</xdr:colOff>
      <xdr:row>16</xdr:row>
      <xdr:rowOff>14754</xdr:rowOff>
    </xdr:to>
    <xdr:sp macro="" textlink="">
      <xdr:nvSpPr>
        <xdr:cNvPr id="8" name="Retângulo: Cantos Arredondados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/>
      </xdr:nvSpPr>
      <xdr:spPr>
        <a:xfrm>
          <a:off x="4079688" y="3021479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INTESA</a:t>
          </a:r>
        </a:p>
      </xdr:txBody>
    </xdr:sp>
    <xdr:clientData/>
  </xdr:twoCellAnchor>
  <xdr:twoCellAnchor>
    <xdr:from>
      <xdr:col>13</xdr:col>
      <xdr:colOff>92214</xdr:colOff>
      <xdr:row>8</xdr:row>
      <xdr:rowOff>149411</xdr:rowOff>
    </xdr:from>
    <xdr:to>
      <xdr:col>16</xdr:col>
      <xdr:colOff>454164</xdr:colOff>
      <xdr:row>10</xdr:row>
      <xdr:rowOff>104961</xdr:rowOff>
    </xdr:to>
    <xdr:sp macro="" textlink="">
      <xdr:nvSpPr>
        <xdr:cNvPr id="9" name="Retângulo: Cantos Arredondados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/>
      </xdr:nvSpPr>
      <xdr:spPr>
        <a:xfrm>
          <a:off x="6578739" y="2025836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 Participações</a:t>
          </a:r>
        </a:p>
      </xdr:txBody>
    </xdr:sp>
    <xdr:clientData/>
  </xdr:twoCellAnchor>
  <xdr:twoCellAnchor>
    <xdr:from>
      <xdr:col>3</xdr:col>
      <xdr:colOff>114300</xdr:colOff>
      <xdr:row>21</xdr:row>
      <xdr:rowOff>149225</xdr:rowOff>
    </xdr:from>
    <xdr:to>
      <xdr:col>6</xdr:col>
      <xdr:colOff>476250</xdr:colOff>
      <xdr:row>23</xdr:row>
      <xdr:rowOff>104775</xdr:rowOff>
    </xdr:to>
    <xdr:sp macro="" textlink="">
      <xdr:nvSpPr>
        <xdr:cNvPr id="10" name="Retângulo: Cantos Arredondados 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/>
      </xdr:nvSpPr>
      <xdr:spPr>
        <a:xfrm>
          <a:off x="1438275" y="437832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CEA</a:t>
          </a:r>
        </a:p>
      </xdr:txBody>
    </xdr:sp>
    <xdr:clientData/>
  </xdr:twoCellAnchor>
  <xdr:twoCellAnchor>
    <xdr:from>
      <xdr:col>3</xdr:col>
      <xdr:colOff>114300</xdr:colOff>
      <xdr:row>24</xdr:row>
      <xdr:rowOff>101600</xdr:rowOff>
    </xdr:from>
    <xdr:to>
      <xdr:col>6</xdr:col>
      <xdr:colOff>476250</xdr:colOff>
      <xdr:row>26</xdr:row>
      <xdr:rowOff>57150</xdr:rowOff>
    </xdr:to>
    <xdr:sp macro="" textlink="">
      <xdr:nvSpPr>
        <xdr:cNvPr id="11" name="Retângulo: Cantos Arredondados 1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/>
      </xdr:nvSpPr>
      <xdr:spPr>
        <a:xfrm>
          <a:off x="1438275" y="4876800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Goiás</a:t>
          </a:r>
        </a:p>
      </xdr:txBody>
    </xdr:sp>
    <xdr:clientData/>
  </xdr:twoCellAnchor>
  <xdr:twoCellAnchor>
    <xdr:from>
      <xdr:col>18</xdr:col>
      <xdr:colOff>87732</xdr:colOff>
      <xdr:row>8</xdr:row>
      <xdr:rowOff>152400</xdr:rowOff>
    </xdr:from>
    <xdr:to>
      <xdr:col>21</xdr:col>
      <xdr:colOff>449682</xdr:colOff>
      <xdr:row>10</xdr:row>
      <xdr:rowOff>107950</xdr:rowOff>
    </xdr:to>
    <xdr:sp macro="" textlink="">
      <xdr:nvSpPr>
        <xdr:cNvPr id="12" name="Retângulo: Cantos Arredondados 1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/>
      </xdr:nvSpPr>
      <xdr:spPr>
        <a:xfrm>
          <a:off x="9152357" y="202882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CSA</a:t>
          </a:r>
        </a:p>
      </xdr:txBody>
    </xdr:sp>
    <xdr:clientData/>
  </xdr:twoCellAnchor>
  <xdr:twoCellAnchor>
    <xdr:from>
      <xdr:col>23</xdr:col>
      <xdr:colOff>110143</xdr:colOff>
      <xdr:row>8</xdr:row>
      <xdr:rowOff>144928</xdr:rowOff>
    </xdr:from>
    <xdr:to>
      <xdr:col>26</xdr:col>
      <xdr:colOff>472094</xdr:colOff>
      <xdr:row>10</xdr:row>
      <xdr:rowOff>100478</xdr:rowOff>
    </xdr:to>
    <xdr:sp macro="" textlink="">
      <xdr:nvSpPr>
        <xdr:cNvPr id="13" name="Retângulo: Cantos Arredondados 1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/>
      </xdr:nvSpPr>
      <xdr:spPr>
        <a:xfrm>
          <a:off x="11756043" y="2018178"/>
          <a:ext cx="2190751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Serviços</a:t>
          </a:r>
        </a:p>
      </xdr:txBody>
    </xdr:sp>
    <xdr:clientData/>
  </xdr:twoCellAnchor>
  <xdr:twoCellAnchor>
    <xdr:from>
      <xdr:col>23</xdr:col>
      <xdr:colOff>110143</xdr:colOff>
      <xdr:row>11</xdr:row>
      <xdr:rowOff>55842</xdr:rowOff>
    </xdr:from>
    <xdr:to>
      <xdr:col>26</xdr:col>
      <xdr:colOff>472094</xdr:colOff>
      <xdr:row>13</xdr:row>
      <xdr:rowOff>11392</xdr:rowOff>
    </xdr:to>
    <xdr:sp macro="" textlink="">
      <xdr:nvSpPr>
        <xdr:cNvPr id="14" name="Retângulo: Cantos Arredondados 1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/>
      </xdr:nvSpPr>
      <xdr:spPr>
        <a:xfrm>
          <a:off x="11756043" y="2475192"/>
          <a:ext cx="2190751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Holding</a:t>
          </a:r>
        </a:p>
      </xdr:txBody>
    </xdr:sp>
    <xdr:clientData/>
  </xdr:twoCellAnchor>
  <xdr:twoCellAnchor>
    <xdr:from>
      <xdr:col>23</xdr:col>
      <xdr:colOff>110143</xdr:colOff>
      <xdr:row>13</xdr:row>
      <xdr:rowOff>171384</xdr:rowOff>
    </xdr:from>
    <xdr:to>
      <xdr:col>26</xdr:col>
      <xdr:colOff>472094</xdr:colOff>
      <xdr:row>15</xdr:row>
      <xdr:rowOff>128867</xdr:rowOff>
    </xdr:to>
    <xdr:sp macro="" textlink="">
      <xdr:nvSpPr>
        <xdr:cNvPr id="15" name="Retângulo: Cantos Arredondados 1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/>
      </xdr:nvSpPr>
      <xdr:spPr>
        <a:xfrm>
          <a:off x="11756043" y="2952684"/>
          <a:ext cx="2190751" cy="31625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Consolidated</a:t>
          </a:r>
        </a:p>
      </xdr:txBody>
    </xdr:sp>
    <xdr:clientData/>
  </xdr:twoCellAnchor>
  <xdr:twoCellAnchor>
    <xdr:from>
      <xdr:col>13</xdr:col>
      <xdr:colOff>108276</xdr:colOff>
      <xdr:row>11</xdr:row>
      <xdr:rowOff>60885</xdr:rowOff>
    </xdr:from>
    <xdr:to>
      <xdr:col>16</xdr:col>
      <xdr:colOff>470226</xdr:colOff>
      <xdr:row>13</xdr:row>
      <xdr:rowOff>16435</xdr:rowOff>
    </xdr:to>
    <xdr:sp macro="" textlink="">
      <xdr:nvSpPr>
        <xdr:cNvPr id="16" name="Retângulo: Cantos Arredondados 1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/>
      </xdr:nvSpPr>
      <xdr:spPr>
        <a:xfrm>
          <a:off x="6591626" y="2483410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 Crescimento</a:t>
          </a:r>
        </a:p>
      </xdr:txBody>
    </xdr:sp>
    <xdr:clientData/>
  </xdr:twoCellAnchor>
  <xdr:twoCellAnchor>
    <xdr:from>
      <xdr:col>8</xdr:col>
      <xdr:colOff>168041</xdr:colOff>
      <xdr:row>8</xdr:row>
      <xdr:rowOff>172943</xdr:rowOff>
    </xdr:from>
    <xdr:to>
      <xdr:col>11</xdr:col>
      <xdr:colOff>529991</xdr:colOff>
      <xdr:row>10</xdr:row>
      <xdr:rowOff>128493</xdr:rowOff>
    </xdr:to>
    <xdr:sp macro="" textlink="">
      <xdr:nvSpPr>
        <xdr:cNvPr id="17" name="Retângulo: Cantos Arredondados 16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/>
      </xdr:nvSpPr>
      <xdr:spPr>
        <a:xfrm>
          <a:off x="4070116" y="2049368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SPEs</a:t>
          </a:r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9</xdr:col>
      <xdr:colOff>133938</xdr:colOff>
      <xdr:row>2</xdr:row>
      <xdr:rowOff>79136</xdr:rowOff>
    </xdr:to>
    <xdr:sp macro="" textlink="">
      <xdr:nvSpPr>
        <xdr:cNvPr id="18" name="Retângulo: Cantos Arredondados 1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/>
      </xdr:nvSpPr>
      <xdr:spPr>
        <a:xfrm>
          <a:off x="2543175" y="180975"/>
          <a:ext cx="2105613" cy="26011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 editAs="oneCell">
    <xdr:from>
      <xdr:col>0</xdr:col>
      <xdr:colOff>212912</xdr:colOff>
      <xdr:row>0</xdr:row>
      <xdr:rowOff>33618</xdr:rowOff>
    </xdr:from>
    <xdr:to>
      <xdr:col>4</xdr:col>
      <xdr:colOff>160681</xdr:colOff>
      <xdr:row>2</xdr:row>
      <xdr:rowOff>91070</xdr:rowOff>
    </xdr:to>
    <xdr:pic>
      <xdr:nvPicPr>
        <xdr:cNvPr id="20" name="Gráfico 19">
          <a:extLst>
            <a:ext uri="{FF2B5EF4-FFF2-40B4-BE49-F238E27FC236}">
              <a16:creationId xmlns:a16="http://schemas.microsoft.com/office/drawing/2014/main" id="{FE737EEB-836A-450F-A31E-A4295034E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96DAC541-7B7A-43D3-8B79-37D633B846F1}">
              <asvg:svgBlip xmlns:asvg="http://schemas.microsoft.com/office/drawing/2016/SVG/main" r:embed="rId19"/>
            </a:ext>
          </a:extLst>
        </a:blip>
        <a:stretch>
          <a:fillRect/>
        </a:stretch>
      </xdr:blipFill>
      <xdr:spPr>
        <a:xfrm>
          <a:off x="212912" y="33618"/>
          <a:ext cx="1863975" cy="41604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2231934</xdr:colOff>
      <xdr:row>0</xdr:row>
      <xdr:rowOff>154889</xdr:rowOff>
    </xdr:from>
    <xdr:to>
      <xdr:col>0</xdr:col>
      <xdr:colOff>4322717</xdr:colOff>
      <xdr:row>2</xdr:row>
      <xdr:rowOff>67687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>
        <a:xfrm>
          <a:off x="2231934" y="154889"/>
          <a:ext cx="2090783" cy="2713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5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Income Statement</a:t>
          </a:r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6" name="Retângulo: Cantos Arredondados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12" name="Rounded Rectangle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F00-00000C000000}"/>
            </a:ext>
            <a:ext uri="{147F2762-F138-4A5C-976F-8EAC2B608ADB}">
              <a16:predDERef xmlns:a16="http://schemas.microsoft.com/office/drawing/2014/main" pred="{FF17C119-50CC-4FF6-8381-D4DB60869A1F}"/>
            </a:ext>
          </a:extLst>
        </xdr:cNvPr>
        <xdr:cNvSpPr/>
      </xdr:nvSpPr>
      <xdr:spPr>
        <a:xfrm>
          <a:off x="0" y="180975"/>
          <a:ext cx="2113643" cy="270783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13" name="Rounded Rectangle 1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F00-00000D000000}"/>
            </a:ext>
            <a:ext uri="{147F2762-F138-4A5C-976F-8EAC2B608ADB}">
              <a16:predDERef xmlns:a16="http://schemas.microsoft.com/office/drawing/2014/main" pred="{C451CB10-1DEB-4259-80B5-89E08EEC777A}"/>
            </a:ext>
          </a:extLst>
        </xdr:cNvPr>
        <xdr:cNvSpPr/>
      </xdr:nvSpPr>
      <xdr:spPr>
        <a:xfrm>
          <a:off x="0" y="180975"/>
          <a:ext cx="2113643" cy="270783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1200" b="1"/>
            <a:t>Retornar DREs ITR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2224314" y="18324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000-000003000000}"/>
            </a:ext>
            <a:ext uri="{147F2762-F138-4A5C-976F-8EAC2B608ADB}">
              <a16:predDERef xmlns:a16="http://schemas.microsoft.com/office/drawing/2014/main" pred="{00000000-0008-0000-0C00-000002000000}"/>
            </a:ext>
          </a:extLst>
        </xdr:cNvPr>
        <xdr:cNvSpPr/>
      </xdr:nvSpPr>
      <xdr:spPr>
        <a:xfrm>
          <a:off x="0" y="190500"/>
          <a:ext cx="2113643" cy="270783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10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/>
      </xdr:nvSpPr>
      <xdr:spPr>
        <a:xfrm>
          <a:off x="2224314" y="192315"/>
          <a:ext cx="2113643" cy="28030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11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/>
      </xdr:nvSpPr>
      <xdr:spPr>
        <a:xfrm>
          <a:off x="0" y="190500"/>
          <a:ext cx="2113643" cy="28030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12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13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/>
      </xdr:nvSpPr>
      <xdr:spPr>
        <a:xfrm>
          <a:off x="2224314" y="18324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/>
      </xdr:nvSpPr>
      <xdr:spPr>
        <a:xfrm>
          <a:off x="0" y="181429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/>
      </xdr:nvSpPr>
      <xdr:spPr>
        <a:xfrm>
          <a:off x="2224314" y="18324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/>
      </xdr:nvSpPr>
      <xdr:spPr>
        <a:xfrm>
          <a:off x="0" y="181429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>
        <a:xfrm>
          <a:off x="2224314" y="18324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/>
      </xdr:nvSpPr>
      <xdr:spPr>
        <a:xfrm>
          <a:off x="0" y="181429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/>
      </xdr:nvSpPr>
      <xdr:spPr>
        <a:xfrm>
          <a:off x="2224314" y="18324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/>
      </xdr:nvSpPr>
      <xdr:spPr>
        <a:xfrm>
          <a:off x="0" y="181429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/>
      </xdr:nvSpPr>
      <xdr:spPr>
        <a:xfrm>
          <a:off x="2224314" y="18324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/>
      </xdr:nvSpPr>
      <xdr:spPr>
        <a:xfrm>
          <a:off x="0" y="181429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5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6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/>
      </xdr:nvSpPr>
      <xdr:spPr>
        <a:xfrm>
          <a:off x="2224314" y="18324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/>
      </xdr:nvSpPr>
      <xdr:spPr>
        <a:xfrm>
          <a:off x="0" y="181429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5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6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/>
      </xdr:nvSpPr>
      <xdr:spPr>
        <a:xfrm>
          <a:off x="2224314" y="18324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/>
      </xdr:nvSpPr>
      <xdr:spPr>
        <a:xfrm>
          <a:off x="0" y="181429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5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6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/>
      </xdr:nvSpPr>
      <xdr:spPr>
        <a:xfrm>
          <a:off x="2224314" y="18324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/>
      </xdr:nvSpPr>
      <xdr:spPr>
        <a:xfrm>
          <a:off x="0" y="181429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5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6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2342243</xdr:colOff>
      <xdr:row>0</xdr:row>
      <xdr:rowOff>119744</xdr:rowOff>
    </xdr:from>
    <xdr:to>
      <xdr:col>0</xdr:col>
      <xdr:colOff>4455886</xdr:colOff>
      <xdr:row>2</xdr:row>
      <xdr:rowOff>28123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/>
      </xdr:nvSpPr>
      <xdr:spPr>
        <a:xfrm>
          <a:off x="2342243" y="11974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117929</xdr:colOff>
      <xdr:row>0</xdr:row>
      <xdr:rowOff>117929</xdr:rowOff>
    </xdr:from>
    <xdr:to>
      <xdr:col>0</xdr:col>
      <xdr:colOff>2231572</xdr:colOff>
      <xdr:row>2</xdr:row>
      <xdr:rowOff>26308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/>
      </xdr:nvSpPr>
      <xdr:spPr>
        <a:xfrm>
          <a:off x="117929" y="117929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13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/>
      </xdr:nvSpPr>
      <xdr:spPr>
        <a:xfrm>
          <a:off x="2224314" y="192315"/>
          <a:ext cx="2113643" cy="28030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14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/>
      </xdr:nvSpPr>
      <xdr:spPr>
        <a:xfrm>
          <a:off x="0" y="190500"/>
          <a:ext cx="2113643" cy="28030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15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B00-00000F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16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B00-000010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11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/>
      </xdr:nvSpPr>
      <xdr:spPr>
        <a:xfrm>
          <a:off x="2224314" y="192315"/>
          <a:ext cx="2113643" cy="28030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12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SpPr/>
      </xdr:nvSpPr>
      <xdr:spPr>
        <a:xfrm>
          <a:off x="0" y="190500"/>
          <a:ext cx="2113643" cy="28030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13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14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11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/>
      </xdr:nvSpPr>
      <xdr:spPr>
        <a:xfrm>
          <a:off x="2224314" y="192315"/>
          <a:ext cx="2113643" cy="28030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12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D00-00000C000000}"/>
            </a:ext>
          </a:extLst>
        </xdr:cNvPr>
        <xdr:cNvSpPr/>
      </xdr:nvSpPr>
      <xdr:spPr>
        <a:xfrm>
          <a:off x="0" y="190500"/>
          <a:ext cx="2113643" cy="28030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13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D00-00000D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14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D00-00000E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2224314</xdr:colOff>
      <xdr:row>1</xdr:row>
      <xdr:rowOff>1815</xdr:rowOff>
    </xdr:from>
    <xdr:to>
      <xdr:col>0</xdr:col>
      <xdr:colOff>4337957</xdr:colOff>
      <xdr:row>2</xdr:row>
      <xdr:rowOff>91623</xdr:rowOff>
    </xdr:to>
    <xdr:sp macro="" textlink="">
      <xdr:nvSpPr>
        <xdr:cNvPr id="10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SpPr/>
      </xdr:nvSpPr>
      <xdr:spPr>
        <a:xfrm>
          <a:off x="2224314" y="192315"/>
          <a:ext cx="2113643" cy="28030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89808</xdr:rowOff>
    </xdr:to>
    <xdr:sp macro="" textlink="">
      <xdr:nvSpPr>
        <xdr:cNvPr id="11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SpPr/>
      </xdr:nvSpPr>
      <xdr:spPr>
        <a:xfrm>
          <a:off x="0" y="190500"/>
          <a:ext cx="2113643" cy="28030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ITR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98879</xdr:rowOff>
    </xdr:to>
    <xdr:sp macro="" textlink="">
      <xdr:nvSpPr>
        <xdr:cNvPr id="12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E00-00000C000000}"/>
            </a:ext>
          </a:extLst>
        </xdr:cNvPr>
        <xdr:cNvSpPr/>
      </xdr:nvSpPr>
      <xdr:spPr>
        <a:xfrm>
          <a:off x="4381500" y="190500"/>
          <a:ext cx="2113643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Income Statement</a:t>
          </a:r>
          <a:endParaRPr lang="pt-BR" sz="1200" b="1"/>
        </a:p>
      </xdr:txBody>
    </xdr:sp>
    <xdr:clientData/>
  </xdr:twoCellAnchor>
  <xdr:twoCellAnchor>
    <xdr:from>
      <xdr:col>1</xdr:col>
      <xdr:colOff>2185152</xdr:colOff>
      <xdr:row>1</xdr:row>
      <xdr:rowOff>0</xdr:rowOff>
    </xdr:from>
    <xdr:to>
      <xdr:col>1</xdr:col>
      <xdr:colOff>4155920</xdr:colOff>
      <xdr:row>2</xdr:row>
      <xdr:rowOff>98879</xdr:rowOff>
    </xdr:to>
    <xdr:sp macro="" textlink="">
      <xdr:nvSpPr>
        <xdr:cNvPr id="13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E00-00000D000000}"/>
            </a:ext>
          </a:extLst>
        </xdr:cNvPr>
        <xdr:cNvSpPr/>
      </xdr:nvSpPr>
      <xdr:spPr>
        <a:xfrm>
          <a:off x="6566652" y="190500"/>
          <a:ext cx="1970768" cy="28937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/>
      </xdr:nvSpPr>
      <xdr:spPr>
        <a:xfrm>
          <a:off x="1428750" y="203200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Maranhão</a:t>
          </a:r>
        </a:p>
      </xdr:txBody>
    </xdr:sp>
    <xdr:clientData/>
  </xdr:twoCellAnchor>
  <xdr:twoCellAnchor>
    <xdr:from>
      <xdr:col>3</xdr:col>
      <xdr:colOff>114300</xdr:colOff>
      <xdr:row>11</xdr:row>
      <xdr:rowOff>66675</xdr:rowOff>
    </xdr:from>
    <xdr:to>
      <xdr:col>6</xdr:col>
      <xdr:colOff>476250</xdr:colOff>
      <xdr:row>13</xdr:row>
      <xdr:rowOff>22225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/>
      </xdr:nvSpPr>
      <xdr:spPr>
        <a:xfrm>
          <a:off x="1428750" y="251777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Pará</a:t>
          </a:r>
        </a:p>
      </xdr:txBody>
    </xdr:sp>
    <xdr:clientData/>
  </xdr:twoCellAnchor>
  <xdr:twoCellAnchor>
    <xdr:from>
      <xdr:col>3</xdr:col>
      <xdr:colOff>114300</xdr:colOff>
      <xdr:row>14</xdr:row>
      <xdr:rowOff>0</xdr:rowOff>
    </xdr:from>
    <xdr:to>
      <xdr:col>6</xdr:col>
      <xdr:colOff>476250</xdr:colOff>
      <xdr:row>15</xdr:row>
      <xdr:rowOff>139700</xdr:rowOff>
    </xdr:to>
    <xdr:sp macro="" textlink="">
      <xdr:nvSpPr>
        <xdr:cNvPr id="5" name="Retângulo: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/>
      </xdr:nvSpPr>
      <xdr:spPr>
        <a:xfrm>
          <a:off x="1428750" y="30035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Piauí</a:t>
          </a:r>
        </a:p>
      </xdr:txBody>
    </xdr:sp>
    <xdr:clientData/>
  </xdr:twoCellAnchor>
  <xdr:twoCellAnchor>
    <xdr:from>
      <xdr:col>3</xdr:col>
      <xdr:colOff>114300</xdr:colOff>
      <xdr:row>16</xdr:row>
      <xdr:rowOff>117475</xdr:rowOff>
    </xdr:from>
    <xdr:to>
      <xdr:col>6</xdr:col>
      <xdr:colOff>476250</xdr:colOff>
      <xdr:row>18</xdr:row>
      <xdr:rowOff>73025</xdr:rowOff>
    </xdr:to>
    <xdr:sp macro="" textlink="">
      <xdr:nvSpPr>
        <xdr:cNvPr id="6" name="Retângulo: Cantos Arredondado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F00-000006000000}"/>
            </a:ext>
          </a:extLst>
        </xdr:cNvPr>
        <xdr:cNvSpPr/>
      </xdr:nvSpPr>
      <xdr:spPr>
        <a:xfrm>
          <a:off x="1428750" y="348932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Alagoas</a:t>
          </a:r>
        </a:p>
      </xdr:txBody>
    </xdr:sp>
    <xdr:clientData/>
  </xdr:twoCellAnchor>
  <xdr:twoCellAnchor>
    <xdr:from>
      <xdr:col>3</xdr:col>
      <xdr:colOff>114300</xdr:colOff>
      <xdr:row>19</xdr:row>
      <xdr:rowOff>69850</xdr:rowOff>
    </xdr:from>
    <xdr:to>
      <xdr:col>6</xdr:col>
      <xdr:colOff>476250</xdr:colOff>
      <xdr:row>21</xdr:row>
      <xdr:rowOff>25400</xdr:rowOff>
    </xdr:to>
    <xdr:sp macro="" textlink="">
      <xdr:nvSpPr>
        <xdr:cNvPr id="7" name="Retângulo: Cantos Arredondados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SpPr/>
      </xdr:nvSpPr>
      <xdr:spPr>
        <a:xfrm>
          <a:off x="1428750" y="39941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CEEE-D</a:t>
          </a:r>
        </a:p>
      </xdr:txBody>
    </xdr:sp>
    <xdr:clientData/>
  </xdr:twoCellAnchor>
  <xdr:twoCellAnchor>
    <xdr:from>
      <xdr:col>8</xdr:col>
      <xdr:colOff>69850</xdr:colOff>
      <xdr:row>8</xdr:row>
      <xdr:rowOff>133350</xdr:rowOff>
    </xdr:from>
    <xdr:to>
      <xdr:col>11</xdr:col>
      <xdr:colOff>431800</xdr:colOff>
      <xdr:row>10</xdr:row>
      <xdr:rowOff>88900</xdr:rowOff>
    </xdr:to>
    <xdr:sp macro="" textlink="">
      <xdr:nvSpPr>
        <xdr:cNvPr id="8" name="Retângulo: Cantos Arredondados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/>
      </xdr:nvSpPr>
      <xdr:spPr>
        <a:xfrm>
          <a:off x="4032250" y="203200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EQTT IFRS</a:t>
          </a:r>
        </a:p>
      </xdr:txBody>
    </xdr:sp>
    <xdr:clientData/>
  </xdr:twoCellAnchor>
  <xdr:twoCellAnchor>
    <xdr:from>
      <xdr:col>8</xdr:col>
      <xdr:colOff>63500</xdr:colOff>
      <xdr:row>11</xdr:row>
      <xdr:rowOff>66675</xdr:rowOff>
    </xdr:from>
    <xdr:to>
      <xdr:col>11</xdr:col>
      <xdr:colOff>425450</xdr:colOff>
      <xdr:row>13</xdr:row>
      <xdr:rowOff>28575</xdr:rowOff>
    </xdr:to>
    <xdr:sp macro="" textlink="">
      <xdr:nvSpPr>
        <xdr:cNvPr id="9" name="Retângulo: Cantos Arredondados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/>
      </xdr:nvSpPr>
      <xdr:spPr>
        <a:xfrm>
          <a:off x="4000500" y="2479675"/>
          <a:ext cx="2203450" cy="321733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INTESA IFRS</a:t>
          </a:r>
        </a:p>
      </xdr:txBody>
    </xdr:sp>
    <xdr:clientData/>
  </xdr:twoCellAnchor>
  <xdr:twoCellAnchor>
    <xdr:from>
      <xdr:col>8</xdr:col>
      <xdr:colOff>69850</xdr:colOff>
      <xdr:row>14</xdr:row>
      <xdr:rowOff>0</xdr:rowOff>
    </xdr:from>
    <xdr:to>
      <xdr:col>11</xdr:col>
      <xdr:colOff>431800</xdr:colOff>
      <xdr:row>15</xdr:row>
      <xdr:rowOff>139700</xdr:rowOff>
    </xdr:to>
    <xdr:sp macro="" textlink="">
      <xdr:nvSpPr>
        <xdr:cNvPr id="10" name="Retângulo: Cantos Arredondados 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SpPr/>
      </xdr:nvSpPr>
      <xdr:spPr>
        <a:xfrm>
          <a:off x="4032250" y="30035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EQTT Reg.</a:t>
          </a:r>
        </a:p>
      </xdr:txBody>
    </xdr:sp>
    <xdr:clientData/>
  </xdr:twoCellAnchor>
  <xdr:twoCellAnchor>
    <xdr:from>
      <xdr:col>8</xdr:col>
      <xdr:colOff>69850</xdr:colOff>
      <xdr:row>16</xdr:row>
      <xdr:rowOff>117475</xdr:rowOff>
    </xdr:from>
    <xdr:to>
      <xdr:col>11</xdr:col>
      <xdr:colOff>431800</xdr:colOff>
      <xdr:row>18</xdr:row>
      <xdr:rowOff>73025</xdr:rowOff>
    </xdr:to>
    <xdr:sp macro="" textlink="">
      <xdr:nvSpPr>
        <xdr:cNvPr id="11" name="Retângulo: Cantos Arredondados 1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SpPr/>
      </xdr:nvSpPr>
      <xdr:spPr>
        <a:xfrm>
          <a:off x="4032250" y="348932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INTESA</a:t>
          </a:r>
          <a:r>
            <a:rPr lang="pt-BR" sz="1100" b="1" baseline="0"/>
            <a:t> Reg.</a:t>
          </a:r>
          <a:endParaRPr lang="pt-BR" sz="1100" b="1"/>
        </a:p>
      </xdr:txBody>
    </xdr:sp>
    <xdr:clientData/>
  </xdr:twoCellAnchor>
  <xdr:twoCellAnchor>
    <xdr:from>
      <xdr:col>13</xdr:col>
      <xdr:colOff>92214</xdr:colOff>
      <xdr:row>8</xdr:row>
      <xdr:rowOff>149411</xdr:rowOff>
    </xdr:from>
    <xdr:to>
      <xdr:col>16</xdr:col>
      <xdr:colOff>454164</xdr:colOff>
      <xdr:row>10</xdr:row>
      <xdr:rowOff>104961</xdr:rowOff>
    </xdr:to>
    <xdr:sp macro="" textlink="">
      <xdr:nvSpPr>
        <xdr:cNvPr id="12" name="Retângulo: Cantos Arredondados 11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1F00-00000C000000}"/>
            </a:ext>
          </a:extLst>
        </xdr:cNvPr>
        <xdr:cNvSpPr/>
      </xdr:nvSpPr>
      <xdr:spPr>
        <a:xfrm>
          <a:off x="6599096" y="2061882"/>
          <a:ext cx="2199715" cy="32907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 Participações</a:t>
          </a:r>
        </a:p>
      </xdr:txBody>
    </xdr:sp>
    <xdr:clientData/>
  </xdr:twoCellAnchor>
  <xdr:twoCellAnchor>
    <xdr:from>
      <xdr:col>3</xdr:col>
      <xdr:colOff>114300</xdr:colOff>
      <xdr:row>21</xdr:row>
      <xdr:rowOff>149225</xdr:rowOff>
    </xdr:from>
    <xdr:to>
      <xdr:col>6</xdr:col>
      <xdr:colOff>476250</xdr:colOff>
      <xdr:row>23</xdr:row>
      <xdr:rowOff>104775</xdr:rowOff>
    </xdr:to>
    <xdr:sp macro="" textlink="">
      <xdr:nvSpPr>
        <xdr:cNvPr id="16" name="Retângulo: Cantos Arredondados 1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F00-000010000000}"/>
            </a:ext>
          </a:extLst>
        </xdr:cNvPr>
        <xdr:cNvSpPr/>
      </xdr:nvSpPr>
      <xdr:spPr>
        <a:xfrm>
          <a:off x="1428750" y="444182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CEA</a:t>
          </a:r>
        </a:p>
      </xdr:txBody>
    </xdr:sp>
    <xdr:clientData/>
  </xdr:twoCellAnchor>
  <xdr:twoCellAnchor>
    <xdr:from>
      <xdr:col>3</xdr:col>
      <xdr:colOff>114300</xdr:colOff>
      <xdr:row>24</xdr:row>
      <xdr:rowOff>101600</xdr:rowOff>
    </xdr:from>
    <xdr:to>
      <xdr:col>6</xdr:col>
      <xdr:colOff>476250</xdr:colOff>
      <xdr:row>26</xdr:row>
      <xdr:rowOff>57150</xdr:rowOff>
    </xdr:to>
    <xdr:sp macro="" textlink="">
      <xdr:nvSpPr>
        <xdr:cNvPr id="17" name="Retângulo: Cantos Arredondados 16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1F00-000011000000}"/>
            </a:ext>
          </a:extLst>
        </xdr:cNvPr>
        <xdr:cNvSpPr/>
      </xdr:nvSpPr>
      <xdr:spPr>
        <a:xfrm>
          <a:off x="1428750" y="49466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Goiás</a:t>
          </a:r>
        </a:p>
      </xdr:txBody>
    </xdr:sp>
    <xdr:clientData/>
  </xdr:twoCellAnchor>
  <xdr:twoCellAnchor>
    <xdr:from>
      <xdr:col>18</xdr:col>
      <xdr:colOff>87732</xdr:colOff>
      <xdr:row>8</xdr:row>
      <xdr:rowOff>152400</xdr:rowOff>
    </xdr:from>
    <xdr:to>
      <xdr:col>21</xdr:col>
      <xdr:colOff>449682</xdr:colOff>
      <xdr:row>10</xdr:row>
      <xdr:rowOff>107950</xdr:rowOff>
    </xdr:to>
    <xdr:sp macro="" textlink="">
      <xdr:nvSpPr>
        <xdr:cNvPr id="18" name="Retângulo: Cantos Arredondados 1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F00-000012000000}"/>
            </a:ext>
          </a:extLst>
        </xdr:cNvPr>
        <xdr:cNvSpPr/>
      </xdr:nvSpPr>
      <xdr:spPr>
        <a:xfrm>
          <a:off x="9186908" y="2064871"/>
          <a:ext cx="2199715" cy="32907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CSA</a:t>
          </a:r>
        </a:p>
      </xdr:txBody>
    </xdr:sp>
    <xdr:clientData/>
  </xdr:twoCellAnchor>
  <xdr:twoCellAnchor>
    <xdr:from>
      <xdr:col>23</xdr:col>
      <xdr:colOff>110143</xdr:colOff>
      <xdr:row>8</xdr:row>
      <xdr:rowOff>144928</xdr:rowOff>
    </xdr:from>
    <xdr:to>
      <xdr:col>26</xdr:col>
      <xdr:colOff>472094</xdr:colOff>
      <xdr:row>10</xdr:row>
      <xdr:rowOff>100478</xdr:rowOff>
    </xdr:to>
    <xdr:sp macro="" textlink="">
      <xdr:nvSpPr>
        <xdr:cNvPr id="19" name="Retângulo: Cantos Arredondados 1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1F00-000013000000}"/>
            </a:ext>
          </a:extLst>
        </xdr:cNvPr>
        <xdr:cNvSpPr/>
      </xdr:nvSpPr>
      <xdr:spPr>
        <a:xfrm>
          <a:off x="11801614" y="2057399"/>
          <a:ext cx="2199715" cy="32907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Serviços</a:t>
          </a:r>
        </a:p>
      </xdr:txBody>
    </xdr:sp>
    <xdr:clientData/>
  </xdr:twoCellAnchor>
  <xdr:twoCellAnchor>
    <xdr:from>
      <xdr:col>23</xdr:col>
      <xdr:colOff>110143</xdr:colOff>
      <xdr:row>11</xdr:row>
      <xdr:rowOff>55842</xdr:rowOff>
    </xdr:from>
    <xdr:to>
      <xdr:col>26</xdr:col>
      <xdr:colOff>472094</xdr:colOff>
      <xdr:row>13</xdr:row>
      <xdr:rowOff>11392</xdr:rowOff>
    </xdr:to>
    <xdr:sp macro="" textlink="">
      <xdr:nvSpPr>
        <xdr:cNvPr id="20" name="Retângulo: Cantos Arredondados 19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F00-000014000000}"/>
            </a:ext>
          </a:extLst>
        </xdr:cNvPr>
        <xdr:cNvSpPr/>
      </xdr:nvSpPr>
      <xdr:spPr>
        <a:xfrm>
          <a:off x="11801614" y="2528607"/>
          <a:ext cx="2199715" cy="32907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Holding</a:t>
          </a:r>
        </a:p>
      </xdr:txBody>
    </xdr:sp>
    <xdr:clientData/>
  </xdr:twoCellAnchor>
  <xdr:twoCellAnchor>
    <xdr:from>
      <xdr:col>23</xdr:col>
      <xdr:colOff>110143</xdr:colOff>
      <xdr:row>13</xdr:row>
      <xdr:rowOff>171384</xdr:rowOff>
    </xdr:from>
    <xdr:to>
      <xdr:col>26</xdr:col>
      <xdr:colOff>472094</xdr:colOff>
      <xdr:row>15</xdr:row>
      <xdr:rowOff>128867</xdr:rowOff>
    </xdr:to>
    <xdr:sp macro="" textlink="">
      <xdr:nvSpPr>
        <xdr:cNvPr id="21" name="Retângulo: Cantos Arredondados 20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1F00-000015000000}"/>
            </a:ext>
          </a:extLst>
        </xdr:cNvPr>
        <xdr:cNvSpPr/>
      </xdr:nvSpPr>
      <xdr:spPr>
        <a:xfrm>
          <a:off x="11801614" y="3017678"/>
          <a:ext cx="2199715" cy="331013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Consolidado</a:t>
          </a:r>
        </a:p>
      </xdr:txBody>
    </xdr:sp>
    <xdr:clientData/>
  </xdr:twoCellAnchor>
  <xdr:twoCellAnchor>
    <xdr:from>
      <xdr:col>5</xdr:col>
      <xdr:colOff>22411</xdr:colOff>
      <xdr:row>0</xdr:row>
      <xdr:rowOff>171823</xdr:rowOff>
    </xdr:from>
    <xdr:to>
      <xdr:col>9</xdr:col>
      <xdr:colOff>156349</xdr:colOff>
      <xdr:row>2</xdr:row>
      <xdr:rowOff>64194</xdr:rowOff>
    </xdr:to>
    <xdr:sp macro="" textlink="">
      <xdr:nvSpPr>
        <xdr:cNvPr id="13" name="Retângulo: Cantos Arredondados 12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F00-00000D000000}"/>
            </a:ext>
          </a:extLst>
        </xdr:cNvPr>
        <xdr:cNvSpPr/>
      </xdr:nvSpPr>
      <xdr:spPr>
        <a:xfrm>
          <a:off x="2569882" y="171823"/>
          <a:ext cx="2113643" cy="26590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28</xdr:col>
      <xdr:colOff>110143</xdr:colOff>
      <xdr:row>8</xdr:row>
      <xdr:rowOff>144928</xdr:rowOff>
    </xdr:from>
    <xdr:to>
      <xdr:col>31</xdr:col>
      <xdr:colOff>472094</xdr:colOff>
      <xdr:row>10</xdr:row>
      <xdr:rowOff>100478</xdr:rowOff>
    </xdr:to>
    <xdr:sp macro="" textlink="">
      <xdr:nvSpPr>
        <xdr:cNvPr id="14" name="Retângulo: Cantos Arredondados 1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1F00-00000E000000}"/>
            </a:ext>
          </a:extLst>
        </xdr:cNvPr>
        <xdr:cNvSpPr/>
      </xdr:nvSpPr>
      <xdr:spPr>
        <a:xfrm>
          <a:off x="11801614" y="2057399"/>
          <a:ext cx="2199715" cy="32907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DRE Individual</a:t>
          </a:r>
        </a:p>
      </xdr:txBody>
    </xdr:sp>
    <xdr:clientData/>
  </xdr:twoCellAnchor>
  <xdr:twoCellAnchor>
    <xdr:from>
      <xdr:col>13</xdr:col>
      <xdr:colOff>82938</xdr:colOff>
      <xdr:row>11</xdr:row>
      <xdr:rowOff>82798</xdr:rowOff>
    </xdr:from>
    <xdr:to>
      <xdr:col>16</xdr:col>
      <xdr:colOff>444888</xdr:colOff>
      <xdr:row>13</xdr:row>
      <xdr:rowOff>38348</xdr:rowOff>
    </xdr:to>
    <xdr:sp macro="" textlink="">
      <xdr:nvSpPr>
        <xdr:cNvPr id="2" name="Retângulo: Cantos Arredondados 1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/>
      </xdr:nvSpPr>
      <xdr:spPr>
        <a:xfrm>
          <a:off x="6623438" y="2495798"/>
          <a:ext cx="2203450" cy="315383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 Crescimento</a:t>
          </a:r>
        </a:p>
      </xdr:txBody>
    </xdr:sp>
    <xdr:clientData/>
  </xdr:twoCellAnchor>
  <xdr:twoCellAnchor editAs="oneCell">
    <xdr:from>
      <xdr:col>0</xdr:col>
      <xdr:colOff>211666</xdr:colOff>
      <xdr:row>0</xdr:row>
      <xdr:rowOff>52916</xdr:rowOff>
    </xdr:from>
    <xdr:to>
      <xdr:col>4</xdr:col>
      <xdr:colOff>146511</xdr:colOff>
      <xdr:row>2</xdr:row>
      <xdr:rowOff>109123</xdr:rowOff>
    </xdr:to>
    <xdr:pic>
      <xdr:nvPicPr>
        <xdr:cNvPr id="15" name="Gráfico 14">
          <a:extLst>
            <a:ext uri="{FF2B5EF4-FFF2-40B4-BE49-F238E27FC236}">
              <a16:creationId xmlns:a16="http://schemas.microsoft.com/office/drawing/2014/main" id="{FD2180E6-B33F-4923-8A4D-FAF2A773A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96DAC541-7B7A-43D3-8B79-37D633B846F1}">
              <asvg:svgBlip xmlns:asvg="http://schemas.microsoft.com/office/drawing/2016/SVG/main" r:embed="rId21"/>
            </a:ext>
          </a:extLst>
        </a:blip>
        <a:stretch>
          <a:fillRect/>
        </a:stretch>
      </xdr:blipFill>
      <xdr:spPr>
        <a:xfrm>
          <a:off x="211666" y="52916"/>
          <a:ext cx="1871595" cy="41604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/>
      </xdr:nvSpPr>
      <xdr:spPr>
        <a:xfrm>
          <a:off x="1438275" y="20097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Maranhão</a:t>
          </a:r>
        </a:p>
      </xdr:txBody>
    </xdr:sp>
    <xdr:clientData/>
  </xdr:twoCellAnchor>
  <xdr:twoCellAnchor>
    <xdr:from>
      <xdr:col>3</xdr:col>
      <xdr:colOff>114300</xdr:colOff>
      <xdr:row>11</xdr:row>
      <xdr:rowOff>66675</xdr:rowOff>
    </xdr:from>
    <xdr:to>
      <xdr:col>6</xdr:col>
      <xdr:colOff>476250</xdr:colOff>
      <xdr:row>13</xdr:row>
      <xdr:rowOff>22225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/>
      </xdr:nvSpPr>
      <xdr:spPr>
        <a:xfrm>
          <a:off x="1438275" y="24828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Pará</a:t>
          </a:r>
        </a:p>
      </xdr:txBody>
    </xdr:sp>
    <xdr:clientData/>
  </xdr:twoCellAnchor>
  <xdr:twoCellAnchor>
    <xdr:from>
      <xdr:col>3</xdr:col>
      <xdr:colOff>114300</xdr:colOff>
      <xdr:row>14</xdr:row>
      <xdr:rowOff>0</xdr:rowOff>
    </xdr:from>
    <xdr:to>
      <xdr:col>6</xdr:col>
      <xdr:colOff>476250</xdr:colOff>
      <xdr:row>15</xdr:row>
      <xdr:rowOff>139700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SpPr/>
      </xdr:nvSpPr>
      <xdr:spPr>
        <a:xfrm>
          <a:off x="1438275" y="296227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Piauí</a:t>
          </a:r>
        </a:p>
      </xdr:txBody>
    </xdr:sp>
    <xdr:clientData/>
  </xdr:twoCellAnchor>
  <xdr:twoCellAnchor>
    <xdr:from>
      <xdr:col>3</xdr:col>
      <xdr:colOff>114300</xdr:colOff>
      <xdr:row>16</xdr:row>
      <xdr:rowOff>117475</xdr:rowOff>
    </xdr:from>
    <xdr:to>
      <xdr:col>6</xdr:col>
      <xdr:colOff>476250</xdr:colOff>
      <xdr:row>18</xdr:row>
      <xdr:rowOff>73025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SpPr/>
      </xdr:nvSpPr>
      <xdr:spPr>
        <a:xfrm>
          <a:off x="1438275" y="34448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Alagoas</a:t>
          </a:r>
        </a:p>
      </xdr:txBody>
    </xdr:sp>
    <xdr:clientData/>
  </xdr:twoCellAnchor>
  <xdr:twoCellAnchor>
    <xdr:from>
      <xdr:col>3</xdr:col>
      <xdr:colOff>114300</xdr:colOff>
      <xdr:row>19</xdr:row>
      <xdr:rowOff>69850</xdr:rowOff>
    </xdr:from>
    <xdr:to>
      <xdr:col>6</xdr:col>
      <xdr:colOff>476250</xdr:colOff>
      <xdr:row>21</xdr:row>
      <xdr:rowOff>25400</xdr:rowOff>
    </xdr:to>
    <xdr:sp macro="" textlink="">
      <xdr:nvSpPr>
        <xdr:cNvPr id="6" name="Retângulo: Cantos Arredondado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000-000006000000}"/>
            </a:ext>
          </a:extLst>
        </xdr:cNvPr>
        <xdr:cNvSpPr/>
      </xdr:nvSpPr>
      <xdr:spPr>
        <a:xfrm>
          <a:off x="1438275" y="393382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CEEE-D</a:t>
          </a:r>
        </a:p>
      </xdr:txBody>
    </xdr:sp>
    <xdr:clientData/>
  </xdr:twoCellAnchor>
  <xdr:twoCellAnchor>
    <xdr:from>
      <xdr:col>8</xdr:col>
      <xdr:colOff>69850</xdr:colOff>
      <xdr:row>8</xdr:row>
      <xdr:rowOff>133350</xdr:rowOff>
    </xdr:from>
    <xdr:to>
      <xdr:col>11</xdr:col>
      <xdr:colOff>431800</xdr:colOff>
      <xdr:row>10</xdr:row>
      <xdr:rowOff>88900</xdr:rowOff>
    </xdr:to>
    <xdr:sp macro="" textlink="">
      <xdr:nvSpPr>
        <xdr:cNvPr id="7" name="Retângulo: Cantos Arredondado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SpPr/>
      </xdr:nvSpPr>
      <xdr:spPr>
        <a:xfrm>
          <a:off x="3971925" y="20097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EQTT IFRS</a:t>
          </a:r>
        </a:p>
      </xdr:txBody>
    </xdr:sp>
    <xdr:clientData/>
  </xdr:twoCellAnchor>
  <xdr:twoCellAnchor>
    <xdr:from>
      <xdr:col>8</xdr:col>
      <xdr:colOff>63500</xdr:colOff>
      <xdr:row>11</xdr:row>
      <xdr:rowOff>66675</xdr:rowOff>
    </xdr:from>
    <xdr:to>
      <xdr:col>11</xdr:col>
      <xdr:colOff>425450</xdr:colOff>
      <xdr:row>13</xdr:row>
      <xdr:rowOff>28575</xdr:rowOff>
    </xdr:to>
    <xdr:sp macro="" textlink="">
      <xdr:nvSpPr>
        <xdr:cNvPr id="8" name="Retângulo: Cantos Arredondados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SpPr/>
      </xdr:nvSpPr>
      <xdr:spPr>
        <a:xfrm>
          <a:off x="3971925" y="24828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INTESA IFRS</a:t>
          </a:r>
        </a:p>
      </xdr:txBody>
    </xdr:sp>
    <xdr:clientData/>
  </xdr:twoCellAnchor>
  <xdr:twoCellAnchor>
    <xdr:from>
      <xdr:col>8</xdr:col>
      <xdr:colOff>69850</xdr:colOff>
      <xdr:row>14</xdr:row>
      <xdr:rowOff>0</xdr:rowOff>
    </xdr:from>
    <xdr:to>
      <xdr:col>11</xdr:col>
      <xdr:colOff>431800</xdr:colOff>
      <xdr:row>15</xdr:row>
      <xdr:rowOff>139700</xdr:rowOff>
    </xdr:to>
    <xdr:sp macro="" textlink="">
      <xdr:nvSpPr>
        <xdr:cNvPr id="9" name="Retângulo: Cantos Arredondados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2000-000009000000}"/>
            </a:ext>
          </a:extLst>
        </xdr:cNvPr>
        <xdr:cNvSpPr/>
      </xdr:nvSpPr>
      <xdr:spPr>
        <a:xfrm>
          <a:off x="3971925" y="296227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EQTT Reg.</a:t>
          </a:r>
        </a:p>
      </xdr:txBody>
    </xdr:sp>
    <xdr:clientData/>
  </xdr:twoCellAnchor>
  <xdr:twoCellAnchor>
    <xdr:from>
      <xdr:col>8</xdr:col>
      <xdr:colOff>69850</xdr:colOff>
      <xdr:row>16</xdr:row>
      <xdr:rowOff>117475</xdr:rowOff>
    </xdr:from>
    <xdr:to>
      <xdr:col>11</xdr:col>
      <xdr:colOff>431800</xdr:colOff>
      <xdr:row>18</xdr:row>
      <xdr:rowOff>73025</xdr:rowOff>
    </xdr:to>
    <xdr:sp macro="" textlink="">
      <xdr:nvSpPr>
        <xdr:cNvPr id="10" name="Retângulo: Cantos Arredondados 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2000-00000A000000}"/>
            </a:ext>
          </a:extLst>
        </xdr:cNvPr>
        <xdr:cNvSpPr/>
      </xdr:nvSpPr>
      <xdr:spPr>
        <a:xfrm>
          <a:off x="3971925" y="34448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INTESA</a:t>
          </a:r>
          <a:r>
            <a:rPr lang="pt-BR" sz="1100" b="1" baseline="0"/>
            <a:t> Reg.</a:t>
          </a:r>
          <a:endParaRPr lang="pt-BR" sz="1100" b="1"/>
        </a:p>
      </xdr:txBody>
    </xdr:sp>
    <xdr:clientData/>
  </xdr:twoCellAnchor>
  <xdr:twoCellAnchor>
    <xdr:from>
      <xdr:col>13</xdr:col>
      <xdr:colOff>92214</xdr:colOff>
      <xdr:row>8</xdr:row>
      <xdr:rowOff>149411</xdr:rowOff>
    </xdr:from>
    <xdr:to>
      <xdr:col>16</xdr:col>
      <xdr:colOff>454164</xdr:colOff>
      <xdr:row>10</xdr:row>
      <xdr:rowOff>104961</xdr:rowOff>
    </xdr:to>
    <xdr:sp macro="" textlink="">
      <xdr:nvSpPr>
        <xdr:cNvPr id="11" name="Retângulo: Cantos Arredondados 1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2000-00000B000000}"/>
            </a:ext>
          </a:extLst>
        </xdr:cNvPr>
        <xdr:cNvSpPr/>
      </xdr:nvSpPr>
      <xdr:spPr>
        <a:xfrm>
          <a:off x="6578739" y="2025836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 Participações</a:t>
          </a:r>
        </a:p>
      </xdr:txBody>
    </xdr:sp>
    <xdr:clientData/>
  </xdr:twoCellAnchor>
  <xdr:twoCellAnchor>
    <xdr:from>
      <xdr:col>3</xdr:col>
      <xdr:colOff>114300</xdr:colOff>
      <xdr:row>21</xdr:row>
      <xdr:rowOff>149225</xdr:rowOff>
    </xdr:from>
    <xdr:to>
      <xdr:col>6</xdr:col>
      <xdr:colOff>476250</xdr:colOff>
      <xdr:row>23</xdr:row>
      <xdr:rowOff>104775</xdr:rowOff>
    </xdr:to>
    <xdr:sp macro="" textlink="">
      <xdr:nvSpPr>
        <xdr:cNvPr id="12" name="Retângulo: Cantos Arredondados 1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2000-00000C000000}"/>
            </a:ext>
          </a:extLst>
        </xdr:cNvPr>
        <xdr:cNvSpPr/>
      </xdr:nvSpPr>
      <xdr:spPr>
        <a:xfrm>
          <a:off x="1438275" y="437832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CEA</a:t>
          </a:r>
        </a:p>
      </xdr:txBody>
    </xdr:sp>
    <xdr:clientData/>
  </xdr:twoCellAnchor>
  <xdr:twoCellAnchor>
    <xdr:from>
      <xdr:col>3</xdr:col>
      <xdr:colOff>114300</xdr:colOff>
      <xdr:row>24</xdr:row>
      <xdr:rowOff>101600</xdr:rowOff>
    </xdr:from>
    <xdr:to>
      <xdr:col>6</xdr:col>
      <xdr:colOff>476250</xdr:colOff>
      <xdr:row>26</xdr:row>
      <xdr:rowOff>57150</xdr:rowOff>
    </xdr:to>
    <xdr:sp macro="" textlink="">
      <xdr:nvSpPr>
        <xdr:cNvPr id="13" name="Retângulo: Cantos Arredondados 1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2000-00000D000000}"/>
            </a:ext>
          </a:extLst>
        </xdr:cNvPr>
        <xdr:cNvSpPr/>
      </xdr:nvSpPr>
      <xdr:spPr>
        <a:xfrm>
          <a:off x="1438275" y="4876800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Goiás</a:t>
          </a:r>
        </a:p>
      </xdr:txBody>
    </xdr:sp>
    <xdr:clientData/>
  </xdr:twoCellAnchor>
  <xdr:twoCellAnchor>
    <xdr:from>
      <xdr:col>18</xdr:col>
      <xdr:colOff>87732</xdr:colOff>
      <xdr:row>8</xdr:row>
      <xdr:rowOff>152400</xdr:rowOff>
    </xdr:from>
    <xdr:to>
      <xdr:col>21</xdr:col>
      <xdr:colOff>449682</xdr:colOff>
      <xdr:row>10</xdr:row>
      <xdr:rowOff>107950</xdr:rowOff>
    </xdr:to>
    <xdr:sp macro="" textlink="">
      <xdr:nvSpPr>
        <xdr:cNvPr id="14" name="Retângulo: Cantos Arredondados 1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000-00000E000000}"/>
            </a:ext>
          </a:extLst>
        </xdr:cNvPr>
        <xdr:cNvSpPr/>
      </xdr:nvSpPr>
      <xdr:spPr>
        <a:xfrm>
          <a:off x="9152357" y="202882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CSA</a:t>
          </a:r>
        </a:p>
      </xdr:txBody>
    </xdr:sp>
    <xdr:clientData/>
  </xdr:twoCellAnchor>
  <xdr:twoCellAnchor>
    <xdr:from>
      <xdr:col>23</xdr:col>
      <xdr:colOff>110143</xdr:colOff>
      <xdr:row>8</xdr:row>
      <xdr:rowOff>144928</xdr:rowOff>
    </xdr:from>
    <xdr:to>
      <xdr:col>26</xdr:col>
      <xdr:colOff>472094</xdr:colOff>
      <xdr:row>10</xdr:row>
      <xdr:rowOff>100478</xdr:rowOff>
    </xdr:to>
    <xdr:sp macro="" textlink="">
      <xdr:nvSpPr>
        <xdr:cNvPr id="15" name="Retângulo: Cantos Arredondados 1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2000-00000F000000}"/>
            </a:ext>
          </a:extLst>
        </xdr:cNvPr>
        <xdr:cNvSpPr/>
      </xdr:nvSpPr>
      <xdr:spPr>
        <a:xfrm>
          <a:off x="11756043" y="2018178"/>
          <a:ext cx="2190751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Serviços</a:t>
          </a:r>
        </a:p>
      </xdr:txBody>
    </xdr:sp>
    <xdr:clientData/>
  </xdr:twoCellAnchor>
  <xdr:twoCellAnchor>
    <xdr:from>
      <xdr:col>23</xdr:col>
      <xdr:colOff>110143</xdr:colOff>
      <xdr:row>11</xdr:row>
      <xdr:rowOff>55842</xdr:rowOff>
    </xdr:from>
    <xdr:to>
      <xdr:col>26</xdr:col>
      <xdr:colOff>472094</xdr:colOff>
      <xdr:row>13</xdr:row>
      <xdr:rowOff>11392</xdr:rowOff>
    </xdr:to>
    <xdr:sp macro="" textlink="">
      <xdr:nvSpPr>
        <xdr:cNvPr id="16" name="Retângulo: Cantos Arredondados 1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2000-000010000000}"/>
            </a:ext>
          </a:extLst>
        </xdr:cNvPr>
        <xdr:cNvSpPr/>
      </xdr:nvSpPr>
      <xdr:spPr>
        <a:xfrm>
          <a:off x="11756043" y="2475192"/>
          <a:ext cx="2190751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Holding</a:t>
          </a:r>
        </a:p>
      </xdr:txBody>
    </xdr:sp>
    <xdr:clientData/>
  </xdr:twoCellAnchor>
  <xdr:twoCellAnchor>
    <xdr:from>
      <xdr:col>23</xdr:col>
      <xdr:colOff>110143</xdr:colOff>
      <xdr:row>13</xdr:row>
      <xdr:rowOff>171384</xdr:rowOff>
    </xdr:from>
    <xdr:to>
      <xdr:col>26</xdr:col>
      <xdr:colOff>472094</xdr:colOff>
      <xdr:row>15</xdr:row>
      <xdr:rowOff>128867</xdr:rowOff>
    </xdr:to>
    <xdr:sp macro="" textlink="">
      <xdr:nvSpPr>
        <xdr:cNvPr id="17" name="Retângulo: Cantos Arredondados 16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2000-000011000000}"/>
            </a:ext>
          </a:extLst>
        </xdr:cNvPr>
        <xdr:cNvSpPr/>
      </xdr:nvSpPr>
      <xdr:spPr>
        <a:xfrm>
          <a:off x="11756043" y="2952684"/>
          <a:ext cx="2190751" cy="31625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Consolidated</a:t>
          </a:r>
        </a:p>
      </xdr:txBody>
    </xdr:sp>
    <xdr:clientData/>
  </xdr:twoCellAnchor>
  <xdr:twoCellAnchor>
    <xdr:from>
      <xdr:col>5</xdr:col>
      <xdr:colOff>22411</xdr:colOff>
      <xdr:row>0</xdr:row>
      <xdr:rowOff>171823</xdr:rowOff>
    </xdr:from>
    <xdr:to>
      <xdr:col>9</xdr:col>
      <xdr:colOff>156349</xdr:colOff>
      <xdr:row>2</xdr:row>
      <xdr:rowOff>64194</xdr:rowOff>
    </xdr:to>
    <xdr:sp macro="" textlink="">
      <xdr:nvSpPr>
        <xdr:cNvPr id="18" name="Retângulo: Cantos Arredondados 1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2000-000012000000}"/>
            </a:ext>
          </a:extLst>
        </xdr:cNvPr>
        <xdr:cNvSpPr/>
      </xdr:nvSpPr>
      <xdr:spPr>
        <a:xfrm>
          <a:off x="2568761" y="171823"/>
          <a:ext cx="2105613" cy="25749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28</xdr:col>
      <xdr:colOff>110143</xdr:colOff>
      <xdr:row>8</xdr:row>
      <xdr:rowOff>144928</xdr:rowOff>
    </xdr:from>
    <xdr:to>
      <xdr:col>31</xdr:col>
      <xdr:colOff>472094</xdr:colOff>
      <xdr:row>10</xdr:row>
      <xdr:rowOff>100478</xdr:rowOff>
    </xdr:to>
    <xdr:sp macro="" textlink="">
      <xdr:nvSpPr>
        <xdr:cNvPr id="19" name="Retângulo: Cantos Arredondados 18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2000-000013000000}"/>
            </a:ext>
          </a:extLst>
        </xdr:cNvPr>
        <xdr:cNvSpPr/>
      </xdr:nvSpPr>
      <xdr:spPr>
        <a:xfrm>
          <a:off x="14337318" y="2018178"/>
          <a:ext cx="2190751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Individual P&amp;L</a:t>
          </a:r>
        </a:p>
      </xdr:txBody>
    </xdr:sp>
    <xdr:clientData/>
  </xdr:twoCellAnchor>
  <xdr:twoCellAnchor>
    <xdr:from>
      <xdr:col>13</xdr:col>
      <xdr:colOff>82938</xdr:colOff>
      <xdr:row>11</xdr:row>
      <xdr:rowOff>82798</xdr:rowOff>
    </xdr:from>
    <xdr:to>
      <xdr:col>16</xdr:col>
      <xdr:colOff>444888</xdr:colOff>
      <xdr:row>13</xdr:row>
      <xdr:rowOff>38348</xdr:rowOff>
    </xdr:to>
    <xdr:sp macro="" textlink="">
      <xdr:nvSpPr>
        <xdr:cNvPr id="21" name="Retângulo: Cantos Arredondados 20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2000-000015000000}"/>
            </a:ext>
          </a:extLst>
        </xdr:cNvPr>
        <xdr:cNvSpPr/>
      </xdr:nvSpPr>
      <xdr:spPr>
        <a:xfrm>
          <a:off x="6572638" y="2505323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 Crescimento</a:t>
          </a:r>
        </a:p>
      </xdr:txBody>
    </xdr:sp>
    <xdr:clientData/>
  </xdr:twoCellAnchor>
  <xdr:twoCellAnchor editAs="oneCell">
    <xdr:from>
      <xdr:col>0</xdr:col>
      <xdr:colOff>158750</xdr:colOff>
      <xdr:row>0</xdr:row>
      <xdr:rowOff>42333</xdr:rowOff>
    </xdr:from>
    <xdr:to>
      <xdr:col>4</xdr:col>
      <xdr:colOff>93595</xdr:colOff>
      <xdr:row>2</xdr:row>
      <xdr:rowOff>98540</xdr:rowOff>
    </xdr:to>
    <xdr:pic>
      <xdr:nvPicPr>
        <xdr:cNvPr id="22" name="Gráfico 21">
          <a:extLst>
            <a:ext uri="{FF2B5EF4-FFF2-40B4-BE49-F238E27FC236}">
              <a16:creationId xmlns:a16="http://schemas.microsoft.com/office/drawing/2014/main" id="{0D192E29-AD21-4E56-95FF-F3E5255B1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96DAC541-7B7A-43D3-8B79-37D633B846F1}">
              <asvg:svgBlip xmlns:asvg="http://schemas.microsoft.com/office/drawing/2016/SVG/main" r:embed="rId21"/>
            </a:ext>
          </a:extLst>
        </a:blip>
        <a:stretch>
          <a:fillRect/>
        </a:stretch>
      </xdr:blipFill>
      <xdr:spPr>
        <a:xfrm>
          <a:off x="158750" y="42333"/>
          <a:ext cx="1871595" cy="41604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181110</xdr:rowOff>
    </xdr:from>
    <xdr:to>
      <xdr:col>0</xdr:col>
      <xdr:colOff>2113643</xdr:colOff>
      <xdr:row>4</xdr:row>
      <xdr:rowOff>78816</xdr:rowOff>
    </xdr:to>
    <xdr:sp macro="" textlink="">
      <xdr:nvSpPr>
        <xdr:cNvPr id="6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100-000006000000}"/>
            </a:ext>
          </a:extLst>
        </xdr:cNvPr>
        <xdr:cNvSpPr/>
      </xdr:nvSpPr>
      <xdr:spPr>
        <a:xfrm>
          <a:off x="0" y="554639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84472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SpPr/>
      </xdr:nvSpPr>
      <xdr:spPr>
        <a:xfrm>
          <a:off x="1922" y="186765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181110</xdr:rowOff>
    </xdr:from>
    <xdr:to>
      <xdr:col>1</xdr:col>
      <xdr:colOff>2113643</xdr:colOff>
      <xdr:row>4</xdr:row>
      <xdr:rowOff>78816</xdr:rowOff>
    </xdr:to>
    <xdr:sp macro="" textlink="">
      <xdr:nvSpPr>
        <xdr:cNvPr id="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SpPr/>
      </xdr:nvSpPr>
      <xdr:spPr>
        <a:xfrm>
          <a:off x="2962275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84472</xdr:rowOff>
    </xdr:to>
    <xdr:sp macro="" textlink="">
      <xdr:nvSpPr>
        <xdr:cNvPr id="5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SpPr/>
      </xdr:nvSpPr>
      <xdr:spPr>
        <a:xfrm>
          <a:off x="2964197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</a:t>
          </a:r>
          <a:r>
            <a:rPr lang="pt-BR" sz="1200" b="1" baseline="0"/>
            <a:t> P&amp;L Summary</a:t>
          </a:r>
          <a:endParaRPr lang="pt-BR" sz="1200" b="1"/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181110</xdr:rowOff>
    </xdr:from>
    <xdr:to>
      <xdr:col>0</xdr:col>
      <xdr:colOff>2113643</xdr:colOff>
      <xdr:row>4</xdr:row>
      <xdr:rowOff>78816</xdr:rowOff>
    </xdr:to>
    <xdr:sp macro="" textlink="">
      <xdr:nvSpPr>
        <xdr:cNvPr id="8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SpPr/>
      </xdr:nvSpPr>
      <xdr:spPr>
        <a:xfrm>
          <a:off x="0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84472</xdr:rowOff>
    </xdr:to>
    <xdr:sp macro="" textlink="">
      <xdr:nvSpPr>
        <xdr:cNvPr id="9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200-000009000000}"/>
            </a:ext>
          </a:extLst>
        </xdr:cNvPr>
        <xdr:cNvSpPr/>
      </xdr:nvSpPr>
      <xdr:spPr>
        <a:xfrm>
          <a:off x="1922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181110</xdr:rowOff>
    </xdr:from>
    <xdr:to>
      <xdr:col>1</xdr:col>
      <xdr:colOff>2113643</xdr:colOff>
      <xdr:row>4</xdr:row>
      <xdr:rowOff>78816</xdr:rowOff>
    </xdr:to>
    <xdr:sp macro="" textlink="">
      <xdr:nvSpPr>
        <xdr:cNvPr id="10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200-00000A000000}"/>
            </a:ext>
          </a:extLst>
        </xdr:cNvPr>
        <xdr:cNvSpPr/>
      </xdr:nvSpPr>
      <xdr:spPr>
        <a:xfrm>
          <a:off x="2958353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84472</xdr:rowOff>
    </xdr:to>
    <xdr:sp macro="" textlink="">
      <xdr:nvSpPr>
        <xdr:cNvPr id="11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200-00000B000000}"/>
            </a:ext>
          </a:extLst>
        </xdr:cNvPr>
        <xdr:cNvSpPr/>
      </xdr:nvSpPr>
      <xdr:spPr>
        <a:xfrm>
          <a:off x="2960275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181110</xdr:rowOff>
    </xdr:from>
    <xdr:to>
      <xdr:col>0</xdr:col>
      <xdr:colOff>2113643</xdr:colOff>
      <xdr:row>4</xdr:row>
      <xdr:rowOff>78816</xdr:rowOff>
    </xdr:to>
    <xdr:sp macro="" textlink="">
      <xdr:nvSpPr>
        <xdr:cNvPr id="8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/>
      </xdr:nvSpPr>
      <xdr:spPr>
        <a:xfrm>
          <a:off x="0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84472</xdr:rowOff>
    </xdr:to>
    <xdr:sp macro="" textlink="">
      <xdr:nvSpPr>
        <xdr:cNvPr id="9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/>
      </xdr:nvSpPr>
      <xdr:spPr>
        <a:xfrm>
          <a:off x="1922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181110</xdr:rowOff>
    </xdr:from>
    <xdr:to>
      <xdr:col>1</xdr:col>
      <xdr:colOff>2113643</xdr:colOff>
      <xdr:row>4</xdr:row>
      <xdr:rowOff>78816</xdr:rowOff>
    </xdr:to>
    <xdr:sp macro="" textlink="">
      <xdr:nvSpPr>
        <xdr:cNvPr id="10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SpPr/>
      </xdr:nvSpPr>
      <xdr:spPr>
        <a:xfrm>
          <a:off x="2958353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84472</xdr:rowOff>
    </xdr:to>
    <xdr:sp macro="" textlink="">
      <xdr:nvSpPr>
        <xdr:cNvPr id="11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300-00000B000000}"/>
            </a:ext>
          </a:extLst>
        </xdr:cNvPr>
        <xdr:cNvSpPr/>
      </xdr:nvSpPr>
      <xdr:spPr>
        <a:xfrm>
          <a:off x="2960275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181110</xdr:rowOff>
    </xdr:from>
    <xdr:to>
      <xdr:col>0</xdr:col>
      <xdr:colOff>2113643</xdr:colOff>
      <xdr:row>4</xdr:row>
      <xdr:rowOff>78816</xdr:rowOff>
    </xdr:to>
    <xdr:sp macro="" textlink="">
      <xdr:nvSpPr>
        <xdr:cNvPr id="16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400-000010000000}"/>
            </a:ext>
          </a:extLst>
        </xdr:cNvPr>
        <xdr:cNvSpPr/>
      </xdr:nvSpPr>
      <xdr:spPr>
        <a:xfrm>
          <a:off x="0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84472</xdr:rowOff>
    </xdr:to>
    <xdr:sp macro="" textlink="">
      <xdr:nvSpPr>
        <xdr:cNvPr id="1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400-000011000000}"/>
            </a:ext>
          </a:extLst>
        </xdr:cNvPr>
        <xdr:cNvSpPr/>
      </xdr:nvSpPr>
      <xdr:spPr>
        <a:xfrm>
          <a:off x="1922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181110</xdr:rowOff>
    </xdr:from>
    <xdr:to>
      <xdr:col>1</xdr:col>
      <xdr:colOff>2113643</xdr:colOff>
      <xdr:row>4</xdr:row>
      <xdr:rowOff>78816</xdr:rowOff>
    </xdr:to>
    <xdr:sp macro="" textlink="">
      <xdr:nvSpPr>
        <xdr:cNvPr id="18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400-000012000000}"/>
            </a:ext>
          </a:extLst>
        </xdr:cNvPr>
        <xdr:cNvSpPr/>
      </xdr:nvSpPr>
      <xdr:spPr>
        <a:xfrm>
          <a:off x="2958353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84472</xdr:rowOff>
    </xdr:to>
    <xdr:sp macro="" textlink="">
      <xdr:nvSpPr>
        <xdr:cNvPr id="19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400-000013000000}"/>
            </a:ext>
          </a:extLst>
        </xdr:cNvPr>
        <xdr:cNvSpPr/>
      </xdr:nvSpPr>
      <xdr:spPr>
        <a:xfrm>
          <a:off x="2960275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181110</xdr:rowOff>
    </xdr:from>
    <xdr:to>
      <xdr:col>0</xdr:col>
      <xdr:colOff>2113643</xdr:colOff>
      <xdr:row>4</xdr:row>
      <xdr:rowOff>78816</xdr:rowOff>
    </xdr:to>
    <xdr:sp macro="" textlink="">
      <xdr:nvSpPr>
        <xdr:cNvPr id="6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500-000006000000}"/>
            </a:ext>
          </a:extLst>
        </xdr:cNvPr>
        <xdr:cNvSpPr/>
      </xdr:nvSpPr>
      <xdr:spPr>
        <a:xfrm>
          <a:off x="0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84472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500-000007000000}"/>
            </a:ext>
          </a:extLst>
        </xdr:cNvPr>
        <xdr:cNvSpPr/>
      </xdr:nvSpPr>
      <xdr:spPr>
        <a:xfrm>
          <a:off x="1922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181110</xdr:rowOff>
    </xdr:from>
    <xdr:to>
      <xdr:col>1</xdr:col>
      <xdr:colOff>2113643</xdr:colOff>
      <xdr:row>4</xdr:row>
      <xdr:rowOff>78816</xdr:rowOff>
    </xdr:to>
    <xdr:sp macro="" textlink="">
      <xdr:nvSpPr>
        <xdr:cNvPr id="8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500-000008000000}"/>
            </a:ext>
          </a:extLst>
        </xdr:cNvPr>
        <xdr:cNvSpPr/>
      </xdr:nvSpPr>
      <xdr:spPr>
        <a:xfrm>
          <a:off x="2958353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84472</xdr:rowOff>
    </xdr:to>
    <xdr:sp macro="" textlink="">
      <xdr:nvSpPr>
        <xdr:cNvPr id="9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500-000009000000}"/>
            </a:ext>
          </a:extLst>
        </xdr:cNvPr>
        <xdr:cNvSpPr/>
      </xdr:nvSpPr>
      <xdr:spPr>
        <a:xfrm>
          <a:off x="2960275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181110</xdr:rowOff>
    </xdr:from>
    <xdr:to>
      <xdr:col>0</xdr:col>
      <xdr:colOff>2113643</xdr:colOff>
      <xdr:row>4</xdr:row>
      <xdr:rowOff>78816</xdr:rowOff>
    </xdr:to>
    <xdr:sp macro="" textlink="">
      <xdr:nvSpPr>
        <xdr:cNvPr id="8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600-000008000000}"/>
            </a:ext>
          </a:extLst>
        </xdr:cNvPr>
        <xdr:cNvSpPr/>
      </xdr:nvSpPr>
      <xdr:spPr>
        <a:xfrm>
          <a:off x="0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84472</xdr:rowOff>
    </xdr:to>
    <xdr:sp macro="" textlink="">
      <xdr:nvSpPr>
        <xdr:cNvPr id="9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600-000009000000}"/>
            </a:ext>
          </a:extLst>
        </xdr:cNvPr>
        <xdr:cNvSpPr/>
      </xdr:nvSpPr>
      <xdr:spPr>
        <a:xfrm>
          <a:off x="1922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0</xdr:col>
      <xdr:colOff>2958353</xdr:colOff>
      <xdr:row>2</xdr:row>
      <xdr:rowOff>181110</xdr:rowOff>
    </xdr:from>
    <xdr:to>
      <xdr:col>1</xdr:col>
      <xdr:colOff>2102437</xdr:colOff>
      <xdr:row>4</xdr:row>
      <xdr:rowOff>78816</xdr:rowOff>
    </xdr:to>
    <xdr:sp macro="" textlink="">
      <xdr:nvSpPr>
        <xdr:cNvPr id="10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600-00000A000000}"/>
            </a:ext>
          </a:extLst>
        </xdr:cNvPr>
        <xdr:cNvSpPr/>
      </xdr:nvSpPr>
      <xdr:spPr>
        <a:xfrm>
          <a:off x="2958353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0</xdr:col>
      <xdr:colOff>2960275</xdr:colOff>
      <xdr:row>1</xdr:row>
      <xdr:rowOff>0</xdr:rowOff>
    </xdr:from>
    <xdr:to>
      <xdr:col>1</xdr:col>
      <xdr:colOff>2104359</xdr:colOff>
      <xdr:row>2</xdr:row>
      <xdr:rowOff>84472</xdr:rowOff>
    </xdr:to>
    <xdr:sp macro="" textlink="">
      <xdr:nvSpPr>
        <xdr:cNvPr id="11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600-00000B000000}"/>
            </a:ext>
          </a:extLst>
        </xdr:cNvPr>
        <xdr:cNvSpPr/>
      </xdr:nvSpPr>
      <xdr:spPr>
        <a:xfrm>
          <a:off x="2960275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700-000004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183724</xdr:rowOff>
    </xdr:from>
    <xdr:to>
      <xdr:col>1</xdr:col>
      <xdr:colOff>2113643</xdr:colOff>
      <xdr:row>4</xdr:row>
      <xdr:rowOff>86660</xdr:rowOff>
    </xdr:to>
    <xdr:sp macro="" textlink="">
      <xdr:nvSpPr>
        <xdr:cNvPr id="8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700-000008000000}"/>
            </a:ext>
          </a:extLst>
        </xdr:cNvPr>
        <xdr:cNvSpPr/>
      </xdr:nvSpPr>
      <xdr:spPr>
        <a:xfrm>
          <a:off x="2962275" y="564724"/>
          <a:ext cx="2113643" cy="2839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87086</xdr:rowOff>
    </xdr:to>
    <xdr:sp macro="" textlink="">
      <xdr:nvSpPr>
        <xdr:cNvPr id="9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700-000009000000}"/>
            </a:ext>
          </a:extLst>
        </xdr:cNvPr>
        <xdr:cNvSpPr/>
      </xdr:nvSpPr>
      <xdr:spPr>
        <a:xfrm>
          <a:off x="2964197" y="190500"/>
          <a:ext cx="2113643" cy="2775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800-000004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900-000004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900-000005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A00-000004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A00-000005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183724</xdr:rowOff>
    </xdr:from>
    <xdr:to>
      <xdr:col>1</xdr:col>
      <xdr:colOff>2113643</xdr:colOff>
      <xdr:row>4</xdr:row>
      <xdr:rowOff>86660</xdr:rowOff>
    </xdr:to>
    <xdr:sp macro="" textlink="">
      <xdr:nvSpPr>
        <xdr:cNvPr id="6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A00-000006000000}"/>
            </a:ext>
          </a:extLst>
        </xdr:cNvPr>
        <xdr:cNvSpPr/>
      </xdr:nvSpPr>
      <xdr:spPr>
        <a:xfrm>
          <a:off x="2962275" y="564724"/>
          <a:ext cx="2113643" cy="2839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87086</xdr:rowOff>
    </xdr:to>
    <xdr:sp macro="" textlink="">
      <xdr:nvSpPr>
        <xdr:cNvPr id="7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A00-000007000000}"/>
            </a:ext>
          </a:extLst>
        </xdr:cNvPr>
        <xdr:cNvSpPr/>
      </xdr:nvSpPr>
      <xdr:spPr>
        <a:xfrm>
          <a:off x="2964197" y="190500"/>
          <a:ext cx="2113643" cy="2775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B00-000004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183724</xdr:rowOff>
    </xdr:from>
    <xdr:to>
      <xdr:col>1</xdr:col>
      <xdr:colOff>2113643</xdr:colOff>
      <xdr:row>4</xdr:row>
      <xdr:rowOff>86660</xdr:rowOff>
    </xdr:to>
    <xdr:sp macro="" textlink="">
      <xdr:nvSpPr>
        <xdr:cNvPr id="6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B00-000006000000}"/>
            </a:ext>
          </a:extLst>
        </xdr:cNvPr>
        <xdr:cNvSpPr/>
      </xdr:nvSpPr>
      <xdr:spPr>
        <a:xfrm>
          <a:off x="2962275" y="564724"/>
          <a:ext cx="2113643" cy="2839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87086</xdr:rowOff>
    </xdr:to>
    <xdr:sp macro="" textlink="">
      <xdr:nvSpPr>
        <xdr:cNvPr id="7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B00-000007000000}"/>
            </a:ext>
          </a:extLst>
        </xdr:cNvPr>
        <xdr:cNvSpPr/>
      </xdr:nvSpPr>
      <xdr:spPr>
        <a:xfrm>
          <a:off x="2964197" y="190500"/>
          <a:ext cx="2113643" cy="2775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200" b="1"/>
            <a:t>Return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180261</xdr:rowOff>
    </xdr:from>
    <xdr:to>
      <xdr:col>0</xdr:col>
      <xdr:colOff>2113643</xdr:colOff>
      <xdr:row>4</xdr:row>
      <xdr:rowOff>76269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SpPr/>
      </xdr:nvSpPr>
      <xdr:spPr>
        <a:xfrm>
          <a:off x="0" y="555488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83623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SpPr/>
      </xdr:nvSpPr>
      <xdr:spPr>
        <a:xfrm>
          <a:off x="1922" y="18761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180261</xdr:rowOff>
    </xdr:from>
    <xdr:to>
      <xdr:col>1</xdr:col>
      <xdr:colOff>2113643</xdr:colOff>
      <xdr:row>4</xdr:row>
      <xdr:rowOff>76269</xdr:rowOff>
    </xdr:to>
    <xdr:sp macro="" textlink="">
      <xdr:nvSpPr>
        <xdr:cNvPr id="5" name="Retângulo: Cantos Arredondados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C00-000005000000}"/>
            </a:ext>
          </a:extLst>
        </xdr:cNvPr>
        <xdr:cNvSpPr/>
      </xdr:nvSpPr>
      <xdr:spPr>
        <a:xfrm>
          <a:off x="3762375" y="561261"/>
          <a:ext cx="2113643" cy="27700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83623</xdr:rowOff>
    </xdr:to>
    <xdr:sp macro="" textlink="">
      <xdr:nvSpPr>
        <xdr:cNvPr id="6" name="Retângulo: Cantos Arredondado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C00-000006000000}"/>
            </a:ext>
          </a:extLst>
        </xdr:cNvPr>
        <xdr:cNvSpPr/>
      </xdr:nvSpPr>
      <xdr:spPr>
        <a:xfrm>
          <a:off x="3764297" y="190500"/>
          <a:ext cx="2113643" cy="274123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180261</xdr:rowOff>
    </xdr:from>
    <xdr:to>
      <xdr:col>0</xdr:col>
      <xdr:colOff>2113643</xdr:colOff>
      <xdr:row>4</xdr:row>
      <xdr:rowOff>76269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/>
      </xdr:nvSpPr>
      <xdr:spPr>
        <a:xfrm>
          <a:off x="0" y="545386"/>
          <a:ext cx="2113643" cy="254783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83623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/>
      </xdr:nvSpPr>
      <xdr:spPr>
        <a:xfrm>
          <a:off x="1922" y="180975"/>
          <a:ext cx="2113643" cy="267773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180261</xdr:rowOff>
    </xdr:from>
    <xdr:to>
      <xdr:col>1</xdr:col>
      <xdr:colOff>2113643</xdr:colOff>
      <xdr:row>4</xdr:row>
      <xdr:rowOff>76269</xdr:rowOff>
    </xdr:to>
    <xdr:sp macro="" textlink="">
      <xdr:nvSpPr>
        <xdr:cNvPr id="4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SpPr/>
      </xdr:nvSpPr>
      <xdr:spPr>
        <a:xfrm>
          <a:off x="3114675" y="545386"/>
          <a:ext cx="2113643" cy="254783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83623</xdr:rowOff>
    </xdr:to>
    <xdr:sp macro="" textlink="">
      <xdr:nvSpPr>
        <xdr:cNvPr id="5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/>
      </xdr:nvSpPr>
      <xdr:spPr>
        <a:xfrm>
          <a:off x="3116597" y="180975"/>
          <a:ext cx="2113643" cy="267773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183724</xdr:rowOff>
    </xdr:from>
    <xdr:to>
      <xdr:col>1</xdr:col>
      <xdr:colOff>2113643</xdr:colOff>
      <xdr:row>4</xdr:row>
      <xdr:rowOff>86660</xdr:rowOff>
    </xdr:to>
    <xdr:sp macro="" textlink="">
      <xdr:nvSpPr>
        <xdr:cNvPr id="5" name="Retângulo: Cantos Arredondados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/>
      </xdr:nvSpPr>
      <xdr:spPr>
        <a:xfrm>
          <a:off x="3762375" y="564724"/>
          <a:ext cx="2113643" cy="2839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87086</xdr:rowOff>
    </xdr:to>
    <xdr:sp macro="" textlink="">
      <xdr:nvSpPr>
        <xdr:cNvPr id="6" name="Retângulo: Cantos Arredondado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E00-000006000000}"/>
            </a:ext>
          </a:extLst>
        </xdr:cNvPr>
        <xdr:cNvSpPr/>
      </xdr:nvSpPr>
      <xdr:spPr>
        <a:xfrm>
          <a:off x="3764297" y="190500"/>
          <a:ext cx="2113643" cy="2775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95250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F00-000004000000}"/>
            </a:ext>
          </a:extLst>
        </xdr:cNvPr>
        <xdr:cNvSpPr/>
      </xdr:nvSpPr>
      <xdr:spPr>
        <a:xfrm>
          <a:off x="0" y="552024"/>
          <a:ext cx="2113643" cy="27982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183724</xdr:rowOff>
    </xdr:from>
    <xdr:to>
      <xdr:col>1</xdr:col>
      <xdr:colOff>2113643</xdr:colOff>
      <xdr:row>4</xdr:row>
      <xdr:rowOff>95250</xdr:rowOff>
    </xdr:to>
    <xdr:sp macro="" textlink="">
      <xdr:nvSpPr>
        <xdr:cNvPr id="6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F00-000006000000}"/>
            </a:ext>
          </a:extLst>
        </xdr:cNvPr>
        <xdr:cNvSpPr/>
      </xdr:nvSpPr>
      <xdr:spPr>
        <a:xfrm>
          <a:off x="2962275" y="564724"/>
          <a:ext cx="2113643" cy="29252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</a:t>
          </a:r>
          <a:r>
            <a:rPr lang="pt-BR" sz="1200" b="1" baseline="0"/>
            <a:t> Menu</a:t>
          </a:r>
          <a:endParaRPr lang="pt-BR" sz="1200" b="1"/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87086</xdr:rowOff>
    </xdr:to>
    <xdr:sp macro="" textlink="">
      <xdr:nvSpPr>
        <xdr:cNvPr id="7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SpPr/>
      </xdr:nvSpPr>
      <xdr:spPr>
        <a:xfrm>
          <a:off x="2964197" y="190500"/>
          <a:ext cx="2113643" cy="2775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183724</xdr:rowOff>
    </xdr:from>
    <xdr:to>
      <xdr:col>1</xdr:col>
      <xdr:colOff>2113643</xdr:colOff>
      <xdr:row>4</xdr:row>
      <xdr:rowOff>86660</xdr:rowOff>
    </xdr:to>
    <xdr:sp macro="" textlink="">
      <xdr:nvSpPr>
        <xdr:cNvPr id="5" name="Retângulo: Cantos Arredondados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/>
      </xdr:nvSpPr>
      <xdr:spPr>
        <a:xfrm>
          <a:off x="2962275" y="564724"/>
          <a:ext cx="2113643" cy="2839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87086</xdr:rowOff>
    </xdr:to>
    <xdr:sp macro="" textlink="">
      <xdr:nvSpPr>
        <xdr:cNvPr id="6" name="Retângulo: Cantos Arredondado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000-000006000000}"/>
            </a:ext>
          </a:extLst>
        </xdr:cNvPr>
        <xdr:cNvSpPr/>
      </xdr:nvSpPr>
      <xdr:spPr>
        <a:xfrm>
          <a:off x="2964197" y="190500"/>
          <a:ext cx="2113643" cy="2775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181110</xdr:rowOff>
    </xdr:from>
    <xdr:to>
      <xdr:col>0</xdr:col>
      <xdr:colOff>2113643</xdr:colOff>
      <xdr:row>4</xdr:row>
      <xdr:rowOff>78816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/>
      </xdr:nvSpPr>
      <xdr:spPr>
        <a:xfrm>
          <a:off x="0" y="554639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84472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SpPr/>
      </xdr:nvSpPr>
      <xdr:spPr>
        <a:xfrm>
          <a:off x="1922" y="186765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1</xdr:col>
      <xdr:colOff>0</xdr:colOff>
      <xdr:row>2</xdr:row>
      <xdr:rowOff>181110</xdr:rowOff>
    </xdr:from>
    <xdr:to>
      <xdr:col>1</xdr:col>
      <xdr:colOff>2113643</xdr:colOff>
      <xdr:row>4</xdr:row>
      <xdr:rowOff>78816</xdr:rowOff>
    </xdr:to>
    <xdr:sp macro="" textlink="">
      <xdr:nvSpPr>
        <xdr:cNvPr id="5" name="Retângulo: Cantos Arredondados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SpPr/>
      </xdr:nvSpPr>
      <xdr:spPr>
        <a:xfrm>
          <a:off x="2962275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84472</xdr:rowOff>
    </xdr:to>
    <xdr:sp macro="" textlink="">
      <xdr:nvSpPr>
        <xdr:cNvPr id="6" name="Retângulo: Cantos Arredondado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100-000006000000}"/>
            </a:ext>
          </a:extLst>
        </xdr:cNvPr>
        <xdr:cNvSpPr/>
      </xdr:nvSpPr>
      <xdr:spPr>
        <a:xfrm>
          <a:off x="2964197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39168</xdr:rowOff>
    </xdr:from>
    <xdr:to>
      <xdr:col>1</xdr:col>
      <xdr:colOff>2113643</xdr:colOff>
      <xdr:row>4</xdr:row>
      <xdr:rowOff>146051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/>
      </xdr:nvSpPr>
      <xdr:spPr>
        <a:xfrm>
          <a:off x="612588" y="532227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106883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/>
      </xdr:nvSpPr>
      <xdr:spPr>
        <a:xfrm>
          <a:off x="614510" y="164353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DREs Resumidas</a:t>
          </a:r>
        </a:p>
      </xdr:txBody>
    </xdr:sp>
    <xdr:clientData/>
  </xdr:twoCellAnchor>
  <xdr:twoCellAnchor>
    <xdr:from>
      <xdr:col>2</xdr:col>
      <xdr:colOff>0</xdr:colOff>
      <xdr:row>3</xdr:row>
      <xdr:rowOff>39168</xdr:rowOff>
    </xdr:from>
    <xdr:to>
      <xdr:col>2</xdr:col>
      <xdr:colOff>2113643</xdr:colOff>
      <xdr:row>4</xdr:row>
      <xdr:rowOff>146051</xdr:rowOff>
    </xdr:to>
    <xdr:sp macro="" textlink="">
      <xdr:nvSpPr>
        <xdr:cNvPr id="5" name="Retângulo: Cantos Arredondados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/>
      </xdr:nvSpPr>
      <xdr:spPr>
        <a:xfrm>
          <a:off x="3619500" y="524943"/>
          <a:ext cx="2113643" cy="26880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2</xdr:col>
      <xdr:colOff>1922</xdr:colOff>
      <xdr:row>1</xdr:row>
      <xdr:rowOff>0</xdr:rowOff>
    </xdr:from>
    <xdr:to>
      <xdr:col>2</xdr:col>
      <xdr:colOff>2115565</xdr:colOff>
      <xdr:row>2</xdr:row>
      <xdr:rowOff>106883</xdr:rowOff>
    </xdr:to>
    <xdr:sp macro="" textlink="">
      <xdr:nvSpPr>
        <xdr:cNvPr id="6" name="Retângulo: Cantos Arredondado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200-000006000000}"/>
            </a:ext>
          </a:extLst>
        </xdr:cNvPr>
        <xdr:cNvSpPr/>
      </xdr:nvSpPr>
      <xdr:spPr>
        <a:xfrm>
          <a:off x="3621422" y="161925"/>
          <a:ext cx="2113643" cy="26880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Return to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P&amp;L Summary</a:t>
          </a:r>
          <a:endParaRPr lang="en-US" sz="1200">
            <a:effectLst/>
          </a:endParaRP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2113643</xdr:colOff>
      <xdr:row>2</xdr:row>
      <xdr:rowOff>131536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/>
      </xdr:nvSpPr>
      <xdr:spPr>
        <a:xfrm>
          <a:off x="501650" y="13970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2113643</xdr:colOff>
      <xdr:row>2</xdr:row>
      <xdr:rowOff>131536</xdr:rowOff>
    </xdr:to>
    <xdr:sp macro="" textlink="">
      <xdr:nvSpPr>
        <xdr:cNvPr id="3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SpPr/>
      </xdr:nvSpPr>
      <xdr:spPr>
        <a:xfrm>
          <a:off x="2943225" y="133350"/>
          <a:ext cx="2113643" cy="2648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SpPr/>
      </xdr:nvSpPr>
      <xdr:spPr>
        <a:xfrm>
          <a:off x="1428750" y="203200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Maranhão</a:t>
          </a:r>
        </a:p>
      </xdr:txBody>
    </xdr:sp>
    <xdr:clientData/>
  </xdr:twoCellAnchor>
  <xdr:twoCellAnchor>
    <xdr:from>
      <xdr:col>3</xdr:col>
      <xdr:colOff>114300</xdr:colOff>
      <xdr:row>11</xdr:row>
      <xdr:rowOff>66675</xdr:rowOff>
    </xdr:from>
    <xdr:to>
      <xdr:col>6</xdr:col>
      <xdr:colOff>476250</xdr:colOff>
      <xdr:row>13</xdr:row>
      <xdr:rowOff>22225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/>
      </xdr:nvSpPr>
      <xdr:spPr>
        <a:xfrm>
          <a:off x="1428750" y="251777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Pará</a:t>
          </a:r>
        </a:p>
      </xdr:txBody>
    </xdr:sp>
    <xdr:clientData/>
  </xdr:twoCellAnchor>
  <xdr:twoCellAnchor>
    <xdr:from>
      <xdr:col>3</xdr:col>
      <xdr:colOff>114300</xdr:colOff>
      <xdr:row>14</xdr:row>
      <xdr:rowOff>0</xdr:rowOff>
    </xdr:from>
    <xdr:to>
      <xdr:col>6</xdr:col>
      <xdr:colOff>476250</xdr:colOff>
      <xdr:row>15</xdr:row>
      <xdr:rowOff>139700</xdr:rowOff>
    </xdr:to>
    <xdr:sp macro="" textlink="">
      <xdr:nvSpPr>
        <xdr:cNvPr id="5" name="Retângulo: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/>
      </xdr:nvSpPr>
      <xdr:spPr>
        <a:xfrm>
          <a:off x="1428750" y="30035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Piauí</a:t>
          </a:r>
        </a:p>
      </xdr:txBody>
    </xdr:sp>
    <xdr:clientData/>
  </xdr:twoCellAnchor>
  <xdr:twoCellAnchor>
    <xdr:from>
      <xdr:col>3</xdr:col>
      <xdr:colOff>114300</xdr:colOff>
      <xdr:row>16</xdr:row>
      <xdr:rowOff>117475</xdr:rowOff>
    </xdr:from>
    <xdr:to>
      <xdr:col>6</xdr:col>
      <xdr:colOff>476250</xdr:colOff>
      <xdr:row>18</xdr:row>
      <xdr:rowOff>73025</xdr:rowOff>
    </xdr:to>
    <xdr:sp macro="" textlink="">
      <xdr:nvSpPr>
        <xdr:cNvPr id="6" name="Retângulo: Cantos Arredondado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/>
      </xdr:nvSpPr>
      <xdr:spPr>
        <a:xfrm>
          <a:off x="1428750" y="348932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Alagoas</a:t>
          </a:r>
        </a:p>
      </xdr:txBody>
    </xdr:sp>
    <xdr:clientData/>
  </xdr:twoCellAnchor>
  <xdr:twoCellAnchor>
    <xdr:from>
      <xdr:col>3</xdr:col>
      <xdr:colOff>114300</xdr:colOff>
      <xdr:row>19</xdr:row>
      <xdr:rowOff>69850</xdr:rowOff>
    </xdr:from>
    <xdr:to>
      <xdr:col>6</xdr:col>
      <xdr:colOff>476250</xdr:colOff>
      <xdr:row>21</xdr:row>
      <xdr:rowOff>25400</xdr:rowOff>
    </xdr:to>
    <xdr:sp macro="" textlink="">
      <xdr:nvSpPr>
        <xdr:cNvPr id="7" name="Retângulo: Cantos Arredondados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/>
      </xdr:nvSpPr>
      <xdr:spPr>
        <a:xfrm>
          <a:off x="1428750" y="39941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CEEE-D</a:t>
          </a:r>
        </a:p>
      </xdr:txBody>
    </xdr:sp>
    <xdr:clientData/>
  </xdr:twoCellAnchor>
  <xdr:twoCellAnchor>
    <xdr:from>
      <xdr:col>8</xdr:col>
      <xdr:colOff>69850</xdr:colOff>
      <xdr:row>8</xdr:row>
      <xdr:rowOff>133350</xdr:rowOff>
    </xdr:from>
    <xdr:to>
      <xdr:col>11</xdr:col>
      <xdr:colOff>431800</xdr:colOff>
      <xdr:row>10</xdr:row>
      <xdr:rowOff>88900</xdr:rowOff>
    </xdr:to>
    <xdr:sp macro="" textlink="">
      <xdr:nvSpPr>
        <xdr:cNvPr id="8" name="Retângulo: Cantos Arredondados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3400-000008000000}"/>
            </a:ext>
          </a:extLst>
        </xdr:cNvPr>
        <xdr:cNvSpPr/>
      </xdr:nvSpPr>
      <xdr:spPr>
        <a:xfrm>
          <a:off x="3962400" y="203200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EQTT</a:t>
          </a:r>
        </a:p>
      </xdr:txBody>
    </xdr:sp>
    <xdr:clientData/>
  </xdr:twoCellAnchor>
  <xdr:twoCellAnchor>
    <xdr:from>
      <xdr:col>8</xdr:col>
      <xdr:colOff>69850</xdr:colOff>
      <xdr:row>11</xdr:row>
      <xdr:rowOff>66675</xdr:rowOff>
    </xdr:from>
    <xdr:to>
      <xdr:col>11</xdr:col>
      <xdr:colOff>431800</xdr:colOff>
      <xdr:row>13</xdr:row>
      <xdr:rowOff>22225</xdr:rowOff>
    </xdr:to>
    <xdr:sp macro="" textlink="">
      <xdr:nvSpPr>
        <xdr:cNvPr id="9" name="Retângulo: Cantos Arredondados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3400-000009000000}"/>
            </a:ext>
          </a:extLst>
        </xdr:cNvPr>
        <xdr:cNvSpPr/>
      </xdr:nvSpPr>
      <xdr:spPr>
        <a:xfrm>
          <a:off x="3962400" y="251777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INTESA</a:t>
          </a:r>
        </a:p>
      </xdr:txBody>
    </xdr:sp>
    <xdr:clientData/>
  </xdr:twoCellAnchor>
  <xdr:twoCellAnchor>
    <xdr:from>
      <xdr:col>13</xdr:col>
      <xdr:colOff>92214</xdr:colOff>
      <xdr:row>8</xdr:row>
      <xdr:rowOff>149411</xdr:rowOff>
    </xdr:from>
    <xdr:to>
      <xdr:col>16</xdr:col>
      <xdr:colOff>454164</xdr:colOff>
      <xdr:row>10</xdr:row>
      <xdr:rowOff>104961</xdr:rowOff>
    </xdr:to>
    <xdr:sp macro="" textlink="">
      <xdr:nvSpPr>
        <xdr:cNvPr id="12" name="Retângulo: Cantos Arredondados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3400-00000C000000}"/>
            </a:ext>
          </a:extLst>
        </xdr:cNvPr>
        <xdr:cNvSpPr/>
      </xdr:nvSpPr>
      <xdr:spPr>
        <a:xfrm>
          <a:off x="6562864" y="2048061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 Participações</a:t>
          </a:r>
        </a:p>
      </xdr:txBody>
    </xdr:sp>
    <xdr:clientData/>
  </xdr:twoCellAnchor>
  <xdr:twoCellAnchor>
    <xdr:from>
      <xdr:col>3</xdr:col>
      <xdr:colOff>114300</xdr:colOff>
      <xdr:row>21</xdr:row>
      <xdr:rowOff>149225</xdr:rowOff>
    </xdr:from>
    <xdr:to>
      <xdr:col>6</xdr:col>
      <xdr:colOff>476250</xdr:colOff>
      <xdr:row>23</xdr:row>
      <xdr:rowOff>104775</xdr:rowOff>
    </xdr:to>
    <xdr:sp macro="" textlink="">
      <xdr:nvSpPr>
        <xdr:cNvPr id="13" name="Retângulo: Cantos Arredondados 1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3400-00000D000000}"/>
            </a:ext>
          </a:extLst>
        </xdr:cNvPr>
        <xdr:cNvSpPr/>
      </xdr:nvSpPr>
      <xdr:spPr>
        <a:xfrm>
          <a:off x="1428750" y="444182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CEA</a:t>
          </a:r>
        </a:p>
      </xdr:txBody>
    </xdr:sp>
    <xdr:clientData/>
  </xdr:twoCellAnchor>
  <xdr:twoCellAnchor>
    <xdr:from>
      <xdr:col>3</xdr:col>
      <xdr:colOff>114300</xdr:colOff>
      <xdr:row>24</xdr:row>
      <xdr:rowOff>101600</xdr:rowOff>
    </xdr:from>
    <xdr:to>
      <xdr:col>6</xdr:col>
      <xdr:colOff>476250</xdr:colOff>
      <xdr:row>26</xdr:row>
      <xdr:rowOff>57150</xdr:rowOff>
    </xdr:to>
    <xdr:sp macro="" textlink="">
      <xdr:nvSpPr>
        <xdr:cNvPr id="14" name="Retângulo: Cantos Arredondados 1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3400-00000E000000}"/>
            </a:ext>
          </a:extLst>
        </xdr:cNvPr>
        <xdr:cNvSpPr/>
      </xdr:nvSpPr>
      <xdr:spPr>
        <a:xfrm>
          <a:off x="1428750" y="49466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Goiás</a:t>
          </a:r>
        </a:p>
      </xdr:txBody>
    </xdr:sp>
    <xdr:clientData/>
  </xdr:twoCellAnchor>
  <xdr:twoCellAnchor>
    <xdr:from>
      <xdr:col>18</xdr:col>
      <xdr:colOff>87732</xdr:colOff>
      <xdr:row>8</xdr:row>
      <xdr:rowOff>152400</xdr:rowOff>
    </xdr:from>
    <xdr:to>
      <xdr:col>21</xdr:col>
      <xdr:colOff>449682</xdr:colOff>
      <xdr:row>10</xdr:row>
      <xdr:rowOff>107950</xdr:rowOff>
    </xdr:to>
    <xdr:sp macro="" textlink="">
      <xdr:nvSpPr>
        <xdr:cNvPr id="15" name="Retângulo: Cantos Arredondados 1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3400-00000F000000}"/>
            </a:ext>
          </a:extLst>
        </xdr:cNvPr>
        <xdr:cNvSpPr/>
      </xdr:nvSpPr>
      <xdr:spPr>
        <a:xfrm>
          <a:off x="9136482" y="20510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CSA</a:t>
          </a:r>
        </a:p>
      </xdr:txBody>
    </xdr:sp>
    <xdr:clientData/>
  </xdr:twoCellAnchor>
  <xdr:twoCellAnchor>
    <xdr:from>
      <xdr:col>23</xdr:col>
      <xdr:colOff>110143</xdr:colOff>
      <xdr:row>11</xdr:row>
      <xdr:rowOff>83590</xdr:rowOff>
    </xdr:from>
    <xdr:to>
      <xdr:col>26</xdr:col>
      <xdr:colOff>472094</xdr:colOff>
      <xdr:row>13</xdr:row>
      <xdr:rowOff>39140</xdr:rowOff>
    </xdr:to>
    <xdr:sp macro="" textlink="">
      <xdr:nvSpPr>
        <xdr:cNvPr id="17" name="Retângulo: Cantos Arredondados 16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3400-000011000000}"/>
            </a:ext>
          </a:extLst>
        </xdr:cNvPr>
        <xdr:cNvSpPr/>
      </xdr:nvSpPr>
      <xdr:spPr>
        <a:xfrm>
          <a:off x="11719437" y="2495096"/>
          <a:ext cx="2190751" cy="31413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Holding</a:t>
          </a:r>
        </a:p>
      </xdr:txBody>
    </xdr:sp>
    <xdr:clientData/>
  </xdr:twoCellAnchor>
  <xdr:twoCellAnchor>
    <xdr:from>
      <xdr:col>23</xdr:col>
      <xdr:colOff>110143</xdr:colOff>
      <xdr:row>14</xdr:row>
      <xdr:rowOff>17703</xdr:rowOff>
    </xdr:from>
    <xdr:to>
      <xdr:col>26</xdr:col>
      <xdr:colOff>472094</xdr:colOff>
      <xdr:row>15</xdr:row>
      <xdr:rowOff>154480</xdr:rowOff>
    </xdr:to>
    <xdr:sp macro="" textlink="">
      <xdr:nvSpPr>
        <xdr:cNvPr id="18" name="Retângulo: Cantos Arredondados 1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3400-000012000000}"/>
            </a:ext>
          </a:extLst>
        </xdr:cNvPr>
        <xdr:cNvSpPr/>
      </xdr:nvSpPr>
      <xdr:spPr>
        <a:xfrm>
          <a:off x="11719437" y="2967091"/>
          <a:ext cx="2190751" cy="316071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Consolidado</a:t>
          </a:r>
        </a:p>
      </xdr:txBody>
    </xdr:sp>
    <xdr:clientData/>
  </xdr:twoCellAnchor>
  <xdr:twoCellAnchor>
    <xdr:from>
      <xdr:col>5</xdr:col>
      <xdr:colOff>22411</xdr:colOff>
      <xdr:row>0</xdr:row>
      <xdr:rowOff>171823</xdr:rowOff>
    </xdr:from>
    <xdr:to>
      <xdr:col>9</xdr:col>
      <xdr:colOff>156349</xdr:colOff>
      <xdr:row>2</xdr:row>
      <xdr:rowOff>64194</xdr:rowOff>
    </xdr:to>
    <xdr:sp macro="" textlink="">
      <xdr:nvSpPr>
        <xdr:cNvPr id="19" name="Retângulo: Cantos Arredondados 1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3400-000013000000}"/>
            </a:ext>
          </a:extLst>
        </xdr:cNvPr>
        <xdr:cNvSpPr/>
      </xdr:nvSpPr>
      <xdr:spPr>
        <a:xfrm>
          <a:off x="2556061" y="171823"/>
          <a:ext cx="2102438" cy="26067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13</xdr:col>
      <xdr:colOff>85864</xdr:colOff>
      <xdr:row>11</xdr:row>
      <xdr:rowOff>68354</xdr:rowOff>
    </xdr:from>
    <xdr:to>
      <xdr:col>16</xdr:col>
      <xdr:colOff>447814</xdr:colOff>
      <xdr:row>13</xdr:row>
      <xdr:rowOff>23904</xdr:rowOff>
    </xdr:to>
    <xdr:sp macro="" textlink="">
      <xdr:nvSpPr>
        <xdr:cNvPr id="10" name="Retângulo: Cantos Arredondados 9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3400-00000A000000}"/>
            </a:ext>
          </a:extLst>
        </xdr:cNvPr>
        <xdr:cNvSpPr/>
      </xdr:nvSpPr>
      <xdr:spPr>
        <a:xfrm>
          <a:off x="6600217" y="2541119"/>
          <a:ext cx="2199715" cy="329079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 Crescimento</a:t>
          </a:r>
        </a:p>
      </xdr:txBody>
    </xdr:sp>
    <xdr:clientData/>
  </xdr:twoCellAnchor>
  <xdr:twoCellAnchor>
    <xdr:from>
      <xdr:col>23</xdr:col>
      <xdr:colOff>107577</xdr:colOff>
      <xdr:row>8</xdr:row>
      <xdr:rowOff>152399</xdr:rowOff>
    </xdr:from>
    <xdr:to>
      <xdr:col>26</xdr:col>
      <xdr:colOff>469528</xdr:colOff>
      <xdr:row>10</xdr:row>
      <xdr:rowOff>109882</xdr:rowOff>
    </xdr:to>
    <xdr:sp macro="" textlink="">
      <xdr:nvSpPr>
        <xdr:cNvPr id="21" name="Retângulo: Cantos Arredondados 17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3400-000015000000}"/>
            </a:ext>
          </a:extLst>
        </xdr:cNvPr>
        <xdr:cNvSpPr/>
      </xdr:nvSpPr>
      <xdr:spPr>
        <a:xfrm>
          <a:off x="11716871" y="2026023"/>
          <a:ext cx="2190751" cy="316071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Serviços</a:t>
          </a:r>
        </a:p>
      </xdr:txBody>
    </xdr:sp>
    <xdr:clientData/>
  </xdr:twoCellAnchor>
  <xdr:twoCellAnchor editAs="oneCell">
    <xdr:from>
      <xdr:col>0</xdr:col>
      <xdr:colOff>212912</xdr:colOff>
      <xdr:row>0</xdr:row>
      <xdr:rowOff>44824</xdr:rowOff>
    </xdr:from>
    <xdr:to>
      <xdr:col>4</xdr:col>
      <xdr:colOff>160681</xdr:colOff>
      <xdr:row>2</xdr:row>
      <xdr:rowOff>102276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EC48BE7F-6B5A-484E-A8F8-A6FE6D38F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96DAC541-7B7A-43D3-8B79-37D633B846F1}">
              <asvg:svgBlip xmlns:asvg="http://schemas.microsoft.com/office/drawing/2016/SVG/main" r:embed="rId18"/>
            </a:ext>
          </a:extLst>
        </a:blip>
        <a:stretch>
          <a:fillRect/>
        </a:stretch>
      </xdr:blipFill>
      <xdr:spPr>
        <a:xfrm>
          <a:off x="212912" y="44824"/>
          <a:ext cx="1863975" cy="416040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/>
      </xdr:nvSpPr>
      <xdr:spPr>
        <a:xfrm>
          <a:off x="1438275" y="20097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Maranhão</a:t>
          </a:r>
        </a:p>
      </xdr:txBody>
    </xdr:sp>
    <xdr:clientData/>
  </xdr:twoCellAnchor>
  <xdr:twoCellAnchor>
    <xdr:from>
      <xdr:col>3</xdr:col>
      <xdr:colOff>114300</xdr:colOff>
      <xdr:row>11</xdr:row>
      <xdr:rowOff>66675</xdr:rowOff>
    </xdr:from>
    <xdr:to>
      <xdr:col>6</xdr:col>
      <xdr:colOff>476250</xdr:colOff>
      <xdr:row>13</xdr:row>
      <xdr:rowOff>22225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SpPr/>
      </xdr:nvSpPr>
      <xdr:spPr>
        <a:xfrm>
          <a:off x="1438275" y="24828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Pará</a:t>
          </a:r>
        </a:p>
      </xdr:txBody>
    </xdr:sp>
    <xdr:clientData/>
  </xdr:twoCellAnchor>
  <xdr:twoCellAnchor>
    <xdr:from>
      <xdr:col>3</xdr:col>
      <xdr:colOff>114300</xdr:colOff>
      <xdr:row>14</xdr:row>
      <xdr:rowOff>0</xdr:rowOff>
    </xdr:from>
    <xdr:to>
      <xdr:col>6</xdr:col>
      <xdr:colOff>476250</xdr:colOff>
      <xdr:row>15</xdr:row>
      <xdr:rowOff>139700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SpPr/>
      </xdr:nvSpPr>
      <xdr:spPr>
        <a:xfrm>
          <a:off x="1438275" y="296227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Piauí</a:t>
          </a:r>
        </a:p>
      </xdr:txBody>
    </xdr:sp>
    <xdr:clientData/>
  </xdr:twoCellAnchor>
  <xdr:twoCellAnchor>
    <xdr:from>
      <xdr:col>3</xdr:col>
      <xdr:colOff>114300</xdr:colOff>
      <xdr:row>16</xdr:row>
      <xdr:rowOff>117475</xdr:rowOff>
    </xdr:from>
    <xdr:to>
      <xdr:col>6</xdr:col>
      <xdr:colOff>476250</xdr:colOff>
      <xdr:row>18</xdr:row>
      <xdr:rowOff>73025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SpPr/>
      </xdr:nvSpPr>
      <xdr:spPr>
        <a:xfrm>
          <a:off x="1438275" y="34448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Alagoas</a:t>
          </a:r>
        </a:p>
      </xdr:txBody>
    </xdr:sp>
    <xdr:clientData/>
  </xdr:twoCellAnchor>
  <xdr:twoCellAnchor>
    <xdr:from>
      <xdr:col>3</xdr:col>
      <xdr:colOff>114300</xdr:colOff>
      <xdr:row>19</xdr:row>
      <xdr:rowOff>69850</xdr:rowOff>
    </xdr:from>
    <xdr:to>
      <xdr:col>6</xdr:col>
      <xdr:colOff>476250</xdr:colOff>
      <xdr:row>21</xdr:row>
      <xdr:rowOff>25400</xdr:rowOff>
    </xdr:to>
    <xdr:sp macro="" textlink="">
      <xdr:nvSpPr>
        <xdr:cNvPr id="6" name="Retângulo: Cantos Arredondado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/>
      </xdr:nvSpPr>
      <xdr:spPr>
        <a:xfrm>
          <a:off x="1438275" y="393382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CEEE-D</a:t>
          </a:r>
        </a:p>
      </xdr:txBody>
    </xdr:sp>
    <xdr:clientData/>
  </xdr:twoCellAnchor>
  <xdr:twoCellAnchor>
    <xdr:from>
      <xdr:col>8</xdr:col>
      <xdr:colOff>69850</xdr:colOff>
      <xdr:row>8</xdr:row>
      <xdr:rowOff>133350</xdr:rowOff>
    </xdr:from>
    <xdr:to>
      <xdr:col>11</xdr:col>
      <xdr:colOff>431800</xdr:colOff>
      <xdr:row>10</xdr:row>
      <xdr:rowOff>88900</xdr:rowOff>
    </xdr:to>
    <xdr:sp macro="" textlink="">
      <xdr:nvSpPr>
        <xdr:cNvPr id="7" name="Retângulo: Cantos Arredondado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/>
      </xdr:nvSpPr>
      <xdr:spPr>
        <a:xfrm>
          <a:off x="3971925" y="20097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EQTT</a:t>
          </a:r>
        </a:p>
      </xdr:txBody>
    </xdr:sp>
    <xdr:clientData/>
  </xdr:twoCellAnchor>
  <xdr:twoCellAnchor>
    <xdr:from>
      <xdr:col>8</xdr:col>
      <xdr:colOff>69850</xdr:colOff>
      <xdr:row>11</xdr:row>
      <xdr:rowOff>66675</xdr:rowOff>
    </xdr:from>
    <xdr:to>
      <xdr:col>11</xdr:col>
      <xdr:colOff>431800</xdr:colOff>
      <xdr:row>13</xdr:row>
      <xdr:rowOff>22225</xdr:rowOff>
    </xdr:to>
    <xdr:sp macro="" textlink="">
      <xdr:nvSpPr>
        <xdr:cNvPr id="8" name="Retângulo: Cantos Arredondados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3500-000008000000}"/>
            </a:ext>
          </a:extLst>
        </xdr:cNvPr>
        <xdr:cNvSpPr/>
      </xdr:nvSpPr>
      <xdr:spPr>
        <a:xfrm>
          <a:off x="3971925" y="24828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INTESA</a:t>
          </a:r>
        </a:p>
      </xdr:txBody>
    </xdr:sp>
    <xdr:clientData/>
  </xdr:twoCellAnchor>
  <xdr:twoCellAnchor>
    <xdr:from>
      <xdr:col>13</xdr:col>
      <xdr:colOff>92214</xdr:colOff>
      <xdr:row>8</xdr:row>
      <xdr:rowOff>149411</xdr:rowOff>
    </xdr:from>
    <xdr:to>
      <xdr:col>16</xdr:col>
      <xdr:colOff>454164</xdr:colOff>
      <xdr:row>10</xdr:row>
      <xdr:rowOff>104961</xdr:rowOff>
    </xdr:to>
    <xdr:sp macro="" textlink="">
      <xdr:nvSpPr>
        <xdr:cNvPr id="9" name="Retângulo: Cantos Arredondados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SpPr/>
      </xdr:nvSpPr>
      <xdr:spPr>
        <a:xfrm>
          <a:off x="6578739" y="2025836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 Participações</a:t>
          </a:r>
        </a:p>
      </xdr:txBody>
    </xdr:sp>
    <xdr:clientData/>
  </xdr:twoCellAnchor>
  <xdr:twoCellAnchor>
    <xdr:from>
      <xdr:col>3</xdr:col>
      <xdr:colOff>114300</xdr:colOff>
      <xdr:row>21</xdr:row>
      <xdr:rowOff>149225</xdr:rowOff>
    </xdr:from>
    <xdr:to>
      <xdr:col>6</xdr:col>
      <xdr:colOff>476250</xdr:colOff>
      <xdr:row>23</xdr:row>
      <xdr:rowOff>104775</xdr:rowOff>
    </xdr:to>
    <xdr:sp macro="" textlink="">
      <xdr:nvSpPr>
        <xdr:cNvPr id="10" name="Retângulo: Cantos Arredondados 9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3500-00000A000000}"/>
            </a:ext>
          </a:extLst>
        </xdr:cNvPr>
        <xdr:cNvSpPr/>
      </xdr:nvSpPr>
      <xdr:spPr>
        <a:xfrm>
          <a:off x="1438275" y="437832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CEA</a:t>
          </a:r>
        </a:p>
      </xdr:txBody>
    </xdr:sp>
    <xdr:clientData/>
  </xdr:twoCellAnchor>
  <xdr:twoCellAnchor>
    <xdr:from>
      <xdr:col>3</xdr:col>
      <xdr:colOff>114300</xdr:colOff>
      <xdr:row>24</xdr:row>
      <xdr:rowOff>101600</xdr:rowOff>
    </xdr:from>
    <xdr:to>
      <xdr:col>6</xdr:col>
      <xdr:colOff>476250</xdr:colOff>
      <xdr:row>26</xdr:row>
      <xdr:rowOff>57150</xdr:rowOff>
    </xdr:to>
    <xdr:sp macro="" textlink="">
      <xdr:nvSpPr>
        <xdr:cNvPr id="11" name="Retângulo: Cantos Arredondados 1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3500-00000B000000}"/>
            </a:ext>
          </a:extLst>
        </xdr:cNvPr>
        <xdr:cNvSpPr/>
      </xdr:nvSpPr>
      <xdr:spPr>
        <a:xfrm>
          <a:off x="1438275" y="4876800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Goiás</a:t>
          </a:r>
        </a:p>
      </xdr:txBody>
    </xdr:sp>
    <xdr:clientData/>
  </xdr:twoCellAnchor>
  <xdr:twoCellAnchor>
    <xdr:from>
      <xdr:col>18</xdr:col>
      <xdr:colOff>87732</xdr:colOff>
      <xdr:row>8</xdr:row>
      <xdr:rowOff>152400</xdr:rowOff>
    </xdr:from>
    <xdr:to>
      <xdr:col>21</xdr:col>
      <xdr:colOff>449682</xdr:colOff>
      <xdr:row>10</xdr:row>
      <xdr:rowOff>107950</xdr:rowOff>
    </xdr:to>
    <xdr:sp macro="" textlink="">
      <xdr:nvSpPr>
        <xdr:cNvPr id="12" name="Retângulo: Cantos Arredondados 11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3500-00000C000000}"/>
            </a:ext>
          </a:extLst>
        </xdr:cNvPr>
        <xdr:cNvSpPr/>
      </xdr:nvSpPr>
      <xdr:spPr>
        <a:xfrm>
          <a:off x="9152357" y="202882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CSA</a:t>
          </a:r>
        </a:p>
      </xdr:txBody>
    </xdr:sp>
    <xdr:clientData/>
  </xdr:twoCellAnchor>
  <xdr:twoCellAnchor>
    <xdr:from>
      <xdr:col>23</xdr:col>
      <xdr:colOff>110143</xdr:colOff>
      <xdr:row>8</xdr:row>
      <xdr:rowOff>128409</xdr:rowOff>
    </xdr:from>
    <xdr:to>
      <xdr:col>26</xdr:col>
      <xdr:colOff>472094</xdr:colOff>
      <xdr:row>10</xdr:row>
      <xdr:rowOff>83959</xdr:rowOff>
    </xdr:to>
    <xdr:sp macro="" textlink="">
      <xdr:nvSpPr>
        <xdr:cNvPr id="13" name="Retângulo: Cantos Arredondados 1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SpPr/>
      </xdr:nvSpPr>
      <xdr:spPr>
        <a:xfrm>
          <a:off x="11756043" y="2001659"/>
          <a:ext cx="2190751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Holding</a:t>
          </a:r>
        </a:p>
      </xdr:txBody>
    </xdr:sp>
    <xdr:clientData/>
  </xdr:twoCellAnchor>
  <xdr:twoCellAnchor>
    <xdr:from>
      <xdr:col>23</xdr:col>
      <xdr:colOff>110143</xdr:colOff>
      <xdr:row>11</xdr:row>
      <xdr:rowOff>62522</xdr:rowOff>
    </xdr:from>
    <xdr:to>
      <xdr:col>26</xdr:col>
      <xdr:colOff>472094</xdr:colOff>
      <xdr:row>13</xdr:row>
      <xdr:rowOff>20005</xdr:rowOff>
    </xdr:to>
    <xdr:sp macro="" textlink="">
      <xdr:nvSpPr>
        <xdr:cNvPr id="14" name="Retângulo: Cantos Arredondados 1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3500-00000E000000}"/>
            </a:ext>
          </a:extLst>
        </xdr:cNvPr>
        <xdr:cNvSpPr/>
      </xdr:nvSpPr>
      <xdr:spPr>
        <a:xfrm>
          <a:off x="11756043" y="2485047"/>
          <a:ext cx="2190751" cy="31625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Consolidated</a:t>
          </a:r>
        </a:p>
      </xdr:txBody>
    </xdr:sp>
    <xdr:clientData/>
  </xdr:twoCellAnchor>
  <xdr:twoCellAnchor>
    <xdr:from>
      <xdr:col>5</xdr:col>
      <xdr:colOff>22411</xdr:colOff>
      <xdr:row>0</xdr:row>
      <xdr:rowOff>171823</xdr:rowOff>
    </xdr:from>
    <xdr:to>
      <xdr:col>9</xdr:col>
      <xdr:colOff>156349</xdr:colOff>
      <xdr:row>2</xdr:row>
      <xdr:rowOff>64194</xdr:rowOff>
    </xdr:to>
    <xdr:sp macro="" textlink="">
      <xdr:nvSpPr>
        <xdr:cNvPr id="15" name="Retângulo: Cantos Arredondados 1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3500-00000F000000}"/>
            </a:ext>
          </a:extLst>
        </xdr:cNvPr>
        <xdr:cNvSpPr/>
      </xdr:nvSpPr>
      <xdr:spPr>
        <a:xfrm>
          <a:off x="2568761" y="171823"/>
          <a:ext cx="2105613" cy="25749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13</xdr:col>
      <xdr:colOff>85864</xdr:colOff>
      <xdr:row>11</xdr:row>
      <xdr:rowOff>68354</xdr:rowOff>
    </xdr:from>
    <xdr:to>
      <xdr:col>16</xdr:col>
      <xdr:colOff>447814</xdr:colOff>
      <xdr:row>13</xdr:row>
      <xdr:rowOff>23904</xdr:rowOff>
    </xdr:to>
    <xdr:sp macro="" textlink="">
      <xdr:nvSpPr>
        <xdr:cNvPr id="16" name="Retângulo: Cantos Arredondados 1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3500-000010000000}"/>
            </a:ext>
          </a:extLst>
        </xdr:cNvPr>
        <xdr:cNvSpPr/>
      </xdr:nvSpPr>
      <xdr:spPr>
        <a:xfrm>
          <a:off x="6569214" y="2484529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 Crescimento</a:t>
          </a:r>
        </a:p>
      </xdr:txBody>
    </xdr:sp>
    <xdr:clientData/>
  </xdr:twoCellAnchor>
  <xdr:twoCellAnchor editAs="oneCell">
    <xdr:from>
      <xdr:col>0</xdr:col>
      <xdr:colOff>168088</xdr:colOff>
      <xdr:row>0</xdr:row>
      <xdr:rowOff>67235</xdr:rowOff>
    </xdr:from>
    <xdr:to>
      <xdr:col>4</xdr:col>
      <xdr:colOff>115857</xdr:colOff>
      <xdr:row>2</xdr:row>
      <xdr:rowOff>124687</xdr:rowOff>
    </xdr:to>
    <xdr:pic>
      <xdr:nvPicPr>
        <xdr:cNvPr id="18" name="Gráfico 17">
          <a:extLst>
            <a:ext uri="{FF2B5EF4-FFF2-40B4-BE49-F238E27FC236}">
              <a16:creationId xmlns:a16="http://schemas.microsoft.com/office/drawing/2014/main" id="{7A719151-961A-4895-BF8C-D6CFAC67A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96DAC541-7B7A-43D3-8B79-37D633B846F1}">
              <asvg:svgBlip xmlns:asvg="http://schemas.microsoft.com/office/drawing/2016/SVG/main" r:embed="rId17"/>
            </a:ext>
          </a:extLst>
        </a:blip>
        <a:stretch>
          <a:fillRect/>
        </a:stretch>
      </xdr:blipFill>
      <xdr:spPr>
        <a:xfrm>
          <a:off x="168088" y="67235"/>
          <a:ext cx="1863975" cy="416040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6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/>
      </xdr:nvSpPr>
      <xdr:spPr>
        <a:xfrm>
          <a:off x="0" y="550437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88674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/>
      </xdr:nvSpPr>
      <xdr:spPr>
        <a:xfrm>
          <a:off x="1922" y="182563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SpPr/>
      </xdr:nvSpPr>
      <xdr:spPr>
        <a:xfrm>
          <a:off x="3171825" y="574249"/>
          <a:ext cx="2113643" cy="2791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88674</xdr:rowOff>
    </xdr:to>
    <xdr:sp macro="" textlink="">
      <xdr:nvSpPr>
        <xdr:cNvPr id="5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SpPr/>
      </xdr:nvSpPr>
      <xdr:spPr>
        <a:xfrm>
          <a:off x="3173747" y="190500"/>
          <a:ext cx="2113643" cy="2791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Balance Sheet</a:t>
          </a:r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6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/>
      </xdr:nvSpPr>
      <xdr:spPr>
        <a:xfrm>
          <a:off x="0" y="550437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88674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/>
      </xdr:nvSpPr>
      <xdr:spPr>
        <a:xfrm>
          <a:off x="1922" y="182563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SpPr/>
      </xdr:nvSpPr>
      <xdr:spPr>
        <a:xfrm>
          <a:off x="3171825" y="574249"/>
          <a:ext cx="2113643" cy="2791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88674</xdr:rowOff>
    </xdr:to>
    <xdr:sp macro="" textlink="">
      <xdr:nvSpPr>
        <xdr:cNvPr id="5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SpPr/>
      </xdr:nvSpPr>
      <xdr:spPr>
        <a:xfrm>
          <a:off x="3173747" y="190500"/>
          <a:ext cx="2113643" cy="2791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Balance Sheet</a:t>
          </a:r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6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2</xdr:row>
      <xdr:rowOff>183724</xdr:rowOff>
    </xdr:from>
    <xdr:to>
      <xdr:col>1</xdr:col>
      <xdr:colOff>2113643</xdr:colOff>
      <xdr:row>4</xdr:row>
      <xdr:rowOff>86660</xdr:rowOff>
    </xdr:to>
    <xdr:sp macro="" textlink="">
      <xdr:nvSpPr>
        <xdr:cNvPr id="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SpPr/>
      </xdr:nvSpPr>
      <xdr:spPr>
        <a:xfrm>
          <a:off x="3171825" y="564724"/>
          <a:ext cx="2113643" cy="2839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87086</xdr:rowOff>
    </xdr:to>
    <xdr:sp macro="" textlink="">
      <xdr:nvSpPr>
        <xdr:cNvPr id="5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SpPr/>
      </xdr:nvSpPr>
      <xdr:spPr>
        <a:xfrm>
          <a:off x="3173747" y="190500"/>
          <a:ext cx="2113643" cy="2775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Balance Sheet</a:t>
          </a:r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6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2</xdr:row>
      <xdr:rowOff>183724</xdr:rowOff>
    </xdr:from>
    <xdr:to>
      <xdr:col>1</xdr:col>
      <xdr:colOff>2113643</xdr:colOff>
      <xdr:row>4</xdr:row>
      <xdr:rowOff>86660</xdr:rowOff>
    </xdr:to>
    <xdr:sp macro="" textlink="">
      <xdr:nvSpPr>
        <xdr:cNvPr id="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/>
      </xdr:nvSpPr>
      <xdr:spPr>
        <a:xfrm>
          <a:off x="3171825" y="564724"/>
          <a:ext cx="2113643" cy="2839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87086</xdr:rowOff>
    </xdr:to>
    <xdr:sp macro="" textlink="">
      <xdr:nvSpPr>
        <xdr:cNvPr id="5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/>
      </xdr:nvSpPr>
      <xdr:spPr>
        <a:xfrm>
          <a:off x="3173747" y="190500"/>
          <a:ext cx="2113643" cy="2775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Balance Sheet</a:t>
          </a:r>
          <a:endParaRPr lang="pt-BR" sz="1200" b="1"/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6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2</xdr:row>
      <xdr:rowOff>183724</xdr:rowOff>
    </xdr:from>
    <xdr:to>
      <xdr:col>1</xdr:col>
      <xdr:colOff>2113643</xdr:colOff>
      <xdr:row>4</xdr:row>
      <xdr:rowOff>86660</xdr:rowOff>
    </xdr:to>
    <xdr:sp macro="" textlink="">
      <xdr:nvSpPr>
        <xdr:cNvPr id="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SpPr/>
      </xdr:nvSpPr>
      <xdr:spPr>
        <a:xfrm>
          <a:off x="3171825" y="564724"/>
          <a:ext cx="2113643" cy="2839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87086</xdr:rowOff>
    </xdr:to>
    <xdr:sp macro="" textlink="">
      <xdr:nvSpPr>
        <xdr:cNvPr id="5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SpPr/>
      </xdr:nvSpPr>
      <xdr:spPr>
        <a:xfrm>
          <a:off x="3173747" y="190500"/>
          <a:ext cx="2113643" cy="2775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Balance Sheet</a:t>
          </a:r>
          <a:endParaRPr lang="pt-BR" sz="1200" b="1"/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6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2</xdr:row>
      <xdr:rowOff>183724</xdr:rowOff>
    </xdr:from>
    <xdr:to>
      <xdr:col>1</xdr:col>
      <xdr:colOff>2113643</xdr:colOff>
      <xdr:row>4</xdr:row>
      <xdr:rowOff>86660</xdr:rowOff>
    </xdr:to>
    <xdr:sp macro="" textlink="">
      <xdr:nvSpPr>
        <xdr:cNvPr id="4" name="Retângulo: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SpPr/>
      </xdr:nvSpPr>
      <xdr:spPr>
        <a:xfrm>
          <a:off x="3171825" y="564724"/>
          <a:ext cx="2113643" cy="2839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87086</xdr:rowOff>
    </xdr:to>
    <xdr:sp macro="" textlink="">
      <xdr:nvSpPr>
        <xdr:cNvPr id="5" name="Retângulo: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SpPr/>
      </xdr:nvSpPr>
      <xdr:spPr>
        <a:xfrm>
          <a:off x="3173747" y="190500"/>
          <a:ext cx="2113643" cy="2775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Balance Sheet</a:t>
          </a:r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8" name="Retângulo: Cantos Arredondados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9" name="Retângulo: Cantos Arredondado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2</xdr:row>
      <xdr:rowOff>183724</xdr:rowOff>
    </xdr:from>
    <xdr:to>
      <xdr:col>1</xdr:col>
      <xdr:colOff>2113643</xdr:colOff>
      <xdr:row>4</xdr:row>
      <xdr:rowOff>86660</xdr:rowOff>
    </xdr:to>
    <xdr:sp macro="" textlink="">
      <xdr:nvSpPr>
        <xdr:cNvPr id="4" name="Retângulo: Cantos Arredondado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/>
      </xdr:nvSpPr>
      <xdr:spPr>
        <a:xfrm>
          <a:off x="3171825" y="564724"/>
          <a:ext cx="2113643" cy="2839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87086</xdr:rowOff>
    </xdr:to>
    <xdr:sp macro="" textlink="">
      <xdr:nvSpPr>
        <xdr:cNvPr id="5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SpPr/>
      </xdr:nvSpPr>
      <xdr:spPr>
        <a:xfrm>
          <a:off x="3173747" y="190500"/>
          <a:ext cx="2113643" cy="2775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Balance Sheet</a:t>
          </a:r>
          <a:endParaRPr lang="pt-BR" sz="1200" b="1"/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2</xdr:row>
      <xdr:rowOff>183724</xdr:rowOff>
    </xdr:from>
    <xdr:to>
      <xdr:col>1</xdr:col>
      <xdr:colOff>2113643</xdr:colOff>
      <xdr:row>4</xdr:row>
      <xdr:rowOff>86660</xdr:rowOff>
    </xdr:to>
    <xdr:sp macro="" textlink="">
      <xdr:nvSpPr>
        <xdr:cNvPr id="5" name="Retângulo: Cantos Arredondados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SpPr/>
      </xdr:nvSpPr>
      <xdr:spPr>
        <a:xfrm>
          <a:off x="2857500" y="564724"/>
          <a:ext cx="2113643" cy="2839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87086</xdr:rowOff>
    </xdr:to>
    <xdr:sp macro="" textlink="">
      <xdr:nvSpPr>
        <xdr:cNvPr id="6" name="Retângulo: Cantos Arredondado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SpPr/>
      </xdr:nvSpPr>
      <xdr:spPr>
        <a:xfrm>
          <a:off x="2859422" y="190500"/>
          <a:ext cx="2113643" cy="2775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Balance Sheet</a:t>
          </a:r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2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SpPr/>
      </xdr:nvSpPr>
      <xdr:spPr>
        <a:xfrm>
          <a:off x="0" y="549484"/>
          <a:ext cx="2113643" cy="26869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3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SpPr/>
      </xdr:nvSpPr>
      <xdr:spPr>
        <a:xfrm>
          <a:off x="1922" y="182880"/>
          <a:ext cx="2113643" cy="26996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2</xdr:row>
      <xdr:rowOff>183724</xdr:rowOff>
    </xdr:from>
    <xdr:to>
      <xdr:col>1</xdr:col>
      <xdr:colOff>2113643</xdr:colOff>
      <xdr:row>4</xdr:row>
      <xdr:rowOff>86660</xdr:rowOff>
    </xdr:to>
    <xdr:sp macro="" textlink="">
      <xdr:nvSpPr>
        <xdr:cNvPr id="4" name="Retângulo: Cantos Arredondados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E00-000004000000}"/>
            </a:ext>
          </a:extLst>
        </xdr:cNvPr>
        <xdr:cNvSpPr/>
      </xdr:nvSpPr>
      <xdr:spPr>
        <a:xfrm>
          <a:off x="3261360" y="549484"/>
          <a:ext cx="2113643" cy="26869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87086</xdr:rowOff>
    </xdr:to>
    <xdr:sp macro="" textlink="">
      <xdr:nvSpPr>
        <xdr:cNvPr id="5" name="Retângulo: Cantos Arredondado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E00-000005000000}"/>
            </a:ext>
          </a:extLst>
        </xdr:cNvPr>
        <xdr:cNvSpPr/>
      </xdr:nvSpPr>
      <xdr:spPr>
        <a:xfrm>
          <a:off x="3263282" y="182880"/>
          <a:ext cx="2113643" cy="26996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Balance Sheet</a:t>
          </a:r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985</xdr:rowOff>
    </xdr:from>
    <xdr:to>
      <xdr:col>0</xdr:col>
      <xdr:colOff>2113643</xdr:colOff>
      <xdr:row>4</xdr:row>
      <xdr:rowOff>88776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SpPr/>
      </xdr:nvSpPr>
      <xdr:spPr>
        <a:xfrm>
          <a:off x="0" y="551318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87791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3F00-000004000000}"/>
            </a:ext>
          </a:extLst>
        </xdr:cNvPr>
        <xdr:cNvSpPr/>
      </xdr:nvSpPr>
      <xdr:spPr>
        <a:xfrm>
          <a:off x="1922" y="18344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3</xdr:row>
      <xdr:rowOff>985</xdr:rowOff>
    </xdr:from>
    <xdr:to>
      <xdr:col>1</xdr:col>
      <xdr:colOff>2113643</xdr:colOff>
      <xdr:row>4</xdr:row>
      <xdr:rowOff>88776</xdr:rowOff>
    </xdr:to>
    <xdr:sp macro="" textlink="">
      <xdr:nvSpPr>
        <xdr:cNvPr id="5" name="Retângulo: Cantos Arredondados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F00-000005000000}"/>
            </a:ext>
          </a:extLst>
        </xdr:cNvPr>
        <xdr:cNvSpPr/>
      </xdr:nvSpPr>
      <xdr:spPr>
        <a:xfrm>
          <a:off x="2857500" y="572485"/>
          <a:ext cx="2113643" cy="27829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87791</xdr:rowOff>
    </xdr:to>
    <xdr:sp macro="" textlink="">
      <xdr:nvSpPr>
        <xdr:cNvPr id="6" name="Retângulo: Cantos Arredondado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F00-000006000000}"/>
            </a:ext>
          </a:extLst>
        </xdr:cNvPr>
        <xdr:cNvSpPr/>
      </xdr:nvSpPr>
      <xdr:spPr>
        <a:xfrm>
          <a:off x="2859422" y="190500"/>
          <a:ext cx="2113643" cy="27829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Balance Sheet</a:t>
          </a:r>
          <a:endParaRPr lang="pt-BR" sz="1200" b="1"/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985</xdr:rowOff>
    </xdr:from>
    <xdr:to>
      <xdr:col>0</xdr:col>
      <xdr:colOff>2113643</xdr:colOff>
      <xdr:row>4</xdr:row>
      <xdr:rowOff>88776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SpPr/>
      </xdr:nvSpPr>
      <xdr:spPr>
        <a:xfrm>
          <a:off x="0" y="553435"/>
          <a:ext cx="2113643" cy="27194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87791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000-000003000000}"/>
            </a:ext>
          </a:extLst>
        </xdr:cNvPr>
        <xdr:cNvSpPr/>
      </xdr:nvSpPr>
      <xdr:spPr>
        <a:xfrm>
          <a:off x="1922" y="184150"/>
          <a:ext cx="2113643" cy="27194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3</xdr:row>
      <xdr:rowOff>985</xdr:rowOff>
    </xdr:from>
    <xdr:to>
      <xdr:col>1</xdr:col>
      <xdr:colOff>2113643</xdr:colOff>
      <xdr:row>4</xdr:row>
      <xdr:rowOff>88776</xdr:rowOff>
    </xdr:to>
    <xdr:sp macro="" textlink="">
      <xdr:nvSpPr>
        <xdr:cNvPr id="4" name="Retângulo: Cantos Arredondados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000-000004000000}"/>
            </a:ext>
          </a:extLst>
        </xdr:cNvPr>
        <xdr:cNvSpPr/>
      </xdr:nvSpPr>
      <xdr:spPr>
        <a:xfrm>
          <a:off x="2857500" y="572485"/>
          <a:ext cx="2113643" cy="27829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87791</xdr:rowOff>
    </xdr:to>
    <xdr:sp macro="" textlink="">
      <xdr:nvSpPr>
        <xdr:cNvPr id="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4000-000005000000}"/>
            </a:ext>
          </a:extLst>
        </xdr:cNvPr>
        <xdr:cNvSpPr/>
      </xdr:nvSpPr>
      <xdr:spPr>
        <a:xfrm>
          <a:off x="2859422" y="190500"/>
          <a:ext cx="2113643" cy="27829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</a:t>
          </a:r>
          <a:r>
            <a:rPr lang="pt-BR" sz="1200" b="1"/>
            <a:t> Balance Sheet</a:t>
          </a:r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985</xdr:rowOff>
    </xdr:from>
    <xdr:to>
      <xdr:col>0</xdr:col>
      <xdr:colOff>2113643</xdr:colOff>
      <xdr:row>4</xdr:row>
      <xdr:rowOff>88776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100-000004000000}"/>
            </a:ext>
          </a:extLst>
        </xdr:cNvPr>
        <xdr:cNvSpPr/>
      </xdr:nvSpPr>
      <xdr:spPr>
        <a:xfrm>
          <a:off x="0" y="551318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87791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100-000005000000}"/>
            </a:ext>
          </a:extLst>
        </xdr:cNvPr>
        <xdr:cNvSpPr/>
      </xdr:nvSpPr>
      <xdr:spPr>
        <a:xfrm>
          <a:off x="1922" y="18344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2</xdr:row>
      <xdr:rowOff>181110</xdr:rowOff>
    </xdr:from>
    <xdr:to>
      <xdr:col>1</xdr:col>
      <xdr:colOff>2113643</xdr:colOff>
      <xdr:row>4</xdr:row>
      <xdr:rowOff>78816</xdr:rowOff>
    </xdr:to>
    <xdr:sp macro="" textlink="">
      <xdr:nvSpPr>
        <xdr:cNvPr id="6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100-000006000000}"/>
            </a:ext>
          </a:extLst>
        </xdr:cNvPr>
        <xdr:cNvSpPr/>
      </xdr:nvSpPr>
      <xdr:spPr>
        <a:xfrm>
          <a:off x="2714625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84472</xdr:rowOff>
    </xdr:to>
    <xdr:sp macro="" textlink="">
      <xdr:nvSpPr>
        <xdr:cNvPr id="7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4100-000007000000}"/>
            </a:ext>
          </a:extLst>
        </xdr:cNvPr>
        <xdr:cNvSpPr/>
      </xdr:nvSpPr>
      <xdr:spPr>
        <a:xfrm>
          <a:off x="2716547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Balance Sheet</a:t>
          </a:r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183724</xdr:rowOff>
    </xdr:from>
    <xdr:to>
      <xdr:col>0</xdr:col>
      <xdr:colOff>2113643</xdr:colOff>
      <xdr:row>4</xdr:row>
      <xdr:rowOff>86660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200-000004000000}"/>
            </a:ext>
          </a:extLst>
        </xdr:cNvPr>
        <xdr:cNvSpPr/>
      </xdr:nvSpPr>
      <xdr:spPr>
        <a:xfrm>
          <a:off x="0" y="552024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87086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200-000005000000}"/>
            </a:ext>
          </a:extLst>
        </xdr:cNvPr>
        <xdr:cNvSpPr/>
      </xdr:nvSpPr>
      <xdr:spPr>
        <a:xfrm>
          <a:off x="1922" y="1841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181110</xdr:rowOff>
    </xdr:from>
    <xdr:to>
      <xdr:col>0</xdr:col>
      <xdr:colOff>2113643</xdr:colOff>
      <xdr:row>4</xdr:row>
      <xdr:rowOff>78816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300-000004000000}"/>
            </a:ext>
          </a:extLst>
        </xdr:cNvPr>
        <xdr:cNvSpPr/>
      </xdr:nvSpPr>
      <xdr:spPr>
        <a:xfrm>
          <a:off x="0" y="554639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84472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300-000005000000}"/>
            </a:ext>
          </a:extLst>
        </xdr:cNvPr>
        <xdr:cNvSpPr/>
      </xdr:nvSpPr>
      <xdr:spPr>
        <a:xfrm>
          <a:off x="1922" y="186765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2</xdr:row>
      <xdr:rowOff>181110</xdr:rowOff>
    </xdr:from>
    <xdr:to>
      <xdr:col>1</xdr:col>
      <xdr:colOff>2113643</xdr:colOff>
      <xdr:row>4</xdr:row>
      <xdr:rowOff>78816</xdr:rowOff>
    </xdr:to>
    <xdr:sp macro="" textlink="">
      <xdr:nvSpPr>
        <xdr:cNvPr id="6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300-000006000000}"/>
            </a:ext>
          </a:extLst>
        </xdr:cNvPr>
        <xdr:cNvSpPr/>
      </xdr:nvSpPr>
      <xdr:spPr>
        <a:xfrm>
          <a:off x="3171825" y="562110"/>
          <a:ext cx="2113643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84472</xdr:rowOff>
    </xdr:to>
    <xdr:sp macro="" textlink="">
      <xdr:nvSpPr>
        <xdr:cNvPr id="7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4300-000007000000}"/>
            </a:ext>
          </a:extLst>
        </xdr:cNvPr>
        <xdr:cNvSpPr/>
      </xdr:nvSpPr>
      <xdr:spPr>
        <a:xfrm>
          <a:off x="3173747" y="190500"/>
          <a:ext cx="2113643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Balance Sheet</a:t>
          </a:r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181110</xdr:rowOff>
    </xdr:from>
    <xdr:to>
      <xdr:col>0</xdr:col>
      <xdr:colOff>2113643</xdr:colOff>
      <xdr:row>4</xdr:row>
      <xdr:rowOff>78816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147C10-9AB6-4939-A878-64397C7BB225}"/>
            </a:ext>
          </a:extLst>
        </xdr:cNvPr>
        <xdr:cNvSpPr/>
      </xdr:nvSpPr>
      <xdr:spPr>
        <a:xfrm>
          <a:off x="0" y="541155"/>
          <a:ext cx="2117453" cy="26156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84472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49D1C99-152B-4E4B-80B0-2AD667C2E7F8}"/>
            </a:ext>
          </a:extLst>
        </xdr:cNvPr>
        <xdr:cNvSpPr/>
      </xdr:nvSpPr>
      <xdr:spPr>
        <a:xfrm>
          <a:off x="1922" y="180975"/>
          <a:ext cx="2109833" cy="26735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BPs</a:t>
          </a:r>
        </a:p>
      </xdr:txBody>
    </xdr:sp>
    <xdr:clientData/>
  </xdr:twoCellAnchor>
  <xdr:twoCellAnchor>
    <xdr:from>
      <xdr:col>1</xdr:col>
      <xdr:colOff>0</xdr:colOff>
      <xdr:row>2</xdr:row>
      <xdr:rowOff>181110</xdr:rowOff>
    </xdr:from>
    <xdr:to>
      <xdr:col>1</xdr:col>
      <xdr:colOff>2113643</xdr:colOff>
      <xdr:row>4</xdr:row>
      <xdr:rowOff>78816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7D65366-0D32-40E7-B1CD-5BDBDA57DB35}"/>
            </a:ext>
          </a:extLst>
        </xdr:cNvPr>
        <xdr:cNvSpPr/>
      </xdr:nvSpPr>
      <xdr:spPr>
        <a:xfrm>
          <a:off x="3257550" y="541155"/>
          <a:ext cx="2117453" cy="26156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84472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7DC9AEF-DB2E-460F-8DC1-81B1E49C40F4}"/>
            </a:ext>
          </a:extLst>
        </xdr:cNvPr>
        <xdr:cNvSpPr/>
      </xdr:nvSpPr>
      <xdr:spPr>
        <a:xfrm>
          <a:off x="3259472" y="180975"/>
          <a:ext cx="2109833" cy="26735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Balance Sheet</a:t>
          </a:r>
          <a:endParaRPr lang="pt-BR" sz="1200" b="1"/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SpPr/>
      </xdr:nvSpPr>
      <xdr:spPr>
        <a:xfrm>
          <a:off x="1438275" y="20097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Maranhão</a:t>
          </a:r>
        </a:p>
      </xdr:txBody>
    </xdr:sp>
    <xdr:clientData/>
  </xdr:twoCellAnchor>
  <xdr:twoCellAnchor>
    <xdr:from>
      <xdr:col>3</xdr:col>
      <xdr:colOff>114300</xdr:colOff>
      <xdr:row>11</xdr:row>
      <xdr:rowOff>66675</xdr:rowOff>
    </xdr:from>
    <xdr:to>
      <xdr:col>6</xdr:col>
      <xdr:colOff>476250</xdr:colOff>
      <xdr:row>13</xdr:row>
      <xdr:rowOff>22225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500-000003000000}"/>
            </a:ext>
          </a:extLst>
        </xdr:cNvPr>
        <xdr:cNvSpPr/>
      </xdr:nvSpPr>
      <xdr:spPr>
        <a:xfrm>
          <a:off x="1438275" y="24828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Pará</a:t>
          </a:r>
        </a:p>
      </xdr:txBody>
    </xdr:sp>
    <xdr:clientData/>
  </xdr:twoCellAnchor>
  <xdr:twoCellAnchor>
    <xdr:from>
      <xdr:col>3</xdr:col>
      <xdr:colOff>114300</xdr:colOff>
      <xdr:row>14</xdr:row>
      <xdr:rowOff>0</xdr:rowOff>
    </xdr:from>
    <xdr:to>
      <xdr:col>6</xdr:col>
      <xdr:colOff>476250</xdr:colOff>
      <xdr:row>15</xdr:row>
      <xdr:rowOff>139700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500-000004000000}"/>
            </a:ext>
          </a:extLst>
        </xdr:cNvPr>
        <xdr:cNvSpPr/>
      </xdr:nvSpPr>
      <xdr:spPr>
        <a:xfrm>
          <a:off x="1438275" y="296227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Piauí</a:t>
          </a:r>
        </a:p>
      </xdr:txBody>
    </xdr:sp>
    <xdr:clientData/>
  </xdr:twoCellAnchor>
  <xdr:twoCellAnchor>
    <xdr:from>
      <xdr:col>3</xdr:col>
      <xdr:colOff>114300</xdr:colOff>
      <xdr:row>16</xdr:row>
      <xdr:rowOff>117475</xdr:rowOff>
    </xdr:from>
    <xdr:to>
      <xdr:col>6</xdr:col>
      <xdr:colOff>476250</xdr:colOff>
      <xdr:row>18</xdr:row>
      <xdr:rowOff>73025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4500-000005000000}"/>
            </a:ext>
          </a:extLst>
        </xdr:cNvPr>
        <xdr:cNvSpPr/>
      </xdr:nvSpPr>
      <xdr:spPr>
        <a:xfrm>
          <a:off x="1438275" y="34448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Alagoas</a:t>
          </a:r>
        </a:p>
      </xdr:txBody>
    </xdr:sp>
    <xdr:clientData/>
  </xdr:twoCellAnchor>
  <xdr:twoCellAnchor>
    <xdr:from>
      <xdr:col>3</xdr:col>
      <xdr:colOff>114300</xdr:colOff>
      <xdr:row>19</xdr:row>
      <xdr:rowOff>69850</xdr:rowOff>
    </xdr:from>
    <xdr:to>
      <xdr:col>6</xdr:col>
      <xdr:colOff>476250</xdr:colOff>
      <xdr:row>21</xdr:row>
      <xdr:rowOff>25400</xdr:rowOff>
    </xdr:to>
    <xdr:sp macro="" textlink="">
      <xdr:nvSpPr>
        <xdr:cNvPr id="6" name="Retângulo: Cantos Arredondado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500-000006000000}"/>
            </a:ext>
          </a:extLst>
        </xdr:cNvPr>
        <xdr:cNvSpPr/>
      </xdr:nvSpPr>
      <xdr:spPr>
        <a:xfrm>
          <a:off x="1438275" y="393382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CEEE-D</a:t>
          </a:r>
        </a:p>
      </xdr:txBody>
    </xdr:sp>
    <xdr:clientData/>
  </xdr:twoCellAnchor>
  <xdr:twoCellAnchor>
    <xdr:from>
      <xdr:col>9</xdr:col>
      <xdr:colOff>92214</xdr:colOff>
      <xdr:row>8</xdr:row>
      <xdr:rowOff>149411</xdr:rowOff>
    </xdr:from>
    <xdr:to>
      <xdr:col>12</xdr:col>
      <xdr:colOff>454164</xdr:colOff>
      <xdr:row>10</xdr:row>
      <xdr:rowOff>104961</xdr:rowOff>
    </xdr:to>
    <xdr:sp macro="" textlink="">
      <xdr:nvSpPr>
        <xdr:cNvPr id="9" name="Retângulo: Cantos Arredondados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4500-000009000000}"/>
            </a:ext>
          </a:extLst>
        </xdr:cNvPr>
        <xdr:cNvSpPr/>
      </xdr:nvSpPr>
      <xdr:spPr>
        <a:xfrm>
          <a:off x="6578739" y="2025836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 Participações</a:t>
          </a:r>
        </a:p>
      </xdr:txBody>
    </xdr:sp>
    <xdr:clientData/>
  </xdr:twoCellAnchor>
  <xdr:twoCellAnchor>
    <xdr:from>
      <xdr:col>3</xdr:col>
      <xdr:colOff>114300</xdr:colOff>
      <xdr:row>21</xdr:row>
      <xdr:rowOff>149225</xdr:rowOff>
    </xdr:from>
    <xdr:to>
      <xdr:col>6</xdr:col>
      <xdr:colOff>476250</xdr:colOff>
      <xdr:row>23</xdr:row>
      <xdr:rowOff>104775</xdr:rowOff>
    </xdr:to>
    <xdr:sp macro="" textlink="">
      <xdr:nvSpPr>
        <xdr:cNvPr id="10" name="Retângulo: Cantos Arredondados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4500-00000A000000}"/>
            </a:ext>
          </a:extLst>
        </xdr:cNvPr>
        <xdr:cNvSpPr/>
      </xdr:nvSpPr>
      <xdr:spPr>
        <a:xfrm>
          <a:off x="1438275" y="437832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CEA</a:t>
          </a:r>
        </a:p>
      </xdr:txBody>
    </xdr:sp>
    <xdr:clientData/>
  </xdr:twoCellAnchor>
  <xdr:twoCellAnchor>
    <xdr:from>
      <xdr:col>3</xdr:col>
      <xdr:colOff>114300</xdr:colOff>
      <xdr:row>24</xdr:row>
      <xdr:rowOff>101600</xdr:rowOff>
    </xdr:from>
    <xdr:to>
      <xdr:col>6</xdr:col>
      <xdr:colOff>476250</xdr:colOff>
      <xdr:row>26</xdr:row>
      <xdr:rowOff>57150</xdr:rowOff>
    </xdr:to>
    <xdr:sp macro="" textlink="">
      <xdr:nvSpPr>
        <xdr:cNvPr id="11" name="Retângulo: Cantos Arredondados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4500-00000B000000}"/>
            </a:ext>
          </a:extLst>
        </xdr:cNvPr>
        <xdr:cNvSpPr/>
      </xdr:nvSpPr>
      <xdr:spPr>
        <a:xfrm>
          <a:off x="1438275" y="4876800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Goiás</a:t>
          </a:r>
        </a:p>
      </xdr:txBody>
    </xdr:sp>
    <xdr:clientData/>
  </xdr:twoCellAnchor>
  <xdr:twoCellAnchor>
    <xdr:from>
      <xdr:col>14</xdr:col>
      <xdr:colOff>87732</xdr:colOff>
      <xdr:row>8</xdr:row>
      <xdr:rowOff>152400</xdr:rowOff>
    </xdr:from>
    <xdr:to>
      <xdr:col>17</xdr:col>
      <xdr:colOff>449682</xdr:colOff>
      <xdr:row>10</xdr:row>
      <xdr:rowOff>107950</xdr:rowOff>
    </xdr:to>
    <xdr:sp macro="" textlink="">
      <xdr:nvSpPr>
        <xdr:cNvPr id="12" name="Retângulo: Cantos Arredondados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4500-00000C000000}"/>
            </a:ext>
          </a:extLst>
        </xdr:cNvPr>
        <xdr:cNvSpPr/>
      </xdr:nvSpPr>
      <xdr:spPr>
        <a:xfrm>
          <a:off x="9152357" y="202882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CSA</a:t>
          </a:r>
        </a:p>
      </xdr:txBody>
    </xdr:sp>
    <xdr:clientData/>
  </xdr:twoCellAnchor>
  <xdr:twoCellAnchor>
    <xdr:from>
      <xdr:col>19</xdr:col>
      <xdr:colOff>110143</xdr:colOff>
      <xdr:row>8</xdr:row>
      <xdr:rowOff>128409</xdr:rowOff>
    </xdr:from>
    <xdr:to>
      <xdr:col>22</xdr:col>
      <xdr:colOff>472094</xdr:colOff>
      <xdr:row>10</xdr:row>
      <xdr:rowOff>83959</xdr:rowOff>
    </xdr:to>
    <xdr:sp macro="" textlink="">
      <xdr:nvSpPr>
        <xdr:cNvPr id="13" name="Retângulo: Cantos Arredondados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4500-00000D000000}"/>
            </a:ext>
          </a:extLst>
        </xdr:cNvPr>
        <xdr:cNvSpPr/>
      </xdr:nvSpPr>
      <xdr:spPr>
        <a:xfrm>
          <a:off x="11756043" y="2001659"/>
          <a:ext cx="2190751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Holding</a:t>
          </a:r>
        </a:p>
      </xdr:txBody>
    </xdr:sp>
    <xdr:clientData/>
  </xdr:twoCellAnchor>
  <xdr:twoCellAnchor>
    <xdr:from>
      <xdr:col>19</xdr:col>
      <xdr:colOff>110143</xdr:colOff>
      <xdr:row>11</xdr:row>
      <xdr:rowOff>62522</xdr:rowOff>
    </xdr:from>
    <xdr:to>
      <xdr:col>22</xdr:col>
      <xdr:colOff>472094</xdr:colOff>
      <xdr:row>13</xdr:row>
      <xdr:rowOff>20005</xdr:rowOff>
    </xdr:to>
    <xdr:sp macro="" textlink="">
      <xdr:nvSpPr>
        <xdr:cNvPr id="14" name="Retângulo: Cantos Arredondados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4500-00000E000000}"/>
            </a:ext>
          </a:extLst>
        </xdr:cNvPr>
        <xdr:cNvSpPr/>
      </xdr:nvSpPr>
      <xdr:spPr>
        <a:xfrm>
          <a:off x="11756043" y="2485047"/>
          <a:ext cx="2190751" cy="31625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Consolidado</a:t>
          </a:r>
        </a:p>
      </xdr:txBody>
    </xdr:sp>
    <xdr:clientData/>
  </xdr:twoCellAnchor>
  <xdr:twoCellAnchor>
    <xdr:from>
      <xdr:col>5</xdr:col>
      <xdr:colOff>22411</xdr:colOff>
      <xdr:row>0</xdr:row>
      <xdr:rowOff>171823</xdr:rowOff>
    </xdr:from>
    <xdr:to>
      <xdr:col>9</xdr:col>
      <xdr:colOff>573741</xdr:colOff>
      <xdr:row>2</xdr:row>
      <xdr:rowOff>53788</xdr:rowOff>
    </xdr:to>
    <xdr:sp macro="" textlink="">
      <xdr:nvSpPr>
        <xdr:cNvPr id="15" name="Retângulo: Cantos Arredondados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4500-00000F000000}"/>
            </a:ext>
          </a:extLst>
        </xdr:cNvPr>
        <xdr:cNvSpPr/>
      </xdr:nvSpPr>
      <xdr:spPr>
        <a:xfrm>
          <a:off x="2559423" y="171823"/>
          <a:ext cx="2039471" cy="240553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9</xdr:col>
      <xdr:colOff>85864</xdr:colOff>
      <xdr:row>11</xdr:row>
      <xdr:rowOff>68354</xdr:rowOff>
    </xdr:from>
    <xdr:to>
      <xdr:col>12</xdr:col>
      <xdr:colOff>447814</xdr:colOff>
      <xdr:row>13</xdr:row>
      <xdr:rowOff>23904</xdr:rowOff>
    </xdr:to>
    <xdr:sp macro="" textlink="">
      <xdr:nvSpPr>
        <xdr:cNvPr id="16" name="Retângulo: Cantos Arredondados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4500-000010000000}"/>
            </a:ext>
          </a:extLst>
        </xdr:cNvPr>
        <xdr:cNvSpPr/>
      </xdr:nvSpPr>
      <xdr:spPr>
        <a:xfrm>
          <a:off x="6569214" y="2484529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 Crescimento</a:t>
          </a:r>
        </a:p>
      </xdr:txBody>
    </xdr:sp>
    <xdr:clientData/>
  </xdr:twoCellAnchor>
  <xdr:twoCellAnchor editAs="oneCell">
    <xdr:from>
      <xdr:col>0</xdr:col>
      <xdr:colOff>257736</xdr:colOff>
      <xdr:row>0</xdr:row>
      <xdr:rowOff>78441</xdr:rowOff>
    </xdr:from>
    <xdr:to>
      <xdr:col>4</xdr:col>
      <xdr:colOff>205505</xdr:colOff>
      <xdr:row>2</xdr:row>
      <xdr:rowOff>135893</xdr:rowOff>
    </xdr:to>
    <xdr:pic>
      <xdr:nvPicPr>
        <xdr:cNvPr id="18" name="Gráfico 17">
          <a:extLst>
            <a:ext uri="{FF2B5EF4-FFF2-40B4-BE49-F238E27FC236}">
              <a16:creationId xmlns:a16="http://schemas.microsoft.com/office/drawing/2014/main" id="{02ACE071-F6C9-4832-B0E5-E77EFAA41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257736" y="78441"/>
          <a:ext cx="1863975" cy="416040"/>
        </a:xfrm>
        <a:prstGeom prst="rect">
          <a:avLst/>
        </a:prstGeom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SpPr/>
      </xdr:nvSpPr>
      <xdr:spPr>
        <a:xfrm>
          <a:off x="1438275" y="20097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Maranhão</a:t>
          </a:r>
        </a:p>
      </xdr:txBody>
    </xdr:sp>
    <xdr:clientData/>
  </xdr:twoCellAnchor>
  <xdr:twoCellAnchor>
    <xdr:from>
      <xdr:col>3</xdr:col>
      <xdr:colOff>114300</xdr:colOff>
      <xdr:row>11</xdr:row>
      <xdr:rowOff>66675</xdr:rowOff>
    </xdr:from>
    <xdr:to>
      <xdr:col>6</xdr:col>
      <xdr:colOff>476250</xdr:colOff>
      <xdr:row>13</xdr:row>
      <xdr:rowOff>22225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SpPr/>
      </xdr:nvSpPr>
      <xdr:spPr>
        <a:xfrm>
          <a:off x="1438275" y="24828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Pará</a:t>
          </a:r>
        </a:p>
      </xdr:txBody>
    </xdr:sp>
    <xdr:clientData/>
  </xdr:twoCellAnchor>
  <xdr:twoCellAnchor>
    <xdr:from>
      <xdr:col>3</xdr:col>
      <xdr:colOff>114300</xdr:colOff>
      <xdr:row>14</xdr:row>
      <xdr:rowOff>0</xdr:rowOff>
    </xdr:from>
    <xdr:to>
      <xdr:col>6</xdr:col>
      <xdr:colOff>476250</xdr:colOff>
      <xdr:row>15</xdr:row>
      <xdr:rowOff>139700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600-000004000000}"/>
            </a:ext>
          </a:extLst>
        </xdr:cNvPr>
        <xdr:cNvSpPr/>
      </xdr:nvSpPr>
      <xdr:spPr>
        <a:xfrm>
          <a:off x="1438275" y="296227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Piauí</a:t>
          </a:r>
        </a:p>
      </xdr:txBody>
    </xdr:sp>
    <xdr:clientData/>
  </xdr:twoCellAnchor>
  <xdr:twoCellAnchor>
    <xdr:from>
      <xdr:col>3</xdr:col>
      <xdr:colOff>114300</xdr:colOff>
      <xdr:row>16</xdr:row>
      <xdr:rowOff>117475</xdr:rowOff>
    </xdr:from>
    <xdr:to>
      <xdr:col>6</xdr:col>
      <xdr:colOff>476250</xdr:colOff>
      <xdr:row>18</xdr:row>
      <xdr:rowOff>73025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4600-000005000000}"/>
            </a:ext>
          </a:extLst>
        </xdr:cNvPr>
        <xdr:cNvSpPr/>
      </xdr:nvSpPr>
      <xdr:spPr>
        <a:xfrm>
          <a:off x="1438275" y="34448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Alagoas</a:t>
          </a:r>
        </a:p>
      </xdr:txBody>
    </xdr:sp>
    <xdr:clientData/>
  </xdr:twoCellAnchor>
  <xdr:twoCellAnchor>
    <xdr:from>
      <xdr:col>3</xdr:col>
      <xdr:colOff>114300</xdr:colOff>
      <xdr:row>19</xdr:row>
      <xdr:rowOff>69850</xdr:rowOff>
    </xdr:from>
    <xdr:to>
      <xdr:col>6</xdr:col>
      <xdr:colOff>476250</xdr:colOff>
      <xdr:row>21</xdr:row>
      <xdr:rowOff>25400</xdr:rowOff>
    </xdr:to>
    <xdr:sp macro="" textlink="">
      <xdr:nvSpPr>
        <xdr:cNvPr id="6" name="Retângulo: Cantos Arredondado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600-000006000000}"/>
            </a:ext>
          </a:extLst>
        </xdr:cNvPr>
        <xdr:cNvSpPr/>
      </xdr:nvSpPr>
      <xdr:spPr>
        <a:xfrm>
          <a:off x="1438275" y="393382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CEEE-D</a:t>
          </a:r>
        </a:p>
      </xdr:txBody>
    </xdr:sp>
    <xdr:clientData/>
  </xdr:twoCellAnchor>
  <xdr:twoCellAnchor>
    <xdr:from>
      <xdr:col>9</xdr:col>
      <xdr:colOff>92214</xdr:colOff>
      <xdr:row>8</xdr:row>
      <xdr:rowOff>149411</xdr:rowOff>
    </xdr:from>
    <xdr:to>
      <xdr:col>12</xdr:col>
      <xdr:colOff>454164</xdr:colOff>
      <xdr:row>10</xdr:row>
      <xdr:rowOff>104961</xdr:rowOff>
    </xdr:to>
    <xdr:sp macro="" textlink="">
      <xdr:nvSpPr>
        <xdr:cNvPr id="9" name="Retângulo: Cantos Arredondados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4600-000009000000}"/>
            </a:ext>
          </a:extLst>
        </xdr:cNvPr>
        <xdr:cNvSpPr/>
      </xdr:nvSpPr>
      <xdr:spPr>
        <a:xfrm>
          <a:off x="6578739" y="2025836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Echoenergia Participações</a:t>
          </a:r>
        </a:p>
      </xdr:txBody>
    </xdr:sp>
    <xdr:clientData/>
  </xdr:twoCellAnchor>
  <xdr:twoCellAnchor>
    <xdr:from>
      <xdr:col>3</xdr:col>
      <xdr:colOff>114300</xdr:colOff>
      <xdr:row>21</xdr:row>
      <xdr:rowOff>149225</xdr:rowOff>
    </xdr:from>
    <xdr:to>
      <xdr:col>6</xdr:col>
      <xdr:colOff>476250</xdr:colOff>
      <xdr:row>23</xdr:row>
      <xdr:rowOff>104775</xdr:rowOff>
    </xdr:to>
    <xdr:sp macro="" textlink="">
      <xdr:nvSpPr>
        <xdr:cNvPr id="10" name="Retângulo: Cantos Arredondados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4600-00000A000000}"/>
            </a:ext>
          </a:extLst>
        </xdr:cNvPr>
        <xdr:cNvSpPr/>
      </xdr:nvSpPr>
      <xdr:spPr>
        <a:xfrm>
          <a:off x="1438275" y="437832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CEA</a:t>
          </a:r>
        </a:p>
      </xdr:txBody>
    </xdr:sp>
    <xdr:clientData/>
  </xdr:twoCellAnchor>
  <xdr:twoCellAnchor>
    <xdr:from>
      <xdr:col>3</xdr:col>
      <xdr:colOff>114300</xdr:colOff>
      <xdr:row>24</xdr:row>
      <xdr:rowOff>101600</xdr:rowOff>
    </xdr:from>
    <xdr:to>
      <xdr:col>6</xdr:col>
      <xdr:colOff>476250</xdr:colOff>
      <xdr:row>26</xdr:row>
      <xdr:rowOff>57150</xdr:rowOff>
    </xdr:to>
    <xdr:sp macro="" textlink="">
      <xdr:nvSpPr>
        <xdr:cNvPr id="11" name="Retângulo: Cantos Arredondados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4600-00000B000000}"/>
            </a:ext>
          </a:extLst>
        </xdr:cNvPr>
        <xdr:cNvSpPr/>
      </xdr:nvSpPr>
      <xdr:spPr>
        <a:xfrm>
          <a:off x="1438275" y="4876800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Goiás</a:t>
          </a:r>
        </a:p>
      </xdr:txBody>
    </xdr:sp>
    <xdr:clientData/>
  </xdr:twoCellAnchor>
  <xdr:twoCellAnchor>
    <xdr:from>
      <xdr:col>14</xdr:col>
      <xdr:colOff>87732</xdr:colOff>
      <xdr:row>8</xdr:row>
      <xdr:rowOff>152400</xdr:rowOff>
    </xdr:from>
    <xdr:to>
      <xdr:col>17</xdr:col>
      <xdr:colOff>449682</xdr:colOff>
      <xdr:row>10</xdr:row>
      <xdr:rowOff>107950</xdr:rowOff>
    </xdr:to>
    <xdr:sp macro="" textlink="">
      <xdr:nvSpPr>
        <xdr:cNvPr id="12" name="Retângulo: Cantos Arredondados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4600-00000C000000}"/>
            </a:ext>
          </a:extLst>
        </xdr:cNvPr>
        <xdr:cNvSpPr/>
      </xdr:nvSpPr>
      <xdr:spPr>
        <a:xfrm>
          <a:off x="9152357" y="202882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CSA</a:t>
          </a:r>
        </a:p>
      </xdr:txBody>
    </xdr:sp>
    <xdr:clientData/>
  </xdr:twoCellAnchor>
  <xdr:twoCellAnchor>
    <xdr:from>
      <xdr:col>19</xdr:col>
      <xdr:colOff>110143</xdr:colOff>
      <xdr:row>8</xdr:row>
      <xdr:rowOff>128409</xdr:rowOff>
    </xdr:from>
    <xdr:to>
      <xdr:col>22</xdr:col>
      <xdr:colOff>472094</xdr:colOff>
      <xdr:row>10</xdr:row>
      <xdr:rowOff>83959</xdr:rowOff>
    </xdr:to>
    <xdr:sp macro="" textlink="">
      <xdr:nvSpPr>
        <xdr:cNvPr id="13" name="Retângulo: Cantos Arredondados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4600-00000D000000}"/>
            </a:ext>
          </a:extLst>
        </xdr:cNvPr>
        <xdr:cNvSpPr/>
      </xdr:nvSpPr>
      <xdr:spPr>
        <a:xfrm>
          <a:off x="11756043" y="2001659"/>
          <a:ext cx="2190751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Holding</a:t>
          </a:r>
        </a:p>
      </xdr:txBody>
    </xdr:sp>
    <xdr:clientData/>
  </xdr:twoCellAnchor>
  <xdr:twoCellAnchor>
    <xdr:from>
      <xdr:col>19</xdr:col>
      <xdr:colOff>110143</xdr:colOff>
      <xdr:row>11</xdr:row>
      <xdr:rowOff>62522</xdr:rowOff>
    </xdr:from>
    <xdr:to>
      <xdr:col>22</xdr:col>
      <xdr:colOff>472094</xdr:colOff>
      <xdr:row>13</xdr:row>
      <xdr:rowOff>20005</xdr:rowOff>
    </xdr:to>
    <xdr:sp macro="" textlink="">
      <xdr:nvSpPr>
        <xdr:cNvPr id="14" name="Retângulo: Cantos Arredondados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4600-00000E000000}"/>
            </a:ext>
          </a:extLst>
        </xdr:cNvPr>
        <xdr:cNvSpPr/>
      </xdr:nvSpPr>
      <xdr:spPr>
        <a:xfrm>
          <a:off x="11756043" y="2485047"/>
          <a:ext cx="2190751" cy="316258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Consolidated</a:t>
          </a:r>
        </a:p>
      </xdr:txBody>
    </xdr:sp>
    <xdr:clientData/>
  </xdr:twoCellAnchor>
  <xdr:twoCellAnchor>
    <xdr:from>
      <xdr:col>5</xdr:col>
      <xdr:colOff>22411</xdr:colOff>
      <xdr:row>0</xdr:row>
      <xdr:rowOff>171823</xdr:rowOff>
    </xdr:from>
    <xdr:to>
      <xdr:col>8</xdr:col>
      <xdr:colOff>0</xdr:colOff>
      <xdr:row>2</xdr:row>
      <xdr:rowOff>64194</xdr:rowOff>
    </xdr:to>
    <xdr:sp macro="" textlink="">
      <xdr:nvSpPr>
        <xdr:cNvPr id="15" name="Retângulo: Cantos Arredondados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4600-00000F000000}"/>
            </a:ext>
          </a:extLst>
        </xdr:cNvPr>
        <xdr:cNvSpPr/>
      </xdr:nvSpPr>
      <xdr:spPr>
        <a:xfrm>
          <a:off x="2568761" y="171823"/>
          <a:ext cx="2105613" cy="25749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9</xdr:col>
      <xdr:colOff>85864</xdr:colOff>
      <xdr:row>11</xdr:row>
      <xdr:rowOff>68354</xdr:rowOff>
    </xdr:from>
    <xdr:to>
      <xdr:col>12</xdr:col>
      <xdr:colOff>447814</xdr:colOff>
      <xdr:row>13</xdr:row>
      <xdr:rowOff>23904</xdr:rowOff>
    </xdr:to>
    <xdr:sp macro="" textlink="">
      <xdr:nvSpPr>
        <xdr:cNvPr id="16" name="Retângulo: Cantos Arredondados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4600-000010000000}"/>
            </a:ext>
          </a:extLst>
        </xdr:cNvPr>
        <xdr:cNvSpPr/>
      </xdr:nvSpPr>
      <xdr:spPr>
        <a:xfrm>
          <a:off x="6569214" y="2484529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Echoenerga Crescimento</a:t>
          </a:r>
        </a:p>
      </xdr:txBody>
    </xdr:sp>
    <xdr:clientData/>
  </xdr:twoCellAnchor>
  <xdr:twoCellAnchor editAs="oneCell">
    <xdr:from>
      <xdr:col>0</xdr:col>
      <xdr:colOff>179294</xdr:colOff>
      <xdr:row>0</xdr:row>
      <xdr:rowOff>67235</xdr:rowOff>
    </xdr:from>
    <xdr:to>
      <xdr:col>4</xdr:col>
      <xdr:colOff>127063</xdr:colOff>
      <xdr:row>2</xdr:row>
      <xdr:rowOff>124687</xdr:rowOff>
    </xdr:to>
    <xdr:pic>
      <xdr:nvPicPr>
        <xdr:cNvPr id="18" name="Gráfico 17">
          <a:extLst>
            <a:ext uri="{FF2B5EF4-FFF2-40B4-BE49-F238E27FC236}">
              <a16:creationId xmlns:a16="http://schemas.microsoft.com/office/drawing/2014/main" id="{CB53A4E9-F97B-4021-91FD-B8069450E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96DAC541-7B7A-43D3-8B79-37D633B846F1}">
              <asvg:svgBlip xmlns:asvg="http://schemas.microsoft.com/office/drawing/2016/SVG/main" r:embed="rId15"/>
            </a:ext>
          </a:extLst>
        </a:blip>
        <a:stretch>
          <a:fillRect/>
        </a:stretch>
      </xdr:blipFill>
      <xdr:spPr>
        <a:xfrm>
          <a:off x="179294" y="67235"/>
          <a:ext cx="1863975" cy="416040"/>
        </a:xfrm>
        <a:prstGeom prst="rect">
          <a:avLst/>
        </a:prstGeom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SpPr/>
      </xdr:nvSpPr>
      <xdr:spPr>
        <a:xfrm>
          <a:off x="0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0</xdr:col>
      <xdr:colOff>1922</xdr:colOff>
      <xdr:row>1</xdr:row>
      <xdr:rowOff>0</xdr:rowOff>
    </xdr:from>
    <xdr:to>
      <xdr:col>0</xdr:col>
      <xdr:colOff>2115565</xdr:colOff>
      <xdr:row>2</xdr:row>
      <xdr:rowOff>88674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700-000003000000}"/>
            </a:ext>
          </a:extLst>
        </xdr:cNvPr>
        <xdr:cNvSpPr/>
      </xdr:nvSpPr>
      <xdr:spPr>
        <a:xfrm>
          <a:off x="1922" y="180975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FCIs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4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700-000004000000}"/>
            </a:ext>
          </a:extLst>
        </xdr:cNvPr>
        <xdr:cNvSpPr/>
      </xdr:nvSpPr>
      <xdr:spPr>
        <a:xfrm>
          <a:off x="3324225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1</xdr:col>
      <xdr:colOff>1922</xdr:colOff>
      <xdr:row>1</xdr:row>
      <xdr:rowOff>0</xdr:rowOff>
    </xdr:from>
    <xdr:to>
      <xdr:col>1</xdr:col>
      <xdr:colOff>2115565</xdr:colOff>
      <xdr:row>2</xdr:row>
      <xdr:rowOff>88674</xdr:rowOff>
    </xdr:to>
    <xdr:sp macro="" textlink="">
      <xdr:nvSpPr>
        <xdr:cNvPr id="5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700-000005000000}"/>
            </a:ext>
          </a:extLst>
        </xdr:cNvPr>
        <xdr:cNvSpPr/>
      </xdr:nvSpPr>
      <xdr:spPr>
        <a:xfrm>
          <a:off x="3326147" y="180975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Cash</a:t>
          </a:r>
          <a:r>
            <a:rPr lang="pt-BR" sz="1200" b="1" baseline="0"/>
            <a:t> Flow </a:t>
          </a:r>
          <a:endParaRPr lang="pt-BR" sz="1200" b="1"/>
        </a:p>
      </xdr:txBody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SpPr/>
      </xdr:nvSpPr>
      <xdr:spPr>
        <a:xfrm>
          <a:off x="0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4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800-000004000000}"/>
            </a:ext>
          </a:extLst>
        </xdr:cNvPr>
        <xdr:cNvSpPr/>
      </xdr:nvSpPr>
      <xdr:spPr>
        <a:xfrm>
          <a:off x="3324225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0</xdr:col>
      <xdr:colOff>0</xdr:colOff>
      <xdr:row>0</xdr:row>
      <xdr:rowOff>161364</xdr:rowOff>
    </xdr:from>
    <xdr:to>
      <xdr:col>0</xdr:col>
      <xdr:colOff>2113643</xdr:colOff>
      <xdr:row>2</xdr:row>
      <xdr:rowOff>70744</xdr:rowOff>
    </xdr:to>
    <xdr:sp macro="" textlink="">
      <xdr:nvSpPr>
        <xdr:cNvPr id="6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F4A9F17-0CC0-44C6-94A9-33BD4F5C2947}"/>
            </a:ext>
          </a:extLst>
        </xdr:cNvPr>
        <xdr:cNvSpPr/>
      </xdr:nvSpPr>
      <xdr:spPr>
        <a:xfrm>
          <a:off x="0" y="16136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FCIs</a:t>
          </a:r>
        </a:p>
      </xdr:txBody>
    </xdr:sp>
    <xdr:clientData/>
  </xdr:twoCellAnchor>
  <xdr:twoCellAnchor>
    <xdr:from>
      <xdr:col>1</xdr:col>
      <xdr:colOff>0</xdr:colOff>
      <xdr:row>0</xdr:row>
      <xdr:rowOff>152400</xdr:rowOff>
    </xdr:from>
    <xdr:to>
      <xdr:col>1</xdr:col>
      <xdr:colOff>2113643</xdr:colOff>
      <xdr:row>2</xdr:row>
      <xdr:rowOff>61780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0538453-6739-45C7-9957-24A81EA1DC22}"/>
            </a:ext>
          </a:extLst>
        </xdr:cNvPr>
        <xdr:cNvSpPr/>
      </xdr:nvSpPr>
      <xdr:spPr>
        <a:xfrm>
          <a:off x="4849906" y="152400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Cash</a:t>
          </a:r>
          <a:r>
            <a:rPr lang="pt-BR" sz="1200" b="1" baseline="0"/>
            <a:t> Flow </a:t>
          </a:r>
          <a:endParaRPr lang="pt-BR" sz="1200" b="1"/>
        </a:p>
      </xdr:txBody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SpPr/>
      </xdr:nvSpPr>
      <xdr:spPr>
        <a:xfrm>
          <a:off x="0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4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900-000004000000}"/>
            </a:ext>
          </a:extLst>
        </xdr:cNvPr>
        <xdr:cNvSpPr/>
      </xdr:nvSpPr>
      <xdr:spPr>
        <a:xfrm>
          <a:off x="3324225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93796</xdr:rowOff>
    </xdr:to>
    <xdr:sp macro="" textlink="">
      <xdr:nvSpPr>
        <xdr:cNvPr id="6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D6F39FF-6C65-4438-967A-79DC4EBEB43B}"/>
            </a:ext>
          </a:extLst>
        </xdr:cNvPr>
        <xdr:cNvSpPr/>
      </xdr:nvSpPr>
      <xdr:spPr>
        <a:xfrm>
          <a:off x="0" y="174171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FCIs</a:t>
          </a:r>
        </a:p>
      </xdr:txBody>
    </xdr:sp>
    <xdr:clientData/>
  </xdr:twoCellAnchor>
  <xdr:twoCellAnchor>
    <xdr:from>
      <xdr:col>1</xdr:col>
      <xdr:colOff>3202</xdr:colOff>
      <xdr:row>0</xdr:row>
      <xdr:rowOff>174170</xdr:rowOff>
    </xdr:from>
    <xdr:to>
      <xdr:col>1</xdr:col>
      <xdr:colOff>2116845</xdr:colOff>
      <xdr:row>2</xdr:row>
      <xdr:rowOff>93795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DAEB0E9-D7B4-41C8-9A45-CD4800139290}"/>
            </a:ext>
          </a:extLst>
        </xdr:cNvPr>
        <xdr:cNvSpPr/>
      </xdr:nvSpPr>
      <xdr:spPr>
        <a:xfrm>
          <a:off x="4858231" y="174170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Cash</a:t>
          </a:r>
          <a:r>
            <a:rPr lang="pt-BR" sz="1200" b="1" baseline="0"/>
            <a:t> Flow </a:t>
          </a:r>
          <a:endParaRPr lang="pt-BR" sz="1200" b="1"/>
        </a:p>
      </xdr:txBody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SpPr/>
      </xdr:nvSpPr>
      <xdr:spPr>
        <a:xfrm>
          <a:off x="0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4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A00-000004000000}"/>
            </a:ext>
          </a:extLst>
        </xdr:cNvPr>
        <xdr:cNvSpPr/>
      </xdr:nvSpPr>
      <xdr:spPr>
        <a:xfrm>
          <a:off x="3324225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88674</xdr:rowOff>
    </xdr:to>
    <xdr:sp macro="" textlink="">
      <xdr:nvSpPr>
        <xdr:cNvPr id="8" name="Retângulo: Cantos Arredondados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2C1E07D-DF54-43E3-B210-C40F6302A3E0}"/>
            </a:ext>
          </a:extLst>
        </xdr:cNvPr>
        <xdr:cNvSpPr/>
      </xdr:nvSpPr>
      <xdr:spPr>
        <a:xfrm>
          <a:off x="0" y="17929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FCIs</a:t>
          </a:r>
        </a:p>
      </xdr:txBody>
    </xdr:sp>
    <xdr:clientData/>
  </xdr:twoCellAnchor>
  <xdr:twoCellAnchor>
    <xdr:from>
      <xdr:col>1</xdr:col>
      <xdr:colOff>17930</xdr:colOff>
      <xdr:row>1</xdr:row>
      <xdr:rowOff>17930</xdr:rowOff>
    </xdr:from>
    <xdr:to>
      <xdr:col>1</xdr:col>
      <xdr:colOff>2131573</xdr:colOff>
      <xdr:row>2</xdr:row>
      <xdr:rowOff>106604</xdr:rowOff>
    </xdr:to>
    <xdr:sp macro="" textlink="">
      <xdr:nvSpPr>
        <xdr:cNvPr id="9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0092E16-C4BA-42D8-BE97-A6125B429EE8}"/>
            </a:ext>
          </a:extLst>
        </xdr:cNvPr>
        <xdr:cNvSpPr/>
      </xdr:nvSpPr>
      <xdr:spPr>
        <a:xfrm>
          <a:off x="4867836" y="19722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Cash</a:t>
          </a:r>
          <a:r>
            <a:rPr lang="pt-BR" sz="1200" b="1" baseline="0"/>
            <a:t> Flow </a:t>
          </a:r>
          <a:endParaRPr lang="pt-BR" sz="1200" b="1"/>
        </a:p>
      </xdr:txBody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SpPr/>
      </xdr:nvSpPr>
      <xdr:spPr>
        <a:xfrm>
          <a:off x="0" y="555199"/>
          <a:ext cx="2113643" cy="27282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4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B00-000004000000}"/>
            </a:ext>
          </a:extLst>
        </xdr:cNvPr>
        <xdr:cNvSpPr/>
      </xdr:nvSpPr>
      <xdr:spPr>
        <a:xfrm>
          <a:off x="3321050" y="555199"/>
          <a:ext cx="2113643" cy="27282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88674</xdr:rowOff>
    </xdr:to>
    <xdr:sp macro="" textlink="">
      <xdr:nvSpPr>
        <xdr:cNvPr id="6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A55FB28-B92C-41FC-8E12-E551E28845E2}"/>
            </a:ext>
          </a:extLst>
        </xdr:cNvPr>
        <xdr:cNvSpPr/>
      </xdr:nvSpPr>
      <xdr:spPr>
        <a:xfrm>
          <a:off x="0" y="17929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FCIs</a:t>
          </a:r>
        </a:p>
      </xdr:txBody>
    </xdr:sp>
    <xdr:clientData/>
  </xdr:twoCellAnchor>
  <xdr:twoCellAnchor>
    <xdr:from>
      <xdr:col>1</xdr:col>
      <xdr:colOff>17930</xdr:colOff>
      <xdr:row>1</xdr:row>
      <xdr:rowOff>17930</xdr:rowOff>
    </xdr:from>
    <xdr:to>
      <xdr:col>1</xdr:col>
      <xdr:colOff>2131573</xdr:colOff>
      <xdr:row>2</xdr:row>
      <xdr:rowOff>106604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79F201B-FB5B-4C9A-ACD4-969F348EA62C}"/>
            </a:ext>
          </a:extLst>
        </xdr:cNvPr>
        <xdr:cNvSpPr/>
      </xdr:nvSpPr>
      <xdr:spPr>
        <a:xfrm>
          <a:off x="4867836" y="19722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Cash</a:t>
          </a:r>
          <a:r>
            <a:rPr lang="pt-BR" sz="1200" b="1" baseline="0"/>
            <a:t> Flow </a:t>
          </a:r>
          <a:endParaRPr lang="pt-BR" sz="1200" b="1"/>
        </a:p>
      </xdr:txBody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SpPr/>
      </xdr:nvSpPr>
      <xdr:spPr>
        <a:xfrm>
          <a:off x="0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4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C00-000004000000}"/>
            </a:ext>
          </a:extLst>
        </xdr:cNvPr>
        <xdr:cNvSpPr/>
      </xdr:nvSpPr>
      <xdr:spPr>
        <a:xfrm>
          <a:off x="3324225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88674</xdr:rowOff>
    </xdr:to>
    <xdr:sp macro="" textlink="">
      <xdr:nvSpPr>
        <xdr:cNvPr id="6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5773941-0451-4418-8220-10E0EA37F13F}"/>
            </a:ext>
          </a:extLst>
        </xdr:cNvPr>
        <xdr:cNvSpPr/>
      </xdr:nvSpPr>
      <xdr:spPr>
        <a:xfrm>
          <a:off x="0" y="17929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FCIs</a:t>
          </a:r>
        </a:p>
      </xdr:txBody>
    </xdr:sp>
    <xdr:clientData/>
  </xdr:twoCellAnchor>
  <xdr:twoCellAnchor>
    <xdr:from>
      <xdr:col>1</xdr:col>
      <xdr:colOff>17930</xdr:colOff>
      <xdr:row>1</xdr:row>
      <xdr:rowOff>17930</xdr:rowOff>
    </xdr:from>
    <xdr:to>
      <xdr:col>1</xdr:col>
      <xdr:colOff>2131573</xdr:colOff>
      <xdr:row>2</xdr:row>
      <xdr:rowOff>106604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EEB05D8-4B66-42B2-A3B0-6ECC9680D9EE}"/>
            </a:ext>
          </a:extLst>
        </xdr:cNvPr>
        <xdr:cNvSpPr/>
      </xdr:nvSpPr>
      <xdr:spPr>
        <a:xfrm>
          <a:off x="4867836" y="19722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Cash</a:t>
          </a:r>
          <a:r>
            <a:rPr lang="pt-BR" sz="1200" b="1" baseline="0"/>
            <a:t> Flow </a:t>
          </a:r>
          <a:endParaRPr lang="pt-BR" sz="1200" b="1"/>
        </a:p>
      </xdr:txBody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SpPr/>
      </xdr:nvSpPr>
      <xdr:spPr>
        <a:xfrm>
          <a:off x="0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4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D00-000004000000}"/>
            </a:ext>
          </a:extLst>
        </xdr:cNvPr>
        <xdr:cNvSpPr/>
      </xdr:nvSpPr>
      <xdr:spPr>
        <a:xfrm>
          <a:off x="3324225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88674</xdr:rowOff>
    </xdr:to>
    <xdr:sp macro="" textlink="">
      <xdr:nvSpPr>
        <xdr:cNvPr id="6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B708941-FB39-4FD7-8CAC-0B357DA40C72}"/>
            </a:ext>
          </a:extLst>
        </xdr:cNvPr>
        <xdr:cNvSpPr/>
      </xdr:nvSpPr>
      <xdr:spPr>
        <a:xfrm>
          <a:off x="0" y="17929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FCIs</a:t>
          </a:r>
        </a:p>
      </xdr:txBody>
    </xdr:sp>
    <xdr:clientData/>
  </xdr:twoCellAnchor>
  <xdr:twoCellAnchor>
    <xdr:from>
      <xdr:col>1</xdr:col>
      <xdr:colOff>17930</xdr:colOff>
      <xdr:row>1</xdr:row>
      <xdr:rowOff>17930</xdr:rowOff>
    </xdr:from>
    <xdr:to>
      <xdr:col>1</xdr:col>
      <xdr:colOff>2131573</xdr:colOff>
      <xdr:row>2</xdr:row>
      <xdr:rowOff>106604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4537D8-2FE8-412B-9B44-CEE839700D3D}"/>
            </a:ext>
          </a:extLst>
        </xdr:cNvPr>
        <xdr:cNvSpPr/>
      </xdr:nvSpPr>
      <xdr:spPr>
        <a:xfrm>
          <a:off x="4867836" y="19722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Cash</a:t>
          </a:r>
          <a:r>
            <a:rPr lang="pt-BR" sz="1200" b="1" baseline="0"/>
            <a:t> Flow </a:t>
          </a:r>
          <a:endParaRPr lang="pt-BR" sz="1200" b="1"/>
        </a:p>
      </xdr:txBody>
    </xdr: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SpPr/>
      </xdr:nvSpPr>
      <xdr:spPr>
        <a:xfrm>
          <a:off x="0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4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E00-000004000000}"/>
            </a:ext>
          </a:extLst>
        </xdr:cNvPr>
        <xdr:cNvSpPr/>
      </xdr:nvSpPr>
      <xdr:spPr>
        <a:xfrm>
          <a:off x="3324225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88674</xdr:rowOff>
    </xdr:to>
    <xdr:sp macro="" textlink="">
      <xdr:nvSpPr>
        <xdr:cNvPr id="6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7FA0006-5942-4465-9C7F-D4F7BBD64D0B}"/>
            </a:ext>
          </a:extLst>
        </xdr:cNvPr>
        <xdr:cNvSpPr/>
      </xdr:nvSpPr>
      <xdr:spPr>
        <a:xfrm>
          <a:off x="0" y="17929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FCIs</a:t>
          </a:r>
        </a:p>
      </xdr:txBody>
    </xdr:sp>
    <xdr:clientData/>
  </xdr:twoCellAnchor>
  <xdr:twoCellAnchor>
    <xdr:from>
      <xdr:col>1</xdr:col>
      <xdr:colOff>17930</xdr:colOff>
      <xdr:row>1</xdr:row>
      <xdr:rowOff>17930</xdr:rowOff>
    </xdr:from>
    <xdr:to>
      <xdr:col>1</xdr:col>
      <xdr:colOff>2131573</xdr:colOff>
      <xdr:row>2</xdr:row>
      <xdr:rowOff>106604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16389C-8FC0-45C6-B175-8038FE6E15B3}"/>
            </a:ext>
          </a:extLst>
        </xdr:cNvPr>
        <xdr:cNvSpPr/>
      </xdr:nvSpPr>
      <xdr:spPr>
        <a:xfrm>
          <a:off x="4867836" y="19722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Cash</a:t>
          </a:r>
          <a:r>
            <a:rPr lang="pt-BR" sz="1200" b="1" baseline="0"/>
            <a:t> Flow </a:t>
          </a:r>
          <a:endParaRPr lang="pt-BR" sz="1200" b="1"/>
        </a:p>
      </xdr:txBody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B7F0FE-94DC-4A0B-9931-2D02BF5F1F97}"/>
            </a:ext>
          </a:extLst>
        </xdr:cNvPr>
        <xdr:cNvSpPr/>
      </xdr:nvSpPr>
      <xdr:spPr>
        <a:xfrm>
          <a:off x="0" y="545674"/>
          <a:ext cx="2117453" cy="27345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4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9B09FD-E315-45EA-B0E4-FEEEF03BC7E4}"/>
            </a:ext>
          </a:extLst>
        </xdr:cNvPr>
        <xdr:cNvSpPr/>
      </xdr:nvSpPr>
      <xdr:spPr>
        <a:xfrm>
          <a:off x="4857750" y="545674"/>
          <a:ext cx="2117453" cy="27345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88674</xdr:rowOff>
    </xdr:to>
    <xdr:sp macro="" textlink="">
      <xdr:nvSpPr>
        <xdr:cNvPr id="6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25C8BC-3810-4FA8-8666-C32B4279ABA9}"/>
            </a:ext>
          </a:extLst>
        </xdr:cNvPr>
        <xdr:cNvSpPr/>
      </xdr:nvSpPr>
      <xdr:spPr>
        <a:xfrm>
          <a:off x="0" y="17929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FCIs</a:t>
          </a:r>
        </a:p>
      </xdr:txBody>
    </xdr:sp>
    <xdr:clientData/>
  </xdr:twoCellAnchor>
  <xdr:twoCellAnchor>
    <xdr:from>
      <xdr:col>1</xdr:col>
      <xdr:colOff>17930</xdr:colOff>
      <xdr:row>1</xdr:row>
      <xdr:rowOff>17930</xdr:rowOff>
    </xdr:from>
    <xdr:to>
      <xdr:col>1</xdr:col>
      <xdr:colOff>2131573</xdr:colOff>
      <xdr:row>2</xdr:row>
      <xdr:rowOff>106604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3EDA3F-3D7D-40D3-9DB3-BEC89A3DA600}"/>
            </a:ext>
          </a:extLst>
        </xdr:cNvPr>
        <xdr:cNvSpPr/>
      </xdr:nvSpPr>
      <xdr:spPr>
        <a:xfrm>
          <a:off x="4867836" y="19722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Cash</a:t>
          </a:r>
          <a:r>
            <a:rPr lang="pt-BR" sz="1200" b="1" baseline="0"/>
            <a:t> Flow </a:t>
          </a:r>
          <a:endParaRPr lang="pt-BR" sz="1200" b="1"/>
        </a:p>
      </xdr:txBody>
    </xdr: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DB449E-0C07-48AD-980E-DCBC29DD3BA9}"/>
            </a:ext>
          </a:extLst>
        </xdr:cNvPr>
        <xdr:cNvSpPr/>
      </xdr:nvSpPr>
      <xdr:spPr>
        <a:xfrm>
          <a:off x="0" y="545674"/>
          <a:ext cx="2117453" cy="27345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4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90473C-BC30-45DA-99E6-85F28450FD01}"/>
            </a:ext>
          </a:extLst>
        </xdr:cNvPr>
        <xdr:cNvSpPr/>
      </xdr:nvSpPr>
      <xdr:spPr>
        <a:xfrm>
          <a:off x="4857750" y="545674"/>
          <a:ext cx="2117453" cy="27345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88674</xdr:rowOff>
    </xdr:to>
    <xdr:sp macro="" textlink="">
      <xdr:nvSpPr>
        <xdr:cNvPr id="6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8D3691-B6A9-4520-A3A7-C52D8370BC2A}"/>
            </a:ext>
          </a:extLst>
        </xdr:cNvPr>
        <xdr:cNvSpPr/>
      </xdr:nvSpPr>
      <xdr:spPr>
        <a:xfrm>
          <a:off x="0" y="17929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FCIs</a:t>
          </a:r>
        </a:p>
      </xdr:txBody>
    </xdr:sp>
    <xdr:clientData/>
  </xdr:twoCellAnchor>
  <xdr:twoCellAnchor>
    <xdr:from>
      <xdr:col>1</xdr:col>
      <xdr:colOff>17930</xdr:colOff>
      <xdr:row>1</xdr:row>
      <xdr:rowOff>17930</xdr:rowOff>
    </xdr:from>
    <xdr:to>
      <xdr:col>1</xdr:col>
      <xdr:colOff>2131573</xdr:colOff>
      <xdr:row>2</xdr:row>
      <xdr:rowOff>106604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94730B7-E751-4D6C-8F2C-FDD0AD76C15D}"/>
            </a:ext>
          </a:extLst>
        </xdr:cNvPr>
        <xdr:cNvSpPr/>
      </xdr:nvSpPr>
      <xdr:spPr>
        <a:xfrm>
          <a:off x="4867836" y="19722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Cash</a:t>
          </a:r>
          <a:r>
            <a:rPr lang="pt-BR" sz="1200" b="1" baseline="0"/>
            <a:t> Flow </a:t>
          </a:r>
          <a:endParaRPr lang="pt-BR" sz="1200" b="1"/>
        </a:p>
      </xdr:txBody>
    </xdr:sp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SpPr/>
      </xdr:nvSpPr>
      <xdr:spPr>
        <a:xfrm>
          <a:off x="0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4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F00-000004000000}"/>
            </a:ext>
          </a:extLst>
        </xdr:cNvPr>
        <xdr:cNvSpPr/>
      </xdr:nvSpPr>
      <xdr:spPr>
        <a:xfrm>
          <a:off x="3324225" y="545674"/>
          <a:ext cx="2113643" cy="2664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88674</xdr:rowOff>
    </xdr:to>
    <xdr:sp macro="" textlink="">
      <xdr:nvSpPr>
        <xdr:cNvPr id="6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7EFC01-72AD-4F87-ADEE-AE99A8FB1B90}"/>
            </a:ext>
          </a:extLst>
        </xdr:cNvPr>
        <xdr:cNvSpPr/>
      </xdr:nvSpPr>
      <xdr:spPr>
        <a:xfrm>
          <a:off x="0" y="17929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FCIs</a:t>
          </a:r>
        </a:p>
      </xdr:txBody>
    </xdr:sp>
    <xdr:clientData/>
  </xdr:twoCellAnchor>
  <xdr:twoCellAnchor>
    <xdr:from>
      <xdr:col>1</xdr:col>
      <xdr:colOff>17930</xdr:colOff>
      <xdr:row>1</xdr:row>
      <xdr:rowOff>17930</xdr:rowOff>
    </xdr:from>
    <xdr:to>
      <xdr:col>1</xdr:col>
      <xdr:colOff>2131573</xdr:colOff>
      <xdr:row>2</xdr:row>
      <xdr:rowOff>106604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86CC960-EBB6-42E3-A78A-EDE417C5034F}"/>
            </a:ext>
          </a:extLst>
        </xdr:cNvPr>
        <xdr:cNvSpPr/>
      </xdr:nvSpPr>
      <xdr:spPr>
        <a:xfrm>
          <a:off x="4867836" y="197224"/>
          <a:ext cx="2113643" cy="26796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Cash</a:t>
          </a:r>
          <a:r>
            <a:rPr lang="pt-BR" sz="1200" b="1" baseline="0"/>
            <a:t> Flow </a:t>
          </a:r>
          <a:endParaRPr lang="pt-BR" sz="1200" b="1"/>
        </a:p>
      </xdr:txBody>
    </xdr:sp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2749</xdr:rowOff>
    </xdr:from>
    <xdr:to>
      <xdr:col>0</xdr:col>
      <xdr:colOff>2113643</xdr:colOff>
      <xdr:row>4</xdr:row>
      <xdr:rowOff>91423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A6292C-8FBB-4CD8-8D94-DD530207EEDA}"/>
            </a:ext>
          </a:extLst>
        </xdr:cNvPr>
        <xdr:cNvSpPr/>
      </xdr:nvSpPr>
      <xdr:spPr>
        <a:xfrm>
          <a:off x="0" y="545674"/>
          <a:ext cx="2117453" cy="27345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0</xdr:colOff>
      <xdr:row>3</xdr:row>
      <xdr:rowOff>2749</xdr:rowOff>
    </xdr:from>
    <xdr:to>
      <xdr:col>1</xdr:col>
      <xdr:colOff>2113643</xdr:colOff>
      <xdr:row>4</xdr:row>
      <xdr:rowOff>91423</xdr:rowOff>
    </xdr:to>
    <xdr:sp macro="" textlink="">
      <xdr:nvSpPr>
        <xdr:cNvPr id="3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9A227E-4EAE-4E48-96FB-DFB40C56DCA5}"/>
            </a:ext>
          </a:extLst>
        </xdr:cNvPr>
        <xdr:cNvSpPr/>
      </xdr:nvSpPr>
      <xdr:spPr>
        <a:xfrm>
          <a:off x="4857750" y="545674"/>
          <a:ext cx="2117453" cy="27345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2113643</xdr:colOff>
      <xdr:row>2</xdr:row>
      <xdr:rowOff>88674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DE79626-7C96-4783-8F12-AF84CCA3BBFF}"/>
            </a:ext>
          </a:extLst>
        </xdr:cNvPr>
        <xdr:cNvSpPr/>
      </xdr:nvSpPr>
      <xdr:spPr>
        <a:xfrm>
          <a:off x="0" y="180975"/>
          <a:ext cx="2117453" cy="27345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FCIs</a:t>
          </a:r>
        </a:p>
      </xdr:txBody>
    </xdr:sp>
    <xdr:clientData/>
  </xdr:twoCellAnchor>
  <xdr:twoCellAnchor>
    <xdr:from>
      <xdr:col>1</xdr:col>
      <xdr:colOff>17930</xdr:colOff>
      <xdr:row>1</xdr:row>
      <xdr:rowOff>17930</xdr:rowOff>
    </xdr:from>
    <xdr:to>
      <xdr:col>1</xdr:col>
      <xdr:colOff>2131573</xdr:colOff>
      <xdr:row>2</xdr:row>
      <xdr:rowOff>106604</xdr:rowOff>
    </xdr:to>
    <xdr:sp macro="" textlink="">
      <xdr:nvSpPr>
        <xdr:cNvPr id="5" name="Retângulo: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ABB58C-1CD4-4F0F-8194-5229499F493C}"/>
            </a:ext>
          </a:extLst>
        </xdr:cNvPr>
        <xdr:cNvSpPr/>
      </xdr:nvSpPr>
      <xdr:spPr>
        <a:xfrm>
          <a:off x="4879490" y="202715"/>
          <a:ext cx="2109833" cy="26393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Cash</a:t>
          </a:r>
          <a:r>
            <a:rPr lang="pt-BR" sz="1200" b="1" baseline="0"/>
            <a:t> Flow </a:t>
          </a:r>
          <a:endParaRPr lang="pt-BR" sz="1200" b="1"/>
        </a:p>
      </xdr:txBody>
    </xdr:sp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100-000003000000}"/>
            </a:ext>
          </a:extLst>
        </xdr:cNvPr>
        <xdr:cNvSpPr/>
      </xdr:nvSpPr>
      <xdr:spPr>
        <a:xfrm>
          <a:off x="1428750" y="203200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Dívida Bruta</a:t>
          </a:r>
        </a:p>
      </xdr:txBody>
    </xdr:sp>
    <xdr:clientData/>
  </xdr:twoCellAnchor>
  <xdr:twoCellAnchor>
    <xdr:from>
      <xdr:col>3</xdr:col>
      <xdr:colOff>114300</xdr:colOff>
      <xdr:row>11</xdr:row>
      <xdr:rowOff>66675</xdr:rowOff>
    </xdr:from>
    <xdr:to>
      <xdr:col>6</xdr:col>
      <xdr:colOff>476250</xdr:colOff>
      <xdr:row>13</xdr:row>
      <xdr:rowOff>22225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100-000004000000}"/>
            </a:ext>
          </a:extLst>
        </xdr:cNvPr>
        <xdr:cNvSpPr/>
      </xdr:nvSpPr>
      <xdr:spPr>
        <a:xfrm>
          <a:off x="1428750" y="251777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Dívida Líquida</a:t>
          </a:r>
          <a:endParaRPr lang="pt-BR" sz="1100" b="1"/>
        </a:p>
      </xdr:txBody>
    </xdr:sp>
    <xdr:clientData/>
  </xdr:twoCellAnchor>
  <xdr:twoCellAnchor>
    <xdr:from>
      <xdr:col>3</xdr:col>
      <xdr:colOff>114300</xdr:colOff>
      <xdr:row>14</xdr:row>
      <xdr:rowOff>0</xdr:rowOff>
    </xdr:from>
    <xdr:to>
      <xdr:col>6</xdr:col>
      <xdr:colOff>476250</xdr:colOff>
      <xdr:row>15</xdr:row>
      <xdr:rowOff>139700</xdr:rowOff>
    </xdr:to>
    <xdr:sp macro="" textlink="">
      <xdr:nvSpPr>
        <xdr:cNvPr id="5" name="Retângulo: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5100-000005000000}"/>
            </a:ext>
          </a:extLst>
        </xdr:cNvPr>
        <xdr:cNvSpPr/>
      </xdr:nvSpPr>
      <xdr:spPr>
        <a:xfrm>
          <a:off x="1428750" y="30035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Dívida Detalhada</a:t>
          </a:r>
          <a:endParaRPr lang="pt-BR" sz="1100" b="1"/>
        </a:p>
      </xdr:txBody>
    </xdr:sp>
    <xdr:clientData/>
  </xdr:twoCellAnchor>
  <xdr:twoCellAnchor>
    <xdr:from>
      <xdr:col>8</xdr:col>
      <xdr:colOff>69850</xdr:colOff>
      <xdr:row>8</xdr:row>
      <xdr:rowOff>133350</xdr:rowOff>
    </xdr:from>
    <xdr:to>
      <xdr:col>11</xdr:col>
      <xdr:colOff>431800</xdr:colOff>
      <xdr:row>10</xdr:row>
      <xdr:rowOff>88900</xdr:rowOff>
    </xdr:to>
    <xdr:sp macro="" textlink="">
      <xdr:nvSpPr>
        <xdr:cNvPr id="8" name="Retângulo: Cantos Arredondados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5100-000008000000}"/>
            </a:ext>
          </a:extLst>
        </xdr:cNvPr>
        <xdr:cNvSpPr/>
      </xdr:nvSpPr>
      <xdr:spPr>
        <a:xfrm>
          <a:off x="3962400" y="203200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Investimentos</a:t>
          </a:r>
        </a:p>
      </xdr:txBody>
    </xdr:sp>
    <xdr:clientData/>
  </xdr:twoCellAnchor>
  <xdr:twoCellAnchor>
    <xdr:from>
      <xdr:col>5</xdr:col>
      <xdr:colOff>22411</xdr:colOff>
      <xdr:row>0</xdr:row>
      <xdr:rowOff>171823</xdr:rowOff>
    </xdr:from>
    <xdr:to>
      <xdr:col>9</xdr:col>
      <xdr:colOff>156349</xdr:colOff>
      <xdr:row>2</xdr:row>
      <xdr:rowOff>64194</xdr:rowOff>
    </xdr:to>
    <xdr:sp macro="" textlink="">
      <xdr:nvSpPr>
        <xdr:cNvPr id="17" name="Retângulo: Cantos Arredondados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5100-000011000000}"/>
            </a:ext>
          </a:extLst>
        </xdr:cNvPr>
        <xdr:cNvSpPr/>
      </xdr:nvSpPr>
      <xdr:spPr>
        <a:xfrm>
          <a:off x="2556061" y="171823"/>
          <a:ext cx="2102438" cy="26067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 editAs="oneCell">
    <xdr:from>
      <xdr:col>0</xdr:col>
      <xdr:colOff>201706</xdr:colOff>
      <xdr:row>0</xdr:row>
      <xdr:rowOff>78442</xdr:rowOff>
    </xdr:from>
    <xdr:to>
      <xdr:col>4</xdr:col>
      <xdr:colOff>149475</xdr:colOff>
      <xdr:row>2</xdr:row>
      <xdr:rowOff>135894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C232B8DA-F756-45A9-A915-095C31E1E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201706" y="78442"/>
          <a:ext cx="1863975" cy="416040"/>
        </a:xfrm>
        <a:prstGeom prst="rect">
          <a:avLst/>
        </a:prstGeom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SpPr/>
      </xdr:nvSpPr>
      <xdr:spPr>
        <a:xfrm>
          <a:off x="1438275" y="20097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Gross Debt</a:t>
          </a:r>
        </a:p>
      </xdr:txBody>
    </xdr:sp>
    <xdr:clientData/>
  </xdr:twoCellAnchor>
  <xdr:twoCellAnchor>
    <xdr:from>
      <xdr:col>3</xdr:col>
      <xdr:colOff>114300</xdr:colOff>
      <xdr:row>11</xdr:row>
      <xdr:rowOff>66675</xdr:rowOff>
    </xdr:from>
    <xdr:to>
      <xdr:col>6</xdr:col>
      <xdr:colOff>476250</xdr:colOff>
      <xdr:row>13</xdr:row>
      <xdr:rowOff>22225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200-000003000000}"/>
            </a:ext>
          </a:extLst>
        </xdr:cNvPr>
        <xdr:cNvSpPr/>
      </xdr:nvSpPr>
      <xdr:spPr>
        <a:xfrm>
          <a:off x="1438275" y="24828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Net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Debt</a:t>
          </a:r>
          <a:endParaRPr lang="pt-BR" sz="1100" b="1"/>
        </a:p>
      </xdr:txBody>
    </xdr:sp>
    <xdr:clientData/>
  </xdr:twoCellAnchor>
  <xdr:twoCellAnchor>
    <xdr:from>
      <xdr:col>3</xdr:col>
      <xdr:colOff>114300</xdr:colOff>
      <xdr:row>14</xdr:row>
      <xdr:rowOff>0</xdr:rowOff>
    </xdr:from>
    <xdr:to>
      <xdr:col>6</xdr:col>
      <xdr:colOff>476250</xdr:colOff>
      <xdr:row>15</xdr:row>
      <xdr:rowOff>139700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5200-000004000000}"/>
            </a:ext>
          </a:extLst>
        </xdr:cNvPr>
        <xdr:cNvSpPr/>
      </xdr:nvSpPr>
      <xdr:spPr>
        <a:xfrm>
          <a:off x="1438275" y="2962275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Gross Debt per Company</a:t>
          </a:r>
          <a:endParaRPr lang="pt-BR" sz="1100" b="1"/>
        </a:p>
      </xdr:txBody>
    </xdr:sp>
    <xdr:clientData/>
  </xdr:twoCellAnchor>
  <xdr:twoCellAnchor>
    <xdr:from>
      <xdr:col>8</xdr:col>
      <xdr:colOff>69850</xdr:colOff>
      <xdr:row>8</xdr:row>
      <xdr:rowOff>133350</xdr:rowOff>
    </xdr:from>
    <xdr:to>
      <xdr:col>11</xdr:col>
      <xdr:colOff>431800</xdr:colOff>
      <xdr:row>10</xdr:row>
      <xdr:rowOff>88900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5200-000005000000}"/>
            </a:ext>
          </a:extLst>
        </xdr:cNvPr>
        <xdr:cNvSpPr/>
      </xdr:nvSpPr>
      <xdr:spPr>
        <a:xfrm>
          <a:off x="3971925" y="20097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Capex</a:t>
          </a:r>
        </a:p>
      </xdr:txBody>
    </xdr:sp>
    <xdr:clientData/>
  </xdr:twoCellAnchor>
  <xdr:twoCellAnchor>
    <xdr:from>
      <xdr:col>5</xdr:col>
      <xdr:colOff>22411</xdr:colOff>
      <xdr:row>0</xdr:row>
      <xdr:rowOff>171823</xdr:rowOff>
    </xdr:from>
    <xdr:to>
      <xdr:col>9</xdr:col>
      <xdr:colOff>156349</xdr:colOff>
      <xdr:row>2</xdr:row>
      <xdr:rowOff>64194</xdr:rowOff>
    </xdr:to>
    <xdr:sp macro="" textlink="">
      <xdr:nvSpPr>
        <xdr:cNvPr id="6" name="Retângulo: Cantos Arredondado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5200-000006000000}"/>
            </a:ext>
          </a:extLst>
        </xdr:cNvPr>
        <xdr:cNvSpPr/>
      </xdr:nvSpPr>
      <xdr:spPr>
        <a:xfrm>
          <a:off x="2568761" y="171823"/>
          <a:ext cx="2105613" cy="25749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 editAs="oneCell">
    <xdr:from>
      <xdr:col>0</xdr:col>
      <xdr:colOff>201706</xdr:colOff>
      <xdr:row>0</xdr:row>
      <xdr:rowOff>56029</xdr:rowOff>
    </xdr:from>
    <xdr:to>
      <xdr:col>4</xdr:col>
      <xdr:colOff>149475</xdr:colOff>
      <xdr:row>2</xdr:row>
      <xdr:rowOff>113481</xdr:rowOff>
    </xdr:to>
    <xdr:pic>
      <xdr:nvPicPr>
        <xdr:cNvPr id="8" name="Gráfico 7">
          <a:extLst>
            <a:ext uri="{FF2B5EF4-FFF2-40B4-BE49-F238E27FC236}">
              <a16:creationId xmlns:a16="http://schemas.microsoft.com/office/drawing/2014/main" id="{391055B4-9D31-4ADC-BDCE-476AB90FC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201706" y="56029"/>
          <a:ext cx="1863975" cy="416040"/>
        </a:xfrm>
        <a:prstGeom prst="rect">
          <a:avLst/>
        </a:prstGeom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313765</xdr:colOff>
      <xdr:row>2</xdr:row>
      <xdr:rowOff>121344</xdr:rowOff>
    </xdr:from>
    <xdr:to>
      <xdr:col>4</xdr:col>
      <xdr:colOff>283349</xdr:colOff>
      <xdr:row>4</xdr:row>
      <xdr:rowOff>19050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SpPr/>
      </xdr:nvSpPr>
      <xdr:spPr>
        <a:xfrm>
          <a:off x="1411941" y="494873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2</xdr:col>
      <xdr:colOff>315687</xdr:colOff>
      <xdr:row>0</xdr:row>
      <xdr:rowOff>126999</xdr:rowOff>
    </xdr:from>
    <xdr:to>
      <xdr:col>4</xdr:col>
      <xdr:colOff>285271</xdr:colOff>
      <xdr:row>2</xdr:row>
      <xdr:rowOff>24706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300-000003000000}"/>
            </a:ext>
          </a:extLst>
        </xdr:cNvPr>
        <xdr:cNvSpPr/>
      </xdr:nvSpPr>
      <xdr:spPr>
        <a:xfrm>
          <a:off x="1413863" y="126999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Dívida e CAPEX</a:t>
          </a:r>
        </a:p>
      </xdr:txBody>
    </xdr:sp>
    <xdr:clientData/>
  </xdr:twoCellAnchor>
  <xdr:twoCellAnchor>
    <xdr:from>
      <xdr:col>4</xdr:col>
      <xdr:colOff>393140</xdr:colOff>
      <xdr:row>2</xdr:row>
      <xdr:rowOff>124519</xdr:rowOff>
    </xdr:from>
    <xdr:to>
      <xdr:col>6</xdr:col>
      <xdr:colOff>64274</xdr:colOff>
      <xdr:row>4</xdr:row>
      <xdr:rowOff>19050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5300-000004000000}"/>
            </a:ext>
          </a:extLst>
        </xdr:cNvPr>
        <xdr:cNvSpPr/>
      </xdr:nvSpPr>
      <xdr:spPr>
        <a:xfrm>
          <a:off x="3650690" y="486469"/>
          <a:ext cx="2119059" cy="25648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4</xdr:col>
      <xdr:colOff>388712</xdr:colOff>
      <xdr:row>0</xdr:row>
      <xdr:rowOff>123824</xdr:rowOff>
    </xdr:from>
    <xdr:to>
      <xdr:col>6</xdr:col>
      <xdr:colOff>66196</xdr:colOff>
      <xdr:row>2</xdr:row>
      <xdr:rowOff>27881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5300-000005000000}"/>
            </a:ext>
          </a:extLst>
        </xdr:cNvPr>
        <xdr:cNvSpPr/>
      </xdr:nvSpPr>
      <xdr:spPr>
        <a:xfrm>
          <a:off x="3646262" y="123824"/>
          <a:ext cx="2125409" cy="266007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Debt and Capex</a:t>
          </a:r>
        </a:p>
      </xdr:txBody>
    </xdr:sp>
    <xdr:clientData/>
  </xdr:twoCellAnchor>
  <xdr:twoCellAnchor>
    <xdr:from>
      <xdr:col>2</xdr:col>
      <xdr:colOff>313765</xdr:colOff>
      <xdr:row>2</xdr:row>
      <xdr:rowOff>121344</xdr:rowOff>
    </xdr:from>
    <xdr:to>
      <xdr:col>4</xdr:col>
      <xdr:colOff>283349</xdr:colOff>
      <xdr:row>4</xdr:row>
      <xdr:rowOff>19050</xdr:rowOff>
    </xdr:to>
    <xdr:sp macro="" textlink="">
      <xdr:nvSpPr>
        <xdr:cNvPr id="6" name="Retângulo: Cantos Arredondados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C0D9D68-3C90-413E-8644-1743E78E7245}"/>
            </a:ext>
          </a:extLst>
        </xdr:cNvPr>
        <xdr:cNvSpPr/>
      </xdr:nvSpPr>
      <xdr:spPr>
        <a:xfrm>
          <a:off x="991945" y="487104"/>
          <a:ext cx="2087944" cy="26346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2</xdr:col>
      <xdr:colOff>315687</xdr:colOff>
      <xdr:row>0</xdr:row>
      <xdr:rowOff>126999</xdr:rowOff>
    </xdr:from>
    <xdr:to>
      <xdr:col>4</xdr:col>
      <xdr:colOff>285271</xdr:colOff>
      <xdr:row>2</xdr:row>
      <xdr:rowOff>24706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60B8A90-B918-49F8-B4A7-AFFBC007EBE9}"/>
            </a:ext>
          </a:extLst>
        </xdr:cNvPr>
        <xdr:cNvSpPr/>
      </xdr:nvSpPr>
      <xdr:spPr>
        <a:xfrm>
          <a:off x="993867" y="126999"/>
          <a:ext cx="2087944" cy="263467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Dívida e CAPEX</a:t>
          </a:r>
        </a:p>
      </xdr:txBody>
    </xdr:sp>
    <xdr:clientData/>
  </xdr:twoCellAnchor>
  <xdr:twoCellAnchor>
    <xdr:from>
      <xdr:col>4</xdr:col>
      <xdr:colOff>393140</xdr:colOff>
      <xdr:row>2</xdr:row>
      <xdr:rowOff>124519</xdr:rowOff>
    </xdr:from>
    <xdr:to>
      <xdr:col>6</xdr:col>
      <xdr:colOff>64274</xdr:colOff>
      <xdr:row>4</xdr:row>
      <xdr:rowOff>19050</xdr:rowOff>
    </xdr:to>
    <xdr:sp macro="" textlink="">
      <xdr:nvSpPr>
        <xdr:cNvPr id="8" name="Retângulo: Cantos Arredondados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2B8D3B3-8244-4472-8770-055F7E86D4FE}"/>
            </a:ext>
          </a:extLst>
        </xdr:cNvPr>
        <xdr:cNvSpPr/>
      </xdr:nvSpPr>
      <xdr:spPr>
        <a:xfrm>
          <a:off x="3189680" y="490279"/>
          <a:ext cx="2079054" cy="26029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4</xdr:col>
      <xdr:colOff>388712</xdr:colOff>
      <xdr:row>0</xdr:row>
      <xdr:rowOff>123824</xdr:rowOff>
    </xdr:from>
    <xdr:to>
      <xdr:col>6</xdr:col>
      <xdr:colOff>66196</xdr:colOff>
      <xdr:row>2</xdr:row>
      <xdr:rowOff>27881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C0624D2-2B0A-4137-B431-E6B08E4497DF}"/>
            </a:ext>
          </a:extLst>
        </xdr:cNvPr>
        <xdr:cNvSpPr/>
      </xdr:nvSpPr>
      <xdr:spPr>
        <a:xfrm>
          <a:off x="3185252" y="123824"/>
          <a:ext cx="2085404" cy="269817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Debt and Capex</a:t>
          </a:r>
        </a:p>
      </xdr:txBody>
    </xdr:sp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2</xdr:row>
      <xdr:rowOff>181110</xdr:rowOff>
    </xdr:from>
    <xdr:to>
      <xdr:col>2</xdr:col>
      <xdr:colOff>1876425</xdr:colOff>
      <xdr:row>4</xdr:row>
      <xdr:rowOff>78816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SpPr/>
      </xdr:nvSpPr>
      <xdr:spPr>
        <a:xfrm>
          <a:off x="781051" y="562110"/>
          <a:ext cx="1876424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2</xdr:col>
      <xdr:colOff>1923</xdr:colOff>
      <xdr:row>1</xdr:row>
      <xdr:rowOff>0</xdr:rowOff>
    </xdr:from>
    <xdr:to>
      <xdr:col>2</xdr:col>
      <xdr:colOff>1878347</xdr:colOff>
      <xdr:row>2</xdr:row>
      <xdr:rowOff>84472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400-000003000000}"/>
            </a:ext>
          </a:extLst>
        </xdr:cNvPr>
        <xdr:cNvSpPr/>
      </xdr:nvSpPr>
      <xdr:spPr>
        <a:xfrm>
          <a:off x="782973" y="190500"/>
          <a:ext cx="1876424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Dívida e CAPEX</a:t>
          </a:r>
        </a:p>
      </xdr:txBody>
    </xdr:sp>
    <xdr:clientData/>
  </xdr:twoCellAnchor>
  <xdr:twoCellAnchor>
    <xdr:from>
      <xdr:col>3</xdr:col>
      <xdr:colOff>1</xdr:colOff>
      <xdr:row>2</xdr:row>
      <xdr:rowOff>181110</xdr:rowOff>
    </xdr:from>
    <xdr:to>
      <xdr:col>3</xdr:col>
      <xdr:colOff>2038351</xdr:colOff>
      <xdr:row>4</xdr:row>
      <xdr:rowOff>78816</xdr:rowOff>
    </xdr:to>
    <xdr:sp macro="" textlink="">
      <xdr:nvSpPr>
        <xdr:cNvPr id="4" name="Retângulo: Cantos Arredondados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5400-000004000000}"/>
            </a:ext>
          </a:extLst>
        </xdr:cNvPr>
        <xdr:cNvSpPr/>
      </xdr:nvSpPr>
      <xdr:spPr>
        <a:xfrm>
          <a:off x="2847976" y="562110"/>
          <a:ext cx="2038350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3</xdr:col>
      <xdr:colOff>1922</xdr:colOff>
      <xdr:row>1</xdr:row>
      <xdr:rowOff>0</xdr:rowOff>
    </xdr:from>
    <xdr:to>
      <xdr:col>3</xdr:col>
      <xdr:colOff>2038350</xdr:colOff>
      <xdr:row>2</xdr:row>
      <xdr:rowOff>84472</xdr:rowOff>
    </xdr:to>
    <xdr:sp macro="" textlink="">
      <xdr:nvSpPr>
        <xdr:cNvPr id="5" name="Retângulo: Cantos Arredondados 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5400-000005000000}"/>
            </a:ext>
          </a:extLst>
        </xdr:cNvPr>
        <xdr:cNvSpPr/>
      </xdr:nvSpPr>
      <xdr:spPr>
        <a:xfrm>
          <a:off x="2849897" y="190500"/>
          <a:ext cx="2036428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Debt and CAPEX</a:t>
          </a:r>
          <a:endParaRPr lang="pt-BR" sz="1200" b="1"/>
        </a:p>
      </xdr:txBody>
    </xdr:sp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181110</xdr:rowOff>
    </xdr:from>
    <xdr:to>
      <xdr:col>3</xdr:col>
      <xdr:colOff>1090172</xdr:colOff>
      <xdr:row>4</xdr:row>
      <xdr:rowOff>78816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SpPr/>
      </xdr:nvSpPr>
      <xdr:spPr>
        <a:xfrm>
          <a:off x="739588" y="562110"/>
          <a:ext cx="2390055" cy="27870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2</xdr:col>
      <xdr:colOff>1922</xdr:colOff>
      <xdr:row>1</xdr:row>
      <xdr:rowOff>0</xdr:rowOff>
    </xdr:from>
    <xdr:to>
      <xdr:col>3</xdr:col>
      <xdr:colOff>1092094</xdr:colOff>
      <xdr:row>2</xdr:row>
      <xdr:rowOff>84472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500-000003000000}"/>
            </a:ext>
          </a:extLst>
        </xdr:cNvPr>
        <xdr:cNvSpPr/>
      </xdr:nvSpPr>
      <xdr:spPr>
        <a:xfrm>
          <a:off x="741510" y="190500"/>
          <a:ext cx="2390055" cy="27497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Dívida e CAPEX</a:t>
          </a:r>
        </a:p>
      </xdr:txBody>
    </xdr:sp>
    <xdr:clientData/>
  </xdr:twoCellAnchor>
  <xdr:twoCellAnchor>
    <xdr:from>
      <xdr:col>3</xdr:col>
      <xdr:colOff>1210236</xdr:colOff>
      <xdr:row>2</xdr:row>
      <xdr:rowOff>177935</xdr:rowOff>
    </xdr:from>
    <xdr:to>
      <xdr:col>4</xdr:col>
      <xdr:colOff>779582</xdr:colOff>
      <xdr:row>4</xdr:row>
      <xdr:rowOff>78816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5500-000004000000}"/>
            </a:ext>
          </a:extLst>
        </xdr:cNvPr>
        <xdr:cNvSpPr/>
      </xdr:nvSpPr>
      <xdr:spPr>
        <a:xfrm>
          <a:off x="3372971" y="536523"/>
          <a:ext cx="2460464" cy="25946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3</xdr:col>
      <xdr:colOff>1212158</xdr:colOff>
      <xdr:row>1</xdr:row>
      <xdr:rowOff>0</xdr:rowOff>
    </xdr:from>
    <xdr:to>
      <xdr:col>4</xdr:col>
      <xdr:colOff>781504</xdr:colOff>
      <xdr:row>2</xdr:row>
      <xdr:rowOff>87647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5500-000005000000}"/>
            </a:ext>
          </a:extLst>
        </xdr:cNvPr>
        <xdr:cNvSpPr/>
      </xdr:nvSpPr>
      <xdr:spPr>
        <a:xfrm>
          <a:off x="3374893" y="179294"/>
          <a:ext cx="2460464" cy="26694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Debt</a:t>
          </a:r>
          <a:r>
            <a:rPr lang="pt-BR" sz="1200" b="1" baseline="0"/>
            <a:t> and Capex</a:t>
          </a:r>
          <a:endParaRPr lang="pt-BR" sz="1200" b="1"/>
        </a:p>
      </xdr:txBody>
    </xdr:sp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359008</xdr:colOff>
      <xdr:row>57</xdr:row>
      <xdr:rowOff>26194</xdr:rowOff>
    </xdr:from>
    <xdr:to>
      <xdr:col>32</xdr:col>
      <xdr:colOff>84791</xdr:colOff>
      <xdr:row>58</xdr:row>
      <xdr:rowOff>164913</xdr:rowOff>
    </xdr:to>
    <xdr:sp macro="" textlink="">
      <xdr:nvSpPr>
        <xdr:cNvPr id="3" name="Retângulo: Cantos Arredondados 2">
          <a:extLst>
            <a:ext uri="{FF2B5EF4-FFF2-40B4-BE49-F238E27FC236}">
              <a16:creationId xmlns:a16="http://schemas.microsoft.com/office/drawing/2014/main" id="{00000000-0008-0000-5600-000003000000}"/>
            </a:ext>
          </a:extLst>
        </xdr:cNvPr>
        <xdr:cNvSpPr/>
      </xdr:nvSpPr>
      <xdr:spPr>
        <a:xfrm>
          <a:off x="19263332" y="8990900"/>
          <a:ext cx="4196930" cy="318013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A alienação da Geramar</a:t>
          </a:r>
          <a:r>
            <a:rPr lang="en-US" sz="1100" b="1" baseline="0"/>
            <a:t> foi concluída em maio de 2022</a:t>
          </a:r>
          <a:endParaRPr lang="en-US" sz="1100" b="1"/>
        </a:p>
      </xdr:txBody>
    </xdr:sp>
    <xdr:clientData/>
  </xdr:twoCellAnchor>
  <xdr:twoCellAnchor>
    <xdr:from>
      <xdr:col>1</xdr:col>
      <xdr:colOff>59526</xdr:colOff>
      <xdr:row>3</xdr:row>
      <xdr:rowOff>2749</xdr:rowOff>
    </xdr:from>
    <xdr:to>
      <xdr:col>1</xdr:col>
      <xdr:colOff>1861665</xdr:colOff>
      <xdr:row>4</xdr:row>
      <xdr:rowOff>91423</xdr:rowOff>
    </xdr:to>
    <xdr:sp macro="" textlink="">
      <xdr:nvSpPr>
        <xdr:cNvPr id="5" name="Retângulo: Cantos Arredondados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600-000005000000}"/>
            </a:ext>
          </a:extLst>
        </xdr:cNvPr>
        <xdr:cNvSpPr/>
      </xdr:nvSpPr>
      <xdr:spPr>
        <a:xfrm>
          <a:off x="672439" y="574249"/>
          <a:ext cx="1802139" cy="2791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61448</xdr:colOff>
      <xdr:row>1</xdr:row>
      <xdr:rowOff>0</xdr:rowOff>
    </xdr:from>
    <xdr:to>
      <xdr:col>1</xdr:col>
      <xdr:colOff>1863587</xdr:colOff>
      <xdr:row>2</xdr:row>
      <xdr:rowOff>88674</xdr:rowOff>
    </xdr:to>
    <xdr:sp macro="" textlink="">
      <xdr:nvSpPr>
        <xdr:cNvPr id="6" name="Retângulo: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600-000006000000}"/>
            </a:ext>
          </a:extLst>
        </xdr:cNvPr>
        <xdr:cNvSpPr/>
      </xdr:nvSpPr>
      <xdr:spPr>
        <a:xfrm>
          <a:off x="674361" y="190500"/>
          <a:ext cx="1802139" cy="2791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Dívida e CAPEX</a:t>
          </a:r>
        </a:p>
      </xdr:txBody>
    </xdr:sp>
    <xdr:clientData/>
  </xdr:twoCellAnchor>
  <xdr:twoCellAnchor>
    <xdr:from>
      <xdr:col>32</xdr:col>
      <xdr:colOff>374100</xdr:colOff>
      <xdr:row>61</xdr:row>
      <xdr:rowOff>75266</xdr:rowOff>
    </xdr:from>
    <xdr:to>
      <xdr:col>37</xdr:col>
      <xdr:colOff>603213</xdr:colOff>
      <xdr:row>63</xdr:row>
      <xdr:rowOff>56029</xdr:rowOff>
    </xdr:to>
    <xdr:sp macro="" textlink="">
      <xdr:nvSpPr>
        <xdr:cNvPr id="2" name="Retângulo: Cantos Arredondados 1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SpPr/>
      </xdr:nvSpPr>
      <xdr:spPr>
        <a:xfrm>
          <a:off x="11299835" y="11012207"/>
          <a:ext cx="3366760" cy="339351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A</a:t>
          </a:r>
          <a:r>
            <a:rPr lang="en-US" sz="1100" b="1" baseline="0"/>
            <a:t> venda dos ativos foi concluída em outubro de 2025</a:t>
          </a:r>
          <a:endParaRPr lang="en-US" sz="1100" b="1"/>
        </a:p>
      </xdr:txBody>
    </xdr:sp>
    <xdr:clientData/>
  </xdr:twoCellAnchor>
  <xdr:twoCellAnchor>
    <xdr:from>
      <xdr:col>2</xdr:col>
      <xdr:colOff>9476</xdr:colOff>
      <xdr:row>3</xdr:row>
      <xdr:rowOff>2749</xdr:rowOff>
    </xdr:from>
    <xdr:to>
      <xdr:col>2</xdr:col>
      <xdr:colOff>1905000</xdr:colOff>
      <xdr:row>4</xdr:row>
      <xdr:rowOff>91423</xdr:rowOff>
    </xdr:to>
    <xdr:sp macro="" textlink="">
      <xdr:nvSpPr>
        <xdr:cNvPr id="7" name="Retângulo: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5600-000007000000}"/>
            </a:ext>
          </a:extLst>
        </xdr:cNvPr>
        <xdr:cNvSpPr/>
      </xdr:nvSpPr>
      <xdr:spPr>
        <a:xfrm>
          <a:off x="2533601" y="574249"/>
          <a:ext cx="1895524" cy="2791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1921566</xdr:colOff>
      <xdr:row>2</xdr:row>
      <xdr:rowOff>88674</xdr:rowOff>
    </xdr:to>
    <xdr:sp macro="" textlink="">
      <xdr:nvSpPr>
        <xdr:cNvPr id="8" name="Retângulo: Cantos Arredondado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5600-000008000000}"/>
            </a:ext>
          </a:extLst>
        </xdr:cNvPr>
        <xdr:cNvSpPr/>
      </xdr:nvSpPr>
      <xdr:spPr>
        <a:xfrm>
          <a:off x="2524125" y="190500"/>
          <a:ext cx="1921566" cy="279174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Debt and CAPEX</a:t>
          </a:r>
        </a:p>
      </xdr:txBody>
    </xdr:sp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2102438</xdr:colOff>
      <xdr:row>2</xdr:row>
      <xdr:rowOff>73907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700-000003000000}"/>
            </a:ext>
          </a:extLst>
        </xdr:cNvPr>
        <xdr:cNvSpPr/>
      </xdr:nvSpPr>
      <xdr:spPr>
        <a:xfrm>
          <a:off x="612588" y="186765"/>
          <a:ext cx="2102438" cy="26067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2102438</xdr:colOff>
      <xdr:row>2</xdr:row>
      <xdr:rowOff>73907</xdr:rowOff>
    </xdr:to>
    <xdr:sp macro="" textlink="">
      <xdr:nvSpPr>
        <xdr:cNvPr id="4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700-000004000000}"/>
            </a:ext>
          </a:extLst>
        </xdr:cNvPr>
        <xdr:cNvSpPr/>
      </xdr:nvSpPr>
      <xdr:spPr>
        <a:xfrm>
          <a:off x="3219450" y="190500"/>
          <a:ext cx="2102438" cy="264407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2102438</xdr:colOff>
      <xdr:row>2</xdr:row>
      <xdr:rowOff>73907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800-000003000000}"/>
            </a:ext>
          </a:extLst>
        </xdr:cNvPr>
        <xdr:cNvSpPr/>
      </xdr:nvSpPr>
      <xdr:spPr>
        <a:xfrm>
          <a:off x="612588" y="186765"/>
          <a:ext cx="2102438" cy="26067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2102438</xdr:colOff>
      <xdr:row>2</xdr:row>
      <xdr:rowOff>73907</xdr:rowOff>
    </xdr:to>
    <xdr:sp macro="" textlink="">
      <xdr:nvSpPr>
        <xdr:cNvPr id="4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800-000004000000}"/>
            </a:ext>
          </a:extLst>
        </xdr:cNvPr>
        <xdr:cNvSpPr/>
      </xdr:nvSpPr>
      <xdr:spPr>
        <a:xfrm>
          <a:off x="2971800" y="190500"/>
          <a:ext cx="2102438" cy="264407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Menu</a:t>
          </a:r>
          <a:endParaRPr lang="pt-BR" sz="1200" b="1"/>
        </a:p>
      </xdr:txBody>
    </xdr:sp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1546411</xdr:colOff>
      <xdr:row>2</xdr:row>
      <xdr:rowOff>79243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900-000003000000}"/>
            </a:ext>
          </a:extLst>
        </xdr:cNvPr>
        <xdr:cNvSpPr/>
      </xdr:nvSpPr>
      <xdr:spPr>
        <a:xfrm>
          <a:off x="605118" y="190500"/>
          <a:ext cx="1546411" cy="269743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2</xdr:col>
      <xdr:colOff>0</xdr:colOff>
      <xdr:row>1</xdr:row>
      <xdr:rowOff>0</xdr:rowOff>
    </xdr:from>
    <xdr:to>
      <xdr:col>2</xdr:col>
      <xdr:colOff>1546411</xdr:colOff>
      <xdr:row>2</xdr:row>
      <xdr:rowOff>79243</xdr:rowOff>
    </xdr:to>
    <xdr:sp macro="" textlink="">
      <xdr:nvSpPr>
        <xdr:cNvPr id="4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900-000004000000}"/>
            </a:ext>
          </a:extLst>
        </xdr:cNvPr>
        <xdr:cNvSpPr/>
      </xdr:nvSpPr>
      <xdr:spPr>
        <a:xfrm>
          <a:off x="2181225" y="190500"/>
          <a:ext cx="1546411" cy="269743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A00-000003000000}"/>
            </a:ext>
          </a:extLst>
        </xdr:cNvPr>
        <xdr:cNvSpPr/>
      </xdr:nvSpPr>
      <xdr:spPr>
        <a:xfrm>
          <a:off x="1428750" y="203200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Dados Regulatórios - D</a:t>
          </a:r>
        </a:p>
      </xdr:txBody>
    </xdr:sp>
    <xdr:clientData/>
  </xdr:twoCellAnchor>
  <xdr:twoCellAnchor>
    <xdr:from>
      <xdr:col>5</xdr:col>
      <xdr:colOff>22411</xdr:colOff>
      <xdr:row>0</xdr:row>
      <xdr:rowOff>171823</xdr:rowOff>
    </xdr:from>
    <xdr:to>
      <xdr:col>9</xdr:col>
      <xdr:colOff>156349</xdr:colOff>
      <xdr:row>2</xdr:row>
      <xdr:rowOff>64194</xdr:rowOff>
    </xdr:to>
    <xdr:sp macro="" textlink="">
      <xdr:nvSpPr>
        <xdr:cNvPr id="7" name="Retângulo: Cantos Arredondados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A00-000007000000}"/>
            </a:ext>
          </a:extLst>
        </xdr:cNvPr>
        <xdr:cNvSpPr/>
      </xdr:nvSpPr>
      <xdr:spPr>
        <a:xfrm>
          <a:off x="2556061" y="171823"/>
          <a:ext cx="2102438" cy="26067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3</xdr:col>
      <xdr:colOff>107950</xdr:colOff>
      <xdr:row>11</xdr:row>
      <xdr:rowOff>0</xdr:rowOff>
    </xdr:from>
    <xdr:to>
      <xdr:col>6</xdr:col>
      <xdr:colOff>469900</xdr:colOff>
      <xdr:row>12</xdr:row>
      <xdr:rowOff>139700</xdr:rowOff>
    </xdr:to>
    <xdr:sp macro="" textlink="">
      <xdr:nvSpPr>
        <xdr:cNvPr id="4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5A00-000004000000}"/>
            </a:ext>
          </a:extLst>
        </xdr:cNvPr>
        <xdr:cNvSpPr/>
      </xdr:nvSpPr>
      <xdr:spPr>
        <a:xfrm>
          <a:off x="1422400" y="245110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Dados Concessões - D</a:t>
          </a:r>
        </a:p>
      </xdr:txBody>
    </xdr:sp>
    <xdr:clientData/>
  </xdr:twoCellAnchor>
  <xdr:twoCellAnchor editAs="oneCell">
    <xdr:from>
      <xdr:col>0</xdr:col>
      <xdr:colOff>209550</xdr:colOff>
      <xdr:row>0</xdr:row>
      <xdr:rowOff>47625</xdr:rowOff>
    </xdr:from>
    <xdr:to>
      <xdr:col>4</xdr:col>
      <xdr:colOff>149475</xdr:colOff>
      <xdr:row>2</xdr:row>
      <xdr:rowOff>97905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55E2FE21-5B7A-4BDC-A4A5-2C17EB60F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209550" y="47625"/>
          <a:ext cx="1863975" cy="416040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8</xdr:row>
      <xdr:rowOff>133350</xdr:rowOff>
    </xdr:from>
    <xdr:to>
      <xdr:col>6</xdr:col>
      <xdr:colOff>476250</xdr:colOff>
      <xdr:row>10</xdr:row>
      <xdr:rowOff>88900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B00-000002000000}"/>
            </a:ext>
          </a:extLst>
        </xdr:cNvPr>
        <xdr:cNvSpPr/>
      </xdr:nvSpPr>
      <xdr:spPr>
        <a:xfrm>
          <a:off x="1438275" y="2009775"/>
          <a:ext cx="2190750" cy="314325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Regulatory Data</a:t>
          </a:r>
        </a:p>
      </xdr:txBody>
    </xdr:sp>
    <xdr:clientData/>
  </xdr:twoCellAnchor>
  <xdr:twoCellAnchor>
    <xdr:from>
      <xdr:col>5</xdr:col>
      <xdr:colOff>22411</xdr:colOff>
      <xdr:row>0</xdr:row>
      <xdr:rowOff>171823</xdr:rowOff>
    </xdr:from>
    <xdr:to>
      <xdr:col>9</xdr:col>
      <xdr:colOff>156349</xdr:colOff>
      <xdr:row>2</xdr:row>
      <xdr:rowOff>64194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B00-000004000000}"/>
            </a:ext>
          </a:extLst>
        </xdr:cNvPr>
        <xdr:cNvSpPr/>
      </xdr:nvSpPr>
      <xdr:spPr>
        <a:xfrm>
          <a:off x="2568761" y="171823"/>
          <a:ext cx="2105613" cy="25749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3</xdr:col>
      <xdr:colOff>107950</xdr:colOff>
      <xdr:row>11</xdr:row>
      <xdr:rowOff>0</xdr:rowOff>
    </xdr:from>
    <xdr:to>
      <xdr:col>6</xdr:col>
      <xdr:colOff>469900</xdr:colOff>
      <xdr:row>12</xdr:row>
      <xdr:rowOff>139700</xdr:rowOff>
    </xdr:to>
    <xdr:sp macro="" textlink="">
      <xdr:nvSpPr>
        <xdr:cNvPr id="5" name="Retângulo: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5B00-000005000000}"/>
            </a:ext>
          </a:extLst>
        </xdr:cNvPr>
        <xdr:cNvSpPr/>
      </xdr:nvSpPr>
      <xdr:spPr>
        <a:xfrm>
          <a:off x="1428750" y="2419350"/>
          <a:ext cx="2190750" cy="323850"/>
        </a:xfrm>
        <a:prstGeom prst="round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/>
            <a:t>Concessions</a:t>
          </a:r>
          <a:r>
            <a:rPr lang="pt-BR" sz="1100" b="1" baseline="0"/>
            <a:t> Information</a:t>
          </a:r>
          <a:endParaRPr lang="pt-BR" sz="1100" b="1"/>
        </a:p>
      </xdr:txBody>
    </xdr:sp>
    <xdr:clientData/>
  </xdr:twoCellAnchor>
  <xdr:twoCellAnchor editAs="oneCell">
    <xdr:from>
      <xdr:col>0</xdr:col>
      <xdr:colOff>198120</xdr:colOff>
      <xdr:row>0</xdr:row>
      <xdr:rowOff>76200</xdr:rowOff>
    </xdr:from>
    <xdr:to>
      <xdr:col>4</xdr:col>
      <xdr:colOff>138045</xdr:colOff>
      <xdr:row>2</xdr:row>
      <xdr:rowOff>126480</xdr:rowOff>
    </xdr:to>
    <xdr:pic>
      <xdr:nvPicPr>
        <xdr:cNvPr id="3" name="Gráfico 2">
          <a:extLst>
            <a:ext uri="{FF2B5EF4-FFF2-40B4-BE49-F238E27FC236}">
              <a16:creationId xmlns:a16="http://schemas.microsoft.com/office/drawing/2014/main" id="{E13B0F49-05D9-4E3A-B26D-87B79E0E3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98120" y="76200"/>
          <a:ext cx="1867785" cy="416040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27315</xdr:colOff>
      <xdr:row>2</xdr:row>
      <xdr:rowOff>126054</xdr:rowOff>
    </xdr:from>
    <xdr:to>
      <xdr:col>1</xdr:col>
      <xdr:colOff>1581979</xdr:colOff>
      <xdr:row>4</xdr:row>
      <xdr:rowOff>99392</xdr:rowOff>
    </xdr:to>
    <xdr:sp macro="" textlink="">
      <xdr:nvSpPr>
        <xdr:cNvPr id="3" name="Retângulo: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C00-000003000000}"/>
            </a:ext>
          </a:extLst>
        </xdr:cNvPr>
        <xdr:cNvSpPr/>
      </xdr:nvSpPr>
      <xdr:spPr>
        <a:xfrm>
          <a:off x="640228" y="424228"/>
          <a:ext cx="1554664" cy="27151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1</xdr:col>
      <xdr:colOff>33784</xdr:colOff>
      <xdr:row>0</xdr:row>
      <xdr:rowOff>115957</xdr:rowOff>
    </xdr:from>
    <xdr:to>
      <xdr:col>1</xdr:col>
      <xdr:colOff>1590261</xdr:colOff>
      <xdr:row>2</xdr:row>
      <xdr:rowOff>74544</xdr:rowOff>
    </xdr:to>
    <xdr:sp macro="" textlink="">
      <xdr:nvSpPr>
        <xdr:cNvPr id="4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C00-000004000000}"/>
            </a:ext>
          </a:extLst>
        </xdr:cNvPr>
        <xdr:cNvSpPr/>
      </xdr:nvSpPr>
      <xdr:spPr>
        <a:xfrm>
          <a:off x="646697" y="115957"/>
          <a:ext cx="1556477" cy="25676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Dados Reg.</a:t>
          </a:r>
        </a:p>
      </xdr:txBody>
    </xdr:sp>
    <xdr:clientData/>
  </xdr:twoCellAnchor>
  <xdr:twoCellAnchor>
    <xdr:from>
      <xdr:col>2</xdr:col>
      <xdr:colOff>42223</xdr:colOff>
      <xdr:row>3</xdr:row>
      <xdr:rowOff>10098</xdr:rowOff>
    </xdr:from>
    <xdr:to>
      <xdr:col>2</xdr:col>
      <xdr:colOff>1598543</xdr:colOff>
      <xdr:row>4</xdr:row>
      <xdr:rowOff>123738</xdr:rowOff>
    </xdr:to>
    <xdr:sp macro="" textlink="">
      <xdr:nvSpPr>
        <xdr:cNvPr id="5" name="Retângulo: Cantos Arredondados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5C00-000005000000}"/>
            </a:ext>
          </a:extLst>
        </xdr:cNvPr>
        <xdr:cNvSpPr/>
      </xdr:nvSpPr>
      <xdr:spPr>
        <a:xfrm>
          <a:off x="3115071" y="457359"/>
          <a:ext cx="1556320" cy="262727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2</xdr:col>
      <xdr:colOff>32127</xdr:colOff>
      <xdr:row>1</xdr:row>
      <xdr:rowOff>0</xdr:rowOff>
    </xdr:from>
    <xdr:to>
      <xdr:col>2</xdr:col>
      <xdr:colOff>1600200</xdr:colOff>
      <xdr:row>2</xdr:row>
      <xdr:rowOff>113640</xdr:rowOff>
    </xdr:to>
    <xdr:sp macro="" textlink="">
      <xdr:nvSpPr>
        <xdr:cNvPr id="6" name="Retângulo: Cantos Arredondados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5C00-000006000000}"/>
            </a:ext>
          </a:extLst>
        </xdr:cNvPr>
        <xdr:cNvSpPr/>
      </xdr:nvSpPr>
      <xdr:spPr>
        <a:xfrm>
          <a:off x="3746877" y="152400"/>
          <a:ext cx="1568073" cy="266040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Reg. Data</a:t>
          </a:r>
          <a:endParaRPr lang="pt-BR" sz="1200" b="1"/>
        </a:p>
      </xdr:txBody>
    </xdr:sp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9070</xdr:colOff>
      <xdr:row>2</xdr:row>
      <xdr:rowOff>122465</xdr:rowOff>
    </xdr:from>
    <xdr:to>
      <xdr:col>2</xdr:col>
      <xdr:colOff>2124075</xdr:colOff>
      <xdr:row>4</xdr:row>
      <xdr:rowOff>88901</xdr:rowOff>
    </xdr:to>
    <xdr:sp macro="" textlink="">
      <xdr:nvSpPr>
        <xdr:cNvPr id="2" name="Retângulo: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D00-000002000000}"/>
            </a:ext>
          </a:extLst>
        </xdr:cNvPr>
        <xdr:cNvSpPr/>
      </xdr:nvSpPr>
      <xdr:spPr>
        <a:xfrm>
          <a:off x="713920" y="427265"/>
          <a:ext cx="2115005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2</xdr:col>
      <xdr:colOff>6350</xdr:colOff>
      <xdr:row>0</xdr:row>
      <xdr:rowOff>120650</xdr:rowOff>
    </xdr:from>
    <xdr:to>
      <xdr:col>2</xdr:col>
      <xdr:colOff>2119993</xdr:colOff>
      <xdr:row>2</xdr:row>
      <xdr:rowOff>87086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D00-000003000000}"/>
            </a:ext>
          </a:extLst>
        </xdr:cNvPr>
        <xdr:cNvSpPr/>
      </xdr:nvSpPr>
      <xdr:spPr>
        <a:xfrm>
          <a:off x="711200" y="12065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Dados Reg.</a:t>
          </a:r>
        </a:p>
      </xdr:txBody>
    </xdr:sp>
    <xdr:clientData/>
  </xdr:twoCellAnchor>
  <xdr:twoCellAnchor>
    <xdr:from>
      <xdr:col>2</xdr:col>
      <xdr:colOff>2401360</xdr:colOff>
      <xdr:row>3</xdr:row>
      <xdr:rowOff>6495</xdr:rowOff>
    </xdr:from>
    <xdr:to>
      <xdr:col>3</xdr:col>
      <xdr:colOff>1473968</xdr:colOff>
      <xdr:row>4</xdr:row>
      <xdr:rowOff>104659</xdr:rowOff>
    </xdr:to>
    <xdr:sp macro="" textlink="">
      <xdr:nvSpPr>
        <xdr:cNvPr id="6" name="Retângulo: Cantos Arredondado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5D00-000006000000}"/>
            </a:ext>
          </a:extLst>
        </xdr:cNvPr>
        <xdr:cNvSpPr/>
      </xdr:nvSpPr>
      <xdr:spPr>
        <a:xfrm>
          <a:off x="3131610" y="450995"/>
          <a:ext cx="2110025" cy="24633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  <xdr:twoCellAnchor>
    <xdr:from>
      <xdr:col>2</xdr:col>
      <xdr:colOff>2401360</xdr:colOff>
      <xdr:row>0</xdr:row>
      <xdr:rowOff>134408</xdr:rowOff>
    </xdr:from>
    <xdr:to>
      <xdr:col>3</xdr:col>
      <xdr:colOff>1473968</xdr:colOff>
      <xdr:row>2</xdr:row>
      <xdr:rowOff>94494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5D00-000005000000}"/>
            </a:ext>
          </a:extLst>
        </xdr:cNvPr>
        <xdr:cNvSpPr/>
      </xdr:nvSpPr>
      <xdr:spPr>
        <a:xfrm>
          <a:off x="3131610" y="134408"/>
          <a:ext cx="2110025" cy="25641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</a:t>
          </a:r>
          <a:r>
            <a:rPr lang="pt-BR" sz="1200" b="1" baseline="0"/>
            <a:t> to Reg. Data</a:t>
          </a:r>
          <a:endParaRPr lang="pt-BR" sz="1200" b="1"/>
        </a:p>
      </xdr:txBody>
    </xdr:sp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42902</xdr:colOff>
      <xdr:row>1</xdr:row>
      <xdr:rowOff>1815</xdr:rowOff>
    </xdr:from>
    <xdr:to>
      <xdr:col>3</xdr:col>
      <xdr:colOff>184310</xdr:colOff>
      <xdr:row>2</xdr:row>
      <xdr:rowOff>86287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5F00-000004000000}"/>
            </a:ext>
          </a:extLst>
        </xdr:cNvPr>
        <xdr:cNvSpPr/>
      </xdr:nvSpPr>
      <xdr:spPr>
        <a:xfrm>
          <a:off x="1327843" y="188580"/>
          <a:ext cx="2113643" cy="27123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3</xdr:col>
      <xdr:colOff>382254</xdr:colOff>
      <xdr:row>1</xdr:row>
      <xdr:rowOff>1815</xdr:rowOff>
    </xdr:from>
    <xdr:to>
      <xdr:col>5</xdr:col>
      <xdr:colOff>494900</xdr:colOff>
      <xdr:row>2</xdr:row>
      <xdr:rowOff>83112</xdr:rowOff>
    </xdr:to>
    <xdr:sp macro="" textlink="">
      <xdr:nvSpPr>
        <xdr:cNvPr id="2" name="Retângulo: Cantos Arredondado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5F00-000002000000}"/>
            </a:ext>
          </a:extLst>
        </xdr:cNvPr>
        <xdr:cNvSpPr/>
      </xdr:nvSpPr>
      <xdr:spPr>
        <a:xfrm>
          <a:off x="3676783" y="181109"/>
          <a:ext cx="2129705" cy="260591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200025</xdr:colOff>
      <xdr:row>1</xdr:row>
      <xdr:rowOff>85725</xdr:rowOff>
    </xdr:from>
    <xdr:to>
      <xdr:col>2</xdr:col>
      <xdr:colOff>2227383</xdr:colOff>
      <xdr:row>2</xdr:row>
      <xdr:rowOff>170197</xdr:rowOff>
    </xdr:to>
    <xdr:sp macro="" textlink="">
      <xdr:nvSpPr>
        <xdr:cNvPr id="2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000-000002000000}"/>
            </a:ext>
          </a:extLst>
        </xdr:cNvPr>
        <xdr:cNvSpPr/>
      </xdr:nvSpPr>
      <xdr:spPr>
        <a:xfrm>
          <a:off x="873125" y="250825"/>
          <a:ext cx="2027358" cy="243222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32</xdr:col>
      <xdr:colOff>134132</xdr:colOff>
      <xdr:row>7</xdr:row>
      <xdr:rowOff>95286</xdr:rowOff>
    </xdr:from>
    <xdr:to>
      <xdr:col>38</xdr:col>
      <xdr:colOff>288973</xdr:colOff>
      <xdr:row>26</xdr:row>
      <xdr:rowOff>138281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00000000-0008-0000-6000-000003000000}"/>
            </a:ext>
          </a:extLst>
        </xdr:cNvPr>
        <xdr:cNvGrpSpPr/>
      </xdr:nvGrpSpPr>
      <xdr:grpSpPr>
        <a:xfrm>
          <a:off x="21927332" y="1314486"/>
          <a:ext cx="4171670" cy="2993024"/>
          <a:chOff x="4552576" y="1055425"/>
          <a:chExt cx="3345018" cy="3003900"/>
        </a:xfrm>
      </xdr:grpSpPr>
      <xdr:cxnSp macro="">
        <xdr:nvCxnSpPr>
          <xdr:cNvPr id="4" name="Conector reto 3">
            <a:extLst>
              <a:ext uri="{FF2B5EF4-FFF2-40B4-BE49-F238E27FC236}">
                <a16:creationId xmlns:a16="http://schemas.microsoft.com/office/drawing/2014/main" id="{00000000-0008-0000-6000-000004000000}"/>
              </a:ext>
            </a:extLst>
          </xdr:cNvPr>
          <xdr:cNvCxnSpPr/>
        </xdr:nvCxnSpPr>
        <xdr:spPr>
          <a:xfrm>
            <a:off x="4552577" y="3994753"/>
            <a:ext cx="1224000" cy="0"/>
          </a:xfrm>
          <a:prstGeom prst="line">
            <a:avLst/>
          </a:prstGeom>
          <a:noFill/>
          <a:ln w="635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Conector reto 4">
            <a:extLst>
              <a:ext uri="{FF2B5EF4-FFF2-40B4-BE49-F238E27FC236}">
                <a16:creationId xmlns:a16="http://schemas.microsoft.com/office/drawing/2014/main" id="{00000000-0008-0000-6000-000005000000}"/>
              </a:ext>
            </a:extLst>
          </xdr:cNvPr>
          <xdr:cNvCxnSpPr/>
        </xdr:nvCxnSpPr>
        <xdr:spPr>
          <a:xfrm>
            <a:off x="5603335" y="3919298"/>
            <a:ext cx="181060" cy="1729"/>
          </a:xfrm>
          <a:prstGeom prst="line">
            <a:avLst/>
          </a:prstGeom>
          <a:noFill/>
          <a:ln w="6350" cap="flat" cmpd="sng" algn="ctr">
            <a:solidFill>
              <a:srgbClr val="00B0F0"/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Conector reto 5">
            <a:extLst>
              <a:ext uri="{FF2B5EF4-FFF2-40B4-BE49-F238E27FC236}">
                <a16:creationId xmlns:a16="http://schemas.microsoft.com/office/drawing/2014/main" id="{00000000-0008-0000-6000-000006000000}"/>
              </a:ext>
            </a:extLst>
          </xdr:cNvPr>
          <xdr:cNvCxnSpPr>
            <a:cxnSpLocks/>
          </xdr:cNvCxnSpPr>
        </xdr:nvCxnSpPr>
        <xdr:spPr>
          <a:xfrm flipV="1">
            <a:off x="5588927" y="1632062"/>
            <a:ext cx="0" cy="576000"/>
          </a:xfrm>
          <a:prstGeom prst="line">
            <a:avLst/>
          </a:prstGeom>
          <a:ln w="6350">
            <a:solidFill>
              <a:srgbClr val="00206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7" name="Agrupar 6">
            <a:extLst>
              <a:ext uri="{FF2B5EF4-FFF2-40B4-BE49-F238E27FC236}">
                <a16:creationId xmlns:a16="http://schemas.microsoft.com/office/drawing/2014/main" id="{00000000-0008-0000-6000-000007000000}"/>
              </a:ext>
            </a:extLst>
          </xdr:cNvPr>
          <xdr:cNvGrpSpPr/>
        </xdr:nvGrpSpPr>
        <xdr:grpSpPr>
          <a:xfrm>
            <a:off x="4700010" y="1055425"/>
            <a:ext cx="1806540" cy="372800"/>
            <a:chOff x="0" y="0"/>
            <a:chExt cx="1501776" cy="295275"/>
          </a:xfrm>
        </xdr:grpSpPr>
        <xdr:sp macro="" textlink="">
          <xdr:nvSpPr>
            <xdr:cNvPr id="32" name="Freeform 2">
              <a:extLst>
                <a:ext uri="{FF2B5EF4-FFF2-40B4-BE49-F238E27FC236}">
                  <a16:creationId xmlns:a16="http://schemas.microsoft.com/office/drawing/2014/main" id="{00000000-0008-0000-6000-000020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0" y="0"/>
              <a:ext cx="1501776" cy="215900"/>
            </a:xfrm>
            <a:custGeom>
              <a:avLst/>
              <a:gdLst>
                <a:gd name="T0" fmla="*/ 3061 w 4172"/>
                <a:gd name="T1" fmla="*/ 112 h 601"/>
                <a:gd name="T2" fmla="*/ 2823 w 4172"/>
                <a:gd name="T3" fmla="*/ 378 h 601"/>
                <a:gd name="T4" fmla="*/ 2849 w 4172"/>
                <a:gd name="T5" fmla="*/ 241 h 601"/>
                <a:gd name="T6" fmla="*/ 2823 w 4172"/>
                <a:gd name="T7" fmla="*/ 378 h 601"/>
                <a:gd name="T8" fmla="*/ 2487 w 4172"/>
                <a:gd name="T9" fmla="*/ 269 h 601"/>
                <a:gd name="T10" fmla="*/ 2442 w 4172"/>
                <a:gd name="T11" fmla="*/ 246 h 601"/>
                <a:gd name="T12" fmla="*/ 1706 w 4172"/>
                <a:gd name="T13" fmla="*/ 362 h 601"/>
                <a:gd name="T14" fmla="*/ 1752 w 4172"/>
                <a:gd name="T15" fmla="*/ 246 h 601"/>
                <a:gd name="T16" fmla="*/ 1706 w 4172"/>
                <a:gd name="T17" fmla="*/ 269 h 601"/>
                <a:gd name="T18" fmla="*/ 978 w 4172"/>
                <a:gd name="T19" fmla="*/ 269 h 601"/>
                <a:gd name="T20" fmla="*/ 932 w 4172"/>
                <a:gd name="T21" fmla="*/ 246 h 601"/>
                <a:gd name="T22" fmla="*/ 978 w 4172"/>
                <a:gd name="T23" fmla="*/ 407 h 601"/>
                <a:gd name="T24" fmla="*/ 577 w 4172"/>
                <a:gd name="T25" fmla="*/ 246 h 601"/>
                <a:gd name="T26" fmla="*/ 531 w 4172"/>
                <a:gd name="T27" fmla="*/ 269 h 601"/>
                <a:gd name="T28" fmla="*/ 1365 w 4172"/>
                <a:gd name="T29" fmla="*/ 146 h 601"/>
                <a:gd name="T30" fmla="*/ 1558 w 4172"/>
                <a:gd name="T31" fmla="*/ 367 h 601"/>
                <a:gd name="T32" fmla="*/ 1741 w 4172"/>
                <a:gd name="T33" fmla="*/ 141 h 601"/>
                <a:gd name="T34" fmla="*/ 1912 w 4172"/>
                <a:gd name="T35" fmla="*/ 358 h 601"/>
                <a:gd name="T36" fmla="*/ 1940 w 4172"/>
                <a:gd name="T37" fmla="*/ 238 h 601"/>
                <a:gd name="T38" fmla="*/ 2009 w 4172"/>
                <a:gd name="T39" fmla="*/ 20 h 601"/>
                <a:gd name="T40" fmla="*/ 2244 w 4172"/>
                <a:gd name="T41" fmla="*/ 146 h 601"/>
                <a:gd name="T42" fmla="*/ 2162 w 4172"/>
                <a:gd name="T43" fmla="*/ 357 h 601"/>
                <a:gd name="T44" fmla="*/ 2335 w 4172"/>
                <a:gd name="T45" fmla="*/ 170 h 601"/>
                <a:gd name="T46" fmla="*/ 2640 w 4172"/>
                <a:gd name="T47" fmla="*/ 268 h 601"/>
                <a:gd name="T48" fmla="*/ 2669 w 4172"/>
                <a:gd name="T49" fmla="*/ 146 h 601"/>
                <a:gd name="T50" fmla="*/ 2860 w 4172"/>
                <a:gd name="T51" fmla="*/ 149 h 601"/>
                <a:gd name="T52" fmla="*/ 3028 w 4172"/>
                <a:gd name="T53" fmla="*/ 230 h 601"/>
                <a:gd name="T54" fmla="*/ 3061 w 4172"/>
                <a:gd name="T55" fmla="*/ 146 h 601"/>
                <a:gd name="T56" fmla="*/ 3361 w 4172"/>
                <a:gd name="T57" fmla="*/ 425 h 601"/>
                <a:gd name="T58" fmla="*/ 3444 w 4172"/>
                <a:gd name="T59" fmla="*/ 246 h 601"/>
                <a:gd name="T60" fmla="*/ 3398 w 4172"/>
                <a:gd name="T61" fmla="*/ 269 h 601"/>
                <a:gd name="T62" fmla="*/ 3250 w 4172"/>
                <a:gd name="T63" fmla="*/ 268 h 601"/>
                <a:gd name="T64" fmla="*/ 3555 w 4172"/>
                <a:gd name="T65" fmla="*/ 169 h 601"/>
                <a:gd name="T66" fmla="*/ 3611 w 4172"/>
                <a:gd name="T67" fmla="*/ 459 h 601"/>
                <a:gd name="T68" fmla="*/ 3794 w 4172"/>
                <a:gd name="T69" fmla="*/ 0 h 601"/>
                <a:gd name="T70" fmla="*/ 3357 w 4172"/>
                <a:gd name="T71" fmla="*/ 459 h 601"/>
                <a:gd name="T72" fmla="*/ 0 w 4172"/>
                <a:gd name="T73" fmla="*/ 600 h 601"/>
                <a:gd name="T74" fmla="*/ 429 w 4172"/>
                <a:gd name="T75" fmla="*/ 170 h 601"/>
                <a:gd name="T76" fmla="*/ 736 w 4172"/>
                <a:gd name="T77" fmla="*/ 268 h 601"/>
                <a:gd name="T78" fmla="*/ 772 w 4172"/>
                <a:gd name="T79" fmla="*/ 274 h 601"/>
                <a:gd name="T80" fmla="*/ 1079 w 4172"/>
                <a:gd name="T81" fmla="*/ 175 h 601"/>
                <a:gd name="T82" fmla="*/ 1158 w 4172"/>
                <a:gd name="T83" fmla="*/ 391 h 601"/>
                <a:gd name="T84" fmla="*/ 1311 w 4172"/>
                <a:gd name="T85" fmla="*/ 380 h 60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</a:cxnLst>
              <a:rect l="0" t="0" r="r" b="b"/>
              <a:pathLst>
                <a:path w="4172" h="601">
                  <a:moveTo>
                    <a:pt x="3214" y="0"/>
                  </a:moveTo>
                  <a:lnTo>
                    <a:pt x="3214" y="112"/>
                  </a:lnTo>
                  <a:lnTo>
                    <a:pt x="3061" y="112"/>
                  </a:lnTo>
                  <a:lnTo>
                    <a:pt x="3061" y="0"/>
                  </a:lnTo>
                  <a:lnTo>
                    <a:pt x="3214" y="0"/>
                  </a:lnTo>
                  <a:close/>
                  <a:moveTo>
                    <a:pt x="2823" y="378"/>
                  </a:moveTo>
                  <a:cubicBezTo>
                    <a:pt x="2840" y="379"/>
                    <a:pt x="2858" y="380"/>
                    <a:pt x="2875" y="381"/>
                  </a:cubicBezTo>
                  <a:lnTo>
                    <a:pt x="2875" y="269"/>
                  </a:lnTo>
                  <a:cubicBezTo>
                    <a:pt x="2875" y="250"/>
                    <a:pt x="2867" y="241"/>
                    <a:pt x="2849" y="241"/>
                  </a:cubicBezTo>
                  <a:cubicBezTo>
                    <a:pt x="2840" y="241"/>
                    <a:pt x="2833" y="243"/>
                    <a:pt x="2829" y="247"/>
                  </a:cubicBezTo>
                  <a:cubicBezTo>
                    <a:pt x="2825" y="251"/>
                    <a:pt x="2823" y="258"/>
                    <a:pt x="2823" y="268"/>
                  </a:cubicBezTo>
                  <a:lnTo>
                    <a:pt x="2823" y="378"/>
                  </a:lnTo>
                  <a:close/>
                  <a:moveTo>
                    <a:pt x="2434" y="361"/>
                  </a:moveTo>
                  <a:cubicBezTo>
                    <a:pt x="2451" y="362"/>
                    <a:pt x="2469" y="362"/>
                    <a:pt x="2487" y="363"/>
                  </a:cubicBezTo>
                  <a:lnTo>
                    <a:pt x="2487" y="269"/>
                  </a:lnTo>
                  <a:cubicBezTo>
                    <a:pt x="2487" y="259"/>
                    <a:pt x="2485" y="251"/>
                    <a:pt x="2480" y="246"/>
                  </a:cubicBezTo>
                  <a:cubicBezTo>
                    <a:pt x="2476" y="241"/>
                    <a:pt x="2469" y="238"/>
                    <a:pt x="2460" y="238"/>
                  </a:cubicBezTo>
                  <a:cubicBezTo>
                    <a:pt x="2453" y="238"/>
                    <a:pt x="2447" y="241"/>
                    <a:pt x="2442" y="246"/>
                  </a:cubicBezTo>
                  <a:cubicBezTo>
                    <a:pt x="2437" y="251"/>
                    <a:pt x="2434" y="259"/>
                    <a:pt x="2434" y="269"/>
                  </a:cubicBezTo>
                  <a:lnTo>
                    <a:pt x="2434" y="361"/>
                  </a:lnTo>
                  <a:close/>
                  <a:moveTo>
                    <a:pt x="1706" y="362"/>
                  </a:moveTo>
                  <a:cubicBezTo>
                    <a:pt x="1723" y="361"/>
                    <a:pt x="1741" y="361"/>
                    <a:pt x="1759" y="361"/>
                  </a:cubicBezTo>
                  <a:lnTo>
                    <a:pt x="1759" y="269"/>
                  </a:lnTo>
                  <a:cubicBezTo>
                    <a:pt x="1759" y="259"/>
                    <a:pt x="1756" y="251"/>
                    <a:pt x="1752" y="246"/>
                  </a:cubicBezTo>
                  <a:cubicBezTo>
                    <a:pt x="1747" y="241"/>
                    <a:pt x="1741" y="238"/>
                    <a:pt x="1732" y="238"/>
                  </a:cubicBezTo>
                  <a:cubicBezTo>
                    <a:pt x="1725" y="238"/>
                    <a:pt x="1718" y="241"/>
                    <a:pt x="1713" y="246"/>
                  </a:cubicBezTo>
                  <a:cubicBezTo>
                    <a:pt x="1708" y="251"/>
                    <a:pt x="1706" y="259"/>
                    <a:pt x="1706" y="269"/>
                  </a:cubicBezTo>
                  <a:lnTo>
                    <a:pt x="1706" y="362"/>
                  </a:lnTo>
                  <a:close/>
                  <a:moveTo>
                    <a:pt x="978" y="407"/>
                  </a:moveTo>
                  <a:lnTo>
                    <a:pt x="978" y="269"/>
                  </a:lnTo>
                  <a:cubicBezTo>
                    <a:pt x="978" y="259"/>
                    <a:pt x="975" y="251"/>
                    <a:pt x="971" y="246"/>
                  </a:cubicBezTo>
                  <a:cubicBezTo>
                    <a:pt x="967" y="241"/>
                    <a:pt x="960" y="238"/>
                    <a:pt x="951" y="238"/>
                  </a:cubicBezTo>
                  <a:cubicBezTo>
                    <a:pt x="944" y="238"/>
                    <a:pt x="937" y="241"/>
                    <a:pt x="932" y="246"/>
                  </a:cubicBezTo>
                  <a:cubicBezTo>
                    <a:pt x="927" y="251"/>
                    <a:pt x="925" y="259"/>
                    <a:pt x="925" y="269"/>
                  </a:cubicBezTo>
                  <a:lnTo>
                    <a:pt x="925" y="412"/>
                  </a:lnTo>
                  <a:cubicBezTo>
                    <a:pt x="942" y="410"/>
                    <a:pt x="960" y="408"/>
                    <a:pt x="978" y="407"/>
                  </a:cubicBezTo>
                  <a:close/>
                  <a:moveTo>
                    <a:pt x="583" y="412"/>
                  </a:moveTo>
                  <a:lnTo>
                    <a:pt x="583" y="269"/>
                  </a:lnTo>
                  <a:cubicBezTo>
                    <a:pt x="583" y="259"/>
                    <a:pt x="581" y="251"/>
                    <a:pt x="577" y="246"/>
                  </a:cubicBezTo>
                  <a:cubicBezTo>
                    <a:pt x="572" y="241"/>
                    <a:pt x="566" y="238"/>
                    <a:pt x="557" y="238"/>
                  </a:cubicBezTo>
                  <a:cubicBezTo>
                    <a:pt x="550" y="238"/>
                    <a:pt x="543" y="241"/>
                    <a:pt x="538" y="246"/>
                  </a:cubicBezTo>
                  <a:cubicBezTo>
                    <a:pt x="533" y="251"/>
                    <a:pt x="531" y="259"/>
                    <a:pt x="531" y="269"/>
                  </a:cubicBezTo>
                  <a:lnTo>
                    <a:pt x="531" y="412"/>
                  </a:lnTo>
                  <a:lnTo>
                    <a:pt x="583" y="412"/>
                  </a:lnTo>
                  <a:close/>
                  <a:moveTo>
                    <a:pt x="1365" y="146"/>
                  </a:moveTo>
                  <a:lnTo>
                    <a:pt x="1517" y="146"/>
                  </a:lnTo>
                  <a:lnTo>
                    <a:pt x="1517" y="369"/>
                  </a:lnTo>
                  <a:cubicBezTo>
                    <a:pt x="1531" y="368"/>
                    <a:pt x="1544" y="368"/>
                    <a:pt x="1558" y="367"/>
                  </a:cubicBezTo>
                  <a:lnTo>
                    <a:pt x="1558" y="268"/>
                  </a:lnTo>
                  <a:cubicBezTo>
                    <a:pt x="1558" y="222"/>
                    <a:pt x="1576" y="188"/>
                    <a:pt x="1614" y="167"/>
                  </a:cubicBezTo>
                  <a:cubicBezTo>
                    <a:pt x="1644" y="150"/>
                    <a:pt x="1687" y="141"/>
                    <a:pt x="1741" y="141"/>
                  </a:cubicBezTo>
                  <a:cubicBezTo>
                    <a:pt x="1795" y="141"/>
                    <a:pt x="1836" y="151"/>
                    <a:pt x="1863" y="169"/>
                  </a:cubicBezTo>
                  <a:cubicBezTo>
                    <a:pt x="1895" y="190"/>
                    <a:pt x="1912" y="225"/>
                    <a:pt x="1912" y="274"/>
                  </a:cubicBezTo>
                  <a:lnTo>
                    <a:pt x="1912" y="358"/>
                  </a:lnTo>
                  <a:cubicBezTo>
                    <a:pt x="1944" y="357"/>
                    <a:pt x="1976" y="357"/>
                    <a:pt x="2009" y="357"/>
                  </a:cubicBezTo>
                  <a:lnTo>
                    <a:pt x="2009" y="238"/>
                  </a:lnTo>
                  <a:lnTo>
                    <a:pt x="1940" y="238"/>
                  </a:lnTo>
                  <a:lnTo>
                    <a:pt x="1940" y="146"/>
                  </a:lnTo>
                  <a:lnTo>
                    <a:pt x="2009" y="146"/>
                  </a:lnTo>
                  <a:lnTo>
                    <a:pt x="2009" y="20"/>
                  </a:lnTo>
                  <a:lnTo>
                    <a:pt x="2162" y="20"/>
                  </a:lnTo>
                  <a:lnTo>
                    <a:pt x="2162" y="146"/>
                  </a:lnTo>
                  <a:lnTo>
                    <a:pt x="2244" y="146"/>
                  </a:lnTo>
                  <a:lnTo>
                    <a:pt x="2244" y="238"/>
                  </a:lnTo>
                  <a:lnTo>
                    <a:pt x="2162" y="238"/>
                  </a:lnTo>
                  <a:lnTo>
                    <a:pt x="2162" y="357"/>
                  </a:lnTo>
                  <a:cubicBezTo>
                    <a:pt x="2202" y="357"/>
                    <a:pt x="2242" y="357"/>
                    <a:pt x="2281" y="358"/>
                  </a:cubicBezTo>
                  <a:lnTo>
                    <a:pt x="2281" y="274"/>
                  </a:lnTo>
                  <a:cubicBezTo>
                    <a:pt x="2281" y="227"/>
                    <a:pt x="2299" y="192"/>
                    <a:pt x="2335" y="170"/>
                  </a:cubicBezTo>
                  <a:cubicBezTo>
                    <a:pt x="2366" y="151"/>
                    <a:pt x="2408" y="141"/>
                    <a:pt x="2463" y="141"/>
                  </a:cubicBezTo>
                  <a:cubicBezTo>
                    <a:pt x="2513" y="141"/>
                    <a:pt x="2554" y="153"/>
                    <a:pt x="2588" y="175"/>
                  </a:cubicBezTo>
                  <a:cubicBezTo>
                    <a:pt x="2623" y="196"/>
                    <a:pt x="2640" y="227"/>
                    <a:pt x="2640" y="268"/>
                  </a:cubicBezTo>
                  <a:lnTo>
                    <a:pt x="2640" y="368"/>
                  </a:lnTo>
                  <a:cubicBezTo>
                    <a:pt x="2650" y="369"/>
                    <a:pt x="2660" y="369"/>
                    <a:pt x="2669" y="370"/>
                  </a:cubicBezTo>
                  <a:lnTo>
                    <a:pt x="2669" y="146"/>
                  </a:lnTo>
                  <a:lnTo>
                    <a:pt x="2823" y="146"/>
                  </a:lnTo>
                  <a:lnTo>
                    <a:pt x="2823" y="167"/>
                  </a:lnTo>
                  <a:cubicBezTo>
                    <a:pt x="2831" y="160"/>
                    <a:pt x="2844" y="153"/>
                    <a:pt x="2860" y="149"/>
                  </a:cubicBezTo>
                  <a:cubicBezTo>
                    <a:pt x="2877" y="144"/>
                    <a:pt x="2896" y="141"/>
                    <a:pt x="2918" y="141"/>
                  </a:cubicBezTo>
                  <a:cubicBezTo>
                    <a:pt x="2950" y="141"/>
                    <a:pt x="2976" y="150"/>
                    <a:pt x="2997" y="168"/>
                  </a:cubicBezTo>
                  <a:cubicBezTo>
                    <a:pt x="3018" y="185"/>
                    <a:pt x="3028" y="206"/>
                    <a:pt x="3028" y="230"/>
                  </a:cubicBezTo>
                  <a:lnTo>
                    <a:pt x="3028" y="392"/>
                  </a:lnTo>
                  <a:cubicBezTo>
                    <a:pt x="3039" y="393"/>
                    <a:pt x="3050" y="394"/>
                    <a:pt x="3061" y="395"/>
                  </a:cubicBezTo>
                  <a:lnTo>
                    <a:pt x="3061" y="146"/>
                  </a:lnTo>
                  <a:lnTo>
                    <a:pt x="3214" y="146"/>
                  </a:lnTo>
                  <a:lnTo>
                    <a:pt x="3214" y="409"/>
                  </a:lnTo>
                  <a:cubicBezTo>
                    <a:pt x="3264" y="414"/>
                    <a:pt x="3313" y="419"/>
                    <a:pt x="3361" y="425"/>
                  </a:cubicBezTo>
                  <a:cubicBezTo>
                    <a:pt x="3420" y="395"/>
                    <a:pt x="3450" y="374"/>
                    <a:pt x="3450" y="361"/>
                  </a:cubicBezTo>
                  <a:lnTo>
                    <a:pt x="3450" y="269"/>
                  </a:lnTo>
                  <a:cubicBezTo>
                    <a:pt x="3450" y="259"/>
                    <a:pt x="3448" y="251"/>
                    <a:pt x="3444" y="246"/>
                  </a:cubicBezTo>
                  <a:cubicBezTo>
                    <a:pt x="3440" y="241"/>
                    <a:pt x="3433" y="238"/>
                    <a:pt x="3424" y="238"/>
                  </a:cubicBezTo>
                  <a:cubicBezTo>
                    <a:pt x="3417" y="238"/>
                    <a:pt x="3410" y="241"/>
                    <a:pt x="3405" y="246"/>
                  </a:cubicBezTo>
                  <a:cubicBezTo>
                    <a:pt x="3400" y="251"/>
                    <a:pt x="3398" y="259"/>
                    <a:pt x="3398" y="269"/>
                  </a:cubicBezTo>
                  <a:lnTo>
                    <a:pt x="3398" y="392"/>
                  </a:lnTo>
                  <a:lnTo>
                    <a:pt x="3250" y="392"/>
                  </a:lnTo>
                  <a:lnTo>
                    <a:pt x="3250" y="268"/>
                  </a:lnTo>
                  <a:cubicBezTo>
                    <a:pt x="3250" y="222"/>
                    <a:pt x="3269" y="188"/>
                    <a:pt x="3306" y="167"/>
                  </a:cubicBezTo>
                  <a:cubicBezTo>
                    <a:pt x="3336" y="150"/>
                    <a:pt x="3378" y="141"/>
                    <a:pt x="3433" y="141"/>
                  </a:cubicBezTo>
                  <a:cubicBezTo>
                    <a:pt x="3487" y="141"/>
                    <a:pt x="3527" y="151"/>
                    <a:pt x="3555" y="169"/>
                  </a:cubicBezTo>
                  <a:cubicBezTo>
                    <a:pt x="3587" y="190"/>
                    <a:pt x="3603" y="225"/>
                    <a:pt x="3603" y="274"/>
                  </a:cubicBezTo>
                  <a:lnTo>
                    <a:pt x="3603" y="458"/>
                  </a:lnTo>
                  <a:cubicBezTo>
                    <a:pt x="3606" y="458"/>
                    <a:pt x="3608" y="458"/>
                    <a:pt x="3611" y="459"/>
                  </a:cubicBezTo>
                  <a:cubicBezTo>
                    <a:pt x="3621" y="461"/>
                    <a:pt x="3631" y="462"/>
                    <a:pt x="3641" y="464"/>
                  </a:cubicBezTo>
                  <a:lnTo>
                    <a:pt x="3641" y="0"/>
                  </a:lnTo>
                  <a:lnTo>
                    <a:pt x="3794" y="0"/>
                  </a:lnTo>
                  <a:lnTo>
                    <a:pt x="3794" y="492"/>
                  </a:lnTo>
                  <a:cubicBezTo>
                    <a:pt x="3952" y="524"/>
                    <a:pt x="4080" y="560"/>
                    <a:pt x="4171" y="600"/>
                  </a:cubicBezTo>
                  <a:cubicBezTo>
                    <a:pt x="3967" y="542"/>
                    <a:pt x="3688" y="494"/>
                    <a:pt x="3357" y="459"/>
                  </a:cubicBezTo>
                  <a:cubicBezTo>
                    <a:pt x="2986" y="420"/>
                    <a:pt x="2551" y="397"/>
                    <a:pt x="2087" y="397"/>
                  </a:cubicBezTo>
                  <a:cubicBezTo>
                    <a:pt x="1621" y="397"/>
                    <a:pt x="1185" y="420"/>
                    <a:pt x="814" y="459"/>
                  </a:cubicBezTo>
                  <a:cubicBezTo>
                    <a:pt x="484" y="494"/>
                    <a:pt x="205" y="542"/>
                    <a:pt x="0" y="600"/>
                  </a:cubicBezTo>
                  <a:cubicBezTo>
                    <a:pt x="91" y="560"/>
                    <a:pt x="219" y="524"/>
                    <a:pt x="378" y="492"/>
                  </a:cubicBezTo>
                  <a:lnTo>
                    <a:pt x="378" y="274"/>
                  </a:lnTo>
                  <a:cubicBezTo>
                    <a:pt x="378" y="227"/>
                    <a:pt x="395" y="192"/>
                    <a:pt x="429" y="170"/>
                  </a:cubicBezTo>
                  <a:cubicBezTo>
                    <a:pt x="459" y="151"/>
                    <a:pt x="502" y="141"/>
                    <a:pt x="556" y="141"/>
                  </a:cubicBezTo>
                  <a:cubicBezTo>
                    <a:pt x="610" y="141"/>
                    <a:pt x="651" y="150"/>
                    <a:pt x="681" y="167"/>
                  </a:cubicBezTo>
                  <a:cubicBezTo>
                    <a:pt x="718" y="187"/>
                    <a:pt x="736" y="221"/>
                    <a:pt x="736" y="268"/>
                  </a:cubicBezTo>
                  <a:lnTo>
                    <a:pt x="736" y="434"/>
                  </a:lnTo>
                  <a:cubicBezTo>
                    <a:pt x="748" y="432"/>
                    <a:pt x="760" y="431"/>
                    <a:pt x="772" y="429"/>
                  </a:cubicBezTo>
                  <a:lnTo>
                    <a:pt x="772" y="274"/>
                  </a:lnTo>
                  <a:cubicBezTo>
                    <a:pt x="772" y="227"/>
                    <a:pt x="789" y="192"/>
                    <a:pt x="825" y="170"/>
                  </a:cubicBezTo>
                  <a:cubicBezTo>
                    <a:pt x="856" y="151"/>
                    <a:pt x="899" y="141"/>
                    <a:pt x="953" y="141"/>
                  </a:cubicBezTo>
                  <a:cubicBezTo>
                    <a:pt x="1003" y="141"/>
                    <a:pt x="1045" y="153"/>
                    <a:pt x="1079" y="175"/>
                  </a:cubicBezTo>
                  <a:cubicBezTo>
                    <a:pt x="1113" y="196"/>
                    <a:pt x="1131" y="227"/>
                    <a:pt x="1131" y="268"/>
                  </a:cubicBezTo>
                  <a:lnTo>
                    <a:pt x="1131" y="393"/>
                  </a:lnTo>
                  <a:cubicBezTo>
                    <a:pt x="1140" y="392"/>
                    <a:pt x="1149" y="391"/>
                    <a:pt x="1158" y="391"/>
                  </a:cubicBezTo>
                  <a:lnTo>
                    <a:pt x="1158" y="146"/>
                  </a:lnTo>
                  <a:lnTo>
                    <a:pt x="1311" y="146"/>
                  </a:lnTo>
                  <a:lnTo>
                    <a:pt x="1311" y="380"/>
                  </a:lnTo>
                  <a:cubicBezTo>
                    <a:pt x="1329" y="379"/>
                    <a:pt x="1347" y="378"/>
                    <a:pt x="1365" y="377"/>
                  </a:cubicBezTo>
                  <a:lnTo>
                    <a:pt x="1365" y="146"/>
                  </a:lnTo>
                  <a:close/>
                </a:path>
              </a:pathLst>
            </a:custGeom>
            <a:solidFill>
              <a:srgbClr val="293577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 cap="flat">
                  <a:solidFill>
                    <a:srgbClr val="808080"/>
                  </a:solidFill>
                  <a:bevel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 sz="762"/>
            </a:p>
          </xdr:txBody>
        </xdr:sp>
        <xdr:sp macro="" textlink="">
          <xdr:nvSpPr>
            <xdr:cNvPr id="33" name="Freeform 3">
              <a:extLst>
                <a:ext uri="{FF2B5EF4-FFF2-40B4-BE49-F238E27FC236}">
                  <a16:creationId xmlns:a16="http://schemas.microsoft.com/office/drawing/2014/main" id="{00000000-0008-0000-6000-000021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4938" y="180975"/>
              <a:ext cx="128587" cy="98425"/>
            </a:xfrm>
            <a:custGeom>
              <a:avLst/>
              <a:gdLst>
                <a:gd name="T0" fmla="*/ 303 w 359"/>
                <a:gd name="T1" fmla="*/ 248 h 274"/>
                <a:gd name="T2" fmla="*/ 178 w 359"/>
                <a:gd name="T3" fmla="*/ 273 h 274"/>
                <a:gd name="T4" fmla="*/ 52 w 359"/>
                <a:gd name="T5" fmla="*/ 246 h 274"/>
                <a:gd name="T6" fmla="*/ 0 w 359"/>
                <a:gd name="T7" fmla="*/ 141 h 274"/>
                <a:gd name="T8" fmla="*/ 0 w 359"/>
                <a:gd name="T9" fmla="*/ 24 h 274"/>
                <a:gd name="T10" fmla="*/ 153 w 359"/>
                <a:gd name="T11" fmla="*/ 0 h 274"/>
                <a:gd name="T12" fmla="*/ 153 w 359"/>
                <a:gd name="T13" fmla="*/ 145 h 274"/>
                <a:gd name="T14" fmla="*/ 159 w 359"/>
                <a:gd name="T15" fmla="*/ 170 h 274"/>
                <a:gd name="T16" fmla="*/ 179 w 359"/>
                <a:gd name="T17" fmla="*/ 178 h 274"/>
                <a:gd name="T18" fmla="*/ 199 w 359"/>
                <a:gd name="T19" fmla="*/ 170 h 274"/>
                <a:gd name="T20" fmla="*/ 205 w 359"/>
                <a:gd name="T21" fmla="*/ 145 h 274"/>
                <a:gd name="T22" fmla="*/ 205 w 359"/>
                <a:gd name="T23" fmla="*/ 20 h 274"/>
                <a:gd name="T24" fmla="*/ 358 w 359"/>
                <a:gd name="T25" fmla="*/ 20 h 274"/>
                <a:gd name="T26" fmla="*/ 358 w 359"/>
                <a:gd name="T27" fmla="*/ 147 h 274"/>
                <a:gd name="T28" fmla="*/ 303 w 359"/>
                <a:gd name="T29" fmla="*/ 248 h 27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</a:cxnLst>
              <a:rect l="0" t="0" r="r" b="b"/>
              <a:pathLst>
                <a:path w="359" h="274">
                  <a:moveTo>
                    <a:pt x="303" y="248"/>
                  </a:moveTo>
                  <a:cubicBezTo>
                    <a:pt x="274" y="265"/>
                    <a:pt x="232" y="273"/>
                    <a:pt x="178" y="273"/>
                  </a:cubicBezTo>
                  <a:cubicBezTo>
                    <a:pt x="124" y="273"/>
                    <a:pt x="82" y="264"/>
                    <a:pt x="52" y="246"/>
                  </a:cubicBezTo>
                  <a:cubicBezTo>
                    <a:pt x="17" y="224"/>
                    <a:pt x="0" y="189"/>
                    <a:pt x="0" y="141"/>
                  </a:cubicBezTo>
                  <a:lnTo>
                    <a:pt x="0" y="24"/>
                  </a:lnTo>
                  <a:cubicBezTo>
                    <a:pt x="48" y="16"/>
                    <a:pt x="153" y="0"/>
                    <a:pt x="153" y="0"/>
                  </a:cubicBezTo>
                  <a:lnTo>
                    <a:pt x="153" y="145"/>
                  </a:lnTo>
                  <a:cubicBezTo>
                    <a:pt x="153" y="155"/>
                    <a:pt x="155" y="164"/>
                    <a:pt x="159" y="170"/>
                  </a:cubicBezTo>
                  <a:cubicBezTo>
                    <a:pt x="163" y="175"/>
                    <a:pt x="170" y="178"/>
                    <a:pt x="179" y="178"/>
                  </a:cubicBezTo>
                  <a:cubicBezTo>
                    <a:pt x="188" y="178"/>
                    <a:pt x="194" y="175"/>
                    <a:pt x="199" y="170"/>
                  </a:cubicBezTo>
                  <a:cubicBezTo>
                    <a:pt x="203" y="164"/>
                    <a:pt x="205" y="155"/>
                    <a:pt x="205" y="145"/>
                  </a:cubicBezTo>
                  <a:lnTo>
                    <a:pt x="205" y="20"/>
                  </a:lnTo>
                  <a:lnTo>
                    <a:pt x="358" y="20"/>
                  </a:lnTo>
                  <a:lnTo>
                    <a:pt x="358" y="147"/>
                  </a:lnTo>
                  <a:cubicBezTo>
                    <a:pt x="358" y="193"/>
                    <a:pt x="340" y="226"/>
                    <a:pt x="303" y="248"/>
                  </a:cubicBezTo>
                </a:path>
              </a:pathLst>
            </a:custGeom>
            <a:solidFill>
              <a:srgbClr val="6869A3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 cap="flat">
                  <a:solidFill>
                    <a:srgbClr val="808080"/>
                  </a:solidFill>
                  <a:bevel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 sz="762"/>
            </a:p>
          </xdr:txBody>
        </xdr:sp>
        <xdr:sp macro="" textlink="">
          <xdr:nvSpPr>
            <xdr:cNvPr id="34" name="Freeform 4">
              <a:extLst>
                <a:ext uri="{FF2B5EF4-FFF2-40B4-BE49-F238E27FC236}">
                  <a16:creationId xmlns:a16="http://schemas.microsoft.com/office/drawing/2014/main" id="{00000000-0008-0000-6000-000022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22313" y="149225"/>
              <a:ext cx="87312" cy="127000"/>
            </a:xfrm>
            <a:custGeom>
              <a:avLst/>
              <a:gdLst>
                <a:gd name="T0" fmla="*/ 241 w 242"/>
                <a:gd name="T1" fmla="*/ 353 h 354"/>
                <a:gd name="T2" fmla="*/ 144 w 242"/>
                <a:gd name="T3" fmla="*/ 353 h 354"/>
                <a:gd name="T4" fmla="*/ 22 w 242"/>
                <a:gd name="T5" fmla="*/ 327 h 354"/>
                <a:gd name="T6" fmla="*/ 0 w 242"/>
                <a:gd name="T7" fmla="*/ 203 h 354"/>
                <a:gd name="T8" fmla="*/ 0 w 242"/>
                <a:gd name="T9" fmla="*/ 0 h 354"/>
                <a:gd name="T10" fmla="*/ 79 w 242"/>
                <a:gd name="T11" fmla="*/ 0 h 354"/>
                <a:gd name="T12" fmla="*/ 153 w 242"/>
                <a:gd name="T13" fmla="*/ 0 h 354"/>
                <a:gd name="T14" fmla="*/ 153 w 242"/>
                <a:gd name="T15" fmla="*/ 201 h 354"/>
                <a:gd name="T16" fmla="*/ 171 w 242"/>
                <a:gd name="T17" fmla="*/ 240 h 354"/>
                <a:gd name="T18" fmla="*/ 212 w 242"/>
                <a:gd name="T19" fmla="*/ 248 h 354"/>
                <a:gd name="T20" fmla="*/ 241 w 242"/>
                <a:gd name="T21" fmla="*/ 248 h 354"/>
                <a:gd name="T22" fmla="*/ 241 w 242"/>
                <a:gd name="T23" fmla="*/ 353 h 35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</a:cxnLst>
              <a:rect l="0" t="0" r="r" b="b"/>
              <a:pathLst>
                <a:path w="242" h="354">
                  <a:moveTo>
                    <a:pt x="241" y="353"/>
                  </a:moveTo>
                  <a:lnTo>
                    <a:pt x="144" y="353"/>
                  </a:lnTo>
                  <a:cubicBezTo>
                    <a:pt x="77" y="353"/>
                    <a:pt x="37" y="344"/>
                    <a:pt x="22" y="327"/>
                  </a:cubicBezTo>
                  <a:cubicBezTo>
                    <a:pt x="7" y="308"/>
                    <a:pt x="0" y="267"/>
                    <a:pt x="0" y="203"/>
                  </a:cubicBezTo>
                  <a:lnTo>
                    <a:pt x="0" y="0"/>
                  </a:lnTo>
                  <a:lnTo>
                    <a:pt x="79" y="0"/>
                  </a:lnTo>
                  <a:lnTo>
                    <a:pt x="153" y="0"/>
                  </a:lnTo>
                  <a:lnTo>
                    <a:pt x="153" y="201"/>
                  </a:lnTo>
                  <a:cubicBezTo>
                    <a:pt x="153" y="220"/>
                    <a:pt x="159" y="232"/>
                    <a:pt x="171" y="240"/>
                  </a:cubicBezTo>
                  <a:cubicBezTo>
                    <a:pt x="180" y="245"/>
                    <a:pt x="194" y="248"/>
                    <a:pt x="212" y="248"/>
                  </a:cubicBezTo>
                  <a:lnTo>
                    <a:pt x="241" y="248"/>
                  </a:lnTo>
                  <a:lnTo>
                    <a:pt x="241" y="353"/>
                  </a:lnTo>
                </a:path>
              </a:pathLst>
            </a:custGeom>
            <a:solidFill>
              <a:srgbClr val="6869A3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 cap="flat">
                  <a:solidFill>
                    <a:srgbClr val="808080"/>
                  </a:solidFill>
                  <a:bevel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 sz="762"/>
            </a:p>
          </xdr:txBody>
        </xdr:sp>
        <xdr:sp macro="" textlink="">
          <xdr:nvSpPr>
            <xdr:cNvPr id="35" name="Freeform 5">
              <a:extLst>
                <a:ext uri="{FF2B5EF4-FFF2-40B4-BE49-F238E27FC236}">
                  <a16:creationId xmlns:a16="http://schemas.microsoft.com/office/drawing/2014/main" id="{00000000-0008-0000-6000-000023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09688" y="182563"/>
              <a:ext cx="55562" cy="95250"/>
            </a:xfrm>
            <a:custGeom>
              <a:avLst/>
              <a:gdLst>
                <a:gd name="T0" fmla="*/ 153 w 154"/>
                <a:gd name="T1" fmla="*/ 263 h 264"/>
                <a:gd name="T2" fmla="*/ 0 w 154"/>
                <a:gd name="T3" fmla="*/ 263 h 264"/>
                <a:gd name="T4" fmla="*/ 0 w 154"/>
                <a:gd name="T5" fmla="*/ 0 h 264"/>
                <a:gd name="T6" fmla="*/ 153 w 154"/>
                <a:gd name="T7" fmla="*/ 23 h 264"/>
                <a:gd name="T8" fmla="*/ 153 w 154"/>
                <a:gd name="T9" fmla="*/ 263 h 26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154" h="264">
                  <a:moveTo>
                    <a:pt x="153" y="263"/>
                  </a:moveTo>
                  <a:lnTo>
                    <a:pt x="0" y="263"/>
                  </a:lnTo>
                  <a:lnTo>
                    <a:pt x="0" y="0"/>
                  </a:lnTo>
                  <a:cubicBezTo>
                    <a:pt x="53" y="7"/>
                    <a:pt x="104" y="15"/>
                    <a:pt x="153" y="23"/>
                  </a:cubicBezTo>
                  <a:lnTo>
                    <a:pt x="153" y="263"/>
                  </a:lnTo>
                </a:path>
              </a:pathLst>
            </a:custGeom>
            <a:solidFill>
              <a:srgbClr val="6869A3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 cap="flat">
                  <a:solidFill>
                    <a:srgbClr val="808080"/>
                  </a:solidFill>
                  <a:bevel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 sz="762"/>
            </a:p>
          </xdr:txBody>
        </xdr:sp>
        <xdr:sp macro="" textlink="">
          <xdr:nvSpPr>
            <xdr:cNvPr id="36" name="Freeform 6">
              <a:extLst>
                <a:ext uri="{FF2B5EF4-FFF2-40B4-BE49-F238E27FC236}">
                  <a16:creationId xmlns:a16="http://schemas.microsoft.com/office/drawing/2014/main" id="{00000000-0008-0000-6000-000024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415925" y="152400"/>
              <a:ext cx="130175" cy="127000"/>
            </a:xfrm>
            <a:custGeom>
              <a:avLst/>
              <a:gdLst>
                <a:gd name="T0" fmla="*/ 207 w 360"/>
                <a:gd name="T1" fmla="*/ 343 h 353"/>
                <a:gd name="T2" fmla="*/ 207 w 360"/>
                <a:gd name="T3" fmla="*/ 322 h 353"/>
                <a:gd name="T4" fmla="*/ 169 w 360"/>
                <a:gd name="T5" fmla="*/ 343 h 353"/>
                <a:gd name="T6" fmla="*/ 112 w 360"/>
                <a:gd name="T7" fmla="*/ 352 h 353"/>
                <a:gd name="T8" fmla="*/ 31 w 360"/>
                <a:gd name="T9" fmla="*/ 327 h 353"/>
                <a:gd name="T10" fmla="*/ 0 w 360"/>
                <a:gd name="T11" fmla="*/ 265 h 353"/>
                <a:gd name="T12" fmla="*/ 0 w 360"/>
                <a:gd name="T13" fmla="*/ 19 h 353"/>
                <a:gd name="T14" fmla="*/ 153 w 360"/>
                <a:gd name="T15" fmla="*/ 10 h 353"/>
                <a:gd name="T16" fmla="*/ 153 w 360"/>
                <a:gd name="T17" fmla="*/ 227 h 353"/>
                <a:gd name="T18" fmla="*/ 180 w 360"/>
                <a:gd name="T19" fmla="*/ 255 h 353"/>
                <a:gd name="T20" fmla="*/ 200 w 360"/>
                <a:gd name="T21" fmla="*/ 249 h 353"/>
                <a:gd name="T22" fmla="*/ 207 w 360"/>
                <a:gd name="T23" fmla="*/ 227 h 353"/>
                <a:gd name="T24" fmla="*/ 207 w 360"/>
                <a:gd name="T25" fmla="*/ 7 h 353"/>
                <a:gd name="T26" fmla="*/ 359 w 360"/>
                <a:gd name="T27" fmla="*/ 0 h 353"/>
                <a:gd name="T28" fmla="*/ 359 w 360"/>
                <a:gd name="T29" fmla="*/ 343 h 353"/>
                <a:gd name="T30" fmla="*/ 207 w 360"/>
                <a:gd name="T31" fmla="*/ 343 h 35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360" h="353">
                  <a:moveTo>
                    <a:pt x="207" y="343"/>
                  </a:moveTo>
                  <a:lnTo>
                    <a:pt x="207" y="322"/>
                  </a:lnTo>
                  <a:cubicBezTo>
                    <a:pt x="198" y="331"/>
                    <a:pt x="186" y="337"/>
                    <a:pt x="169" y="343"/>
                  </a:cubicBezTo>
                  <a:cubicBezTo>
                    <a:pt x="153" y="349"/>
                    <a:pt x="134" y="352"/>
                    <a:pt x="112" y="352"/>
                  </a:cubicBezTo>
                  <a:cubicBezTo>
                    <a:pt x="79" y="352"/>
                    <a:pt x="52" y="344"/>
                    <a:pt x="31" y="327"/>
                  </a:cubicBezTo>
                  <a:cubicBezTo>
                    <a:pt x="10" y="310"/>
                    <a:pt x="0" y="289"/>
                    <a:pt x="0" y="265"/>
                  </a:cubicBezTo>
                  <a:lnTo>
                    <a:pt x="0" y="19"/>
                  </a:lnTo>
                  <a:cubicBezTo>
                    <a:pt x="50" y="15"/>
                    <a:pt x="102" y="12"/>
                    <a:pt x="153" y="10"/>
                  </a:cubicBezTo>
                  <a:lnTo>
                    <a:pt x="153" y="227"/>
                  </a:lnTo>
                  <a:cubicBezTo>
                    <a:pt x="153" y="246"/>
                    <a:pt x="162" y="255"/>
                    <a:pt x="180" y="255"/>
                  </a:cubicBezTo>
                  <a:cubicBezTo>
                    <a:pt x="189" y="255"/>
                    <a:pt x="195" y="253"/>
                    <a:pt x="200" y="249"/>
                  </a:cubicBezTo>
                  <a:cubicBezTo>
                    <a:pt x="204" y="243"/>
                    <a:pt x="207" y="236"/>
                    <a:pt x="207" y="227"/>
                  </a:cubicBezTo>
                  <a:lnTo>
                    <a:pt x="207" y="7"/>
                  </a:lnTo>
                  <a:cubicBezTo>
                    <a:pt x="257" y="4"/>
                    <a:pt x="308" y="2"/>
                    <a:pt x="359" y="0"/>
                  </a:cubicBezTo>
                  <a:lnTo>
                    <a:pt x="359" y="343"/>
                  </a:lnTo>
                  <a:lnTo>
                    <a:pt x="207" y="343"/>
                  </a:lnTo>
                </a:path>
              </a:pathLst>
            </a:custGeom>
            <a:solidFill>
              <a:srgbClr val="6869A3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 cap="flat">
                  <a:solidFill>
                    <a:srgbClr val="808080"/>
                  </a:solidFill>
                  <a:bevel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 sz="762"/>
            </a:p>
          </xdr:txBody>
        </xdr:sp>
        <xdr:sp macro="" textlink="">
          <xdr:nvSpPr>
            <xdr:cNvPr id="37" name="Freeform 7">
              <a:extLst>
                <a:ext uri="{FF2B5EF4-FFF2-40B4-BE49-F238E27FC236}">
                  <a16:creationId xmlns:a16="http://schemas.microsoft.com/office/drawing/2014/main" id="{00000000-0008-0000-6000-000025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66813" y="168275"/>
              <a:ext cx="128587" cy="112713"/>
            </a:xfrm>
            <a:custGeom>
              <a:avLst/>
              <a:gdLst>
                <a:gd name="T0" fmla="*/ 45 w 359"/>
                <a:gd name="T1" fmla="*/ 0 h 313"/>
                <a:gd name="T2" fmla="*/ 358 w 359"/>
                <a:gd name="T3" fmla="*/ 35 h 313"/>
                <a:gd name="T4" fmla="*/ 358 w 359"/>
                <a:gd name="T5" fmla="*/ 303 h 313"/>
                <a:gd name="T6" fmla="*/ 223 w 359"/>
                <a:gd name="T7" fmla="*/ 303 h 313"/>
                <a:gd name="T8" fmla="*/ 223 w 359"/>
                <a:gd name="T9" fmla="*/ 279 h 313"/>
                <a:gd name="T10" fmla="*/ 189 w 359"/>
                <a:gd name="T11" fmla="*/ 306 h 313"/>
                <a:gd name="T12" fmla="*/ 125 w 359"/>
                <a:gd name="T13" fmla="*/ 312 h 313"/>
                <a:gd name="T14" fmla="*/ 28 w 359"/>
                <a:gd name="T15" fmla="*/ 288 h 313"/>
                <a:gd name="T16" fmla="*/ 0 w 359"/>
                <a:gd name="T17" fmla="*/ 214 h 313"/>
                <a:gd name="T18" fmla="*/ 0 w 359"/>
                <a:gd name="T19" fmla="*/ 89 h 313"/>
                <a:gd name="T20" fmla="*/ 45 w 359"/>
                <a:gd name="T21" fmla="*/ 0 h 313"/>
                <a:gd name="T22" fmla="*/ 205 w 359"/>
                <a:gd name="T23" fmla="*/ 187 h 313"/>
                <a:gd name="T24" fmla="*/ 205 w 359"/>
                <a:gd name="T25" fmla="*/ 26 h 313"/>
                <a:gd name="T26" fmla="*/ 164 w 359"/>
                <a:gd name="T27" fmla="*/ 44 h 313"/>
                <a:gd name="T28" fmla="*/ 153 w 359"/>
                <a:gd name="T29" fmla="*/ 73 h 313"/>
                <a:gd name="T30" fmla="*/ 153 w 359"/>
                <a:gd name="T31" fmla="*/ 187 h 313"/>
                <a:gd name="T32" fmla="*/ 159 w 359"/>
                <a:gd name="T33" fmla="*/ 209 h 313"/>
                <a:gd name="T34" fmla="*/ 180 w 359"/>
                <a:gd name="T35" fmla="*/ 215 h 313"/>
                <a:gd name="T36" fmla="*/ 198 w 359"/>
                <a:gd name="T37" fmla="*/ 209 h 313"/>
                <a:gd name="T38" fmla="*/ 205 w 359"/>
                <a:gd name="T39" fmla="*/ 187 h 31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</a:cxnLst>
              <a:rect l="0" t="0" r="r" b="b"/>
              <a:pathLst>
                <a:path w="359" h="313">
                  <a:moveTo>
                    <a:pt x="45" y="0"/>
                  </a:moveTo>
                  <a:cubicBezTo>
                    <a:pt x="155" y="10"/>
                    <a:pt x="260" y="22"/>
                    <a:pt x="358" y="35"/>
                  </a:cubicBezTo>
                  <a:lnTo>
                    <a:pt x="358" y="303"/>
                  </a:lnTo>
                  <a:lnTo>
                    <a:pt x="223" y="303"/>
                  </a:lnTo>
                  <a:lnTo>
                    <a:pt x="223" y="279"/>
                  </a:lnTo>
                  <a:cubicBezTo>
                    <a:pt x="215" y="293"/>
                    <a:pt x="204" y="302"/>
                    <a:pt x="189" y="306"/>
                  </a:cubicBezTo>
                  <a:cubicBezTo>
                    <a:pt x="174" y="310"/>
                    <a:pt x="153" y="312"/>
                    <a:pt x="125" y="312"/>
                  </a:cubicBezTo>
                  <a:cubicBezTo>
                    <a:pt x="79" y="312"/>
                    <a:pt x="47" y="304"/>
                    <a:pt x="28" y="288"/>
                  </a:cubicBezTo>
                  <a:cubicBezTo>
                    <a:pt x="9" y="272"/>
                    <a:pt x="0" y="247"/>
                    <a:pt x="0" y="214"/>
                  </a:cubicBezTo>
                  <a:lnTo>
                    <a:pt x="0" y="89"/>
                  </a:lnTo>
                  <a:cubicBezTo>
                    <a:pt x="0" y="55"/>
                    <a:pt x="14" y="26"/>
                    <a:pt x="45" y="0"/>
                  </a:cubicBezTo>
                  <a:close/>
                  <a:moveTo>
                    <a:pt x="205" y="187"/>
                  </a:moveTo>
                  <a:lnTo>
                    <a:pt x="205" y="26"/>
                  </a:lnTo>
                  <a:cubicBezTo>
                    <a:pt x="185" y="31"/>
                    <a:pt x="171" y="37"/>
                    <a:pt x="164" y="44"/>
                  </a:cubicBezTo>
                  <a:cubicBezTo>
                    <a:pt x="156" y="52"/>
                    <a:pt x="153" y="61"/>
                    <a:pt x="153" y="73"/>
                  </a:cubicBezTo>
                  <a:lnTo>
                    <a:pt x="153" y="187"/>
                  </a:lnTo>
                  <a:cubicBezTo>
                    <a:pt x="153" y="196"/>
                    <a:pt x="155" y="203"/>
                    <a:pt x="159" y="209"/>
                  </a:cubicBezTo>
                  <a:cubicBezTo>
                    <a:pt x="164" y="213"/>
                    <a:pt x="171" y="215"/>
                    <a:pt x="180" y="215"/>
                  </a:cubicBezTo>
                  <a:cubicBezTo>
                    <a:pt x="188" y="215"/>
                    <a:pt x="193" y="213"/>
                    <a:pt x="198" y="209"/>
                  </a:cubicBezTo>
                  <a:cubicBezTo>
                    <a:pt x="203" y="203"/>
                    <a:pt x="205" y="196"/>
                    <a:pt x="205" y="187"/>
                  </a:cubicBezTo>
                  <a:close/>
                </a:path>
              </a:pathLst>
            </a:custGeom>
            <a:solidFill>
              <a:srgbClr val="6869A3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 cap="flat">
                  <a:solidFill>
                    <a:srgbClr val="808080"/>
                  </a:solidFill>
                  <a:bevel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 sz="762"/>
            </a:p>
          </xdr:txBody>
        </xdr:sp>
        <xdr:sp macro="" textlink="">
          <xdr:nvSpPr>
            <xdr:cNvPr id="38" name="Freeform 8">
              <a:extLst>
                <a:ext uri="{FF2B5EF4-FFF2-40B4-BE49-F238E27FC236}">
                  <a16:creationId xmlns:a16="http://schemas.microsoft.com/office/drawing/2014/main" id="{00000000-0008-0000-6000-000026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60438" y="153988"/>
              <a:ext cx="55562" cy="123825"/>
            </a:xfrm>
            <a:custGeom>
              <a:avLst/>
              <a:gdLst>
                <a:gd name="T0" fmla="*/ 153 w 154"/>
                <a:gd name="T1" fmla="*/ 342 h 343"/>
                <a:gd name="T2" fmla="*/ 0 w 154"/>
                <a:gd name="T3" fmla="*/ 342 h 343"/>
                <a:gd name="T4" fmla="*/ 0 w 154"/>
                <a:gd name="T5" fmla="*/ 0 h 343"/>
                <a:gd name="T6" fmla="*/ 153 w 154"/>
                <a:gd name="T7" fmla="*/ 6 h 343"/>
                <a:gd name="T8" fmla="*/ 153 w 154"/>
                <a:gd name="T9" fmla="*/ 342 h 34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154" h="343">
                  <a:moveTo>
                    <a:pt x="153" y="342"/>
                  </a:moveTo>
                  <a:lnTo>
                    <a:pt x="0" y="342"/>
                  </a:lnTo>
                  <a:lnTo>
                    <a:pt x="0" y="0"/>
                  </a:lnTo>
                  <a:cubicBezTo>
                    <a:pt x="51" y="2"/>
                    <a:pt x="102" y="4"/>
                    <a:pt x="153" y="6"/>
                  </a:cubicBezTo>
                  <a:lnTo>
                    <a:pt x="153" y="342"/>
                  </a:lnTo>
                </a:path>
              </a:pathLst>
            </a:custGeom>
            <a:solidFill>
              <a:srgbClr val="6869A3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 cap="flat">
                  <a:solidFill>
                    <a:srgbClr val="808080"/>
                  </a:solidFill>
                  <a:bevel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 sz="762"/>
            </a:p>
          </xdr:txBody>
        </xdr:sp>
        <xdr:sp macro="" textlink="">
          <xdr:nvSpPr>
            <xdr:cNvPr id="39" name="Freeform 9">
              <a:extLst>
                <a:ext uri="{FF2B5EF4-FFF2-40B4-BE49-F238E27FC236}">
                  <a16:creationId xmlns:a16="http://schemas.microsoft.com/office/drawing/2014/main" id="{00000000-0008-0000-6000-000027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820738" y="149225"/>
              <a:ext cx="130175" cy="130175"/>
            </a:xfrm>
            <a:custGeom>
              <a:avLst/>
              <a:gdLst>
                <a:gd name="T0" fmla="*/ 306 w 360"/>
                <a:gd name="T1" fmla="*/ 336 h 362"/>
                <a:gd name="T2" fmla="*/ 182 w 360"/>
                <a:gd name="T3" fmla="*/ 361 h 362"/>
                <a:gd name="T4" fmla="*/ 54 w 360"/>
                <a:gd name="T5" fmla="*/ 334 h 362"/>
                <a:gd name="T6" fmla="*/ 0 w 360"/>
                <a:gd name="T7" fmla="*/ 229 h 362"/>
                <a:gd name="T8" fmla="*/ 0 w 360"/>
                <a:gd name="T9" fmla="*/ 0 h 362"/>
                <a:gd name="T10" fmla="*/ 153 w 360"/>
                <a:gd name="T11" fmla="*/ 2 h 362"/>
                <a:gd name="T12" fmla="*/ 153 w 360"/>
                <a:gd name="T13" fmla="*/ 233 h 362"/>
                <a:gd name="T14" fmla="*/ 159 w 360"/>
                <a:gd name="T15" fmla="*/ 258 h 362"/>
                <a:gd name="T16" fmla="*/ 179 w 360"/>
                <a:gd name="T17" fmla="*/ 266 h 362"/>
                <a:gd name="T18" fmla="*/ 199 w 360"/>
                <a:gd name="T19" fmla="*/ 258 h 362"/>
                <a:gd name="T20" fmla="*/ 206 w 360"/>
                <a:gd name="T21" fmla="*/ 233 h 362"/>
                <a:gd name="T22" fmla="*/ 206 w 360"/>
                <a:gd name="T23" fmla="*/ 4 h 362"/>
                <a:gd name="T24" fmla="*/ 359 w 360"/>
                <a:gd name="T25" fmla="*/ 9 h 362"/>
                <a:gd name="T26" fmla="*/ 359 w 360"/>
                <a:gd name="T27" fmla="*/ 235 h 362"/>
                <a:gd name="T28" fmla="*/ 306 w 360"/>
                <a:gd name="T29" fmla="*/ 336 h 3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</a:cxnLst>
              <a:rect l="0" t="0" r="r" b="b"/>
              <a:pathLst>
                <a:path w="360" h="362">
                  <a:moveTo>
                    <a:pt x="306" y="336"/>
                  </a:moveTo>
                  <a:cubicBezTo>
                    <a:pt x="277" y="353"/>
                    <a:pt x="236" y="361"/>
                    <a:pt x="182" y="361"/>
                  </a:cubicBezTo>
                  <a:cubicBezTo>
                    <a:pt x="127" y="361"/>
                    <a:pt x="84" y="352"/>
                    <a:pt x="54" y="334"/>
                  </a:cubicBezTo>
                  <a:cubicBezTo>
                    <a:pt x="18" y="312"/>
                    <a:pt x="0" y="277"/>
                    <a:pt x="0" y="229"/>
                  </a:cubicBezTo>
                  <a:lnTo>
                    <a:pt x="0" y="0"/>
                  </a:lnTo>
                  <a:cubicBezTo>
                    <a:pt x="51" y="0"/>
                    <a:pt x="103" y="2"/>
                    <a:pt x="153" y="2"/>
                  </a:cubicBezTo>
                  <a:lnTo>
                    <a:pt x="153" y="233"/>
                  </a:lnTo>
                  <a:cubicBezTo>
                    <a:pt x="153" y="243"/>
                    <a:pt x="155" y="252"/>
                    <a:pt x="159" y="258"/>
                  </a:cubicBezTo>
                  <a:cubicBezTo>
                    <a:pt x="164" y="263"/>
                    <a:pt x="170" y="266"/>
                    <a:pt x="179" y="266"/>
                  </a:cubicBezTo>
                  <a:cubicBezTo>
                    <a:pt x="188" y="266"/>
                    <a:pt x="195" y="263"/>
                    <a:pt x="199" y="258"/>
                  </a:cubicBezTo>
                  <a:cubicBezTo>
                    <a:pt x="204" y="252"/>
                    <a:pt x="206" y="243"/>
                    <a:pt x="206" y="233"/>
                  </a:cubicBezTo>
                  <a:lnTo>
                    <a:pt x="206" y="4"/>
                  </a:lnTo>
                  <a:cubicBezTo>
                    <a:pt x="258" y="5"/>
                    <a:pt x="308" y="7"/>
                    <a:pt x="359" y="9"/>
                  </a:cubicBezTo>
                  <a:lnTo>
                    <a:pt x="359" y="235"/>
                  </a:lnTo>
                  <a:cubicBezTo>
                    <a:pt x="359" y="281"/>
                    <a:pt x="341" y="316"/>
                    <a:pt x="306" y="336"/>
                  </a:cubicBezTo>
                </a:path>
              </a:pathLst>
            </a:custGeom>
            <a:solidFill>
              <a:srgbClr val="6869A3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 cap="flat">
                  <a:solidFill>
                    <a:srgbClr val="808080"/>
                  </a:solidFill>
                  <a:bevel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 sz="762"/>
            </a:p>
          </xdr:txBody>
        </xdr:sp>
        <xdr:sp macro="" textlink="">
          <xdr:nvSpPr>
            <xdr:cNvPr id="40" name="Freeform 10">
              <a:extLst>
                <a:ext uri="{FF2B5EF4-FFF2-40B4-BE49-F238E27FC236}">
                  <a16:creationId xmlns:a16="http://schemas.microsoft.com/office/drawing/2014/main" id="{00000000-0008-0000-6000-000028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58800" y="149225"/>
              <a:ext cx="130175" cy="130175"/>
            </a:xfrm>
            <a:custGeom>
              <a:avLst/>
              <a:gdLst>
                <a:gd name="T0" fmla="*/ 123 w 361"/>
                <a:gd name="T1" fmla="*/ 4 h 362"/>
                <a:gd name="T2" fmla="*/ 360 w 361"/>
                <a:gd name="T3" fmla="*/ 0 h 362"/>
                <a:gd name="T4" fmla="*/ 360 w 361"/>
                <a:gd name="T5" fmla="*/ 352 h 362"/>
                <a:gd name="T6" fmla="*/ 224 w 361"/>
                <a:gd name="T7" fmla="*/ 352 h 362"/>
                <a:gd name="T8" fmla="*/ 224 w 361"/>
                <a:gd name="T9" fmla="*/ 328 h 362"/>
                <a:gd name="T10" fmla="*/ 190 w 361"/>
                <a:gd name="T11" fmla="*/ 355 h 362"/>
                <a:gd name="T12" fmla="*/ 126 w 361"/>
                <a:gd name="T13" fmla="*/ 361 h 362"/>
                <a:gd name="T14" fmla="*/ 29 w 361"/>
                <a:gd name="T15" fmla="*/ 337 h 362"/>
                <a:gd name="T16" fmla="*/ 0 w 361"/>
                <a:gd name="T17" fmla="*/ 263 h 362"/>
                <a:gd name="T18" fmla="*/ 0 w 361"/>
                <a:gd name="T19" fmla="*/ 138 h 362"/>
                <a:gd name="T20" fmla="*/ 103 w 361"/>
                <a:gd name="T21" fmla="*/ 13 h 362"/>
                <a:gd name="T22" fmla="*/ 123 w 361"/>
                <a:gd name="T23" fmla="*/ 4 h 362"/>
                <a:gd name="T24" fmla="*/ 207 w 361"/>
                <a:gd name="T25" fmla="*/ 236 h 362"/>
                <a:gd name="T26" fmla="*/ 207 w 361"/>
                <a:gd name="T27" fmla="*/ 75 h 362"/>
                <a:gd name="T28" fmla="*/ 165 w 361"/>
                <a:gd name="T29" fmla="*/ 93 h 362"/>
                <a:gd name="T30" fmla="*/ 154 w 361"/>
                <a:gd name="T31" fmla="*/ 122 h 362"/>
                <a:gd name="T32" fmla="*/ 154 w 361"/>
                <a:gd name="T33" fmla="*/ 236 h 362"/>
                <a:gd name="T34" fmla="*/ 161 w 361"/>
                <a:gd name="T35" fmla="*/ 258 h 362"/>
                <a:gd name="T36" fmla="*/ 181 w 361"/>
                <a:gd name="T37" fmla="*/ 264 h 362"/>
                <a:gd name="T38" fmla="*/ 199 w 361"/>
                <a:gd name="T39" fmla="*/ 258 h 362"/>
                <a:gd name="T40" fmla="*/ 207 w 361"/>
                <a:gd name="T41" fmla="*/ 236 h 36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361" h="362">
                  <a:moveTo>
                    <a:pt x="123" y="4"/>
                  </a:moveTo>
                  <a:cubicBezTo>
                    <a:pt x="201" y="2"/>
                    <a:pt x="280" y="0"/>
                    <a:pt x="360" y="0"/>
                  </a:cubicBezTo>
                  <a:lnTo>
                    <a:pt x="360" y="352"/>
                  </a:lnTo>
                  <a:lnTo>
                    <a:pt x="224" y="352"/>
                  </a:lnTo>
                  <a:lnTo>
                    <a:pt x="224" y="328"/>
                  </a:lnTo>
                  <a:cubicBezTo>
                    <a:pt x="217" y="342"/>
                    <a:pt x="205" y="351"/>
                    <a:pt x="190" y="355"/>
                  </a:cubicBezTo>
                  <a:cubicBezTo>
                    <a:pt x="175" y="359"/>
                    <a:pt x="154" y="361"/>
                    <a:pt x="126" y="361"/>
                  </a:cubicBezTo>
                  <a:cubicBezTo>
                    <a:pt x="81" y="361"/>
                    <a:pt x="49" y="353"/>
                    <a:pt x="29" y="337"/>
                  </a:cubicBezTo>
                  <a:cubicBezTo>
                    <a:pt x="10" y="321"/>
                    <a:pt x="0" y="296"/>
                    <a:pt x="0" y="263"/>
                  </a:cubicBezTo>
                  <a:lnTo>
                    <a:pt x="0" y="138"/>
                  </a:lnTo>
                  <a:cubicBezTo>
                    <a:pt x="0" y="88"/>
                    <a:pt x="35" y="46"/>
                    <a:pt x="103" y="13"/>
                  </a:cubicBezTo>
                  <a:cubicBezTo>
                    <a:pt x="110" y="10"/>
                    <a:pt x="117" y="7"/>
                    <a:pt x="123" y="4"/>
                  </a:cubicBezTo>
                  <a:close/>
                  <a:moveTo>
                    <a:pt x="207" y="236"/>
                  </a:moveTo>
                  <a:lnTo>
                    <a:pt x="207" y="75"/>
                  </a:lnTo>
                  <a:cubicBezTo>
                    <a:pt x="186" y="80"/>
                    <a:pt x="172" y="86"/>
                    <a:pt x="165" y="93"/>
                  </a:cubicBezTo>
                  <a:cubicBezTo>
                    <a:pt x="157" y="101"/>
                    <a:pt x="154" y="110"/>
                    <a:pt x="154" y="122"/>
                  </a:cubicBezTo>
                  <a:lnTo>
                    <a:pt x="154" y="236"/>
                  </a:lnTo>
                  <a:cubicBezTo>
                    <a:pt x="154" y="245"/>
                    <a:pt x="156" y="252"/>
                    <a:pt x="161" y="258"/>
                  </a:cubicBezTo>
                  <a:cubicBezTo>
                    <a:pt x="166" y="262"/>
                    <a:pt x="173" y="264"/>
                    <a:pt x="181" y="264"/>
                  </a:cubicBezTo>
                  <a:cubicBezTo>
                    <a:pt x="188" y="264"/>
                    <a:pt x="195" y="262"/>
                    <a:pt x="199" y="258"/>
                  </a:cubicBezTo>
                  <a:cubicBezTo>
                    <a:pt x="204" y="252"/>
                    <a:pt x="207" y="245"/>
                    <a:pt x="207" y="236"/>
                  </a:cubicBezTo>
                  <a:close/>
                </a:path>
              </a:pathLst>
            </a:custGeom>
            <a:solidFill>
              <a:srgbClr val="6869A3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 cap="flat">
                  <a:solidFill>
                    <a:srgbClr val="808080"/>
                  </a:solidFill>
                  <a:bevel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 sz="762"/>
            </a:p>
          </xdr:txBody>
        </xdr:sp>
        <xdr:sp macro="" textlink="">
          <xdr:nvSpPr>
            <xdr:cNvPr id="41" name="Freeform 11">
              <a:extLst>
                <a:ext uri="{FF2B5EF4-FFF2-40B4-BE49-F238E27FC236}">
                  <a16:creationId xmlns:a16="http://schemas.microsoft.com/office/drawing/2014/main" id="{00000000-0008-0000-6000-000029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01725" y="160338"/>
              <a:ext cx="55563" cy="115887"/>
            </a:xfrm>
            <a:custGeom>
              <a:avLst/>
              <a:gdLst>
                <a:gd name="T0" fmla="*/ 153 w 154"/>
                <a:gd name="T1" fmla="*/ 321 h 322"/>
                <a:gd name="T2" fmla="*/ 0 w 154"/>
                <a:gd name="T3" fmla="*/ 321 h 322"/>
                <a:gd name="T4" fmla="*/ 0 w 154"/>
                <a:gd name="T5" fmla="*/ 0 h 322"/>
                <a:gd name="T6" fmla="*/ 153 w 154"/>
                <a:gd name="T7" fmla="*/ 11 h 322"/>
                <a:gd name="T8" fmla="*/ 153 w 154"/>
                <a:gd name="T9" fmla="*/ 321 h 32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154" h="322">
                  <a:moveTo>
                    <a:pt x="153" y="321"/>
                  </a:moveTo>
                  <a:lnTo>
                    <a:pt x="0" y="321"/>
                  </a:lnTo>
                  <a:lnTo>
                    <a:pt x="0" y="0"/>
                  </a:lnTo>
                  <a:cubicBezTo>
                    <a:pt x="51" y="3"/>
                    <a:pt x="103" y="7"/>
                    <a:pt x="153" y="11"/>
                  </a:cubicBezTo>
                  <a:lnTo>
                    <a:pt x="153" y="321"/>
                  </a:lnTo>
                </a:path>
              </a:pathLst>
            </a:custGeom>
            <a:solidFill>
              <a:srgbClr val="6869A3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 cap="flat">
                  <a:solidFill>
                    <a:srgbClr val="808080"/>
                  </a:solidFill>
                  <a:bevel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 sz="762"/>
            </a:p>
          </xdr:txBody>
        </xdr:sp>
        <xdr:sp macro="" textlink="">
          <xdr:nvSpPr>
            <xdr:cNvPr id="42" name="Freeform 12">
              <a:extLst>
                <a:ext uri="{FF2B5EF4-FFF2-40B4-BE49-F238E27FC236}">
                  <a16:creationId xmlns:a16="http://schemas.microsoft.com/office/drawing/2014/main" id="{00000000-0008-0000-6000-00002A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277813" y="160338"/>
              <a:ext cx="130175" cy="134937"/>
            </a:xfrm>
            <a:custGeom>
              <a:avLst/>
              <a:gdLst>
                <a:gd name="T0" fmla="*/ 320 w 363"/>
                <a:gd name="T1" fmla="*/ 296 h 373"/>
                <a:gd name="T2" fmla="*/ 362 w 363"/>
                <a:gd name="T3" fmla="*/ 372 h 373"/>
                <a:gd name="T4" fmla="*/ 235 w 363"/>
                <a:gd name="T5" fmla="*/ 372 h 373"/>
                <a:gd name="T6" fmla="*/ 213 w 363"/>
                <a:gd name="T7" fmla="*/ 330 h 373"/>
                <a:gd name="T8" fmla="*/ 181 w 363"/>
                <a:gd name="T9" fmla="*/ 331 h 373"/>
                <a:gd name="T10" fmla="*/ 53 w 363"/>
                <a:gd name="T11" fmla="*/ 304 h 373"/>
                <a:gd name="T12" fmla="*/ 0 w 363"/>
                <a:gd name="T13" fmla="*/ 199 h 373"/>
                <a:gd name="T14" fmla="*/ 0 w 363"/>
                <a:gd name="T15" fmla="*/ 31 h 373"/>
                <a:gd name="T16" fmla="*/ 153 w 363"/>
                <a:gd name="T17" fmla="*/ 15 h 373"/>
                <a:gd name="T18" fmla="*/ 153 w 363"/>
                <a:gd name="T19" fmla="*/ 203 h 373"/>
                <a:gd name="T20" fmla="*/ 159 w 363"/>
                <a:gd name="T21" fmla="*/ 228 h 373"/>
                <a:gd name="T22" fmla="*/ 179 w 363"/>
                <a:gd name="T23" fmla="*/ 236 h 373"/>
                <a:gd name="T24" fmla="*/ 199 w 363"/>
                <a:gd name="T25" fmla="*/ 228 h 373"/>
                <a:gd name="T26" fmla="*/ 206 w 363"/>
                <a:gd name="T27" fmla="*/ 203 h 373"/>
                <a:gd name="T28" fmla="*/ 206 w 363"/>
                <a:gd name="T29" fmla="*/ 11 h 373"/>
                <a:gd name="T30" fmla="*/ 359 w 363"/>
                <a:gd name="T31" fmla="*/ 0 h 373"/>
                <a:gd name="T32" fmla="*/ 359 w 363"/>
                <a:gd name="T33" fmla="*/ 205 h 373"/>
                <a:gd name="T34" fmla="*/ 320 w 363"/>
                <a:gd name="T35" fmla="*/ 296 h 37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0" t="0" r="r" b="b"/>
              <a:pathLst>
                <a:path w="363" h="373">
                  <a:moveTo>
                    <a:pt x="320" y="296"/>
                  </a:moveTo>
                  <a:lnTo>
                    <a:pt x="362" y="372"/>
                  </a:lnTo>
                  <a:lnTo>
                    <a:pt x="235" y="372"/>
                  </a:lnTo>
                  <a:lnTo>
                    <a:pt x="213" y="330"/>
                  </a:lnTo>
                  <a:cubicBezTo>
                    <a:pt x="203" y="331"/>
                    <a:pt x="193" y="331"/>
                    <a:pt x="181" y="331"/>
                  </a:cubicBezTo>
                  <a:cubicBezTo>
                    <a:pt x="126" y="331"/>
                    <a:pt x="84" y="322"/>
                    <a:pt x="53" y="304"/>
                  </a:cubicBezTo>
                  <a:cubicBezTo>
                    <a:pt x="17" y="282"/>
                    <a:pt x="0" y="247"/>
                    <a:pt x="0" y="199"/>
                  </a:cubicBezTo>
                  <a:lnTo>
                    <a:pt x="0" y="31"/>
                  </a:lnTo>
                  <a:cubicBezTo>
                    <a:pt x="50" y="25"/>
                    <a:pt x="101" y="20"/>
                    <a:pt x="153" y="15"/>
                  </a:cubicBezTo>
                  <a:lnTo>
                    <a:pt x="153" y="203"/>
                  </a:lnTo>
                  <a:cubicBezTo>
                    <a:pt x="153" y="213"/>
                    <a:pt x="155" y="222"/>
                    <a:pt x="159" y="228"/>
                  </a:cubicBezTo>
                  <a:cubicBezTo>
                    <a:pt x="164" y="233"/>
                    <a:pt x="171" y="236"/>
                    <a:pt x="179" y="236"/>
                  </a:cubicBezTo>
                  <a:cubicBezTo>
                    <a:pt x="188" y="236"/>
                    <a:pt x="195" y="233"/>
                    <a:pt x="199" y="228"/>
                  </a:cubicBezTo>
                  <a:cubicBezTo>
                    <a:pt x="203" y="222"/>
                    <a:pt x="206" y="213"/>
                    <a:pt x="206" y="203"/>
                  </a:cubicBezTo>
                  <a:lnTo>
                    <a:pt x="206" y="11"/>
                  </a:lnTo>
                  <a:cubicBezTo>
                    <a:pt x="256" y="7"/>
                    <a:pt x="307" y="3"/>
                    <a:pt x="359" y="0"/>
                  </a:cubicBezTo>
                  <a:lnTo>
                    <a:pt x="359" y="205"/>
                  </a:lnTo>
                  <a:cubicBezTo>
                    <a:pt x="359" y="244"/>
                    <a:pt x="346" y="275"/>
                    <a:pt x="320" y="296"/>
                  </a:cubicBezTo>
                </a:path>
              </a:pathLst>
            </a:custGeom>
            <a:solidFill>
              <a:srgbClr val="6869A3"/>
            </a:solidFill>
            <a:ln>
              <a:noFill/>
            </a:ln>
            <a:effectLst/>
            <a:extLst>
              <a:ext uri="{91240B29-F687-4F45-9708-019B960494DF}">
                <a14:hiddenLine xmlns:a14="http://schemas.microsoft.com/office/drawing/2010/main" w="9525" cap="flat">
                  <a:solidFill>
                    <a:srgbClr val="808080"/>
                  </a:solidFill>
                  <a:bevel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wrap="square" anchor="ctr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 sz="762"/>
            </a:p>
          </xdr:txBody>
        </xdr:sp>
      </xdr:grpSp>
      <xdr:sp macro="" textlink="">
        <xdr:nvSpPr>
          <xdr:cNvPr id="8" name="Retângulo: Cantos Arredondados 7">
            <a:extLst>
              <a:ext uri="{FF2B5EF4-FFF2-40B4-BE49-F238E27FC236}">
                <a16:creationId xmlns:a16="http://schemas.microsoft.com/office/drawing/2014/main" id="{00000000-0008-0000-6000-000008000000}"/>
              </a:ext>
            </a:extLst>
          </xdr:cNvPr>
          <xdr:cNvSpPr/>
        </xdr:nvSpPr>
        <xdr:spPr>
          <a:xfrm>
            <a:off x="5764435" y="3450161"/>
            <a:ext cx="1186122" cy="222726"/>
          </a:xfrm>
          <a:prstGeom prst="roundRect">
            <a:avLst/>
          </a:prstGeom>
          <a:solidFill>
            <a:srgbClr val="2C2A70"/>
          </a:solidFill>
          <a:ln>
            <a:noFill/>
          </a:ln>
          <a:effectLst>
            <a:outerShdw blurRad="50800" dist="139700" dir="2400000" sx="95000" sy="95000" algn="ctr" rotWithShape="0">
              <a:srgbClr val="000000">
                <a:alpha val="9000"/>
              </a:srgb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696662">
              <a:lnSpc>
                <a:spcPct val="90000"/>
              </a:lnSpc>
              <a:defRPr/>
            </a:pPr>
            <a:endParaRPr lang="pt-BR" sz="741">
              <a:solidFill>
                <a:prstClr val="white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Retângulo: Cantos Arredondados 8">
            <a:extLst>
              <a:ext uri="{FF2B5EF4-FFF2-40B4-BE49-F238E27FC236}">
                <a16:creationId xmlns:a16="http://schemas.microsoft.com/office/drawing/2014/main" id="{00000000-0008-0000-6000-000009000000}"/>
              </a:ext>
            </a:extLst>
          </xdr:cNvPr>
          <xdr:cNvSpPr/>
        </xdr:nvSpPr>
        <xdr:spPr>
          <a:xfrm>
            <a:off x="5764435" y="3415623"/>
            <a:ext cx="1186122" cy="222726"/>
          </a:xfrm>
          <a:prstGeom prst="roundRect">
            <a:avLst/>
          </a:prstGeom>
          <a:solidFill>
            <a:srgbClr val="3B3997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696662">
              <a:lnSpc>
                <a:spcPct val="90000"/>
              </a:lnSpc>
              <a:defRPr/>
            </a:pPr>
            <a:r>
              <a:rPr lang="pt-BR" sz="741">
                <a:solidFill>
                  <a:prstClr val="white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Equatorial Piauí</a:t>
            </a:r>
          </a:p>
        </xdr:txBody>
      </xdr:sp>
      <xdr:sp macro="" textlink="">
        <xdr:nvSpPr>
          <xdr:cNvPr id="10" name="Retângulo: Cantos Arredondados 9">
            <a:extLst>
              <a:ext uri="{FF2B5EF4-FFF2-40B4-BE49-F238E27FC236}">
                <a16:creationId xmlns:a16="http://schemas.microsoft.com/office/drawing/2014/main" id="{00000000-0008-0000-6000-00000A000000}"/>
              </a:ext>
            </a:extLst>
          </xdr:cNvPr>
          <xdr:cNvSpPr/>
        </xdr:nvSpPr>
        <xdr:spPr>
          <a:xfrm>
            <a:off x="5779052" y="3836599"/>
            <a:ext cx="1171501" cy="222726"/>
          </a:xfrm>
          <a:prstGeom prst="roundRect">
            <a:avLst/>
          </a:prstGeom>
          <a:solidFill>
            <a:srgbClr val="2C2A70"/>
          </a:solidFill>
          <a:ln>
            <a:noFill/>
          </a:ln>
          <a:effectLst>
            <a:outerShdw blurRad="50800" dist="139700" dir="2400000" sx="95000" sy="95000" algn="ctr" rotWithShape="0">
              <a:srgbClr val="000000">
                <a:alpha val="9000"/>
              </a:srgb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696662">
              <a:lnSpc>
                <a:spcPct val="90000"/>
              </a:lnSpc>
              <a:defRPr/>
            </a:pPr>
            <a:endParaRPr lang="pt-BR" sz="741">
              <a:solidFill>
                <a:prstClr val="white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Retângulo: Cantos Arredondados 10">
            <a:extLst>
              <a:ext uri="{FF2B5EF4-FFF2-40B4-BE49-F238E27FC236}">
                <a16:creationId xmlns:a16="http://schemas.microsoft.com/office/drawing/2014/main" id="{00000000-0008-0000-6000-00000B000000}"/>
              </a:ext>
            </a:extLst>
          </xdr:cNvPr>
          <xdr:cNvSpPr/>
        </xdr:nvSpPr>
        <xdr:spPr>
          <a:xfrm>
            <a:off x="5779052" y="3802062"/>
            <a:ext cx="1171501" cy="222726"/>
          </a:xfrm>
          <a:prstGeom prst="roundRect">
            <a:avLst/>
          </a:prstGeom>
          <a:solidFill>
            <a:srgbClr val="3B3997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696662">
              <a:lnSpc>
                <a:spcPct val="90000"/>
              </a:lnSpc>
              <a:defRPr/>
            </a:pPr>
            <a:r>
              <a:rPr lang="pt-BR" sz="741">
                <a:solidFill>
                  <a:prstClr val="white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Equatorial Alagoas</a:t>
            </a:r>
          </a:p>
        </xdr:txBody>
      </xdr:sp>
      <xdr:sp macro="" textlink="">
        <xdr:nvSpPr>
          <xdr:cNvPr id="12" name="Retângulo: Cantos Arredondados 11">
            <a:extLst>
              <a:ext uri="{FF2B5EF4-FFF2-40B4-BE49-F238E27FC236}">
                <a16:creationId xmlns:a16="http://schemas.microsoft.com/office/drawing/2014/main" id="{00000000-0008-0000-6000-00000C000000}"/>
              </a:ext>
            </a:extLst>
          </xdr:cNvPr>
          <xdr:cNvSpPr/>
        </xdr:nvSpPr>
        <xdr:spPr>
          <a:xfrm>
            <a:off x="5040253" y="2092083"/>
            <a:ext cx="1186122" cy="222726"/>
          </a:xfrm>
          <a:prstGeom prst="roundRect">
            <a:avLst/>
          </a:prstGeom>
          <a:solidFill>
            <a:schemeClr val="accent5"/>
          </a:solidFill>
          <a:ln>
            <a:noFill/>
          </a:ln>
          <a:effectLst>
            <a:outerShdw blurRad="50800" dist="139700" dir="2400000" sx="95000" sy="95000" algn="ctr" rotWithShape="0">
              <a:srgbClr val="000000">
                <a:alpha val="9000"/>
              </a:srgb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696662">
              <a:lnSpc>
                <a:spcPct val="90000"/>
              </a:lnSpc>
              <a:defRPr/>
            </a:pPr>
            <a:endParaRPr lang="pt-BR" sz="741">
              <a:solidFill>
                <a:prstClr val="white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Retângulo: Cantos Arredondados 12">
            <a:extLst>
              <a:ext uri="{FF2B5EF4-FFF2-40B4-BE49-F238E27FC236}">
                <a16:creationId xmlns:a16="http://schemas.microsoft.com/office/drawing/2014/main" id="{00000000-0008-0000-6000-00000D000000}"/>
              </a:ext>
            </a:extLst>
          </xdr:cNvPr>
          <xdr:cNvSpPr/>
        </xdr:nvSpPr>
        <xdr:spPr>
          <a:xfrm>
            <a:off x="5040253" y="2057545"/>
            <a:ext cx="1186122" cy="222726"/>
          </a:xfrm>
          <a:prstGeom prst="roundRect">
            <a:avLst/>
          </a:prstGeom>
          <a:solidFill>
            <a:srgbClr val="00B0F0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696662">
              <a:lnSpc>
                <a:spcPct val="90000"/>
              </a:lnSpc>
              <a:defRPr/>
            </a:pPr>
            <a:r>
              <a:rPr lang="pt-BR" sz="741">
                <a:solidFill>
                  <a:prstClr val="white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Equatorial Distribuição</a:t>
            </a:r>
          </a:p>
        </xdr:txBody>
      </xdr:sp>
      <xdr:cxnSp macro="">
        <xdr:nvCxnSpPr>
          <xdr:cNvPr id="14" name="Conector reto 13">
            <a:extLst>
              <a:ext uri="{FF2B5EF4-FFF2-40B4-BE49-F238E27FC236}">
                <a16:creationId xmlns:a16="http://schemas.microsoft.com/office/drawing/2014/main" id="{00000000-0008-0000-6000-00000E000000}"/>
              </a:ext>
            </a:extLst>
          </xdr:cNvPr>
          <xdr:cNvCxnSpPr>
            <a:cxnSpLocks/>
          </xdr:cNvCxnSpPr>
        </xdr:nvCxnSpPr>
        <xdr:spPr>
          <a:xfrm flipV="1">
            <a:off x="5597476" y="2300519"/>
            <a:ext cx="0" cy="1620000"/>
          </a:xfrm>
          <a:prstGeom prst="line">
            <a:avLst/>
          </a:prstGeom>
          <a:ln w="12700">
            <a:solidFill>
              <a:srgbClr val="00B0F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" name="Retângulo: Cantos Arredondados 14">
            <a:extLst>
              <a:ext uri="{FF2B5EF4-FFF2-40B4-BE49-F238E27FC236}">
                <a16:creationId xmlns:a16="http://schemas.microsoft.com/office/drawing/2014/main" id="{00000000-0008-0000-6000-00000F000000}"/>
              </a:ext>
            </a:extLst>
          </xdr:cNvPr>
          <xdr:cNvSpPr/>
        </xdr:nvSpPr>
        <xdr:spPr>
          <a:xfrm>
            <a:off x="5757249" y="2572852"/>
            <a:ext cx="1186122" cy="222726"/>
          </a:xfrm>
          <a:prstGeom prst="roundRect">
            <a:avLst/>
          </a:prstGeom>
          <a:solidFill>
            <a:srgbClr val="2C2A70"/>
          </a:solidFill>
          <a:ln>
            <a:noFill/>
          </a:ln>
          <a:effectLst>
            <a:outerShdw blurRad="50800" dist="139700" dir="2400000" sx="95000" sy="95000" algn="ctr" rotWithShape="0">
              <a:srgbClr val="000000">
                <a:alpha val="9000"/>
              </a:srgb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696662">
              <a:lnSpc>
                <a:spcPct val="90000"/>
              </a:lnSpc>
              <a:defRPr/>
            </a:pPr>
            <a:endParaRPr lang="pt-BR" sz="741">
              <a:solidFill>
                <a:prstClr val="white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" name="Retângulo: Cantos Arredondados 15">
            <a:extLst>
              <a:ext uri="{FF2B5EF4-FFF2-40B4-BE49-F238E27FC236}">
                <a16:creationId xmlns:a16="http://schemas.microsoft.com/office/drawing/2014/main" id="{00000000-0008-0000-6000-000010000000}"/>
              </a:ext>
            </a:extLst>
          </xdr:cNvPr>
          <xdr:cNvSpPr/>
        </xdr:nvSpPr>
        <xdr:spPr>
          <a:xfrm>
            <a:off x="5757249" y="2538315"/>
            <a:ext cx="1186122" cy="222726"/>
          </a:xfrm>
          <a:prstGeom prst="roundRect">
            <a:avLst/>
          </a:prstGeom>
          <a:solidFill>
            <a:srgbClr val="3B3997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696662">
              <a:lnSpc>
                <a:spcPct val="90000"/>
              </a:lnSpc>
              <a:defRPr/>
            </a:pPr>
            <a:r>
              <a:rPr lang="pt-BR" sz="741">
                <a:solidFill>
                  <a:prstClr val="white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Equatorial Maranhão</a:t>
            </a:r>
          </a:p>
        </xdr:txBody>
      </xdr:sp>
      <xdr:sp macro="" textlink="">
        <xdr:nvSpPr>
          <xdr:cNvPr id="17" name="Retângulo: Cantos Arredondados 16">
            <a:extLst>
              <a:ext uri="{FF2B5EF4-FFF2-40B4-BE49-F238E27FC236}">
                <a16:creationId xmlns:a16="http://schemas.microsoft.com/office/drawing/2014/main" id="{00000000-0008-0000-6000-000011000000}"/>
              </a:ext>
            </a:extLst>
          </xdr:cNvPr>
          <xdr:cNvSpPr/>
        </xdr:nvSpPr>
        <xdr:spPr>
          <a:xfrm>
            <a:off x="5757249" y="2997507"/>
            <a:ext cx="1186122" cy="222726"/>
          </a:xfrm>
          <a:prstGeom prst="roundRect">
            <a:avLst/>
          </a:prstGeom>
          <a:solidFill>
            <a:srgbClr val="2C2A70"/>
          </a:solidFill>
          <a:ln>
            <a:noFill/>
          </a:ln>
          <a:effectLst>
            <a:outerShdw blurRad="50800" dist="139700" dir="2400000" sx="95000" sy="95000" algn="ctr" rotWithShape="0">
              <a:srgbClr val="000000">
                <a:alpha val="9000"/>
              </a:srgb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696662">
              <a:lnSpc>
                <a:spcPct val="90000"/>
              </a:lnSpc>
              <a:defRPr/>
            </a:pPr>
            <a:endParaRPr lang="pt-BR" sz="741">
              <a:solidFill>
                <a:prstClr val="white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Retângulo: Cantos Arredondados 17">
            <a:extLst>
              <a:ext uri="{FF2B5EF4-FFF2-40B4-BE49-F238E27FC236}">
                <a16:creationId xmlns:a16="http://schemas.microsoft.com/office/drawing/2014/main" id="{00000000-0008-0000-6000-000012000000}"/>
              </a:ext>
            </a:extLst>
          </xdr:cNvPr>
          <xdr:cNvSpPr/>
        </xdr:nvSpPr>
        <xdr:spPr>
          <a:xfrm>
            <a:off x="5757249" y="2962971"/>
            <a:ext cx="1186122" cy="222726"/>
          </a:xfrm>
          <a:prstGeom prst="roundRect">
            <a:avLst/>
          </a:prstGeom>
          <a:solidFill>
            <a:srgbClr val="3B3997"/>
          </a:solidFill>
          <a:ln>
            <a:noFill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696662">
              <a:lnSpc>
                <a:spcPct val="90000"/>
              </a:lnSpc>
              <a:defRPr/>
            </a:pPr>
            <a:r>
              <a:rPr lang="pt-BR" sz="741">
                <a:solidFill>
                  <a:prstClr val="white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Equatorial Pará</a:t>
            </a:r>
          </a:p>
        </xdr:txBody>
      </xdr:sp>
      <xdr:cxnSp macro="">
        <xdr:nvCxnSpPr>
          <xdr:cNvPr id="19" name="Conector reto 18">
            <a:extLst>
              <a:ext uri="{FF2B5EF4-FFF2-40B4-BE49-F238E27FC236}">
                <a16:creationId xmlns:a16="http://schemas.microsoft.com/office/drawing/2014/main" id="{00000000-0008-0000-6000-000013000000}"/>
              </a:ext>
            </a:extLst>
          </xdr:cNvPr>
          <xdr:cNvCxnSpPr/>
        </xdr:nvCxnSpPr>
        <xdr:spPr>
          <a:xfrm>
            <a:off x="5596863" y="3535681"/>
            <a:ext cx="164600" cy="1729"/>
          </a:xfrm>
          <a:prstGeom prst="line">
            <a:avLst/>
          </a:prstGeom>
          <a:noFill/>
          <a:ln w="6350" cap="flat" cmpd="sng" algn="ctr">
            <a:solidFill>
              <a:srgbClr val="00B0F0"/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Conector reto 19">
            <a:extLst>
              <a:ext uri="{FF2B5EF4-FFF2-40B4-BE49-F238E27FC236}">
                <a16:creationId xmlns:a16="http://schemas.microsoft.com/office/drawing/2014/main" id="{00000000-0008-0000-6000-000014000000}"/>
              </a:ext>
            </a:extLst>
          </xdr:cNvPr>
          <xdr:cNvCxnSpPr/>
        </xdr:nvCxnSpPr>
        <xdr:spPr>
          <a:xfrm>
            <a:off x="5592649" y="2653567"/>
            <a:ext cx="164600" cy="1729"/>
          </a:xfrm>
          <a:prstGeom prst="line">
            <a:avLst/>
          </a:prstGeom>
          <a:noFill/>
          <a:ln w="6350" cap="flat" cmpd="sng" algn="ctr">
            <a:solidFill>
              <a:srgbClr val="00B0F0"/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" name="Conector reto 20">
            <a:extLst>
              <a:ext uri="{FF2B5EF4-FFF2-40B4-BE49-F238E27FC236}">
                <a16:creationId xmlns:a16="http://schemas.microsoft.com/office/drawing/2014/main" id="{00000000-0008-0000-6000-000015000000}"/>
              </a:ext>
            </a:extLst>
          </xdr:cNvPr>
          <xdr:cNvCxnSpPr/>
        </xdr:nvCxnSpPr>
        <xdr:spPr>
          <a:xfrm>
            <a:off x="5592649" y="3097330"/>
            <a:ext cx="164600" cy="1729"/>
          </a:xfrm>
          <a:prstGeom prst="line">
            <a:avLst/>
          </a:prstGeom>
          <a:noFill/>
          <a:ln w="6350" cap="flat" cmpd="sng" algn="ctr">
            <a:solidFill>
              <a:srgbClr val="00B0F0"/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" name="Google Shape;220;p19">
            <a:extLst>
              <a:ext uri="{FF2B5EF4-FFF2-40B4-BE49-F238E27FC236}">
                <a16:creationId xmlns:a16="http://schemas.microsoft.com/office/drawing/2014/main" id="{00000000-0008-0000-6000-000016000000}"/>
              </a:ext>
            </a:extLst>
          </xdr:cNvPr>
          <xdr:cNvSpPr txBox="1"/>
        </xdr:nvSpPr>
        <xdr:spPr>
          <a:xfrm>
            <a:off x="6972769" y="3424052"/>
            <a:ext cx="543027" cy="201654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66392" tIns="33195" rIns="66392" bIns="33195" anchor="t" anchorCtr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defTabSz="817208">
              <a:buClr>
                <a:srgbClr val="FFC000"/>
              </a:buClr>
              <a:buSzPts val="3600"/>
              <a:defRPr/>
            </a:pPr>
            <a:r>
              <a:rPr lang="pt-BR" sz="838" b="1" kern="1600">
                <a:solidFill>
                  <a:srgbClr val="0070C0"/>
                </a:solidFill>
                <a:latin typeface="Arial" panose="020B0604020202020204" pitchFamily="34" charset="0"/>
                <a:ea typeface="Source Sans Pro"/>
                <a:cs typeface="Arial" panose="020B0604020202020204" pitchFamily="34" charset="0"/>
                <a:sym typeface="Source Sans Pro"/>
              </a:rPr>
              <a:t>90,75%</a:t>
            </a:r>
          </a:p>
        </xdr:txBody>
      </xdr:sp>
      <xdr:sp macro="" textlink="">
        <xdr:nvSpPr>
          <xdr:cNvPr id="23" name="Google Shape;220;p19">
            <a:extLst>
              <a:ext uri="{FF2B5EF4-FFF2-40B4-BE49-F238E27FC236}">
                <a16:creationId xmlns:a16="http://schemas.microsoft.com/office/drawing/2014/main" id="{00000000-0008-0000-6000-000017000000}"/>
              </a:ext>
            </a:extLst>
          </xdr:cNvPr>
          <xdr:cNvSpPr txBox="1"/>
        </xdr:nvSpPr>
        <xdr:spPr>
          <a:xfrm>
            <a:off x="6972768" y="3825036"/>
            <a:ext cx="613048" cy="201654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66392" tIns="33195" rIns="66392" bIns="33195" anchor="t" anchorCtr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defTabSz="817208">
              <a:buClr>
                <a:srgbClr val="FFC000"/>
              </a:buClr>
              <a:buSzPts val="3600"/>
              <a:defRPr/>
            </a:pPr>
            <a:r>
              <a:rPr lang="pt-BR" sz="838" b="1" kern="1600">
                <a:solidFill>
                  <a:srgbClr val="0070C0"/>
                </a:solidFill>
                <a:latin typeface="Arial" panose="020B0604020202020204" pitchFamily="34" charset="0"/>
                <a:ea typeface="Source Sans Pro"/>
                <a:cs typeface="Arial" panose="020B0604020202020204" pitchFamily="34" charset="0"/>
                <a:sym typeface="Source Sans Pro"/>
              </a:rPr>
              <a:t>18,15%</a:t>
            </a:r>
          </a:p>
        </xdr:txBody>
      </xdr:sp>
      <xdr:sp macro="" textlink="">
        <xdr:nvSpPr>
          <xdr:cNvPr id="24" name="Google Shape;220;p19">
            <a:extLst>
              <a:ext uri="{FF2B5EF4-FFF2-40B4-BE49-F238E27FC236}">
                <a16:creationId xmlns:a16="http://schemas.microsoft.com/office/drawing/2014/main" id="{00000000-0008-0000-6000-000018000000}"/>
              </a:ext>
            </a:extLst>
          </xdr:cNvPr>
          <xdr:cNvSpPr txBox="1"/>
        </xdr:nvSpPr>
        <xdr:spPr>
          <a:xfrm>
            <a:off x="5621421" y="1758040"/>
            <a:ext cx="682406" cy="201654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66392" tIns="33195" rIns="66392" bIns="33195" anchor="t" anchorCtr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defTabSz="817208">
              <a:buClr>
                <a:srgbClr val="FFC000"/>
              </a:buClr>
              <a:buSzPts val="3600"/>
              <a:defRPr/>
            </a:pPr>
            <a:r>
              <a:rPr lang="pt-BR" sz="838" b="1" kern="1600">
                <a:solidFill>
                  <a:srgbClr val="002060"/>
                </a:solidFill>
                <a:latin typeface="Arial" panose="020B0604020202020204" pitchFamily="34" charset="0"/>
                <a:ea typeface="Source Sans Pro"/>
                <a:cs typeface="Arial" panose="020B0604020202020204" pitchFamily="34" charset="0"/>
                <a:sym typeface="Source Sans Pro"/>
              </a:rPr>
              <a:t>95,53%</a:t>
            </a:r>
          </a:p>
        </xdr:txBody>
      </xdr:sp>
      <xdr:sp macro="" textlink="">
        <xdr:nvSpPr>
          <xdr:cNvPr id="25" name="Google Shape;220;p19">
            <a:extLst>
              <a:ext uri="{FF2B5EF4-FFF2-40B4-BE49-F238E27FC236}">
                <a16:creationId xmlns:a16="http://schemas.microsoft.com/office/drawing/2014/main" id="{00000000-0008-0000-6000-000019000000}"/>
              </a:ext>
            </a:extLst>
          </xdr:cNvPr>
          <xdr:cNvSpPr txBox="1"/>
        </xdr:nvSpPr>
        <xdr:spPr>
          <a:xfrm>
            <a:off x="6972769" y="2554307"/>
            <a:ext cx="924825" cy="201654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66392" tIns="33195" rIns="66392" bIns="33195" anchor="t" anchorCtr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defTabSz="817208">
              <a:buClr>
                <a:srgbClr val="FFC000"/>
              </a:buClr>
              <a:buSzPts val="3600"/>
              <a:defRPr/>
            </a:pPr>
            <a:r>
              <a:rPr lang="pt-BR" sz="838" b="1" kern="1600">
                <a:solidFill>
                  <a:srgbClr val="0070C0"/>
                </a:solidFill>
                <a:latin typeface="Arial" panose="020B0604020202020204" pitchFamily="34" charset="0"/>
                <a:ea typeface="Source Sans Pro"/>
                <a:cs typeface="Arial" panose="020B0604020202020204" pitchFamily="34" charset="0"/>
                <a:sym typeface="Source Sans Pro"/>
              </a:rPr>
              <a:t>62,19%</a:t>
            </a:r>
          </a:p>
        </xdr:txBody>
      </xdr:sp>
      <xdr:sp macro="" textlink="">
        <xdr:nvSpPr>
          <xdr:cNvPr id="26" name="Google Shape;220;p19">
            <a:extLst>
              <a:ext uri="{FF2B5EF4-FFF2-40B4-BE49-F238E27FC236}">
                <a16:creationId xmlns:a16="http://schemas.microsoft.com/office/drawing/2014/main" id="{00000000-0008-0000-6000-00001A000000}"/>
              </a:ext>
            </a:extLst>
          </xdr:cNvPr>
          <xdr:cNvSpPr txBox="1"/>
        </xdr:nvSpPr>
        <xdr:spPr>
          <a:xfrm>
            <a:off x="6972769" y="2993909"/>
            <a:ext cx="608630" cy="201654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66392" tIns="33195" rIns="66392" bIns="33195" anchor="t" anchorCtr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defTabSz="817208">
              <a:buClr>
                <a:srgbClr val="FFC000"/>
              </a:buClr>
              <a:buSzPts val="3600"/>
              <a:defRPr/>
            </a:pPr>
            <a:r>
              <a:rPr lang="pt-BR" sz="838" b="1" kern="1600">
                <a:solidFill>
                  <a:srgbClr val="0070C0"/>
                </a:solidFill>
                <a:latin typeface="Arial" panose="020B0604020202020204" pitchFamily="34" charset="0"/>
                <a:ea typeface="Source Sans Pro"/>
                <a:cs typeface="Arial" panose="020B0604020202020204" pitchFamily="34" charset="0"/>
                <a:sym typeface="Source Sans Pro"/>
              </a:rPr>
              <a:t>92,19%</a:t>
            </a:r>
          </a:p>
        </xdr:txBody>
      </xdr:sp>
      <xdr:cxnSp macro="">
        <xdr:nvCxnSpPr>
          <xdr:cNvPr id="27" name="Conector reto 26">
            <a:extLst>
              <a:ext uri="{FF2B5EF4-FFF2-40B4-BE49-F238E27FC236}">
                <a16:creationId xmlns:a16="http://schemas.microsoft.com/office/drawing/2014/main" id="{00000000-0008-0000-6000-00001B000000}"/>
              </a:ext>
            </a:extLst>
          </xdr:cNvPr>
          <xdr:cNvCxnSpPr/>
        </xdr:nvCxnSpPr>
        <xdr:spPr>
          <a:xfrm>
            <a:off x="4553922" y="1297426"/>
            <a:ext cx="144000" cy="0"/>
          </a:xfrm>
          <a:prstGeom prst="line">
            <a:avLst/>
          </a:prstGeom>
          <a:noFill/>
          <a:ln w="6350" cap="flat" cmpd="sng" algn="ctr">
            <a:solidFill>
              <a:srgbClr val="002060"/>
            </a:solidFill>
            <a:prstDash val="solid"/>
            <a:miter lim="800000"/>
          </a:ln>
          <a:effectLst/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" name="Conector reto 27">
            <a:extLst>
              <a:ext uri="{FF2B5EF4-FFF2-40B4-BE49-F238E27FC236}">
                <a16:creationId xmlns:a16="http://schemas.microsoft.com/office/drawing/2014/main" id="{00000000-0008-0000-6000-00001C000000}"/>
              </a:ext>
            </a:extLst>
          </xdr:cNvPr>
          <xdr:cNvCxnSpPr>
            <a:cxnSpLocks/>
          </xdr:cNvCxnSpPr>
        </xdr:nvCxnSpPr>
        <xdr:spPr>
          <a:xfrm flipV="1">
            <a:off x="4552577" y="1297426"/>
            <a:ext cx="0" cy="2700000"/>
          </a:xfrm>
          <a:prstGeom prst="line">
            <a:avLst/>
          </a:prstGeom>
          <a:ln w="12700">
            <a:solidFill>
              <a:srgbClr val="00206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9" name="Google Shape;220;p19">
            <a:extLst>
              <a:ext uri="{FF2B5EF4-FFF2-40B4-BE49-F238E27FC236}">
                <a16:creationId xmlns:a16="http://schemas.microsoft.com/office/drawing/2014/main" id="{00000000-0008-0000-6000-00001D000000}"/>
              </a:ext>
            </a:extLst>
          </xdr:cNvPr>
          <xdr:cNvSpPr txBox="1"/>
        </xdr:nvSpPr>
        <xdr:spPr>
          <a:xfrm>
            <a:off x="4552576" y="3796097"/>
            <a:ext cx="445064" cy="195984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66392" tIns="33195" rIns="66392" bIns="33195" anchor="t" anchorCtr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defTabSz="817208">
              <a:buClr>
                <a:srgbClr val="FFC000"/>
              </a:buClr>
              <a:buSzPts val="3600"/>
              <a:defRPr/>
            </a:pPr>
            <a:r>
              <a:rPr lang="pt-BR" sz="838" b="1" kern="1600">
                <a:solidFill>
                  <a:srgbClr val="002060"/>
                </a:solidFill>
                <a:latin typeface="Arial" panose="020B0604020202020204" pitchFamily="34" charset="0"/>
                <a:ea typeface="Source Sans Pro"/>
                <a:cs typeface="Arial" panose="020B0604020202020204" pitchFamily="34" charset="0"/>
                <a:sym typeface="Source Sans Pro"/>
              </a:rPr>
              <a:t>77,4%</a:t>
            </a:r>
          </a:p>
        </xdr:txBody>
      </xdr:sp>
      <xdr:sp macro="" textlink="">
        <xdr:nvSpPr>
          <xdr:cNvPr id="30" name="Retângulo: Cantos Arredondados 29">
            <a:extLst>
              <a:ext uri="{FF2B5EF4-FFF2-40B4-BE49-F238E27FC236}">
                <a16:creationId xmlns:a16="http://schemas.microsoft.com/office/drawing/2014/main" id="{00000000-0008-0000-6000-00001E000000}"/>
              </a:ext>
            </a:extLst>
          </xdr:cNvPr>
          <xdr:cNvSpPr/>
        </xdr:nvSpPr>
        <xdr:spPr>
          <a:xfrm>
            <a:off x="6424277" y="2052285"/>
            <a:ext cx="682954" cy="265839"/>
          </a:xfrm>
          <a:prstGeom prst="roundRect">
            <a:avLst>
              <a:gd name="adj" fmla="val 50000"/>
            </a:avLst>
          </a:prstGeom>
          <a:noFill/>
          <a:ln>
            <a:solidFill>
              <a:srgbClr val="00B0F0"/>
            </a:solidFill>
            <a:prstDash val="sysDot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pt-BR" sz="700">
                <a:solidFill>
                  <a:srgbClr val="00B0F0"/>
                </a:solidFill>
              </a:rPr>
              <a:t>Veículo da Operação</a:t>
            </a:r>
          </a:p>
        </xdr:txBody>
      </xdr:sp>
      <xdr:sp macro="" textlink="">
        <xdr:nvSpPr>
          <xdr:cNvPr id="31" name="Seta: para Baixo 30">
            <a:extLst>
              <a:ext uri="{FF2B5EF4-FFF2-40B4-BE49-F238E27FC236}">
                <a16:creationId xmlns:a16="http://schemas.microsoft.com/office/drawing/2014/main" id="{00000000-0008-0000-6000-00001F000000}"/>
              </a:ext>
            </a:extLst>
          </xdr:cNvPr>
          <xdr:cNvSpPr/>
        </xdr:nvSpPr>
        <xdr:spPr>
          <a:xfrm rot="16200000">
            <a:off x="6271000" y="2143697"/>
            <a:ext cx="89158" cy="114569"/>
          </a:xfrm>
          <a:prstGeom prst="downArrow">
            <a:avLst>
              <a:gd name="adj1" fmla="val 50000"/>
              <a:gd name="adj2" fmla="val 60683"/>
            </a:avLst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</xdr:grpSp>
    <xdr:clientData/>
  </xdr:twoCellAnchor>
  <xdr:twoCellAnchor>
    <xdr:from>
      <xdr:col>3</xdr:col>
      <xdr:colOff>0</xdr:colOff>
      <xdr:row>1</xdr:row>
      <xdr:rowOff>100854</xdr:rowOff>
    </xdr:from>
    <xdr:to>
      <xdr:col>3</xdr:col>
      <xdr:colOff>2027358</xdr:colOff>
      <xdr:row>3</xdr:row>
      <xdr:rowOff>6032</xdr:rowOff>
    </xdr:to>
    <xdr:sp macro="" textlink="">
      <xdr:nvSpPr>
        <xdr:cNvPr id="43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6000-00002B000000}"/>
            </a:ext>
          </a:extLst>
        </xdr:cNvPr>
        <xdr:cNvSpPr/>
      </xdr:nvSpPr>
      <xdr:spPr>
        <a:xfrm>
          <a:off x="4140200" y="265954"/>
          <a:ext cx="2027358" cy="235378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160692</xdr:colOff>
      <xdr:row>1</xdr:row>
      <xdr:rowOff>145046</xdr:rowOff>
    </xdr:from>
    <xdr:to>
      <xdr:col>2</xdr:col>
      <xdr:colOff>2228903</xdr:colOff>
      <xdr:row>3</xdr:row>
      <xdr:rowOff>57844</xdr:rowOff>
    </xdr:to>
    <xdr:sp macro="" textlink="">
      <xdr:nvSpPr>
        <xdr:cNvPr id="4" name="Retângulo: Cantos Arredondados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6100-000004000000}"/>
            </a:ext>
          </a:extLst>
        </xdr:cNvPr>
        <xdr:cNvSpPr/>
      </xdr:nvSpPr>
      <xdr:spPr>
        <a:xfrm>
          <a:off x="855457" y="324340"/>
          <a:ext cx="2068211" cy="271386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Retornar ao Menu</a:t>
          </a:r>
        </a:p>
      </xdr:txBody>
    </xdr:sp>
    <xdr:clientData/>
  </xdr:twoCellAnchor>
  <xdr:twoCellAnchor>
    <xdr:from>
      <xdr:col>2</xdr:col>
      <xdr:colOff>2333780</xdr:colOff>
      <xdr:row>1</xdr:row>
      <xdr:rowOff>145677</xdr:rowOff>
    </xdr:from>
    <xdr:to>
      <xdr:col>3</xdr:col>
      <xdr:colOff>1665133</xdr:colOff>
      <xdr:row>3</xdr:row>
      <xdr:rowOff>58098</xdr:rowOff>
    </xdr:to>
    <xdr:sp macro="" textlink="">
      <xdr:nvSpPr>
        <xdr:cNvPr id="5" name="Retângulo: Cantos Arredondado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6100-000005000000}"/>
            </a:ext>
          </a:extLst>
        </xdr:cNvPr>
        <xdr:cNvSpPr/>
      </xdr:nvSpPr>
      <xdr:spPr>
        <a:xfrm>
          <a:off x="3039751" y="324971"/>
          <a:ext cx="2088000" cy="271009"/>
        </a:xfrm>
        <a:prstGeom prst="roundRect">
          <a:avLst>
            <a:gd name="adj" fmla="val 35417"/>
          </a:avLst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/>
            <a:t>Return to Menu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OAO PEDRO PASCHOAL E SILVA" id="{681B4F52-E29F-424D-8909-0D10A574B0D5}" userId="S::joao.e@equatorialenergia.com.br::1bcbc1c4-6e40-4aa0-8d4d-35196ede728a" providerId="AD"/>
</personList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47" dT="2025-07-22T17:33:49.98" personId="{681B4F52-E29F-424D-8909-0D10A574B0D5}" id="{1CA7D73B-96E4-47AC-A46A-CA327F8C1783}">
    <text>Acréscimo moratório de energia vendida</text>
  </threadedComment>
  <threadedComment ref="J47" dT="2025-07-22T17:17:06.78" personId="{681B4F52-E29F-424D-8909-0D10A574B0D5}" id="{5EF54532-A028-4F89-9BCF-24FD29A0DFD0}">
    <text>Acréscimo moratório de energia vendida</text>
  </threadedComment>
  <threadedComment ref="O47" dT="2025-07-17T19:27:52.49" personId="{681B4F52-E29F-424D-8909-0D10A574B0D5}" id="{CDAD06C5-D422-425B-A737-8E70827CB89D}">
    <text>Atualização de provisão para redução ao valor recuperável do contas a receber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I47" dT="2025-07-29T20:54:04.90" personId="{681B4F52-E29F-424D-8909-0D10A574B0D5}" id="{453C0A41-514B-49E0-8930-56B5EB10B5E3}">
    <text xml:space="preserve">Acréscimo moratório de energia vendida 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J47" dT="2025-08-04T19:14:26.17" personId="{681B4F52-E29F-424D-8909-0D10A574B0D5}" id="{19691B2A-A162-4840-A9F1-E06717E8D2B3}">
    <text>Acréscimo moratório de energia vendida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18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19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20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21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2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2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24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25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26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6.xml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2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28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29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30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31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6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hyperlink" Target="https://www.lawinsider.com/clause/advance-for-future-capital-increase-afac" TargetMode="External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hyperlink" Target="https://www.lawinsider.com/clause/advance-for-future-capital-increase-afac" TargetMode="External"/></Relationships>
</file>

<file path=xl/worksheets/_rels/sheet8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0.xml"/><Relationship Id="rId1" Type="http://schemas.openxmlformats.org/officeDocument/2006/relationships/hyperlink" Target="https://www.lawinsider.com/clause/advance-for-future-capital-increase-afac" TargetMode="Externa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8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1.xml"/><Relationship Id="rId1" Type="http://schemas.openxmlformats.org/officeDocument/2006/relationships/hyperlink" Target="https://www.lawinsider.com/clause/advance-for-future-capital-increase-afac" TargetMode="External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8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82.xml"/><Relationship Id="rId1" Type="http://schemas.openxmlformats.org/officeDocument/2006/relationships/hyperlink" Target="https://www.lawinsider.com/clause/advance-for-future-capital-increase-afac" TargetMode="External"/><Relationship Id="rId5" Type="http://schemas.microsoft.com/office/2017/10/relationships/threadedComment" Target="../threadedComments/threadedComment3.xml"/><Relationship Id="rId4" Type="http://schemas.openxmlformats.org/officeDocument/2006/relationships/comments" Target="../comments3.xml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hyperlink" Target="https://www.lawinsider.com/clause/advance-for-future-capital-increase-afac" TargetMode="External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hyperlink" Target="https://www.lawinsider.com/clause/advance-for-future-capital-increase-afac" TargetMode="External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hyperlink" Target="https://www.lawinsider.com/clause/advance-for-future-capital-increase-afac" TargetMode="Externa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7.xml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hyperlink" Target="https://www.lawinsider.com/clause/advance-for-future-capital-increase-afac" TargetMode="External"/></Relationships>
</file>

<file path=xl/worksheets/_rels/sheet8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9.xml"/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s://www.lawinsider.com/clause/advance-for-future-capital-increase-afac" TargetMode="Externa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0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33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34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35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36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37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0.xml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38.bin"/></Relationships>
</file>

<file path=xl/worksheets/_rels/sheet10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9.bin"/><Relationship Id="rId3" Type="http://schemas.openxmlformats.org/officeDocument/2006/relationships/hyperlink" Target="https://leis.org/aneel/lei/resolucao-homologatoria/2026/3572/resolucao-homologatoria-n-3572-2026" TargetMode="External"/><Relationship Id="rId7" Type="http://schemas.openxmlformats.org/officeDocument/2006/relationships/hyperlink" Target="https://sei.aneel.gov.br/sei/modulos/pesquisa/md_pesq_documento_consulta_externa.php?yPDszXhdoNcWQHJaQlHJmJIqCNXRK_Sh2SMdn1U-tzODAgpJhONbMVPLhUXkGMOclhKscfRFhqLaSZI2KwXHqyXcFjO9WRebEA0wuZPVPz2S5At7ab4Akaw7dOqY5pgZ" TargetMode="External"/><Relationship Id="rId2" Type="http://schemas.openxmlformats.org/officeDocument/2006/relationships/hyperlink" Target="https://www2.aneel.gov.br/cedoc/areh20253544_1.pdf" TargetMode="External"/><Relationship Id="rId1" Type="http://schemas.openxmlformats.org/officeDocument/2006/relationships/hyperlink" Target="https://leis.org/aneel/lei/resolucao-homologatoria/2026/3604/resolucao-homologatoria-n-3604-2026" TargetMode="External"/><Relationship Id="rId6" Type="http://schemas.openxmlformats.org/officeDocument/2006/relationships/hyperlink" Target="https://sei.aneel.gov.br/sei/modulos/pesquisa/md_pesq_documento_consulta_externa.php?yPDszXhdoNcWQHJaQlHJmJIqCNXRK_Sh2SMdn1U-tzODAgpJhONbMVPLhUXkGMOclhKscfRFhqLaSZI2KwXHqyXcFjO9WRebEA0wuZPVPz2S5At7ab4Akaw7dOqY5pgZ" TargetMode="External"/><Relationship Id="rId5" Type="http://schemas.openxmlformats.org/officeDocument/2006/relationships/hyperlink" Target="https://leis.org/aneel/lei/resolucao-homologatoria/2026/3608/resolucao-homologatoria-n-3608-2026" TargetMode="External"/><Relationship Id="rId4" Type="http://schemas.openxmlformats.org/officeDocument/2006/relationships/hyperlink" Target="https://sei.aneel.gov.br/sei/modulos/pesquisa/md_pesq_documento_consulta_externa.php?yPDszXhdoNcWQHJaQlHJmJIqCNXRK_Sh2SMdn1U-tzOtymLhbx26KQdAKdE1rufJOs5JhI_niBw9Sv7VpRh8XnICV8ebQ5K3TuHO_LlZC5lCQ8Mt8UbARNy_ooA1qu1R" TargetMode="External"/><Relationship Id="rId9" Type="http://schemas.openxmlformats.org/officeDocument/2006/relationships/drawing" Target="../drawings/drawing102.xml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40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B4:D22"/>
  <sheetViews>
    <sheetView showGridLines="0" zoomScale="85" zoomScaleNormal="85" workbookViewId="0">
      <selection activeCell="G25" sqref="G25"/>
    </sheetView>
  </sheetViews>
  <sheetFormatPr defaultRowHeight="14.4"/>
  <cols>
    <col min="2" max="2" width="1.44140625" customWidth="1"/>
    <col min="3" max="3" width="12.21875" bestFit="1" customWidth="1"/>
    <col min="8" max="8" width="3" customWidth="1"/>
    <col min="13" max="13" width="3" customWidth="1"/>
  </cols>
  <sheetData>
    <row r="4" spans="2:4" s="2" customFormat="1" ht="32.549999999999997" customHeight="1">
      <c r="B4" s="3" t="s">
        <v>0</v>
      </c>
    </row>
    <row r="6" spans="2:4">
      <c r="C6" s="577" t="s">
        <v>1</v>
      </c>
      <c r="D6" t="s">
        <v>2</v>
      </c>
    </row>
    <row r="7" spans="2:4">
      <c r="C7" s="577" t="s">
        <v>3</v>
      </c>
      <c r="D7" t="s">
        <v>4</v>
      </c>
    </row>
    <row r="8" spans="2:4">
      <c r="C8" s="577" t="s">
        <v>3</v>
      </c>
      <c r="D8" t="s">
        <v>5</v>
      </c>
    </row>
    <row r="9" spans="2:4">
      <c r="C9" s="577">
        <v>45783</v>
      </c>
      <c r="D9" s="576" t="s">
        <v>6</v>
      </c>
    </row>
    <row r="10" spans="2:4">
      <c r="C10" s="579" t="s">
        <v>7</v>
      </c>
      <c r="D10" t="s">
        <v>8</v>
      </c>
    </row>
    <row r="11" spans="2:4">
      <c r="C11" s="579" t="s">
        <v>7</v>
      </c>
      <c r="D11" t="s">
        <v>9</v>
      </c>
    </row>
    <row r="12" spans="2:4">
      <c r="C12" s="579" t="s">
        <v>7</v>
      </c>
      <c r="D12" t="s">
        <v>2059</v>
      </c>
    </row>
    <row r="13" spans="2:4">
      <c r="C13" s="579" t="s">
        <v>7</v>
      </c>
      <c r="D13" t="s">
        <v>2056</v>
      </c>
    </row>
    <row r="14" spans="2:4">
      <c r="C14" s="579" t="s">
        <v>2107</v>
      </c>
      <c r="D14" t="s">
        <v>2067</v>
      </c>
    </row>
    <row r="15" spans="2:4">
      <c r="C15" s="579" t="s">
        <v>2349</v>
      </c>
      <c r="D15" t="s">
        <v>2108</v>
      </c>
    </row>
    <row r="16" spans="2:4">
      <c r="C16" s="579" t="s">
        <v>2350</v>
      </c>
      <c r="D16" t="s">
        <v>2146</v>
      </c>
    </row>
    <row r="17" spans="3:4">
      <c r="C17" s="579" t="s">
        <v>2351</v>
      </c>
      <c r="D17" t="s">
        <v>2489</v>
      </c>
    </row>
    <row r="18" spans="3:4">
      <c r="C18" s="579" t="s">
        <v>2548</v>
      </c>
      <c r="D18" s="576" t="s">
        <v>2545</v>
      </c>
    </row>
    <row r="19" spans="3:4">
      <c r="C19" s="579" t="s">
        <v>2544</v>
      </c>
      <c r="D19" s="576" t="s">
        <v>2546</v>
      </c>
    </row>
    <row r="20" spans="3:4">
      <c r="C20" s="579" t="s">
        <v>2544</v>
      </c>
      <c r="D20" s="576" t="s">
        <v>2547</v>
      </c>
    </row>
    <row r="21" spans="3:4">
      <c r="C21" s="804">
        <v>46283</v>
      </c>
      <c r="D21" s="576" t="s">
        <v>2611</v>
      </c>
    </row>
    <row r="22" spans="3:4">
      <c r="C22" s="804">
        <v>46283</v>
      </c>
      <c r="D22" s="576" t="s">
        <v>2612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79998168889431442"/>
  </sheetPr>
  <dimension ref="B4:D22"/>
  <sheetViews>
    <sheetView showGridLines="0" zoomScale="85" zoomScaleNormal="85" workbookViewId="0">
      <selection activeCell="E26" sqref="E26"/>
    </sheetView>
  </sheetViews>
  <sheetFormatPr defaultRowHeight="14.4"/>
  <cols>
    <col min="2" max="2" width="1.44140625" customWidth="1"/>
    <col min="3" max="3" width="17.44140625" bestFit="1" customWidth="1"/>
    <col min="8" max="8" width="3" customWidth="1"/>
    <col min="13" max="13" width="3" customWidth="1"/>
  </cols>
  <sheetData>
    <row r="4" spans="2:4" s="2" customFormat="1" ht="32.549999999999997" customHeight="1">
      <c r="B4" s="3" t="s">
        <v>10</v>
      </c>
    </row>
    <row r="6" spans="2:4">
      <c r="C6" s="577" t="s">
        <v>11</v>
      </c>
      <c r="D6" t="s">
        <v>12</v>
      </c>
    </row>
    <row r="7" spans="2:4">
      <c r="C7" s="577" t="s">
        <v>13</v>
      </c>
      <c r="D7" t="s">
        <v>14</v>
      </c>
    </row>
    <row r="8" spans="2:4">
      <c r="C8" s="577" t="s">
        <v>13</v>
      </c>
      <c r="D8" t="s">
        <v>15</v>
      </c>
    </row>
    <row r="9" spans="2:4">
      <c r="C9" s="577" t="s">
        <v>16</v>
      </c>
      <c r="D9" s="576" t="s">
        <v>17</v>
      </c>
    </row>
    <row r="10" spans="2:4">
      <c r="C10" s="579" t="s">
        <v>18</v>
      </c>
      <c r="D10" t="s">
        <v>19</v>
      </c>
    </row>
    <row r="11" spans="2:4">
      <c r="C11" s="579" t="s">
        <v>18</v>
      </c>
      <c r="D11" t="s">
        <v>20</v>
      </c>
    </row>
    <row r="12" spans="2:4">
      <c r="C12" s="579" t="s">
        <v>18</v>
      </c>
      <c r="D12" t="s">
        <v>2058</v>
      </c>
    </row>
    <row r="13" spans="2:4">
      <c r="C13" s="579" t="s">
        <v>18</v>
      </c>
      <c r="D13" t="s">
        <v>2057</v>
      </c>
    </row>
    <row r="14" spans="2:4">
      <c r="C14" s="579" t="s">
        <v>2069</v>
      </c>
      <c r="D14" t="s">
        <v>2068</v>
      </c>
    </row>
    <row r="15" spans="2:4">
      <c r="C15" s="579" t="s">
        <v>2110</v>
      </c>
      <c r="D15" t="s">
        <v>2109</v>
      </c>
    </row>
    <row r="16" spans="2:4">
      <c r="C16" s="577" t="s">
        <v>2147</v>
      </c>
      <c r="D16" t="s">
        <v>2148</v>
      </c>
    </row>
    <row r="17" spans="3:4">
      <c r="C17" s="577" t="s">
        <v>2353</v>
      </c>
      <c r="D17" t="s">
        <v>2352</v>
      </c>
    </row>
    <row r="18" spans="3:4">
      <c r="C18" t="s">
        <v>2552</v>
      </c>
      <c r="D18" s="576" t="s">
        <v>2549</v>
      </c>
    </row>
    <row r="19" spans="3:4">
      <c r="C19" t="s">
        <v>2553</v>
      </c>
      <c r="D19" t="s">
        <v>2550</v>
      </c>
    </row>
    <row r="20" spans="3:4">
      <c r="C20" t="s">
        <v>2553</v>
      </c>
      <c r="D20" t="s">
        <v>2551</v>
      </c>
    </row>
    <row r="21" spans="3:4">
      <c r="C21" t="s">
        <v>2615</v>
      </c>
      <c r="D21" t="s">
        <v>2613</v>
      </c>
    </row>
    <row r="22" spans="3:4">
      <c r="C22" t="s">
        <v>2615</v>
      </c>
      <c r="D22" t="s">
        <v>2614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79998168889431442"/>
  </sheetPr>
  <dimension ref="B4:Q8"/>
  <sheetViews>
    <sheetView showGridLines="0" zoomScale="85" zoomScaleNormal="85" workbookViewId="0">
      <selection activeCell="P17" sqref="P17"/>
    </sheetView>
  </sheetViews>
  <sheetFormatPr defaultRowHeight="14.4"/>
  <cols>
    <col min="2" max="2" width="1.44140625" customWidth="1"/>
    <col min="8" max="8" width="3" customWidth="1"/>
    <col min="13" max="13" width="3" customWidth="1"/>
  </cols>
  <sheetData>
    <row r="4" spans="2:17" s="2" customFormat="1" ht="32.549999999999997" customHeight="1">
      <c r="B4" s="3" t="s">
        <v>25</v>
      </c>
    </row>
    <row r="8" spans="2:17" ht="30.3" customHeight="1">
      <c r="D8" s="33" t="s">
        <v>26</v>
      </c>
      <c r="E8" s="34"/>
      <c r="F8" s="34"/>
      <c r="G8" s="34"/>
      <c r="I8" s="33" t="s">
        <v>27</v>
      </c>
      <c r="J8" s="34"/>
      <c r="K8" s="34"/>
      <c r="L8" s="34"/>
      <c r="N8" s="806" t="s">
        <v>28</v>
      </c>
      <c r="O8" s="806"/>
      <c r="P8" s="806"/>
      <c r="Q8" s="806"/>
    </row>
  </sheetData>
  <mergeCells count="1">
    <mergeCell ref="N8:Q8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B4:Q8"/>
  <sheetViews>
    <sheetView showGridLines="0" zoomScale="85" zoomScaleNormal="85" workbookViewId="0">
      <selection activeCell="Q19" sqref="Q19"/>
    </sheetView>
  </sheetViews>
  <sheetFormatPr defaultRowHeight="14.4"/>
  <cols>
    <col min="2" max="2" width="1.44140625" customWidth="1"/>
    <col min="8" max="8" width="3" customWidth="1"/>
    <col min="13" max="13" width="3" customWidth="1"/>
  </cols>
  <sheetData>
    <row r="4" spans="2:17" s="2" customFormat="1" ht="32.549999999999997" customHeight="1">
      <c r="B4" s="3" t="s">
        <v>21</v>
      </c>
    </row>
    <row r="8" spans="2:17" ht="30.3" customHeight="1">
      <c r="D8" s="806" t="s">
        <v>22</v>
      </c>
      <c r="E8" s="806"/>
      <c r="F8" s="806"/>
      <c r="G8" s="806"/>
      <c r="I8" s="33" t="s">
        <v>23</v>
      </c>
      <c r="J8" s="34"/>
      <c r="K8" s="34"/>
      <c r="L8" s="34"/>
      <c r="N8" s="806" t="s">
        <v>24</v>
      </c>
      <c r="O8" s="806"/>
      <c r="P8" s="806"/>
      <c r="Q8" s="806"/>
    </row>
  </sheetData>
  <mergeCells count="2">
    <mergeCell ref="D8:G8"/>
    <mergeCell ref="N8:Q8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B4:U8"/>
  <sheetViews>
    <sheetView showGridLines="0" zoomScale="85" zoomScaleNormal="85" workbookViewId="0">
      <selection activeCell="R8" sqref="R8:U8"/>
    </sheetView>
  </sheetViews>
  <sheetFormatPr defaultRowHeight="14.4"/>
  <cols>
    <col min="5" max="5" width="5.109375" customWidth="1"/>
    <col min="11" max="12" width="2" customWidth="1"/>
    <col min="17" max="17" width="2" customWidth="1"/>
    <col min="22" max="22" width="2" customWidth="1"/>
  </cols>
  <sheetData>
    <row r="4" spans="2:21" s="2" customFormat="1" ht="32.549999999999997" customHeight="1">
      <c r="B4" s="3" t="s">
        <v>29</v>
      </c>
    </row>
    <row r="8" spans="2:21" ht="30.3" customHeight="1">
      <c r="B8" s="33" t="s">
        <v>1564</v>
      </c>
      <c r="C8" s="34"/>
      <c r="D8" s="34"/>
      <c r="E8" s="34"/>
      <c r="G8" s="33" t="s">
        <v>30</v>
      </c>
      <c r="H8" s="34"/>
      <c r="I8" s="34"/>
      <c r="J8" s="34"/>
      <c r="M8" s="33" t="s">
        <v>31</v>
      </c>
      <c r="N8" s="34"/>
      <c r="O8" s="34"/>
      <c r="P8" s="34"/>
      <c r="R8" s="806" t="s">
        <v>32</v>
      </c>
      <c r="S8" s="806"/>
      <c r="T8" s="806"/>
      <c r="U8" s="806"/>
    </row>
  </sheetData>
  <mergeCells count="1">
    <mergeCell ref="R8:U8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79998168889431442"/>
  </sheetPr>
  <dimension ref="B4:V8"/>
  <sheetViews>
    <sheetView showGridLines="0" topLeftCell="XED1" zoomScale="85" zoomScaleNormal="85" workbookViewId="0">
      <selection activeCell="XFD8" sqref="XFD8"/>
    </sheetView>
  </sheetViews>
  <sheetFormatPr defaultRowHeight="14.4"/>
  <cols>
    <col min="6" max="6" width="1.44140625" customWidth="1"/>
    <col min="12" max="13" width="2" customWidth="1"/>
    <col min="18" max="18" width="2" customWidth="1"/>
    <col min="23" max="23" width="2" customWidth="1"/>
  </cols>
  <sheetData>
    <row r="4" spans="2:22" s="2" customFormat="1" ht="32.549999999999997" customHeight="1">
      <c r="B4" s="3" t="s">
        <v>33</v>
      </c>
    </row>
    <row r="8" spans="2:22" ht="30.3" customHeight="1">
      <c r="B8" s="33" t="s">
        <v>2347</v>
      </c>
      <c r="C8" s="34"/>
      <c r="D8" s="34"/>
      <c r="E8" s="34"/>
      <c r="H8" s="33" t="s">
        <v>34</v>
      </c>
      <c r="I8" s="34"/>
      <c r="J8" s="34"/>
      <c r="K8" s="34"/>
      <c r="N8" s="33" t="s">
        <v>35</v>
      </c>
      <c r="O8" s="34"/>
      <c r="P8" s="34"/>
      <c r="Q8" s="34"/>
      <c r="S8" s="806" t="s">
        <v>36</v>
      </c>
      <c r="T8" s="806"/>
      <c r="U8" s="806"/>
      <c r="V8" s="806"/>
    </row>
  </sheetData>
  <mergeCells count="1">
    <mergeCell ref="S8:V8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E23B8-98CF-4F30-9C10-268484960E2C}">
  <sheetPr>
    <tabColor theme="9" tint="0.79998168889431442"/>
  </sheetPr>
  <dimension ref="B7:M28"/>
  <sheetViews>
    <sheetView zoomScale="85" zoomScaleNormal="85" workbookViewId="0">
      <selection activeCell="M9" sqref="M9"/>
    </sheetView>
  </sheetViews>
  <sheetFormatPr defaultColWidth="9.21875" defaultRowHeight="15" customHeight="1"/>
  <cols>
    <col min="1" max="1" width="8.5546875" style="35" customWidth="1"/>
    <col min="2" max="3" width="53.109375" style="35" customWidth="1"/>
    <col min="4" max="4" width="9.5546875" style="35" bestFit="1" customWidth="1"/>
    <col min="5" max="5" width="10.5546875" style="35" bestFit="1" customWidth="1"/>
    <col min="6" max="6" width="10.77734375" style="35" bestFit="1" customWidth="1"/>
    <col min="7" max="8" width="9.88671875" style="35" bestFit="1" customWidth="1"/>
    <col min="9" max="9" width="8.44140625" style="35" bestFit="1" customWidth="1"/>
    <col min="10" max="10" width="8.109375" style="35" bestFit="1" customWidth="1"/>
    <col min="11" max="13" width="9.5546875" style="35" bestFit="1" customWidth="1"/>
    <col min="14" max="16384" width="9.21875" style="35"/>
  </cols>
  <sheetData>
    <row r="7" spans="2:13" ht="15" customHeight="1" thickBot="1">
      <c r="B7" s="675" t="s">
        <v>2164</v>
      </c>
      <c r="C7" s="675" t="s">
        <v>2201</v>
      </c>
      <c r="D7" s="670" t="s">
        <v>83</v>
      </c>
      <c r="E7" s="670" t="s">
        <v>84</v>
      </c>
      <c r="F7" s="670" t="s">
        <v>85</v>
      </c>
      <c r="G7" s="670" t="s">
        <v>86</v>
      </c>
      <c r="H7" s="670" t="s">
        <v>87</v>
      </c>
      <c r="I7" s="670" t="s">
        <v>88</v>
      </c>
      <c r="J7" s="670" t="s">
        <v>2074</v>
      </c>
      <c r="K7" s="670" t="s">
        <v>2127</v>
      </c>
      <c r="L7" s="670" t="s">
        <v>2360</v>
      </c>
      <c r="M7" s="670" t="s">
        <v>2494</v>
      </c>
    </row>
    <row r="8" spans="2:13" ht="15" customHeight="1" thickBot="1">
      <c r="B8" s="676" t="s">
        <v>2165</v>
      </c>
      <c r="C8" s="676" t="s">
        <v>2186</v>
      </c>
      <c r="D8" s="684"/>
      <c r="E8" s="684"/>
      <c r="F8" s="684"/>
      <c r="G8" s="684"/>
      <c r="H8" s="684"/>
      <c r="I8" s="684"/>
      <c r="J8" s="684"/>
      <c r="K8" s="684"/>
      <c r="L8" s="684"/>
      <c r="M8" s="684"/>
    </row>
    <row r="9" spans="2:13" ht="15" customHeight="1">
      <c r="B9" s="677" t="s">
        <v>2166</v>
      </c>
      <c r="C9" s="677" t="s">
        <v>2187</v>
      </c>
      <c r="D9" s="685">
        <v>47185.22</v>
      </c>
      <c r="E9" s="685">
        <v>171539.01</v>
      </c>
      <c r="F9" s="685">
        <v>190974.09000000032</v>
      </c>
      <c r="G9" s="685">
        <v>206954</v>
      </c>
      <c r="H9" s="685">
        <v>257770.399999999</v>
      </c>
      <c r="I9" s="685">
        <v>247808</v>
      </c>
      <c r="J9" s="685">
        <v>246714</v>
      </c>
      <c r="K9" s="685">
        <v>288874</v>
      </c>
      <c r="L9" s="685">
        <v>240128</v>
      </c>
      <c r="M9" s="743">
        <v>222207</v>
      </c>
    </row>
    <row r="10" spans="2:13" ht="15" customHeight="1">
      <c r="B10" s="678" t="s">
        <v>2167</v>
      </c>
      <c r="C10" s="678" t="s">
        <v>2188</v>
      </c>
      <c r="D10" s="686" t="s">
        <v>447</v>
      </c>
      <c r="E10" s="686">
        <v>4.9007633610788789E-2</v>
      </c>
      <c r="F10" s="686">
        <v>4.53E-2</v>
      </c>
      <c r="G10" s="686">
        <v>4.4120421348030216E-2</v>
      </c>
      <c r="H10" s="686">
        <v>3.5796836364375972E-2</v>
      </c>
      <c r="I10" s="686">
        <v>3.3868285268856442E-2</v>
      </c>
      <c r="J10" s="686">
        <v>3.6749370207548204E-2</v>
      </c>
      <c r="K10" s="686">
        <v>3.4000000000000002E-2</v>
      </c>
      <c r="L10" s="686">
        <v>0.03</v>
      </c>
      <c r="M10" s="744">
        <v>2.5999999999999999E-2</v>
      </c>
    </row>
    <row r="11" spans="2:13" ht="32.4" customHeight="1">
      <c r="B11" s="681" t="s">
        <v>2168</v>
      </c>
      <c r="C11" s="681" t="s">
        <v>2189</v>
      </c>
      <c r="D11" s="699">
        <v>3462</v>
      </c>
      <c r="E11" s="699">
        <v>3231</v>
      </c>
      <c r="F11" s="699">
        <v>5453</v>
      </c>
      <c r="G11" s="699">
        <v>10212</v>
      </c>
      <c r="H11" s="699">
        <v>2196</v>
      </c>
      <c r="I11" s="699">
        <v>3230</v>
      </c>
      <c r="J11" s="699">
        <v>7757</v>
      </c>
      <c r="K11" s="699">
        <v>9025</v>
      </c>
      <c r="L11" s="699">
        <v>2250</v>
      </c>
      <c r="M11" s="745">
        <v>6110</v>
      </c>
    </row>
    <row r="12" spans="2:13" ht="15" customHeight="1" thickBot="1">
      <c r="B12" s="679" t="s">
        <v>2169</v>
      </c>
      <c r="C12" s="679" t="s">
        <v>2190</v>
      </c>
      <c r="D12" s="687">
        <v>14071</v>
      </c>
      <c r="E12" s="687">
        <v>830</v>
      </c>
      <c r="F12" s="687">
        <v>18472</v>
      </c>
      <c r="G12" s="687">
        <v>28175.381600000001</v>
      </c>
      <c r="H12" s="687">
        <v>29359</v>
      </c>
      <c r="I12" s="687">
        <v>28642</v>
      </c>
      <c r="J12" s="687">
        <v>31318.434160000001</v>
      </c>
      <c r="K12" s="687">
        <v>22612</v>
      </c>
      <c r="L12" s="687">
        <v>15465</v>
      </c>
      <c r="M12" s="746">
        <v>31225</v>
      </c>
    </row>
    <row r="13" spans="2:13" ht="15" customHeight="1" thickBot="1">
      <c r="B13" s="676" t="s">
        <v>2170</v>
      </c>
      <c r="C13" s="676" t="s">
        <v>2170</v>
      </c>
      <c r="D13" s="684"/>
      <c r="E13" s="684"/>
      <c r="F13" s="684"/>
      <c r="G13" s="684"/>
      <c r="H13" s="684"/>
      <c r="I13" s="684"/>
      <c r="J13" s="684"/>
      <c r="K13" s="684"/>
      <c r="L13" s="684"/>
      <c r="M13" s="684"/>
    </row>
    <row r="14" spans="2:13" ht="15" customHeight="1">
      <c r="B14" s="678" t="s">
        <v>2171</v>
      </c>
      <c r="C14" s="678" t="s">
        <v>2195</v>
      </c>
      <c r="D14" s="688">
        <v>0.36211946392118577</v>
      </c>
      <c r="E14" s="688">
        <v>0.36093625321393741</v>
      </c>
      <c r="F14" s="688">
        <v>0.35199999999999998</v>
      </c>
      <c r="G14" s="688">
        <v>0.34943109987357773</v>
      </c>
      <c r="H14" s="688">
        <v>0.3392</v>
      </c>
      <c r="I14" s="688">
        <v>0.33</v>
      </c>
      <c r="J14" s="688">
        <v>0.33360000000000001</v>
      </c>
      <c r="K14" s="688">
        <v>0.33200000000000002</v>
      </c>
      <c r="L14" s="688">
        <v>0.3332</v>
      </c>
      <c r="M14" s="747">
        <v>0.32555800000000001</v>
      </c>
    </row>
    <row r="15" spans="2:13" ht="15" customHeight="1">
      <c r="B15" s="678" t="s">
        <v>2172</v>
      </c>
      <c r="C15" s="678" t="s">
        <v>2191</v>
      </c>
      <c r="D15" s="688">
        <v>0.21422142214221424</v>
      </c>
      <c r="E15" s="688">
        <v>0.22171945701357465</v>
      </c>
      <c r="F15" s="688">
        <v>0.222</v>
      </c>
      <c r="G15" s="688">
        <v>0.22368421052631579</v>
      </c>
      <c r="H15" s="688">
        <v>0.22259999999999999</v>
      </c>
      <c r="I15" s="688">
        <v>0.23</v>
      </c>
      <c r="J15" s="688">
        <v>0.2298</v>
      </c>
      <c r="K15" s="688">
        <v>0.23119999999999999</v>
      </c>
      <c r="L15" s="688">
        <v>0.22950000000000001</v>
      </c>
      <c r="M15" s="747">
        <v>0.22550000000000001</v>
      </c>
    </row>
    <row r="16" spans="2:13" ht="15" customHeight="1">
      <c r="B16" s="678" t="s">
        <v>2173</v>
      </c>
      <c r="C16" s="678" t="s">
        <v>2192</v>
      </c>
      <c r="D16" s="688">
        <v>7.2007200720072009E-2</v>
      </c>
      <c r="E16" s="688">
        <v>6.9683257918552038E-2</v>
      </c>
      <c r="F16" s="688">
        <v>0.49299999999999999</v>
      </c>
      <c r="G16" s="688">
        <v>0.52105263157894732</v>
      </c>
      <c r="H16" s="688">
        <v>6.83E-2</v>
      </c>
      <c r="I16" s="688">
        <v>0.08</v>
      </c>
      <c r="J16" s="688">
        <v>0.53400000000000003</v>
      </c>
      <c r="K16" s="688">
        <v>0.45129999999999998</v>
      </c>
      <c r="L16" s="688">
        <v>6.5299999999999997E-2</v>
      </c>
      <c r="M16" s="747">
        <v>6.5559000000000006E-2</v>
      </c>
    </row>
    <row r="17" spans="2:13" ht="15" customHeight="1">
      <c r="B17" s="678" t="s">
        <v>2174</v>
      </c>
      <c r="C17" s="678" t="s">
        <v>2193</v>
      </c>
      <c r="D17" s="689">
        <v>0.45860000000000001</v>
      </c>
      <c r="E17" s="689">
        <v>0.4335</v>
      </c>
      <c r="F17" s="689">
        <v>0.42830000000000001</v>
      </c>
      <c r="G17" s="689">
        <v>0.39269999999999999</v>
      </c>
      <c r="H17" s="689">
        <v>0.43140000000000001</v>
      </c>
      <c r="I17" s="689">
        <v>0.4622</v>
      </c>
      <c r="J17" s="689">
        <v>0.43276458656484906</v>
      </c>
      <c r="K17" s="689">
        <v>0.46750000000000003</v>
      </c>
      <c r="L17" s="689">
        <v>0.49607843137254903</v>
      </c>
      <c r="M17" s="748">
        <v>0.58660000000000001</v>
      </c>
    </row>
    <row r="18" spans="2:13" ht="15" customHeight="1">
      <c r="B18" s="677" t="s">
        <v>2175</v>
      </c>
      <c r="C18" s="677" t="s">
        <v>2194</v>
      </c>
      <c r="D18" s="690">
        <v>9832.7602299999999</v>
      </c>
      <c r="E18" s="690">
        <v>10253</v>
      </c>
      <c r="F18" s="690">
        <v>64763</v>
      </c>
      <c r="G18" s="690">
        <v>13144.37205</v>
      </c>
      <c r="H18" s="690">
        <v>270</v>
      </c>
      <c r="I18" s="690">
        <v>7029.1270700000005</v>
      </c>
      <c r="J18" s="690">
        <v>25002</v>
      </c>
      <c r="K18" s="690">
        <v>34383</v>
      </c>
      <c r="L18" s="690">
        <v>8940</v>
      </c>
      <c r="M18" s="749">
        <v>9333</v>
      </c>
    </row>
    <row r="19" spans="2:13" ht="15" customHeight="1">
      <c r="B19" s="680" t="s">
        <v>2176</v>
      </c>
      <c r="C19" s="680" t="s">
        <v>2196</v>
      </c>
      <c r="D19" s="691">
        <v>5</v>
      </c>
      <c r="E19" s="691">
        <v>4</v>
      </c>
      <c r="F19" s="691">
        <v>19</v>
      </c>
      <c r="G19" s="691">
        <v>25</v>
      </c>
      <c r="H19" s="691">
        <v>53</v>
      </c>
      <c r="I19" s="691">
        <v>125</v>
      </c>
      <c r="J19" s="691">
        <v>36</v>
      </c>
      <c r="K19" s="691">
        <v>24</v>
      </c>
      <c r="L19" s="691">
        <v>54</v>
      </c>
      <c r="M19" s="750">
        <v>8</v>
      </c>
    </row>
    <row r="20" spans="2:13" ht="15" customHeight="1">
      <c r="B20" s="681" t="s">
        <v>2177</v>
      </c>
      <c r="C20" s="681" t="s">
        <v>2197</v>
      </c>
      <c r="D20" s="692">
        <v>798.96</v>
      </c>
      <c r="E20" s="692">
        <v>1563</v>
      </c>
      <c r="F20" s="692">
        <v>1050</v>
      </c>
      <c r="G20" s="692">
        <v>577</v>
      </c>
      <c r="H20" s="692">
        <v>320</v>
      </c>
      <c r="I20" s="692">
        <v>209</v>
      </c>
      <c r="J20" s="692">
        <v>351</v>
      </c>
      <c r="K20" s="692">
        <v>707</v>
      </c>
      <c r="L20" s="692">
        <v>566</v>
      </c>
      <c r="M20" s="751">
        <v>35</v>
      </c>
    </row>
    <row r="21" spans="2:13" ht="15" customHeight="1">
      <c r="B21" s="681" t="s">
        <v>2178</v>
      </c>
      <c r="C21" s="681" t="s">
        <v>2198</v>
      </c>
      <c r="D21" s="692">
        <v>1</v>
      </c>
      <c r="E21" s="692">
        <v>6</v>
      </c>
      <c r="F21" s="692">
        <v>2</v>
      </c>
      <c r="G21" s="692">
        <v>2</v>
      </c>
      <c r="H21" s="692">
        <v>1</v>
      </c>
      <c r="I21" s="692">
        <v>0</v>
      </c>
      <c r="J21" s="692">
        <v>1</v>
      </c>
      <c r="K21" s="692">
        <v>3</v>
      </c>
      <c r="L21" s="692">
        <v>3</v>
      </c>
      <c r="M21" s="751">
        <v>0</v>
      </c>
    </row>
    <row r="22" spans="2:13" ht="15" customHeight="1">
      <c r="B22" s="680" t="s">
        <v>2179</v>
      </c>
      <c r="C22" s="680" t="s">
        <v>2199</v>
      </c>
      <c r="D22" s="693">
        <v>10</v>
      </c>
      <c r="E22" s="693">
        <v>4</v>
      </c>
      <c r="F22" s="693">
        <v>4</v>
      </c>
      <c r="G22" s="693">
        <v>14</v>
      </c>
      <c r="H22" s="693">
        <v>9</v>
      </c>
      <c r="I22" s="693">
        <v>0</v>
      </c>
      <c r="J22" s="693">
        <v>12</v>
      </c>
      <c r="K22" s="693">
        <v>5</v>
      </c>
      <c r="L22" s="693">
        <v>11</v>
      </c>
      <c r="M22" s="752">
        <v>1</v>
      </c>
    </row>
    <row r="23" spans="2:13" s="698" customFormat="1" ht="31.8" customHeight="1" thickBot="1">
      <c r="B23" s="697" t="s">
        <v>2180</v>
      </c>
      <c r="C23" s="697" t="s">
        <v>2200</v>
      </c>
      <c r="D23" s="699">
        <v>4232.8050000000003</v>
      </c>
      <c r="E23" s="699">
        <v>4316.5590000000002</v>
      </c>
      <c r="F23" s="699">
        <v>4496.4889999999996</v>
      </c>
      <c r="G23" s="699">
        <v>4493.9830000000002</v>
      </c>
      <c r="H23" s="699">
        <v>4350.9269999999997</v>
      </c>
      <c r="I23" s="699">
        <v>4457</v>
      </c>
      <c r="J23" s="699">
        <v>4405</v>
      </c>
      <c r="K23" s="699">
        <v>4343.1530000000002</v>
      </c>
      <c r="L23" s="699">
        <f>4208782/1000</f>
        <v>4208.7820000000002</v>
      </c>
      <c r="M23" s="745">
        <v>4302</v>
      </c>
    </row>
    <row r="24" spans="2:13" ht="15" customHeight="1" thickBot="1">
      <c r="B24" s="676" t="s">
        <v>2181</v>
      </c>
      <c r="C24" s="676" t="s">
        <v>2202</v>
      </c>
      <c r="D24" s="684"/>
      <c r="E24" s="684"/>
      <c r="F24" s="684"/>
      <c r="G24" s="684"/>
      <c r="H24" s="684"/>
      <c r="I24" s="684"/>
      <c r="J24" s="684"/>
      <c r="K24" s="684"/>
      <c r="L24" s="684"/>
      <c r="M24" s="684"/>
    </row>
    <row r="25" spans="2:13" ht="15" customHeight="1">
      <c r="B25" s="682" t="s">
        <v>2182</v>
      </c>
      <c r="C25" s="682" t="s">
        <v>2203</v>
      </c>
      <c r="D25" s="694">
        <v>1</v>
      </c>
      <c r="E25" s="694">
        <v>1</v>
      </c>
      <c r="F25" s="694">
        <v>0.86</v>
      </c>
      <c r="G25" s="694">
        <v>0.86</v>
      </c>
      <c r="H25" s="694">
        <v>0.86</v>
      </c>
      <c r="I25" s="694">
        <v>0.875</v>
      </c>
      <c r="J25" s="694">
        <v>0.88</v>
      </c>
      <c r="K25" s="694">
        <v>0.86</v>
      </c>
      <c r="L25" s="694">
        <v>0.86</v>
      </c>
      <c r="M25" s="753">
        <v>0.875</v>
      </c>
    </row>
    <row r="26" spans="2:13" ht="15" customHeight="1">
      <c r="B26" s="682" t="s">
        <v>2183</v>
      </c>
      <c r="C26" s="682" t="s">
        <v>2204</v>
      </c>
      <c r="D26" s="694">
        <v>0.14000000000000001</v>
      </c>
      <c r="E26" s="694">
        <v>0.14000000000000001</v>
      </c>
      <c r="F26" s="694">
        <v>0.14000000000000001</v>
      </c>
      <c r="G26" s="694">
        <v>0.14000000000000001</v>
      </c>
      <c r="H26" s="694">
        <v>0.14000000000000001</v>
      </c>
      <c r="I26" s="694">
        <v>0.14000000000000001</v>
      </c>
      <c r="J26" s="694">
        <v>0.14000000000000001</v>
      </c>
      <c r="K26" s="694">
        <v>0.125</v>
      </c>
      <c r="L26" s="694">
        <v>0.125</v>
      </c>
      <c r="M26" s="753">
        <v>0.125</v>
      </c>
    </row>
    <row r="27" spans="2:13" ht="15" customHeight="1">
      <c r="B27" s="682" t="s">
        <v>2184</v>
      </c>
      <c r="C27" s="682" t="s">
        <v>2205</v>
      </c>
      <c r="D27" s="695">
        <v>0.55800000000000005</v>
      </c>
      <c r="E27" s="695">
        <v>0.623</v>
      </c>
      <c r="F27" s="695">
        <v>0.93869999999999998</v>
      </c>
      <c r="G27" s="695">
        <v>0.98950000000000005</v>
      </c>
      <c r="H27" s="695">
        <v>0.97929999999999995</v>
      </c>
      <c r="I27" s="695">
        <v>0.98</v>
      </c>
      <c r="J27" s="695">
        <v>0.98560000000000003</v>
      </c>
      <c r="K27" s="695">
        <v>0.99</v>
      </c>
      <c r="L27" s="695">
        <v>0.99</v>
      </c>
      <c r="M27" s="754">
        <v>0.91</v>
      </c>
    </row>
    <row r="28" spans="2:13" ht="15" customHeight="1">
      <c r="B28" s="683" t="s">
        <v>2185</v>
      </c>
      <c r="C28" s="683" t="s">
        <v>2206</v>
      </c>
      <c r="D28" s="696">
        <v>166</v>
      </c>
      <c r="E28" s="696">
        <v>136</v>
      </c>
      <c r="F28" s="696">
        <v>118</v>
      </c>
      <c r="G28" s="696">
        <v>210</v>
      </c>
      <c r="H28" s="696">
        <v>168</v>
      </c>
      <c r="I28" s="696">
        <v>247</v>
      </c>
      <c r="J28" s="696">
        <v>245</v>
      </c>
      <c r="K28" s="696">
        <v>324</v>
      </c>
      <c r="L28" s="696">
        <v>297</v>
      </c>
      <c r="M28" s="755">
        <v>249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79998168889431442"/>
  </sheetPr>
  <dimension ref="B6:BB195"/>
  <sheetViews>
    <sheetView showGridLines="0" zoomScale="85" zoomScaleNormal="85" workbookViewId="0">
      <pane xSplit="2" ySplit="6" topLeftCell="AS7" activePane="bottomRight" state="frozen"/>
      <selection pane="topRight" activeCell="C1" sqref="C1"/>
      <selection pane="bottomLeft" activeCell="A7" sqref="A7"/>
      <selection pane="bottomRight" activeCell="A21" sqref="A21"/>
    </sheetView>
  </sheetViews>
  <sheetFormatPr defaultColWidth="9.21875" defaultRowHeight="15" customHeight="1" outlineLevelCol="1"/>
  <cols>
    <col min="1" max="1" width="8.5546875" style="57" customWidth="1"/>
    <col min="2" max="2" width="55.21875" style="57" bestFit="1" customWidth="1"/>
    <col min="3" max="3" width="55.109375" style="57" bestFit="1" customWidth="1"/>
    <col min="4" max="27" width="13.5546875" style="57" customWidth="1" outlineLevel="1"/>
    <col min="28" max="54" width="13" style="57" customWidth="1"/>
    <col min="55" max="16384" width="9.21875" style="57"/>
  </cols>
  <sheetData>
    <row r="6" spans="2:54" ht="15" customHeight="1">
      <c r="B6" s="439" t="s">
        <v>37</v>
      </c>
      <c r="C6" s="439" t="s">
        <v>38</v>
      </c>
      <c r="D6" s="440" t="s">
        <v>39</v>
      </c>
      <c r="E6" s="440" t="s">
        <v>40</v>
      </c>
      <c r="F6" s="440" t="s">
        <v>41</v>
      </c>
      <c r="G6" s="440" t="s">
        <v>42</v>
      </c>
      <c r="H6" s="440" t="s">
        <v>43</v>
      </c>
      <c r="I6" s="440" t="s">
        <v>44</v>
      </c>
      <c r="J6" s="440" t="s">
        <v>45</v>
      </c>
      <c r="K6" s="440" t="s">
        <v>46</v>
      </c>
      <c r="L6" s="440" t="s">
        <v>47</v>
      </c>
      <c r="M6" s="440" t="s">
        <v>48</v>
      </c>
      <c r="N6" s="440" t="s">
        <v>49</v>
      </c>
      <c r="O6" s="440" t="s">
        <v>50</v>
      </c>
      <c r="P6" s="440" t="s">
        <v>51</v>
      </c>
      <c r="Q6" s="440" t="s">
        <v>52</v>
      </c>
      <c r="R6" s="440" t="s">
        <v>53</v>
      </c>
      <c r="S6" s="440" t="s">
        <v>54</v>
      </c>
      <c r="T6" s="440" t="s">
        <v>55</v>
      </c>
      <c r="U6" s="440" t="s">
        <v>56</v>
      </c>
      <c r="V6" s="440" t="s">
        <v>57</v>
      </c>
      <c r="W6" s="440" t="s">
        <v>58</v>
      </c>
      <c r="X6" s="440" t="s">
        <v>59</v>
      </c>
      <c r="Y6" s="440" t="s">
        <v>60</v>
      </c>
      <c r="Z6" s="440" t="s">
        <v>61</v>
      </c>
      <c r="AA6" s="440" t="s">
        <v>62</v>
      </c>
      <c r="AB6" s="440" t="s">
        <v>63</v>
      </c>
      <c r="AC6" s="440" t="s">
        <v>64</v>
      </c>
      <c r="AD6" s="440" t="s">
        <v>65</v>
      </c>
      <c r="AE6" s="440" t="s">
        <v>66</v>
      </c>
      <c r="AF6" s="440" t="s">
        <v>67</v>
      </c>
      <c r="AG6" s="440" t="s">
        <v>68</v>
      </c>
      <c r="AH6" s="440" t="s">
        <v>69</v>
      </c>
      <c r="AI6" s="440" t="s">
        <v>70</v>
      </c>
      <c r="AJ6" s="440" t="s">
        <v>71</v>
      </c>
      <c r="AK6" s="440" t="s">
        <v>72</v>
      </c>
      <c r="AL6" s="440" t="s">
        <v>73</v>
      </c>
      <c r="AM6" s="440" t="s">
        <v>74</v>
      </c>
      <c r="AN6" s="440" t="s">
        <v>75</v>
      </c>
      <c r="AO6" s="440" t="s">
        <v>76</v>
      </c>
      <c r="AP6" s="440" t="s">
        <v>77</v>
      </c>
      <c r="AQ6" s="440" t="s">
        <v>78</v>
      </c>
      <c r="AR6" s="440" t="s">
        <v>79</v>
      </c>
      <c r="AS6" s="440" t="s">
        <v>80</v>
      </c>
      <c r="AT6" s="440" t="s">
        <v>81</v>
      </c>
      <c r="AU6" s="440" t="s">
        <v>82</v>
      </c>
      <c r="AV6" s="440" t="s">
        <v>83</v>
      </c>
      <c r="AW6" s="440" t="s">
        <v>84</v>
      </c>
      <c r="AX6" s="440" t="s">
        <v>85</v>
      </c>
      <c r="AY6" s="440" t="s">
        <v>86</v>
      </c>
      <c r="AZ6" s="440" t="s">
        <v>87</v>
      </c>
      <c r="BA6" s="440" t="s">
        <v>88</v>
      </c>
      <c r="BB6" s="440" t="s">
        <v>2074</v>
      </c>
    </row>
    <row r="7" spans="2:54" ht="15" customHeight="1">
      <c r="B7" s="189"/>
      <c r="C7" s="189"/>
    </row>
    <row r="8" spans="2:54" ht="15" customHeight="1">
      <c r="B8" s="190" t="s">
        <v>89</v>
      </c>
      <c r="C8" s="190" t="s">
        <v>89</v>
      </c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  <c r="AR8" s="191"/>
      <c r="AS8" s="191"/>
      <c r="AT8" s="191"/>
      <c r="AU8" s="191"/>
      <c r="AV8" s="191"/>
      <c r="AW8" s="191"/>
      <c r="AX8" s="191"/>
      <c r="AY8" s="191"/>
      <c r="AZ8" s="191"/>
      <c r="BA8" s="191"/>
      <c r="BB8" s="191"/>
    </row>
    <row r="9" spans="2:54" ht="15" customHeight="1">
      <c r="B9" s="192" t="s">
        <v>90</v>
      </c>
      <c r="C9" s="192" t="s">
        <v>91</v>
      </c>
      <c r="D9" s="193">
        <v>607543.29500000004</v>
      </c>
      <c r="E9" s="193">
        <v>606984.12699999998</v>
      </c>
      <c r="F9" s="193">
        <v>658859.50300000003</v>
      </c>
      <c r="G9" s="193">
        <v>690102.83199999994</v>
      </c>
      <c r="H9" s="193">
        <v>662831.09</v>
      </c>
      <c r="I9" s="193">
        <v>662570.18999999994</v>
      </c>
      <c r="J9" s="193">
        <v>717307.56300000008</v>
      </c>
      <c r="K9" s="193">
        <v>742978.06400000001</v>
      </c>
      <c r="L9" s="193">
        <v>703966.73</v>
      </c>
      <c r="M9" s="193">
        <v>694777.46799999988</v>
      </c>
      <c r="N9" s="193">
        <v>732751.85800000001</v>
      </c>
      <c r="O9" s="193">
        <v>785132.17700000003</v>
      </c>
      <c r="P9" s="193">
        <v>746781.42299999995</v>
      </c>
      <c r="Q9" s="193">
        <v>772005.44</v>
      </c>
      <c r="R9" s="193">
        <v>784761.41599999997</v>
      </c>
      <c r="S9" s="193">
        <v>820911.929</v>
      </c>
      <c r="T9" s="193">
        <v>723731.495</v>
      </c>
      <c r="U9" s="193">
        <v>762367.25</v>
      </c>
      <c r="V9" s="193">
        <v>814850.78700000001</v>
      </c>
      <c r="W9" s="193">
        <v>884891.43200000003</v>
      </c>
      <c r="X9" s="193">
        <v>763221.72827200009</v>
      </c>
      <c r="Y9" s="193">
        <v>782169.86400000006</v>
      </c>
      <c r="Z9" s="193">
        <v>811630.65800000005</v>
      </c>
      <c r="AA9" s="193">
        <v>847781.83499999996</v>
      </c>
      <c r="AB9" s="193">
        <v>779013.49300000002</v>
      </c>
      <c r="AC9" s="193">
        <v>796100.826</v>
      </c>
      <c r="AD9" s="193">
        <v>831986.03099999996</v>
      </c>
      <c r="AE9" s="193">
        <v>889662.44400000013</v>
      </c>
      <c r="AF9" s="193">
        <v>813686.66700000002</v>
      </c>
      <c r="AG9" s="193">
        <v>855730.35100000002</v>
      </c>
      <c r="AH9" s="193">
        <v>907028.05900000001</v>
      </c>
      <c r="AI9" s="193">
        <v>965421.18400000001</v>
      </c>
      <c r="AJ9" s="193">
        <v>867983.93800000008</v>
      </c>
      <c r="AK9" s="193">
        <v>869452.88599999994</v>
      </c>
      <c r="AL9" s="193">
        <v>943825.74800000014</v>
      </c>
      <c r="AM9" s="193">
        <v>989953.71500000008</v>
      </c>
      <c r="AN9" s="193">
        <v>890891.11199999996</v>
      </c>
      <c r="AO9" s="193">
        <v>941432.75399999996</v>
      </c>
      <c r="AP9" s="193">
        <v>1031101.493</v>
      </c>
      <c r="AQ9" s="193">
        <v>1082228.1940000001</v>
      </c>
      <c r="AR9" s="193">
        <v>977104.47499999998</v>
      </c>
      <c r="AS9" s="193">
        <v>1040069.8550000001</v>
      </c>
      <c r="AT9" s="193">
        <v>1132723.2579999999</v>
      </c>
      <c r="AU9" s="193">
        <v>1222357.6510000001</v>
      </c>
      <c r="AV9" s="193">
        <v>1115438.207282</v>
      </c>
      <c r="AW9" s="193">
        <v>1176304.0446635</v>
      </c>
      <c r="AX9" s="193">
        <v>1183056.2392925001</v>
      </c>
      <c r="AY9" s="193">
        <v>1266896.4904815</v>
      </c>
      <c r="AZ9" s="193">
        <v>1109360.933</v>
      </c>
      <c r="BA9" s="193">
        <v>1149762.4950000001</v>
      </c>
      <c r="BB9" s="193">
        <v>1231344.706</v>
      </c>
    </row>
    <row r="10" spans="2:54" ht="15" customHeight="1">
      <c r="B10" s="192" t="s">
        <v>92</v>
      </c>
      <c r="C10" s="192" t="s">
        <v>92</v>
      </c>
      <c r="D10" s="193">
        <v>101372.674</v>
      </c>
      <c r="E10" s="193">
        <v>100380.28300000001</v>
      </c>
      <c r="F10" s="193">
        <v>105016.13499999998</v>
      </c>
      <c r="G10" s="193">
        <v>116534.65399999998</v>
      </c>
      <c r="H10" s="193">
        <v>95501.573999999993</v>
      </c>
      <c r="I10" s="193">
        <v>95625.063999999984</v>
      </c>
      <c r="J10" s="193">
        <v>107377.495</v>
      </c>
      <c r="K10" s="193">
        <v>112343.99500000001</v>
      </c>
      <c r="L10" s="193">
        <v>99550.017999999996</v>
      </c>
      <c r="M10" s="193">
        <v>102238.78</v>
      </c>
      <c r="N10" s="193">
        <v>112394.69200000001</v>
      </c>
      <c r="O10" s="193">
        <v>105282.515</v>
      </c>
      <c r="P10" s="193">
        <v>87859.570999999996</v>
      </c>
      <c r="Q10" s="193">
        <v>87625.519</v>
      </c>
      <c r="R10" s="193">
        <v>90440.456999999995</v>
      </c>
      <c r="S10" s="193">
        <v>83066.921000000002</v>
      </c>
      <c r="T10" s="193">
        <v>63228.222999999998</v>
      </c>
      <c r="U10" s="193">
        <v>65377.695999999996</v>
      </c>
      <c r="V10" s="193">
        <v>74835.442999999999</v>
      </c>
      <c r="W10" s="193">
        <v>74057.275000000009</v>
      </c>
      <c r="X10" s="193">
        <v>62084.974316000036</v>
      </c>
      <c r="Y10" s="193">
        <v>60031.263999999996</v>
      </c>
      <c r="Z10" s="193">
        <v>65120.673999999999</v>
      </c>
      <c r="AA10" s="193">
        <v>61217.474000000002</v>
      </c>
      <c r="AB10" s="193">
        <v>50585.607000000004</v>
      </c>
      <c r="AC10" s="193">
        <v>50712.538</v>
      </c>
      <c r="AD10" s="193">
        <v>60604.148999999998</v>
      </c>
      <c r="AE10" s="193">
        <v>61108.157999999996</v>
      </c>
      <c r="AF10" s="193">
        <v>48199.710999999996</v>
      </c>
      <c r="AG10" s="193">
        <v>48384.679000000004</v>
      </c>
      <c r="AH10" s="193">
        <v>57951.412999999993</v>
      </c>
      <c r="AI10" s="193">
        <v>54633.188999999998</v>
      </c>
      <c r="AJ10" s="193">
        <v>45464.512000000002</v>
      </c>
      <c r="AK10" s="193">
        <v>45979.839</v>
      </c>
      <c r="AL10" s="193">
        <v>49104.254000000001</v>
      </c>
      <c r="AM10" s="193">
        <v>46326.891000000003</v>
      </c>
      <c r="AN10" s="193">
        <v>39046.843000000001</v>
      </c>
      <c r="AO10" s="193">
        <v>40094.076999999997</v>
      </c>
      <c r="AP10" s="193">
        <v>45109.434000000001</v>
      </c>
      <c r="AQ10" s="193">
        <v>39911.262000000002</v>
      </c>
      <c r="AR10" s="193">
        <v>41008.735000000001</v>
      </c>
      <c r="AS10" s="193">
        <v>39454.315000000002</v>
      </c>
      <c r="AT10" s="193">
        <v>39935.197</v>
      </c>
      <c r="AU10" s="193">
        <v>38979.281999999999</v>
      </c>
      <c r="AV10" s="193">
        <v>30590.550999999999</v>
      </c>
      <c r="AW10" s="193">
        <v>30951.084999999999</v>
      </c>
      <c r="AX10" s="193">
        <v>34325.203000000001</v>
      </c>
      <c r="AY10" s="193">
        <v>32658.225999999999</v>
      </c>
      <c r="AZ10" s="193">
        <v>26993.026000000002</v>
      </c>
      <c r="BA10" s="193">
        <v>25066.302</v>
      </c>
      <c r="BB10" s="193">
        <v>24823.460999999999</v>
      </c>
    </row>
    <row r="11" spans="2:54" ht="15" customHeight="1">
      <c r="B11" s="192" t="s">
        <v>93</v>
      </c>
      <c r="C11" s="192" t="s">
        <v>94</v>
      </c>
      <c r="D11" s="193">
        <v>245171.71299999999</v>
      </c>
      <c r="E11" s="193">
        <v>249540.23500000002</v>
      </c>
      <c r="F11" s="193">
        <v>268394.26400000002</v>
      </c>
      <c r="G11" s="193">
        <v>282729.598</v>
      </c>
      <c r="H11" s="193">
        <v>269664.80099999998</v>
      </c>
      <c r="I11" s="193">
        <v>278926.864</v>
      </c>
      <c r="J11" s="193">
        <v>301471.23100000003</v>
      </c>
      <c r="K11" s="193">
        <v>313496.80200000003</v>
      </c>
      <c r="L11" s="193">
        <v>287678.00399999996</v>
      </c>
      <c r="M11" s="193">
        <v>294601.94500000001</v>
      </c>
      <c r="N11" s="193">
        <v>311510.26399999997</v>
      </c>
      <c r="O11" s="193">
        <v>322109.772</v>
      </c>
      <c r="P11" s="193">
        <v>295430.76199999999</v>
      </c>
      <c r="Q11" s="193">
        <v>307277.40700000001</v>
      </c>
      <c r="R11" s="193">
        <v>305833.098</v>
      </c>
      <c r="S11" s="193">
        <v>305811.08600000001</v>
      </c>
      <c r="T11" s="193">
        <v>262689.43300000002</v>
      </c>
      <c r="U11" s="193">
        <v>271482.81400000001</v>
      </c>
      <c r="V11" s="193">
        <v>277507.70500000002</v>
      </c>
      <c r="W11" s="193">
        <v>290914.28100000002</v>
      </c>
      <c r="X11" s="193">
        <v>245820.80853600014</v>
      </c>
      <c r="Y11" s="193">
        <v>255914.16599999997</v>
      </c>
      <c r="Z11" s="193">
        <v>263178.98100000003</v>
      </c>
      <c r="AA11" s="193">
        <v>269804.82</v>
      </c>
      <c r="AB11" s="193">
        <v>237938.01</v>
      </c>
      <c r="AC11" s="193">
        <v>245327.85399999999</v>
      </c>
      <c r="AD11" s="193">
        <v>255887.04600000003</v>
      </c>
      <c r="AE11" s="193">
        <v>269111.473</v>
      </c>
      <c r="AF11" s="193">
        <v>228595.946</v>
      </c>
      <c r="AG11" s="193">
        <v>192030.81</v>
      </c>
      <c r="AH11" s="193">
        <v>227928.77299999999</v>
      </c>
      <c r="AI11" s="193">
        <v>239069.74699999997</v>
      </c>
      <c r="AJ11" s="193">
        <v>210482.533</v>
      </c>
      <c r="AK11" s="193">
        <v>209747.36799999999</v>
      </c>
      <c r="AL11" s="193">
        <v>224223.25099999999</v>
      </c>
      <c r="AM11" s="193">
        <v>228079.27500000002</v>
      </c>
      <c r="AN11" s="193">
        <v>186590.234</v>
      </c>
      <c r="AO11" s="193">
        <v>165002.70600000001</v>
      </c>
      <c r="AP11" s="193">
        <v>169848.86199999999</v>
      </c>
      <c r="AQ11" s="193">
        <v>167498.44699999999</v>
      </c>
      <c r="AR11" s="193">
        <v>149823.46299999999</v>
      </c>
      <c r="AS11" s="193">
        <v>155796.242</v>
      </c>
      <c r="AT11" s="193">
        <v>164163.54300000001</v>
      </c>
      <c r="AU11" s="193">
        <v>171359.89446000001</v>
      </c>
      <c r="AV11" s="193">
        <v>145753.84700000001</v>
      </c>
      <c r="AW11" s="193">
        <v>154522.28599999999</v>
      </c>
      <c r="AX11" s="193">
        <v>150231.568</v>
      </c>
      <c r="AY11" s="193">
        <v>150897.443</v>
      </c>
      <c r="AZ11" s="193">
        <v>125822.677</v>
      </c>
      <c r="BA11" s="193">
        <v>132074.79699999999</v>
      </c>
      <c r="BB11" s="193">
        <v>137522.10200000001</v>
      </c>
    </row>
    <row r="12" spans="2:54" ht="15" customHeight="1" thickBot="1">
      <c r="B12" s="192" t="s">
        <v>95</v>
      </c>
      <c r="C12" s="192" t="s">
        <v>96</v>
      </c>
      <c r="D12" s="193">
        <v>267634.61600000004</v>
      </c>
      <c r="E12" s="193">
        <v>278493.55699999997</v>
      </c>
      <c r="F12" s="193">
        <v>304343.48899999994</v>
      </c>
      <c r="G12" s="193">
        <v>322827.74200000003</v>
      </c>
      <c r="H12" s="193">
        <v>278522.55099999998</v>
      </c>
      <c r="I12" s="193">
        <v>289769.69</v>
      </c>
      <c r="J12" s="193">
        <v>333204.92700000003</v>
      </c>
      <c r="K12" s="193">
        <v>329583.30700000003</v>
      </c>
      <c r="L12" s="193">
        <v>292744.99700000003</v>
      </c>
      <c r="M12" s="193">
        <v>305396.94000000006</v>
      </c>
      <c r="N12" s="193">
        <v>334819.12299999996</v>
      </c>
      <c r="O12" s="193">
        <v>357917.41600000003</v>
      </c>
      <c r="P12" s="193">
        <v>304520.23699999996</v>
      </c>
      <c r="Q12" s="193">
        <v>333027.40399999998</v>
      </c>
      <c r="R12" s="193">
        <v>344915.87300000002</v>
      </c>
      <c r="S12" s="193">
        <v>351972.09699999995</v>
      </c>
      <c r="T12" s="193">
        <v>291173.72799999994</v>
      </c>
      <c r="U12" s="193">
        <v>313805.34599999996</v>
      </c>
      <c r="V12" s="193">
        <v>347592.56599999999</v>
      </c>
      <c r="W12" s="193">
        <v>367483.09600000002</v>
      </c>
      <c r="X12" s="193">
        <v>304196.161761</v>
      </c>
      <c r="Y12" s="193">
        <v>334981.43300000002</v>
      </c>
      <c r="Z12" s="193">
        <v>357726.94600000005</v>
      </c>
      <c r="AA12" s="193">
        <v>362057.26299999998</v>
      </c>
      <c r="AB12" s="193">
        <v>310769.49099999998</v>
      </c>
      <c r="AC12" s="193">
        <v>339153.84899999999</v>
      </c>
      <c r="AD12" s="193">
        <v>363291.26899999997</v>
      </c>
      <c r="AE12" s="193">
        <v>388700.67800000001</v>
      </c>
      <c r="AF12" s="193">
        <v>320339.76799999998</v>
      </c>
      <c r="AG12" s="193">
        <v>325100.26899999997</v>
      </c>
      <c r="AH12" s="193">
        <v>355401.88900000002</v>
      </c>
      <c r="AI12" s="193">
        <v>361731.07600000006</v>
      </c>
      <c r="AJ12" s="193">
        <v>325472.217</v>
      </c>
      <c r="AK12" s="193">
        <v>343536.69300000003</v>
      </c>
      <c r="AL12" s="193">
        <v>374384.27400000003</v>
      </c>
      <c r="AM12" s="193">
        <v>378112.05500000005</v>
      </c>
      <c r="AN12" s="193">
        <v>334814.73700000002</v>
      </c>
      <c r="AO12" s="193">
        <v>364198.27299999999</v>
      </c>
      <c r="AP12" s="193">
        <v>395376.91399999999</v>
      </c>
      <c r="AQ12" s="193">
        <v>405652.40599999996</v>
      </c>
      <c r="AR12" s="193">
        <v>340486.87100000004</v>
      </c>
      <c r="AS12" s="193">
        <v>384406.48699999996</v>
      </c>
      <c r="AT12" s="193">
        <v>411184.16399999999</v>
      </c>
      <c r="AU12" s="193">
        <v>433292.75600000005</v>
      </c>
      <c r="AV12" s="193">
        <v>359986.58871799987</v>
      </c>
      <c r="AW12" s="193">
        <v>408513.18233649991</v>
      </c>
      <c r="AX12" s="193">
        <v>426864.44370749989</v>
      </c>
      <c r="AY12" s="193">
        <v>437147.29751849989</v>
      </c>
      <c r="AZ12" s="193">
        <v>354304.76100000017</v>
      </c>
      <c r="BA12" s="193">
        <v>407267.54899999988</v>
      </c>
      <c r="BB12" s="193">
        <v>434788.27500000014</v>
      </c>
    </row>
    <row r="13" spans="2:54" ht="15" customHeight="1" thickBot="1">
      <c r="B13" s="194" t="s">
        <v>97</v>
      </c>
      <c r="C13" s="194" t="s">
        <v>98</v>
      </c>
      <c r="D13" s="195">
        <f>SUM(D9:D12)</f>
        <v>1221722.298</v>
      </c>
      <c r="E13" s="195">
        <f t="shared" ref="E13:AX13" si="0">SUM(E9:E12)</f>
        <v>1235398.202</v>
      </c>
      <c r="F13" s="195">
        <f t="shared" si="0"/>
        <v>1336613.3909999998</v>
      </c>
      <c r="G13" s="195">
        <f t="shared" si="0"/>
        <v>1412194.8259999999</v>
      </c>
      <c r="H13" s="195">
        <f t="shared" si="0"/>
        <v>1306520.0159999998</v>
      </c>
      <c r="I13" s="195">
        <f t="shared" si="0"/>
        <v>1326891.808</v>
      </c>
      <c r="J13" s="195">
        <f t="shared" si="0"/>
        <v>1459361.216</v>
      </c>
      <c r="K13" s="195">
        <f t="shared" si="0"/>
        <v>1498402.1680000001</v>
      </c>
      <c r="L13" s="195">
        <f t="shared" si="0"/>
        <v>1383939.7489999998</v>
      </c>
      <c r="M13" s="195">
        <f t="shared" si="0"/>
        <v>1397015.1329999999</v>
      </c>
      <c r="N13" s="195">
        <f t="shared" si="0"/>
        <v>1491475.9369999999</v>
      </c>
      <c r="O13" s="195">
        <f t="shared" si="0"/>
        <v>1570441.8800000001</v>
      </c>
      <c r="P13" s="195">
        <f t="shared" si="0"/>
        <v>1434591.993</v>
      </c>
      <c r="Q13" s="195">
        <f t="shared" si="0"/>
        <v>1499935.77</v>
      </c>
      <c r="R13" s="195">
        <f t="shared" si="0"/>
        <v>1525950.844</v>
      </c>
      <c r="S13" s="195">
        <f t="shared" si="0"/>
        <v>1561762.0329999998</v>
      </c>
      <c r="T13" s="195">
        <f t="shared" si="0"/>
        <v>1340822.879</v>
      </c>
      <c r="U13" s="195">
        <f t="shared" si="0"/>
        <v>1413033.1059999999</v>
      </c>
      <c r="V13" s="195">
        <f t="shared" si="0"/>
        <v>1514786.5010000002</v>
      </c>
      <c r="W13" s="195">
        <f t="shared" si="0"/>
        <v>1617346.0840000003</v>
      </c>
      <c r="X13" s="195">
        <f t="shared" si="0"/>
        <v>1375323.6728850002</v>
      </c>
      <c r="Y13" s="195">
        <f t="shared" si="0"/>
        <v>1433096.727</v>
      </c>
      <c r="Z13" s="195">
        <f t="shared" si="0"/>
        <v>1497657.2590000001</v>
      </c>
      <c r="AA13" s="195">
        <f t="shared" si="0"/>
        <v>1540861.392</v>
      </c>
      <c r="AB13" s="195">
        <f t="shared" si="0"/>
        <v>1378306.6009999998</v>
      </c>
      <c r="AC13" s="195">
        <f t="shared" si="0"/>
        <v>1431295.067</v>
      </c>
      <c r="AD13" s="195">
        <f t="shared" si="0"/>
        <v>1511768.4950000001</v>
      </c>
      <c r="AE13" s="195">
        <f t="shared" si="0"/>
        <v>1608582.7530000003</v>
      </c>
      <c r="AF13" s="195">
        <f t="shared" si="0"/>
        <v>1410822.0919999999</v>
      </c>
      <c r="AG13" s="195">
        <f t="shared" si="0"/>
        <v>1421246.1090000002</v>
      </c>
      <c r="AH13" s="195">
        <f t="shared" si="0"/>
        <v>1548310.1339999998</v>
      </c>
      <c r="AI13" s="195">
        <f t="shared" si="0"/>
        <v>1620855.1960000002</v>
      </c>
      <c r="AJ13" s="195">
        <f t="shared" si="0"/>
        <v>1449403.2</v>
      </c>
      <c r="AK13" s="195">
        <f t="shared" si="0"/>
        <v>1468716.7859999998</v>
      </c>
      <c r="AL13" s="195">
        <f t="shared" si="0"/>
        <v>1591537.527</v>
      </c>
      <c r="AM13" s="195">
        <f t="shared" si="0"/>
        <v>1642471.9360000002</v>
      </c>
      <c r="AN13" s="195">
        <f t="shared" si="0"/>
        <v>1451342.926</v>
      </c>
      <c r="AO13" s="195">
        <f t="shared" si="0"/>
        <v>1510727.81</v>
      </c>
      <c r="AP13" s="195">
        <f t="shared" si="0"/>
        <v>1641436.7029999997</v>
      </c>
      <c r="AQ13" s="195">
        <f t="shared" si="0"/>
        <v>1695290.3090000001</v>
      </c>
      <c r="AR13" s="195">
        <f t="shared" si="0"/>
        <v>1508423.544</v>
      </c>
      <c r="AS13" s="195">
        <f t="shared" si="0"/>
        <v>1619726.8990000002</v>
      </c>
      <c r="AT13" s="195">
        <f t="shared" si="0"/>
        <v>1748006.162</v>
      </c>
      <c r="AU13" s="195">
        <f t="shared" si="0"/>
        <v>1865989.5834600001</v>
      </c>
      <c r="AV13" s="195">
        <f t="shared" si="0"/>
        <v>1651769.1939999999</v>
      </c>
      <c r="AW13" s="195">
        <f t="shared" si="0"/>
        <v>1770290.598</v>
      </c>
      <c r="AX13" s="195">
        <f t="shared" si="0"/>
        <v>1794477.4539999999</v>
      </c>
      <c r="AY13" s="195">
        <f>SUM(AY9:AY12)</f>
        <v>1887599.4569999999</v>
      </c>
      <c r="AZ13" s="195">
        <f>SUM(AZ9:AZ12)</f>
        <v>1616481.3970000001</v>
      </c>
      <c r="BA13" s="195">
        <f>SUM(BA9:BA12)</f>
        <v>1714171.1429999999</v>
      </c>
      <c r="BB13" s="195">
        <f>SUM(BB9:BB12)</f>
        <v>1828478.544</v>
      </c>
    </row>
    <row r="14" spans="2:54" ht="15" customHeight="1">
      <c r="B14" s="192" t="s">
        <v>92</v>
      </c>
      <c r="C14" s="192" t="s">
        <v>92</v>
      </c>
      <c r="D14" s="193">
        <v>12739.200541366572</v>
      </c>
      <c r="E14" s="193">
        <v>12528.748999999998</v>
      </c>
      <c r="F14" s="193">
        <v>22721.741682290653</v>
      </c>
      <c r="G14" s="193">
        <v>26153.716099999998</v>
      </c>
      <c r="H14" s="193">
        <v>25061.608</v>
      </c>
      <c r="I14" s="193">
        <v>23404.530130476072</v>
      </c>
      <c r="J14" s="193">
        <v>25953.133320000001</v>
      </c>
      <c r="K14" s="193">
        <v>27549.262299999991</v>
      </c>
      <c r="L14" s="193">
        <v>24758.562440000005</v>
      </c>
      <c r="M14" s="193">
        <v>23624.156499999997</v>
      </c>
      <c r="N14" s="193">
        <v>23755.030276094047</v>
      </c>
      <c r="O14" s="193">
        <v>24286.133609001761</v>
      </c>
      <c r="P14" s="193">
        <v>22291.013279999992</v>
      </c>
      <c r="Q14" s="193">
        <v>23462.976459999998</v>
      </c>
      <c r="R14" s="193">
        <v>28979.146700000005</v>
      </c>
      <c r="S14" s="193">
        <v>37789.533943498376</v>
      </c>
      <c r="T14" s="193">
        <v>38032.335980000011</v>
      </c>
      <c r="U14" s="193">
        <v>37893.330447273067</v>
      </c>
      <c r="V14" s="193">
        <v>43019.610014731472</v>
      </c>
      <c r="W14" s="193">
        <v>43841.551810331293</v>
      </c>
      <c r="X14" s="193">
        <v>31937.104404920789</v>
      </c>
      <c r="Y14" s="193">
        <v>41250.130333000008</v>
      </c>
      <c r="Z14" s="193">
        <v>48078.151971512576</v>
      </c>
      <c r="AA14" s="193">
        <v>46683.072000000007</v>
      </c>
      <c r="AB14" s="193">
        <v>46084.102999999988</v>
      </c>
      <c r="AC14" s="193">
        <v>55571.126337000002</v>
      </c>
      <c r="AD14" s="193">
        <v>66552.511276999998</v>
      </c>
      <c r="AE14" s="193">
        <v>71408.137946999981</v>
      </c>
      <c r="AF14" s="193">
        <v>69284.249476333323</v>
      </c>
      <c r="AG14" s="193">
        <v>72266.08066953333</v>
      </c>
      <c r="AH14" s="193">
        <v>82424.711314675835</v>
      </c>
      <c r="AI14" s="193">
        <v>86441.512033833336</v>
      </c>
      <c r="AJ14" s="193">
        <v>85153.256815999994</v>
      </c>
      <c r="AK14" s="193">
        <v>91762.555989800007</v>
      </c>
      <c r="AL14" s="193">
        <v>93191.578407426976</v>
      </c>
      <c r="AM14" s="193">
        <v>96835.444523633327</v>
      </c>
      <c r="AN14" s="193">
        <v>87844.998649200003</v>
      </c>
      <c r="AO14" s="193">
        <v>97482.879768266663</v>
      </c>
      <c r="AP14" s="193">
        <v>102109.51664419996</v>
      </c>
      <c r="AQ14" s="193">
        <v>105676.25720846001</v>
      </c>
      <c r="AR14" s="193">
        <v>94857.542961116647</v>
      </c>
      <c r="AS14" s="193">
        <v>103313.29259438331</v>
      </c>
      <c r="AT14" s="193">
        <v>109428.82919268339</v>
      </c>
      <c r="AU14" s="193">
        <v>113166.9351402</v>
      </c>
      <c r="AV14" s="193">
        <v>110565.12127607501</v>
      </c>
      <c r="AW14" s="193">
        <v>100053.7198566</v>
      </c>
      <c r="AX14" s="193">
        <v>118387.64425585901</v>
      </c>
      <c r="AY14" s="193">
        <v>121494.418738334</v>
      </c>
      <c r="AZ14" s="193">
        <v>106666.364527575</v>
      </c>
      <c r="BA14" s="193">
        <v>121299.511346625</v>
      </c>
      <c r="BB14" s="193">
        <v>129444.88163262499</v>
      </c>
    </row>
    <row r="15" spans="2:54" ht="15" customHeight="1">
      <c r="B15" s="192" t="s">
        <v>93</v>
      </c>
      <c r="C15" s="192" t="s">
        <v>94</v>
      </c>
      <c r="D15" s="193">
        <v>3534.7393869999987</v>
      </c>
      <c r="E15" s="193">
        <v>3995.8306799999996</v>
      </c>
      <c r="F15" s="193">
        <v>4392.2239610000015</v>
      </c>
      <c r="G15" s="193">
        <v>4496.8588800000016</v>
      </c>
      <c r="H15" s="193">
        <v>4138.0904140000002</v>
      </c>
      <c r="I15" s="193">
        <v>4553.8252799999973</v>
      </c>
      <c r="J15" s="193">
        <v>5499.1014000000032</v>
      </c>
      <c r="K15" s="193">
        <v>5442.3053199999995</v>
      </c>
      <c r="L15" s="193">
        <v>5252.4864939999979</v>
      </c>
      <c r="M15" s="193">
        <v>5107.5622399999984</v>
      </c>
      <c r="N15" s="193">
        <v>5127.1990800000003</v>
      </c>
      <c r="O15" s="193">
        <v>5421.8977600000007</v>
      </c>
      <c r="P15" s="193">
        <v>5011.6203599999999</v>
      </c>
      <c r="Q15" s="193">
        <v>5207.0505980000016</v>
      </c>
      <c r="R15" s="193">
        <v>7763.6518940000005</v>
      </c>
      <c r="S15" s="193">
        <v>15756.124116333332</v>
      </c>
      <c r="T15" s="193">
        <v>20628.133959999999</v>
      </c>
      <c r="U15" s="193">
        <v>31973.890817557669</v>
      </c>
      <c r="V15" s="193">
        <v>41829.03099534761</v>
      </c>
      <c r="W15" s="193">
        <v>45622.836098920983</v>
      </c>
      <c r="X15" s="193">
        <v>47238.056772655531</v>
      </c>
      <c r="Y15" s="193">
        <v>47797.534937999997</v>
      </c>
      <c r="Z15" s="193">
        <v>51319.79795399998</v>
      </c>
      <c r="AA15" s="193">
        <v>53561.54720422221</v>
      </c>
      <c r="AB15" s="193">
        <v>52439.422148041667</v>
      </c>
      <c r="AC15" s="193">
        <v>57672.464023000022</v>
      </c>
      <c r="AD15" s="193">
        <v>60828.82365999998</v>
      </c>
      <c r="AE15" s="193">
        <v>63365.454789666677</v>
      </c>
      <c r="AF15" s="193">
        <v>62339.785675000006</v>
      </c>
      <c r="AG15" s="193">
        <v>53420.04619430365</v>
      </c>
      <c r="AH15" s="193">
        <v>70264.629704895182</v>
      </c>
      <c r="AI15" s="193">
        <v>79201.90017683334</v>
      </c>
      <c r="AJ15" s="193">
        <v>75880.943271666678</v>
      </c>
      <c r="AK15" s="193">
        <v>82238.070432227221</v>
      </c>
      <c r="AL15" s="193">
        <v>90757.024867666871</v>
      </c>
      <c r="AM15" s="193">
        <v>93666.043789972522</v>
      </c>
      <c r="AN15" s="193">
        <v>88632.422969316656</v>
      </c>
      <c r="AO15" s="193">
        <v>93751.595944433342</v>
      </c>
      <c r="AP15" s="193">
        <v>101837.93462996249</v>
      </c>
      <c r="AQ15" s="193">
        <v>102298.76667288999</v>
      </c>
      <c r="AR15" s="193">
        <v>104273.64430208752</v>
      </c>
      <c r="AS15" s="193">
        <v>113783.66003547503</v>
      </c>
      <c r="AT15" s="193">
        <v>120852.0488210567</v>
      </c>
      <c r="AU15" s="193">
        <v>125011.0205346</v>
      </c>
      <c r="AV15" s="193">
        <v>127171.95912285001</v>
      </c>
      <c r="AW15" s="193">
        <v>136247.43239199999</v>
      </c>
      <c r="AX15" s="193">
        <v>142436.91366165</v>
      </c>
      <c r="AY15" s="193">
        <v>150032.66481367499</v>
      </c>
      <c r="AZ15" s="193">
        <v>141648.63126977501</v>
      </c>
      <c r="BA15" s="193">
        <v>153920.3840277</v>
      </c>
      <c r="BB15" s="193">
        <v>162736.46362532501</v>
      </c>
    </row>
    <row r="16" spans="2:54" ht="15" customHeight="1" thickBot="1">
      <c r="B16" s="192" t="s">
        <v>95</v>
      </c>
      <c r="C16" s="192" t="s">
        <v>96</v>
      </c>
      <c r="D16" s="193">
        <v>0</v>
      </c>
      <c r="E16" s="193">
        <v>0</v>
      </c>
      <c r="F16" s="193">
        <v>0</v>
      </c>
      <c r="G16" s="193">
        <v>0</v>
      </c>
      <c r="H16" s="193">
        <v>0</v>
      </c>
      <c r="I16" s="193">
        <v>0</v>
      </c>
      <c r="J16" s="193">
        <v>0</v>
      </c>
      <c r="K16" s="193">
        <v>0</v>
      </c>
      <c r="L16" s="193">
        <v>0</v>
      </c>
      <c r="M16" s="193">
        <v>0</v>
      </c>
      <c r="N16" s="193">
        <v>0</v>
      </c>
      <c r="O16" s="193">
        <v>0</v>
      </c>
      <c r="P16" s="193">
        <v>0</v>
      </c>
      <c r="Q16" s="193">
        <v>506.47911999999997</v>
      </c>
      <c r="R16" s="193">
        <v>502.71507999999949</v>
      </c>
      <c r="S16" s="193">
        <v>595.88623999999959</v>
      </c>
      <c r="T16" s="193">
        <v>624.50568499999997</v>
      </c>
      <c r="U16" s="193">
        <v>849.12566799999991</v>
      </c>
      <c r="V16" s="193">
        <v>2523.0283329999993</v>
      </c>
      <c r="W16" s="193">
        <v>1273.1733329999988</v>
      </c>
      <c r="X16" s="193">
        <v>740.61765900000046</v>
      </c>
      <c r="Y16" s="193">
        <v>887.83200000000011</v>
      </c>
      <c r="Z16" s="193">
        <v>2563.9749999999995</v>
      </c>
      <c r="AA16" s="193">
        <v>1284.9959999999992</v>
      </c>
      <c r="AB16" s="193">
        <v>731.39200000000017</v>
      </c>
      <c r="AC16" s="193">
        <v>729.63299999999958</v>
      </c>
      <c r="AD16" s="193">
        <v>2565.3280000000009</v>
      </c>
      <c r="AE16" s="193">
        <v>2092.773999999999</v>
      </c>
      <c r="AF16" s="193">
        <v>779.81899999999996</v>
      </c>
      <c r="AG16" s="193">
        <v>814.21000000000049</v>
      </c>
      <c r="AH16" s="193">
        <v>2183.4780000000001</v>
      </c>
      <c r="AI16" s="193">
        <v>2421.657999999999</v>
      </c>
      <c r="AJ16" s="193">
        <v>1802.9893339999996</v>
      </c>
      <c r="AK16" s="193">
        <v>852.26248000000021</v>
      </c>
      <c r="AL16" s="193">
        <v>2813.1089999999995</v>
      </c>
      <c r="AM16" s="193">
        <v>3062.2074390000002</v>
      </c>
      <c r="AN16" s="193">
        <v>2034.118056666666</v>
      </c>
      <c r="AO16" s="193">
        <v>1454.3003009999998</v>
      </c>
      <c r="AP16" s="193">
        <v>3159.731345000002</v>
      </c>
      <c r="AQ16" s="193">
        <v>3811.3290737500001</v>
      </c>
      <c r="AR16" s="193">
        <v>3819.524780350001</v>
      </c>
      <c r="AS16" s="193">
        <v>2174.6653545166673</v>
      </c>
      <c r="AT16" s="193">
        <v>3873.3426638000001</v>
      </c>
      <c r="AU16" s="193">
        <v>5369.3629652250092</v>
      </c>
      <c r="AV16" s="193">
        <v>7065.1123687499648</v>
      </c>
      <c r="AW16" s="193">
        <v>7736.9828706250119</v>
      </c>
      <c r="AX16" s="193">
        <v>11089.188727308996</v>
      </c>
      <c r="AY16" s="193">
        <v>11233.701536984066</v>
      </c>
      <c r="AZ16" s="193">
        <v>8673.0242428499914</v>
      </c>
      <c r="BA16" s="193">
        <v>12335.656583325006</v>
      </c>
      <c r="BB16" s="193">
        <v>15205.260415725003</v>
      </c>
    </row>
    <row r="17" spans="2:54" ht="15" customHeight="1" thickBot="1">
      <c r="B17" s="194" t="s">
        <v>99</v>
      </c>
      <c r="C17" s="194" t="s">
        <v>100</v>
      </c>
      <c r="D17" s="195">
        <f>SUM(D14:D16)</f>
        <v>16273.93992836657</v>
      </c>
      <c r="E17" s="195">
        <f t="shared" ref="E17:Z17" si="1">SUM(E14:E16)</f>
        <v>16524.579679999999</v>
      </c>
      <c r="F17" s="195">
        <f t="shared" si="1"/>
        <v>27113.965643290656</v>
      </c>
      <c r="G17" s="195">
        <f t="shared" si="1"/>
        <v>30650.574979999998</v>
      </c>
      <c r="H17" s="195">
        <f t="shared" si="1"/>
        <v>29199.698413999999</v>
      </c>
      <c r="I17" s="195">
        <f t="shared" si="1"/>
        <v>27958.35541047607</v>
      </c>
      <c r="J17" s="195">
        <f t="shared" si="1"/>
        <v>31452.234720000004</v>
      </c>
      <c r="K17" s="195">
        <f t="shared" si="1"/>
        <v>32991.567619999987</v>
      </c>
      <c r="L17" s="195">
        <f t="shared" si="1"/>
        <v>30011.048934000002</v>
      </c>
      <c r="M17" s="195">
        <f t="shared" si="1"/>
        <v>28731.718739999997</v>
      </c>
      <c r="N17" s="195">
        <f t="shared" si="1"/>
        <v>28882.229356094045</v>
      </c>
      <c r="O17" s="195">
        <f t="shared" si="1"/>
        <v>29708.031369001761</v>
      </c>
      <c r="P17" s="195">
        <f t="shared" si="1"/>
        <v>27302.633639999993</v>
      </c>
      <c r="Q17" s="195">
        <f t="shared" si="1"/>
        <v>29176.506178</v>
      </c>
      <c r="R17" s="195">
        <f t="shared" si="1"/>
        <v>37245.513674000009</v>
      </c>
      <c r="S17" s="195">
        <f t="shared" si="1"/>
        <v>54141.544299831708</v>
      </c>
      <c r="T17" s="195">
        <f t="shared" si="1"/>
        <v>59284.975625000006</v>
      </c>
      <c r="U17" s="195">
        <f t="shared" si="1"/>
        <v>70716.346932830726</v>
      </c>
      <c r="V17" s="195">
        <f t="shared" si="1"/>
        <v>87371.669343079076</v>
      </c>
      <c r="W17" s="195">
        <f t="shared" si="1"/>
        <v>90737.561242252283</v>
      </c>
      <c r="X17" s="195">
        <f t="shared" si="1"/>
        <v>79915.778836576312</v>
      </c>
      <c r="Y17" s="195">
        <f t="shared" si="1"/>
        <v>89935.497271</v>
      </c>
      <c r="Z17" s="195">
        <f t="shared" si="1"/>
        <v>101961.92492551256</v>
      </c>
      <c r="AA17" s="195">
        <f>SUM(AA14:AA16)</f>
        <v>101529.61520422222</v>
      </c>
      <c r="AB17" s="195">
        <f>SUM(AB14:AB16)</f>
        <v>99254.91714804167</v>
      </c>
      <c r="AC17" s="195">
        <f t="shared" ref="AC17:BB17" si="2">SUM(AC14:AC16)</f>
        <v>113973.22336000003</v>
      </c>
      <c r="AD17" s="195">
        <f t="shared" si="2"/>
        <v>129946.66293699997</v>
      </c>
      <c r="AE17" s="195">
        <f t="shared" si="2"/>
        <v>136866.36673666668</v>
      </c>
      <c r="AF17" s="195">
        <f t="shared" si="2"/>
        <v>132403.8541513333</v>
      </c>
      <c r="AG17" s="195">
        <f t="shared" si="2"/>
        <v>126500.33686383699</v>
      </c>
      <c r="AH17" s="195">
        <f t="shared" si="2"/>
        <v>154872.819019571</v>
      </c>
      <c r="AI17" s="195">
        <f t="shared" si="2"/>
        <v>168065.07021066669</v>
      </c>
      <c r="AJ17" s="195">
        <f t="shared" si="2"/>
        <v>162837.1894216667</v>
      </c>
      <c r="AK17" s="195">
        <f t="shared" si="2"/>
        <v>174852.88890202725</v>
      </c>
      <c r="AL17" s="195">
        <f t="shared" si="2"/>
        <v>186761.71227509383</v>
      </c>
      <c r="AM17" s="195">
        <f t="shared" si="2"/>
        <v>193563.69575260582</v>
      </c>
      <c r="AN17" s="195">
        <f t="shared" si="2"/>
        <v>178511.53967518333</v>
      </c>
      <c r="AO17" s="195">
        <f t="shared" si="2"/>
        <v>192688.7760137</v>
      </c>
      <c r="AP17" s="195">
        <f t="shared" si="2"/>
        <v>207107.18261916246</v>
      </c>
      <c r="AQ17" s="195">
        <f t="shared" si="2"/>
        <v>211786.35295510001</v>
      </c>
      <c r="AR17" s="195">
        <f t="shared" si="2"/>
        <v>202950.71204355417</v>
      </c>
      <c r="AS17" s="195">
        <f t="shared" si="2"/>
        <v>219271.61798437501</v>
      </c>
      <c r="AT17" s="195">
        <f t="shared" si="2"/>
        <v>234154.22067754008</v>
      </c>
      <c r="AU17" s="195">
        <f t="shared" si="2"/>
        <v>243547.31864002501</v>
      </c>
      <c r="AV17" s="195">
        <f t="shared" si="2"/>
        <v>244802.19276767498</v>
      </c>
      <c r="AW17" s="195">
        <f t="shared" si="2"/>
        <v>244038.13511922499</v>
      </c>
      <c r="AX17" s="195">
        <f t="shared" si="2"/>
        <v>271913.74664481799</v>
      </c>
      <c r="AY17" s="195">
        <f t="shared" si="2"/>
        <v>282760.78508899303</v>
      </c>
      <c r="AZ17" s="195">
        <f t="shared" si="2"/>
        <v>256988.0200402</v>
      </c>
      <c r="BA17" s="195">
        <f t="shared" si="2"/>
        <v>287555.55195764999</v>
      </c>
      <c r="BB17" s="195">
        <f t="shared" si="2"/>
        <v>307386.60567367502</v>
      </c>
    </row>
    <row r="18" spans="2:54" ht="15" customHeight="1" thickBot="1">
      <c r="B18" s="196" t="s">
        <v>101</v>
      </c>
      <c r="C18" s="196" t="s">
        <v>102</v>
      </c>
      <c r="D18" s="197">
        <v>114.05799999999999</v>
      </c>
      <c r="E18" s="197">
        <v>116.54899999999999</v>
      </c>
      <c r="F18" s="197">
        <v>133.244</v>
      </c>
      <c r="G18" s="197">
        <v>131.40199999999999</v>
      </c>
      <c r="H18" s="197">
        <v>111.21970999999999</v>
      </c>
      <c r="I18" s="197">
        <v>120.422</v>
      </c>
      <c r="J18" s="197">
        <v>139.31900000000002</v>
      </c>
      <c r="K18" s="197">
        <v>136.40100000000001</v>
      </c>
      <c r="L18" s="197">
        <v>121.655</v>
      </c>
      <c r="M18" s="197">
        <v>132.41200000000001</v>
      </c>
      <c r="N18" s="197">
        <v>144.20000000000002</v>
      </c>
      <c r="O18" s="197">
        <v>158.22500000000002</v>
      </c>
      <c r="P18" s="197">
        <v>356.48955599999999</v>
      </c>
      <c r="Q18" s="197">
        <v>386.45155899999997</v>
      </c>
      <c r="R18" s="197">
        <v>1838.397666999999</v>
      </c>
      <c r="S18" s="197">
        <v>2691.0476666666677</v>
      </c>
      <c r="T18" s="197">
        <v>2454.0745663333337</v>
      </c>
      <c r="U18" s="197">
        <v>2722.0059999999994</v>
      </c>
      <c r="V18" s="197">
        <v>2343.048086666668</v>
      </c>
      <c r="W18" s="197">
        <v>1607.775408666666</v>
      </c>
      <c r="X18" s="197">
        <v>1715.7239705802467</v>
      </c>
      <c r="Y18" s="197">
        <v>1853.4546610660482</v>
      </c>
      <c r="Z18" s="197">
        <v>1264.3880833333335</v>
      </c>
      <c r="AA18" s="197">
        <v>1411.5641190555555</v>
      </c>
      <c r="AB18" s="198">
        <v>1329.1043958333339</v>
      </c>
      <c r="AC18" s="198">
        <v>3154.0878725358425</v>
      </c>
      <c r="AD18" s="198">
        <v>2436.8126108333322</v>
      </c>
      <c r="AE18" s="198">
        <v>1733.6872708333331</v>
      </c>
      <c r="AF18" s="198">
        <v>2475.8066706666668</v>
      </c>
      <c r="AG18" s="198">
        <v>1429.8231666666666</v>
      </c>
      <c r="AH18" s="198">
        <v>1504.3503333333333</v>
      </c>
      <c r="AI18" s="198">
        <v>1188.2680186666666</v>
      </c>
      <c r="AJ18" s="198">
        <v>1826.0140833333339</v>
      </c>
      <c r="AK18" s="198">
        <v>1393.1388333333332</v>
      </c>
      <c r="AL18" s="198">
        <v>1809.472500000001</v>
      </c>
      <c r="AM18" s="198">
        <v>1942.6497733292185</v>
      </c>
      <c r="AN18" s="198">
        <v>2223.7395833333335</v>
      </c>
      <c r="AO18" s="198">
        <v>1483.9377870370372</v>
      </c>
      <c r="AP18" s="198">
        <v>2092.5880000000002</v>
      </c>
      <c r="AQ18" s="198">
        <v>1191.0473299999999</v>
      </c>
      <c r="AR18" s="198">
        <v>2402.6529895833337</v>
      </c>
      <c r="AS18" s="198">
        <v>1999.8315564516126</v>
      </c>
      <c r="AT18" s="198">
        <v>5183.9675460322596</v>
      </c>
      <c r="AU18" s="198">
        <v>2297.2633919322602</v>
      </c>
      <c r="AV18" s="198">
        <v>2081.05441666667</v>
      </c>
      <c r="AW18" s="543">
        <v>1677.6105</v>
      </c>
      <c r="AX18" s="543">
        <v>2902.0733694444398</v>
      </c>
      <c r="AY18" s="543">
        <v>3039.4899666666702</v>
      </c>
      <c r="AZ18" s="543">
        <v>4108.5522030000002</v>
      </c>
      <c r="BA18" s="543">
        <v>4287.2326911111104</v>
      </c>
      <c r="BB18" s="543">
        <v>6003.8468560111096</v>
      </c>
    </row>
    <row r="19" spans="2:54" ht="15" customHeight="1" thickBot="1">
      <c r="B19" s="199" t="s">
        <v>103</v>
      </c>
      <c r="C19" s="199" t="s">
        <v>2061</v>
      </c>
      <c r="D19" s="195">
        <f t="shared" ref="D19:AX19" si="3">SUM(D13,D17,D18)</f>
        <v>1238110.2959283665</v>
      </c>
      <c r="E19" s="195">
        <f t="shared" si="3"/>
        <v>1252039.3306800001</v>
      </c>
      <c r="F19" s="195">
        <f t="shared" si="3"/>
        <v>1363860.6006432904</v>
      </c>
      <c r="G19" s="195">
        <f t="shared" si="3"/>
        <v>1442976.8029799999</v>
      </c>
      <c r="H19" s="195">
        <f t="shared" si="3"/>
        <v>1335830.9341239999</v>
      </c>
      <c r="I19" s="195">
        <f t="shared" si="3"/>
        <v>1354970.585410476</v>
      </c>
      <c r="J19" s="195">
        <f t="shared" si="3"/>
        <v>1490952.76972</v>
      </c>
      <c r="K19" s="195">
        <f t="shared" si="3"/>
        <v>1531530.13662</v>
      </c>
      <c r="L19" s="195">
        <f t="shared" si="3"/>
        <v>1414072.4529339999</v>
      </c>
      <c r="M19" s="195">
        <f t="shared" si="3"/>
        <v>1425879.2637399998</v>
      </c>
      <c r="N19" s="195">
        <f t="shared" si="3"/>
        <v>1520502.3663560939</v>
      </c>
      <c r="O19" s="195">
        <f t="shared" si="3"/>
        <v>1600308.1363690021</v>
      </c>
      <c r="P19" s="195">
        <f t="shared" si="3"/>
        <v>1462251.116196</v>
      </c>
      <c r="Q19" s="195">
        <f t="shared" si="3"/>
        <v>1529498.727737</v>
      </c>
      <c r="R19" s="195">
        <f t="shared" si="3"/>
        <v>1565034.7553410002</v>
      </c>
      <c r="S19" s="195">
        <f t="shared" si="3"/>
        <v>1618594.624966498</v>
      </c>
      <c r="T19" s="195">
        <f t="shared" si="3"/>
        <v>1402561.9291913332</v>
      </c>
      <c r="U19" s="195">
        <f t="shared" si="3"/>
        <v>1486471.4589328307</v>
      </c>
      <c r="V19" s="195">
        <f t="shared" si="3"/>
        <v>1604501.2184297459</v>
      </c>
      <c r="W19" s="195">
        <f t="shared" si="3"/>
        <v>1709691.4206509192</v>
      </c>
      <c r="X19" s="195">
        <f t="shared" si="3"/>
        <v>1456955.1756921567</v>
      </c>
      <c r="Y19" s="195">
        <f t="shared" si="3"/>
        <v>1524885.6789320658</v>
      </c>
      <c r="Z19" s="195">
        <f t="shared" si="3"/>
        <v>1600883.5720088461</v>
      </c>
      <c r="AA19" s="195">
        <f t="shared" si="3"/>
        <v>1643802.5713232779</v>
      </c>
      <c r="AB19" s="195">
        <f t="shared" si="3"/>
        <v>1478890.6225438749</v>
      </c>
      <c r="AC19" s="195">
        <f t="shared" si="3"/>
        <v>1548422.3782325359</v>
      </c>
      <c r="AD19" s="195">
        <f t="shared" si="3"/>
        <v>1644151.9705478335</v>
      </c>
      <c r="AE19" s="195">
        <f t="shared" si="3"/>
        <v>1747182.8070075004</v>
      </c>
      <c r="AF19" s="195">
        <f t="shared" si="3"/>
        <v>1545701.7528219998</v>
      </c>
      <c r="AG19" s="195">
        <f t="shared" si="3"/>
        <v>1549176.2690305037</v>
      </c>
      <c r="AH19" s="195">
        <f t="shared" si="3"/>
        <v>1704687.303352904</v>
      </c>
      <c r="AI19" s="195">
        <f t="shared" si="3"/>
        <v>1790108.5342293335</v>
      </c>
      <c r="AJ19" s="195">
        <f t="shared" si="3"/>
        <v>1614066.4035050001</v>
      </c>
      <c r="AK19" s="195">
        <f t="shared" si="3"/>
        <v>1644962.8137353603</v>
      </c>
      <c r="AL19" s="195">
        <f t="shared" si="3"/>
        <v>1780108.7117750938</v>
      </c>
      <c r="AM19" s="195">
        <f t="shared" si="3"/>
        <v>1837978.2815259353</v>
      </c>
      <c r="AN19" s="195">
        <f t="shared" si="3"/>
        <v>1632078.2052585166</v>
      </c>
      <c r="AO19" s="195">
        <f t="shared" si="3"/>
        <v>1704900.5238007372</v>
      </c>
      <c r="AP19" s="195">
        <f t="shared" si="3"/>
        <v>1850636.4736191621</v>
      </c>
      <c r="AQ19" s="195">
        <f t="shared" si="3"/>
        <v>1908267.7092851</v>
      </c>
      <c r="AR19" s="195">
        <f t="shared" si="3"/>
        <v>1713776.9090331376</v>
      </c>
      <c r="AS19" s="195">
        <f t="shared" si="3"/>
        <v>1840998.3485408267</v>
      </c>
      <c r="AT19" s="195">
        <f t="shared" si="3"/>
        <v>1987344.3502235725</v>
      </c>
      <c r="AU19" s="195">
        <f t="shared" si="3"/>
        <v>2111834.1654919577</v>
      </c>
      <c r="AV19" s="195">
        <f t="shared" si="3"/>
        <v>1898652.4411843417</v>
      </c>
      <c r="AW19" s="195">
        <f t="shared" si="3"/>
        <v>2016006.3436192248</v>
      </c>
      <c r="AX19" s="195">
        <f t="shared" si="3"/>
        <v>2069293.2740142622</v>
      </c>
      <c r="AY19" s="195">
        <f>SUM(AY13,AY17,AY18)</f>
        <v>2173399.7320556599</v>
      </c>
      <c r="AZ19" s="195">
        <f>SUM(AZ13,AZ17,AZ18)</f>
        <v>1877577.9692432003</v>
      </c>
      <c r="BA19" s="195">
        <f>SUM(BA13,BA17,BA18)</f>
        <v>2006013.9276487608</v>
      </c>
      <c r="BB19" s="195">
        <f>SUM(BB13,BB17,BB18)</f>
        <v>2141868.9965296863</v>
      </c>
    </row>
    <row r="20" spans="2:54" ht="15" customHeight="1" thickBot="1">
      <c r="B20" s="581" t="s">
        <v>2060</v>
      </c>
      <c r="C20" s="581" t="s">
        <v>2063</v>
      </c>
      <c r="D20" s="203"/>
      <c r="E20" s="203"/>
      <c r="F20" s="203"/>
      <c r="G20" s="203"/>
      <c r="H20" s="203"/>
      <c r="I20" s="203"/>
      <c r="J20" s="203"/>
      <c r="K20" s="203"/>
      <c r="L20" s="203"/>
      <c r="M20" s="203"/>
      <c r="N20" s="203"/>
      <c r="O20" s="203"/>
      <c r="P20" s="203"/>
      <c r="Q20" s="203"/>
      <c r="R20" s="203"/>
      <c r="S20" s="203"/>
      <c r="T20" s="203"/>
      <c r="U20" s="203"/>
      <c r="V20" s="203"/>
      <c r="W20" s="203"/>
      <c r="X20" s="203"/>
      <c r="Y20" s="203"/>
      <c r="Z20" s="203"/>
      <c r="AA20" s="203"/>
      <c r="AB20" s="582"/>
      <c r="AC20" s="582"/>
      <c r="AD20" s="582"/>
      <c r="AE20" s="582"/>
      <c r="AF20" s="582"/>
      <c r="AG20" s="582"/>
      <c r="AH20" s="582"/>
      <c r="AI20" s="582"/>
      <c r="AJ20" s="582"/>
      <c r="AK20" s="582"/>
      <c r="AL20" s="582"/>
      <c r="AM20" s="582"/>
      <c r="AN20" s="582"/>
      <c r="AO20" s="582"/>
      <c r="AP20" s="582"/>
      <c r="AQ20" s="582"/>
      <c r="AR20" s="582"/>
      <c r="AS20" s="582"/>
      <c r="AT20" s="582"/>
      <c r="AU20" s="582"/>
      <c r="AV20" s="582">
        <v>19090.404999999999</v>
      </c>
      <c r="AW20" s="582">
        <v>29616.539000000001</v>
      </c>
      <c r="AX20" s="582">
        <v>54093.864999999998</v>
      </c>
      <c r="AY20" s="582">
        <v>52246.923999999999</v>
      </c>
      <c r="AZ20" s="582">
        <v>53740.121000000006</v>
      </c>
      <c r="BA20" s="582">
        <v>68129.879000000001</v>
      </c>
      <c r="BB20" s="582">
        <v>80253.115999999995</v>
      </c>
    </row>
    <row r="21" spans="2:54" ht="15" customHeight="1" thickBot="1">
      <c r="B21" s="199" t="s">
        <v>104</v>
      </c>
      <c r="C21" s="199" t="s">
        <v>2062</v>
      </c>
      <c r="D21" s="580">
        <f t="shared" ref="D21:AY21" si="4">D19+D20</f>
        <v>1238110.2959283665</v>
      </c>
      <c r="E21" s="580">
        <f t="shared" si="4"/>
        <v>1252039.3306800001</v>
      </c>
      <c r="F21" s="580">
        <f t="shared" si="4"/>
        <v>1363860.6006432904</v>
      </c>
      <c r="G21" s="580">
        <f t="shared" si="4"/>
        <v>1442976.8029799999</v>
      </c>
      <c r="H21" s="580">
        <f t="shared" si="4"/>
        <v>1335830.9341239999</v>
      </c>
      <c r="I21" s="580">
        <f t="shared" si="4"/>
        <v>1354970.585410476</v>
      </c>
      <c r="J21" s="580">
        <f t="shared" si="4"/>
        <v>1490952.76972</v>
      </c>
      <c r="K21" s="580">
        <f t="shared" si="4"/>
        <v>1531530.13662</v>
      </c>
      <c r="L21" s="580">
        <f t="shared" si="4"/>
        <v>1414072.4529339999</v>
      </c>
      <c r="M21" s="580">
        <f t="shared" si="4"/>
        <v>1425879.2637399998</v>
      </c>
      <c r="N21" s="580">
        <f t="shared" si="4"/>
        <v>1520502.3663560939</v>
      </c>
      <c r="O21" s="580">
        <f t="shared" si="4"/>
        <v>1600308.1363690021</v>
      </c>
      <c r="P21" s="580">
        <f t="shared" si="4"/>
        <v>1462251.116196</v>
      </c>
      <c r="Q21" s="580">
        <f t="shared" si="4"/>
        <v>1529498.727737</v>
      </c>
      <c r="R21" s="580">
        <f t="shared" si="4"/>
        <v>1565034.7553410002</v>
      </c>
      <c r="S21" s="580">
        <f t="shared" si="4"/>
        <v>1618594.624966498</v>
      </c>
      <c r="T21" s="580">
        <f t="shared" si="4"/>
        <v>1402561.9291913332</v>
      </c>
      <c r="U21" s="580">
        <f t="shared" si="4"/>
        <v>1486471.4589328307</v>
      </c>
      <c r="V21" s="580">
        <f t="shared" si="4"/>
        <v>1604501.2184297459</v>
      </c>
      <c r="W21" s="580">
        <f t="shared" si="4"/>
        <v>1709691.4206509192</v>
      </c>
      <c r="X21" s="580">
        <f t="shared" si="4"/>
        <v>1456955.1756921567</v>
      </c>
      <c r="Y21" s="580">
        <f t="shared" si="4"/>
        <v>1524885.6789320658</v>
      </c>
      <c r="Z21" s="580">
        <f t="shared" si="4"/>
        <v>1600883.5720088461</v>
      </c>
      <c r="AA21" s="580">
        <f t="shared" si="4"/>
        <v>1643802.5713232779</v>
      </c>
      <c r="AB21" s="580">
        <f t="shared" si="4"/>
        <v>1478890.6225438749</v>
      </c>
      <c r="AC21" s="580">
        <f t="shared" si="4"/>
        <v>1548422.3782325359</v>
      </c>
      <c r="AD21" s="580">
        <f t="shared" si="4"/>
        <v>1644151.9705478335</v>
      </c>
      <c r="AE21" s="580">
        <f t="shared" si="4"/>
        <v>1747182.8070075004</v>
      </c>
      <c r="AF21" s="580">
        <f t="shared" si="4"/>
        <v>1545701.7528219998</v>
      </c>
      <c r="AG21" s="580">
        <f t="shared" si="4"/>
        <v>1549176.2690305037</v>
      </c>
      <c r="AH21" s="580">
        <f t="shared" si="4"/>
        <v>1704687.303352904</v>
      </c>
      <c r="AI21" s="580">
        <f t="shared" si="4"/>
        <v>1790108.5342293335</v>
      </c>
      <c r="AJ21" s="580">
        <f t="shared" si="4"/>
        <v>1614066.4035050001</v>
      </c>
      <c r="AK21" s="580">
        <f t="shared" si="4"/>
        <v>1644962.8137353603</v>
      </c>
      <c r="AL21" s="580">
        <f t="shared" si="4"/>
        <v>1780108.7117750938</v>
      </c>
      <c r="AM21" s="580">
        <f t="shared" si="4"/>
        <v>1837978.2815259353</v>
      </c>
      <c r="AN21" s="580">
        <f t="shared" si="4"/>
        <v>1632078.2052585166</v>
      </c>
      <c r="AO21" s="580">
        <f t="shared" si="4"/>
        <v>1704900.5238007372</v>
      </c>
      <c r="AP21" s="580">
        <f t="shared" si="4"/>
        <v>1850636.4736191621</v>
      </c>
      <c r="AQ21" s="580">
        <f t="shared" si="4"/>
        <v>1908267.7092851</v>
      </c>
      <c r="AR21" s="580">
        <f t="shared" si="4"/>
        <v>1713776.9090331376</v>
      </c>
      <c r="AS21" s="580">
        <f t="shared" si="4"/>
        <v>1840998.3485408267</v>
      </c>
      <c r="AT21" s="580">
        <f t="shared" si="4"/>
        <v>1987344.3502235725</v>
      </c>
      <c r="AU21" s="580">
        <f t="shared" si="4"/>
        <v>2111834.1654919577</v>
      </c>
      <c r="AV21" s="580">
        <f t="shared" si="4"/>
        <v>1917742.8461843417</v>
      </c>
      <c r="AW21" s="580">
        <f t="shared" si="4"/>
        <v>2045622.882619225</v>
      </c>
      <c r="AX21" s="580">
        <f t="shared" si="4"/>
        <v>2123387.1390142622</v>
      </c>
      <c r="AY21" s="580">
        <f t="shared" si="4"/>
        <v>2225646.65605566</v>
      </c>
      <c r="AZ21" s="580">
        <f>AZ19+AZ20</f>
        <v>1931318.0902432003</v>
      </c>
      <c r="BA21" s="580">
        <f>BA19+BA20</f>
        <v>2074143.8066487608</v>
      </c>
      <c r="BB21" s="580">
        <f>BB19+BB20</f>
        <v>2222122.1125296862</v>
      </c>
    </row>
    <row r="22" spans="2:54" ht="15" customHeight="1" thickBot="1">
      <c r="B22" s="581" t="s">
        <v>105</v>
      </c>
      <c r="C22" s="581" t="s">
        <v>2064</v>
      </c>
      <c r="D22" s="203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203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3"/>
      <c r="AB22" s="582"/>
      <c r="AC22" s="582"/>
      <c r="AD22" s="582"/>
      <c r="AE22" s="582"/>
      <c r="AF22" s="582"/>
      <c r="AG22" s="582"/>
      <c r="AH22" s="582"/>
      <c r="AI22" s="582"/>
      <c r="AJ22" s="582"/>
      <c r="AK22" s="582"/>
      <c r="AL22" s="582"/>
      <c r="AM22" s="582"/>
      <c r="AN22" s="582"/>
      <c r="AO22" s="582"/>
      <c r="AP22" s="582"/>
      <c r="AQ22" s="582"/>
      <c r="AR22" s="582"/>
      <c r="AS22" s="582"/>
      <c r="AT22" s="582"/>
      <c r="AU22" s="582"/>
      <c r="AV22" s="582">
        <v>101441.11100000032</v>
      </c>
      <c r="AW22" s="582">
        <v>109755.52700000035</v>
      </c>
      <c r="AX22" s="582">
        <v>108010.86000000015</v>
      </c>
      <c r="AY22" s="582">
        <v>131081.484</v>
      </c>
      <c r="AZ22" s="582">
        <v>113509.74499999984</v>
      </c>
      <c r="BA22" s="582">
        <v>119772.72799999999</v>
      </c>
      <c r="BB22" s="582">
        <v>126702.11099999993</v>
      </c>
    </row>
    <row r="23" spans="2:54" ht="15" customHeight="1" thickBot="1">
      <c r="B23" s="196" t="s">
        <v>106</v>
      </c>
      <c r="C23" s="196" t="s">
        <v>2065</v>
      </c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97"/>
      <c r="P23" s="197"/>
      <c r="Q23" s="197"/>
      <c r="R23" s="197"/>
      <c r="S23" s="197"/>
      <c r="T23" s="197"/>
      <c r="U23" s="197"/>
      <c r="V23" s="197"/>
      <c r="W23" s="197"/>
      <c r="X23" s="197"/>
      <c r="Y23" s="197"/>
      <c r="Z23" s="197"/>
      <c r="AA23" s="197"/>
      <c r="AB23" s="198">
        <v>1856.0370000000112</v>
      </c>
      <c r="AC23" s="198">
        <v>2708.0230000000447</v>
      </c>
      <c r="AD23" s="198">
        <v>4319.1579999998212</v>
      </c>
      <c r="AE23" s="198">
        <v>7567.0400000000373</v>
      </c>
      <c r="AF23" s="198">
        <v>8922.5840000000317</v>
      </c>
      <c r="AG23" s="198">
        <v>11896.237000000197</v>
      </c>
      <c r="AH23" s="198">
        <v>18966.802000000142</v>
      </c>
      <c r="AI23" s="198">
        <v>24017.540000000037</v>
      </c>
      <c r="AJ23" s="198">
        <v>23765.382000000216</v>
      </c>
      <c r="AK23" s="198">
        <v>29045.375</v>
      </c>
      <c r="AL23" s="198">
        <v>39058.817999999737</v>
      </c>
      <c r="AM23" s="198">
        <v>46944.956000000238</v>
      </c>
      <c r="AN23" s="198">
        <v>44545.87099999981</v>
      </c>
      <c r="AO23" s="198">
        <v>55771.213000000222</v>
      </c>
      <c r="AP23" s="198">
        <v>71437.419000000227</v>
      </c>
      <c r="AQ23" s="198">
        <v>83257.29434473766</v>
      </c>
      <c r="AR23" s="198">
        <v>82169.038000000175</v>
      </c>
      <c r="AS23" s="198">
        <v>99822.43899999978</v>
      </c>
      <c r="AT23" s="198">
        <v>118834.47500000009</v>
      </c>
      <c r="AU23" s="198">
        <v>131189.92099999986</v>
      </c>
      <c r="AV23" s="198">
        <f>+AV22+AV20</f>
        <v>120531.51600000032</v>
      </c>
      <c r="AW23" s="198">
        <f>+AW22+AW20</f>
        <v>139372.06600000034</v>
      </c>
      <c r="AX23" s="198">
        <f t="shared" ref="AX23:BB23" si="5">+AX22+AX20</f>
        <v>162104.72500000015</v>
      </c>
      <c r="AY23" s="198">
        <f t="shared" si="5"/>
        <v>183328.408</v>
      </c>
      <c r="AZ23" s="198">
        <f t="shared" si="5"/>
        <v>167249.86599999983</v>
      </c>
      <c r="BA23" s="198">
        <f t="shared" si="5"/>
        <v>187902.60699999999</v>
      </c>
      <c r="BB23" s="198">
        <f t="shared" si="5"/>
        <v>206955.22699999993</v>
      </c>
    </row>
    <row r="24" spans="2:54" ht="15" customHeight="1" thickBot="1">
      <c r="B24" s="199" t="s">
        <v>107</v>
      </c>
      <c r="C24" s="199" t="s">
        <v>2066</v>
      </c>
      <c r="D24" s="195">
        <f t="shared" ref="D24:BB24" si="6">D19+D23</f>
        <v>1238110.2959283665</v>
      </c>
      <c r="E24" s="195">
        <f t="shared" si="6"/>
        <v>1252039.3306800001</v>
      </c>
      <c r="F24" s="195">
        <f t="shared" si="6"/>
        <v>1363860.6006432904</v>
      </c>
      <c r="G24" s="195">
        <f t="shared" si="6"/>
        <v>1442976.8029799999</v>
      </c>
      <c r="H24" s="195">
        <f t="shared" si="6"/>
        <v>1335830.9341239999</v>
      </c>
      <c r="I24" s="195">
        <f t="shared" si="6"/>
        <v>1354970.585410476</v>
      </c>
      <c r="J24" s="195">
        <f t="shared" si="6"/>
        <v>1490952.76972</v>
      </c>
      <c r="K24" s="195">
        <f t="shared" si="6"/>
        <v>1531530.13662</v>
      </c>
      <c r="L24" s="195">
        <f t="shared" si="6"/>
        <v>1414072.4529339999</v>
      </c>
      <c r="M24" s="195">
        <f t="shared" si="6"/>
        <v>1425879.2637399998</v>
      </c>
      <c r="N24" s="195">
        <f t="shared" si="6"/>
        <v>1520502.3663560939</v>
      </c>
      <c r="O24" s="195">
        <f t="shared" si="6"/>
        <v>1600308.1363690021</v>
      </c>
      <c r="P24" s="195">
        <f t="shared" si="6"/>
        <v>1462251.116196</v>
      </c>
      <c r="Q24" s="195">
        <f t="shared" si="6"/>
        <v>1529498.727737</v>
      </c>
      <c r="R24" s="195">
        <f t="shared" si="6"/>
        <v>1565034.7553410002</v>
      </c>
      <c r="S24" s="195">
        <f t="shared" si="6"/>
        <v>1618594.624966498</v>
      </c>
      <c r="T24" s="195">
        <f t="shared" si="6"/>
        <v>1402561.9291913332</v>
      </c>
      <c r="U24" s="195">
        <f t="shared" si="6"/>
        <v>1486471.4589328307</v>
      </c>
      <c r="V24" s="195">
        <f t="shared" si="6"/>
        <v>1604501.2184297459</v>
      </c>
      <c r="W24" s="195">
        <f t="shared" si="6"/>
        <v>1709691.4206509192</v>
      </c>
      <c r="X24" s="195">
        <f t="shared" si="6"/>
        <v>1456955.1756921567</v>
      </c>
      <c r="Y24" s="195">
        <f t="shared" si="6"/>
        <v>1524885.6789320658</v>
      </c>
      <c r="Z24" s="195">
        <f t="shared" si="6"/>
        <v>1600883.5720088461</v>
      </c>
      <c r="AA24" s="195">
        <f t="shared" si="6"/>
        <v>1643802.5713232779</v>
      </c>
      <c r="AB24" s="195">
        <f t="shared" si="6"/>
        <v>1480746.6595438749</v>
      </c>
      <c r="AC24" s="195">
        <f t="shared" si="6"/>
        <v>1551130.401232536</v>
      </c>
      <c r="AD24" s="195">
        <f t="shared" si="6"/>
        <v>1648471.1285478333</v>
      </c>
      <c r="AE24" s="195">
        <f t="shared" si="6"/>
        <v>1754749.8470075005</v>
      </c>
      <c r="AF24" s="195">
        <f t="shared" si="6"/>
        <v>1554624.3368219999</v>
      </c>
      <c r="AG24" s="195">
        <f t="shared" si="6"/>
        <v>1561072.5060305039</v>
      </c>
      <c r="AH24" s="195">
        <f t="shared" si="6"/>
        <v>1723654.1053529042</v>
      </c>
      <c r="AI24" s="195">
        <f t="shared" si="6"/>
        <v>1814126.0742293335</v>
      </c>
      <c r="AJ24" s="195">
        <f t="shared" si="6"/>
        <v>1637831.7855050003</v>
      </c>
      <c r="AK24" s="195">
        <f t="shared" si="6"/>
        <v>1674008.1887353603</v>
      </c>
      <c r="AL24" s="195">
        <f t="shared" si="6"/>
        <v>1819167.5297750935</v>
      </c>
      <c r="AM24" s="195">
        <f t="shared" si="6"/>
        <v>1884923.2375259355</v>
      </c>
      <c r="AN24" s="195">
        <f t="shared" si="6"/>
        <v>1676624.0762585164</v>
      </c>
      <c r="AO24" s="195">
        <f t="shared" si="6"/>
        <v>1760671.7368007374</v>
      </c>
      <c r="AP24" s="195">
        <f t="shared" si="6"/>
        <v>1922073.8926191623</v>
      </c>
      <c r="AQ24" s="195">
        <f t="shared" si="6"/>
        <v>1991525.0036298377</v>
      </c>
      <c r="AR24" s="195">
        <f t="shared" si="6"/>
        <v>1795945.9470331378</v>
      </c>
      <c r="AS24" s="195">
        <f t="shared" si="6"/>
        <v>1940820.7875408265</v>
      </c>
      <c r="AT24" s="195">
        <f t="shared" si="6"/>
        <v>2106178.8252235726</v>
      </c>
      <c r="AU24" s="195">
        <f t="shared" si="6"/>
        <v>2243024.0864919573</v>
      </c>
      <c r="AV24" s="195">
        <f t="shared" si="6"/>
        <v>2019183.957184342</v>
      </c>
      <c r="AW24" s="195">
        <f t="shared" si="6"/>
        <v>2155378.4096192252</v>
      </c>
      <c r="AX24" s="195">
        <f t="shared" si="6"/>
        <v>2231397.9990142626</v>
      </c>
      <c r="AY24" s="195">
        <f t="shared" si="6"/>
        <v>2356728.1400556597</v>
      </c>
      <c r="AZ24" s="195">
        <f t="shared" si="6"/>
        <v>2044827.8352432002</v>
      </c>
      <c r="BA24" s="195">
        <f t="shared" si="6"/>
        <v>2193916.5346487607</v>
      </c>
      <c r="BB24" s="195">
        <f t="shared" si="6"/>
        <v>2348824.2235296862</v>
      </c>
    </row>
    <row r="25" spans="2:54" ht="15" customHeight="1">
      <c r="B25" s="200" t="s">
        <v>108</v>
      </c>
      <c r="C25" s="200" t="s">
        <v>109</v>
      </c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200"/>
      <c r="P25" s="200"/>
      <c r="Q25" s="200"/>
      <c r="R25" s="200"/>
      <c r="S25" s="200"/>
      <c r="T25" s="200"/>
      <c r="U25" s="200"/>
      <c r="V25" s="200"/>
      <c r="W25" s="200"/>
      <c r="X25" s="200"/>
      <c r="AD25" s="554"/>
      <c r="AE25" s="554"/>
      <c r="AF25" s="554"/>
      <c r="AG25" s="554"/>
      <c r="AH25" s="554"/>
      <c r="AI25" s="554"/>
      <c r="AJ25" s="554"/>
      <c r="AK25" s="554"/>
      <c r="AL25" s="554"/>
      <c r="AM25" s="554"/>
      <c r="AN25" s="554"/>
      <c r="AO25" s="554"/>
      <c r="AP25" s="554"/>
      <c r="AQ25" s="554"/>
      <c r="AR25" s="554"/>
      <c r="AS25" s="554"/>
      <c r="AT25" s="554"/>
      <c r="AU25" s="554"/>
      <c r="AV25" s="554"/>
      <c r="AW25" s="554"/>
      <c r="AX25" s="554"/>
      <c r="AY25" s="554"/>
      <c r="AZ25" s="554"/>
      <c r="BA25" s="554"/>
      <c r="BB25" s="554"/>
    </row>
    <row r="26" spans="2:54" ht="15" customHeight="1">
      <c r="B26" s="200"/>
      <c r="C26" s="200"/>
      <c r="D26" s="200"/>
      <c r="E26" s="200"/>
      <c r="F26" s="200"/>
      <c r="G26" s="200"/>
      <c r="H26" s="200"/>
      <c r="I26" s="200"/>
      <c r="J26" s="200"/>
      <c r="K26" s="200"/>
      <c r="L26" s="200"/>
      <c r="M26" s="200"/>
      <c r="N26" s="200"/>
      <c r="O26" s="200"/>
      <c r="P26" s="200"/>
      <c r="Q26" s="200"/>
      <c r="R26" s="200"/>
      <c r="S26" s="200"/>
      <c r="T26" s="200"/>
      <c r="U26" s="200"/>
      <c r="V26" s="200"/>
      <c r="W26" s="200"/>
      <c r="X26" s="200"/>
      <c r="AD26" s="554"/>
      <c r="AE26" s="554"/>
      <c r="AF26" s="554"/>
      <c r="AG26" s="554"/>
      <c r="AH26" s="554"/>
      <c r="AI26" s="554"/>
      <c r="AJ26" s="554"/>
      <c r="AK26" s="554"/>
      <c r="AL26" s="554"/>
      <c r="AM26" s="554"/>
      <c r="AN26" s="554"/>
      <c r="AO26" s="554"/>
      <c r="AP26" s="554"/>
      <c r="AQ26" s="554"/>
      <c r="AR26" s="554"/>
      <c r="AS26" s="554"/>
      <c r="AT26" s="554"/>
      <c r="AU26" s="554"/>
      <c r="AV26" s="554"/>
      <c r="AW26" s="554"/>
      <c r="AX26" s="554"/>
      <c r="AY26" s="554"/>
      <c r="AZ26" s="554"/>
      <c r="BA26" s="554"/>
      <c r="BB26" s="554"/>
    </row>
    <row r="27" spans="2:54" ht="15" customHeight="1">
      <c r="B27" s="190" t="s">
        <v>110</v>
      </c>
      <c r="C27" s="190" t="s">
        <v>110</v>
      </c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91"/>
      <c r="P27" s="191"/>
      <c r="Q27" s="191"/>
      <c r="R27" s="191"/>
      <c r="S27" s="191"/>
      <c r="T27" s="191"/>
      <c r="U27" s="191"/>
      <c r="V27" s="191"/>
      <c r="W27" s="191"/>
      <c r="X27" s="191"/>
      <c r="Y27" s="191"/>
      <c r="Z27" s="191"/>
      <c r="AA27" s="191"/>
      <c r="AB27" s="191"/>
      <c r="AC27" s="191"/>
      <c r="AD27" s="191"/>
      <c r="AE27" s="191"/>
      <c r="AF27" s="191"/>
      <c r="AG27" s="191"/>
      <c r="AH27" s="191"/>
      <c r="AI27" s="191"/>
      <c r="AJ27" s="191"/>
      <c r="AK27" s="191"/>
      <c r="AL27" s="191"/>
      <c r="AM27" s="191"/>
      <c r="AN27" s="191"/>
      <c r="AO27" s="191"/>
      <c r="AP27" s="191"/>
      <c r="AQ27" s="191"/>
      <c r="AR27" s="191"/>
      <c r="AS27" s="191"/>
      <c r="AT27" s="191"/>
      <c r="AU27" s="191"/>
      <c r="AV27" s="191"/>
      <c r="AW27" s="191"/>
      <c r="AX27" s="191"/>
      <c r="AY27" s="191"/>
      <c r="AZ27" s="191"/>
      <c r="BA27" s="191"/>
      <c r="BB27" s="191"/>
    </row>
    <row r="28" spans="2:54" ht="15" customHeight="1">
      <c r="B28" s="192" t="s">
        <v>90</v>
      </c>
      <c r="C28" s="192" t="s">
        <v>91</v>
      </c>
      <c r="D28" s="193">
        <v>629910.30299999996</v>
      </c>
      <c r="E28" s="193">
        <v>669517.91399999999</v>
      </c>
      <c r="F28" s="193">
        <v>700202.06</v>
      </c>
      <c r="G28" s="193">
        <v>758350.17500000005</v>
      </c>
      <c r="H28" s="193">
        <v>767350.70500000007</v>
      </c>
      <c r="I28" s="193">
        <v>811032.60400000005</v>
      </c>
      <c r="J28" s="193">
        <v>867151.83600000001</v>
      </c>
      <c r="K28" s="193">
        <v>871810.58400000003</v>
      </c>
      <c r="L28" s="193">
        <v>803746.79799999995</v>
      </c>
      <c r="M28" s="193">
        <v>755640.326</v>
      </c>
      <c r="N28" s="193">
        <v>912657.87599999993</v>
      </c>
      <c r="O28" s="193">
        <v>1084082.247</v>
      </c>
      <c r="P28" s="193">
        <v>834676.69533900009</v>
      </c>
      <c r="Q28" s="193">
        <v>893487.96304299892</v>
      </c>
      <c r="R28" s="193">
        <v>1008262.6152989989</v>
      </c>
      <c r="S28" s="193">
        <v>1009673.3256159989</v>
      </c>
      <c r="T28" s="193">
        <v>830710.906648</v>
      </c>
      <c r="U28" s="193">
        <v>936310.60573199973</v>
      </c>
      <c r="V28" s="193">
        <v>1004580.7237629998</v>
      </c>
      <c r="W28" s="193">
        <v>1038316.8960739976</v>
      </c>
      <c r="X28" s="193">
        <v>873037.96600000001</v>
      </c>
      <c r="Y28" s="201">
        <v>926663.54999999993</v>
      </c>
      <c r="Z28" s="201">
        <v>933719.89699999988</v>
      </c>
      <c r="AA28" s="201">
        <v>938090.75899999985</v>
      </c>
      <c r="AB28" s="201">
        <v>794439.09900000005</v>
      </c>
      <c r="AC28" s="201">
        <v>866402.54899999988</v>
      </c>
      <c r="AD28" s="201">
        <v>957126.12400000007</v>
      </c>
      <c r="AE28" s="201">
        <v>993849.40500000003</v>
      </c>
      <c r="AF28" s="201">
        <v>888167.74</v>
      </c>
      <c r="AG28" s="201">
        <v>946861.53199999989</v>
      </c>
      <c r="AH28" s="201">
        <v>1051296.6429999999</v>
      </c>
      <c r="AI28" s="201">
        <v>1015557.4920000001</v>
      </c>
      <c r="AJ28" s="201">
        <v>966914.42600000021</v>
      </c>
      <c r="AK28" s="201">
        <v>1030577.196</v>
      </c>
      <c r="AL28" s="201">
        <v>1087796.2489999998</v>
      </c>
      <c r="AM28" s="201">
        <v>1103240.8119999999</v>
      </c>
      <c r="AN28" s="201">
        <v>997225.31400000001</v>
      </c>
      <c r="AO28" s="201">
        <v>1048732.4759999998</v>
      </c>
      <c r="AP28" s="201">
        <v>1165540.0049999999</v>
      </c>
      <c r="AQ28" s="201">
        <v>1170200.176</v>
      </c>
      <c r="AR28" s="201">
        <v>1061124.7949999999</v>
      </c>
      <c r="AS28" s="201">
        <v>1125939.4479999999</v>
      </c>
      <c r="AT28" s="201">
        <v>1253055.52</v>
      </c>
      <c r="AU28" s="201">
        <v>1347792.1850000001</v>
      </c>
      <c r="AV28" s="201">
        <v>1199640.53</v>
      </c>
      <c r="AW28" s="201">
        <v>1217165.138</v>
      </c>
      <c r="AX28" s="201">
        <v>1296070.304</v>
      </c>
      <c r="AY28" s="201">
        <v>1328747.615</v>
      </c>
      <c r="AZ28" s="201">
        <v>1138695.8359999999</v>
      </c>
      <c r="BA28" s="201">
        <v>1204218.956</v>
      </c>
      <c r="BB28" s="201">
        <v>1265997.736</v>
      </c>
    </row>
    <row r="29" spans="2:54" ht="15" customHeight="1">
      <c r="B29" s="192" t="s">
        <v>92</v>
      </c>
      <c r="C29" s="192" t="s">
        <v>92</v>
      </c>
      <c r="D29" s="193">
        <v>286922.59899999999</v>
      </c>
      <c r="E29" s="193">
        <v>302886.59399999998</v>
      </c>
      <c r="F29" s="193">
        <v>339552.34499999997</v>
      </c>
      <c r="G29" s="193">
        <v>364903.326</v>
      </c>
      <c r="H29" s="193">
        <v>316695.42499999999</v>
      </c>
      <c r="I29" s="193">
        <v>326518.31800000003</v>
      </c>
      <c r="J29" s="193">
        <v>346502.80200000003</v>
      </c>
      <c r="K29" s="193">
        <v>354809.65599999996</v>
      </c>
      <c r="L29" s="193">
        <v>327926.54599999997</v>
      </c>
      <c r="M29" s="193">
        <v>307271.29099999997</v>
      </c>
      <c r="N29" s="193">
        <v>342180.17200000002</v>
      </c>
      <c r="O29" s="193">
        <v>343778.38300000003</v>
      </c>
      <c r="P29" s="193">
        <v>262654.69283299998</v>
      </c>
      <c r="Q29" s="193">
        <v>209784.30880900001</v>
      </c>
      <c r="R29" s="193">
        <v>224289.10134300002</v>
      </c>
      <c r="S29" s="193">
        <v>227876.746675</v>
      </c>
      <c r="T29" s="193">
        <v>158663.891722</v>
      </c>
      <c r="U29" s="193">
        <v>153998.15317400004</v>
      </c>
      <c r="V29" s="193">
        <v>156913.74150900001</v>
      </c>
      <c r="W29" s="193">
        <v>160725.94104899999</v>
      </c>
      <c r="X29" s="193">
        <v>136753.95699999999</v>
      </c>
      <c r="Y29" s="201">
        <v>129217.86000000002</v>
      </c>
      <c r="Z29" s="201">
        <v>150321.245</v>
      </c>
      <c r="AA29" s="201">
        <v>163115.37</v>
      </c>
      <c r="AB29" s="201">
        <v>121811.67099999999</v>
      </c>
      <c r="AC29" s="201">
        <v>126939.00200000001</v>
      </c>
      <c r="AD29" s="201">
        <v>135548.38800000001</v>
      </c>
      <c r="AE29" s="201">
        <v>136109.796</v>
      </c>
      <c r="AF29" s="201">
        <v>106191.30799999999</v>
      </c>
      <c r="AG29" s="201">
        <v>98829.087</v>
      </c>
      <c r="AH29" s="201">
        <v>134609.774</v>
      </c>
      <c r="AI29" s="201">
        <v>124096.73699999999</v>
      </c>
      <c r="AJ29" s="201">
        <v>108993.064</v>
      </c>
      <c r="AK29" s="201">
        <v>108916.59099999999</v>
      </c>
      <c r="AL29" s="201">
        <v>125691.27799999999</v>
      </c>
      <c r="AM29" s="201">
        <v>124021.55699999999</v>
      </c>
      <c r="AN29" s="201">
        <v>106408.395</v>
      </c>
      <c r="AO29" s="201">
        <v>108966.802</v>
      </c>
      <c r="AP29" s="201">
        <v>110561.30800000002</v>
      </c>
      <c r="AQ29" s="201">
        <v>97437.047000000006</v>
      </c>
      <c r="AR29" s="201">
        <v>83763.953000000009</v>
      </c>
      <c r="AS29" s="201">
        <v>84600.054999999993</v>
      </c>
      <c r="AT29" s="201">
        <v>93231.56</v>
      </c>
      <c r="AU29" s="201">
        <v>91901.748999999996</v>
      </c>
      <c r="AV29" s="201">
        <v>74381.288</v>
      </c>
      <c r="AW29" s="201">
        <v>72004.493000000002</v>
      </c>
      <c r="AX29" s="201">
        <v>73009.017999999996</v>
      </c>
      <c r="AY29" s="201">
        <v>68827.88</v>
      </c>
      <c r="AZ29" s="201">
        <v>52786.069000000003</v>
      </c>
      <c r="BA29" s="201">
        <v>47241.928</v>
      </c>
      <c r="BB29" s="201">
        <v>50151.357000000004</v>
      </c>
    </row>
    <row r="30" spans="2:54" ht="15" customHeight="1">
      <c r="B30" s="192" t="s">
        <v>93</v>
      </c>
      <c r="C30" s="192" t="s">
        <v>94</v>
      </c>
      <c r="D30" s="193">
        <v>371956.34899999999</v>
      </c>
      <c r="E30" s="193">
        <v>402887.35400000005</v>
      </c>
      <c r="F30" s="193">
        <v>418795.71600000001</v>
      </c>
      <c r="G30" s="193">
        <v>445531.75399999996</v>
      </c>
      <c r="H30" s="193">
        <v>398720.37</v>
      </c>
      <c r="I30" s="193">
        <v>421382.397</v>
      </c>
      <c r="J30" s="193">
        <v>445746.13699999999</v>
      </c>
      <c r="K30" s="193">
        <v>464834.21699999995</v>
      </c>
      <c r="L30" s="193">
        <v>420933.82700000005</v>
      </c>
      <c r="M30" s="193">
        <v>403842.842</v>
      </c>
      <c r="N30" s="193">
        <v>466707.94699999999</v>
      </c>
      <c r="O30" s="193">
        <v>508454.02299999999</v>
      </c>
      <c r="P30" s="193">
        <v>402643.29205799999</v>
      </c>
      <c r="Q30" s="193">
        <v>426443.97089799982</v>
      </c>
      <c r="R30" s="193">
        <v>454677.13917400001</v>
      </c>
      <c r="S30" s="193">
        <v>447581.56938300002</v>
      </c>
      <c r="T30" s="193">
        <v>365667.75012600014</v>
      </c>
      <c r="U30" s="193">
        <v>409860.78417100001</v>
      </c>
      <c r="V30" s="193">
        <v>420490.72016600042</v>
      </c>
      <c r="W30" s="193">
        <v>417747.91548199992</v>
      </c>
      <c r="X30" s="193">
        <v>356256.038</v>
      </c>
      <c r="Y30" s="201">
        <v>380886.21299999999</v>
      </c>
      <c r="Z30" s="201">
        <v>394629.80099999998</v>
      </c>
      <c r="AA30" s="201">
        <v>394056.55300000001</v>
      </c>
      <c r="AB30" s="201">
        <v>334021.13199999998</v>
      </c>
      <c r="AC30" s="201">
        <v>362204.27999999997</v>
      </c>
      <c r="AD30" s="201">
        <v>380883.28800000006</v>
      </c>
      <c r="AE30" s="201">
        <v>399654.93500000006</v>
      </c>
      <c r="AF30" s="201">
        <v>341256.96100000001</v>
      </c>
      <c r="AG30" s="201">
        <v>295809.10600000003</v>
      </c>
      <c r="AH30" s="201">
        <v>372425.46400000004</v>
      </c>
      <c r="AI30" s="201">
        <v>370449.91200000001</v>
      </c>
      <c r="AJ30" s="201">
        <v>322859.53700000001</v>
      </c>
      <c r="AK30" s="201">
        <v>338906.87300000002</v>
      </c>
      <c r="AL30" s="201">
        <v>367964.75300000003</v>
      </c>
      <c r="AM30" s="201">
        <v>369618.68400000001</v>
      </c>
      <c r="AN30" s="201">
        <v>330360.25300000003</v>
      </c>
      <c r="AO30" s="201">
        <v>344141.70600000001</v>
      </c>
      <c r="AP30" s="201">
        <v>367444.853</v>
      </c>
      <c r="AQ30" s="201">
        <v>362445.783</v>
      </c>
      <c r="AR30" s="201">
        <v>316430.33400000003</v>
      </c>
      <c r="AS30" s="201">
        <v>333802.65100000001</v>
      </c>
      <c r="AT30" s="201">
        <v>357137.87400000001</v>
      </c>
      <c r="AU30" s="201">
        <v>365421.91800000001</v>
      </c>
      <c r="AV30" s="201">
        <v>313996.90500000003</v>
      </c>
      <c r="AW30" s="201">
        <v>319015.79399999999</v>
      </c>
      <c r="AX30" s="201">
        <v>324185.065</v>
      </c>
      <c r="AY30" s="201">
        <v>323700.38400000002</v>
      </c>
      <c r="AZ30" s="201">
        <v>261474.573</v>
      </c>
      <c r="BA30" s="201">
        <v>268665.50300000003</v>
      </c>
      <c r="BB30" s="201">
        <v>272891.587</v>
      </c>
    </row>
    <row r="31" spans="2:54" ht="15" customHeight="1" thickBot="1">
      <c r="B31" s="192" t="s">
        <v>95</v>
      </c>
      <c r="C31" s="192" t="s">
        <v>96</v>
      </c>
      <c r="D31" s="193">
        <v>283423.11199999996</v>
      </c>
      <c r="E31" s="193">
        <v>307160</v>
      </c>
      <c r="F31" s="193">
        <v>316921.44000000006</v>
      </c>
      <c r="G31" s="193">
        <v>341811.35399999999</v>
      </c>
      <c r="H31" s="193">
        <v>314892.50699999998</v>
      </c>
      <c r="I31" s="193">
        <v>335775.74700000003</v>
      </c>
      <c r="J31" s="193">
        <v>340896.02899999998</v>
      </c>
      <c r="K31" s="193">
        <v>370815.53</v>
      </c>
      <c r="L31" s="193">
        <v>335087.10099999997</v>
      </c>
      <c r="M31" s="193">
        <v>333858.65100000007</v>
      </c>
      <c r="N31" s="193">
        <v>374660.16500000004</v>
      </c>
      <c r="O31" s="193">
        <v>417604.19200000004</v>
      </c>
      <c r="P31" s="193">
        <v>351592.729268</v>
      </c>
      <c r="Q31" s="193">
        <v>399773.21829999995</v>
      </c>
      <c r="R31" s="193">
        <v>417984.87170900009</v>
      </c>
      <c r="S31" s="193">
        <v>425123.09895000001</v>
      </c>
      <c r="T31" s="193">
        <v>348898.050453</v>
      </c>
      <c r="U31" s="193">
        <v>383556.48254899995</v>
      </c>
      <c r="V31" s="193">
        <v>390966.73903399997</v>
      </c>
      <c r="W31" s="193">
        <v>427329.49064899987</v>
      </c>
      <c r="X31" s="193">
        <v>366423.05299999996</v>
      </c>
      <c r="Y31" s="201">
        <v>392242.79100000003</v>
      </c>
      <c r="Z31" s="201">
        <v>403028.92800000001</v>
      </c>
      <c r="AA31" s="201">
        <v>422126.01599999995</v>
      </c>
      <c r="AB31" s="201">
        <v>368767.65100000001</v>
      </c>
      <c r="AC31" s="201">
        <v>387866.27600000001</v>
      </c>
      <c r="AD31" s="201">
        <v>406188.23000000004</v>
      </c>
      <c r="AE31" s="201">
        <v>435155.75</v>
      </c>
      <c r="AF31" s="201">
        <v>376117.39399999997</v>
      </c>
      <c r="AG31" s="201">
        <v>353008.79700000002</v>
      </c>
      <c r="AH31" s="201">
        <v>428134.96300000005</v>
      </c>
      <c r="AI31" s="201">
        <v>384249.06600000005</v>
      </c>
      <c r="AJ31" s="201">
        <v>338176.01199999999</v>
      </c>
      <c r="AK31" s="201">
        <v>356591.44799999997</v>
      </c>
      <c r="AL31" s="201">
        <v>380939.58300000004</v>
      </c>
      <c r="AM31" s="201">
        <v>386325.99700000003</v>
      </c>
      <c r="AN31" s="201">
        <v>358545.55600000004</v>
      </c>
      <c r="AO31" s="201">
        <v>379601.18599999999</v>
      </c>
      <c r="AP31" s="201">
        <v>397877.01599999995</v>
      </c>
      <c r="AQ31" s="201">
        <v>391434.78700000001</v>
      </c>
      <c r="AR31" s="201">
        <v>355657.46400000015</v>
      </c>
      <c r="AS31" s="201">
        <v>383132.21100000001</v>
      </c>
      <c r="AT31" s="201">
        <v>400658.58299999998</v>
      </c>
      <c r="AU31" s="201">
        <v>442574.51199999987</v>
      </c>
      <c r="AV31" s="201">
        <v>375538.27100000012</v>
      </c>
      <c r="AW31" s="201">
        <v>409399.23699999996</v>
      </c>
      <c r="AX31" s="201">
        <v>422031.59499999997</v>
      </c>
      <c r="AY31" s="201">
        <v>439384.60599999968</v>
      </c>
      <c r="AZ31" s="201">
        <v>358975.11100000003</v>
      </c>
      <c r="BA31" s="201">
        <v>396824.25</v>
      </c>
      <c r="BB31" s="201">
        <v>408448.85099999979</v>
      </c>
    </row>
    <row r="32" spans="2:54" ht="15" customHeight="1" thickBot="1">
      <c r="B32" s="199" t="s">
        <v>97</v>
      </c>
      <c r="C32" s="194" t="s">
        <v>98</v>
      </c>
      <c r="D32" s="202">
        <f>SUM(D28:D31)</f>
        <v>1572212.3629999999</v>
      </c>
      <c r="E32" s="202">
        <f t="shared" ref="E32:BB32" si="7">SUM(E28:E31)</f>
        <v>1682451.862</v>
      </c>
      <c r="F32" s="202">
        <f t="shared" si="7"/>
        <v>1775471.5610000002</v>
      </c>
      <c r="G32" s="202">
        <f t="shared" si="7"/>
        <v>1910596.6090000002</v>
      </c>
      <c r="H32" s="202">
        <f t="shared" si="7"/>
        <v>1797659.007</v>
      </c>
      <c r="I32" s="202">
        <f t="shared" si="7"/>
        <v>1894709.0660000001</v>
      </c>
      <c r="J32" s="202">
        <f t="shared" si="7"/>
        <v>2000296.804</v>
      </c>
      <c r="K32" s="202">
        <f t="shared" si="7"/>
        <v>2062269.987</v>
      </c>
      <c r="L32" s="202">
        <f t="shared" si="7"/>
        <v>1887694.2720000001</v>
      </c>
      <c r="M32" s="202">
        <f t="shared" si="7"/>
        <v>1800613.11</v>
      </c>
      <c r="N32" s="202">
        <f t="shared" si="7"/>
        <v>2096206.16</v>
      </c>
      <c r="O32" s="202">
        <f t="shared" si="7"/>
        <v>2353918.8449999997</v>
      </c>
      <c r="P32" s="202">
        <f t="shared" si="7"/>
        <v>1851567.4094980001</v>
      </c>
      <c r="Q32" s="202">
        <f t="shared" si="7"/>
        <v>1929489.4610499986</v>
      </c>
      <c r="R32" s="202">
        <f t="shared" si="7"/>
        <v>2105213.7275249986</v>
      </c>
      <c r="S32" s="202">
        <f t="shared" si="7"/>
        <v>2110254.7406239989</v>
      </c>
      <c r="T32" s="202">
        <f t="shared" si="7"/>
        <v>1703940.598949</v>
      </c>
      <c r="U32" s="202">
        <f t="shared" si="7"/>
        <v>1883726.025626</v>
      </c>
      <c r="V32" s="202">
        <f t="shared" si="7"/>
        <v>1972951.924472</v>
      </c>
      <c r="W32" s="202">
        <f t="shared" si="7"/>
        <v>2044120.2432539973</v>
      </c>
      <c r="X32" s="202">
        <f t="shared" si="7"/>
        <v>1732471.014</v>
      </c>
      <c r="Y32" s="202">
        <f t="shared" si="7"/>
        <v>1829010.4139999999</v>
      </c>
      <c r="Z32" s="202">
        <f t="shared" si="7"/>
        <v>1881699.871</v>
      </c>
      <c r="AA32" s="202">
        <f t="shared" si="7"/>
        <v>1917388.6979999999</v>
      </c>
      <c r="AB32" s="202">
        <f t="shared" si="7"/>
        <v>1619039.5530000001</v>
      </c>
      <c r="AC32" s="202">
        <f t="shared" si="7"/>
        <v>1743412.1069999998</v>
      </c>
      <c r="AD32" s="202">
        <f t="shared" si="7"/>
        <v>1879746.0300000003</v>
      </c>
      <c r="AE32" s="202">
        <f t="shared" si="7"/>
        <v>1964769.8860000002</v>
      </c>
      <c r="AF32" s="202">
        <f t="shared" si="7"/>
        <v>1711733.4029999999</v>
      </c>
      <c r="AG32" s="202">
        <f t="shared" si="7"/>
        <v>1694508.5220000001</v>
      </c>
      <c r="AH32" s="202">
        <f t="shared" si="7"/>
        <v>1986466.844</v>
      </c>
      <c r="AI32" s="202">
        <f t="shared" si="7"/>
        <v>1894353.2070000002</v>
      </c>
      <c r="AJ32" s="202">
        <f t="shared" si="7"/>
        <v>1736943.0390000003</v>
      </c>
      <c r="AK32" s="202">
        <f t="shared" si="7"/>
        <v>1834992.108</v>
      </c>
      <c r="AL32" s="202">
        <f t="shared" si="7"/>
        <v>1962391.8629999999</v>
      </c>
      <c r="AM32" s="202">
        <f t="shared" si="7"/>
        <v>1983207.0499999998</v>
      </c>
      <c r="AN32" s="202">
        <f t="shared" si="7"/>
        <v>1792539.5180000002</v>
      </c>
      <c r="AO32" s="202">
        <f t="shared" si="7"/>
        <v>1881442.1699999997</v>
      </c>
      <c r="AP32" s="202">
        <f t="shared" si="7"/>
        <v>2041423.1819999996</v>
      </c>
      <c r="AQ32" s="202">
        <f t="shared" si="7"/>
        <v>2021517.7930000001</v>
      </c>
      <c r="AR32" s="202">
        <f t="shared" si="7"/>
        <v>1816976.5460000001</v>
      </c>
      <c r="AS32" s="202">
        <f t="shared" si="7"/>
        <v>1927474.3649999998</v>
      </c>
      <c r="AT32" s="202">
        <f t="shared" si="7"/>
        <v>2104083.537</v>
      </c>
      <c r="AU32" s="202">
        <f t="shared" si="7"/>
        <v>2247690.3640000001</v>
      </c>
      <c r="AV32" s="202">
        <f t="shared" si="7"/>
        <v>1963556.9940000002</v>
      </c>
      <c r="AW32" s="202">
        <f t="shared" si="7"/>
        <v>2017584.662</v>
      </c>
      <c r="AX32" s="195">
        <f t="shared" si="7"/>
        <v>2115295.9819999998</v>
      </c>
      <c r="AY32" s="195">
        <f t="shared" si="7"/>
        <v>2160660.4849999999</v>
      </c>
      <c r="AZ32" s="195">
        <f t="shared" si="7"/>
        <v>1811931.5889999999</v>
      </c>
      <c r="BA32" s="195">
        <f t="shared" si="7"/>
        <v>1916950.6370000001</v>
      </c>
      <c r="BB32" s="195">
        <f t="shared" si="7"/>
        <v>1997489.531</v>
      </c>
    </row>
    <row r="33" spans="2:54" ht="15" customHeight="1">
      <c r="B33" s="192" t="s">
        <v>92</v>
      </c>
      <c r="C33" s="192" t="s">
        <v>92</v>
      </c>
      <c r="D33" s="193">
        <v>83856.604999999996</v>
      </c>
      <c r="E33" s="193">
        <v>83002.091</v>
      </c>
      <c r="F33" s="193">
        <v>87715.525999999983</v>
      </c>
      <c r="G33" s="193">
        <v>87476.16399999999</v>
      </c>
      <c r="H33" s="193">
        <v>89687.778000000006</v>
      </c>
      <c r="I33" s="193">
        <v>92355.997000000003</v>
      </c>
      <c r="J33" s="193">
        <v>95062.608000000007</v>
      </c>
      <c r="K33" s="193">
        <v>97020.766000000003</v>
      </c>
      <c r="L33" s="193">
        <v>87433.11099999999</v>
      </c>
      <c r="M33" s="193">
        <v>81529.506999999998</v>
      </c>
      <c r="N33" s="193">
        <v>77609.570000000007</v>
      </c>
      <c r="O33" s="193">
        <v>67637.077999999994</v>
      </c>
      <c r="P33" s="193">
        <v>135805.82883000001</v>
      </c>
      <c r="Q33" s="193">
        <v>133458.54425099998</v>
      </c>
      <c r="R33" s="193">
        <v>175333.75607100001</v>
      </c>
      <c r="S33" s="193">
        <v>179255.18752200005</v>
      </c>
      <c r="T33" s="193">
        <v>202396.025876</v>
      </c>
      <c r="U33" s="193">
        <v>223399.074073</v>
      </c>
      <c r="V33" s="193">
        <v>236920.90829599998</v>
      </c>
      <c r="W33" s="193">
        <v>233226.32778999995</v>
      </c>
      <c r="X33" s="193">
        <v>230635.30268900003</v>
      </c>
      <c r="Y33" s="201">
        <v>230249.06394600001</v>
      </c>
      <c r="Z33" s="201">
        <v>243810.16829900007</v>
      </c>
      <c r="AA33" s="201">
        <v>243579.33466796973</v>
      </c>
      <c r="AB33" s="201">
        <v>248091.81083003004</v>
      </c>
      <c r="AC33" s="201">
        <v>241631.54623336002</v>
      </c>
      <c r="AD33" s="201">
        <v>253598.64119621995</v>
      </c>
      <c r="AE33" s="201">
        <v>248080.25047959998</v>
      </c>
      <c r="AF33" s="201">
        <v>262293.99076691066</v>
      </c>
      <c r="AG33" s="201">
        <v>233192.34412749589</v>
      </c>
      <c r="AH33" s="201">
        <v>273976.29447784577</v>
      </c>
      <c r="AI33" s="201">
        <v>265602.84256442793</v>
      </c>
      <c r="AJ33" s="201">
        <v>262219.92085601686</v>
      </c>
      <c r="AK33" s="201">
        <v>270207.34013102972</v>
      </c>
      <c r="AL33" s="201">
        <v>294223.38636338571</v>
      </c>
      <c r="AM33" s="201">
        <v>297765.49909676192</v>
      </c>
      <c r="AN33" s="201">
        <v>288515.4536937353</v>
      </c>
      <c r="AO33" s="201">
        <v>302666.0598218363</v>
      </c>
      <c r="AP33" s="201">
        <v>314262.72324178659</v>
      </c>
      <c r="AQ33" s="201">
        <v>314567.88085573365</v>
      </c>
      <c r="AR33" s="201">
        <v>297938.49736323475</v>
      </c>
      <c r="AS33" s="201">
        <v>309973.27120663435</v>
      </c>
      <c r="AT33" s="201">
        <v>339059.26997638796</v>
      </c>
      <c r="AU33" s="201">
        <v>337043.78716203902</v>
      </c>
      <c r="AV33" s="201">
        <v>354095.64985174901</v>
      </c>
      <c r="AW33" s="201">
        <v>293032.05368299998</v>
      </c>
      <c r="AX33" s="193">
        <v>349630.76790509815</v>
      </c>
      <c r="AY33" s="193">
        <v>381287.33062507003</v>
      </c>
      <c r="AZ33" s="193">
        <v>353001.20498699998</v>
      </c>
      <c r="BA33" s="193">
        <v>389409.85649699997</v>
      </c>
      <c r="BB33" s="193">
        <v>416443.37617875001</v>
      </c>
    </row>
    <row r="34" spans="2:54" ht="15" customHeight="1">
      <c r="B34" s="192" t="s">
        <v>93</v>
      </c>
      <c r="C34" s="192" t="s">
        <v>94</v>
      </c>
      <c r="D34" s="193">
        <v>0</v>
      </c>
      <c r="E34" s="193">
        <v>0</v>
      </c>
      <c r="F34" s="193">
        <v>0</v>
      </c>
      <c r="G34" s="193">
        <v>0</v>
      </c>
      <c r="H34" s="193">
        <v>0</v>
      </c>
      <c r="I34" s="193">
        <v>0</v>
      </c>
      <c r="J34" s="193">
        <v>0</v>
      </c>
      <c r="K34" s="193">
        <v>0</v>
      </c>
      <c r="L34" s="193">
        <v>0</v>
      </c>
      <c r="M34" s="193">
        <v>0</v>
      </c>
      <c r="N34" s="193">
        <v>0</v>
      </c>
      <c r="O34" s="193">
        <v>0</v>
      </c>
      <c r="P34" s="193">
        <v>14100.674206</v>
      </c>
      <c r="Q34" s="193">
        <v>25117.589971999994</v>
      </c>
      <c r="R34" s="193">
        <v>34759.028987000005</v>
      </c>
      <c r="S34" s="193">
        <v>41679.218944</v>
      </c>
      <c r="T34" s="193">
        <v>50899.209078999993</v>
      </c>
      <c r="U34" s="193">
        <v>61302.345976000011</v>
      </c>
      <c r="V34" s="193">
        <v>69083.038691000023</v>
      </c>
      <c r="W34" s="193">
        <v>77259.666064000019</v>
      </c>
      <c r="X34" s="193">
        <v>74513.978993000012</v>
      </c>
      <c r="Y34" s="201">
        <v>79125.115340999997</v>
      </c>
      <c r="Z34" s="201">
        <v>83429.284555000006</v>
      </c>
      <c r="AA34" s="201">
        <v>86415.440137919912</v>
      </c>
      <c r="AB34" s="201">
        <v>85368.871650849993</v>
      </c>
      <c r="AC34" s="201">
        <v>101497.90057842998</v>
      </c>
      <c r="AD34" s="201">
        <v>112454.14780838994</v>
      </c>
      <c r="AE34" s="201">
        <v>111003.88382587</v>
      </c>
      <c r="AF34" s="201">
        <v>105181.17208924788</v>
      </c>
      <c r="AG34" s="201">
        <v>94768.821679123474</v>
      </c>
      <c r="AH34" s="201">
        <v>119478.96816302478</v>
      </c>
      <c r="AI34" s="201">
        <v>125920.83199204598</v>
      </c>
      <c r="AJ34" s="201">
        <v>123510.81453704076</v>
      </c>
      <c r="AK34" s="201">
        <v>143848.41724077048</v>
      </c>
      <c r="AL34" s="201">
        <v>149689.40311951627</v>
      </c>
      <c r="AM34" s="201">
        <v>149132.75936506581</v>
      </c>
      <c r="AN34" s="201">
        <v>149905.71957614645</v>
      </c>
      <c r="AO34" s="201">
        <v>167595.03640333697</v>
      </c>
      <c r="AP34" s="201">
        <v>178717.12539072672</v>
      </c>
      <c r="AQ34" s="201">
        <v>175555.78017542762</v>
      </c>
      <c r="AR34" s="201">
        <v>188354.13036414655</v>
      </c>
      <c r="AS34" s="201">
        <v>197792.62546905823</v>
      </c>
      <c r="AT34" s="201">
        <v>205900.11966938118</v>
      </c>
      <c r="AU34" s="201">
        <v>217361.13641800001</v>
      </c>
      <c r="AV34" s="201">
        <v>210412.47225699999</v>
      </c>
      <c r="AW34" s="201">
        <v>231880.92267100004</v>
      </c>
      <c r="AX34" s="193">
        <v>245501.41465781588</v>
      </c>
      <c r="AY34" s="193">
        <v>249922.62113014999</v>
      </c>
      <c r="AZ34" s="193">
        <v>246024.70072700002</v>
      </c>
      <c r="BA34" s="193">
        <v>275826.081855</v>
      </c>
      <c r="BB34" s="193">
        <v>288892.27097725001</v>
      </c>
    </row>
    <row r="35" spans="2:54" ht="15" customHeight="1" thickBot="1">
      <c r="B35" s="192" t="s">
        <v>95</v>
      </c>
      <c r="C35" s="192" t="s">
        <v>96</v>
      </c>
      <c r="D35" s="193">
        <v>0</v>
      </c>
      <c r="E35" s="193">
        <v>0</v>
      </c>
      <c r="F35" s="193">
        <v>0</v>
      </c>
      <c r="G35" s="193">
        <v>0</v>
      </c>
      <c r="H35" s="193">
        <v>373.74</v>
      </c>
      <c r="I35" s="193">
        <v>559.46399999999994</v>
      </c>
      <c r="J35" s="193">
        <v>637.30500000000006</v>
      </c>
      <c r="K35" s="193">
        <v>615.31500000000005</v>
      </c>
      <c r="L35" s="193">
        <v>603.18000000000006</v>
      </c>
      <c r="M35" s="193">
        <v>720.86099999999999</v>
      </c>
      <c r="N35" s="193">
        <v>732.75099999999998</v>
      </c>
      <c r="O35" s="193">
        <v>770.47</v>
      </c>
      <c r="P35" s="193">
        <v>627.68428999999992</v>
      </c>
      <c r="Q35" s="193">
        <v>790.75903000000005</v>
      </c>
      <c r="R35" s="193">
        <v>893.83641899999998</v>
      </c>
      <c r="S35" s="193">
        <v>1123.7219329999998</v>
      </c>
      <c r="T35" s="193">
        <v>1938.5231979999999</v>
      </c>
      <c r="U35" s="193">
        <v>1750.8373029999998</v>
      </c>
      <c r="V35" s="193">
        <v>2093.0527189999998</v>
      </c>
      <c r="W35" s="193">
        <v>2024.4654530000003</v>
      </c>
      <c r="X35" s="193">
        <v>1987.4067369999998</v>
      </c>
      <c r="Y35" s="201">
        <v>2053.02673</v>
      </c>
      <c r="Z35" s="201">
        <v>2073.9169999999999</v>
      </c>
      <c r="AA35" s="201">
        <v>2168.5149008599992</v>
      </c>
      <c r="AB35" s="201">
        <v>1885.9444011800001</v>
      </c>
      <c r="AC35" s="201">
        <v>2113.0972577399998</v>
      </c>
      <c r="AD35" s="201">
        <v>2023.3537014599999</v>
      </c>
      <c r="AE35" s="201">
        <v>2240.3021952999998</v>
      </c>
      <c r="AF35" s="201">
        <v>2089.9453250000001</v>
      </c>
      <c r="AG35" s="201">
        <v>2149.0562399999999</v>
      </c>
      <c r="AH35" s="201">
        <v>2179.6512199999984</v>
      </c>
      <c r="AI35" s="201">
        <v>18063.956779342108</v>
      </c>
      <c r="AJ35" s="201">
        <v>22396.754330666656</v>
      </c>
      <c r="AK35" s="201">
        <v>23923.136806333328</v>
      </c>
      <c r="AL35" s="201">
        <v>25289.640396666658</v>
      </c>
      <c r="AM35" s="201">
        <v>29543.413627266651</v>
      </c>
      <c r="AN35" s="201">
        <v>29716.534459199989</v>
      </c>
      <c r="AO35" s="201">
        <v>29423.32712146666</v>
      </c>
      <c r="AP35" s="201">
        <v>32345.102846133344</v>
      </c>
      <c r="AQ35" s="201">
        <v>33343.689487677511</v>
      </c>
      <c r="AR35" s="201">
        <v>29186.536555000006</v>
      </c>
      <c r="AS35" s="201">
        <v>30948.232594584995</v>
      </c>
      <c r="AT35" s="201">
        <v>31876.680685680847</v>
      </c>
      <c r="AU35" s="201">
        <v>32163.21270699997</v>
      </c>
      <c r="AV35" s="201">
        <v>31559.18397199997</v>
      </c>
      <c r="AW35" s="201">
        <v>33417.070263000001</v>
      </c>
      <c r="AX35" s="193">
        <v>36437.867071800167</v>
      </c>
      <c r="AY35" s="193">
        <v>36751.708365199971</v>
      </c>
      <c r="AZ35" s="193">
        <v>34181.961698999978</v>
      </c>
      <c r="BA35" s="193">
        <v>37817.154676000006</v>
      </c>
      <c r="BB35" s="193">
        <v>40937.424950000015</v>
      </c>
    </row>
    <row r="36" spans="2:54" ht="15" customHeight="1" thickBot="1">
      <c r="B36" s="194" t="s">
        <v>99</v>
      </c>
      <c r="C36" s="194" t="s">
        <v>100</v>
      </c>
      <c r="D36" s="195">
        <f>SUM(D33:D35)</f>
        <v>83856.604999999996</v>
      </c>
      <c r="E36" s="195">
        <f t="shared" ref="E36:Z36" si="8">SUM(E33:E35)</f>
        <v>83002.091</v>
      </c>
      <c r="F36" s="195">
        <f t="shared" si="8"/>
        <v>87715.525999999983</v>
      </c>
      <c r="G36" s="195">
        <f t="shared" si="8"/>
        <v>87476.16399999999</v>
      </c>
      <c r="H36" s="195">
        <f t="shared" si="8"/>
        <v>90061.518000000011</v>
      </c>
      <c r="I36" s="195">
        <f t="shared" si="8"/>
        <v>92915.46100000001</v>
      </c>
      <c r="J36" s="195">
        <f t="shared" si="8"/>
        <v>95699.913</v>
      </c>
      <c r="K36" s="195">
        <f t="shared" si="8"/>
        <v>97636.081000000006</v>
      </c>
      <c r="L36" s="195">
        <f t="shared" si="8"/>
        <v>88036.290999999983</v>
      </c>
      <c r="M36" s="195">
        <f t="shared" si="8"/>
        <v>82250.368000000002</v>
      </c>
      <c r="N36" s="195">
        <f t="shared" si="8"/>
        <v>78342.321000000011</v>
      </c>
      <c r="O36" s="195">
        <f t="shared" si="8"/>
        <v>68407.547999999995</v>
      </c>
      <c r="P36" s="195">
        <f t="shared" si="8"/>
        <v>150534.18732600001</v>
      </c>
      <c r="Q36" s="195">
        <f t="shared" si="8"/>
        <v>159366.89325299996</v>
      </c>
      <c r="R36" s="195">
        <f t="shared" si="8"/>
        <v>210986.62147700001</v>
      </c>
      <c r="S36" s="195">
        <f t="shared" si="8"/>
        <v>222058.12839900004</v>
      </c>
      <c r="T36" s="195">
        <f t="shared" si="8"/>
        <v>255233.758153</v>
      </c>
      <c r="U36" s="195">
        <f t="shared" si="8"/>
        <v>286452.25735199999</v>
      </c>
      <c r="V36" s="195">
        <f t="shared" si="8"/>
        <v>308096.99970600003</v>
      </c>
      <c r="W36" s="195">
        <f t="shared" si="8"/>
        <v>312510.45930699998</v>
      </c>
      <c r="X36" s="195">
        <f t="shared" si="8"/>
        <v>307136.68841900001</v>
      </c>
      <c r="Y36" s="195">
        <f t="shared" si="8"/>
        <v>311427.20601699996</v>
      </c>
      <c r="Z36" s="195">
        <f t="shared" si="8"/>
        <v>329313.36985400011</v>
      </c>
      <c r="AA36" s="195">
        <f>SUM(AA33:AA35)</f>
        <v>332163.28970674967</v>
      </c>
      <c r="AB36" s="195">
        <f>SUM(AB33:AB35)</f>
        <v>335346.62688206008</v>
      </c>
      <c r="AC36" s="195">
        <f t="shared" ref="AC36:BB36" si="9">SUM(AC33:AC35)</f>
        <v>345242.54406952998</v>
      </c>
      <c r="AD36" s="195">
        <f t="shared" si="9"/>
        <v>368076.14270606992</v>
      </c>
      <c r="AE36" s="195">
        <f t="shared" si="9"/>
        <v>361324.43650076998</v>
      </c>
      <c r="AF36" s="195">
        <f t="shared" si="9"/>
        <v>369565.10818115855</v>
      </c>
      <c r="AG36" s="195">
        <f t="shared" si="9"/>
        <v>330110.22204661934</v>
      </c>
      <c r="AH36" s="195">
        <f t="shared" si="9"/>
        <v>395634.91386087053</v>
      </c>
      <c r="AI36" s="195">
        <f t="shared" si="9"/>
        <v>409587.631335816</v>
      </c>
      <c r="AJ36" s="195">
        <f t="shared" si="9"/>
        <v>408127.48972372431</v>
      </c>
      <c r="AK36" s="195">
        <f t="shared" si="9"/>
        <v>437978.89417813352</v>
      </c>
      <c r="AL36" s="195">
        <f t="shared" si="9"/>
        <v>469202.42987956863</v>
      </c>
      <c r="AM36" s="195">
        <f t="shared" si="9"/>
        <v>476441.67208909441</v>
      </c>
      <c r="AN36" s="195">
        <f t="shared" si="9"/>
        <v>468137.70772908174</v>
      </c>
      <c r="AO36" s="195">
        <f t="shared" si="9"/>
        <v>499684.42334663996</v>
      </c>
      <c r="AP36" s="195">
        <f t="shared" si="9"/>
        <v>525324.9514786466</v>
      </c>
      <c r="AQ36" s="195">
        <f t="shared" si="9"/>
        <v>523467.35051883879</v>
      </c>
      <c r="AR36" s="195">
        <f t="shared" si="9"/>
        <v>515479.1642823813</v>
      </c>
      <c r="AS36" s="195">
        <f t="shared" si="9"/>
        <v>538714.12927027757</v>
      </c>
      <c r="AT36" s="195">
        <f t="shared" si="9"/>
        <v>576836.07033144997</v>
      </c>
      <c r="AU36" s="195">
        <f t="shared" si="9"/>
        <v>586568.13628703903</v>
      </c>
      <c r="AV36" s="195">
        <f t="shared" si="9"/>
        <v>596067.30608074903</v>
      </c>
      <c r="AW36" s="195">
        <f t="shared" si="9"/>
        <v>558330.04661700001</v>
      </c>
      <c r="AX36" s="195">
        <f t="shared" si="9"/>
        <v>631570.04963471415</v>
      </c>
      <c r="AY36" s="195">
        <f t="shared" si="9"/>
        <v>667961.66012042004</v>
      </c>
      <c r="AZ36" s="195">
        <f t="shared" si="9"/>
        <v>633207.86741299997</v>
      </c>
      <c r="BA36" s="195">
        <f t="shared" si="9"/>
        <v>703053.09302799997</v>
      </c>
      <c r="BB36" s="195">
        <f t="shared" si="9"/>
        <v>746273.07210600004</v>
      </c>
    </row>
    <row r="37" spans="2:54" ht="15" customHeight="1" thickBot="1">
      <c r="B37" s="196" t="s">
        <v>101</v>
      </c>
      <c r="C37" s="196" t="s">
        <v>102</v>
      </c>
      <c r="D37" s="197">
        <v>114.05799999999999</v>
      </c>
      <c r="E37" s="197">
        <v>116.54899999999999</v>
      </c>
      <c r="F37" s="197">
        <v>133.244</v>
      </c>
      <c r="G37" s="197">
        <v>131.40199999999999</v>
      </c>
      <c r="H37" s="197">
        <v>111.21970999999999</v>
      </c>
      <c r="I37" s="197">
        <v>120.422</v>
      </c>
      <c r="J37" s="197">
        <v>139.31900000000002</v>
      </c>
      <c r="K37" s="197">
        <v>136.40100000000001</v>
      </c>
      <c r="L37" s="197">
        <v>121.655</v>
      </c>
      <c r="M37" s="197">
        <v>132.41200000000001</v>
      </c>
      <c r="N37" s="197">
        <v>144.20000000000002</v>
      </c>
      <c r="O37" s="197">
        <v>158.22500000000002</v>
      </c>
      <c r="P37" s="197">
        <v>356.48955599999999</v>
      </c>
      <c r="Q37" s="197">
        <v>386.45155899999997</v>
      </c>
      <c r="R37" s="197">
        <v>1838.397666999999</v>
      </c>
      <c r="S37" s="197">
        <v>2691.0476666666677</v>
      </c>
      <c r="T37" s="197">
        <v>2454.0745663333337</v>
      </c>
      <c r="U37" s="197">
        <v>2722.0059999999994</v>
      </c>
      <c r="V37" s="197">
        <v>2343.048086666668</v>
      </c>
      <c r="W37" s="197">
        <v>1607.775408666666</v>
      </c>
      <c r="X37" s="197">
        <v>1715.7239705802467</v>
      </c>
      <c r="Y37" s="197">
        <v>1853.4546610660482</v>
      </c>
      <c r="Z37" s="197">
        <v>1264.3880833333335</v>
      </c>
      <c r="AA37" s="197">
        <v>1411.5641190555555</v>
      </c>
      <c r="AB37" s="198"/>
      <c r="AC37" s="198"/>
      <c r="AD37" s="198"/>
      <c r="AE37" s="198"/>
      <c r="AF37" s="198"/>
      <c r="AG37" s="198"/>
      <c r="AH37" s="198"/>
      <c r="AI37" s="198"/>
      <c r="AJ37" s="198"/>
      <c r="AK37" s="198"/>
      <c r="AL37" s="198"/>
      <c r="AM37" s="198"/>
      <c r="AN37" s="198"/>
      <c r="AO37" s="198"/>
      <c r="AP37" s="198"/>
      <c r="AQ37" s="198"/>
      <c r="AR37" s="198"/>
      <c r="AS37" s="198"/>
      <c r="AT37" s="198">
        <v>10559.42288</v>
      </c>
      <c r="AU37" s="198">
        <v>4061.3919799999999</v>
      </c>
      <c r="AV37" s="198">
        <v>3551.7392640000003</v>
      </c>
      <c r="AW37" s="543">
        <v>3995.1038880000001</v>
      </c>
      <c r="AX37" s="543">
        <v>4736.7541440000005</v>
      </c>
      <c r="AY37" s="543">
        <v>12552.44891424</v>
      </c>
      <c r="AZ37" s="543">
        <v>7791.5838240000003</v>
      </c>
      <c r="BA37" s="543">
        <v>8356.6945680000008</v>
      </c>
      <c r="BB37" s="543">
        <v>8288.5351680000003</v>
      </c>
    </row>
    <row r="38" spans="2:54" ht="15" customHeight="1" thickBot="1">
      <c r="B38" s="199" t="s">
        <v>103</v>
      </c>
      <c r="C38" s="199" t="s">
        <v>2061</v>
      </c>
      <c r="D38" s="195">
        <f t="shared" ref="D38:BB38" si="10">SUM(D32,D36,D37)</f>
        <v>1656183.0259999998</v>
      </c>
      <c r="E38" s="195">
        <f t="shared" si="10"/>
        <v>1765570.5020000001</v>
      </c>
      <c r="F38" s="195">
        <f t="shared" si="10"/>
        <v>1863320.3310000002</v>
      </c>
      <c r="G38" s="195">
        <f t="shared" si="10"/>
        <v>1998204.175</v>
      </c>
      <c r="H38" s="195">
        <f t="shared" si="10"/>
        <v>1887831.74471</v>
      </c>
      <c r="I38" s="195">
        <f t="shared" si="10"/>
        <v>1987744.9490000003</v>
      </c>
      <c r="J38" s="195">
        <f t="shared" si="10"/>
        <v>2096136.0359999998</v>
      </c>
      <c r="K38" s="195">
        <f t="shared" si="10"/>
        <v>2160042.469</v>
      </c>
      <c r="L38" s="195">
        <f t="shared" si="10"/>
        <v>1975852.2180000001</v>
      </c>
      <c r="M38" s="195">
        <f t="shared" si="10"/>
        <v>1882995.8900000001</v>
      </c>
      <c r="N38" s="195">
        <f t="shared" si="10"/>
        <v>2174692.6810000003</v>
      </c>
      <c r="O38" s="195">
        <f t="shared" si="10"/>
        <v>2422484.6179999998</v>
      </c>
      <c r="P38" s="195">
        <f t="shared" si="10"/>
        <v>2002458.0863800002</v>
      </c>
      <c r="Q38" s="195">
        <f t="shared" si="10"/>
        <v>2089242.8058619986</v>
      </c>
      <c r="R38" s="195">
        <f t="shared" si="10"/>
        <v>2318038.7466689986</v>
      </c>
      <c r="S38" s="195">
        <f t="shared" si="10"/>
        <v>2335003.9166896655</v>
      </c>
      <c r="T38" s="195">
        <f t="shared" si="10"/>
        <v>1961628.4316683332</v>
      </c>
      <c r="U38" s="195">
        <f t="shared" si="10"/>
        <v>2172900.2889780002</v>
      </c>
      <c r="V38" s="195">
        <f t="shared" si="10"/>
        <v>2283391.9722646666</v>
      </c>
      <c r="W38" s="195">
        <f t="shared" si="10"/>
        <v>2358238.4779696637</v>
      </c>
      <c r="X38" s="195">
        <f t="shared" si="10"/>
        <v>2041323.4263895801</v>
      </c>
      <c r="Y38" s="195">
        <f t="shared" si="10"/>
        <v>2142291.0746780662</v>
      </c>
      <c r="Z38" s="195">
        <f t="shared" si="10"/>
        <v>2212277.6289373334</v>
      </c>
      <c r="AA38" s="195">
        <f t="shared" si="10"/>
        <v>2250963.5518258051</v>
      </c>
      <c r="AB38" s="195">
        <f t="shared" si="10"/>
        <v>1954386.1798820603</v>
      </c>
      <c r="AC38" s="195">
        <f t="shared" si="10"/>
        <v>2088654.6510695298</v>
      </c>
      <c r="AD38" s="195">
        <f t="shared" si="10"/>
        <v>2247822.1727060704</v>
      </c>
      <c r="AE38" s="195">
        <f t="shared" si="10"/>
        <v>2326094.32250077</v>
      </c>
      <c r="AF38" s="195">
        <f t="shared" si="10"/>
        <v>2081298.5111811585</v>
      </c>
      <c r="AG38" s="195">
        <f t="shared" si="10"/>
        <v>2024618.7440466194</v>
      </c>
      <c r="AH38" s="195">
        <f t="shared" si="10"/>
        <v>2382101.7578608706</v>
      </c>
      <c r="AI38" s="195">
        <f t="shared" si="10"/>
        <v>2303940.8383358163</v>
      </c>
      <c r="AJ38" s="195">
        <f t="shared" si="10"/>
        <v>2145070.5287237247</v>
      </c>
      <c r="AK38" s="195">
        <f t="shared" si="10"/>
        <v>2272971.0021781335</v>
      </c>
      <c r="AL38" s="195">
        <f t="shared" si="10"/>
        <v>2431594.2928795684</v>
      </c>
      <c r="AM38" s="195">
        <f t="shared" si="10"/>
        <v>2459648.7220890941</v>
      </c>
      <c r="AN38" s="195">
        <f t="shared" si="10"/>
        <v>2260677.2257290818</v>
      </c>
      <c r="AO38" s="195">
        <f t="shared" si="10"/>
        <v>2381126.5933466395</v>
      </c>
      <c r="AP38" s="195">
        <f t="shared" si="10"/>
        <v>2566748.1334786462</v>
      </c>
      <c r="AQ38" s="195">
        <f t="shared" si="10"/>
        <v>2544985.143518839</v>
      </c>
      <c r="AR38" s="195">
        <f t="shared" si="10"/>
        <v>2332455.7102823816</v>
      </c>
      <c r="AS38" s="195">
        <f t="shared" si="10"/>
        <v>2466188.4942702772</v>
      </c>
      <c r="AT38" s="195">
        <f t="shared" si="10"/>
        <v>2691479.0302114501</v>
      </c>
      <c r="AU38" s="195">
        <f t="shared" si="10"/>
        <v>2838319.892267039</v>
      </c>
      <c r="AV38" s="195">
        <f t="shared" si="10"/>
        <v>2563176.0393447494</v>
      </c>
      <c r="AW38" s="195">
        <f t="shared" si="10"/>
        <v>2579909.8125049998</v>
      </c>
      <c r="AX38" s="195">
        <f t="shared" si="10"/>
        <v>2751602.7857787139</v>
      </c>
      <c r="AY38" s="195">
        <f t="shared" si="10"/>
        <v>2841174.5940346601</v>
      </c>
      <c r="AZ38" s="195">
        <f t="shared" si="10"/>
        <v>2452931.0402369997</v>
      </c>
      <c r="BA38" s="195">
        <f t="shared" si="10"/>
        <v>2628360.424596</v>
      </c>
      <c r="BB38" s="195">
        <f t="shared" si="10"/>
        <v>2752051.138274</v>
      </c>
    </row>
    <row r="39" spans="2:54" ht="15" customHeight="1" thickBot="1">
      <c r="B39" s="581" t="s">
        <v>2060</v>
      </c>
      <c r="C39" s="581" t="s">
        <v>2063</v>
      </c>
      <c r="D39" s="203"/>
      <c r="E39" s="203"/>
      <c r="F39" s="203"/>
      <c r="G39" s="203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203"/>
      <c r="Z39" s="203"/>
      <c r="AA39" s="203"/>
      <c r="AB39" s="582"/>
      <c r="AC39" s="582"/>
      <c r="AD39" s="582"/>
      <c r="AE39" s="582"/>
      <c r="AF39" s="582"/>
      <c r="AG39" s="582"/>
      <c r="AH39" s="582"/>
      <c r="AI39" s="582"/>
      <c r="AJ39" s="582"/>
      <c r="AK39" s="582"/>
      <c r="AL39" s="582"/>
      <c r="AM39" s="582"/>
      <c r="AN39" s="582"/>
      <c r="AO39" s="582"/>
      <c r="AP39" s="582"/>
      <c r="AQ39" s="582"/>
      <c r="AR39" s="582"/>
      <c r="AS39" s="582"/>
      <c r="AT39" s="582"/>
      <c r="AU39" s="582"/>
      <c r="AV39" s="582">
        <v>0</v>
      </c>
      <c r="AW39" s="582">
        <v>22438.17</v>
      </c>
      <c r="AX39" s="582">
        <v>112446.18</v>
      </c>
      <c r="AY39" s="582">
        <v>105918.58</v>
      </c>
      <c r="AZ39" s="582">
        <v>103579.978</v>
      </c>
      <c r="BA39" s="582">
        <v>129783.71400000001</v>
      </c>
      <c r="BB39" s="582">
        <v>151384.19</v>
      </c>
    </row>
    <row r="40" spans="2:54" ht="15" customHeight="1" thickBot="1">
      <c r="B40" s="199" t="s">
        <v>104</v>
      </c>
      <c r="C40" s="199" t="s">
        <v>2062</v>
      </c>
      <c r="D40" s="580">
        <f t="shared" ref="D40:BB40" si="11">D38+D39</f>
        <v>1656183.0259999998</v>
      </c>
      <c r="E40" s="580">
        <f t="shared" si="11"/>
        <v>1765570.5020000001</v>
      </c>
      <c r="F40" s="580">
        <f t="shared" si="11"/>
        <v>1863320.3310000002</v>
      </c>
      <c r="G40" s="580">
        <f t="shared" si="11"/>
        <v>1998204.175</v>
      </c>
      <c r="H40" s="580">
        <f t="shared" si="11"/>
        <v>1887831.74471</v>
      </c>
      <c r="I40" s="580">
        <f t="shared" si="11"/>
        <v>1987744.9490000003</v>
      </c>
      <c r="J40" s="580">
        <f t="shared" si="11"/>
        <v>2096136.0359999998</v>
      </c>
      <c r="K40" s="580">
        <f t="shared" si="11"/>
        <v>2160042.469</v>
      </c>
      <c r="L40" s="580">
        <f t="shared" si="11"/>
        <v>1975852.2180000001</v>
      </c>
      <c r="M40" s="580">
        <f t="shared" si="11"/>
        <v>1882995.8900000001</v>
      </c>
      <c r="N40" s="580">
        <f t="shared" si="11"/>
        <v>2174692.6810000003</v>
      </c>
      <c r="O40" s="580">
        <f t="shared" si="11"/>
        <v>2422484.6179999998</v>
      </c>
      <c r="P40" s="580">
        <f t="shared" si="11"/>
        <v>2002458.0863800002</v>
      </c>
      <c r="Q40" s="580">
        <f t="shared" si="11"/>
        <v>2089242.8058619986</v>
      </c>
      <c r="R40" s="580">
        <f t="shared" si="11"/>
        <v>2318038.7466689986</v>
      </c>
      <c r="S40" s="580">
        <f t="shared" si="11"/>
        <v>2335003.9166896655</v>
      </c>
      <c r="T40" s="580">
        <f t="shared" si="11"/>
        <v>1961628.4316683332</v>
      </c>
      <c r="U40" s="580">
        <f t="shared" si="11"/>
        <v>2172900.2889780002</v>
      </c>
      <c r="V40" s="580">
        <f t="shared" si="11"/>
        <v>2283391.9722646666</v>
      </c>
      <c r="W40" s="580">
        <f t="shared" si="11"/>
        <v>2358238.4779696637</v>
      </c>
      <c r="X40" s="580">
        <f t="shared" si="11"/>
        <v>2041323.4263895801</v>
      </c>
      <c r="Y40" s="580">
        <f t="shared" si="11"/>
        <v>2142291.0746780662</v>
      </c>
      <c r="Z40" s="580">
        <f t="shared" si="11"/>
        <v>2212277.6289373334</v>
      </c>
      <c r="AA40" s="580">
        <f t="shared" si="11"/>
        <v>2250963.5518258051</v>
      </c>
      <c r="AB40" s="580">
        <f t="shared" si="11"/>
        <v>1954386.1798820603</v>
      </c>
      <c r="AC40" s="580">
        <f t="shared" si="11"/>
        <v>2088654.6510695298</v>
      </c>
      <c r="AD40" s="580">
        <f t="shared" si="11"/>
        <v>2247822.1727060704</v>
      </c>
      <c r="AE40" s="580">
        <f t="shared" si="11"/>
        <v>2326094.32250077</v>
      </c>
      <c r="AF40" s="580">
        <f t="shared" si="11"/>
        <v>2081298.5111811585</v>
      </c>
      <c r="AG40" s="580">
        <f t="shared" si="11"/>
        <v>2024618.7440466194</v>
      </c>
      <c r="AH40" s="580">
        <f t="shared" si="11"/>
        <v>2382101.7578608706</v>
      </c>
      <c r="AI40" s="580">
        <f t="shared" si="11"/>
        <v>2303940.8383358163</v>
      </c>
      <c r="AJ40" s="580">
        <f t="shared" si="11"/>
        <v>2145070.5287237247</v>
      </c>
      <c r="AK40" s="580">
        <f t="shared" si="11"/>
        <v>2272971.0021781335</v>
      </c>
      <c r="AL40" s="580">
        <f t="shared" si="11"/>
        <v>2431594.2928795684</v>
      </c>
      <c r="AM40" s="580">
        <f t="shared" si="11"/>
        <v>2459648.7220890941</v>
      </c>
      <c r="AN40" s="580">
        <f t="shared" si="11"/>
        <v>2260677.2257290818</v>
      </c>
      <c r="AO40" s="580">
        <f t="shared" si="11"/>
        <v>2381126.5933466395</v>
      </c>
      <c r="AP40" s="580">
        <f t="shared" si="11"/>
        <v>2566748.1334786462</v>
      </c>
      <c r="AQ40" s="580">
        <f t="shared" si="11"/>
        <v>2544985.143518839</v>
      </c>
      <c r="AR40" s="580">
        <f t="shared" si="11"/>
        <v>2332455.7102823816</v>
      </c>
      <c r="AS40" s="580">
        <f t="shared" si="11"/>
        <v>2466188.4942702772</v>
      </c>
      <c r="AT40" s="580">
        <f t="shared" si="11"/>
        <v>2691479.0302114501</v>
      </c>
      <c r="AU40" s="580">
        <f t="shared" si="11"/>
        <v>2838319.892267039</v>
      </c>
      <c r="AV40" s="580">
        <f t="shared" si="11"/>
        <v>2563176.0393447494</v>
      </c>
      <c r="AW40" s="580">
        <f t="shared" si="11"/>
        <v>2602347.9825049997</v>
      </c>
      <c r="AX40" s="580">
        <f t="shared" si="11"/>
        <v>2864048.965778714</v>
      </c>
      <c r="AY40" s="580">
        <f t="shared" si="11"/>
        <v>2947093.1740346602</v>
      </c>
      <c r="AZ40" s="580">
        <f t="shared" si="11"/>
        <v>2556511.0182369999</v>
      </c>
      <c r="BA40" s="580">
        <f t="shared" si="11"/>
        <v>2758144.1385960001</v>
      </c>
      <c r="BB40" s="580">
        <f t="shared" si="11"/>
        <v>2903435.328274</v>
      </c>
    </row>
    <row r="41" spans="2:54" ht="15" customHeight="1" thickBot="1">
      <c r="B41" s="581" t="s">
        <v>105</v>
      </c>
      <c r="C41" s="581" t="s">
        <v>2064</v>
      </c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203"/>
      <c r="Z41" s="203"/>
      <c r="AA41" s="203"/>
      <c r="AB41" s="582"/>
      <c r="AC41" s="582"/>
      <c r="AD41" s="582"/>
      <c r="AE41" s="582"/>
      <c r="AF41" s="582"/>
      <c r="AG41" s="582"/>
      <c r="AH41" s="582"/>
      <c r="AI41" s="582"/>
      <c r="AJ41" s="582"/>
      <c r="AK41" s="582"/>
      <c r="AL41" s="582"/>
      <c r="AM41" s="582"/>
      <c r="AN41" s="582"/>
      <c r="AO41" s="582"/>
      <c r="AP41" s="582"/>
      <c r="AQ41" s="582"/>
      <c r="AR41" s="582"/>
      <c r="AS41" s="582"/>
      <c r="AT41" s="582"/>
      <c r="AU41" s="582"/>
      <c r="AV41" s="582">
        <v>167894.1130000003</v>
      </c>
      <c r="AW41" s="582">
        <v>171508.53099999984</v>
      </c>
      <c r="AX41" s="582">
        <v>131813.77000000057</v>
      </c>
      <c r="AY41" s="582">
        <v>162224.87299999999</v>
      </c>
      <c r="AZ41" s="582">
        <v>132614.20500000031</v>
      </c>
      <c r="BA41" s="582">
        <v>151688.03499999983</v>
      </c>
      <c r="BB41" s="582">
        <v>166428.12400000024</v>
      </c>
    </row>
    <row r="42" spans="2:54" ht="15" customHeight="1" thickBot="1">
      <c r="B42" s="196" t="s">
        <v>106</v>
      </c>
      <c r="C42" s="196" t="s">
        <v>2065</v>
      </c>
      <c r="D42" s="197"/>
      <c r="E42" s="197"/>
      <c r="F42" s="197"/>
      <c r="G42" s="197"/>
      <c r="H42" s="197"/>
      <c r="I42" s="197"/>
      <c r="J42" s="197"/>
      <c r="K42" s="197"/>
      <c r="L42" s="197"/>
      <c r="M42" s="197"/>
      <c r="N42" s="197"/>
      <c r="O42" s="197"/>
      <c r="P42" s="197"/>
      <c r="Q42" s="197"/>
      <c r="R42" s="197"/>
      <c r="S42" s="197"/>
      <c r="T42" s="197"/>
      <c r="U42" s="197"/>
      <c r="V42" s="197"/>
      <c r="W42" s="197"/>
      <c r="X42" s="197"/>
      <c r="Y42" s="197"/>
      <c r="Z42" s="197"/>
      <c r="AA42" s="197"/>
      <c r="AB42" s="198"/>
      <c r="AC42" s="198"/>
      <c r="AD42" s="198"/>
      <c r="AE42" s="198"/>
      <c r="AF42" s="198">
        <v>8011.8649999997588</v>
      </c>
      <c r="AG42" s="198">
        <v>11657.595999999903</v>
      </c>
      <c r="AH42" s="198">
        <v>17040.972999999765</v>
      </c>
      <c r="AI42" s="198">
        <v>21522.361999999732</v>
      </c>
      <c r="AJ42" s="198">
        <v>22074.429000000004</v>
      </c>
      <c r="AK42" s="198">
        <v>32228.103000000119</v>
      </c>
      <c r="AL42" s="198">
        <v>40414.914000000106</v>
      </c>
      <c r="AM42" s="198">
        <v>47085.925000000279</v>
      </c>
      <c r="AN42" s="198">
        <v>46769.683999999659</v>
      </c>
      <c r="AO42" s="198">
        <v>59564.584000000264</v>
      </c>
      <c r="AP42" s="198">
        <v>80030.0159999998</v>
      </c>
      <c r="AQ42" s="198">
        <v>92662.696000000316</v>
      </c>
      <c r="AR42" s="198">
        <v>95386.623000000371</v>
      </c>
      <c r="AS42" s="198">
        <v>118296.41400000011</v>
      </c>
      <c r="AT42" s="198">
        <v>153317.50200000033</v>
      </c>
      <c r="AU42" s="198">
        <v>178074.48999999976</v>
      </c>
      <c r="AV42" s="543">
        <f t="shared" ref="AV42:BA42" si="12">+AV41+AV39</f>
        <v>167894.1130000003</v>
      </c>
      <c r="AW42" s="543">
        <f t="shared" si="12"/>
        <v>193946.70099999983</v>
      </c>
      <c r="AX42" s="543">
        <f t="shared" si="12"/>
        <v>244259.95000000056</v>
      </c>
      <c r="AY42" s="543">
        <f t="shared" si="12"/>
        <v>268143.45299999998</v>
      </c>
      <c r="AZ42" s="543">
        <f t="shared" si="12"/>
        <v>236194.18300000031</v>
      </c>
      <c r="BA42" s="543">
        <f t="shared" si="12"/>
        <v>281471.74899999984</v>
      </c>
      <c r="BB42" s="543">
        <f>+BB41+BB39</f>
        <v>317812.31400000025</v>
      </c>
    </row>
    <row r="43" spans="2:54" ht="15" customHeight="1" thickBot="1">
      <c r="B43" s="199" t="s">
        <v>111</v>
      </c>
      <c r="C43" s="199" t="s">
        <v>112</v>
      </c>
      <c r="D43" s="195">
        <f t="shared" ref="D43:BB43" si="13">D38+D42</f>
        <v>1656183.0259999998</v>
      </c>
      <c r="E43" s="195">
        <f t="shared" si="13"/>
        <v>1765570.5020000001</v>
      </c>
      <c r="F43" s="195">
        <f t="shared" si="13"/>
        <v>1863320.3310000002</v>
      </c>
      <c r="G43" s="195">
        <f t="shared" si="13"/>
        <v>1998204.175</v>
      </c>
      <c r="H43" s="195">
        <f t="shared" si="13"/>
        <v>1887831.74471</v>
      </c>
      <c r="I43" s="195">
        <f t="shared" si="13"/>
        <v>1987744.9490000003</v>
      </c>
      <c r="J43" s="195">
        <f t="shared" si="13"/>
        <v>2096136.0359999998</v>
      </c>
      <c r="K43" s="195">
        <f t="shared" si="13"/>
        <v>2160042.469</v>
      </c>
      <c r="L43" s="195">
        <f t="shared" si="13"/>
        <v>1975852.2180000001</v>
      </c>
      <c r="M43" s="195">
        <f t="shared" si="13"/>
        <v>1882995.8900000001</v>
      </c>
      <c r="N43" s="195">
        <f t="shared" si="13"/>
        <v>2174692.6810000003</v>
      </c>
      <c r="O43" s="195">
        <f t="shared" si="13"/>
        <v>2422484.6179999998</v>
      </c>
      <c r="P43" s="195">
        <f t="shared" si="13"/>
        <v>2002458.0863800002</v>
      </c>
      <c r="Q43" s="195">
        <f t="shared" si="13"/>
        <v>2089242.8058619986</v>
      </c>
      <c r="R43" s="195">
        <f t="shared" si="13"/>
        <v>2318038.7466689986</v>
      </c>
      <c r="S43" s="195">
        <f t="shared" si="13"/>
        <v>2335003.9166896655</v>
      </c>
      <c r="T43" s="195">
        <f t="shared" si="13"/>
        <v>1961628.4316683332</v>
      </c>
      <c r="U43" s="195">
        <f t="shared" si="13"/>
        <v>2172900.2889780002</v>
      </c>
      <c r="V43" s="195">
        <f t="shared" si="13"/>
        <v>2283391.9722646666</v>
      </c>
      <c r="W43" s="195">
        <f t="shared" si="13"/>
        <v>2358238.4779696637</v>
      </c>
      <c r="X43" s="195">
        <f t="shared" si="13"/>
        <v>2041323.4263895801</v>
      </c>
      <c r="Y43" s="195">
        <f t="shared" si="13"/>
        <v>2142291.0746780662</v>
      </c>
      <c r="Z43" s="195">
        <f t="shared" si="13"/>
        <v>2212277.6289373334</v>
      </c>
      <c r="AA43" s="195">
        <f t="shared" si="13"/>
        <v>2250963.5518258051</v>
      </c>
      <c r="AB43" s="195">
        <f t="shared" si="13"/>
        <v>1954386.1798820603</v>
      </c>
      <c r="AC43" s="195">
        <f t="shared" si="13"/>
        <v>2088654.6510695298</v>
      </c>
      <c r="AD43" s="195">
        <f t="shared" si="13"/>
        <v>2247822.1727060704</v>
      </c>
      <c r="AE43" s="195">
        <f t="shared" si="13"/>
        <v>2326094.32250077</v>
      </c>
      <c r="AF43" s="195">
        <f t="shared" si="13"/>
        <v>2089310.3761811582</v>
      </c>
      <c r="AG43" s="195">
        <f t="shared" si="13"/>
        <v>2036276.3400466193</v>
      </c>
      <c r="AH43" s="195">
        <f t="shared" si="13"/>
        <v>2399142.7308608703</v>
      </c>
      <c r="AI43" s="195">
        <f t="shared" si="13"/>
        <v>2325463.200335816</v>
      </c>
      <c r="AJ43" s="195">
        <f t="shared" si="13"/>
        <v>2167144.9577237247</v>
      </c>
      <c r="AK43" s="195">
        <f t="shared" si="13"/>
        <v>2305199.1051781336</v>
      </c>
      <c r="AL43" s="195">
        <f t="shared" si="13"/>
        <v>2472009.2068795683</v>
      </c>
      <c r="AM43" s="195">
        <f t="shared" si="13"/>
        <v>2506734.6470890944</v>
      </c>
      <c r="AN43" s="195">
        <f t="shared" si="13"/>
        <v>2307446.9097290812</v>
      </c>
      <c r="AO43" s="195">
        <f t="shared" si="13"/>
        <v>2440691.1773466398</v>
      </c>
      <c r="AP43" s="195">
        <f t="shared" si="13"/>
        <v>2646778.149478646</v>
      </c>
      <c r="AQ43" s="195">
        <f t="shared" si="13"/>
        <v>2637647.8395188395</v>
      </c>
      <c r="AR43" s="195">
        <f t="shared" si="13"/>
        <v>2427842.3332823822</v>
      </c>
      <c r="AS43" s="195">
        <f t="shared" si="13"/>
        <v>2584484.9082702771</v>
      </c>
      <c r="AT43" s="195">
        <f t="shared" si="13"/>
        <v>2844796.5322114504</v>
      </c>
      <c r="AU43" s="195">
        <f t="shared" si="13"/>
        <v>3016394.3822670388</v>
      </c>
      <c r="AV43" s="195">
        <f t="shared" si="13"/>
        <v>2731070.1523447498</v>
      </c>
      <c r="AW43" s="195">
        <f t="shared" si="13"/>
        <v>2773856.5135049997</v>
      </c>
      <c r="AX43" s="195">
        <f t="shared" si="13"/>
        <v>2995862.7357787145</v>
      </c>
      <c r="AY43" s="195">
        <f t="shared" si="13"/>
        <v>3109318.0470346604</v>
      </c>
      <c r="AZ43" s="195">
        <f t="shared" si="13"/>
        <v>2689125.2232369999</v>
      </c>
      <c r="BA43" s="195">
        <f t="shared" si="13"/>
        <v>2909832.1735959998</v>
      </c>
      <c r="BB43" s="195">
        <f t="shared" si="13"/>
        <v>3069863.4522740003</v>
      </c>
    </row>
    <row r="44" spans="2:54" ht="15" customHeight="1">
      <c r="B44" s="204"/>
      <c r="C44" s="204"/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5"/>
      <c r="V44" s="205"/>
      <c r="W44" s="205"/>
      <c r="X44" s="205"/>
      <c r="Y44" s="205"/>
      <c r="Z44" s="205"/>
      <c r="AA44" s="205"/>
      <c r="AB44" s="205"/>
      <c r="AC44" s="205"/>
      <c r="AD44" s="205"/>
      <c r="AE44" s="205"/>
      <c r="AV44" s="543"/>
      <c r="AW44" s="543"/>
      <c r="AX44" s="543"/>
      <c r="AY44" s="543"/>
      <c r="AZ44" s="543"/>
      <c r="BA44" s="543"/>
      <c r="BB44" s="543"/>
    </row>
    <row r="45" spans="2:54" ht="15" customHeight="1">
      <c r="B45" s="190" t="s">
        <v>113</v>
      </c>
      <c r="C45" s="190" t="s">
        <v>113</v>
      </c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191"/>
      <c r="V45" s="191"/>
      <c r="W45" s="191"/>
      <c r="X45" s="191"/>
      <c r="Y45" s="191"/>
      <c r="Z45" s="191"/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191"/>
      <c r="AM45" s="191"/>
      <c r="AN45" s="191"/>
      <c r="AO45" s="191"/>
      <c r="AP45" s="191"/>
      <c r="AQ45" s="191"/>
      <c r="AR45" s="191"/>
      <c r="AS45" s="191"/>
      <c r="AT45" s="191"/>
      <c r="AU45" s="191"/>
      <c r="AV45" s="191"/>
      <c r="AW45" s="191"/>
      <c r="AX45" s="191"/>
      <c r="AY45" s="191"/>
      <c r="AZ45" s="191"/>
      <c r="BA45" s="191"/>
      <c r="BB45" s="191"/>
    </row>
    <row r="46" spans="2:54" ht="15" customHeight="1">
      <c r="B46" s="192" t="s">
        <v>90</v>
      </c>
      <c r="C46" s="192" t="s">
        <v>91</v>
      </c>
      <c r="D46" s="193">
        <v>311181.47499999998</v>
      </c>
      <c r="E46" s="193">
        <v>311671.15700000001</v>
      </c>
      <c r="F46" s="193">
        <v>340416.16100000002</v>
      </c>
      <c r="G46" s="193">
        <v>364667.19199999998</v>
      </c>
      <c r="H46" s="193">
        <v>338015.50599999999</v>
      </c>
      <c r="I46" s="193">
        <v>335684.80800000002</v>
      </c>
      <c r="J46" s="193">
        <v>368008.90399999998</v>
      </c>
      <c r="K46" s="193">
        <v>389883.50800000003</v>
      </c>
      <c r="L46" s="193">
        <v>362040.70799999998</v>
      </c>
      <c r="M46" s="193">
        <v>358460.62599999999</v>
      </c>
      <c r="N46" s="193">
        <v>382765.054</v>
      </c>
      <c r="O46" s="193">
        <v>423172.87399999995</v>
      </c>
      <c r="P46" s="193">
        <v>375238.158</v>
      </c>
      <c r="Q46" s="193">
        <v>392927.16800000001</v>
      </c>
      <c r="R46" s="193">
        <v>412872.603</v>
      </c>
      <c r="S46" s="193">
        <v>447975.56700000004</v>
      </c>
      <c r="T46" s="193">
        <v>390959.59100000001</v>
      </c>
      <c r="U46" s="193">
        <v>396291.43600000005</v>
      </c>
      <c r="V46" s="193">
        <v>423717.10800000001</v>
      </c>
      <c r="W46" s="193">
        <v>468665.12100000004</v>
      </c>
      <c r="X46" s="193">
        <v>406678.68700000003</v>
      </c>
      <c r="Y46" s="201">
        <v>406089.897</v>
      </c>
      <c r="Z46" s="201">
        <v>439477.55700000003</v>
      </c>
      <c r="AA46" s="201">
        <v>403542.12400000001</v>
      </c>
      <c r="AB46" s="201">
        <v>410050.42200000002</v>
      </c>
      <c r="AC46" s="201">
        <v>417577.26299999992</v>
      </c>
      <c r="AD46" s="201">
        <v>439517.12399999995</v>
      </c>
      <c r="AE46" s="201">
        <v>502329.67100000003</v>
      </c>
      <c r="AF46" s="201">
        <v>434714.66599999997</v>
      </c>
      <c r="AG46" s="201">
        <v>441066.86199999996</v>
      </c>
      <c r="AH46" s="201">
        <v>462994.56800000003</v>
      </c>
      <c r="AI46" s="201">
        <v>521830.5670000001</v>
      </c>
      <c r="AJ46" s="201">
        <v>462654.73200000008</v>
      </c>
      <c r="AK46" s="201">
        <v>470051.45200000005</v>
      </c>
      <c r="AL46" s="201">
        <v>489025.228</v>
      </c>
      <c r="AM46" s="201">
        <v>504587.52399999998</v>
      </c>
      <c r="AN46" s="201">
        <v>439699.79300000001</v>
      </c>
      <c r="AO46" s="201">
        <v>442844.13199999998</v>
      </c>
      <c r="AP46" s="201">
        <v>478758.66899999999</v>
      </c>
      <c r="AQ46" s="201">
        <v>513815.6</v>
      </c>
      <c r="AR46" s="201">
        <v>447895.86200000002</v>
      </c>
      <c r="AS46" s="201">
        <v>468318.17499999993</v>
      </c>
      <c r="AT46" s="201">
        <v>526575.37399999995</v>
      </c>
      <c r="AU46" s="201">
        <v>574280.67599999998</v>
      </c>
      <c r="AV46" s="201">
        <v>510153.96976499999</v>
      </c>
      <c r="AW46" s="201">
        <v>507590.61240790004</v>
      </c>
      <c r="AX46" s="201">
        <v>509585.52803639998</v>
      </c>
      <c r="AY46" s="201">
        <v>573515.0367539</v>
      </c>
      <c r="AZ46" s="201">
        <v>500197.81300000002</v>
      </c>
      <c r="BA46" s="201">
        <v>509002.48</v>
      </c>
      <c r="BB46" s="201">
        <v>543628.45000000007</v>
      </c>
    </row>
    <row r="47" spans="2:54" ht="15" customHeight="1">
      <c r="B47" s="192" t="s">
        <v>92</v>
      </c>
      <c r="C47" s="192" t="s">
        <v>92</v>
      </c>
      <c r="D47" s="193">
        <v>44755.554999999993</v>
      </c>
      <c r="E47" s="193">
        <v>49690.878000000004</v>
      </c>
      <c r="F47" s="193">
        <v>50138.5</v>
      </c>
      <c r="G47" s="193">
        <v>48456.739000000001</v>
      </c>
      <c r="H47" s="193">
        <v>48940.141000000003</v>
      </c>
      <c r="I47" s="193">
        <v>52411.932000000001</v>
      </c>
      <c r="J47" s="193">
        <v>59347.781999999999</v>
      </c>
      <c r="K47" s="193">
        <v>55088.282999999996</v>
      </c>
      <c r="L47" s="193">
        <v>51211.596999999994</v>
      </c>
      <c r="M47" s="193">
        <v>53036.418999999994</v>
      </c>
      <c r="N47" s="193">
        <v>58119.260999999999</v>
      </c>
      <c r="O47" s="193">
        <v>55722.393000000004</v>
      </c>
      <c r="P47" s="193">
        <v>49694.498</v>
      </c>
      <c r="Q47" s="193">
        <v>49587.904000000002</v>
      </c>
      <c r="R47" s="193">
        <v>53668.311000000002</v>
      </c>
      <c r="S47" s="193">
        <v>54401.635000000002</v>
      </c>
      <c r="T47" s="193">
        <v>49030.054000000004</v>
      </c>
      <c r="U47" s="193">
        <v>48845.597999999998</v>
      </c>
      <c r="V47" s="193">
        <v>45915.095999999998</v>
      </c>
      <c r="W47" s="193">
        <v>47741.725999999995</v>
      </c>
      <c r="X47" s="193">
        <v>41580.031999999999</v>
      </c>
      <c r="Y47" s="201">
        <v>43049.392999999996</v>
      </c>
      <c r="Z47" s="201">
        <v>42570.153999999995</v>
      </c>
      <c r="AA47" s="201">
        <v>35066.025999999998</v>
      </c>
      <c r="AB47" s="201">
        <v>34122.760999999999</v>
      </c>
      <c r="AC47" s="201">
        <v>38438.981</v>
      </c>
      <c r="AD47" s="201">
        <v>43582.209000000003</v>
      </c>
      <c r="AE47" s="201">
        <v>42410.37</v>
      </c>
      <c r="AF47" s="201">
        <v>33223.865000000005</v>
      </c>
      <c r="AG47" s="201">
        <v>29675.740999999995</v>
      </c>
      <c r="AH47" s="201">
        <v>34462.312999999995</v>
      </c>
      <c r="AI47" s="201">
        <v>36132.673000000003</v>
      </c>
      <c r="AJ47" s="201">
        <v>31161.227999999999</v>
      </c>
      <c r="AK47" s="201">
        <v>30795.642999999996</v>
      </c>
      <c r="AL47" s="201">
        <v>31632.699000000001</v>
      </c>
      <c r="AM47" s="201">
        <v>28113.246000000006</v>
      </c>
      <c r="AN47" s="201">
        <v>24272.928</v>
      </c>
      <c r="AO47" s="201">
        <v>27280.264000000003</v>
      </c>
      <c r="AP47" s="201">
        <v>28951.716</v>
      </c>
      <c r="AQ47" s="201">
        <v>24953.305</v>
      </c>
      <c r="AR47" s="201">
        <v>21238.004000000001</v>
      </c>
      <c r="AS47" s="201">
        <v>22956.447</v>
      </c>
      <c r="AT47" s="201">
        <v>23510.231</v>
      </c>
      <c r="AU47" s="201">
        <v>20973.728999999999</v>
      </c>
      <c r="AV47" s="201">
        <v>17409.031999999999</v>
      </c>
      <c r="AW47" s="201">
        <v>17529.46</v>
      </c>
      <c r="AX47" s="201">
        <v>18045.673999999999</v>
      </c>
      <c r="AY47" s="201">
        <v>15163.2</v>
      </c>
      <c r="AZ47" s="201">
        <v>13286.645</v>
      </c>
      <c r="BA47" s="201">
        <v>13794.181</v>
      </c>
      <c r="BB47" s="201">
        <v>14730.445</v>
      </c>
    </row>
    <row r="48" spans="2:54" ht="15" customHeight="1">
      <c r="B48" s="192" t="s">
        <v>93</v>
      </c>
      <c r="C48" s="192" t="s">
        <v>94</v>
      </c>
      <c r="D48" s="193">
        <v>140953.152</v>
      </c>
      <c r="E48" s="193">
        <v>145082.96400000001</v>
      </c>
      <c r="F48" s="193">
        <v>158237.905</v>
      </c>
      <c r="G48" s="193">
        <v>165342.40299999999</v>
      </c>
      <c r="H48" s="193">
        <v>153186.802</v>
      </c>
      <c r="I48" s="193">
        <v>157111.98200000002</v>
      </c>
      <c r="J48" s="193">
        <v>170644.753</v>
      </c>
      <c r="K48" s="193">
        <v>178521.85800000001</v>
      </c>
      <c r="L48" s="193">
        <v>163165.125</v>
      </c>
      <c r="M48" s="193">
        <v>167387.37700000001</v>
      </c>
      <c r="N48" s="193">
        <v>177943.56</v>
      </c>
      <c r="O48" s="193">
        <v>193533.31300000002</v>
      </c>
      <c r="P48" s="193">
        <v>172200.77399999998</v>
      </c>
      <c r="Q48" s="193">
        <v>183808.723</v>
      </c>
      <c r="R48" s="193">
        <v>190413.71000000002</v>
      </c>
      <c r="S48" s="193">
        <v>194330.53799999997</v>
      </c>
      <c r="T48" s="193">
        <v>171127.73499999999</v>
      </c>
      <c r="U48" s="193">
        <v>175714.19099999999</v>
      </c>
      <c r="V48" s="193">
        <v>184028.299</v>
      </c>
      <c r="W48" s="193">
        <v>198132.17799999999</v>
      </c>
      <c r="X48" s="193">
        <v>176482.07</v>
      </c>
      <c r="Y48" s="201">
        <v>179923.92300000001</v>
      </c>
      <c r="Z48" s="201">
        <v>191061.579</v>
      </c>
      <c r="AA48" s="201">
        <v>174528.772</v>
      </c>
      <c r="AB48" s="201">
        <v>176000.64199999999</v>
      </c>
      <c r="AC48" s="201">
        <v>181456.09599999999</v>
      </c>
      <c r="AD48" s="201">
        <v>190456.739</v>
      </c>
      <c r="AE48" s="201">
        <v>207299.94800000003</v>
      </c>
      <c r="AF48" s="201">
        <v>171911.073</v>
      </c>
      <c r="AG48" s="201">
        <v>126058.25900000001</v>
      </c>
      <c r="AH48" s="201">
        <v>141459.71899999998</v>
      </c>
      <c r="AI48" s="201">
        <v>166763.58600000001</v>
      </c>
      <c r="AJ48" s="201">
        <v>146115.81099999999</v>
      </c>
      <c r="AK48" s="201">
        <v>146920.07400000002</v>
      </c>
      <c r="AL48" s="201">
        <v>161342.36800000002</v>
      </c>
      <c r="AM48" s="201">
        <v>163455.14000000001</v>
      </c>
      <c r="AN48" s="201">
        <v>142450.698</v>
      </c>
      <c r="AO48" s="201">
        <v>146832.27900000001</v>
      </c>
      <c r="AP48" s="201">
        <v>151248.685</v>
      </c>
      <c r="AQ48" s="201">
        <v>152099.67800000001</v>
      </c>
      <c r="AR48" s="201">
        <v>132028.83799999999</v>
      </c>
      <c r="AS48" s="201">
        <v>135465.83600000001</v>
      </c>
      <c r="AT48" s="201">
        <v>142137.17800000001</v>
      </c>
      <c r="AU48" s="201">
        <v>144964.23300000001</v>
      </c>
      <c r="AV48" s="201">
        <v>124910.876</v>
      </c>
      <c r="AW48" s="201">
        <v>127051.761</v>
      </c>
      <c r="AX48" s="201">
        <v>123008.587</v>
      </c>
      <c r="AY48" s="201">
        <v>126266.079</v>
      </c>
      <c r="AZ48" s="201">
        <v>106018.32399999999</v>
      </c>
      <c r="BA48" s="201">
        <v>109320.61900000001</v>
      </c>
      <c r="BB48" s="201">
        <v>111856.997</v>
      </c>
    </row>
    <row r="49" spans="2:54" ht="15" customHeight="1" thickBot="1">
      <c r="B49" s="192" t="s">
        <v>95</v>
      </c>
      <c r="C49" s="192" t="s">
        <v>96</v>
      </c>
      <c r="D49" s="193">
        <v>150190.516</v>
      </c>
      <c r="E49" s="193">
        <v>162775.304</v>
      </c>
      <c r="F49" s="193">
        <v>175688.69899999999</v>
      </c>
      <c r="G49" s="193">
        <v>181574.88699999999</v>
      </c>
      <c r="H49" s="193">
        <v>163616.348</v>
      </c>
      <c r="I49" s="193">
        <v>163874.10999999999</v>
      </c>
      <c r="J49" s="193">
        <v>187510.851</v>
      </c>
      <c r="K49" s="193">
        <v>194623.90099999998</v>
      </c>
      <c r="L49" s="193">
        <v>168014.929</v>
      </c>
      <c r="M49" s="193">
        <v>170110.34099999999</v>
      </c>
      <c r="N49" s="193">
        <v>186182.035</v>
      </c>
      <c r="O49" s="193">
        <v>198261.465</v>
      </c>
      <c r="P49" s="193">
        <v>168048.34099999999</v>
      </c>
      <c r="Q49" s="193">
        <v>184867.77299999999</v>
      </c>
      <c r="R49" s="193">
        <v>197697.71000000002</v>
      </c>
      <c r="S49" s="193">
        <v>204335.37100000001</v>
      </c>
      <c r="T49" s="193">
        <v>174884.508</v>
      </c>
      <c r="U49" s="193">
        <v>201440.5</v>
      </c>
      <c r="V49" s="193">
        <v>213725.45900000003</v>
      </c>
      <c r="W49" s="193">
        <v>220355.23499999999</v>
      </c>
      <c r="X49" s="193">
        <v>178524.27300000002</v>
      </c>
      <c r="Y49" s="201">
        <v>190541.886</v>
      </c>
      <c r="Z49" s="201">
        <v>216466.03999999998</v>
      </c>
      <c r="AA49" s="201">
        <v>190535.52799999999</v>
      </c>
      <c r="AB49" s="201">
        <v>181370.21399999998</v>
      </c>
      <c r="AC49" s="201">
        <v>195523.84099999996</v>
      </c>
      <c r="AD49" s="201">
        <v>217149.33399999997</v>
      </c>
      <c r="AE49" s="201">
        <v>253925.81200000001</v>
      </c>
      <c r="AF49" s="201">
        <v>192450.64</v>
      </c>
      <c r="AG49" s="201">
        <v>192063.99099999998</v>
      </c>
      <c r="AH49" s="201">
        <v>211633.10800000001</v>
      </c>
      <c r="AI49" s="201">
        <v>252734.14600000001</v>
      </c>
      <c r="AJ49" s="201">
        <v>192796.92299999998</v>
      </c>
      <c r="AK49" s="201">
        <v>208657.55999999997</v>
      </c>
      <c r="AL49" s="201">
        <v>232730.59599999999</v>
      </c>
      <c r="AM49" s="201">
        <v>219625.53400000001</v>
      </c>
      <c r="AN49" s="201">
        <v>187162.69999999995</v>
      </c>
      <c r="AO49" s="201">
        <v>201794.52599999998</v>
      </c>
      <c r="AP49" s="201">
        <v>228802.587</v>
      </c>
      <c r="AQ49" s="201">
        <v>221180.52999999994</v>
      </c>
      <c r="AR49" s="201">
        <v>189343.98300000001</v>
      </c>
      <c r="AS49" s="201">
        <v>210317.79399999999</v>
      </c>
      <c r="AT49" s="201">
        <v>233235.53400000001</v>
      </c>
      <c r="AU49" s="201">
        <v>243992.84699999995</v>
      </c>
      <c r="AV49" s="201">
        <v>201419.18723499999</v>
      </c>
      <c r="AW49" s="201">
        <v>230077.73959209991</v>
      </c>
      <c r="AX49" s="201">
        <v>240051.60296360007</v>
      </c>
      <c r="AY49" s="201">
        <v>251820.37324610003</v>
      </c>
      <c r="AZ49" s="201">
        <v>204605.01</v>
      </c>
      <c r="BA49" s="201">
        <v>240331.21299999999</v>
      </c>
      <c r="BB49" s="201">
        <v>251426.34300000011</v>
      </c>
    </row>
    <row r="50" spans="2:54" ht="15" customHeight="1" thickBot="1">
      <c r="B50" s="199" t="s">
        <v>97</v>
      </c>
      <c r="C50" s="194" t="s">
        <v>98</v>
      </c>
      <c r="D50" s="202">
        <f>SUM(D46:D49)</f>
        <v>647080.69799999997</v>
      </c>
      <c r="E50" s="202">
        <f t="shared" ref="E50:BB50" si="14">SUM(E46:E49)</f>
        <v>669220.30300000007</v>
      </c>
      <c r="F50" s="202">
        <f t="shared" si="14"/>
        <v>724481.26500000001</v>
      </c>
      <c r="G50" s="202">
        <f t="shared" si="14"/>
        <v>760041.22100000002</v>
      </c>
      <c r="H50" s="202">
        <f t="shared" si="14"/>
        <v>703758.79700000002</v>
      </c>
      <c r="I50" s="202">
        <f t="shared" si="14"/>
        <v>709082.83200000005</v>
      </c>
      <c r="J50" s="202">
        <f t="shared" si="14"/>
        <v>785512.29</v>
      </c>
      <c r="K50" s="202">
        <f t="shared" si="14"/>
        <v>818117.54999999993</v>
      </c>
      <c r="L50" s="202">
        <f t="shared" si="14"/>
        <v>744432.35899999994</v>
      </c>
      <c r="M50" s="202">
        <f t="shared" si="14"/>
        <v>748994.76300000004</v>
      </c>
      <c r="N50" s="202">
        <f t="shared" si="14"/>
        <v>805009.91</v>
      </c>
      <c r="O50" s="202">
        <f t="shared" si="14"/>
        <v>870690.04499999993</v>
      </c>
      <c r="P50" s="202">
        <f t="shared" si="14"/>
        <v>765181.77099999995</v>
      </c>
      <c r="Q50" s="202">
        <f t="shared" si="14"/>
        <v>811191.56799999997</v>
      </c>
      <c r="R50" s="202">
        <f t="shared" si="14"/>
        <v>854652.33400000003</v>
      </c>
      <c r="S50" s="202">
        <f t="shared" si="14"/>
        <v>901043.11100000003</v>
      </c>
      <c r="T50" s="202">
        <f t="shared" si="14"/>
        <v>786001.88800000004</v>
      </c>
      <c r="U50" s="202">
        <f t="shared" si="14"/>
        <v>822291.72500000009</v>
      </c>
      <c r="V50" s="202">
        <f t="shared" si="14"/>
        <v>867385.96200000006</v>
      </c>
      <c r="W50" s="202">
        <f t="shared" si="14"/>
        <v>934894.26</v>
      </c>
      <c r="X50" s="202">
        <f t="shared" si="14"/>
        <v>803265.06200000015</v>
      </c>
      <c r="Y50" s="202">
        <f t="shared" si="14"/>
        <v>819605.09899999993</v>
      </c>
      <c r="Z50" s="202">
        <f t="shared" si="14"/>
        <v>889575.33000000007</v>
      </c>
      <c r="AA50" s="202">
        <f t="shared" si="14"/>
        <v>803672.45</v>
      </c>
      <c r="AB50" s="202">
        <f t="shared" si="14"/>
        <v>801544.03899999987</v>
      </c>
      <c r="AC50" s="202">
        <f t="shared" si="14"/>
        <v>832996.18099999987</v>
      </c>
      <c r="AD50" s="202">
        <f t="shared" si="14"/>
        <v>890705.40599999996</v>
      </c>
      <c r="AE50" s="202">
        <f t="shared" si="14"/>
        <v>1005965.8010000001</v>
      </c>
      <c r="AF50" s="202">
        <f t="shared" si="14"/>
        <v>832300.24399999995</v>
      </c>
      <c r="AG50" s="202">
        <f t="shared" si="14"/>
        <v>788864.85299999989</v>
      </c>
      <c r="AH50" s="202">
        <f t="shared" si="14"/>
        <v>850549.7080000001</v>
      </c>
      <c r="AI50" s="202">
        <f t="shared" si="14"/>
        <v>977460.97200000007</v>
      </c>
      <c r="AJ50" s="202">
        <f t="shared" si="14"/>
        <v>832728.69400000002</v>
      </c>
      <c r="AK50" s="202">
        <f t="shared" si="14"/>
        <v>856424.72899999993</v>
      </c>
      <c r="AL50" s="202">
        <f t="shared" si="14"/>
        <v>914730.89100000006</v>
      </c>
      <c r="AM50" s="202">
        <f t="shared" si="14"/>
        <v>915781.44400000002</v>
      </c>
      <c r="AN50" s="202">
        <f t="shared" si="14"/>
        <v>793586.11899999995</v>
      </c>
      <c r="AO50" s="202">
        <f t="shared" si="14"/>
        <v>818751.201</v>
      </c>
      <c r="AP50" s="202">
        <f t="shared" si="14"/>
        <v>887761.65700000012</v>
      </c>
      <c r="AQ50" s="202">
        <f t="shared" si="14"/>
        <v>912049.11300000001</v>
      </c>
      <c r="AR50" s="202">
        <f t="shared" si="14"/>
        <v>790506.68700000003</v>
      </c>
      <c r="AS50" s="202">
        <f t="shared" si="14"/>
        <v>837058.25199999986</v>
      </c>
      <c r="AT50" s="202">
        <f t="shared" si="14"/>
        <v>925458.31700000004</v>
      </c>
      <c r="AU50" s="202">
        <f t="shared" si="14"/>
        <v>984211.48499999999</v>
      </c>
      <c r="AV50" s="202">
        <f t="shared" si="14"/>
        <v>853893.06499999994</v>
      </c>
      <c r="AW50" s="202">
        <f t="shared" si="14"/>
        <v>882249.57299999997</v>
      </c>
      <c r="AX50" s="195">
        <f t="shared" si="14"/>
        <v>890691.39199999999</v>
      </c>
      <c r="AY50" s="195">
        <f t="shared" si="14"/>
        <v>966764.68900000001</v>
      </c>
      <c r="AZ50" s="195">
        <f t="shared" si="14"/>
        <v>824107.79200000002</v>
      </c>
      <c r="BA50" s="195">
        <f t="shared" si="14"/>
        <v>872448.49300000002</v>
      </c>
      <c r="BB50" s="195">
        <f t="shared" si="14"/>
        <v>921642.2350000001</v>
      </c>
    </row>
    <row r="51" spans="2:54" ht="15" customHeight="1">
      <c r="B51" s="192" t="s">
        <v>92</v>
      </c>
      <c r="C51" s="192" t="s">
        <v>92</v>
      </c>
      <c r="D51" s="193">
        <v>14335.07</v>
      </c>
      <c r="E51" s="193">
        <v>19652.032999999999</v>
      </c>
      <c r="F51" s="193">
        <v>21195.517</v>
      </c>
      <c r="G51" s="193">
        <v>20376.45</v>
      </c>
      <c r="H51" s="193">
        <v>17905.474000000002</v>
      </c>
      <c r="I51" s="193">
        <v>16701.005000000001</v>
      </c>
      <c r="J51" s="193">
        <v>20224.319</v>
      </c>
      <c r="K51" s="193">
        <v>18309.628000000001</v>
      </c>
      <c r="L51" s="193">
        <v>15518.485000000001</v>
      </c>
      <c r="M51" s="193">
        <v>14164.028999999999</v>
      </c>
      <c r="N51" s="193">
        <v>11927.738000000001</v>
      </c>
      <c r="O51" s="193">
        <v>11097.391</v>
      </c>
      <c r="P51" s="193">
        <v>8052.0239999999994</v>
      </c>
      <c r="Q51" s="193">
        <v>9116.8220000000001</v>
      </c>
      <c r="R51" s="193">
        <v>8279.1470000000008</v>
      </c>
      <c r="S51" s="193">
        <v>7665.277</v>
      </c>
      <c r="T51" s="193">
        <v>2969.415</v>
      </c>
      <c r="U51" s="193">
        <v>103.726</v>
      </c>
      <c r="V51" s="193">
        <v>7384.6949999999997</v>
      </c>
      <c r="W51" s="193">
        <v>7218.9699999999993</v>
      </c>
      <c r="X51" s="193">
        <v>5549.7070000000003</v>
      </c>
      <c r="Y51" s="201">
        <v>7401.1550000000007</v>
      </c>
      <c r="Z51" s="201">
        <v>12391.826000000001</v>
      </c>
      <c r="AA51" s="201">
        <v>12529.681</v>
      </c>
      <c r="AB51" s="201">
        <v>10580.031999999999</v>
      </c>
      <c r="AC51" s="201">
        <v>13018.559000000001</v>
      </c>
      <c r="AD51" s="201">
        <v>12732.789999999999</v>
      </c>
      <c r="AE51" s="201">
        <v>12184.84</v>
      </c>
      <c r="AF51" s="201">
        <v>10266.181</v>
      </c>
      <c r="AG51" s="201">
        <v>9911.2240000000002</v>
      </c>
      <c r="AH51" s="201">
        <v>15662.225003832904</v>
      </c>
      <c r="AI51" s="201">
        <v>18887.969387495283</v>
      </c>
      <c r="AJ51" s="201">
        <v>16602.382802825312</v>
      </c>
      <c r="AK51" s="201">
        <v>22014.507768252661</v>
      </c>
      <c r="AL51" s="201">
        <v>27645.826308361909</v>
      </c>
      <c r="AM51" s="201">
        <v>27846.049073146627</v>
      </c>
      <c r="AN51" s="201">
        <v>21066.577907285115</v>
      </c>
      <c r="AO51" s="201">
        <v>27799.60609907435</v>
      </c>
      <c r="AP51" s="201">
        <v>29499.673067472802</v>
      </c>
      <c r="AQ51" s="201">
        <v>29712.450390357299</v>
      </c>
      <c r="AR51" s="201">
        <v>26283.2253262136</v>
      </c>
      <c r="AS51" s="201">
        <v>30945.967599645606</v>
      </c>
      <c r="AT51" s="201">
        <v>33440.294190716602</v>
      </c>
      <c r="AU51" s="201">
        <v>33970.313291761297</v>
      </c>
      <c r="AV51" s="201">
        <v>32071.639156928199</v>
      </c>
      <c r="AW51" s="201">
        <v>38866.991294877997</v>
      </c>
      <c r="AX51" s="193">
        <v>40995.716804846998</v>
      </c>
      <c r="AY51" s="201">
        <v>42499.802481050399</v>
      </c>
      <c r="AZ51" s="201">
        <v>37679.561230803803</v>
      </c>
      <c r="BA51" s="193">
        <v>44657.344592047797</v>
      </c>
      <c r="BB51" s="193">
        <v>43661.516102498303</v>
      </c>
    </row>
    <row r="52" spans="2:54" ht="15" customHeight="1">
      <c r="B52" s="192" t="s">
        <v>93</v>
      </c>
      <c r="C52" s="192" t="s">
        <v>94</v>
      </c>
      <c r="D52" s="193">
        <v>1907.1370000000002</v>
      </c>
      <c r="E52" s="193">
        <v>1960.7620000000002</v>
      </c>
      <c r="F52" s="193">
        <v>2038.2860000000001</v>
      </c>
      <c r="G52" s="193">
        <v>2128.944</v>
      </c>
      <c r="H52" s="193">
        <v>2645.8539999999998</v>
      </c>
      <c r="I52" s="193">
        <v>1951.5160000000001</v>
      </c>
      <c r="J52" s="193">
        <v>2052.1549999999997</v>
      </c>
      <c r="K52" s="193">
        <v>2107.1149999999998</v>
      </c>
      <c r="L52" s="193">
        <v>1909.373</v>
      </c>
      <c r="M52" s="193">
        <v>1894.73</v>
      </c>
      <c r="N52" s="193">
        <v>1835.8630000000001</v>
      </c>
      <c r="O52" s="193">
        <v>1871.7429999999999</v>
      </c>
      <c r="P52" s="193">
        <v>1516.6669999999999</v>
      </c>
      <c r="Q52" s="193">
        <v>1578.0889999999999</v>
      </c>
      <c r="R52" s="193">
        <v>3236.1330000000003</v>
      </c>
      <c r="S52" s="193">
        <v>5822.4130000000005</v>
      </c>
      <c r="T52" s="193">
        <v>9309.6320000000014</v>
      </c>
      <c r="U52" s="193">
        <v>12132.901</v>
      </c>
      <c r="V52" s="193">
        <v>11997.869000000001</v>
      </c>
      <c r="W52" s="193">
        <v>12828.368000000002</v>
      </c>
      <c r="X52" s="193">
        <v>11439.735000000001</v>
      </c>
      <c r="Y52" s="201">
        <v>11600.46</v>
      </c>
      <c r="Z52" s="201">
        <v>11718.829</v>
      </c>
      <c r="AA52" s="201">
        <v>13182.446</v>
      </c>
      <c r="AB52" s="201">
        <v>11434.508</v>
      </c>
      <c r="AC52" s="201">
        <v>11763.513000000001</v>
      </c>
      <c r="AD52" s="201">
        <v>11092.413</v>
      </c>
      <c r="AE52" s="201">
        <v>13100.295000000002</v>
      </c>
      <c r="AF52" s="201">
        <v>19671.434000000001</v>
      </c>
      <c r="AG52" s="201">
        <v>20408.563000000002</v>
      </c>
      <c r="AH52" s="201">
        <v>25627.296047307471</v>
      </c>
      <c r="AI52" s="201">
        <v>30908.931535830809</v>
      </c>
      <c r="AJ52" s="201">
        <v>29824.940197174692</v>
      </c>
      <c r="AK52" s="201">
        <v>36095.042315578874</v>
      </c>
      <c r="AL52" s="201">
        <v>38481.017491638086</v>
      </c>
      <c r="AM52" s="201">
        <v>40754.225908214314</v>
      </c>
      <c r="AN52" s="201">
        <v>38074.162673249804</v>
      </c>
      <c r="AO52" s="201">
        <v>39569.935675851972</v>
      </c>
      <c r="AP52" s="201">
        <v>42632.572000517466</v>
      </c>
      <c r="AQ52" s="201">
        <v>44539.126400540998</v>
      </c>
      <c r="AR52" s="201">
        <v>43328.871644678999</v>
      </c>
      <c r="AS52" s="201">
        <v>49169.586097715168</v>
      </c>
      <c r="AT52" s="201">
        <v>54981.573919527189</v>
      </c>
      <c r="AU52" s="201">
        <v>62323.479530597397</v>
      </c>
      <c r="AV52" s="201">
        <v>62265.314510746401</v>
      </c>
      <c r="AW52" s="201">
        <v>64180.360884113899</v>
      </c>
      <c r="AX52" s="193">
        <v>66227.961482173007</v>
      </c>
      <c r="AY52" s="201">
        <v>76342.104513264698</v>
      </c>
      <c r="AZ52" s="201">
        <v>72281.187750311306</v>
      </c>
      <c r="BA52" s="193">
        <v>78536.982543215694</v>
      </c>
      <c r="BB52" s="193">
        <v>84462.650491604596</v>
      </c>
    </row>
    <row r="53" spans="2:54" ht="15" customHeight="1" thickBot="1">
      <c r="B53" s="192" t="s">
        <v>95</v>
      </c>
      <c r="C53" s="192" t="s">
        <v>96</v>
      </c>
      <c r="D53" s="193">
        <v>0</v>
      </c>
      <c r="E53" s="193">
        <v>0</v>
      </c>
      <c r="F53" s="193">
        <v>0</v>
      </c>
      <c r="G53" s="193">
        <v>0</v>
      </c>
      <c r="H53" s="193">
        <v>0</v>
      </c>
      <c r="I53" s="193">
        <v>0</v>
      </c>
      <c r="J53" s="193">
        <v>0</v>
      </c>
      <c r="K53" s="193">
        <v>0</v>
      </c>
      <c r="L53" s="193">
        <v>0</v>
      </c>
      <c r="M53" s="193">
        <v>0</v>
      </c>
      <c r="N53" s="193">
        <v>0</v>
      </c>
      <c r="O53" s="193">
        <v>0</v>
      </c>
      <c r="P53" s="193">
        <v>0</v>
      </c>
      <c r="Q53" s="193">
        <v>0</v>
      </c>
      <c r="R53" s="193">
        <v>0</v>
      </c>
      <c r="S53" s="193">
        <v>0</v>
      </c>
      <c r="T53" s="193">
        <v>0</v>
      </c>
      <c r="U53" s="193">
        <v>0</v>
      </c>
      <c r="V53" s="193">
        <v>0</v>
      </c>
      <c r="W53" s="193">
        <v>0</v>
      </c>
      <c r="X53" s="193">
        <v>0</v>
      </c>
      <c r="Y53" s="201">
        <v>0</v>
      </c>
      <c r="Z53" s="201">
        <v>0</v>
      </c>
      <c r="AA53" s="201">
        <v>0</v>
      </c>
      <c r="AB53" s="201">
        <v>0</v>
      </c>
      <c r="AC53" s="201">
        <v>0</v>
      </c>
      <c r="AD53" s="201">
        <v>0</v>
      </c>
      <c r="AE53" s="201">
        <v>0</v>
      </c>
      <c r="AF53" s="201">
        <v>0</v>
      </c>
      <c r="AG53" s="201">
        <v>3261.5219999999999</v>
      </c>
      <c r="AH53" s="201">
        <v>11014.642948859626</v>
      </c>
      <c r="AI53" s="201">
        <v>12822.485076673911</v>
      </c>
      <c r="AJ53" s="201">
        <v>12741.829999999998</v>
      </c>
      <c r="AK53" s="201">
        <v>15261.132916168457</v>
      </c>
      <c r="AL53" s="201">
        <v>17110.282200000001</v>
      </c>
      <c r="AM53" s="201">
        <v>16362.140018639064</v>
      </c>
      <c r="AN53" s="201">
        <v>15656.025419465082</v>
      </c>
      <c r="AO53" s="201">
        <v>16336.660479945996</v>
      </c>
      <c r="AP53" s="201">
        <v>16848.3067935363</v>
      </c>
      <c r="AQ53" s="201">
        <v>16521.436519723997</v>
      </c>
      <c r="AR53" s="201">
        <v>15605.053020225014</v>
      </c>
      <c r="AS53" s="201">
        <v>16718.226832400003</v>
      </c>
      <c r="AT53" s="201">
        <v>18111.122486349999</v>
      </c>
      <c r="AU53" s="201">
        <v>18383.551431400309</v>
      </c>
      <c r="AV53" s="201">
        <v>17903.30907302539</v>
      </c>
      <c r="AW53" s="201">
        <v>18493.542064425113</v>
      </c>
      <c r="AX53" s="193">
        <v>19726.111945632991</v>
      </c>
      <c r="AY53" s="201">
        <v>20198.172701974894</v>
      </c>
      <c r="AZ53" s="201">
        <v>20353.36280109988</v>
      </c>
      <c r="BA53" s="193">
        <v>21119.178030225521</v>
      </c>
      <c r="BB53" s="193">
        <v>23404.809688975103</v>
      </c>
    </row>
    <row r="54" spans="2:54" ht="15" customHeight="1" thickBot="1">
      <c r="B54" s="194" t="s">
        <v>99</v>
      </c>
      <c r="C54" s="194" t="s">
        <v>100</v>
      </c>
      <c r="D54" s="195">
        <f>SUM(D51:D53)</f>
        <v>16242.207</v>
      </c>
      <c r="E54" s="195">
        <f t="shared" ref="E54:BB54" si="15">SUM(E51:E53)</f>
        <v>21612.794999999998</v>
      </c>
      <c r="F54" s="195">
        <f t="shared" si="15"/>
        <v>23233.803</v>
      </c>
      <c r="G54" s="195">
        <f t="shared" si="15"/>
        <v>22505.394</v>
      </c>
      <c r="H54" s="195">
        <f t="shared" si="15"/>
        <v>20551.328000000001</v>
      </c>
      <c r="I54" s="195">
        <f t="shared" si="15"/>
        <v>18652.521000000001</v>
      </c>
      <c r="J54" s="195">
        <f t="shared" si="15"/>
        <v>22276.473999999998</v>
      </c>
      <c r="K54" s="195">
        <f t="shared" si="15"/>
        <v>20416.743000000002</v>
      </c>
      <c r="L54" s="195">
        <f t="shared" si="15"/>
        <v>17427.858</v>
      </c>
      <c r="M54" s="195">
        <f t="shared" si="15"/>
        <v>16058.758999999998</v>
      </c>
      <c r="N54" s="195">
        <f t="shared" si="15"/>
        <v>13763.601000000001</v>
      </c>
      <c r="O54" s="195">
        <f t="shared" si="15"/>
        <v>12969.134</v>
      </c>
      <c r="P54" s="195">
        <f t="shared" si="15"/>
        <v>9568.6909999999989</v>
      </c>
      <c r="Q54" s="195">
        <f t="shared" si="15"/>
        <v>10694.911</v>
      </c>
      <c r="R54" s="195">
        <f t="shared" si="15"/>
        <v>11515.28</v>
      </c>
      <c r="S54" s="195">
        <f t="shared" si="15"/>
        <v>13487.69</v>
      </c>
      <c r="T54" s="195">
        <f t="shared" si="15"/>
        <v>12279.047000000002</v>
      </c>
      <c r="U54" s="195">
        <f t="shared" si="15"/>
        <v>12236.627</v>
      </c>
      <c r="V54" s="195">
        <f t="shared" si="15"/>
        <v>19382.563999999998</v>
      </c>
      <c r="W54" s="195">
        <f t="shared" si="15"/>
        <v>20047.338000000003</v>
      </c>
      <c r="X54" s="195">
        <f t="shared" si="15"/>
        <v>16989.442000000003</v>
      </c>
      <c r="Y54" s="195">
        <f t="shared" si="15"/>
        <v>19001.614999999998</v>
      </c>
      <c r="Z54" s="195">
        <f t="shared" si="15"/>
        <v>24110.654999999999</v>
      </c>
      <c r="AA54" s="195">
        <f t="shared" si="15"/>
        <v>25712.127</v>
      </c>
      <c r="AB54" s="195">
        <f t="shared" si="15"/>
        <v>22014.54</v>
      </c>
      <c r="AC54" s="195">
        <f t="shared" si="15"/>
        <v>24782.072</v>
      </c>
      <c r="AD54" s="195">
        <f t="shared" si="15"/>
        <v>23825.203000000001</v>
      </c>
      <c r="AE54" s="195">
        <f t="shared" si="15"/>
        <v>25285.135000000002</v>
      </c>
      <c r="AF54" s="195">
        <f t="shared" si="15"/>
        <v>29937.615000000002</v>
      </c>
      <c r="AG54" s="195">
        <f t="shared" si="15"/>
        <v>33581.309000000001</v>
      </c>
      <c r="AH54" s="195">
        <f t="shared" si="15"/>
        <v>52304.163999999997</v>
      </c>
      <c r="AI54" s="195">
        <f t="shared" si="15"/>
        <v>62619.385999999999</v>
      </c>
      <c r="AJ54" s="195">
        <f t="shared" si="15"/>
        <v>59169.153000000006</v>
      </c>
      <c r="AK54" s="195">
        <f t="shared" si="15"/>
        <v>73370.68299999999</v>
      </c>
      <c r="AL54" s="195">
        <f t="shared" si="15"/>
        <v>83237.126000000004</v>
      </c>
      <c r="AM54" s="195">
        <f t="shared" si="15"/>
        <v>84962.415000000008</v>
      </c>
      <c r="AN54" s="195">
        <f t="shared" si="15"/>
        <v>74796.766000000003</v>
      </c>
      <c r="AO54" s="195">
        <f t="shared" si="15"/>
        <v>83706.202254872333</v>
      </c>
      <c r="AP54" s="195">
        <f t="shared" si="15"/>
        <v>88980.551861526561</v>
      </c>
      <c r="AQ54" s="195">
        <f t="shared" si="15"/>
        <v>90773.013310622293</v>
      </c>
      <c r="AR54" s="195">
        <f t="shared" si="15"/>
        <v>85217.149991117607</v>
      </c>
      <c r="AS54" s="195">
        <f t="shared" si="15"/>
        <v>96833.78052976077</v>
      </c>
      <c r="AT54" s="195">
        <f t="shared" si="15"/>
        <v>106532.99059659378</v>
      </c>
      <c r="AU54" s="195">
        <f t="shared" si="15"/>
        <v>114677.344253759</v>
      </c>
      <c r="AV54" s="195">
        <f t="shared" si="15"/>
        <v>112240.26274069998</v>
      </c>
      <c r="AW54" s="195">
        <f t="shared" si="15"/>
        <v>121540.894243417</v>
      </c>
      <c r="AX54" s="195">
        <f t="shared" si="15"/>
        <v>126949.790232653</v>
      </c>
      <c r="AY54" s="195">
        <f t="shared" si="15"/>
        <v>139040.07969628999</v>
      </c>
      <c r="AZ54" s="195">
        <f t="shared" si="15"/>
        <v>130314.111782215</v>
      </c>
      <c r="BA54" s="195">
        <f t="shared" si="15"/>
        <v>144313.50516548901</v>
      </c>
      <c r="BB54" s="195">
        <f t="shared" si="15"/>
        <v>151528.97628307799</v>
      </c>
    </row>
    <row r="55" spans="2:54" ht="15" customHeight="1" thickBot="1">
      <c r="B55" s="196" t="s">
        <v>101</v>
      </c>
      <c r="C55" s="196" t="s">
        <v>102</v>
      </c>
      <c r="D55" s="197">
        <v>24720.379468000003</v>
      </c>
      <c r="E55" s="197">
        <v>25974.084292000003</v>
      </c>
      <c r="F55" s="197">
        <v>27535.693444800003</v>
      </c>
      <c r="G55" s="197">
        <v>29171.060312000001</v>
      </c>
      <c r="H55" s="197">
        <v>26864.347999999998</v>
      </c>
      <c r="I55" s="197">
        <v>28895.479936752505</v>
      </c>
      <c r="J55" s="197">
        <v>33391.927444305198</v>
      </c>
      <c r="K55" s="197">
        <v>33285.366000000002</v>
      </c>
      <c r="L55" s="197">
        <v>30467.275674991673</v>
      </c>
      <c r="M55" s="197">
        <v>31011.724761845093</v>
      </c>
      <c r="N55" s="197">
        <v>33290.018714002501</v>
      </c>
      <c r="O55" s="197">
        <v>35386.541806379697</v>
      </c>
      <c r="P55" s="197">
        <v>32248.860633357999</v>
      </c>
      <c r="Q55" s="197">
        <v>34403.665551092701</v>
      </c>
      <c r="R55" s="197">
        <v>36263.119139998402</v>
      </c>
      <c r="S55" s="197">
        <v>36213.923887879595</v>
      </c>
      <c r="T55" s="197">
        <v>31998.781319561731</v>
      </c>
      <c r="U55" s="197">
        <v>32825.451204738398</v>
      </c>
      <c r="V55" s="197">
        <v>35462.7305745802</v>
      </c>
      <c r="W55" s="197">
        <v>34864.7050446918</v>
      </c>
      <c r="X55" s="197">
        <v>29862.91472567321</v>
      </c>
      <c r="Y55" s="197">
        <v>31004.696208293906</v>
      </c>
      <c r="Z55" s="197">
        <v>33312.177684063499</v>
      </c>
      <c r="AA55" s="197">
        <v>34095.757067614599</v>
      </c>
      <c r="AB55" s="198">
        <v>30452.26299212774</v>
      </c>
      <c r="AC55" s="198">
        <v>32018.805685827298</v>
      </c>
      <c r="AD55" s="198">
        <v>35481</v>
      </c>
      <c r="AE55" s="198">
        <v>34983.775999999998</v>
      </c>
      <c r="AF55" s="198">
        <v>32416.33</v>
      </c>
      <c r="AG55" s="198">
        <v>34414.71</v>
      </c>
      <c r="AH55" s="198">
        <v>39505.686999999998</v>
      </c>
      <c r="AI55" s="198">
        <v>38860.991000000002</v>
      </c>
      <c r="AJ55" s="198">
        <v>36424.182000000001</v>
      </c>
      <c r="AK55" s="198">
        <v>37824.080000000002</v>
      </c>
      <c r="AL55" s="198">
        <v>41043.202000000005</v>
      </c>
      <c r="AM55" s="198">
        <v>40353.236000000004</v>
      </c>
      <c r="AN55" s="198">
        <v>37382.29</v>
      </c>
      <c r="AO55" s="198">
        <v>36591.605000000003</v>
      </c>
      <c r="AP55" s="198">
        <v>39880.811999999998</v>
      </c>
      <c r="AQ55" s="198">
        <v>40917.446000000004</v>
      </c>
      <c r="AR55" s="198">
        <v>35927.261779671499</v>
      </c>
      <c r="AS55" s="198">
        <v>38386.433417526699</v>
      </c>
      <c r="AT55" s="198">
        <v>43027.037722453802</v>
      </c>
      <c r="AU55" s="198">
        <v>45632.668140361697</v>
      </c>
      <c r="AV55" s="198">
        <v>42865.671298559901</v>
      </c>
      <c r="AW55" s="543">
        <v>44213.054976164298</v>
      </c>
      <c r="AX55" s="543">
        <v>45879.119870105496</v>
      </c>
      <c r="AY55" s="543">
        <v>48734.902925870301</v>
      </c>
      <c r="AZ55" s="543">
        <v>43652.959735488803</v>
      </c>
      <c r="BA55" s="543">
        <v>47920.312139932197</v>
      </c>
      <c r="BB55" s="543">
        <v>49816.522858688499</v>
      </c>
    </row>
    <row r="56" spans="2:54" ht="15" customHeight="1" thickBot="1">
      <c r="B56" s="199" t="s">
        <v>103</v>
      </c>
      <c r="C56" s="199" t="s">
        <v>2061</v>
      </c>
      <c r="D56" s="195">
        <f t="shared" ref="D56:BB56" si="16">SUM(D50,D54,D55)</f>
        <v>688043.28446800006</v>
      </c>
      <c r="E56" s="195">
        <f t="shared" si="16"/>
        <v>716807.18229200016</v>
      </c>
      <c r="F56" s="195">
        <f t="shared" si="16"/>
        <v>775250.76144479995</v>
      </c>
      <c r="G56" s="195">
        <f t="shared" si="16"/>
        <v>811717.67531199998</v>
      </c>
      <c r="H56" s="195">
        <f t="shared" si="16"/>
        <v>751174.473</v>
      </c>
      <c r="I56" s="195">
        <f t="shared" si="16"/>
        <v>756630.83293675247</v>
      </c>
      <c r="J56" s="195">
        <f t="shared" si="16"/>
        <v>841180.69144430524</v>
      </c>
      <c r="K56" s="195">
        <f t="shared" si="16"/>
        <v>871819.65899999999</v>
      </c>
      <c r="L56" s="195">
        <f t="shared" si="16"/>
        <v>792327.4926749916</v>
      </c>
      <c r="M56" s="195">
        <f t="shared" si="16"/>
        <v>796065.24676184508</v>
      </c>
      <c r="N56" s="195">
        <f t="shared" si="16"/>
        <v>852063.52971400251</v>
      </c>
      <c r="O56" s="195">
        <f t="shared" si="16"/>
        <v>919045.72080637957</v>
      </c>
      <c r="P56" s="195">
        <f t="shared" si="16"/>
        <v>806999.32263335795</v>
      </c>
      <c r="Q56" s="195">
        <f t="shared" si="16"/>
        <v>856290.14455109264</v>
      </c>
      <c r="R56" s="195">
        <f t="shared" si="16"/>
        <v>902430.73313999851</v>
      </c>
      <c r="S56" s="195">
        <f t="shared" si="16"/>
        <v>950744.72488787957</v>
      </c>
      <c r="T56" s="195">
        <f t="shared" si="16"/>
        <v>830279.71631956182</v>
      </c>
      <c r="U56" s="195">
        <f t="shared" si="16"/>
        <v>867353.80320473842</v>
      </c>
      <c r="V56" s="195">
        <f t="shared" si="16"/>
        <v>922231.25657458021</v>
      </c>
      <c r="W56" s="195">
        <f t="shared" si="16"/>
        <v>989806.3030446918</v>
      </c>
      <c r="X56" s="195">
        <f t="shared" si="16"/>
        <v>850117.41872567334</v>
      </c>
      <c r="Y56" s="195">
        <f t="shared" si="16"/>
        <v>869611.41020829382</v>
      </c>
      <c r="Z56" s="195">
        <f t="shared" si="16"/>
        <v>946998.16268406366</v>
      </c>
      <c r="AA56" s="195">
        <f t="shared" si="16"/>
        <v>863480.33406761452</v>
      </c>
      <c r="AB56" s="195">
        <f t="shared" si="16"/>
        <v>854010.84199212771</v>
      </c>
      <c r="AC56" s="195">
        <f t="shared" si="16"/>
        <v>889797.05868582719</v>
      </c>
      <c r="AD56" s="195">
        <f t="shared" si="16"/>
        <v>950011.60899999994</v>
      </c>
      <c r="AE56" s="195">
        <f t="shared" si="16"/>
        <v>1066234.7120000001</v>
      </c>
      <c r="AF56" s="195">
        <f t="shared" si="16"/>
        <v>894654.1889999999</v>
      </c>
      <c r="AG56" s="195">
        <f t="shared" si="16"/>
        <v>856860.87199999986</v>
      </c>
      <c r="AH56" s="195">
        <f t="shared" si="16"/>
        <v>942359.55900000012</v>
      </c>
      <c r="AI56" s="195">
        <f t="shared" si="16"/>
        <v>1078941.3489999999</v>
      </c>
      <c r="AJ56" s="195">
        <f t="shared" si="16"/>
        <v>928322.0290000001</v>
      </c>
      <c r="AK56" s="195">
        <f t="shared" si="16"/>
        <v>967619.49199999985</v>
      </c>
      <c r="AL56" s="195">
        <f t="shared" si="16"/>
        <v>1039011.2190000002</v>
      </c>
      <c r="AM56" s="195">
        <f t="shared" si="16"/>
        <v>1041097.0950000001</v>
      </c>
      <c r="AN56" s="195">
        <f t="shared" si="16"/>
        <v>905765.17500000005</v>
      </c>
      <c r="AO56" s="195">
        <f t="shared" si="16"/>
        <v>939049.00825487229</v>
      </c>
      <c r="AP56" s="195">
        <f t="shared" si="16"/>
        <v>1016623.0208615267</v>
      </c>
      <c r="AQ56" s="195">
        <f t="shared" si="16"/>
        <v>1043739.5723106223</v>
      </c>
      <c r="AR56" s="195">
        <f t="shared" si="16"/>
        <v>911651.09877078922</v>
      </c>
      <c r="AS56" s="195">
        <f t="shared" si="16"/>
        <v>972278.46594728727</v>
      </c>
      <c r="AT56" s="195">
        <f t="shared" si="16"/>
        <v>1075018.3453190476</v>
      </c>
      <c r="AU56" s="195">
        <f t="shared" si="16"/>
        <v>1144521.4973941208</v>
      </c>
      <c r="AV56" s="195">
        <f t="shared" si="16"/>
        <v>1008998.9990392599</v>
      </c>
      <c r="AW56" s="195">
        <f t="shared" si="16"/>
        <v>1048003.5222195812</v>
      </c>
      <c r="AX56" s="195">
        <f t="shared" si="16"/>
        <v>1063520.3021027585</v>
      </c>
      <c r="AY56" s="195">
        <f t="shared" si="16"/>
        <v>1154539.6716221604</v>
      </c>
      <c r="AZ56" s="195">
        <f t="shared" si="16"/>
        <v>998074.86351770372</v>
      </c>
      <c r="BA56" s="195">
        <f t="shared" si="16"/>
        <v>1064682.3103054212</v>
      </c>
      <c r="BB56" s="195">
        <f t="shared" si="16"/>
        <v>1122987.7341417668</v>
      </c>
    </row>
    <row r="57" spans="2:54" ht="15" customHeight="1" thickBot="1">
      <c r="B57" s="581" t="s">
        <v>2060</v>
      </c>
      <c r="C57" s="581" t="s">
        <v>2063</v>
      </c>
      <c r="D57" s="203"/>
      <c r="E57" s="203"/>
      <c r="F57" s="203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582"/>
      <c r="AC57" s="582"/>
      <c r="AD57" s="582"/>
      <c r="AE57" s="582"/>
      <c r="AF57" s="582"/>
      <c r="AG57" s="582"/>
      <c r="AH57" s="582"/>
      <c r="AI57" s="582"/>
      <c r="AJ57" s="582"/>
      <c r="AK57" s="582"/>
      <c r="AL57" s="582"/>
      <c r="AM57" s="582"/>
      <c r="AN57" s="582"/>
      <c r="AO57" s="582"/>
      <c r="AP57" s="582"/>
      <c r="AQ57" s="582"/>
      <c r="AR57" s="582"/>
      <c r="AS57" s="582"/>
      <c r="AT57" s="582"/>
      <c r="AU57" s="582"/>
      <c r="AV57" s="582">
        <v>21539.339</v>
      </c>
      <c r="AW57" s="582">
        <v>33157.440999999999</v>
      </c>
      <c r="AX57" s="582">
        <v>41715.913</v>
      </c>
      <c r="AY57" s="582">
        <v>59266.98</v>
      </c>
      <c r="AZ57" s="582">
        <v>57354.460999999996</v>
      </c>
      <c r="BA57" s="582">
        <v>69570.366999999998</v>
      </c>
      <c r="BB57" s="582">
        <v>82697.793999999994</v>
      </c>
    </row>
    <row r="58" spans="2:54" ht="15" customHeight="1" thickBot="1">
      <c r="B58" s="199" t="s">
        <v>104</v>
      </c>
      <c r="C58" s="199" t="s">
        <v>2062</v>
      </c>
      <c r="D58" s="580">
        <f t="shared" ref="D58:BB58" si="17">D56+D57</f>
        <v>688043.28446800006</v>
      </c>
      <c r="E58" s="580">
        <f t="shared" si="17"/>
        <v>716807.18229200016</v>
      </c>
      <c r="F58" s="580">
        <f t="shared" si="17"/>
        <v>775250.76144479995</v>
      </c>
      <c r="G58" s="580">
        <f t="shared" si="17"/>
        <v>811717.67531199998</v>
      </c>
      <c r="H58" s="580">
        <f t="shared" si="17"/>
        <v>751174.473</v>
      </c>
      <c r="I58" s="580">
        <f t="shared" si="17"/>
        <v>756630.83293675247</v>
      </c>
      <c r="J58" s="580">
        <f t="shared" si="17"/>
        <v>841180.69144430524</v>
      </c>
      <c r="K58" s="580">
        <f t="shared" si="17"/>
        <v>871819.65899999999</v>
      </c>
      <c r="L58" s="580">
        <f t="shared" si="17"/>
        <v>792327.4926749916</v>
      </c>
      <c r="M58" s="580">
        <f t="shared" si="17"/>
        <v>796065.24676184508</v>
      </c>
      <c r="N58" s="580">
        <f t="shared" si="17"/>
        <v>852063.52971400251</v>
      </c>
      <c r="O58" s="580">
        <f t="shared" si="17"/>
        <v>919045.72080637957</v>
      </c>
      <c r="P58" s="580">
        <f t="shared" si="17"/>
        <v>806999.32263335795</v>
      </c>
      <c r="Q58" s="580">
        <f t="shared" si="17"/>
        <v>856290.14455109264</v>
      </c>
      <c r="R58" s="580">
        <f t="shared" si="17"/>
        <v>902430.73313999851</v>
      </c>
      <c r="S58" s="580">
        <f t="shared" si="17"/>
        <v>950744.72488787957</v>
      </c>
      <c r="T58" s="580">
        <f t="shared" si="17"/>
        <v>830279.71631956182</v>
      </c>
      <c r="U58" s="580">
        <f t="shared" si="17"/>
        <v>867353.80320473842</v>
      </c>
      <c r="V58" s="580">
        <f t="shared" si="17"/>
        <v>922231.25657458021</v>
      </c>
      <c r="W58" s="580">
        <f t="shared" si="17"/>
        <v>989806.3030446918</v>
      </c>
      <c r="X58" s="580">
        <f t="shared" si="17"/>
        <v>850117.41872567334</v>
      </c>
      <c r="Y58" s="580">
        <f t="shared" si="17"/>
        <v>869611.41020829382</v>
      </c>
      <c r="Z58" s="580">
        <f t="shared" si="17"/>
        <v>946998.16268406366</v>
      </c>
      <c r="AA58" s="580">
        <f t="shared" si="17"/>
        <v>863480.33406761452</v>
      </c>
      <c r="AB58" s="580">
        <f t="shared" si="17"/>
        <v>854010.84199212771</v>
      </c>
      <c r="AC58" s="580">
        <f t="shared" si="17"/>
        <v>889797.05868582719</v>
      </c>
      <c r="AD58" s="580">
        <f t="shared" si="17"/>
        <v>950011.60899999994</v>
      </c>
      <c r="AE58" s="580">
        <f t="shared" si="17"/>
        <v>1066234.7120000001</v>
      </c>
      <c r="AF58" s="580">
        <f t="shared" si="17"/>
        <v>894654.1889999999</v>
      </c>
      <c r="AG58" s="580">
        <f t="shared" si="17"/>
        <v>856860.87199999986</v>
      </c>
      <c r="AH58" s="580">
        <f t="shared" si="17"/>
        <v>942359.55900000012</v>
      </c>
      <c r="AI58" s="580">
        <f t="shared" si="17"/>
        <v>1078941.3489999999</v>
      </c>
      <c r="AJ58" s="580">
        <f t="shared" si="17"/>
        <v>928322.0290000001</v>
      </c>
      <c r="AK58" s="580">
        <f t="shared" si="17"/>
        <v>967619.49199999985</v>
      </c>
      <c r="AL58" s="580">
        <f t="shared" si="17"/>
        <v>1039011.2190000002</v>
      </c>
      <c r="AM58" s="580">
        <f t="shared" si="17"/>
        <v>1041097.0950000001</v>
      </c>
      <c r="AN58" s="580">
        <f t="shared" si="17"/>
        <v>905765.17500000005</v>
      </c>
      <c r="AO58" s="580">
        <f t="shared" si="17"/>
        <v>939049.00825487229</v>
      </c>
      <c r="AP58" s="580">
        <f t="shared" si="17"/>
        <v>1016623.0208615267</v>
      </c>
      <c r="AQ58" s="580">
        <f t="shared" si="17"/>
        <v>1043739.5723106223</v>
      </c>
      <c r="AR58" s="580">
        <f t="shared" si="17"/>
        <v>911651.09877078922</v>
      </c>
      <c r="AS58" s="580">
        <f t="shared" si="17"/>
        <v>972278.46594728727</v>
      </c>
      <c r="AT58" s="580">
        <f t="shared" si="17"/>
        <v>1075018.3453190476</v>
      </c>
      <c r="AU58" s="580">
        <f t="shared" si="17"/>
        <v>1144521.4973941208</v>
      </c>
      <c r="AV58" s="580">
        <f t="shared" si="17"/>
        <v>1030538.3380392599</v>
      </c>
      <c r="AW58" s="580">
        <f t="shared" si="17"/>
        <v>1081160.9632195812</v>
      </c>
      <c r="AX58" s="580">
        <f t="shared" si="17"/>
        <v>1105236.2151027585</v>
      </c>
      <c r="AY58" s="580">
        <f t="shared" si="17"/>
        <v>1213806.6516221603</v>
      </c>
      <c r="AZ58" s="580">
        <f t="shared" si="17"/>
        <v>1055429.3245177036</v>
      </c>
      <c r="BA58" s="580">
        <f t="shared" si="17"/>
        <v>1134252.6773054213</v>
      </c>
      <c r="BB58" s="580">
        <f t="shared" si="17"/>
        <v>1205685.5281417668</v>
      </c>
    </row>
    <row r="59" spans="2:54" ht="15" customHeight="1" thickBot="1">
      <c r="B59" s="581" t="s">
        <v>105</v>
      </c>
      <c r="C59" s="581" t="s">
        <v>2064</v>
      </c>
      <c r="D59" s="203"/>
      <c r="E59" s="203"/>
      <c r="F59" s="203"/>
      <c r="G59" s="203"/>
      <c r="H59" s="203"/>
      <c r="I59" s="203"/>
      <c r="J59" s="203"/>
      <c r="K59" s="203"/>
      <c r="L59" s="203"/>
      <c r="M59" s="203"/>
      <c r="N59" s="203"/>
      <c r="O59" s="203"/>
      <c r="P59" s="203"/>
      <c r="Q59" s="203"/>
      <c r="R59" s="203"/>
      <c r="S59" s="203"/>
      <c r="T59" s="203"/>
      <c r="U59" s="203"/>
      <c r="V59" s="203"/>
      <c r="W59" s="203"/>
      <c r="X59" s="203"/>
      <c r="Y59" s="203"/>
      <c r="Z59" s="203"/>
      <c r="AA59" s="203"/>
      <c r="AB59" s="582"/>
      <c r="AC59" s="582"/>
      <c r="AD59" s="582"/>
      <c r="AE59" s="582"/>
      <c r="AF59" s="582"/>
      <c r="AG59" s="582"/>
      <c r="AH59" s="582"/>
      <c r="AI59" s="582"/>
      <c r="AJ59" s="582"/>
      <c r="AK59" s="582"/>
      <c r="AL59" s="582"/>
      <c r="AM59" s="582"/>
      <c r="AN59" s="582"/>
      <c r="AO59" s="582"/>
      <c r="AP59" s="582"/>
      <c r="AQ59" s="582"/>
      <c r="AR59" s="582"/>
      <c r="AS59" s="582"/>
      <c r="AT59" s="582"/>
      <c r="AU59" s="582"/>
      <c r="AV59" s="582">
        <v>99553.604000000181</v>
      </c>
      <c r="AW59" s="582">
        <v>103671.13099999989</v>
      </c>
      <c r="AX59" s="655">
        <v>119371.81600000008</v>
      </c>
      <c r="AY59" s="582">
        <v>134641.66</v>
      </c>
      <c r="AZ59" s="582">
        <v>109277.68800000013</v>
      </c>
      <c r="BA59" s="582">
        <v>117212.50599999988</v>
      </c>
      <c r="BB59" s="582">
        <v>131830.88199999993</v>
      </c>
    </row>
    <row r="60" spans="2:54" ht="15" customHeight="1" thickBot="1">
      <c r="B60" s="196" t="s">
        <v>106</v>
      </c>
      <c r="C60" s="196" t="s">
        <v>2065</v>
      </c>
      <c r="D60" s="197"/>
      <c r="E60" s="197"/>
      <c r="F60" s="197"/>
      <c r="G60" s="197"/>
      <c r="H60" s="197"/>
      <c r="I60" s="197"/>
      <c r="J60" s="197"/>
      <c r="K60" s="197"/>
      <c r="L60" s="197"/>
      <c r="M60" s="197"/>
      <c r="N60" s="197"/>
      <c r="O60" s="197"/>
      <c r="P60" s="197"/>
      <c r="Q60" s="197"/>
      <c r="R60" s="197"/>
      <c r="S60" s="197"/>
      <c r="T60" s="197"/>
      <c r="U60" s="197"/>
      <c r="V60" s="197"/>
      <c r="W60" s="197"/>
      <c r="X60" s="197"/>
      <c r="Y60" s="197"/>
      <c r="Z60" s="197"/>
      <c r="AA60" s="197"/>
      <c r="AB60" s="198">
        <v>5280.1900000000605</v>
      </c>
      <c r="AC60" s="198">
        <v>6526.2960000000894</v>
      </c>
      <c r="AD60" s="198">
        <v>8084.8080000000773</v>
      </c>
      <c r="AE60" s="198">
        <v>10790.787999999942</v>
      </c>
      <c r="AF60" s="198">
        <v>10093.698000000091</v>
      </c>
      <c r="AG60" s="198">
        <v>12251.595000000088</v>
      </c>
      <c r="AH60" s="198">
        <v>18398.371999999974</v>
      </c>
      <c r="AI60" s="198">
        <v>25055.689000000013</v>
      </c>
      <c r="AJ60" s="198">
        <v>25126.626000000047</v>
      </c>
      <c r="AK60" s="198">
        <v>29028.685999999987</v>
      </c>
      <c r="AL60" s="198">
        <v>36829.887000000104</v>
      </c>
      <c r="AM60" s="198">
        <v>44230.668000000063</v>
      </c>
      <c r="AN60" s="198">
        <v>43138.319000000018</v>
      </c>
      <c r="AO60" s="198">
        <v>51859.6599999998</v>
      </c>
      <c r="AP60" s="198">
        <v>66848.037000000244</v>
      </c>
      <c r="AQ60" s="198">
        <v>77827.670999999973</v>
      </c>
      <c r="AR60" s="198">
        <v>73429.679999999906</v>
      </c>
      <c r="AS60" s="198">
        <v>90670.601999999999</v>
      </c>
      <c r="AT60" s="198">
        <v>118629.57799999999</v>
      </c>
      <c r="AU60" s="198">
        <v>135087.86200000008</v>
      </c>
      <c r="AV60" s="543">
        <f t="shared" ref="AV60:BA60" si="18">+AV59+AV57</f>
        <v>121092.94300000017</v>
      </c>
      <c r="AW60" s="543">
        <f t="shared" si="18"/>
        <v>136828.5719999999</v>
      </c>
      <c r="AX60" s="543">
        <f t="shared" si="18"/>
        <v>161087.72900000008</v>
      </c>
      <c r="AY60" s="543">
        <f t="shared" si="18"/>
        <v>193908.64</v>
      </c>
      <c r="AZ60" s="543">
        <f t="shared" si="18"/>
        <v>166632.14900000012</v>
      </c>
      <c r="BA60" s="543">
        <f t="shared" si="18"/>
        <v>186782.87299999988</v>
      </c>
      <c r="BB60" s="543">
        <f>+BB59+BB57</f>
        <v>214528.67599999992</v>
      </c>
    </row>
    <row r="61" spans="2:54" ht="15" customHeight="1" thickBot="1">
      <c r="B61" s="199" t="s">
        <v>114</v>
      </c>
      <c r="C61" s="199" t="s">
        <v>115</v>
      </c>
      <c r="D61" s="195">
        <f t="shared" ref="D61:BB61" si="19">D56+D60</f>
        <v>688043.28446800006</v>
      </c>
      <c r="E61" s="195">
        <f t="shared" si="19"/>
        <v>716807.18229200016</v>
      </c>
      <c r="F61" s="195">
        <f t="shared" si="19"/>
        <v>775250.76144479995</v>
      </c>
      <c r="G61" s="195">
        <f t="shared" si="19"/>
        <v>811717.67531199998</v>
      </c>
      <c r="H61" s="195">
        <f t="shared" si="19"/>
        <v>751174.473</v>
      </c>
      <c r="I61" s="195">
        <f t="shared" si="19"/>
        <v>756630.83293675247</v>
      </c>
      <c r="J61" s="195">
        <f t="shared" si="19"/>
        <v>841180.69144430524</v>
      </c>
      <c r="K61" s="195">
        <f t="shared" si="19"/>
        <v>871819.65899999999</v>
      </c>
      <c r="L61" s="195">
        <f t="shared" si="19"/>
        <v>792327.4926749916</v>
      </c>
      <c r="M61" s="195">
        <f t="shared" si="19"/>
        <v>796065.24676184508</v>
      </c>
      <c r="N61" s="195">
        <f t="shared" si="19"/>
        <v>852063.52971400251</v>
      </c>
      <c r="O61" s="195">
        <f t="shared" si="19"/>
        <v>919045.72080637957</v>
      </c>
      <c r="P61" s="195">
        <f t="shared" si="19"/>
        <v>806999.32263335795</v>
      </c>
      <c r="Q61" s="195">
        <f t="shared" si="19"/>
        <v>856290.14455109264</v>
      </c>
      <c r="R61" s="195">
        <f t="shared" si="19"/>
        <v>902430.73313999851</v>
      </c>
      <c r="S61" s="195">
        <f t="shared" si="19"/>
        <v>950744.72488787957</v>
      </c>
      <c r="T61" s="195">
        <f t="shared" si="19"/>
        <v>830279.71631956182</v>
      </c>
      <c r="U61" s="195">
        <f t="shared" si="19"/>
        <v>867353.80320473842</v>
      </c>
      <c r="V61" s="195">
        <f t="shared" si="19"/>
        <v>922231.25657458021</v>
      </c>
      <c r="W61" s="195">
        <f t="shared" si="19"/>
        <v>989806.3030446918</v>
      </c>
      <c r="X61" s="195">
        <f t="shared" si="19"/>
        <v>850117.41872567334</v>
      </c>
      <c r="Y61" s="195">
        <f t="shared" si="19"/>
        <v>869611.41020829382</v>
      </c>
      <c r="Z61" s="195">
        <f t="shared" si="19"/>
        <v>946998.16268406366</v>
      </c>
      <c r="AA61" s="195">
        <f t="shared" si="19"/>
        <v>863480.33406761452</v>
      </c>
      <c r="AB61" s="195">
        <f t="shared" si="19"/>
        <v>859291.03199212777</v>
      </c>
      <c r="AC61" s="195">
        <f t="shared" si="19"/>
        <v>896323.35468582727</v>
      </c>
      <c r="AD61" s="195">
        <f t="shared" si="19"/>
        <v>958096.41700000002</v>
      </c>
      <c r="AE61" s="195">
        <f t="shared" si="19"/>
        <v>1077025.5</v>
      </c>
      <c r="AF61" s="195">
        <f t="shared" si="19"/>
        <v>904747.88699999999</v>
      </c>
      <c r="AG61" s="195">
        <f t="shared" si="19"/>
        <v>869112.46699999995</v>
      </c>
      <c r="AH61" s="195">
        <f t="shared" si="19"/>
        <v>960757.9310000001</v>
      </c>
      <c r="AI61" s="195">
        <f t="shared" si="19"/>
        <v>1103997.0379999999</v>
      </c>
      <c r="AJ61" s="195">
        <f t="shared" si="19"/>
        <v>953448.65500000014</v>
      </c>
      <c r="AK61" s="195">
        <f t="shared" si="19"/>
        <v>996648.17799999984</v>
      </c>
      <c r="AL61" s="195">
        <f t="shared" si="19"/>
        <v>1075841.1060000001</v>
      </c>
      <c r="AM61" s="195">
        <f t="shared" si="19"/>
        <v>1085327.7630000003</v>
      </c>
      <c r="AN61" s="195">
        <f t="shared" si="19"/>
        <v>948903.49400000006</v>
      </c>
      <c r="AO61" s="195">
        <f t="shared" si="19"/>
        <v>990908.66825487209</v>
      </c>
      <c r="AP61" s="195">
        <f t="shared" si="19"/>
        <v>1083471.057861527</v>
      </c>
      <c r="AQ61" s="195">
        <f t="shared" si="19"/>
        <v>1121567.2433106224</v>
      </c>
      <c r="AR61" s="195">
        <f t="shared" si="19"/>
        <v>985080.77877078915</v>
      </c>
      <c r="AS61" s="195">
        <f t="shared" si="19"/>
        <v>1062949.0679472873</v>
      </c>
      <c r="AT61" s="195">
        <f t="shared" si="19"/>
        <v>1193647.9233190475</v>
      </c>
      <c r="AU61" s="195">
        <f t="shared" si="19"/>
        <v>1279609.359394121</v>
      </c>
      <c r="AV61" s="195">
        <f t="shared" si="19"/>
        <v>1130091.9420392599</v>
      </c>
      <c r="AW61" s="195">
        <f t="shared" si="19"/>
        <v>1184832.094219581</v>
      </c>
      <c r="AX61" s="195">
        <f t="shared" si="19"/>
        <v>1224608.0311027586</v>
      </c>
      <c r="AY61" s="195">
        <f t="shared" si="19"/>
        <v>1348448.3116221605</v>
      </c>
      <c r="AZ61" s="195">
        <f t="shared" si="19"/>
        <v>1164707.0125177039</v>
      </c>
      <c r="BA61" s="195">
        <f t="shared" si="19"/>
        <v>1251465.1833054211</v>
      </c>
      <c r="BB61" s="195">
        <f t="shared" si="19"/>
        <v>1337516.4101417668</v>
      </c>
    </row>
    <row r="62" spans="2:54" ht="15" customHeight="1">
      <c r="B62" s="204"/>
      <c r="C62" s="204"/>
      <c r="D62" s="205"/>
      <c r="E62" s="205"/>
      <c r="F62" s="205"/>
      <c r="G62" s="205"/>
      <c r="H62" s="205"/>
      <c r="I62" s="205"/>
      <c r="J62" s="205"/>
      <c r="K62" s="205"/>
      <c r="L62" s="205"/>
      <c r="M62" s="205"/>
      <c r="N62" s="205"/>
      <c r="O62" s="205"/>
      <c r="P62" s="205"/>
      <c r="Q62" s="205"/>
      <c r="R62" s="205"/>
      <c r="S62" s="205"/>
      <c r="T62" s="205"/>
      <c r="U62" s="205"/>
      <c r="V62" s="205"/>
      <c r="W62" s="205"/>
      <c r="X62" s="205"/>
      <c r="Y62" s="205"/>
      <c r="Z62" s="205"/>
      <c r="AA62" s="205"/>
      <c r="AB62" s="205"/>
      <c r="AC62" s="205"/>
      <c r="AD62" s="205"/>
      <c r="AE62" s="205"/>
      <c r="AF62" s="205"/>
      <c r="AG62" s="205"/>
      <c r="AH62" s="205"/>
      <c r="AI62" s="205"/>
      <c r="AJ62" s="205"/>
      <c r="AK62" s="205"/>
      <c r="AL62" s="205"/>
      <c r="AM62" s="205"/>
      <c r="AN62" s="205"/>
      <c r="AO62" s="205"/>
      <c r="AP62" s="205"/>
      <c r="AQ62" s="205"/>
      <c r="AR62" s="205"/>
      <c r="AS62" s="205"/>
      <c r="AT62" s="205"/>
      <c r="AU62" s="205"/>
      <c r="AV62" s="205"/>
      <c r="AW62" s="205"/>
      <c r="AX62" s="205"/>
      <c r="AY62" s="205"/>
      <c r="AZ62" s="205"/>
      <c r="BA62" s="205"/>
      <c r="BB62" s="205"/>
    </row>
    <row r="63" spans="2:54" ht="15" customHeight="1">
      <c r="B63" s="190" t="s">
        <v>116</v>
      </c>
      <c r="C63" s="190" t="s">
        <v>116</v>
      </c>
      <c r="D63" s="191"/>
      <c r="E63" s="191"/>
      <c r="F63" s="191"/>
      <c r="G63" s="191"/>
      <c r="H63" s="191"/>
      <c r="I63" s="191"/>
      <c r="J63" s="191"/>
      <c r="K63" s="191"/>
      <c r="L63" s="191"/>
      <c r="M63" s="191"/>
      <c r="N63" s="191"/>
      <c r="O63" s="191"/>
      <c r="P63" s="191"/>
      <c r="Q63" s="191"/>
      <c r="R63" s="191"/>
      <c r="S63" s="191"/>
      <c r="T63" s="191"/>
      <c r="U63" s="191"/>
      <c r="V63" s="191"/>
      <c r="W63" s="191"/>
      <c r="X63" s="191"/>
      <c r="Y63" s="191"/>
      <c r="Z63" s="191"/>
      <c r="AA63" s="191"/>
      <c r="AB63" s="191"/>
      <c r="AC63" s="191"/>
      <c r="AD63" s="191"/>
      <c r="AE63" s="191"/>
      <c r="AF63" s="191"/>
      <c r="AG63" s="191"/>
      <c r="AH63" s="191"/>
      <c r="AI63" s="191"/>
      <c r="AJ63" s="191"/>
      <c r="AK63" s="191"/>
      <c r="AL63" s="191"/>
      <c r="AM63" s="191"/>
      <c r="AN63" s="191"/>
      <c r="AO63" s="191"/>
      <c r="AP63" s="191"/>
      <c r="AQ63" s="191"/>
      <c r="AR63" s="191"/>
      <c r="AS63" s="191"/>
      <c r="AT63" s="191"/>
      <c r="AU63" s="191"/>
      <c r="AV63" s="191"/>
      <c r="AW63" s="191"/>
      <c r="AX63" s="191"/>
      <c r="AY63" s="191"/>
      <c r="AZ63" s="191"/>
      <c r="BA63" s="191"/>
      <c r="BB63" s="191"/>
    </row>
    <row r="64" spans="2:54" ht="15" customHeight="1">
      <c r="B64" s="192" t="s">
        <v>90</v>
      </c>
      <c r="C64" s="192" t="s">
        <v>91</v>
      </c>
      <c r="D64" s="193"/>
      <c r="E64" s="193"/>
      <c r="F64" s="193"/>
      <c r="G64" s="193"/>
      <c r="H64" s="193"/>
      <c r="I64" s="193"/>
      <c r="J64" s="193"/>
      <c r="K64" s="193"/>
      <c r="L64" s="193"/>
      <c r="M64" s="193"/>
      <c r="N64" s="193"/>
      <c r="O64" s="193"/>
      <c r="P64" s="193"/>
      <c r="Q64" s="193"/>
      <c r="R64" s="193"/>
      <c r="S64" s="193"/>
      <c r="T64" s="193">
        <v>353113</v>
      </c>
      <c r="U64" s="193">
        <v>361697</v>
      </c>
      <c r="V64" s="193">
        <v>321031</v>
      </c>
      <c r="W64" s="193">
        <v>356332</v>
      </c>
      <c r="X64" s="193">
        <v>372330.20500000002</v>
      </c>
      <c r="Y64" s="201">
        <v>359735.98800000001</v>
      </c>
      <c r="Z64" s="201">
        <v>340106.68299999996</v>
      </c>
      <c r="AA64" s="201">
        <v>361533.65099999995</v>
      </c>
      <c r="AB64" s="201">
        <v>377659.95799999998</v>
      </c>
      <c r="AC64" s="201">
        <v>177485.14130454609</v>
      </c>
      <c r="AD64" s="201">
        <v>329476.266</v>
      </c>
      <c r="AE64" s="201">
        <v>377288.39</v>
      </c>
      <c r="AF64" s="201">
        <v>400832.58100000001</v>
      </c>
      <c r="AG64" s="201">
        <v>395654.11499999999</v>
      </c>
      <c r="AH64" s="201">
        <v>347084.42299999995</v>
      </c>
      <c r="AI64" s="201">
        <v>402759.76699999993</v>
      </c>
      <c r="AJ64" s="201">
        <v>418106.26899999997</v>
      </c>
      <c r="AK64" s="201">
        <v>400848.22899999999</v>
      </c>
      <c r="AL64" s="201">
        <v>355435.78399999999</v>
      </c>
      <c r="AM64" s="201">
        <v>411797.40700000001</v>
      </c>
      <c r="AN64" s="201">
        <v>428387.50199999998</v>
      </c>
      <c r="AO64" s="201">
        <v>401096.23199999996</v>
      </c>
      <c r="AP64" s="201">
        <v>375250.02600000001</v>
      </c>
      <c r="AQ64" s="201">
        <v>426792.65900000004</v>
      </c>
      <c r="AR64" s="201">
        <v>458459.39</v>
      </c>
      <c r="AS64" s="201">
        <v>450782.984</v>
      </c>
      <c r="AT64" s="201">
        <v>393975.04399999999</v>
      </c>
      <c r="AU64" s="201">
        <v>454893.44799999997</v>
      </c>
      <c r="AV64" s="201">
        <v>506224.39799999999</v>
      </c>
      <c r="AW64" s="201">
        <v>492014.28600000002</v>
      </c>
      <c r="AX64" s="201">
        <v>424474.408</v>
      </c>
      <c r="AY64" s="201">
        <v>476926.82799999998</v>
      </c>
      <c r="AZ64" s="201">
        <v>510839.90500000003</v>
      </c>
      <c r="BA64" s="201">
        <v>499805.04074999999</v>
      </c>
      <c r="BB64" s="201">
        <v>431264.59700000001</v>
      </c>
    </row>
    <row r="65" spans="2:54" ht="15" customHeight="1">
      <c r="B65" s="192" t="s">
        <v>92</v>
      </c>
      <c r="C65" s="192" t="s">
        <v>92</v>
      </c>
      <c r="D65" s="193"/>
      <c r="E65" s="193"/>
      <c r="F65" s="193"/>
      <c r="G65" s="193"/>
      <c r="H65" s="193"/>
      <c r="I65" s="193"/>
      <c r="J65" s="193"/>
      <c r="K65" s="193"/>
      <c r="L65" s="193"/>
      <c r="M65" s="193"/>
      <c r="N65" s="193"/>
      <c r="O65" s="193"/>
      <c r="P65" s="193"/>
      <c r="Q65" s="193"/>
      <c r="R65" s="193"/>
      <c r="S65" s="193"/>
      <c r="T65" s="193">
        <v>133113</v>
      </c>
      <c r="U65" s="193">
        <v>126738</v>
      </c>
      <c r="V65" s="193">
        <v>72020</v>
      </c>
      <c r="W65" s="193">
        <v>70539</v>
      </c>
      <c r="X65" s="193">
        <v>63255.251000000004</v>
      </c>
      <c r="Y65" s="201">
        <v>61603.025999999998</v>
      </c>
      <c r="Z65" s="201">
        <v>62393.619999999995</v>
      </c>
      <c r="AA65" s="201">
        <v>59119.837999999996</v>
      </c>
      <c r="AB65" s="201">
        <v>56185.718999999997</v>
      </c>
      <c r="AC65" s="201">
        <v>46906.13543702945</v>
      </c>
      <c r="AD65" s="201">
        <v>48416.821000000004</v>
      </c>
      <c r="AE65" s="201">
        <v>43407.75</v>
      </c>
      <c r="AF65" s="201">
        <v>37605.023000000001</v>
      </c>
      <c r="AG65" s="201">
        <v>33384.647000000004</v>
      </c>
      <c r="AH65" s="201">
        <v>37087.857000000004</v>
      </c>
      <c r="AI65" s="201">
        <v>34321.345000000001</v>
      </c>
      <c r="AJ65" s="201">
        <v>34446.781000000003</v>
      </c>
      <c r="AK65" s="201">
        <v>32528.164999999994</v>
      </c>
      <c r="AL65" s="201">
        <v>34155.512999999999</v>
      </c>
      <c r="AM65" s="201">
        <v>31411.432999999997</v>
      </c>
      <c r="AN65" s="201">
        <v>31183.008000000002</v>
      </c>
      <c r="AO65" s="201">
        <v>31050.876</v>
      </c>
      <c r="AP65" s="201">
        <v>31526.845000000001</v>
      </c>
      <c r="AQ65" s="201">
        <v>29387.778999999999</v>
      </c>
      <c r="AR65" s="201">
        <v>27923.787</v>
      </c>
      <c r="AS65" s="201">
        <v>27767.824999999997</v>
      </c>
      <c r="AT65" s="201">
        <v>28370.948</v>
      </c>
      <c r="AU65" s="201">
        <v>24364.782999999999</v>
      </c>
      <c r="AV65" s="201">
        <v>23422.332999999999</v>
      </c>
      <c r="AW65" s="201">
        <v>22141.598000000002</v>
      </c>
      <c r="AX65" s="201">
        <v>20929.324000000001</v>
      </c>
      <c r="AY65" s="201">
        <v>17587.161</v>
      </c>
      <c r="AZ65" s="201">
        <v>17472.144</v>
      </c>
      <c r="BA65" s="201">
        <v>17696.756000000001</v>
      </c>
      <c r="BB65" s="201">
        <v>16320.993000000002</v>
      </c>
    </row>
    <row r="66" spans="2:54" ht="15" customHeight="1">
      <c r="B66" s="192" t="s">
        <v>93</v>
      </c>
      <c r="C66" s="192" t="s">
        <v>94</v>
      </c>
      <c r="D66" s="193"/>
      <c r="E66" s="193"/>
      <c r="F66" s="193"/>
      <c r="G66" s="193"/>
      <c r="H66" s="193"/>
      <c r="I66" s="193"/>
      <c r="J66" s="193"/>
      <c r="K66" s="193"/>
      <c r="L66" s="193"/>
      <c r="M66" s="193"/>
      <c r="N66" s="193"/>
      <c r="O66" s="193"/>
      <c r="P66" s="193"/>
      <c r="Q66" s="193"/>
      <c r="R66" s="193"/>
      <c r="S66" s="193"/>
      <c r="T66" s="193">
        <v>185917</v>
      </c>
      <c r="U66" s="193">
        <v>175795</v>
      </c>
      <c r="V66" s="193">
        <v>157953</v>
      </c>
      <c r="W66" s="193">
        <v>178770</v>
      </c>
      <c r="X66" s="193">
        <v>180274.86900000001</v>
      </c>
      <c r="Y66" s="201">
        <v>167835.52499999999</v>
      </c>
      <c r="Z66" s="201">
        <v>162491.48699999999</v>
      </c>
      <c r="AA66" s="201">
        <v>179566.42300000001</v>
      </c>
      <c r="AB66" s="201">
        <v>176589.99600000001</v>
      </c>
      <c r="AC66" s="201">
        <v>139761.25800918782</v>
      </c>
      <c r="AD66" s="201">
        <v>158770.549</v>
      </c>
      <c r="AE66" s="201">
        <v>182615.48499999999</v>
      </c>
      <c r="AF66" s="201">
        <v>176460.82699999999</v>
      </c>
      <c r="AG66" s="201">
        <v>126680.963</v>
      </c>
      <c r="AH66" s="201">
        <v>132568.14199999999</v>
      </c>
      <c r="AI66" s="201">
        <v>165835.94</v>
      </c>
      <c r="AJ66" s="201">
        <v>164769.07</v>
      </c>
      <c r="AK66" s="201">
        <v>151962.39221830532</v>
      </c>
      <c r="AL66" s="201">
        <v>149269.23800000001</v>
      </c>
      <c r="AM66" s="201">
        <v>172921.90400000001</v>
      </c>
      <c r="AN66" s="201">
        <v>166683.853</v>
      </c>
      <c r="AO66" s="201">
        <v>153497.91100000002</v>
      </c>
      <c r="AP66" s="201">
        <v>147258.22899999999</v>
      </c>
      <c r="AQ66" s="201">
        <v>160163.927</v>
      </c>
      <c r="AR66" s="201">
        <v>160654.72500000001</v>
      </c>
      <c r="AS66" s="201">
        <v>148612.28200000001</v>
      </c>
      <c r="AT66" s="201">
        <v>127908.50399999999</v>
      </c>
      <c r="AU66" s="201">
        <v>134706.34599999999</v>
      </c>
      <c r="AV66" s="201">
        <v>135450.21599999999</v>
      </c>
      <c r="AW66" s="201">
        <v>127308.571</v>
      </c>
      <c r="AX66" s="201">
        <v>111300.97100000001</v>
      </c>
      <c r="AY66" s="201">
        <v>119763.588</v>
      </c>
      <c r="AZ66" s="201">
        <v>117688.64</v>
      </c>
      <c r="BA66" s="201">
        <v>112505.575</v>
      </c>
      <c r="BB66" s="201">
        <v>98479.248999999996</v>
      </c>
    </row>
    <row r="67" spans="2:54" ht="15" customHeight="1" thickBot="1">
      <c r="B67" s="192" t="s">
        <v>95</v>
      </c>
      <c r="C67" s="192" t="s">
        <v>96</v>
      </c>
      <c r="D67" s="193"/>
      <c r="E67" s="193"/>
      <c r="F67" s="193"/>
      <c r="G67" s="193"/>
      <c r="H67" s="193"/>
      <c r="I67" s="193"/>
      <c r="J67" s="193"/>
      <c r="K67" s="193"/>
      <c r="L67" s="193"/>
      <c r="M67" s="193"/>
      <c r="N67" s="193"/>
      <c r="O67" s="193"/>
      <c r="P67" s="193"/>
      <c r="Q67" s="193"/>
      <c r="R67" s="193"/>
      <c r="S67" s="193"/>
      <c r="T67" s="193">
        <v>223851</v>
      </c>
      <c r="U67" s="193">
        <v>216600</v>
      </c>
      <c r="V67" s="193">
        <v>178068</v>
      </c>
      <c r="W67" s="193">
        <v>195601</v>
      </c>
      <c r="X67" s="193">
        <v>220514.75599999999</v>
      </c>
      <c r="Y67" s="201">
        <v>176694.10099999997</v>
      </c>
      <c r="Z67" s="201">
        <v>182999.88199999998</v>
      </c>
      <c r="AA67" s="201">
        <v>239486.655</v>
      </c>
      <c r="AB67" s="201">
        <v>211543.54499999998</v>
      </c>
      <c r="AC67" s="201">
        <v>141605.34624923655</v>
      </c>
      <c r="AD67" s="201">
        <v>178061.73699999999</v>
      </c>
      <c r="AE67" s="201">
        <v>268107.45699999999</v>
      </c>
      <c r="AF67" s="201">
        <v>241277.02400000003</v>
      </c>
      <c r="AG67" s="201">
        <v>178221.89300000001</v>
      </c>
      <c r="AH67" s="201">
        <v>175199.32399999999</v>
      </c>
      <c r="AI67" s="201">
        <v>241029.18999999997</v>
      </c>
      <c r="AJ67" s="201">
        <v>238274.592</v>
      </c>
      <c r="AK67" s="201">
        <v>182606.14399999997</v>
      </c>
      <c r="AL67" s="201">
        <v>184497.64499999999</v>
      </c>
      <c r="AM67" s="201">
        <v>265034.35100000002</v>
      </c>
      <c r="AN67" s="201">
        <v>229312.72899999999</v>
      </c>
      <c r="AO67" s="201">
        <v>181745.571</v>
      </c>
      <c r="AP67" s="201">
        <v>179057.68700000001</v>
      </c>
      <c r="AQ67" s="201">
        <v>229230.37100000004</v>
      </c>
      <c r="AR67" s="201">
        <v>228310.67200000002</v>
      </c>
      <c r="AS67" s="201">
        <v>205825.39199999999</v>
      </c>
      <c r="AT67" s="201">
        <v>185861.22799999997</v>
      </c>
      <c r="AU67" s="201">
        <v>244610.41700000002</v>
      </c>
      <c r="AV67" s="201">
        <v>240485.08000000016</v>
      </c>
      <c r="AW67" s="201">
        <v>194233.47099999979</v>
      </c>
      <c r="AX67" s="201">
        <v>175657.50199999998</v>
      </c>
      <c r="AY67" s="201">
        <v>213537.06199999992</v>
      </c>
      <c r="AZ67" s="201">
        <v>180329.43799999997</v>
      </c>
      <c r="BA67" s="201">
        <v>168618.77399999998</v>
      </c>
      <c r="BB67" s="201">
        <v>145596.12900000007</v>
      </c>
    </row>
    <row r="68" spans="2:54" ht="15" customHeight="1" thickBot="1">
      <c r="B68" s="199" t="s">
        <v>97</v>
      </c>
      <c r="C68" s="194" t="s">
        <v>98</v>
      </c>
      <c r="D68" s="202"/>
      <c r="E68" s="202"/>
      <c r="F68" s="202"/>
      <c r="G68" s="202"/>
      <c r="H68" s="202"/>
      <c r="I68" s="202"/>
      <c r="J68" s="202"/>
      <c r="K68" s="202"/>
      <c r="L68" s="202"/>
      <c r="M68" s="202"/>
      <c r="N68" s="202"/>
      <c r="O68" s="202"/>
      <c r="P68" s="202"/>
      <c r="Q68" s="202"/>
      <c r="R68" s="202"/>
      <c r="S68" s="202"/>
      <c r="T68" s="202">
        <f>SUM(T64:T67)</f>
        <v>895994</v>
      </c>
      <c r="U68" s="202">
        <f t="shared" ref="U68:BB68" si="20">SUM(U64:U67)</f>
        <v>880830</v>
      </c>
      <c r="V68" s="202">
        <f t="shared" si="20"/>
        <v>729072</v>
      </c>
      <c r="W68" s="202">
        <f t="shared" si="20"/>
        <v>801242</v>
      </c>
      <c r="X68" s="202">
        <f t="shared" si="20"/>
        <v>836375.08100000001</v>
      </c>
      <c r="Y68" s="202">
        <f t="shared" si="20"/>
        <v>765868.6399999999</v>
      </c>
      <c r="Z68" s="202">
        <f t="shared" si="20"/>
        <v>747991.6719999999</v>
      </c>
      <c r="AA68" s="202">
        <f t="shared" si="20"/>
        <v>839706.56700000004</v>
      </c>
      <c r="AB68" s="202">
        <f t="shared" si="20"/>
        <v>821979.21799999988</v>
      </c>
      <c r="AC68" s="202">
        <f t="shared" si="20"/>
        <v>505757.88099999988</v>
      </c>
      <c r="AD68" s="202">
        <f t="shared" si="20"/>
        <v>714725.37299999991</v>
      </c>
      <c r="AE68" s="202">
        <f t="shared" si="20"/>
        <v>871419.08199999994</v>
      </c>
      <c r="AF68" s="202">
        <f t="shared" si="20"/>
        <v>856175.45500000007</v>
      </c>
      <c r="AG68" s="202">
        <f t="shared" si="20"/>
        <v>733941.61800000002</v>
      </c>
      <c r="AH68" s="202">
        <f t="shared" si="20"/>
        <v>691939.74599999993</v>
      </c>
      <c r="AI68" s="202">
        <f t="shared" si="20"/>
        <v>843946.24199999985</v>
      </c>
      <c r="AJ68" s="202">
        <f t="shared" si="20"/>
        <v>855596.71200000006</v>
      </c>
      <c r="AK68" s="202">
        <f t="shared" si="20"/>
        <v>767944.93021830532</v>
      </c>
      <c r="AL68" s="202">
        <f t="shared" si="20"/>
        <v>723358.17999999993</v>
      </c>
      <c r="AM68" s="202">
        <f t="shared" si="20"/>
        <v>881165.09500000009</v>
      </c>
      <c r="AN68" s="202">
        <f t="shared" si="20"/>
        <v>855567.09199999995</v>
      </c>
      <c r="AO68" s="202">
        <f t="shared" si="20"/>
        <v>767390.59</v>
      </c>
      <c r="AP68" s="202">
        <f t="shared" si="20"/>
        <v>733092.78700000013</v>
      </c>
      <c r="AQ68" s="202">
        <f t="shared" si="20"/>
        <v>845574.73600000003</v>
      </c>
      <c r="AR68" s="202">
        <f t="shared" si="20"/>
        <v>875348.57400000002</v>
      </c>
      <c r="AS68" s="202">
        <f t="shared" si="20"/>
        <v>832988.48300000001</v>
      </c>
      <c r="AT68" s="202">
        <f t="shared" si="20"/>
        <v>736115.72399999993</v>
      </c>
      <c r="AU68" s="202">
        <f t="shared" si="20"/>
        <v>858574.99399999995</v>
      </c>
      <c r="AV68" s="202">
        <f t="shared" si="20"/>
        <v>905582.02700000023</v>
      </c>
      <c r="AW68" s="202">
        <f t="shared" si="20"/>
        <v>835697.92599999986</v>
      </c>
      <c r="AX68" s="195">
        <f t="shared" si="20"/>
        <v>732362.20499999996</v>
      </c>
      <c r="AY68" s="195">
        <f t="shared" si="20"/>
        <v>827814.63899999997</v>
      </c>
      <c r="AZ68" s="195">
        <f t="shared" si="20"/>
        <v>826330.12699999998</v>
      </c>
      <c r="BA68" s="195">
        <f t="shared" si="20"/>
        <v>798626.14574999991</v>
      </c>
      <c r="BB68" s="195">
        <f t="shared" si="20"/>
        <v>691660.96800000011</v>
      </c>
    </row>
    <row r="69" spans="2:54" ht="15" customHeight="1">
      <c r="B69" s="192" t="s">
        <v>92</v>
      </c>
      <c r="C69" s="192" t="s">
        <v>92</v>
      </c>
      <c r="D69" s="193"/>
      <c r="E69" s="193"/>
      <c r="F69" s="193"/>
      <c r="G69" s="193"/>
      <c r="H69" s="193"/>
      <c r="I69" s="193"/>
      <c r="J69" s="193"/>
      <c r="K69" s="193"/>
      <c r="L69" s="193"/>
      <c r="M69" s="193"/>
      <c r="N69" s="193"/>
      <c r="O69" s="193"/>
      <c r="P69" s="193"/>
      <c r="Q69" s="193"/>
      <c r="R69" s="193"/>
      <c r="S69" s="193"/>
      <c r="T69" s="193">
        <v>33468</v>
      </c>
      <c r="U69" s="193">
        <v>33597</v>
      </c>
      <c r="V69" s="193">
        <v>90303</v>
      </c>
      <c r="W69" s="193">
        <v>86152</v>
      </c>
      <c r="X69" s="193">
        <v>85541.035999999993</v>
      </c>
      <c r="Y69" s="201">
        <v>97170.813999999998</v>
      </c>
      <c r="Z69" s="201">
        <v>101918.588</v>
      </c>
      <c r="AA69" s="201">
        <v>111713.955</v>
      </c>
      <c r="AB69" s="201">
        <v>112466.72200000001</v>
      </c>
      <c r="AC69" s="201">
        <v>109290</v>
      </c>
      <c r="AD69" s="201">
        <v>118811.17692717674</v>
      </c>
      <c r="AE69" s="201">
        <v>133031.84165963216</v>
      </c>
      <c r="AF69" s="201">
        <v>134795.85798265255</v>
      </c>
      <c r="AG69" s="201">
        <v>119324.13643382784</v>
      </c>
      <c r="AH69" s="201">
        <v>148253.82217082707</v>
      </c>
      <c r="AI69" s="201">
        <v>138931.09323171285</v>
      </c>
      <c r="AJ69" s="201">
        <v>138206.66971238056</v>
      </c>
      <c r="AK69" s="201">
        <v>132132.77970716092</v>
      </c>
      <c r="AL69" s="201">
        <v>132806.32382597166</v>
      </c>
      <c r="AM69" s="201">
        <v>136690.89440622952</v>
      </c>
      <c r="AN69" s="201">
        <v>142394.11087981422</v>
      </c>
      <c r="AO69" s="201">
        <v>142529.71801253065</v>
      </c>
      <c r="AP69" s="201">
        <v>141129.06419459108</v>
      </c>
      <c r="AQ69" s="201">
        <v>141120.31397948964</v>
      </c>
      <c r="AR69" s="201">
        <v>151846.82530078752</v>
      </c>
      <c r="AS69" s="201">
        <v>149976.68301715783</v>
      </c>
      <c r="AT69" s="201">
        <v>164012.16741637449</v>
      </c>
      <c r="AU69" s="201">
        <v>160696.22799104199</v>
      </c>
      <c r="AV69" s="201">
        <v>170102.866396433</v>
      </c>
      <c r="AW69" s="201">
        <v>168118.88136696001</v>
      </c>
      <c r="AX69" s="193">
        <v>162275.306442445</v>
      </c>
      <c r="AY69" s="201">
        <v>173614.325261608</v>
      </c>
      <c r="AZ69" s="201">
        <v>180656.785088084</v>
      </c>
      <c r="BA69" s="193">
        <v>180718.71441000301</v>
      </c>
      <c r="BB69" s="193">
        <v>185338.587812457</v>
      </c>
    </row>
    <row r="70" spans="2:54" ht="15" customHeight="1">
      <c r="B70" s="192" t="s">
        <v>93</v>
      </c>
      <c r="C70" s="192" t="s">
        <v>94</v>
      </c>
      <c r="D70" s="193"/>
      <c r="E70" s="193"/>
      <c r="F70" s="193"/>
      <c r="G70" s="193"/>
      <c r="H70" s="193"/>
      <c r="I70" s="193"/>
      <c r="J70" s="193"/>
      <c r="K70" s="193"/>
      <c r="L70" s="193"/>
      <c r="M70" s="193"/>
      <c r="N70" s="193"/>
      <c r="O70" s="193"/>
      <c r="P70" s="193"/>
      <c r="Q70" s="193"/>
      <c r="R70" s="193"/>
      <c r="S70" s="193"/>
      <c r="T70" s="193">
        <v>11387</v>
      </c>
      <c r="U70" s="193">
        <v>13235</v>
      </c>
      <c r="V70" s="193">
        <v>13642</v>
      </c>
      <c r="W70" s="193">
        <v>17990</v>
      </c>
      <c r="X70" s="193">
        <v>18610.748</v>
      </c>
      <c r="Y70" s="201">
        <v>17345.903999999999</v>
      </c>
      <c r="Z70" s="201">
        <v>16853.350000000002</v>
      </c>
      <c r="AA70" s="201">
        <v>18670.434999999998</v>
      </c>
      <c r="AB70" s="201">
        <v>22121.733999999997</v>
      </c>
      <c r="AC70" s="201">
        <v>23195</v>
      </c>
      <c r="AD70" s="201">
        <v>24230.521845780888</v>
      </c>
      <c r="AE70" s="201">
        <v>30044.647821348459</v>
      </c>
      <c r="AF70" s="201">
        <v>32017.488231701969</v>
      </c>
      <c r="AG70" s="201">
        <v>20772.763762990282</v>
      </c>
      <c r="AH70" s="201">
        <v>28561.138579106824</v>
      </c>
      <c r="AI70" s="201">
        <v>36229.536179364157</v>
      </c>
      <c r="AJ70" s="201">
        <v>37201.029718775382</v>
      </c>
      <c r="AK70" s="201">
        <v>33269.909404786449</v>
      </c>
      <c r="AL70" s="201">
        <v>35716.087326242661</v>
      </c>
      <c r="AM70" s="201">
        <v>42482.181893433779</v>
      </c>
      <c r="AN70" s="201">
        <v>41479.73732560833</v>
      </c>
      <c r="AO70" s="201">
        <v>40645.555824675015</v>
      </c>
      <c r="AP70" s="201">
        <v>41796.51616332501</v>
      </c>
      <c r="AQ70" s="201">
        <v>50525.354824133334</v>
      </c>
      <c r="AR70" s="201">
        <v>52829.616650290955</v>
      </c>
      <c r="AS70" s="201">
        <v>52511.930152300018</v>
      </c>
      <c r="AT70" s="201">
        <v>55790.756875746702</v>
      </c>
      <c r="AU70" s="201">
        <v>71801.507768428695</v>
      </c>
      <c r="AV70" s="201">
        <v>84612.136765535004</v>
      </c>
      <c r="AW70" s="201">
        <v>80485.054472168398</v>
      </c>
      <c r="AX70" s="193">
        <v>81238.823898291696</v>
      </c>
      <c r="AY70" s="201">
        <v>93989.767233770093</v>
      </c>
      <c r="AZ70" s="201">
        <v>98019.178589436706</v>
      </c>
      <c r="BA70" s="193">
        <v>93419.764936901702</v>
      </c>
      <c r="BB70" s="193">
        <v>89535.855658710003</v>
      </c>
    </row>
    <row r="71" spans="2:54" ht="15" customHeight="1" thickBot="1">
      <c r="B71" s="192" t="s">
        <v>95</v>
      </c>
      <c r="C71" s="192" t="s">
        <v>96</v>
      </c>
      <c r="D71" s="193"/>
      <c r="E71" s="193"/>
      <c r="F71" s="193"/>
      <c r="G71" s="193"/>
      <c r="H71" s="193"/>
      <c r="I71" s="193"/>
      <c r="J71" s="193"/>
      <c r="K71" s="193"/>
      <c r="L71" s="193"/>
      <c r="M71" s="193"/>
      <c r="N71" s="193"/>
      <c r="O71" s="193"/>
      <c r="P71" s="193"/>
      <c r="Q71" s="193"/>
      <c r="R71" s="193"/>
      <c r="S71" s="193"/>
      <c r="T71" s="193"/>
      <c r="U71" s="193"/>
      <c r="V71" s="193"/>
      <c r="W71" s="193"/>
      <c r="X71" s="193"/>
      <c r="Y71" s="201">
        <v>0</v>
      </c>
      <c r="Z71" s="201"/>
      <c r="AA71" s="201"/>
      <c r="AB71" s="201">
        <v>0</v>
      </c>
      <c r="AC71" s="201">
        <v>0</v>
      </c>
      <c r="AD71" s="201">
        <v>0</v>
      </c>
      <c r="AE71" s="201">
        <v>0</v>
      </c>
      <c r="AF71" s="201">
        <v>0</v>
      </c>
      <c r="AG71" s="201">
        <v>0</v>
      </c>
      <c r="AH71" s="201">
        <v>0</v>
      </c>
      <c r="AI71" s="201">
        <v>0</v>
      </c>
      <c r="AJ71" s="201">
        <v>0</v>
      </c>
      <c r="AK71" s="201">
        <v>0</v>
      </c>
      <c r="AL71" s="201">
        <v>0</v>
      </c>
      <c r="AM71" s="201">
        <v>0</v>
      </c>
      <c r="AN71" s="201">
        <v>0</v>
      </c>
      <c r="AO71" s="201">
        <v>0</v>
      </c>
      <c r="AP71" s="201">
        <v>0</v>
      </c>
      <c r="AQ71" s="201">
        <v>0</v>
      </c>
      <c r="AR71" s="201">
        <v>0</v>
      </c>
      <c r="AS71" s="201">
        <v>0</v>
      </c>
      <c r="AT71" s="201">
        <v>898.88731258333405</v>
      </c>
      <c r="AU71" s="201">
        <v>1932.3718153753434</v>
      </c>
      <c r="AV71" s="201">
        <v>5363.7660378199853</v>
      </c>
      <c r="AW71" s="201">
        <v>12434.464144364611</v>
      </c>
      <c r="AX71" s="193">
        <v>28771.839760654315</v>
      </c>
      <c r="AY71" s="201">
        <v>64916.140445579891</v>
      </c>
      <c r="AZ71" s="201">
        <v>45934.248298685299</v>
      </c>
      <c r="BA71" s="193">
        <v>40954.139325474272</v>
      </c>
      <c r="BB71" s="193">
        <v>40440.469916381</v>
      </c>
    </row>
    <row r="72" spans="2:54" ht="15" customHeight="1" thickBot="1">
      <c r="B72" s="194" t="s">
        <v>99</v>
      </c>
      <c r="C72" s="194" t="s">
        <v>100</v>
      </c>
      <c r="D72" s="195"/>
      <c r="E72" s="195"/>
      <c r="F72" s="195"/>
      <c r="G72" s="195"/>
      <c r="H72" s="195"/>
      <c r="I72" s="195"/>
      <c r="J72" s="195"/>
      <c r="K72" s="195"/>
      <c r="L72" s="195"/>
      <c r="M72" s="195"/>
      <c r="N72" s="195"/>
      <c r="O72" s="195"/>
      <c r="P72" s="195"/>
      <c r="Q72" s="195"/>
      <c r="R72" s="195"/>
      <c r="S72" s="195"/>
      <c r="T72" s="195">
        <f>SUM(T69:T71)</f>
        <v>44855</v>
      </c>
      <c r="U72" s="195">
        <f t="shared" ref="U72:BB72" si="21">SUM(U69:U71)</f>
        <v>46832</v>
      </c>
      <c r="V72" s="195">
        <f t="shared" si="21"/>
        <v>103945</v>
      </c>
      <c r="W72" s="195">
        <f t="shared" si="21"/>
        <v>104142</v>
      </c>
      <c r="X72" s="195">
        <f t="shared" si="21"/>
        <v>104151.78399999999</v>
      </c>
      <c r="Y72" s="195">
        <f t="shared" si="21"/>
        <v>114516.71799999999</v>
      </c>
      <c r="Z72" s="195">
        <f t="shared" si="21"/>
        <v>118771.93800000001</v>
      </c>
      <c r="AA72" s="195">
        <f t="shared" si="21"/>
        <v>130384.39</v>
      </c>
      <c r="AB72" s="195">
        <f t="shared" si="21"/>
        <v>134588.45600000001</v>
      </c>
      <c r="AC72" s="195">
        <f t="shared" si="21"/>
        <v>132485</v>
      </c>
      <c r="AD72" s="195">
        <f t="shared" si="21"/>
        <v>143041.69877295764</v>
      </c>
      <c r="AE72" s="195">
        <f t="shared" si="21"/>
        <v>163076.48948098061</v>
      </c>
      <c r="AF72" s="195">
        <f t="shared" si="21"/>
        <v>166813.34621435453</v>
      </c>
      <c r="AG72" s="195">
        <f t="shared" si="21"/>
        <v>140096.90019681811</v>
      </c>
      <c r="AH72" s="195">
        <f t="shared" si="21"/>
        <v>176814.9607499339</v>
      </c>
      <c r="AI72" s="195">
        <f t="shared" si="21"/>
        <v>175160.62941107701</v>
      </c>
      <c r="AJ72" s="195">
        <f t="shared" si="21"/>
        <v>175407.69943115595</v>
      </c>
      <c r="AK72" s="195">
        <f t="shared" si="21"/>
        <v>165402.68911194737</v>
      </c>
      <c r="AL72" s="195">
        <f t="shared" si="21"/>
        <v>168522.41115221434</v>
      </c>
      <c r="AM72" s="195">
        <f t="shared" si="21"/>
        <v>179173.07629966328</v>
      </c>
      <c r="AN72" s="195">
        <f t="shared" si="21"/>
        <v>183873.84820542255</v>
      </c>
      <c r="AO72" s="195">
        <f t="shared" si="21"/>
        <v>183175.27383720566</v>
      </c>
      <c r="AP72" s="195">
        <f t="shared" si="21"/>
        <v>182925.58035791607</v>
      </c>
      <c r="AQ72" s="195">
        <f t="shared" si="21"/>
        <v>191645.66880362298</v>
      </c>
      <c r="AR72" s="195">
        <f t="shared" si="21"/>
        <v>204676.44195107848</v>
      </c>
      <c r="AS72" s="195">
        <f t="shared" si="21"/>
        <v>202488.61316945785</v>
      </c>
      <c r="AT72" s="195">
        <f t="shared" si="21"/>
        <v>220701.81160470453</v>
      </c>
      <c r="AU72" s="195">
        <f t="shared" si="21"/>
        <v>234430.10757484601</v>
      </c>
      <c r="AV72" s="195">
        <f t="shared" si="21"/>
        <v>260078.76919978802</v>
      </c>
      <c r="AW72" s="195">
        <f t="shared" si="21"/>
        <v>261038.399983493</v>
      </c>
      <c r="AX72" s="195">
        <f t="shared" si="21"/>
        <v>272285.97010139102</v>
      </c>
      <c r="AY72" s="195">
        <f t="shared" si="21"/>
        <v>332520.232940958</v>
      </c>
      <c r="AZ72" s="195">
        <f t="shared" si="21"/>
        <v>324610.21197620599</v>
      </c>
      <c r="BA72" s="195">
        <f t="shared" si="21"/>
        <v>315092.618672379</v>
      </c>
      <c r="BB72" s="195">
        <f t="shared" si="21"/>
        <v>315314.913387548</v>
      </c>
    </row>
    <row r="73" spans="2:54" ht="15" customHeight="1" thickBot="1">
      <c r="B73" s="196" t="s">
        <v>101</v>
      </c>
      <c r="C73" s="196" t="s">
        <v>102</v>
      </c>
      <c r="D73" s="197"/>
      <c r="E73" s="197"/>
      <c r="F73" s="197"/>
      <c r="G73" s="197"/>
      <c r="H73" s="197"/>
      <c r="I73" s="197"/>
      <c r="J73" s="197"/>
      <c r="K73" s="197"/>
      <c r="L73" s="197"/>
      <c r="M73" s="197"/>
      <c r="N73" s="197"/>
      <c r="O73" s="197"/>
      <c r="P73" s="197"/>
      <c r="Q73" s="197"/>
      <c r="R73" s="197"/>
      <c r="S73" s="197"/>
      <c r="T73" s="197">
        <v>5175</v>
      </c>
      <c r="U73" s="197">
        <v>4882</v>
      </c>
      <c r="V73" s="197">
        <v>4713</v>
      </c>
      <c r="W73" s="197">
        <v>5409</v>
      </c>
      <c r="X73" s="197">
        <v>5474</v>
      </c>
      <c r="Y73" s="197">
        <v>4831</v>
      </c>
      <c r="Z73" s="197">
        <v>4230</v>
      </c>
      <c r="AA73" s="197">
        <v>4422</v>
      </c>
      <c r="AB73" s="198">
        <v>4008</v>
      </c>
      <c r="AC73" s="198">
        <v>4123.0590000000002</v>
      </c>
      <c r="AD73" s="198">
        <v>3952.0550000000003</v>
      </c>
      <c r="AE73" s="198">
        <v>4699.951</v>
      </c>
      <c r="AF73" s="198">
        <v>4618.2070000000003</v>
      </c>
      <c r="AG73" s="198">
        <v>4252.6400000000003</v>
      </c>
      <c r="AH73" s="198">
        <v>4188.42</v>
      </c>
      <c r="AI73" s="198">
        <v>4821.4679999999998</v>
      </c>
      <c r="AJ73" s="198">
        <v>4591.29</v>
      </c>
      <c r="AK73" s="198">
        <v>4219.7640000000001</v>
      </c>
      <c r="AL73" s="198">
        <v>4111.5019999999995</v>
      </c>
      <c r="AM73" s="198">
        <v>4791.6580000000004</v>
      </c>
      <c r="AN73" s="198">
        <v>4525.6329999999998</v>
      </c>
      <c r="AO73" s="198">
        <v>4384.375</v>
      </c>
      <c r="AP73" s="198">
        <v>4320.366</v>
      </c>
      <c r="AQ73" s="198">
        <v>4856.5889999999999</v>
      </c>
      <c r="AR73" s="198">
        <v>4802.6409999999996</v>
      </c>
      <c r="AS73" s="198">
        <v>4473.2950000000001</v>
      </c>
      <c r="AT73" s="198">
        <v>4161.357</v>
      </c>
      <c r="AU73" s="198">
        <v>4799.2849999999999</v>
      </c>
      <c r="AV73" s="198">
        <v>4844.5029999999997</v>
      </c>
      <c r="AW73" s="543">
        <v>4365.5450000000001</v>
      </c>
      <c r="AX73" s="543">
        <v>4844.5460000000003</v>
      </c>
      <c r="AY73" s="543">
        <v>3317.875</v>
      </c>
      <c r="AZ73" s="543">
        <v>3339.9439729999999</v>
      </c>
      <c r="BA73" s="543">
        <v>3507.4070000000002</v>
      </c>
      <c r="BB73" s="543">
        <v>3677.5740500000002</v>
      </c>
    </row>
    <row r="74" spans="2:54" ht="15" customHeight="1" thickBot="1">
      <c r="B74" s="199" t="s">
        <v>103</v>
      </c>
      <c r="C74" s="199" t="s">
        <v>2061</v>
      </c>
      <c r="D74" s="195">
        <f t="shared" ref="D74:BB74" si="22">SUM(D68,D72,D73)</f>
        <v>0</v>
      </c>
      <c r="E74" s="195">
        <f t="shared" si="22"/>
        <v>0</v>
      </c>
      <c r="F74" s="195">
        <f t="shared" si="22"/>
        <v>0</v>
      </c>
      <c r="G74" s="195">
        <f t="shared" si="22"/>
        <v>0</v>
      </c>
      <c r="H74" s="195">
        <f t="shared" si="22"/>
        <v>0</v>
      </c>
      <c r="I74" s="195">
        <f t="shared" si="22"/>
        <v>0</v>
      </c>
      <c r="J74" s="195">
        <f t="shared" si="22"/>
        <v>0</v>
      </c>
      <c r="K74" s="195">
        <f t="shared" si="22"/>
        <v>0</v>
      </c>
      <c r="L74" s="195">
        <f t="shared" si="22"/>
        <v>0</v>
      </c>
      <c r="M74" s="195">
        <f t="shared" si="22"/>
        <v>0</v>
      </c>
      <c r="N74" s="195">
        <f t="shared" si="22"/>
        <v>0</v>
      </c>
      <c r="O74" s="195">
        <f t="shared" si="22"/>
        <v>0</v>
      </c>
      <c r="P74" s="195">
        <f t="shared" si="22"/>
        <v>0</v>
      </c>
      <c r="Q74" s="195">
        <f t="shared" si="22"/>
        <v>0</v>
      </c>
      <c r="R74" s="195">
        <f t="shared" si="22"/>
        <v>0</v>
      </c>
      <c r="S74" s="195">
        <f t="shared" si="22"/>
        <v>0</v>
      </c>
      <c r="T74" s="195">
        <f t="shared" si="22"/>
        <v>946024</v>
      </c>
      <c r="U74" s="195">
        <f t="shared" si="22"/>
        <v>932544</v>
      </c>
      <c r="V74" s="195">
        <f t="shared" si="22"/>
        <v>837730</v>
      </c>
      <c r="W74" s="195">
        <f t="shared" si="22"/>
        <v>910793</v>
      </c>
      <c r="X74" s="195">
        <f t="shared" si="22"/>
        <v>946000.86499999999</v>
      </c>
      <c r="Y74" s="195">
        <f t="shared" si="22"/>
        <v>885216.35799999989</v>
      </c>
      <c r="Z74" s="195">
        <f t="shared" si="22"/>
        <v>870993.60999999987</v>
      </c>
      <c r="AA74" s="195">
        <f t="shared" si="22"/>
        <v>974512.95700000005</v>
      </c>
      <c r="AB74" s="195">
        <f t="shared" si="22"/>
        <v>960575.67399999988</v>
      </c>
      <c r="AC74" s="195">
        <f t="shared" si="22"/>
        <v>642365.93999999983</v>
      </c>
      <c r="AD74" s="195">
        <f t="shared" si="22"/>
        <v>861719.12677295762</v>
      </c>
      <c r="AE74" s="195">
        <f t="shared" si="22"/>
        <v>1039195.5224809806</v>
      </c>
      <c r="AF74" s="195">
        <f t="shared" si="22"/>
        <v>1027607.0082143546</v>
      </c>
      <c r="AG74" s="195">
        <f t="shared" si="22"/>
        <v>878291.1581968182</v>
      </c>
      <c r="AH74" s="195">
        <f t="shared" si="22"/>
        <v>872943.12674993381</v>
      </c>
      <c r="AI74" s="195">
        <f t="shared" si="22"/>
        <v>1023928.3394110769</v>
      </c>
      <c r="AJ74" s="195">
        <f t="shared" si="22"/>
        <v>1035595.701431156</v>
      </c>
      <c r="AK74" s="195">
        <f t="shared" si="22"/>
        <v>937567.38333025272</v>
      </c>
      <c r="AL74" s="195">
        <f t="shared" si="22"/>
        <v>895992.09315221419</v>
      </c>
      <c r="AM74" s="195">
        <f t="shared" si="22"/>
        <v>1065129.8292996634</v>
      </c>
      <c r="AN74" s="195">
        <f t="shared" si="22"/>
        <v>1043966.5732054225</v>
      </c>
      <c r="AO74" s="195">
        <f t="shared" si="22"/>
        <v>954950.23883720557</v>
      </c>
      <c r="AP74" s="195">
        <f t="shared" si="22"/>
        <v>920338.73335791624</v>
      </c>
      <c r="AQ74" s="195">
        <f t="shared" si="22"/>
        <v>1042076.993803623</v>
      </c>
      <c r="AR74" s="195">
        <f t="shared" si="22"/>
        <v>1084827.6569510784</v>
      </c>
      <c r="AS74" s="195">
        <f t="shared" si="22"/>
        <v>1039950.3911694579</v>
      </c>
      <c r="AT74" s="195">
        <f t="shared" si="22"/>
        <v>960978.89260470436</v>
      </c>
      <c r="AU74" s="195">
        <f t="shared" si="22"/>
        <v>1097804.386574846</v>
      </c>
      <c r="AV74" s="195">
        <f t="shared" si="22"/>
        <v>1170505.2991997884</v>
      </c>
      <c r="AW74" s="195">
        <f t="shared" si="22"/>
        <v>1101101.8709834928</v>
      </c>
      <c r="AX74" s="195">
        <f t="shared" si="22"/>
        <v>1009492.721101391</v>
      </c>
      <c r="AY74" s="195">
        <f t="shared" si="22"/>
        <v>1163652.7469409578</v>
      </c>
      <c r="AZ74" s="195">
        <f t="shared" si="22"/>
        <v>1154280.282949206</v>
      </c>
      <c r="BA74" s="195">
        <f t="shared" si="22"/>
        <v>1117226.1714223789</v>
      </c>
      <c r="BB74" s="195">
        <f t="shared" si="22"/>
        <v>1010653.4554375481</v>
      </c>
    </row>
    <row r="75" spans="2:54" ht="15" customHeight="1" thickBot="1">
      <c r="B75" s="581" t="s">
        <v>2060</v>
      </c>
      <c r="C75" s="581" t="s">
        <v>2063</v>
      </c>
      <c r="D75" s="203"/>
      <c r="E75" s="203"/>
      <c r="F75" s="203"/>
      <c r="G75" s="203"/>
      <c r="H75" s="203"/>
      <c r="I75" s="203"/>
      <c r="J75" s="203"/>
      <c r="K75" s="203"/>
      <c r="L75" s="203"/>
      <c r="M75" s="203"/>
      <c r="N75" s="203"/>
      <c r="O75" s="203"/>
      <c r="P75" s="203"/>
      <c r="Q75" s="203"/>
      <c r="R75" s="203"/>
      <c r="S75" s="203"/>
      <c r="T75" s="203"/>
      <c r="U75" s="203"/>
      <c r="V75" s="203"/>
      <c r="W75" s="203"/>
      <c r="X75" s="203"/>
      <c r="Y75" s="203"/>
      <c r="Z75" s="203"/>
      <c r="AA75" s="203"/>
      <c r="AB75" s="582"/>
      <c r="AC75" s="582"/>
      <c r="AD75" s="582"/>
      <c r="AE75" s="582"/>
      <c r="AF75" s="582"/>
      <c r="AG75" s="582"/>
      <c r="AH75" s="582"/>
      <c r="AI75" s="582"/>
      <c r="AJ75" s="582"/>
      <c r="AK75" s="582"/>
      <c r="AL75" s="582"/>
      <c r="AM75" s="582"/>
      <c r="AN75" s="582"/>
      <c r="AO75" s="582"/>
      <c r="AP75" s="582"/>
      <c r="AQ75" s="582"/>
      <c r="AR75" s="582"/>
      <c r="AS75" s="582"/>
      <c r="AT75" s="582"/>
      <c r="AU75" s="582"/>
      <c r="AV75" s="582">
        <v>19354.523000000001</v>
      </c>
      <c r="AW75" s="582">
        <v>19805.898000000001</v>
      </c>
      <c r="AX75" s="582">
        <v>19705.074000000001</v>
      </c>
      <c r="AY75" s="582">
        <v>32078.85</v>
      </c>
      <c r="AZ75" s="582">
        <v>42842.221999999994</v>
      </c>
      <c r="BA75" s="582">
        <v>47228.18</v>
      </c>
      <c r="BB75" s="582">
        <v>43015.798000000003</v>
      </c>
    </row>
    <row r="76" spans="2:54" ht="15" customHeight="1" thickBot="1">
      <c r="B76" s="199" t="s">
        <v>104</v>
      </c>
      <c r="C76" s="199" t="s">
        <v>2062</v>
      </c>
      <c r="D76" s="580">
        <f t="shared" ref="D76:BB76" si="23">D74+D75</f>
        <v>0</v>
      </c>
      <c r="E76" s="580">
        <f t="shared" si="23"/>
        <v>0</v>
      </c>
      <c r="F76" s="580">
        <f t="shared" si="23"/>
        <v>0</v>
      </c>
      <c r="G76" s="580">
        <f t="shared" si="23"/>
        <v>0</v>
      </c>
      <c r="H76" s="580">
        <f t="shared" si="23"/>
        <v>0</v>
      </c>
      <c r="I76" s="580">
        <f t="shared" si="23"/>
        <v>0</v>
      </c>
      <c r="J76" s="580">
        <f t="shared" si="23"/>
        <v>0</v>
      </c>
      <c r="K76" s="580">
        <f t="shared" si="23"/>
        <v>0</v>
      </c>
      <c r="L76" s="580">
        <f t="shared" si="23"/>
        <v>0</v>
      </c>
      <c r="M76" s="580">
        <f t="shared" si="23"/>
        <v>0</v>
      </c>
      <c r="N76" s="580">
        <f t="shared" si="23"/>
        <v>0</v>
      </c>
      <c r="O76" s="580">
        <f t="shared" si="23"/>
        <v>0</v>
      </c>
      <c r="P76" s="580">
        <f t="shared" si="23"/>
        <v>0</v>
      </c>
      <c r="Q76" s="580">
        <f t="shared" si="23"/>
        <v>0</v>
      </c>
      <c r="R76" s="580">
        <f t="shared" si="23"/>
        <v>0</v>
      </c>
      <c r="S76" s="580">
        <f t="shared" si="23"/>
        <v>0</v>
      </c>
      <c r="T76" s="580">
        <f t="shared" si="23"/>
        <v>946024</v>
      </c>
      <c r="U76" s="580">
        <f t="shared" si="23"/>
        <v>932544</v>
      </c>
      <c r="V76" s="580">
        <f t="shared" si="23"/>
        <v>837730</v>
      </c>
      <c r="W76" s="580">
        <f t="shared" si="23"/>
        <v>910793</v>
      </c>
      <c r="X76" s="580">
        <f t="shared" si="23"/>
        <v>946000.86499999999</v>
      </c>
      <c r="Y76" s="580">
        <f t="shared" si="23"/>
        <v>885216.35799999989</v>
      </c>
      <c r="Z76" s="580">
        <f t="shared" si="23"/>
        <v>870993.60999999987</v>
      </c>
      <c r="AA76" s="580">
        <f t="shared" si="23"/>
        <v>974512.95700000005</v>
      </c>
      <c r="AB76" s="580">
        <f t="shared" si="23"/>
        <v>960575.67399999988</v>
      </c>
      <c r="AC76" s="580">
        <f t="shared" si="23"/>
        <v>642365.93999999983</v>
      </c>
      <c r="AD76" s="580">
        <f t="shared" si="23"/>
        <v>861719.12677295762</v>
      </c>
      <c r="AE76" s="580">
        <f t="shared" si="23"/>
        <v>1039195.5224809806</v>
      </c>
      <c r="AF76" s="580">
        <f t="shared" si="23"/>
        <v>1027607.0082143546</v>
      </c>
      <c r="AG76" s="580">
        <f t="shared" si="23"/>
        <v>878291.1581968182</v>
      </c>
      <c r="AH76" s="580">
        <f t="shared" si="23"/>
        <v>872943.12674993381</v>
      </c>
      <c r="AI76" s="580">
        <f t="shared" si="23"/>
        <v>1023928.3394110769</v>
      </c>
      <c r="AJ76" s="580">
        <f t="shared" si="23"/>
        <v>1035595.701431156</v>
      </c>
      <c r="AK76" s="580">
        <f t="shared" si="23"/>
        <v>937567.38333025272</v>
      </c>
      <c r="AL76" s="580">
        <f t="shared" si="23"/>
        <v>895992.09315221419</v>
      </c>
      <c r="AM76" s="580">
        <f t="shared" si="23"/>
        <v>1065129.8292996634</v>
      </c>
      <c r="AN76" s="580">
        <f t="shared" si="23"/>
        <v>1043966.5732054225</v>
      </c>
      <c r="AO76" s="580">
        <f t="shared" si="23"/>
        <v>954950.23883720557</v>
      </c>
      <c r="AP76" s="580">
        <f t="shared" si="23"/>
        <v>920338.73335791624</v>
      </c>
      <c r="AQ76" s="580">
        <f t="shared" si="23"/>
        <v>1042076.993803623</v>
      </c>
      <c r="AR76" s="580">
        <f t="shared" si="23"/>
        <v>1084827.6569510784</v>
      </c>
      <c r="AS76" s="580">
        <f t="shared" si="23"/>
        <v>1039950.3911694579</v>
      </c>
      <c r="AT76" s="580">
        <f t="shared" si="23"/>
        <v>960978.89260470436</v>
      </c>
      <c r="AU76" s="580">
        <f t="shared" si="23"/>
        <v>1097804.386574846</v>
      </c>
      <c r="AV76" s="580">
        <f t="shared" si="23"/>
        <v>1189859.8221997884</v>
      </c>
      <c r="AW76" s="580">
        <f t="shared" si="23"/>
        <v>1120907.7689834929</v>
      </c>
      <c r="AX76" s="580">
        <f t="shared" si="23"/>
        <v>1029197.795101391</v>
      </c>
      <c r="AY76" s="580">
        <f t="shared" si="23"/>
        <v>1195731.5969409579</v>
      </c>
      <c r="AZ76" s="580">
        <f t="shared" si="23"/>
        <v>1197122.504949206</v>
      </c>
      <c r="BA76" s="580">
        <f t="shared" si="23"/>
        <v>1164454.3514223788</v>
      </c>
      <c r="BB76" s="580">
        <f t="shared" si="23"/>
        <v>1053669.2534375482</v>
      </c>
    </row>
    <row r="77" spans="2:54" ht="15" customHeight="1" thickBot="1">
      <c r="B77" s="581" t="s">
        <v>105</v>
      </c>
      <c r="C77" s="581" t="s">
        <v>2064</v>
      </c>
      <c r="D77" s="203"/>
      <c r="E77" s="203"/>
      <c r="F77" s="203"/>
      <c r="G77" s="203"/>
      <c r="H77" s="203"/>
      <c r="I77" s="203"/>
      <c r="J77" s="203"/>
      <c r="K77" s="203"/>
      <c r="L77" s="203"/>
      <c r="M77" s="203"/>
      <c r="N77" s="203"/>
      <c r="O77" s="203"/>
      <c r="P77" s="203"/>
      <c r="Q77" s="203"/>
      <c r="R77" s="203"/>
      <c r="S77" s="203"/>
      <c r="T77" s="203"/>
      <c r="U77" s="203"/>
      <c r="V77" s="203"/>
      <c r="W77" s="203"/>
      <c r="X77" s="203"/>
      <c r="Y77" s="203"/>
      <c r="Z77" s="203"/>
      <c r="AA77" s="203"/>
      <c r="AB77" s="582"/>
      <c r="AC77" s="582"/>
      <c r="AD77" s="582"/>
      <c r="AE77" s="582"/>
      <c r="AF77" s="582"/>
      <c r="AG77" s="582"/>
      <c r="AH77" s="582"/>
      <c r="AI77" s="582"/>
      <c r="AJ77" s="582"/>
      <c r="AK77" s="582"/>
      <c r="AL77" s="582"/>
      <c r="AM77" s="582"/>
      <c r="AN77" s="582"/>
      <c r="AO77" s="582"/>
      <c r="AP77" s="582"/>
      <c r="AQ77" s="582"/>
      <c r="AR77" s="582"/>
      <c r="AS77" s="582"/>
      <c r="AT77" s="582"/>
      <c r="AU77" s="582"/>
      <c r="AV77" s="582">
        <v>69027.945999999924</v>
      </c>
      <c r="AW77" s="582">
        <v>64289.469999999783</v>
      </c>
      <c r="AX77" s="582">
        <v>63328.738000000129</v>
      </c>
      <c r="AY77" s="582">
        <v>80476.23</v>
      </c>
      <c r="AZ77" s="582">
        <v>84937.267000000022</v>
      </c>
      <c r="BA77" s="582">
        <v>81401.387349999655</v>
      </c>
      <c r="BB77" s="582">
        <v>70493.180000000066</v>
      </c>
    </row>
    <row r="78" spans="2:54" ht="15" customHeight="1" thickBot="1">
      <c r="B78" s="196" t="s">
        <v>106</v>
      </c>
      <c r="C78" s="196" t="s">
        <v>2065</v>
      </c>
      <c r="D78" s="197"/>
      <c r="E78" s="197"/>
      <c r="F78" s="197"/>
      <c r="G78" s="197"/>
      <c r="H78" s="197"/>
      <c r="I78" s="197"/>
      <c r="J78" s="197"/>
      <c r="K78" s="197"/>
      <c r="L78" s="197"/>
      <c r="M78" s="197"/>
      <c r="N78" s="197"/>
      <c r="O78" s="197"/>
      <c r="P78" s="197"/>
      <c r="Q78" s="197"/>
      <c r="R78" s="197"/>
      <c r="S78" s="197"/>
      <c r="T78" s="197"/>
      <c r="U78" s="197"/>
      <c r="V78" s="197"/>
      <c r="W78" s="197"/>
      <c r="X78" s="197"/>
      <c r="Y78" s="197"/>
      <c r="Z78" s="197"/>
      <c r="AA78" s="197"/>
      <c r="AB78" s="198">
        <v>1189.4610000001267</v>
      </c>
      <c r="AC78" s="198">
        <v>1495.743000000075</v>
      </c>
      <c r="AD78" s="198">
        <v>1821.7960000000894</v>
      </c>
      <c r="AE78" s="198">
        <v>2687.1800000000512</v>
      </c>
      <c r="AF78" s="198">
        <v>4304</v>
      </c>
      <c r="AG78" s="198">
        <v>3883.6739999999991</v>
      </c>
      <c r="AH78" s="198">
        <v>4904.8229999999749</v>
      </c>
      <c r="AI78" s="198">
        <v>39410.716000000364</v>
      </c>
      <c r="AJ78" s="198">
        <v>10141.310000000056</v>
      </c>
      <c r="AK78" s="198">
        <v>8073.7467816945864</v>
      </c>
      <c r="AL78" s="198">
        <v>11672.576000000001</v>
      </c>
      <c r="AM78" s="198">
        <v>20858.946999999811</v>
      </c>
      <c r="AN78" s="198">
        <v>26558.124999999767</v>
      </c>
      <c r="AO78" s="198">
        <v>26512.687999999733</v>
      </c>
      <c r="AP78" s="198">
        <v>26766.719999999972</v>
      </c>
      <c r="AQ78" s="198">
        <v>40834.783999999985</v>
      </c>
      <c r="AR78" s="198">
        <v>51509.20000000007</v>
      </c>
      <c r="AS78" s="198">
        <v>55037.837999999989</v>
      </c>
      <c r="AT78" s="198">
        <v>55120.550000000047</v>
      </c>
      <c r="AU78" s="198">
        <v>76549.852000000072</v>
      </c>
      <c r="AV78" s="543">
        <f t="shared" ref="AV78:BA78" si="24">+AV77+AV75</f>
        <v>88382.468999999925</v>
      </c>
      <c r="AW78" s="543">
        <f t="shared" si="24"/>
        <v>84095.367999999784</v>
      </c>
      <c r="AX78" s="543">
        <f t="shared" si="24"/>
        <v>83033.812000000122</v>
      </c>
      <c r="AY78" s="543">
        <f t="shared" si="24"/>
        <v>112555.07999999999</v>
      </c>
      <c r="AZ78" s="543">
        <f t="shared" si="24"/>
        <v>127779.48900000002</v>
      </c>
      <c r="BA78" s="543">
        <f t="shared" si="24"/>
        <v>128629.56734999965</v>
      </c>
      <c r="BB78" s="543">
        <f>+BB77+BB75</f>
        <v>113508.97800000006</v>
      </c>
    </row>
    <row r="79" spans="2:54" ht="15" customHeight="1" thickBot="1">
      <c r="B79" s="199" t="s">
        <v>117</v>
      </c>
      <c r="C79" s="199" t="s">
        <v>118</v>
      </c>
      <c r="D79" s="195">
        <f t="shared" ref="D79:BB79" si="25">D74+D78</f>
        <v>0</v>
      </c>
      <c r="E79" s="195">
        <f t="shared" si="25"/>
        <v>0</v>
      </c>
      <c r="F79" s="195">
        <f t="shared" si="25"/>
        <v>0</v>
      </c>
      <c r="G79" s="195">
        <f t="shared" si="25"/>
        <v>0</v>
      </c>
      <c r="H79" s="195">
        <f t="shared" si="25"/>
        <v>0</v>
      </c>
      <c r="I79" s="195">
        <f t="shared" si="25"/>
        <v>0</v>
      </c>
      <c r="J79" s="195">
        <f t="shared" si="25"/>
        <v>0</v>
      </c>
      <c r="K79" s="195">
        <f t="shared" si="25"/>
        <v>0</v>
      </c>
      <c r="L79" s="195">
        <f t="shared" si="25"/>
        <v>0</v>
      </c>
      <c r="M79" s="195">
        <f t="shared" si="25"/>
        <v>0</v>
      </c>
      <c r="N79" s="195">
        <f t="shared" si="25"/>
        <v>0</v>
      </c>
      <c r="O79" s="195">
        <f t="shared" si="25"/>
        <v>0</v>
      </c>
      <c r="P79" s="195">
        <f t="shared" si="25"/>
        <v>0</v>
      </c>
      <c r="Q79" s="195">
        <f t="shared" si="25"/>
        <v>0</v>
      </c>
      <c r="R79" s="195">
        <f t="shared" si="25"/>
        <v>0</v>
      </c>
      <c r="S79" s="195">
        <f t="shared" si="25"/>
        <v>0</v>
      </c>
      <c r="T79" s="195">
        <f t="shared" si="25"/>
        <v>946024</v>
      </c>
      <c r="U79" s="195">
        <f t="shared" si="25"/>
        <v>932544</v>
      </c>
      <c r="V79" s="195">
        <f t="shared" si="25"/>
        <v>837730</v>
      </c>
      <c r="W79" s="195">
        <f t="shared" si="25"/>
        <v>910793</v>
      </c>
      <c r="X79" s="195">
        <f t="shared" si="25"/>
        <v>946000.86499999999</v>
      </c>
      <c r="Y79" s="195">
        <f t="shared" si="25"/>
        <v>885216.35799999989</v>
      </c>
      <c r="Z79" s="195">
        <f t="shared" si="25"/>
        <v>870993.60999999987</v>
      </c>
      <c r="AA79" s="195">
        <f t="shared" si="25"/>
        <v>974512.95700000005</v>
      </c>
      <c r="AB79" s="195">
        <f t="shared" si="25"/>
        <v>961765.13500000001</v>
      </c>
      <c r="AC79" s="195">
        <f t="shared" si="25"/>
        <v>643861.68299999996</v>
      </c>
      <c r="AD79" s="195">
        <f t="shared" si="25"/>
        <v>863540.92277295771</v>
      </c>
      <c r="AE79" s="195">
        <f t="shared" si="25"/>
        <v>1041882.7024809807</v>
      </c>
      <c r="AF79" s="195">
        <f t="shared" si="25"/>
        <v>1031911.0082143546</v>
      </c>
      <c r="AG79" s="195">
        <f t="shared" si="25"/>
        <v>882174.8321968182</v>
      </c>
      <c r="AH79" s="195">
        <f t="shared" si="25"/>
        <v>877847.94974993379</v>
      </c>
      <c r="AI79" s="195">
        <f t="shared" si="25"/>
        <v>1063339.0554110771</v>
      </c>
      <c r="AJ79" s="195">
        <f t="shared" si="25"/>
        <v>1045737.0114311561</v>
      </c>
      <c r="AK79" s="195">
        <f t="shared" si="25"/>
        <v>945641.13011194731</v>
      </c>
      <c r="AL79" s="195">
        <f t="shared" si="25"/>
        <v>907664.66915221419</v>
      </c>
      <c r="AM79" s="195">
        <f t="shared" si="25"/>
        <v>1085988.7762996634</v>
      </c>
      <c r="AN79" s="195">
        <f t="shared" si="25"/>
        <v>1070524.6982054221</v>
      </c>
      <c r="AO79" s="195">
        <f t="shared" si="25"/>
        <v>981462.9268372053</v>
      </c>
      <c r="AP79" s="195">
        <f t="shared" si="25"/>
        <v>947105.45335791621</v>
      </c>
      <c r="AQ79" s="195">
        <f t="shared" si="25"/>
        <v>1082911.7778036231</v>
      </c>
      <c r="AR79" s="195">
        <f t="shared" si="25"/>
        <v>1136336.8569510784</v>
      </c>
      <c r="AS79" s="195">
        <f t="shared" si="25"/>
        <v>1094988.2291694579</v>
      </c>
      <c r="AT79" s="195">
        <f t="shared" si="25"/>
        <v>1016099.4426047044</v>
      </c>
      <c r="AU79" s="195">
        <f t="shared" si="25"/>
        <v>1174354.2385748462</v>
      </c>
      <c r="AV79" s="195">
        <f t="shared" si="25"/>
        <v>1258887.7681997884</v>
      </c>
      <c r="AW79" s="195">
        <f t="shared" si="25"/>
        <v>1185197.2389834926</v>
      </c>
      <c r="AX79" s="195">
        <f t="shared" si="25"/>
        <v>1092526.533101391</v>
      </c>
      <c r="AY79" s="195">
        <f t="shared" si="25"/>
        <v>1276207.8269409579</v>
      </c>
      <c r="AZ79" s="195">
        <f t="shared" si="25"/>
        <v>1282059.771949206</v>
      </c>
      <c r="BA79" s="195">
        <f t="shared" si="25"/>
        <v>1245855.7387723785</v>
      </c>
      <c r="BB79" s="195">
        <f t="shared" si="25"/>
        <v>1124162.4334375481</v>
      </c>
    </row>
    <row r="81" spans="2:54" ht="15" customHeight="1">
      <c r="B81" s="190" t="s">
        <v>119</v>
      </c>
      <c r="C81" s="190" t="s">
        <v>119</v>
      </c>
      <c r="D81" s="191"/>
      <c r="E81" s="191"/>
      <c r="F81" s="191"/>
      <c r="G81" s="191"/>
      <c r="H81" s="191"/>
      <c r="I81" s="191"/>
      <c r="J81" s="191"/>
      <c r="K81" s="191"/>
      <c r="L81" s="191"/>
      <c r="M81" s="191"/>
      <c r="N81" s="191"/>
      <c r="O81" s="191"/>
      <c r="P81" s="191"/>
      <c r="Q81" s="191"/>
      <c r="R81" s="191"/>
      <c r="S81" s="191"/>
      <c r="T81" s="191"/>
      <c r="U81" s="191"/>
      <c r="V81" s="191"/>
      <c r="W81" s="191"/>
      <c r="X81" s="191"/>
      <c r="Y81" s="191"/>
      <c r="Z81" s="191"/>
      <c r="AA81" s="191"/>
      <c r="AB81" s="191"/>
      <c r="AC81" s="191"/>
      <c r="AD81" s="191"/>
      <c r="AE81" s="191"/>
      <c r="AF81" s="191"/>
      <c r="AG81" s="191"/>
      <c r="AH81" s="191"/>
      <c r="AI81" s="191"/>
      <c r="AJ81" s="191"/>
      <c r="AK81" s="191"/>
      <c r="AL81" s="191"/>
      <c r="AM81" s="191"/>
      <c r="AN81" s="191"/>
      <c r="AO81" s="191"/>
      <c r="AP81" s="191"/>
      <c r="AQ81" s="191"/>
      <c r="AR81" s="191"/>
      <c r="AS81" s="191"/>
      <c r="AT81" s="191"/>
      <c r="AU81" s="191"/>
      <c r="AV81" s="191"/>
      <c r="AW81" s="191"/>
      <c r="AX81" s="191"/>
      <c r="AY81" s="191"/>
      <c r="AZ81" s="191"/>
      <c r="BA81" s="191"/>
      <c r="BB81" s="191"/>
    </row>
    <row r="82" spans="2:54" ht="15" customHeight="1">
      <c r="B82" s="192" t="s">
        <v>90</v>
      </c>
      <c r="C82" s="192" t="s">
        <v>91</v>
      </c>
      <c r="D82" s="193"/>
      <c r="E82" s="193"/>
      <c r="F82" s="193"/>
      <c r="G82" s="193"/>
      <c r="H82" s="193"/>
      <c r="I82" s="193"/>
      <c r="J82" s="193"/>
      <c r="K82" s="193"/>
      <c r="L82" s="193"/>
      <c r="M82" s="193"/>
      <c r="N82" s="193"/>
      <c r="O82" s="193"/>
      <c r="P82" s="193"/>
      <c r="Q82" s="193"/>
      <c r="R82" s="193"/>
      <c r="S82" s="193"/>
      <c r="T82" s="193"/>
      <c r="U82" s="193"/>
      <c r="V82" s="193"/>
      <c r="W82" s="193"/>
      <c r="X82" s="193"/>
      <c r="Y82" s="201"/>
      <c r="Z82" s="201"/>
      <c r="AA82" s="201"/>
      <c r="AB82" s="201"/>
      <c r="AC82" s="201"/>
      <c r="AD82" s="201"/>
      <c r="AE82" s="201"/>
      <c r="AF82" s="201"/>
      <c r="AG82" s="201"/>
      <c r="AH82" s="201">
        <v>791266.68700000003</v>
      </c>
      <c r="AI82" s="201">
        <v>735382.34299999999</v>
      </c>
      <c r="AJ82" s="201">
        <v>882953.85000000009</v>
      </c>
      <c r="AK82" s="201">
        <v>772368.01199999999</v>
      </c>
      <c r="AL82" s="201">
        <v>692809.84</v>
      </c>
      <c r="AM82" s="201">
        <v>704101.08400000003</v>
      </c>
      <c r="AN82" s="201">
        <v>890756.27500000002</v>
      </c>
      <c r="AO82" s="201">
        <v>708683.77399999998</v>
      </c>
      <c r="AP82" s="201">
        <v>762165.49100000004</v>
      </c>
      <c r="AQ82" s="201">
        <v>776725.21099999989</v>
      </c>
      <c r="AR82" s="201">
        <v>1009499.9350000001</v>
      </c>
      <c r="AS82" s="201">
        <v>794411.32900000003</v>
      </c>
      <c r="AT82" s="201">
        <v>797373.84500000009</v>
      </c>
      <c r="AU82" s="201">
        <v>806435.98</v>
      </c>
      <c r="AV82" s="201">
        <v>1018267.286</v>
      </c>
      <c r="AW82" s="201">
        <v>789598.38199999998</v>
      </c>
      <c r="AX82" s="201">
        <v>925342.49300000013</v>
      </c>
      <c r="AY82" s="201">
        <v>863470.80099999998</v>
      </c>
      <c r="AZ82" s="201">
        <v>1109520.3799999999</v>
      </c>
      <c r="BA82" s="201">
        <v>845122.74799999991</v>
      </c>
      <c r="BB82" s="201">
        <v>937257.86599999981</v>
      </c>
    </row>
    <row r="83" spans="2:54" ht="15" customHeight="1">
      <c r="B83" s="192" t="s">
        <v>92</v>
      </c>
      <c r="C83" s="192" t="s">
        <v>92</v>
      </c>
      <c r="D83" s="193"/>
      <c r="E83" s="193"/>
      <c r="F83" s="193"/>
      <c r="G83" s="193"/>
      <c r="H83" s="193"/>
      <c r="I83" s="193"/>
      <c r="J83" s="193"/>
      <c r="K83" s="193"/>
      <c r="L83" s="193"/>
      <c r="M83" s="193"/>
      <c r="N83" s="193"/>
      <c r="O83" s="193"/>
      <c r="P83" s="193"/>
      <c r="Q83" s="193"/>
      <c r="R83" s="193"/>
      <c r="S83" s="193"/>
      <c r="T83" s="193"/>
      <c r="U83" s="193"/>
      <c r="V83" s="193"/>
      <c r="W83" s="193"/>
      <c r="X83" s="193"/>
      <c r="Y83" s="201"/>
      <c r="Z83" s="201"/>
      <c r="AA83" s="201"/>
      <c r="AB83" s="201"/>
      <c r="AC83" s="201"/>
      <c r="AD83" s="201"/>
      <c r="AE83" s="201"/>
      <c r="AF83" s="201"/>
      <c r="AG83" s="201"/>
      <c r="AH83" s="201">
        <v>81462.850999999995</v>
      </c>
      <c r="AI83" s="201">
        <v>70180.275999999998</v>
      </c>
      <c r="AJ83" s="201">
        <v>74180.951000000001</v>
      </c>
      <c r="AK83" s="201">
        <v>83127.759000000005</v>
      </c>
      <c r="AL83" s="201">
        <v>71569.86</v>
      </c>
      <c r="AM83" s="201">
        <v>71043.411999999997</v>
      </c>
      <c r="AN83" s="201">
        <v>68017.457999999999</v>
      </c>
      <c r="AO83" s="201">
        <v>76192.837</v>
      </c>
      <c r="AP83" s="201">
        <v>66057.933999999994</v>
      </c>
      <c r="AQ83" s="201">
        <v>60673.021000000001</v>
      </c>
      <c r="AR83" s="201">
        <v>58999.346999999994</v>
      </c>
      <c r="AS83" s="201">
        <v>63670.599000000002</v>
      </c>
      <c r="AT83" s="201">
        <v>56386.465000000004</v>
      </c>
      <c r="AU83" s="201">
        <v>53207.491000000002</v>
      </c>
      <c r="AV83" s="201">
        <v>49133.002</v>
      </c>
      <c r="AW83" s="201">
        <v>46747.887000000002</v>
      </c>
      <c r="AX83" s="201">
        <v>42901.783000000003</v>
      </c>
      <c r="AY83" s="201">
        <v>40336.665000000001</v>
      </c>
      <c r="AZ83" s="201">
        <v>39201.553</v>
      </c>
      <c r="BA83" s="201">
        <v>42835.053</v>
      </c>
      <c r="BB83" s="201">
        <v>35182.283000000003</v>
      </c>
    </row>
    <row r="84" spans="2:54" ht="15" customHeight="1">
      <c r="B84" s="192" t="s">
        <v>93</v>
      </c>
      <c r="C84" s="192" t="s">
        <v>94</v>
      </c>
      <c r="D84" s="193"/>
      <c r="E84" s="193"/>
      <c r="F84" s="193"/>
      <c r="G84" s="193"/>
      <c r="H84" s="193"/>
      <c r="I84" s="193"/>
      <c r="J84" s="193"/>
      <c r="K84" s="193"/>
      <c r="L84" s="193"/>
      <c r="M84" s="193"/>
      <c r="N84" s="193"/>
      <c r="O84" s="193"/>
      <c r="P84" s="193"/>
      <c r="Q84" s="193"/>
      <c r="R84" s="193"/>
      <c r="S84" s="193"/>
      <c r="T84" s="193"/>
      <c r="U84" s="193"/>
      <c r="V84" s="193"/>
      <c r="W84" s="193"/>
      <c r="X84" s="193"/>
      <c r="Y84" s="201"/>
      <c r="Z84" s="201"/>
      <c r="AA84" s="201"/>
      <c r="AB84" s="201"/>
      <c r="AC84" s="201"/>
      <c r="AD84" s="201"/>
      <c r="AE84" s="201"/>
      <c r="AF84" s="201"/>
      <c r="AG84" s="201"/>
      <c r="AH84" s="201">
        <v>322158.96899999998</v>
      </c>
      <c r="AI84" s="201">
        <v>336435.44700000004</v>
      </c>
      <c r="AJ84" s="201">
        <v>421778.57800000004</v>
      </c>
      <c r="AK84" s="201">
        <v>357969.46299999999</v>
      </c>
      <c r="AL84" s="201">
        <v>301519.288</v>
      </c>
      <c r="AM84" s="201">
        <v>347614.174</v>
      </c>
      <c r="AN84" s="201">
        <v>439063.13500000001</v>
      </c>
      <c r="AO84" s="201">
        <v>346491.65299999999</v>
      </c>
      <c r="AP84" s="201">
        <v>334607.89600000001</v>
      </c>
      <c r="AQ84" s="201">
        <v>358849.97200000001</v>
      </c>
      <c r="AR84" s="201">
        <v>445472.47000000003</v>
      </c>
      <c r="AS84" s="201">
        <v>356428.62200000003</v>
      </c>
      <c r="AT84" s="201">
        <v>323569.70499999996</v>
      </c>
      <c r="AU84" s="201">
        <v>340229.05699999997</v>
      </c>
      <c r="AV84" s="201">
        <v>420567.799</v>
      </c>
      <c r="AW84" s="201">
        <v>313387.79700000002</v>
      </c>
      <c r="AX84" s="201">
        <v>325600.23300000001</v>
      </c>
      <c r="AY84" s="201">
        <v>339418.473</v>
      </c>
      <c r="AZ84" s="201">
        <v>394208.641</v>
      </c>
      <c r="BA84" s="201">
        <v>313021.76799999998</v>
      </c>
      <c r="BB84" s="201">
        <v>292862.30800000002</v>
      </c>
    </row>
    <row r="85" spans="2:54" ht="15" customHeight="1" thickBot="1">
      <c r="B85" s="192" t="s">
        <v>95</v>
      </c>
      <c r="C85" s="192" t="s">
        <v>96</v>
      </c>
      <c r="D85" s="193"/>
      <c r="E85" s="193"/>
      <c r="F85" s="193"/>
      <c r="G85" s="193"/>
      <c r="H85" s="193"/>
      <c r="I85" s="193"/>
      <c r="J85" s="193"/>
      <c r="K85" s="193"/>
      <c r="L85" s="193"/>
      <c r="M85" s="193"/>
      <c r="N85" s="193"/>
      <c r="O85" s="193"/>
      <c r="P85" s="193"/>
      <c r="Q85" s="193"/>
      <c r="R85" s="193"/>
      <c r="S85" s="193"/>
      <c r="T85" s="193"/>
      <c r="U85" s="193"/>
      <c r="V85" s="193"/>
      <c r="W85" s="193"/>
      <c r="X85" s="193"/>
      <c r="Y85" s="201"/>
      <c r="Z85" s="201"/>
      <c r="AA85" s="201"/>
      <c r="AB85" s="201"/>
      <c r="AC85" s="201"/>
      <c r="AD85" s="201"/>
      <c r="AE85" s="201"/>
      <c r="AF85" s="201"/>
      <c r="AG85" s="201"/>
      <c r="AH85" s="201">
        <v>253649.70999999996</v>
      </c>
      <c r="AI85" s="201">
        <v>262193.21799999999</v>
      </c>
      <c r="AJ85" s="201">
        <v>428548.25599999999</v>
      </c>
      <c r="AK85" s="201">
        <v>298594.32800000004</v>
      </c>
      <c r="AL85" s="201">
        <v>247649.1</v>
      </c>
      <c r="AM85" s="201">
        <v>274386.06900000002</v>
      </c>
      <c r="AN85" s="201">
        <v>471564.08400000003</v>
      </c>
      <c r="AO85" s="201">
        <v>293384.11599999998</v>
      </c>
      <c r="AP85" s="201">
        <v>259071.30799999999</v>
      </c>
      <c r="AQ85" s="201">
        <v>273801.12800000008</v>
      </c>
      <c r="AR85" s="201">
        <v>428295.95799999998</v>
      </c>
      <c r="AS85" s="201">
        <v>289771.15299999999</v>
      </c>
      <c r="AT85" s="201">
        <v>228287.054</v>
      </c>
      <c r="AU85" s="201">
        <v>234084.20700000017</v>
      </c>
      <c r="AV85" s="201">
        <v>395550.18800000008</v>
      </c>
      <c r="AW85" s="201">
        <v>256179.93599999999</v>
      </c>
      <c r="AX85" s="201">
        <v>208823.32599999988</v>
      </c>
      <c r="AY85" s="201">
        <v>223559.61999999988</v>
      </c>
      <c r="AZ85" s="201">
        <v>382002.58499999996</v>
      </c>
      <c r="BA85" s="201">
        <v>250959.42600000021</v>
      </c>
      <c r="BB85" s="201">
        <v>197933.64199999999</v>
      </c>
    </row>
    <row r="86" spans="2:54" ht="15" customHeight="1" thickBot="1">
      <c r="B86" s="199" t="s">
        <v>97</v>
      </c>
      <c r="C86" s="194" t="s">
        <v>98</v>
      </c>
      <c r="D86" s="202"/>
      <c r="E86" s="202"/>
      <c r="F86" s="202"/>
      <c r="G86" s="202"/>
      <c r="H86" s="202"/>
      <c r="I86" s="202"/>
      <c r="J86" s="202"/>
      <c r="K86" s="202"/>
      <c r="L86" s="202"/>
      <c r="M86" s="202"/>
      <c r="N86" s="202"/>
      <c r="O86" s="202"/>
      <c r="P86" s="202"/>
      <c r="Q86" s="202"/>
      <c r="R86" s="202"/>
      <c r="S86" s="202"/>
      <c r="T86" s="202"/>
      <c r="U86" s="202"/>
      <c r="V86" s="202"/>
      <c r="W86" s="202"/>
      <c r="X86" s="202"/>
      <c r="Y86" s="202"/>
      <c r="Z86" s="202"/>
      <c r="AA86" s="202"/>
      <c r="AB86" s="202"/>
      <c r="AC86" s="202"/>
      <c r="AD86" s="202"/>
      <c r="AE86" s="202"/>
      <c r="AF86" s="202"/>
      <c r="AG86" s="202"/>
      <c r="AH86" s="202">
        <f>SUM(AH82:AH85)</f>
        <v>1448538.2169999999</v>
      </c>
      <c r="AI86" s="202">
        <f t="shared" ref="AI86:BB86" si="26">SUM(AI82:AI85)</f>
        <v>1404191.284</v>
      </c>
      <c r="AJ86" s="202">
        <f t="shared" si="26"/>
        <v>1807461.6350000002</v>
      </c>
      <c r="AK86" s="202">
        <f t="shared" si="26"/>
        <v>1512059.5619999999</v>
      </c>
      <c r="AL86" s="202">
        <f t="shared" si="26"/>
        <v>1313548.088</v>
      </c>
      <c r="AM86" s="202">
        <f t="shared" si="26"/>
        <v>1397144.7390000001</v>
      </c>
      <c r="AN86" s="202">
        <f t="shared" si="26"/>
        <v>1869400.952</v>
      </c>
      <c r="AO86" s="202">
        <f t="shared" si="26"/>
        <v>1424752.38</v>
      </c>
      <c r="AP86" s="202">
        <f t="shared" si="26"/>
        <v>1421902.629</v>
      </c>
      <c r="AQ86" s="202">
        <f t="shared" si="26"/>
        <v>1470049.3319999999</v>
      </c>
      <c r="AR86" s="202">
        <f t="shared" si="26"/>
        <v>1942267.71</v>
      </c>
      <c r="AS86" s="202">
        <f t="shared" si="26"/>
        <v>1504281.703</v>
      </c>
      <c r="AT86" s="202">
        <f t="shared" si="26"/>
        <v>1405617.0690000001</v>
      </c>
      <c r="AU86" s="202">
        <f t="shared" si="26"/>
        <v>1433956.7350000001</v>
      </c>
      <c r="AV86" s="202">
        <f t="shared" si="26"/>
        <v>1883518.2749999999</v>
      </c>
      <c r="AW86" s="202">
        <f t="shared" si="26"/>
        <v>1405914.0020000001</v>
      </c>
      <c r="AX86" s="195">
        <f t="shared" si="26"/>
        <v>1502667.835</v>
      </c>
      <c r="AY86" s="195">
        <f t="shared" si="26"/>
        <v>1466785.5589999999</v>
      </c>
      <c r="AZ86" s="195">
        <f t="shared" si="26"/>
        <v>1924933.159</v>
      </c>
      <c r="BA86" s="195">
        <f t="shared" si="26"/>
        <v>1451938.9950000001</v>
      </c>
      <c r="BB86" s="195">
        <f t="shared" si="26"/>
        <v>1463236.0989999999</v>
      </c>
    </row>
    <row r="87" spans="2:54" ht="15" customHeight="1">
      <c r="B87" s="192" t="s">
        <v>92</v>
      </c>
      <c r="C87" s="192" t="s">
        <v>92</v>
      </c>
      <c r="D87" s="193"/>
      <c r="E87" s="193"/>
      <c r="F87" s="193"/>
      <c r="G87" s="193"/>
      <c r="H87" s="193"/>
      <c r="I87" s="193"/>
      <c r="J87" s="193"/>
      <c r="K87" s="193"/>
      <c r="L87" s="193"/>
      <c r="M87" s="193"/>
      <c r="N87" s="193"/>
      <c r="O87" s="193"/>
      <c r="P87" s="193"/>
      <c r="Q87" s="193"/>
      <c r="R87" s="193"/>
      <c r="S87" s="193"/>
      <c r="T87" s="193"/>
      <c r="U87" s="193"/>
      <c r="V87" s="193"/>
      <c r="W87" s="193"/>
      <c r="X87" s="193"/>
      <c r="Y87" s="201"/>
      <c r="Z87" s="201"/>
      <c r="AA87" s="201"/>
      <c r="AB87" s="201"/>
      <c r="AC87" s="201"/>
      <c r="AD87" s="201"/>
      <c r="AE87" s="201"/>
      <c r="AF87" s="201"/>
      <c r="AG87" s="201"/>
      <c r="AH87" s="201">
        <v>253451.57379202993</v>
      </c>
      <c r="AI87" s="201">
        <v>242040.12885091879</v>
      </c>
      <c r="AJ87" s="201">
        <v>250531.48427951551</v>
      </c>
      <c r="AK87" s="201">
        <v>271673.58942458121</v>
      </c>
      <c r="AL87" s="201">
        <v>266110.67031566764</v>
      </c>
      <c r="AM87" s="201">
        <v>255505.1945474844</v>
      </c>
      <c r="AN87" s="201">
        <v>266128.41167766531</v>
      </c>
      <c r="AO87" s="201">
        <v>276185.98539018072</v>
      </c>
      <c r="AP87" s="201">
        <v>274493.89640389627</v>
      </c>
      <c r="AQ87" s="201">
        <v>262670.23385123163</v>
      </c>
      <c r="AR87" s="201">
        <v>267109.64898222813</v>
      </c>
      <c r="AS87" s="201">
        <v>289601.10509141616</v>
      </c>
      <c r="AT87" s="201">
        <v>281504.93718686595</v>
      </c>
      <c r="AU87" s="201">
        <v>270543.444169664</v>
      </c>
      <c r="AV87" s="201">
        <v>270793.98172300198</v>
      </c>
      <c r="AW87" s="201">
        <v>276319.46664274501</v>
      </c>
      <c r="AX87" s="201">
        <v>286853.619044933</v>
      </c>
      <c r="AY87" s="201">
        <v>281501</v>
      </c>
      <c r="AZ87" s="201">
        <v>287750.86760902201</v>
      </c>
      <c r="BA87" s="193">
        <v>312299.97042607598</v>
      </c>
      <c r="BB87" s="193">
        <v>312328.18307955598</v>
      </c>
    </row>
    <row r="88" spans="2:54" ht="15" customHeight="1">
      <c r="B88" s="192" t="s">
        <v>93</v>
      </c>
      <c r="C88" s="192" t="s">
        <v>94</v>
      </c>
      <c r="D88" s="193"/>
      <c r="E88" s="193"/>
      <c r="F88" s="193"/>
      <c r="G88" s="193"/>
      <c r="H88" s="193"/>
      <c r="I88" s="193"/>
      <c r="J88" s="193"/>
      <c r="K88" s="193"/>
      <c r="L88" s="193"/>
      <c r="M88" s="193"/>
      <c r="N88" s="193"/>
      <c r="O88" s="193"/>
      <c r="P88" s="193"/>
      <c r="Q88" s="193"/>
      <c r="R88" s="193"/>
      <c r="S88" s="193"/>
      <c r="T88" s="193"/>
      <c r="U88" s="193"/>
      <c r="V88" s="193"/>
      <c r="W88" s="193"/>
      <c r="X88" s="193"/>
      <c r="Y88" s="201"/>
      <c r="Z88" s="201"/>
      <c r="AA88" s="201"/>
      <c r="AB88" s="201"/>
      <c r="AC88" s="201"/>
      <c r="AD88" s="201"/>
      <c r="AE88" s="201"/>
      <c r="AF88" s="201"/>
      <c r="AG88" s="201"/>
      <c r="AH88" s="201">
        <v>103709.17317617621</v>
      </c>
      <c r="AI88" s="201">
        <v>140686.71476041814</v>
      </c>
      <c r="AJ88" s="201">
        <v>156446.44112168986</v>
      </c>
      <c r="AK88" s="201">
        <v>137364.38158485599</v>
      </c>
      <c r="AL88" s="201">
        <v>138294.97881289048</v>
      </c>
      <c r="AM88" s="201">
        <v>168674.37922114367</v>
      </c>
      <c r="AN88" s="201">
        <v>188976.76368248789</v>
      </c>
      <c r="AO88" s="201">
        <v>151966.61171204594</v>
      </c>
      <c r="AP88" s="201">
        <v>150209.30011316552</v>
      </c>
      <c r="AQ88" s="201">
        <v>180405.38802707751</v>
      </c>
      <c r="AR88" s="201">
        <v>211375.57251299283</v>
      </c>
      <c r="AS88" s="201">
        <v>172072.78666374186</v>
      </c>
      <c r="AT88" s="201">
        <v>171515.02128093268</v>
      </c>
      <c r="AU88" s="201">
        <v>212643.585524511</v>
      </c>
      <c r="AV88" s="201">
        <v>249755.68740030599</v>
      </c>
      <c r="AW88" s="201">
        <v>190761.42341519601</v>
      </c>
      <c r="AX88" s="201">
        <v>195211.25423519901</v>
      </c>
      <c r="AY88" s="201">
        <v>253852</v>
      </c>
      <c r="AZ88" s="201">
        <v>298704.70983608102</v>
      </c>
      <c r="BA88" s="193">
        <v>232428.78808016799</v>
      </c>
      <c r="BB88" s="193">
        <v>226482.50821613599</v>
      </c>
    </row>
    <row r="89" spans="2:54" ht="15" customHeight="1" thickBot="1">
      <c r="B89" s="192" t="s">
        <v>95</v>
      </c>
      <c r="C89" s="192" t="s">
        <v>96</v>
      </c>
      <c r="D89" s="193"/>
      <c r="E89" s="193"/>
      <c r="F89" s="193"/>
      <c r="G89" s="193"/>
      <c r="H89" s="193"/>
      <c r="I89" s="193"/>
      <c r="J89" s="193"/>
      <c r="K89" s="193"/>
      <c r="L89" s="193"/>
      <c r="M89" s="193"/>
      <c r="N89" s="193"/>
      <c r="O89" s="193"/>
      <c r="P89" s="193"/>
      <c r="Q89" s="193"/>
      <c r="R89" s="193"/>
      <c r="S89" s="193"/>
      <c r="T89" s="193"/>
      <c r="U89" s="193"/>
      <c r="V89" s="193"/>
      <c r="W89" s="193"/>
      <c r="X89" s="193"/>
      <c r="Y89" s="201"/>
      <c r="Z89" s="201"/>
      <c r="AA89" s="201"/>
      <c r="AB89" s="201"/>
      <c r="AC89" s="201"/>
      <c r="AD89" s="201"/>
      <c r="AE89" s="201"/>
      <c r="AF89" s="201"/>
      <c r="AG89" s="201"/>
      <c r="AH89" s="201">
        <v>3037.3798254999997</v>
      </c>
      <c r="AI89" s="201">
        <v>12187.837056</v>
      </c>
      <c r="AJ89" s="201">
        <v>12814.445483999998</v>
      </c>
      <c r="AK89" s="201">
        <v>12816.411422000001</v>
      </c>
      <c r="AL89" s="201">
        <v>11458.618776000003</v>
      </c>
      <c r="AM89" s="201">
        <v>11942.012711166668</v>
      </c>
      <c r="AN89" s="201">
        <v>13201.590348000002</v>
      </c>
      <c r="AO89" s="201">
        <v>12438.574263000002</v>
      </c>
      <c r="AP89" s="201">
        <v>12120.669532104001</v>
      </c>
      <c r="AQ89" s="201">
        <v>13686.180555000004</v>
      </c>
      <c r="AR89" s="201">
        <v>16011.349685103309</v>
      </c>
      <c r="AS89" s="201">
        <v>18669.813490756958</v>
      </c>
      <c r="AT89" s="201">
        <v>22092.226427933179</v>
      </c>
      <c r="AU89" s="201">
        <v>25636.231541985006</v>
      </c>
      <c r="AV89" s="201">
        <v>31752.997326126035</v>
      </c>
      <c r="AW89" s="201">
        <v>41629.434747421998</v>
      </c>
      <c r="AX89" s="201">
        <v>43692.837724736019</v>
      </c>
      <c r="AY89" s="201">
        <v>55414</v>
      </c>
      <c r="AZ89" s="201">
        <v>78503.473420471884</v>
      </c>
      <c r="BA89" s="193">
        <v>66850.876844750019</v>
      </c>
      <c r="BB89" s="193">
        <v>71645.073113425053</v>
      </c>
    </row>
    <row r="90" spans="2:54" ht="15" customHeight="1" thickBot="1">
      <c r="B90" s="194" t="s">
        <v>99</v>
      </c>
      <c r="C90" s="194" t="s">
        <v>100</v>
      </c>
      <c r="D90" s="195"/>
      <c r="E90" s="195"/>
      <c r="F90" s="195"/>
      <c r="G90" s="195"/>
      <c r="H90" s="195"/>
      <c r="I90" s="195"/>
      <c r="J90" s="195"/>
      <c r="K90" s="195"/>
      <c r="L90" s="195"/>
      <c r="M90" s="195"/>
      <c r="N90" s="195"/>
      <c r="O90" s="195"/>
      <c r="P90" s="195"/>
      <c r="Q90" s="195"/>
      <c r="R90" s="195"/>
      <c r="S90" s="195"/>
      <c r="T90" s="195"/>
      <c r="U90" s="195"/>
      <c r="V90" s="195"/>
      <c r="W90" s="195"/>
      <c r="X90" s="195"/>
      <c r="Y90" s="195"/>
      <c r="Z90" s="195"/>
      <c r="AA90" s="195"/>
      <c r="AB90" s="195"/>
      <c r="AC90" s="195"/>
      <c r="AD90" s="195"/>
      <c r="AE90" s="195"/>
      <c r="AF90" s="195"/>
      <c r="AG90" s="195"/>
      <c r="AH90" s="195">
        <f>SUM(AH87:AH89)</f>
        <v>360198.12679370615</v>
      </c>
      <c r="AI90" s="195">
        <f t="shared" ref="AI90:BB90" si="27">SUM(AI87:AI89)</f>
        <v>394914.68066733691</v>
      </c>
      <c r="AJ90" s="195">
        <f t="shared" si="27"/>
        <v>419792.3708852054</v>
      </c>
      <c r="AK90" s="195">
        <f t="shared" si="27"/>
        <v>421854.3824314372</v>
      </c>
      <c r="AL90" s="195">
        <f t="shared" si="27"/>
        <v>415864.2679045581</v>
      </c>
      <c r="AM90" s="195">
        <f t="shared" si="27"/>
        <v>436121.58647979476</v>
      </c>
      <c r="AN90" s="195">
        <f t="shared" si="27"/>
        <v>468306.76570815319</v>
      </c>
      <c r="AO90" s="195">
        <f t="shared" si="27"/>
        <v>440591.17136522668</v>
      </c>
      <c r="AP90" s="195">
        <f t="shared" si="27"/>
        <v>436823.86604916578</v>
      </c>
      <c r="AQ90" s="195">
        <f t="shared" si="27"/>
        <v>456761.8024333092</v>
      </c>
      <c r="AR90" s="195">
        <f t="shared" si="27"/>
        <v>494496.57118032424</v>
      </c>
      <c r="AS90" s="195">
        <f t="shared" si="27"/>
        <v>480343.70524591499</v>
      </c>
      <c r="AT90" s="195">
        <f t="shared" si="27"/>
        <v>475112.18489573186</v>
      </c>
      <c r="AU90" s="195">
        <f t="shared" si="27"/>
        <v>508823.26123616</v>
      </c>
      <c r="AV90" s="195">
        <f t="shared" si="27"/>
        <v>552302.66644943401</v>
      </c>
      <c r="AW90" s="195">
        <f t="shared" si="27"/>
        <v>508710.32480536302</v>
      </c>
      <c r="AX90" s="195">
        <f t="shared" si="27"/>
        <v>525757.71100486803</v>
      </c>
      <c r="AY90" s="195">
        <f t="shared" si="27"/>
        <v>590767</v>
      </c>
      <c r="AZ90" s="195">
        <f t="shared" si="27"/>
        <v>664959.05086557497</v>
      </c>
      <c r="BA90" s="195">
        <f t="shared" si="27"/>
        <v>611579.63535099395</v>
      </c>
      <c r="BB90" s="195">
        <f t="shared" si="27"/>
        <v>610455.76440911705</v>
      </c>
    </row>
    <row r="91" spans="2:54" ht="15" customHeight="1" thickBot="1">
      <c r="B91" s="196" t="s">
        <v>101</v>
      </c>
      <c r="C91" s="196" t="s">
        <v>102</v>
      </c>
      <c r="D91" s="197"/>
      <c r="E91" s="197"/>
      <c r="F91" s="197"/>
      <c r="G91" s="197"/>
      <c r="H91" s="197"/>
      <c r="I91" s="197"/>
      <c r="J91" s="197"/>
      <c r="K91" s="197"/>
      <c r="L91" s="197"/>
      <c r="M91" s="197"/>
      <c r="N91" s="197"/>
      <c r="O91" s="197"/>
      <c r="P91" s="197"/>
      <c r="Q91" s="197"/>
      <c r="R91" s="197"/>
      <c r="S91" s="197"/>
      <c r="T91" s="197"/>
      <c r="U91" s="197"/>
      <c r="V91" s="197"/>
      <c r="W91" s="197"/>
      <c r="X91" s="197"/>
      <c r="Y91" s="197"/>
      <c r="Z91" s="197"/>
      <c r="AA91" s="197"/>
      <c r="AB91" s="198"/>
      <c r="AC91" s="198"/>
      <c r="AD91" s="198"/>
      <c r="AE91" s="198"/>
      <c r="AF91" s="198"/>
      <c r="AG91" s="198"/>
      <c r="AH91" s="198">
        <v>11439.867</v>
      </c>
      <c r="AI91" s="198">
        <v>12420.375</v>
      </c>
      <c r="AJ91" s="198">
        <v>15151.186764256006</v>
      </c>
      <c r="AK91" s="198">
        <v>14632.198761490028</v>
      </c>
      <c r="AL91" s="198">
        <v>12600.839453161738</v>
      </c>
      <c r="AM91" s="198">
        <v>12959.749186542269</v>
      </c>
      <c r="AN91" s="198">
        <v>16404.885351480421</v>
      </c>
      <c r="AO91" s="198">
        <v>13604.669417033212</v>
      </c>
      <c r="AP91" s="198">
        <v>13238.516325097564</v>
      </c>
      <c r="AQ91" s="198">
        <v>14056.917965504097</v>
      </c>
      <c r="AR91" s="198">
        <v>19552.020650945477</v>
      </c>
      <c r="AS91" s="198">
        <v>15750.640402166944</v>
      </c>
      <c r="AT91" s="198">
        <v>13309.000136122293</v>
      </c>
      <c r="AU91" s="198">
        <v>12394.38499049705</v>
      </c>
      <c r="AV91" s="198">
        <v>17445</v>
      </c>
      <c r="AW91" s="543">
        <v>16091.996294917401</v>
      </c>
      <c r="AX91" s="543">
        <v>15891.206804563029</v>
      </c>
      <c r="AY91" s="543">
        <v>18441.471599770801</v>
      </c>
      <c r="AZ91" s="543">
        <v>23027.350145999997</v>
      </c>
      <c r="BA91" s="543">
        <v>17104.82617</v>
      </c>
      <c r="BB91" s="543">
        <v>15315.49772999999</v>
      </c>
    </row>
    <row r="92" spans="2:54" ht="15" customHeight="1" thickBot="1">
      <c r="B92" s="199" t="s">
        <v>103</v>
      </c>
      <c r="C92" s="199" t="s">
        <v>2061</v>
      </c>
      <c r="D92" s="195">
        <f t="shared" ref="D92:BB92" si="28">SUM(D86,D90,D91)</f>
        <v>0</v>
      </c>
      <c r="E92" s="195">
        <f t="shared" si="28"/>
        <v>0</v>
      </c>
      <c r="F92" s="195">
        <f t="shared" si="28"/>
        <v>0</v>
      </c>
      <c r="G92" s="195">
        <f t="shared" si="28"/>
        <v>0</v>
      </c>
      <c r="H92" s="195">
        <f t="shared" si="28"/>
        <v>0</v>
      </c>
      <c r="I92" s="195">
        <f t="shared" si="28"/>
        <v>0</v>
      </c>
      <c r="J92" s="195">
        <f t="shared" si="28"/>
        <v>0</v>
      </c>
      <c r="K92" s="195">
        <f t="shared" si="28"/>
        <v>0</v>
      </c>
      <c r="L92" s="195">
        <f t="shared" si="28"/>
        <v>0</v>
      </c>
      <c r="M92" s="195">
        <f t="shared" si="28"/>
        <v>0</v>
      </c>
      <c r="N92" s="195">
        <f t="shared" si="28"/>
        <v>0</v>
      </c>
      <c r="O92" s="195">
        <f t="shared" si="28"/>
        <v>0</v>
      </c>
      <c r="P92" s="195">
        <f t="shared" si="28"/>
        <v>0</v>
      </c>
      <c r="Q92" s="195">
        <f t="shared" si="28"/>
        <v>0</v>
      </c>
      <c r="R92" s="195">
        <f t="shared" si="28"/>
        <v>0</v>
      </c>
      <c r="S92" s="195">
        <f t="shared" si="28"/>
        <v>0</v>
      </c>
      <c r="T92" s="195">
        <f t="shared" si="28"/>
        <v>0</v>
      </c>
      <c r="U92" s="195">
        <f t="shared" si="28"/>
        <v>0</v>
      </c>
      <c r="V92" s="195">
        <f t="shared" si="28"/>
        <v>0</v>
      </c>
      <c r="W92" s="195">
        <f t="shared" si="28"/>
        <v>0</v>
      </c>
      <c r="X92" s="195">
        <f t="shared" si="28"/>
        <v>0</v>
      </c>
      <c r="Y92" s="195">
        <f t="shared" si="28"/>
        <v>0</v>
      </c>
      <c r="Z92" s="195">
        <f t="shared" si="28"/>
        <v>0</v>
      </c>
      <c r="AA92" s="195">
        <f t="shared" si="28"/>
        <v>0</v>
      </c>
      <c r="AB92" s="195">
        <f t="shared" si="28"/>
        <v>0</v>
      </c>
      <c r="AC92" s="195">
        <f t="shared" si="28"/>
        <v>0</v>
      </c>
      <c r="AD92" s="195">
        <f t="shared" si="28"/>
        <v>0</v>
      </c>
      <c r="AE92" s="195">
        <f t="shared" si="28"/>
        <v>0</v>
      </c>
      <c r="AF92" s="195">
        <f t="shared" si="28"/>
        <v>0</v>
      </c>
      <c r="AG92" s="195">
        <f t="shared" si="28"/>
        <v>0</v>
      </c>
      <c r="AH92" s="195">
        <f t="shared" si="28"/>
        <v>1820176.2107937061</v>
      </c>
      <c r="AI92" s="195">
        <f t="shared" si="28"/>
        <v>1811526.339667337</v>
      </c>
      <c r="AJ92" s="195">
        <f t="shared" si="28"/>
        <v>2242405.1926494618</v>
      </c>
      <c r="AK92" s="195">
        <f t="shared" si="28"/>
        <v>1948546.1431929271</v>
      </c>
      <c r="AL92" s="195">
        <f t="shared" si="28"/>
        <v>1742013.1953577199</v>
      </c>
      <c r="AM92" s="195">
        <f t="shared" si="28"/>
        <v>1846226.0746663371</v>
      </c>
      <c r="AN92" s="195">
        <f t="shared" si="28"/>
        <v>2354112.6030596336</v>
      </c>
      <c r="AO92" s="195">
        <f t="shared" si="28"/>
        <v>1878948.2207822597</v>
      </c>
      <c r="AP92" s="195">
        <f t="shared" si="28"/>
        <v>1871965.0113742633</v>
      </c>
      <c r="AQ92" s="195">
        <f t="shared" si="28"/>
        <v>1940868.0523988132</v>
      </c>
      <c r="AR92" s="195">
        <f t="shared" si="28"/>
        <v>2456316.3018312696</v>
      </c>
      <c r="AS92" s="195">
        <f t="shared" si="28"/>
        <v>2000376.048648082</v>
      </c>
      <c r="AT92" s="195">
        <f t="shared" si="28"/>
        <v>1894038.2540318544</v>
      </c>
      <c r="AU92" s="195">
        <f t="shared" si="28"/>
        <v>1955174.3812266572</v>
      </c>
      <c r="AV92" s="195">
        <f t="shared" si="28"/>
        <v>2453265.941449434</v>
      </c>
      <c r="AW92" s="195">
        <f t="shared" si="28"/>
        <v>1930716.3231002805</v>
      </c>
      <c r="AX92" s="195">
        <f t="shared" si="28"/>
        <v>2044316.7528094312</v>
      </c>
      <c r="AY92" s="195">
        <f t="shared" si="28"/>
        <v>2075994.0305997706</v>
      </c>
      <c r="AZ92" s="195">
        <f t="shared" si="28"/>
        <v>2612919.5600115745</v>
      </c>
      <c r="BA92" s="195">
        <f t="shared" si="28"/>
        <v>2080623.456520994</v>
      </c>
      <c r="BB92" s="195">
        <f t="shared" si="28"/>
        <v>2089007.3611391168</v>
      </c>
    </row>
    <row r="93" spans="2:54" ht="15" customHeight="1" thickBot="1">
      <c r="B93" s="581" t="s">
        <v>2060</v>
      </c>
      <c r="C93" s="581" t="s">
        <v>2063</v>
      </c>
      <c r="D93" s="203"/>
      <c r="E93" s="203"/>
      <c r="F93" s="203"/>
      <c r="G93" s="203"/>
      <c r="H93" s="203"/>
      <c r="I93" s="203"/>
      <c r="J93" s="203"/>
      <c r="K93" s="203"/>
      <c r="L93" s="203"/>
      <c r="M93" s="203"/>
      <c r="N93" s="203"/>
      <c r="O93" s="203"/>
      <c r="P93" s="203"/>
      <c r="Q93" s="203"/>
      <c r="R93" s="203"/>
      <c r="S93" s="203"/>
      <c r="T93" s="203"/>
      <c r="U93" s="203"/>
      <c r="V93" s="203"/>
      <c r="W93" s="203"/>
      <c r="X93" s="203"/>
      <c r="Y93" s="203"/>
      <c r="Z93" s="203"/>
      <c r="AA93" s="203"/>
      <c r="AB93" s="582"/>
      <c r="AC93" s="582"/>
      <c r="AD93" s="582"/>
      <c r="AE93" s="582"/>
      <c r="AF93" s="582"/>
      <c r="AG93" s="582"/>
      <c r="AH93" s="582"/>
      <c r="AI93" s="582"/>
      <c r="AJ93" s="582"/>
      <c r="AK93" s="582"/>
      <c r="AL93" s="582"/>
      <c r="AM93" s="582"/>
      <c r="AN93" s="582"/>
      <c r="AO93" s="582"/>
      <c r="AP93" s="582"/>
      <c r="AQ93" s="582"/>
      <c r="AR93" s="582"/>
      <c r="AS93" s="582"/>
      <c r="AT93" s="582"/>
      <c r="AU93" s="582"/>
      <c r="AV93" s="582">
        <v>4645.0619999999999</v>
      </c>
      <c r="AW93" s="582">
        <v>3513.614</v>
      </c>
      <c r="AX93" s="582">
        <v>3607.078</v>
      </c>
      <c r="AY93" s="582">
        <v>14268.42</v>
      </c>
      <c r="AZ93" s="582">
        <v>30166.287</v>
      </c>
      <c r="BA93" s="582">
        <v>24650.482</v>
      </c>
      <c r="BB93" s="582">
        <v>26843.884999999998</v>
      </c>
    </row>
    <row r="94" spans="2:54" ht="15" customHeight="1" thickBot="1">
      <c r="B94" s="199" t="s">
        <v>104</v>
      </c>
      <c r="C94" s="199" t="s">
        <v>2062</v>
      </c>
      <c r="D94" s="580">
        <f t="shared" ref="D94:BB94" si="29">D92+D93</f>
        <v>0</v>
      </c>
      <c r="E94" s="580">
        <f t="shared" si="29"/>
        <v>0</v>
      </c>
      <c r="F94" s="580">
        <f t="shared" si="29"/>
        <v>0</v>
      </c>
      <c r="G94" s="580">
        <f t="shared" si="29"/>
        <v>0</v>
      </c>
      <c r="H94" s="580">
        <f t="shared" si="29"/>
        <v>0</v>
      </c>
      <c r="I94" s="580">
        <f t="shared" si="29"/>
        <v>0</v>
      </c>
      <c r="J94" s="580">
        <f t="shared" si="29"/>
        <v>0</v>
      </c>
      <c r="K94" s="580">
        <f t="shared" si="29"/>
        <v>0</v>
      </c>
      <c r="L94" s="580">
        <f t="shared" si="29"/>
        <v>0</v>
      </c>
      <c r="M94" s="580">
        <f t="shared" si="29"/>
        <v>0</v>
      </c>
      <c r="N94" s="580">
        <f t="shared" si="29"/>
        <v>0</v>
      </c>
      <c r="O94" s="580">
        <f t="shared" si="29"/>
        <v>0</v>
      </c>
      <c r="P94" s="580">
        <f t="shared" si="29"/>
        <v>0</v>
      </c>
      <c r="Q94" s="580">
        <f t="shared" si="29"/>
        <v>0</v>
      </c>
      <c r="R94" s="580">
        <f t="shared" si="29"/>
        <v>0</v>
      </c>
      <c r="S94" s="580">
        <f t="shared" si="29"/>
        <v>0</v>
      </c>
      <c r="T94" s="580">
        <f t="shared" si="29"/>
        <v>0</v>
      </c>
      <c r="U94" s="580">
        <f t="shared" si="29"/>
        <v>0</v>
      </c>
      <c r="V94" s="580">
        <f t="shared" si="29"/>
        <v>0</v>
      </c>
      <c r="W94" s="580">
        <f t="shared" si="29"/>
        <v>0</v>
      </c>
      <c r="X94" s="580">
        <f t="shared" si="29"/>
        <v>0</v>
      </c>
      <c r="Y94" s="580">
        <f t="shared" si="29"/>
        <v>0</v>
      </c>
      <c r="Z94" s="580">
        <f t="shared" si="29"/>
        <v>0</v>
      </c>
      <c r="AA94" s="580">
        <f t="shared" si="29"/>
        <v>0</v>
      </c>
      <c r="AB94" s="580">
        <f t="shared" si="29"/>
        <v>0</v>
      </c>
      <c r="AC94" s="580">
        <f t="shared" si="29"/>
        <v>0</v>
      </c>
      <c r="AD94" s="580">
        <f t="shared" si="29"/>
        <v>0</v>
      </c>
      <c r="AE94" s="580">
        <f t="shared" si="29"/>
        <v>0</v>
      </c>
      <c r="AF94" s="580">
        <f t="shared" si="29"/>
        <v>0</v>
      </c>
      <c r="AG94" s="580">
        <f t="shared" si="29"/>
        <v>0</v>
      </c>
      <c r="AH94" s="580">
        <f t="shared" si="29"/>
        <v>1820176.2107937061</v>
      </c>
      <c r="AI94" s="580">
        <f t="shared" si="29"/>
        <v>1811526.339667337</v>
      </c>
      <c r="AJ94" s="580">
        <f t="shared" si="29"/>
        <v>2242405.1926494618</v>
      </c>
      <c r="AK94" s="580">
        <f t="shared" si="29"/>
        <v>1948546.1431929271</v>
      </c>
      <c r="AL94" s="580">
        <f t="shared" si="29"/>
        <v>1742013.1953577199</v>
      </c>
      <c r="AM94" s="580">
        <f t="shared" si="29"/>
        <v>1846226.0746663371</v>
      </c>
      <c r="AN94" s="580">
        <f t="shared" si="29"/>
        <v>2354112.6030596336</v>
      </c>
      <c r="AO94" s="580">
        <f t="shared" si="29"/>
        <v>1878948.2207822597</v>
      </c>
      <c r="AP94" s="580">
        <f t="shared" si="29"/>
        <v>1871965.0113742633</v>
      </c>
      <c r="AQ94" s="580">
        <f t="shared" si="29"/>
        <v>1940868.0523988132</v>
      </c>
      <c r="AR94" s="580">
        <f t="shared" si="29"/>
        <v>2456316.3018312696</v>
      </c>
      <c r="AS94" s="580">
        <f t="shared" si="29"/>
        <v>2000376.048648082</v>
      </c>
      <c r="AT94" s="580">
        <f t="shared" si="29"/>
        <v>1894038.2540318544</v>
      </c>
      <c r="AU94" s="580">
        <f t="shared" si="29"/>
        <v>1955174.3812266572</v>
      </c>
      <c r="AV94" s="580">
        <f t="shared" si="29"/>
        <v>2457911.0034494339</v>
      </c>
      <c r="AW94" s="580">
        <f t="shared" si="29"/>
        <v>1934229.9371002805</v>
      </c>
      <c r="AX94" s="580">
        <f t="shared" si="29"/>
        <v>2047923.8308094312</v>
      </c>
      <c r="AY94" s="580">
        <f t="shared" si="29"/>
        <v>2090262.4505997705</v>
      </c>
      <c r="AZ94" s="580">
        <f t="shared" si="29"/>
        <v>2643085.8470115745</v>
      </c>
      <c r="BA94" s="580">
        <f t="shared" si="29"/>
        <v>2105273.938520994</v>
      </c>
      <c r="BB94" s="580">
        <f t="shared" si="29"/>
        <v>2115851.2461391166</v>
      </c>
    </row>
    <row r="95" spans="2:54" ht="15" customHeight="1" thickBot="1">
      <c r="B95" s="581" t="s">
        <v>105</v>
      </c>
      <c r="C95" s="581" t="s">
        <v>2064</v>
      </c>
      <c r="D95" s="203"/>
      <c r="E95" s="203"/>
      <c r="F95" s="203"/>
      <c r="G95" s="203"/>
      <c r="H95" s="203"/>
      <c r="I95" s="203"/>
      <c r="J95" s="203"/>
      <c r="K95" s="203"/>
      <c r="L95" s="203"/>
      <c r="M95" s="203"/>
      <c r="N95" s="203"/>
      <c r="O95" s="203"/>
      <c r="P95" s="203"/>
      <c r="Q95" s="203"/>
      <c r="R95" s="203"/>
      <c r="S95" s="203"/>
      <c r="T95" s="203"/>
      <c r="U95" s="203"/>
      <c r="V95" s="203"/>
      <c r="W95" s="203"/>
      <c r="X95" s="203"/>
      <c r="Y95" s="203"/>
      <c r="Z95" s="203"/>
      <c r="AA95" s="203"/>
      <c r="AB95" s="582"/>
      <c r="AC95" s="582"/>
      <c r="AD95" s="582"/>
      <c r="AE95" s="582"/>
      <c r="AF95" s="582"/>
      <c r="AG95" s="582"/>
      <c r="AH95" s="582"/>
      <c r="AI95" s="582"/>
      <c r="AJ95" s="582"/>
      <c r="AK95" s="582"/>
      <c r="AL95" s="582"/>
      <c r="AM95" s="582"/>
      <c r="AN95" s="582"/>
      <c r="AO95" s="582"/>
      <c r="AP95" s="582"/>
      <c r="AQ95" s="582"/>
      <c r="AR95" s="582"/>
      <c r="AS95" s="582"/>
      <c r="AT95" s="582"/>
      <c r="AU95" s="582"/>
      <c r="AV95" s="582">
        <v>99011.183000000077</v>
      </c>
      <c r="AW95" s="582">
        <v>77257.264999999912</v>
      </c>
      <c r="AX95" s="582">
        <v>72890.024000000267</v>
      </c>
      <c r="AY95" s="582">
        <v>78951.873999999996</v>
      </c>
      <c r="AZ95" s="582">
        <v>98132.592999999353</v>
      </c>
      <c r="BA95" s="582">
        <v>86659.366999999766</v>
      </c>
      <c r="BB95" s="582">
        <v>83355.98000000004</v>
      </c>
    </row>
    <row r="96" spans="2:54" ht="15" customHeight="1" thickBot="1">
      <c r="B96" s="196" t="s">
        <v>106</v>
      </c>
      <c r="C96" s="196" t="s">
        <v>2065</v>
      </c>
      <c r="D96" s="197"/>
      <c r="E96" s="197"/>
      <c r="F96" s="197"/>
      <c r="G96" s="197"/>
      <c r="H96" s="197"/>
      <c r="I96" s="197"/>
      <c r="J96" s="197"/>
      <c r="K96" s="197"/>
      <c r="L96" s="197"/>
      <c r="M96" s="197"/>
      <c r="N96" s="197"/>
      <c r="O96" s="197"/>
      <c r="P96" s="197"/>
      <c r="Q96" s="197"/>
      <c r="R96" s="197"/>
      <c r="S96" s="197"/>
      <c r="T96" s="197"/>
      <c r="U96" s="197"/>
      <c r="V96" s="197"/>
      <c r="W96" s="197"/>
      <c r="X96" s="197"/>
      <c r="Y96" s="197"/>
      <c r="Z96" s="197"/>
      <c r="AA96" s="197"/>
      <c r="AB96" s="198"/>
      <c r="AC96" s="198"/>
      <c r="AD96" s="198"/>
      <c r="AE96" s="198"/>
      <c r="AF96" s="198"/>
      <c r="AG96" s="198"/>
      <c r="AH96" s="198"/>
      <c r="AI96" s="198"/>
      <c r="AJ96" s="198">
        <v>18785.152999999933</v>
      </c>
      <c r="AK96" s="198">
        <v>19558.602999999886</v>
      </c>
      <c r="AL96" s="198">
        <v>18892.500999999931</v>
      </c>
      <c r="AM96" s="198">
        <v>22971.689999999944</v>
      </c>
      <c r="AN96" s="654">
        <v>40791.850000000093</v>
      </c>
      <c r="AO96" s="198">
        <v>35571.135000000242</v>
      </c>
      <c r="AP96" s="198">
        <v>28319.992999999784</v>
      </c>
      <c r="AQ96" s="198">
        <v>40821.452000000048</v>
      </c>
      <c r="AR96" s="198">
        <v>76644.091000000015</v>
      </c>
      <c r="AS96" s="198">
        <v>70479.936999999918</v>
      </c>
      <c r="AT96" s="198">
        <v>66410.485999999801</v>
      </c>
      <c r="AU96" s="198">
        <v>75659.810999999987</v>
      </c>
      <c r="AV96" s="543">
        <f t="shared" ref="AV96:BA96" si="30">+AV95+AV93</f>
        <v>103656.24500000008</v>
      </c>
      <c r="AW96" s="543">
        <f t="shared" si="30"/>
        <v>80770.878999999914</v>
      </c>
      <c r="AX96" s="543">
        <f t="shared" si="30"/>
        <v>76497.102000000261</v>
      </c>
      <c r="AY96" s="543">
        <f t="shared" si="30"/>
        <v>93220.293999999994</v>
      </c>
      <c r="AZ96" s="543">
        <f t="shared" si="30"/>
        <v>128298.87999999935</v>
      </c>
      <c r="BA96" s="543">
        <f t="shared" si="30"/>
        <v>111309.84899999977</v>
      </c>
      <c r="BB96" s="543">
        <f>+BB95+BB93</f>
        <v>110199.86500000003</v>
      </c>
    </row>
    <row r="97" spans="2:54" ht="15" customHeight="1" thickBot="1">
      <c r="B97" s="199" t="s">
        <v>120</v>
      </c>
      <c r="C97" s="199" t="s">
        <v>121</v>
      </c>
      <c r="D97" s="195">
        <f t="shared" ref="D97:BB97" si="31">D92+D96</f>
        <v>0</v>
      </c>
      <c r="E97" s="195">
        <f t="shared" si="31"/>
        <v>0</v>
      </c>
      <c r="F97" s="195">
        <f t="shared" si="31"/>
        <v>0</v>
      </c>
      <c r="G97" s="195">
        <f t="shared" si="31"/>
        <v>0</v>
      </c>
      <c r="H97" s="195">
        <f t="shared" si="31"/>
        <v>0</v>
      </c>
      <c r="I97" s="195">
        <f t="shared" si="31"/>
        <v>0</v>
      </c>
      <c r="J97" s="195">
        <f t="shared" si="31"/>
        <v>0</v>
      </c>
      <c r="K97" s="195">
        <f t="shared" si="31"/>
        <v>0</v>
      </c>
      <c r="L97" s="195">
        <f t="shared" si="31"/>
        <v>0</v>
      </c>
      <c r="M97" s="195">
        <f t="shared" si="31"/>
        <v>0</v>
      </c>
      <c r="N97" s="195">
        <f t="shared" si="31"/>
        <v>0</v>
      </c>
      <c r="O97" s="195">
        <f t="shared" si="31"/>
        <v>0</v>
      </c>
      <c r="P97" s="195">
        <f t="shared" si="31"/>
        <v>0</v>
      </c>
      <c r="Q97" s="195">
        <f t="shared" si="31"/>
        <v>0</v>
      </c>
      <c r="R97" s="195">
        <f t="shared" si="31"/>
        <v>0</v>
      </c>
      <c r="S97" s="195">
        <f t="shared" si="31"/>
        <v>0</v>
      </c>
      <c r="T97" s="195">
        <f t="shared" si="31"/>
        <v>0</v>
      </c>
      <c r="U97" s="195">
        <f t="shared" si="31"/>
        <v>0</v>
      </c>
      <c r="V97" s="195">
        <f t="shared" si="31"/>
        <v>0</v>
      </c>
      <c r="W97" s="195">
        <f t="shared" si="31"/>
        <v>0</v>
      </c>
      <c r="X97" s="195">
        <f t="shared" si="31"/>
        <v>0</v>
      </c>
      <c r="Y97" s="195">
        <f t="shared" si="31"/>
        <v>0</v>
      </c>
      <c r="Z97" s="195">
        <f t="shared" si="31"/>
        <v>0</v>
      </c>
      <c r="AA97" s="195">
        <f t="shared" si="31"/>
        <v>0</v>
      </c>
      <c r="AB97" s="195">
        <f t="shared" si="31"/>
        <v>0</v>
      </c>
      <c r="AC97" s="195">
        <f t="shared" si="31"/>
        <v>0</v>
      </c>
      <c r="AD97" s="195">
        <f t="shared" si="31"/>
        <v>0</v>
      </c>
      <c r="AE97" s="195">
        <f t="shared" si="31"/>
        <v>0</v>
      </c>
      <c r="AF97" s="195">
        <f t="shared" si="31"/>
        <v>0</v>
      </c>
      <c r="AG97" s="195">
        <f t="shared" si="31"/>
        <v>0</v>
      </c>
      <c r="AH97" s="195">
        <f t="shared" si="31"/>
        <v>1820176.2107937061</v>
      </c>
      <c r="AI97" s="195">
        <f t="shared" si="31"/>
        <v>1811526.339667337</v>
      </c>
      <c r="AJ97" s="195">
        <f t="shared" si="31"/>
        <v>2261190.3456494617</v>
      </c>
      <c r="AK97" s="195">
        <f t="shared" si="31"/>
        <v>1968104.746192927</v>
      </c>
      <c r="AL97" s="195">
        <f t="shared" si="31"/>
        <v>1760905.6963577198</v>
      </c>
      <c r="AM97" s="195">
        <f t="shared" si="31"/>
        <v>1869197.7646663371</v>
      </c>
      <c r="AN97" s="195">
        <f t="shared" si="31"/>
        <v>2394904.4530596337</v>
      </c>
      <c r="AO97" s="195">
        <f t="shared" si="31"/>
        <v>1914519.35578226</v>
      </c>
      <c r="AP97" s="195">
        <f t="shared" si="31"/>
        <v>1900285.0043742631</v>
      </c>
      <c r="AQ97" s="195">
        <f t="shared" si="31"/>
        <v>1981689.5043988132</v>
      </c>
      <c r="AR97" s="195">
        <f t="shared" si="31"/>
        <v>2532960.3928312697</v>
      </c>
      <c r="AS97" s="195">
        <f t="shared" si="31"/>
        <v>2070855.9856480819</v>
      </c>
      <c r="AT97" s="195">
        <f t="shared" si="31"/>
        <v>1960448.7400318542</v>
      </c>
      <c r="AU97" s="195">
        <f t="shared" si="31"/>
        <v>2030834.1922266572</v>
      </c>
      <c r="AV97" s="195">
        <f t="shared" si="31"/>
        <v>2556922.1864494341</v>
      </c>
      <c r="AW97" s="195">
        <f t="shared" si="31"/>
        <v>2011487.2021002804</v>
      </c>
      <c r="AX97" s="195">
        <f t="shared" si="31"/>
        <v>2120813.8548094314</v>
      </c>
      <c r="AY97" s="195">
        <f t="shared" si="31"/>
        <v>2169214.3245997708</v>
      </c>
      <c r="AZ97" s="195">
        <f t="shared" si="31"/>
        <v>2741218.440011574</v>
      </c>
      <c r="BA97" s="195">
        <f t="shared" si="31"/>
        <v>2191933.3055209937</v>
      </c>
      <c r="BB97" s="195">
        <f t="shared" si="31"/>
        <v>2199207.226139117</v>
      </c>
    </row>
    <row r="98" spans="2:54" ht="15" customHeight="1">
      <c r="B98" s="204"/>
      <c r="C98" s="204"/>
      <c r="D98" s="205"/>
      <c r="E98" s="205"/>
      <c r="F98" s="205"/>
      <c r="G98" s="205"/>
      <c r="H98" s="205"/>
      <c r="I98" s="205"/>
      <c r="J98" s="205"/>
      <c r="K98" s="205"/>
      <c r="L98" s="205"/>
      <c r="M98" s="205"/>
      <c r="N98" s="205"/>
      <c r="O98" s="205"/>
      <c r="P98" s="205"/>
      <c r="Q98" s="205"/>
      <c r="R98" s="205"/>
      <c r="S98" s="205"/>
      <c r="T98" s="205"/>
      <c r="U98" s="205"/>
      <c r="V98" s="205"/>
      <c r="W98" s="205"/>
      <c r="X98" s="205"/>
      <c r="Y98" s="205"/>
      <c r="Z98" s="205"/>
      <c r="AA98" s="205"/>
      <c r="AB98" s="205"/>
      <c r="AC98" s="205"/>
      <c r="AD98" s="205"/>
      <c r="AE98" s="205"/>
      <c r="AF98" s="205"/>
      <c r="AG98" s="205"/>
      <c r="AH98" s="205"/>
      <c r="AI98" s="205"/>
      <c r="AJ98" s="205"/>
      <c r="AK98" s="205"/>
      <c r="AL98" s="205"/>
      <c r="AM98" s="205"/>
      <c r="AN98" s="205"/>
      <c r="AO98" s="205"/>
      <c r="AP98" s="205"/>
      <c r="AQ98" s="205"/>
      <c r="AR98" s="205"/>
      <c r="AS98" s="205"/>
      <c r="AT98" s="205"/>
      <c r="AU98" s="205"/>
      <c r="AV98" s="205"/>
      <c r="AW98" s="205"/>
      <c r="AX98" s="205"/>
      <c r="AY98" s="205"/>
      <c r="AZ98" s="205"/>
      <c r="BA98" s="205"/>
      <c r="BB98" s="205"/>
    </row>
    <row r="99" spans="2:54" ht="15" customHeight="1">
      <c r="B99" s="190" t="s">
        <v>122</v>
      </c>
      <c r="C99" s="190" t="s">
        <v>122</v>
      </c>
      <c r="D99" s="191"/>
      <c r="E99" s="191"/>
      <c r="F99" s="191"/>
      <c r="G99" s="191"/>
      <c r="H99" s="191"/>
      <c r="I99" s="191"/>
      <c r="J99" s="191"/>
      <c r="K99" s="191"/>
      <c r="L99" s="191"/>
      <c r="M99" s="191"/>
      <c r="N99" s="191"/>
      <c r="O99" s="191"/>
      <c r="P99" s="191"/>
      <c r="Q99" s="191"/>
      <c r="R99" s="191"/>
      <c r="S99" s="191"/>
      <c r="T99" s="191"/>
      <c r="U99" s="191"/>
      <c r="V99" s="191"/>
      <c r="W99" s="191"/>
      <c r="X99" s="191"/>
      <c r="Y99" s="191"/>
      <c r="Z99" s="191"/>
      <c r="AA99" s="191"/>
      <c r="AB99" s="191"/>
      <c r="AC99" s="191"/>
      <c r="AD99" s="191"/>
      <c r="AE99" s="191"/>
      <c r="AF99" s="191"/>
      <c r="AG99" s="191"/>
      <c r="AH99" s="191"/>
      <c r="AI99" s="191"/>
      <c r="AJ99" s="191"/>
      <c r="AK99" s="191"/>
      <c r="AL99" s="191"/>
      <c r="AM99" s="191"/>
      <c r="AN99" s="191"/>
      <c r="AO99" s="191"/>
      <c r="AP99" s="191"/>
      <c r="AQ99" s="191"/>
      <c r="AR99" s="191"/>
      <c r="AS99" s="191"/>
      <c r="AT99" s="191"/>
      <c r="AU99" s="191"/>
      <c r="AV99" s="191"/>
      <c r="AW99" s="191"/>
      <c r="AX99" s="191"/>
      <c r="AY99" s="191"/>
      <c r="AZ99" s="191"/>
      <c r="BA99" s="191"/>
      <c r="BB99" s="191"/>
    </row>
    <row r="100" spans="2:54" ht="15" customHeight="1">
      <c r="B100" s="192" t="s">
        <v>90</v>
      </c>
      <c r="C100" s="192" t="s">
        <v>91</v>
      </c>
      <c r="D100" s="193"/>
      <c r="E100" s="193"/>
      <c r="F100" s="193"/>
      <c r="G100" s="193"/>
      <c r="H100" s="193"/>
      <c r="I100" s="193"/>
      <c r="J100" s="193"/>
      <c r="K100" s="193"/>
      <c r="L100" s="193"/>
      <c r="M100" s="193"/>
      <c r="N100" s="193"/>
      <c r="O100" s="193"/>
      <c r="P100" s="193"/>
      <c r="Q100" s="193"/>
      <c r="R100" s="193"/>
      <c r="S100" s="193"/>
      <c r="T100" s="193"/>
      <c r="U100" s="193"/>
      <c r="V100" s="193"/>
      <c r="W100" s="193"/>
      <c r="X100" s="193"/>
      <c r="Y100" s="201"/>
      <c r="Z100" s="201"/>
      <c r="AA100" s="201"/>
      <c r="AB100" s="201"/>
      <c r="AC100" s="201"/>
      <c r="AD100" s="201"/>
      <c r="AE100" s="201"/>
      <c r="AF100" s="201"/>
      <c r="AG100" s="201"/>
      <c r="AH100" s="201"/>
      <c r="AI100" s="201">
        <v>135814.52600000001</v>
      </c>
      <c r="AJ100" s="201">
        <v>149836.17800000001</v>
      </c>
      <c r="AK100" s="201">
        <v>149507.58899999998</v>
      </c>
      <c r="AL100" s="201">
        <v>155644.79999999999</v>
      </c>
      <c r="AM100" s="201">
        <v>145811.201</v>
      </c>
      <c r="AN100" s="201">
        <v>113953.71400000001</v>
      </c>
      <c r="AO100" s="201">
        <v>126363.05000000002</v>
      </c>
      <c r="AP100" s="201">
        <v>145326.83599999998</v>
      </c>
      <c r="AQ100" s="201">
        <v>144483.03999999998</v>
      </c>
      <c r="AR100" s="201">
        <v>131393.82399999999</v>
      </c>
      <c r="AS100" s="201">
        <v>160251.99099999998</v>
      </c>
      <c r="AT100" s="201">
        <v>173609.26699999999</v>
      </c>
      <c r="AU100" s="201">
        <v>205555.02</v>
      </c>
      <c r="AV100" s="201">
        <v>185143.133</v>
      </c>
      <c r="AW100" s="201">
        <v>189325.11900000001</v>
      </c>
      <c r="AX100" s="201">
        <v>209294.34400000001</v>
      </c>
      <c r="AY100" s="201">
        <v>218400.807</v>
      </c>
      <c r="AZ100" s="201">
        <v>179967.08199999999</v>
      </c>
      <c r="BA100" s="201">
        <v>181128.236</v>
      </c>
      <c r="BB100" s="201">
        <v>196252.57499999998</v>
      </c>
    </row>
    <row r="101" spans="2:54" ht="15" customHeight="1">
      <c r="B101" s="192" t="s">
        <v>92</v>
      </c>
      <c r="C101" s="192" t="s">
        <v>92</v>
      </c>
      <c r="D101" s="193"/>
      <c r="E101" s="193"/>
      <c r="F101" s="193"/>
      <c r="G101" s="193"/>
      <c r="H101" s="193"/>
      <c r="I101" s="193"/>
      <c r="J101" s="193"/>
      <c r="K101" s="193"/>
      <c r="L101" s="193"/>
      <c r="M101" s="193"/>
      <c r="N101" s="193"/>
      <c r="O101" s="193"/>
      <c r="P101" s="193"/>
      <c r="Q101" s="193"/>
      <c r="R101" s="193"/>
      <c r="S101" s="193"/>
      <c r="T101" s="193"/>
      <c r="U101" s="193"/>
      <c r="V101" s="193"/>
      <c r="W101" s="193"/>
      <c r="X101" s="193"/>
      <c r="Y101" s="201"/>
      <c r="Z101" s="201"/>
      <c r="AA101" s="201"/>
      <c r="AB101" s="201"/>
      <c r="AC101" s="201"/>
      <c r="AD101" s="201"/>
      <c r="AE101" s="201"/>
      <c r="AF101" s="201"/>
      <c r="AG101" s="201"/>
      <c r="AH101" s="201"/>
      <c r="AI101" s="201">
        <v>23144.988000000005</v>
      </c>
      <c r="AJ101" s="201">
        <v>26782.438000000002</v>
      </c>
      <c r="AK101" s="201">
        <v>27499.660999999996</v>
      </c>
      <c r="AL101" s="201">
        <v>28205.064000000002</v>
      </c>
      <c r="AM101" s="201">
        <v>26612.148000000001</v>
      </c>
      <c r="AN101" s="201">
        <v>23746.163</v>
      </c>
      <c r="AO101" s="201">
        <v>29756.260000000002</v>
      </c>
      <c r="AP101" s="201">
        <v>22415.925999999999</v>
      </c>
      <c r="AQ101" s="201">
        <v>23597.264999999999</v>
      </c>
      <c r="AR101" s="201">
        <v>12852.902</v>
      </c>
      <c r="AS101" s="201">
        <v>7764.61</v>
      </c>
      <c r="AT101" s="201">
        <v>7468.1480000000001</v>
      </c>
      <c r="AU101" s="201">
        <v>7955.0129999999999</v>
      </c>
      <c r="AV101" s="201">
        <v>6982.0069999999996</v>
      </c>
      <c r="AW101" s="201">
        <v>8857.32</v>
      </c>
      <c r="AX101" s="201">
        <v>11143.556</v>
      </c>
      <c r="AY101" s="201">
        <v>10705.087</v>
      </c>
      <c r="AZ101" s="201">
        <v>7989.848</v>
      </c>
      <c r="BA101" s="201">
        <v>6651.1379999999999</v>
      </c>
      <c r="BB101" s="201">
        <v>7450.634</v>
      </c>
    </row>
    <row r="102" spans="2:54" ht="15" customHeight="1">
      <c r="B102" s="192" t="s">
        <v>93</v>
      </c>
      <c r="C102" s="192" t="s">
        <v>94</v>
      </c>
      <c r="D102" s="193"/>
      <c r="E102" s="193"/>
      <c r="F102" s="193"/>
      <c r="G102" s="193"/>
      <c r="H102" s="193"/>
      <c r="I102" s="193"/>
      <c r="J102" s="193"/>
      <c r="K102" s="193"/>
      <c r="L102" s="193"/>
      <c r="M102" s="193"/>
      <c r="N102" s="193"/>
      <c r="O102" s="193"/>
      <c r="P102" s="193"/>
      <c r="Q102" s="193"/>
      <c r="R102" s="193"/>
      <c r="S102" s="193"/>
      <c r="T102" s="193"/>
      <c r="U102" s="193"/>
      <c r="V102" s="193"/>
      <c r="W102" s="193"/>
      <c r="X102" s="193"/>
      <c r="Y102" s="201"/>
      <c r="Z102" s="201"/>
      <c r="AA102" s="201"/>
      <c r="AB102" s="201"/>
      <c r="AC102" s="201"/>
      <c r="AD102" s="201"/>
      <c r="AE102" s="201"/>
      <c r="AF102" s="201"/>
      <c r="AG102" s="201"/>
      <c r="AH102" s="201"/>
      <c r="AI102" s="201">
        <v>58966.430999999997</v>
      </c>
      <c r="AJ102" s="201">
        <v>60487.913</v>
      </c>
      <c r="AK102" s="201">
        <v>58068.364000000001</v>
      </c>
      <c r="AL102" s="201">
        <v>66236.955000000002</v>
      </c>
      <c r="AM102" s="201">
        <v>66341.75</v>
      </c>
      <c r="AN102" s="201">
        <v>55513.884999999995</v>
      </c>
      <c r="AO102" s="201">
        <v>60101.577999999994</v>
      </c>
      <c r="AP102" s="201">
        <v>66622.194000000003</v>
      </c>
      <c r="AQ102" s="201">
        <v>68597.838000000003</v>
      </c>
      <c r="AR102" s="201">
        <v>57919.494999999995</v>
      </c>
      <c r="AS102" s="201">
        <v>66745.243000000002</v>
      </c>
      <c r="AT102" s="201">
        <v>72140.138999999996</v>
      </c>
      <c r="AU102" s="201">
        <v>70514.077999999994</v>
      </c>
      <c r="AV102" s="201">
        <v>60688.745000000003</v>
      </c>
      <c r="AW102" s="201">
        <v>60966.063000000002</v>
      </c>
      <c r="AX102" s="201">
        <v>60330.135000000002</v>
      </c>
      <c r="AY102" s="201">
        <v>59229.129000000001</v>
      </c>
      <c r="AZ102" s="201">
        <v>48356.955000000002</v>
      </c>
      <c r="BA102" s="201">
        <v>49418.667000000001</v>
      </c>
      <c r="BB102" s="201">
        <v>52746.233999999997</v>
      </c>
    </row>
    <row r="103" spans="2:54" ht="15" customHeight="1" thickBot="1">
      <c r="B103" s="192" t="s">
        <v>95</v>
      </c>
      <c r="C103" s="192" t="s">
        <v>96</v>
      </c>
      <c r="D103" s="193"/>
      <c r="E103" s="193"/>
      <c r="F103" s="193"/>
      <c r="G103" s="193"/>
      <c r="H103" s="193"/>
      <c r="I103" s="193"/>
      <c r="J103" s="193"/>
      <c r="K103" s="193"/>
      <c r="L103" s="193"/>
      <c r="M103" s="193"/>
      <c r="N103" s="193"/>
      <c r="O103" s="193"/>
      <c r="P103" s="193"/>
      <c r="Q103" s="193"/>
      <c r="R103" s="193"/>
      <c r="S103" s="193"/>
      <c r="T103" s="193"/>
      <c r="U103" s="193"/>
      <c r="V103" s="193"/>
      <c r="W103" s="193"/>
      <c r="X103" s="193"/>
      <c r="Y103" s="201"/>
      <c r="Z103" s="201"/>
      <c r="AA103" s="201"/>
      <c r="AB103" s="201"/>
      <c r="AC103" s="201"/>
      <c r="AD103" s="201"/>
      <c r="AE103" s="201"/>
      <c r="AF103" s="201"/>
      <c r="AG103" s="201"/>
      <c r="AH103" s="201"/>
      <c r="AI103" s="201">
        <v>37993.707000000002</v>
      </c>
      <c r="AJ103" s="201">
        <v>34435.851999999999</v>
      </c>
      <c r="AK103" s="201">
        <v>36720.097000000002</v>
      </c>
      <c r="AL103" s="201">
        <v>39876.481</v>
      </c>
      <c r="AM103" s="201">
        <v>41479.100999999995</v>
      </c>
      <c r="AN103" s="201">
        <v>36393.448999999993</v>
      </c>
      <c r="AO103" s="201">
        <v>41984.758000000002</v>
      </c>
      <c r="AP103" s="201">
        <v>44114.858</v>
      </c>
      <c r="AQ103" s="201">
        <v>89519.854999999996</v>
      </c>
      <c r="AR103" s="201">
        <v>41747.786999999997</v>
      </c>
      <c r="AS103" s="201">
        <v>37771.006000000052</v>
      </c>
      <c r="AT103" s="201">
        <v>56434.067999999999</v>
      </c>
      <c r="AU103" s="201">
        <v>31921.10400000005</v>
      </c>
      <c r="AV103" s="201">
        <v>40411.53499999996</v>
      </c>
      <c r="AW103" s="201">
        <v>40679.02900000001</v>
      </c>
      <c r="AX103" s="201">
        <v>46923.089999999967</v>
      </c>
      <c r="AY103" s="201">
        <v>44212.364000000001</v>
      </c>
      <c r="AZ103" s="201">
        <v>38396.040999999968</v>
      </c>
      <c r="BA103" s="201">
        <v>43448.486999999965</v>
      </c>
      <c r="BB103" s="201">
        <v>42524.101999999984</v>
      </c>
    </row>
    <row r="104" spans="2:54" ht="15" customHeight="1" thickBot="1">
      <c r="B104" s="199" t="s">
        <v>97</v>
      </c>
      <c r="C104" s="194" t="s">
        <v>98</v>
      </c>
      <c r="D104" s="202"/>
      <c r="E104" s="202"/>
      <c r="F104" s="202"/>
      <c r="G104" s="202"/>
      <c r="H104" s="202"/>
      <c r="I104" s="202"/>
      <c r="J104" s="202"/>
      <c r="K104" s="202"/>
      <c r="L104" s="202"/>
      <c r="M104" s="202"/>
      <c r="N104" s="202"/>
      <c r="O104" s="202"/>
      <c r="P104" s="202"/>
      <c r="Q104" s="202"/>
      <c r="R104" s="202"/>
      <c r="S104" s="202"/>
      <c r="T104" s="202"/>
      <c r="U104" s="202"/>
      <c r="V104" s="202"/>
      <c r="W104" s="202"/>
      <c r="X104" s="202"/>
      <c r="Y104" s="202"/>
      <c r="Z104" s="202"/>
      <c r="AA104" s="202"/>
      <c r="AB104" s="202"/>
      <c r="AC104" s="202"/>
      <c r="AD104" s="202"/>
      <c r="AE104" s="202"/>
      <c r="AF104" s="202"/>
      <c r="AG104" s="202"/>
      <c r="AH104" s="202"/>
      <c r="AI104" s="202">
        <f>SUM(AI100:AI103)</f>
        <v>255919.652</v>
      </c>
      <c r="AJ104" s="202">
        <f t="shared" ref="AJ104:BB104" si="32">SUM(AJ100:AJ103)</f>
        <v>271542.38099999999</v>
      </c>
      <c r="AK104" s="202">
        <f t="shared" si="32"/>
        <v>271795.71099999995</v>
      </c>
      <c r="AL104" s="202">
        <f t="shared" si="32"/>
        <v>289963.30000000005</v>
      </c>
      <c r="AM104" s="202">
        <f t="shared" si="32"/>
        <v>280244.19999999995</v>
      </c>
      <c r="AN104" s="202">
        <f t="shared" si="32"/>
        <v>229607.21099999998</v>
      </c>
      <c r="AO104" s="202">
        <f t="shared" si="32"/>
        <v>258205.64600000004</v>
      </c>
      <c r="AP104" s="202">
        <f t="shared" si="32"/>
        <v>278479.81400000001</v>
      </c>
      <c r="AQ104" s="202">
        <f t="shared" si="32"/>
        <v>326197.99799999996</v>
      </c>
      <c r="AR104" s="202">
        <f t="shared" si="32"/>
        <v>243914.00799999997</v>
      </c>
      <c r="AS104" s="202">
        <f t="shared" si="32"/>
        <v>272532.85000000003</v>
      </c>
      <c r="AT104" s="202">
        <f t="shared" si="32"/>
        <v>309651.62199999997</v>
      </c>
      <c r="AU104" s="202">
        <f t="shared" si="32"/>
        <v>315945.21500000003</v>
      </c>
      <c r="AV104" s="202">
        <f t="shared" si="32"/>
        <v>293225.42</v>
      </c>
      <c r="AW104" s="202">
        <f t="shared" si="32"/>
        <v>299827.53100000002</v>
      </c>
      <c r="AX104" s="195">
        <f t="shared" si="32"/>
        <v>327691.125</v>
      </c>
      <c r="AY104" s="195">
        <f t="shared" si="32"/>
        <v>332547.38699999999</v>
      </c>
      <c r="AZ104" s="195">
        <f t="shared" si="32"/>
        <v>274709.92599999998</v>
      </c>
      <c r="BA104" s="195">
        <f t="shared" si="32"/>
        <v>280646.52799999999</v>
      </c>
      <c r="BB104" s="195">
        <f t="shared" si="32"/>
        <v>298973.54499999993</v>
      </c>
    </row>
    <row r="105" spans="2:54" ht="15" customHeight="1">
      <c r="B105" s="192" t="s">
        <v>92</v>
      </c>
      <c r="C105" s="192" t="s">
        <v>92</v>
      </c>
      <c r="D105" s="193"/>
      <c r="E105" s="193"/>
      <c r="F105" s="193"/>
      <c r="G105" s="193"/>
      <c r="H105" s="193"/>
      <c r="I105" s="193"/>
      <c r="J105" s="193"/>
      <c r="K105" s="193"/>
      <c r="L105" s="193"/>
      <c r="M105" s="193"/>
      <c r="N105" s="193"/>
      <c r="O105" s="193"/>
      <c r="P105" s="193"/>
      <c r="Q105" s="193"/>
      <c r="R105" s="193"/>
      <c r="S105" s="193"/>
      <c r="T105" s="193"/>
      <c r="U105" s="193"/>
      <c r="V105" s="193"/>
      <c r="W105" s="193"/>
      <c r="X105" s="193"/>
      <c r="Y105" s="201"/>
      <c r="Z105" s="201"/>
      <c r="AA105" s="201"/>
      <c r="AB105" s="201"/>
      <c r="AC105" s="201"/>
      <c r="AD105" s="201"/>
      <c r="AE105" s="201"/>
      <c r="AF105" s="201"/>
      <c r="AG105" s="201"/>
      <c r="AH105" s="201"/>
      <c r="AI105" s="201">
        <v>0</v>
      </c>
      <c r="AJ105" s="201">
        <v>0</v>
      </c>
      <c r="AK105" s="201">
        <v>0</v>
      </c>
      <c r="AL105" s="201">
        <v>0</v>
      </c>
      <c r="AM105" s="201">
        <v>0</v>
      </c>
      <c r="AN105" s="201">
        <v>0</v>
      </c>
      <c r="AO105" s="201">
        <v>1151.809</v>
      </c>
      <c r="AP105" s="201">
        <v>1238.3899999999999</v>
      </c>
      <c r="AQ105" s="201">
        <v>1226.1600000000001</v>
      </c>
      <c r="AR105" s="201">
        <v>791.23199999999997</v>
      </c>
      <c r="AS105" s="201">
        <v>1479.404</v>
      </c>
      <c r="AT105" s="201">
        <v>2092.4769999999999</v>
      </c>
      <c r="AU105" s="201">
        <v>1720.0351599999999</v>
      </c>
      <c r="AV105" s="201">
        <v>2187</v>
      </c>
      <c r="AW105" s="201">
        <v>2231.4960000000001</v>
      </c>
      <c r="AX105" s="193">
        <v>2971.650482</v>
      </c>
      <c r="AY105" s="201">
        <v>3022.9727170000001</v>
      </c>
      <c r="AZ105" s="201">
        <v>4093.2396289999997</v>
      </c>
      <c r="BA105" s="193">
        <v>6008.2949090000002</v>
      </c>
      <c r="BB105" s="193">
        <v>5264.3743629999999</v>
      </c>
    </row>
    <row r="106" spans="2:54" ht="15" customHeight="1">
      <c r="B106" s="192" t="s">
        <v>93</v>
      </c>
      <c r="C106" s="192" t="s">
        <v>94</v>
      </c>
      <c r="D106" s="193"/>
      <c r="E106" s="193"/>
      <c r="F106" s="193"/>
      <c r="G106" s="193"/>
      <c r="H106" s="193"/>
      <c r="I106" s="193"/>
      <c r="J106" s="193"/>
      <c r="K106" s="193"/>
      <c r="L106" s="193"/>
      <c r="M106" s="193"/>
      <c r="N106" s="193"/>
      <c r="O106" s="193"/>
      <c r="P106" s="193"/>
      <c r="Q106" s="193"/>
      <c r="R106" s="193"/>
      <c r="S106" s="193"/>
      <c r="T106" s="193"/>
      <c r="U106" s="193"/>
      <c r="V106" s="193"/>
      <c r="W106" s="193"/>
      <c r="X106" s="193"/>
      <c r="Y106" s="201"/>
      <c r="Z106" s="201"/>
      <c r="AA106" s="201"/>
      <c r="AB106" s="201"/>
      <c r="AC106" s="201"/>
      <c r="AD106" s="201"/>
      <c r="AE106" s="201"/>
      <c r="AF106" s="201"/>
      <c r="AG106" s="201"/>
      <c r="AH106" s="201"/>
      <c r="AI106" s="201">
        <v>266.62900000000002</v>
      </c>
      <c r="AJ106" s="201">
        <v>592.73</v>
      </c>
      <c r="AK106" s="201">
        <v>2075.94</v>
      </c>
      <c r="AL106" s="201">
        <v>2368.7993650413632</v>
      </c>
      <c r="AM106" s="201">
        <v>2389.3423749860699</v>
      </c>
      <c r="AN106" s="653">
        <v>2191.1109999999999</v>
      </c>
      <c r="AO106" s="201">
        <v>2536.904</v>
      </c>
      <c r="AP106" s="201">
        <v>2989.5550000000003</v>
      </c>
      <c r="AQ106" s="201">
        <v>3004.6919999999996</v>
      </c>
      <c r="AR106" s="201">
        <v>2651.0770000000002</v>
      </c>
      <c r="AS106" s="201">
        <v>2906.587</v>
      </c>
      <c r="AT106" s="201">
        <v>5633.067</v>
      </c>
      <c r="AU106" s="201">
        <v>9313.2817309999991</v>
      </c>
      <c r="AV106" s="201">
        <v>12525</v>
      </c>
      <c r="AW106" s="201">
        <v>15656</v>
      </c>
      <c r="AX106" s="193">
        <v>18582.946810000001</v>
      </c>
      <c r="AY106" s="201">
        <v>20099.069319999999</v>
      </c>
      <c r="AZ106" s="201">
        <v>19119.229651999998</v>
      </c>
      <c r="BA106" s="193">
        <v>20623.352481999998</v>
      </c>
      <c r="BB106" s="193">
        <v>21989.316114000001</v>
      </c>
    </row>
    <row r="107" spans="2:54" ht="15" customHeight="1" thickBot="1">
      <c r="B107" s="192" t="s">
        <v>95</v>
      </c>
      <c r="C107" s="192" t="s">
        <v>96</v>
      </c>
      <c r="D107" s="193"/>
      <c r="E107" s="193"/>
      <c r="F107" s="193"/>
      <c r="G107" s="193"/>
      <c r="H107" s="193"/>
      <c r="I107" s="193"/>
      <c r="J107" s="193"/>
      <c r="K107" s="193"/>
      <c r="L107" s="193"/>
      <c r="M107" s="193"/>
      <c r="N107" s="193"/>
      <c r="O107" s="193"/>
      <c r="P107" s="193"/>
      <c r="Q107" s="193"/>
      <c r="R107" s="193"/>
      <c r="S107" s="193"/>
      <c r="T107" s="193"/>
      <c r="U107" s="193"/>
      <c r="V107" s="193"/>
      <c r="W107" s="193"/>
      <c r="X107" s="193"/>
      <c r="Y107" s="201"/>
      <c r="Z107" s="201"/>
      <c r="AA107" s="201"/>
      <c r="AB107" s="201"/>
      <c r="AC107" s="201"/>
      <c r="AD107" s="201"/>
      <c r="AE107" s="201"/>
      <c r="AF107" s="201"/>
      <c r="AG107" s="201"/>
      <c r="AH107" s="201"/>
      <c r="AI107" s="201">
        <v>0</v>
      </c>
      <c r="AJ107" s="201">
        <v>0</v>
      </c>
      <c r="AK107" s="201">
        <v>0</v>
      </c>
      <c r="AL107" s="201">
        <v>0</v>
      </c>
      <c r="AM107" s="201">
        <v>0</v>
      </c>
      <c r="AN107" s="201">
        <v>0</v>
      </c>
      <c r="AO107" s="201">
        <v>0</v>
      </c>
      <c r="AP107" s="201">
        <v>0</v>
      </c>
      <c r="AQ107" s="201">
        <v>0</v>
      </c>
      <c r="AR107" s="201">
        <v>0</v>
      </c>
      <c r="AS107" s="201">
        <v>0</v>
      </c>
      <c r="AT107" s="201">
        <v>3672.03</v>
      </c>
      <c r="AU107" s="201">
        <v>3987.5321010000007</v>
      </c>
      <c r="AV107" s="201">
        <v>4074.9999999999977</v>
      </c>
      <c r="AW107" s="201">
        <v>3976.5040000000004</v>
      </c>
      <c r="AX107" s="193">
        <v>4077.2680869999967</v>
      </c>
      <c r="AY107" s="201">
        <v>4163.2963149999996</v>
      </c>
      <c r="AZ107" s="201">
        <v>4037.722045999999</v>
      </c>
      <c r="BA107" s="193">
        <v>4164.0295790000018</v>
      </c>
      <c r="BB107" s="193">
        <v>3445.9858410000015</v>
      </c>
    </row>
    <row r="108" spans="2:54" ht="15" customHeight="1" thickBot="1">
      <c r="B108" s="194" t="s">
        <v>99</v>
      </c>
      <c r="C108" s="194" t="s">
        <v>100</v>
      </c>
      <c r="D108" s="195"/>
      <c r="E108" s="195"/>
      <c r="F108" s="195"/>
      <c r="G108" s="195"/>
      <c r="H108" s="195"/>
      <c r="I108" s="195"/>
      <c r="J108" s="195"/>
      <c r="K108" s="195"/>
      <c r="L108" s="195"/>
      <c r="M108" s="195"/>
      <c r="N108" s="195"/>
      <c r="O108" s="195"/>
      <c r="P108" s="195"/>
      <c r="Q108" s="195"/>
      <c r="R108" s="195"/>
      <c r="S108" s="195"/>
      <c r="T108" s="195"/>
      <c r="U108" s="195"/>
      <c r="V108" s="195"/>
      <c r="W108" s="195"/>
      <c r="X108" s="195"/>
      <c r="Y108" s="195"/>
      <c r="Z108" s="195"/>
      <c r="AA108" s="195"/>
      <c r="AB108" s="195"/>
      <c r="AC108" s="195"/>
      <c r="AD108" s="195"/>
      <c r="AE108" s="195"/>
      <c r="AF108" s="195"/>
      <c r="AG108" s="195"/>
      <c r="AH108" s="195"/>
      <c r="AI108" s="195">
        <f>SUM(AI105:AI107)</f>
        <v>266.62900000000002</v>
      </c>
      <c r="AJ108" s="195">
        <f t="shared" ref="AJ108:BB108" si="33">SUM(AJ105:AJ107)</f>
        <v>592.73</v>
      </c>
      <c r="AK108" s="195">
        <f t="shared" si="33"/>
        <v>2075.94</v>
      </c>
      <c r="AL108" s="195">
        <f t="shared" si="33"/>
        <v>2368.7993650413632</v>
      </c>
      <c r="AM108" s="195">
        <f t="shared" si="33"/>
        <v>2389.3423749860699</v>
      </c>
      <c r="AN108" s="195">
        <f t="shared" si="33"/>
        <v>2191.1109999999999</v>
      </c>
      <c r="AO108" s="195">
        <f t="shared" si="33"/>
        <v>3688.7129999999997</v>
      </c>
      <c r="AP108" s="195">
        <f t="shared" si="33"/>
        <v>4227.9449999999997</v>
      </c>
      <c r="AQ108" s="195">
        <f t="shared" si="33"/>
        <v>4230.8519999999999</v>
      </c>
      <c r="AR108" s="195">
        <f t="shared" si="33"/>
        <v>3442.3090000000002</v>
      </c>
      <c r="AS108" s="195">
        <f t="shared" si="33"/>
        <v>4385.991</v>
      </c>
      <c r="AT108" s="195">
        <f t="shared" si="33"/>
        <v>11397.574000000001</v>
      </c>
      <c r="AU108" s="195">
        <f t="shared" si="33"/>
        <v>15020.848991999999</v>
      </c>
      <c r="AV108" s="195">
        <f t="shared" si="33"/>
        <v>18786.999999999996</v>
      </c>
      <c r="AW108" s="195">
        <f t="shared" si="33"/>
        <v>21864</v>
      </c>
      <c r="AX108" s="195">
        <f t="shared" si="33"/>
        <v>25631.865378999999</v>
      </c>
      <c r="AY108" s="195">
        <f t="shared" si="33"/>
        <v>27285.338351999999</v>
      </c>
      <c r="AZ108" s="195">
        <f t="shared" si="33"/>
        <v>27250.191326999997</v>
      </c>
      <c r="BA108" s="195">
        <f t="shared" si="33"/>
        <v>30795.67697</v>
      </c>
      <c r="BB108" s="195">
        <f t="shared" si="33"/>
        <v>30699.676318000002</v>
      </c>
    </row>
    <row r="109" spans="2:54" ht="15" customHeight="1" thickBot="1">
      <c r="B109" s="196" t="s">
        <v>101</v>
      </c>
      <c r="C109" s="196" t="s">
        <v>102</v>
      </c>
      <c r="D109" s="197"/>
      <c r="E109" s="197"/>
      <c r="F109" s="197"/>
      <c r="G109" s="197"/>
      <c r="H109" s="197"/>
      <c r="I109" s="197"/>
      <c r="J109" s="197"/>
      <c r="K109" s="197"/>
      <c r="L109" s="197"/>
      <c r="M109" s="197"/>
      <c r="N109" s="197"/>
      <c r="O109" s="197"/>
      <c r="P109" s="197"/>
      <c r="Q109" s="197"/>
      <c r="R109" s="197"/>
      <c r="S109" s="197"/>
      <c r="T109" s="197"/>
      <c r="U109" s="197"/>
      <c r="V109" s="197"/>
      <c r="W109" s="197"/>
      <c r="X109" s="197"/>
      <c r="Y109" s="197"/>
      <c r="Z109" s="197"/>
      <c r="AA109" s="197"/>
      <c r="AB109" s="198"/>
      <c r="AC109" s="198"/>
      <c r="AD109" s="198"/>
      <c r="AE109" s="198"/>
      <c r="AF109" s="198"/>
      <c r="AG109" s="198"/>
      <c r="AH109" s="198"/>
      <c r="AI109" s="198"/>
      <c r="AJ109" s="198"/>
      <c r="AK109" s="198"/>
      <c r="AL109" s="198"/>
      <c r="AM109" s="198"/>
      <c r="AN109" s="198"/>
      <c r="AO109" s="198"/>
      <c r="AP109" s="198"/>
      <c r="AQ109" s="198"/>
      <c r="AR109" s="198"/>
      <c r="AS109" s="198"/>
      <c r="AT109" s="198"/>
      <c r="AU109" s="198"/>
      <c r="AV109" s="198"/>
      <c r="AW109" s="543">
        <v>0</v>
      </c>
      <c r="AX109" s="543">
        <v>0</v>
      </c>
      <c r="AY109" s="543">
        <v>0</v>
      </c>
      <c r="AZ109" s="543">
        <v>0</v>
      </c>
      <c r="BA109" s="543">
        <v>0</v>
      </c>
      <c r="BB109" s="543">
        <v>0</v>
      </c>
    </row>
    <row r="110" spans="2:54" ht="15" customHeight="1" thickBot="1">
      <c r="B110" s="199" t="s">
        <v>103</v>
      </c>
      <c r="C110" s="199" t="s">
        <v>2061</v>
      </c>
      <c r="D110" s="195">
        <f t="shared" ref="D110:BB110" si="34">SUM(D104,D108,D109)</f>
        <v>0</v>
      </c>
      <c r="E110" s="195">
        <f t="shared" si="34"/>
        <v>0</v>
      </c>
      <c r="F110" s="195">
        <f t="shared" si="34"/>
        <v>0</v>
      </c>
      <c r="G110" s="195">
        <f t="shared" si="34"/>
        <v>0</v>
      </c>
      <c r="H110" s="195">
        <f t="shared" si="34"/>
        <v>0</v>
      </c>
      <c r="I110" s="195">
        <f t="shared" si="34"/>
        <v>0</v>
      </c>
      <c r="J110" s="195">
        <f t="shared" si="34"/>
        <v>0</v>
      </c>
      <c r="K110" s="195">
        <f t="shared" si="34"/>
        <v>0</v>
      </c>
      <c r="L110" s="195">
        <f t="shared" si="34"/>
        <v>0</v>
      </c>
      <c r="M110" s="195">
        <f t="shared" si="34"/>
        <v>0</v>
      </c>
      <c r="N110" s="195">
        <f t="shared" si="34"/>
        <v>0</v>
      </c>
      <c r="O110" s="195">
        <f t="shared" si="34"/>
        <v>0</v>
      </c>
      <c r="P110" s="195">
        <f t="shared" si="34"/>
        <v>0</v>
      </c>
      <c r="Q110" s="195">
        <f t="shared" si="34"/>
        <v>0</v>
      </c>
      <c r="R110" s="195">
        <f t="shared" si="34"/>
        <v>0</v>
      </c>
      <c r="S110" s="195">
        <f t="shared" si="34"/>
        <v>0</v>
      </c>
      <c r="T110" s="195">
        <f t="shared" si="34"/>
        <v>0</v>
      </c>
      <c r="U110" s="195">
        <f t="shared" si="34"/>
        <v>0</v>
      </c>
      <c r="V110" s="195">
        <f t="shared" si="34"/>
        <v>0</v>
      </c>
      <c r="W110" s="195">
        <f t="shared" si="34"/>
        <v>0</v>
      </c>
      <c r="X110" s="195">
        <f t="shared" si="34"/>
        <v>0</v>
      </c>
      <c r="Y110" s="195">
        <f t="shared" si="34"/>
        <v>0</v>
      </c>
      <c r="Z110" s="195">
        <f t="shared" si="34"/>
        <v>0</v>
      </c>
      <c r="AA110" s="195">
        <f t="shared" si="34"/>
        <v>0</v>
      </c>
      <c r="AB110" s="195">
        <f t="shared" si="34"/>
        <v>0</v>
      </c>
      <c r="AC110" s="195">
        <f t="shared" si="34"/>
        <v>0</v>
      </c>
      <c r="AD110" s="195">
        <f t="shared" si="34"/>
        <v>0</v>
      </c>
      <c r="AE110" s="195">
        <f t="shared" si="34"/>
        <v>0</v>
      </c>
      <c r="AF110" s="195">
        <f t="shared" si="34"/>
        <v>0</v>
      </c>
      <c r="AG110" s="195">
        <f t="shared" si="34"/>
        <v>0</v>
      </c>
      <c r="AH110" s="195">
        <f t="shared" si="34"/>
        <v>0</v>
      </c>
      <c r="AI110" s="195">
        <f t="shared" si="34"/>
        <v>256186.28099999999</v>
      </c>
      <c r="AJ110" s="195">
        <f t="shared" si="34"/>
        <v>272135.11099999998</v>
      </c>
      <c r="AK110" s="195">
        <f t="shared" si="34"/>
        <v>273871.65099999995</v>
      </c>
      <c r="AL110" s="195">
        <f t="shared" si="34"/>
        <v>292332.09936504142</v>
      </c>
      <c r="AM110" s="195">
        <f t="shared" si="34"/>
        <v>282633.54237498605</v>
      </c>
      <c r="AN110" s="195">
        <f t="shared" si="34"/>
        <v>231798.32199999999</v>
      </c>
      <c r="AO110" s="195">
        <f t="shared" si="34"/>
        <v>261894.35900000003</v>
      </c>
      <c r="AP110" s="195">
        <f t="shared" si="34"/>
        <v>282707.75900000002</v>
      </c>
      <c r="AQ110" s="195">
        <f t="shared" si="34"/>
        <v>330428.84999999998</v>
      </c>
      <c r="AR110" s="195">
        <f t="shared" si="34"/>
        <v>247356.31699999998</v>
      </c>
      <c r="AS110" s="195">
        <f t="shared" si="34"/>
        <v>276918.84100000001</v>
      </c>
      <c r="AT110" s="195">
        <f t="shared" si="34"/>
        <v>321049.196</v>
      </c>
      <c r="AU110" s="195">
        <f t="shared" si="34"/>
        <v>330966.06399200001</v>
      </c>
      <c r="AV110" s="195">
        <f t="shared" si="34"/>
        <v>312012.42</v>
      </c>
      <c r="AW110" s="195">
        <f t="shared" si="34"/>
        <v>321691.53100000002</v>
      </c>
      <c r="AX110" s="195">
        <f t="shared" si="34"/>
        <v>353322.99037900002</v>
      </c>
      <c r="AY110" s="195">
        <f t="shared" si="34"/>
        <v>359832.72535199998</v>
      </c>
      <c r="AZ110" s="195">
        <f t="shared" si="34"/>
        <v>301960.11732699996</v>
      </c>
      <c r="BA110" s="195">
        <f t="shared" si="34"/>
        <v>311442.20496999996</v>
      </c>
      <c r="BB110" s="195">
        <f t="shared" si="34"/>
        <v>329673.22131799994</v>
      </c>
    </row>
    <row r="111" spans="2:54" ht="15" customHeight="1" thickBot="1">
      <c r="B111" s="581" t="s">
        <v>2060</v>
      </c>
      <c r="C111" s="581" t="s">
        <v>2063</v>
      </c>
      <c r="D111" s="203"/>
      <c r="E111" s="203"/>
      <c r="F111" s="203"/>
      <c r="G111" s="203"/>
      <c r="H111" s="203"/>
      <c r="I111" s="203"/>
      <c r="J111" s="203"/>
      <c r="K111" s="203"/>
      <c r="L111" s="203"/>
      <c r="M111" s="203"/>
      <c r="N111" s="203"/>
      <c r="O111" s="203"/>
      <c r="P111" s="203"/>
      <c r="Q111" s="203"/>
      <c r="R111" s="203"/>
      <c r="S111" s="203"/>
      <c r="T111" s="203"/>
      <c r="U111" s="203"/>
      <c r="V111" s="203"/>
      <c r="W111" s="203"/>
      <c r="X111" s="203"/>
      <c r="Y111" s="203"/>
      <c r="Z111" s="203"/>
      <c r="AA111" s="203"/>
      <c r="AB111" s="582"/>
      <c r="AC111" s="582"/>
      <c r="AD111" s="582"/>
      <c r="AE111" s="582"/>
      <c r="AF111" s="582"/>
      <c r="AG111" s="582"/>
      <c r="AH111" s="582"/>
      <c r="AI111" s="582"/>
      <c r="AJ111" s="582"/>
      <c r="AK111" s="582"/>
      <c r="AL111" s="582"/>
      <c r="AM111" s="582"/>
      <c r="AN111" s="582"/>
      <c r="AO111" s="582"/>
      <c r="AP111" s="582"/>
      <c r="AQ111" s="582"/>
      <c r="AR111" s="582"/>
      <c r="AS111" s="582"/>
      <c r="AT111" s="582"/>
      <c r="AU111" s="582"/>
      <c r="AV111" s="582">
        <v>0</v>
      </c>
      <c r="AW111" s="582">
        <v>0</v>
      </c>
      <c r="AX111" s="582">
        <v>0</v>
      </c>
      <c r="AY111" s="582">
        <v>16782</v>
      </c>
      <c r="AZ111" s="582">
        <v>4129.6620000000012</v>
      </c>
      <c r="BA111" s="582">
        <v>16784.605</v>
      </c>
      <c r="BB111" s="582">
        <v>23421.775000000001</v>
      </c>
    </row>
    <row r="112" spans="2:54" ht="15" customHeight="1" thickBot="1">
      <c r="B112" s="199" t="s">
        <v>104</v>
      </c>
      <c r="C112" s="199" t="s">
        <v>2062</v>
      </c>
      <c r="D112" s="580">
        <f t="shared" ref="D112:BB112" si="35">D110+D111</f>
        <v>0</v>
      </c>
      <c r="E112" s="580">
        <f t="shared" si="35"/>
        <v>0</v>
      </c>
      <c r="F112" s="580">
        <f t="shared" si="35"/>
        <v>0</v>
      </c>
      <c r="G112" s="580">
        <f t="shared" si="35"/>
        <v>0</v>
      </c>
      <c r="H112" s="580">
        <f t="shared" si="35"/>
        <v>0</v>
      </c>
      <c r="I112" s="580">
        <f t="shared" si="35"/>
        <v>0</v>
      </c>
      <c r="J112" s="580">
        <f t="shared" si="35"/>
        <v>0</v>
      </c>
      <c r="K112" s="580">
        <f t="shared" si="35"/>
        <v>0</v>
      </c>
      <c r="L112" s="580">
        <f t="shared" si="35"/>
        <v>0</v>
      </c>
      <c r="M112" s="580">
        <f t="shared" si="35"/>
        <v>0</v>
      </c>
      <c r="N112" s="580">
        <f t="shared" si="35"/>
        <v>0</v>
      </c>
      <c r="O112" s="580">
        <f t="shared" si="35"/>
        <v>0</v>
      </c>
      <c r="P112" s="580">
        <f t="shared" si="35"/>
        <v>0</v>
      </c>
      <c r="Q112" s="580">
        <f t="shared" si="35"/>
        <v>0</v>
      </c>
      <c r="R112" s="580">
        <f t="shared" si="35"/>
        <v>0</v>
      </c>
      <c r="S112" s="580">
        <f t="shared" si="35"/>
        <v>0</v>
      </c>
      <c r="T112" s="580">
        <f t="shared" si="35"/>
        <v>0</v>
      </c>
      <c r="U112" s="580">
        <f t="shared" si="35"/>
        <v>0</v>
      </c>
      <c r="V112" s="580">
        <f t="shared" si="35"/>
        <v>0</v>
      </c>
      <c r="W112" s="580">
        <f t="shared" si="35"/>
        <v>0</v>
      </c>
      <c r="X112" s="580">
        <f t="shared" si="35"/>
        <v>0</v>
      </c>
      <c r="Y112" s="580">
        <f t="shared" si="35"/>
        <v>0</v>
      </c>
      <c r="Z112" s="580">
        <f t="shared" si="35"/>
        <v>0</v>
      </c>
      <c r="AA112" s="580">
        <f t="shared" si="35"/>
        <v>0</v>
      </c>
      <c r="AB112" s="580">
        <f t="shared" si="35"/>
        <v>0</v>
      </c>
      <c r="AC112" s="580">
        <f t="shared" si="35"/>
        <v>0</v>
      </c>
      <c r="AD112" s="580">
        <f t="shared" si="35"/>
        <v>0</v>
      </c>
      <c r="AE112" s="580">
        <f t="shared" si="35"/>
        <v>0</v>
      </c>
      <c r="AF112" s="580">
        <f t="shared" si="35"/>
        <v>0</v>
      </c>
      <c r="AG112" s="580">
        <f t="shared" si="35"/>
        <v>0</v>
      </c>
      <c r="AH112" s="580">
        <f t="shared" si="35"/>
        <v>0</v>
      </c>
      <c r="AI112" s="580">
        <f t="shared" si="35"/>
        <v>256186.28099999999</v>
      </c>
      <c r="AJ112" s="580">
        <f t="shared" si="35"/>
        <v>272135.11099999998</v>
      </c>
      <c r="AK112" s="580">
        <f t="shared" si="35"/>
        <v>273871.65099999995</v>
      </c>
      <c r="AL112" s="580">
        <f t="shared" si="35"/>
        <v>292332.09936504142</v>
      </c>
      <c r="AM112" s="580">
        <f t="shared" si="35"/>
        <v>282633.54237498605</v>
      </c>
      <c r="AN112" s="580">
        <f t="shared" si="35"/>
        <v>231798.32199999999</v>
      </c>
      <c r="AO112" s="580">
        <f t="shared" si="35"/>
        <v>261894.35900000003</v>
      </c>
      <c r="AP112" s="580">
        <f t="shared" si="35"/>
        <v>282707.75900000002</v>
      </c>
      <c r="AQ112" s="580">
        <f t="shared" si="35"/>
        <v>330428.84999999998</v>
      </c>
      <c r="AR112" s="580">
        <f t="shared" si="35"/>
        <v>247356.31699999998</v>
      </c>
      <c r="AS112" s="580">
        <f t="shared" si="35"/>
        <v>276918.84100000001</v>
      </c>
      <c r="AT112" s="580">
        <f t="shared" si="35"/>
        <v>321049.196</v>
      </c>
      <c r="AU112" s="580">
        <f t="shared" si="35"/>
        <v>330966.06399200001</v>
      </c>
      <c r="AV112" s="580">
        <f t="shared" si="35"/>
        <v>312012.42</v>
      </c>
      <c r="AW112" s="580">
        <f t="shared" si="35"/>
        <v>321691.53100000002</v>
      </c>
      <c r="AX112" s="580">
        <f t="shared" si="35"/>
        <v>353322.99037900002</v>
      </c>
      <c r="AY112" s="580">
        <f t="shared" si="35"/>
        <v>376614.72535199998</v>
      </c>
      <c r="AZ112" s="580">
        <f t="shared" si="35"/>
        <v>306089.77932699997</v>
      </c>
      <c r="BA112" s="580">
        <f t="shared" si="35"/>
        <v>328226.80996999994</v>
      </c>
      <c r="BB112" s="580">
        <f t="shared" si="35"/>
        <v>353094.99631799996</v>
      </c>
    </row>
    <row r="113" spans="2:54" ht="15" customHeight="1" thickBot="1">
      <c r="B113" s="581" t="s">
        <v>105</v>
      </c>
      <c r="C113" s="581" t="s">
        <v>2064</v>
      </c>
      <c r="D113" s="203"/>
      <c r="E113" s="203"/>
      <c r="F113" s="203"/>
      <c r="G113" s="203"/>
      <c r="H113" s="203"/>
      <c r="I113" s="203"/>
      <c r="J113" s="203"/>
      <c r="K113" s="203"/>
      <c r="L113" s="203"/>
      <c r="M113" s="203"/>
      <c r="N113" s="203"/>
      <c r="O113" s="203"/>
      <c r="P113" s="203"/>
      <c r="Q113" s="203"/>
      <c r="R113" s="203"/>
      <c r="S113" s="203"/>
      <c r="T113" s="203"/>
      <c r="U113" s="203"/>
      <c r="V113" s="203"/>
      <c r="W113" s="203"/>
      <c r="X113" s="203"/>
      <c r="Y113" s="203"/>
      <c r="Z113" s="203"/>
      <c r="AA113" s="203"/>
      <c r="AB113" s="582"/>
      <c r="AC113" s="582"/>
      <c r="AD113" s="582"/>
      <c r="AE113" s="582"/>
      <c r="AF113" s="582"/>
      <c r="AG113" s="582"/>
      <c r="AH113" s="582"/>
      <c r="AI113" s="582"/>
      <c r="AJ113" s="582"/>
      <c r="AK113" s="582"/>
      <c r="AL113" s="582"/>
      <c r="AM113" s="582"/>
      <c r="AN113" s="582"/>
      <c r="AO113" s="582"/>
      <c r="AP113" s="582"/>
      <c r="AQ113" s="582"/>
      <c r="AR113" s="582"/>
      <c r="AS113" s="582"/>
      <c r="AT113" s="582"/>
      <c r="AU113" s="582"/>
      <c r="AV113" s="582">
        <v>10680.000000000007</v>
      </c>
      <c r="AW113" s="582">
        <v>13520.869999999944</v>
      </c>
      <c r="AX113" s="582">
        <v>18381.754000000059</v>
      </c>
      <c r="AY113" s="582">
        <v>5979.1139999999996</v>
      </c>
      <c r="AZ113" s="582">
        <v>16441.471000000034</v>
      </c>
      <c r="BA113" s="582">
        <v>8342.4529999999777</v>
      </c>
      <c r="BB113" s="582">
        <v>9532.8340000000044</v>
      </c>
    </row>
    <row r="114" spans="2:54" ht="15" customHeight="1" thickBot="1">
      <c r="B114" s="196" t="s">
        <v>106</v>
      </c>
      <c r="C114" s="196" t="s">
        <v>2065</v>
      </c>
      <c r="D114" s="197"/>
      <c r="E114" s="197"/>
      <c r="F114" s="197"/>
      <c r="G114" s="197"/>
      <c r="H114" s="197"/>
      <c r="I114" s="197"/>
      <c r="J114" s="197"/>
      <c r="K114" s="197"/>
      <c r="L114" s="197"/>
      <c r="M114" s="197"/>
      <c r="N114" s="197"/>
      <c r="O114" s="197"/>
      <c r="P114" s="197"/>
      <c r="Q114" s="197"/>
      <c r="R114" s="197"/>
      <c r="S114" s="197"/>
      <c r="T114" s="197"/>
      <c r="U114" s="197"/>
      <c r="V114" s="197"/>
      <c r="W114" s="197"/>
      <c r="X114" s="197"/>
      <c r="Y114" s="197"/>
      <c r="Z114" s="197"/>
      <c r="AA114" s="197"/>
      <c r="AB114" s="198"/>
      <c r="AC114" s="198"/>
      <c r="AD114" s="198"/>
      <c r="AE114" s="198"/>
      <c r="AF114" s="198"/>
      <c r="AG114" s="198"/>
      <c r="AH114" s="198"/>
      <c r="AI114" s="198"/>
      <c r="AJ114" s="198">
        <v>1159.1759999999776</v>
      </c>
      <c r="AK114" s="198">
        <v>1369.1839999999938</v>
      </c>
      <c r="AL114" s="198">
        <v>2086.1066349586472</v>
      </c>
      <c r="AM114" s="198">
        <v>2872.9596250140457</v>
      </c>
      <c r="AN114" s="198">
        <v>2388.2050000000163</v>
      </c>
      <c r="AO114" s="198">
        <v>3130.9660000000003</v>
      </c>
      <c r="AP114" s="198">
        <v>4048.8220000000438</v>
      </c>
      <c r="AQ114" s="198">
        <v>4835.0209999999643</v>
      </c>
      <c r="AR114" s="198">
        <v>4458.6700000000419</v>
      </c>
      <c r="AS114" s="198">
        <v>6210.1520000000019</v>
      </c>
      <c r="AT114" s="198">
        <v>7752.7619999999879</v>
      </c>
      <c r="AU114" s="198">
        <v>10085.665999999968</v>
      </c>
      <c r="AV114" s="543">
        <f t="shared" ref="AV114:AZ114" si="36">+AV113+AV111</f>
        <v>10680.000000000007</v>
      </c>
      <c r="AW114" s="543">
        <f t="shared" si="36"/>
        <v>13520.869999999944</v>
      </c>
      <c r="AX114" s="543">
        <f t="shared" si="36"/>
        <v>18381.754000000059</v>
      </c>
      <c r="AY114" s="543">
        <f t="shared" si="36"/>
        <v>22761.114000000001</v>
      </c>
      <c r="AZ114" s="543">
        <f t="shared" si="36"/>
        <v>20571.133000000034</v>
      </c>
      <c r="BA114" s="543">
        <f>+BA113+BA111</f>
        <v>25127.057999999975</v>
      </c>
      <c r="BB114" s="543">
        <f>+BB113+BB111</f>
        <v>32954.609000000004</v>
      </c>
    </row>
    <row r="115" spans="2:54" ht="15" customHeight="1" thickBot="1">
      <c r="B115" s="199" t="s">
        <v>123</v>
      </c>
      <c r="C115" s="199" t="s">
        <v>124</v>
      </c>
      <c r="D115" s="195">
        <f t="shared" ref="D115:BA115" si="37">D110+D114</f>
        <v>0</v>
      </c>
      <c r="E115" s="195">
        <f t="shared" si="37"/>
        <v>0</v>
      </c>
      <c r="F115" s="195">
        <f t="shared" si="37"/>
        <v>0</v>
      </c>
      <c r="G115" s="195">
        <f t="shared" si="37"/>
        <v>0</v>
      </c>
      <c r="H115" s="195">
        <f t="shared" si="37"/>
        <v>0</v>
      </c>
      <c r="I115" s="195">
        <f t="shared" si="37"/>
        <v>0</v>
      </c>
      <c r="J115" s="195">
        <f t="shared" si="37"/>
        <v>0</v>
      </c>
      <c r="K115" s="195">
        <f t="shared" si="37"/>
        <v>0</v>
      </c>
      <c r="L115" s="195">
        <f t="shared" si="37"/>
        <v>0</v>
      </c>
      <c r="M115" s="195">
        <f t="shared" si="37"/>
        <v>0</v>
      </c>
      <c r="N115" s="195">
        <f t="shared" si="37"/>
        <v>0</v>
      </c>
      <c r="O115" s="195">
        <f t="shared" si="37"/>
        <v>0</v>
      </c>
      <c r="P115" s="195">
        <f t="shared" si="37"/>
        <v>0</v>
      </c>
      <c r="Q115" s="195">
        <f t="shared" si="37"/>
        <v>0</v>
      </c>
      <c r="R115" s="195">
        <f t="shared" si="37"/>
        <v>0</v>
      </c>
      <c r="S115" s="195">
        <f t="shared" si="37"/>
        <v>0</v>
      </c>
      <c r="T115" s="195">
        <f t="shared" si="37"/>
        <v>0</v>
      </c>
      <c r="U115" s="195">
        <f t="shared" si="37"/>
        <v>0</v>
      </c>
      <c r="V115" s="195">
        <f t="shared" si="37"/>
        <v>0</v>
      </c>
      <c r="W115" s="195">
        <f t="shared" si="37"/>
        <v>0</v>
      </c>
      <c r="X115" s="195">
        <f t="shared" si="37"/>
        <v>0</v>
      </c>
      <c r="Y115" s="195">
        <f t="shared" si="37"/>
        <v>0</v>
      </c>
      <c r="Z115" s="195">
        <f t="shared" si="37"/>
        <v>0</v>
      </c>
      <c r="AA115" s="195">
        <f t="shared" si="37"/>
        <v>0</v>
      </c>
      <c r="AB115" s="195">
        <f t="shared" si="37"/>
        <v>0</v>
      </c>
      <c r="AC115" s="195">
        <f t="shared" si="37"/>
        <v>0</v>
      </c>
      <c r="AD115" s="195">
        <f t="shared" si="37"/>
        <v>0</v>
      </c>
      <c r="AE115" s="195">
        <f t="shared" si="37"/>
        <v>0</v>
      </c>
      <c r="AF115" s="195">
        <f t="shared" si="37"/>
        <v>0</v>
      </c>
      <c r="AG115" s="195">
        <f t="shared" si="37"/>
        <v>0</v>
      </c>
      <c r="AH115" s="195">
        <f t="shared" si="37"/>
        <v>0</v>
      </c>
      <c r="AI115" s="195">
        <f t="shared" si="37"/>
        <v>256186.28099999999</v>
      </c>
      <c r="AJ115" s="195">
        <f t="shared" si="37"/>
        <v>273294.28699999995</v>
      </c>
      <c r="AK115" s="195">
        <f t="shared" si="37"/>
        <v>275240.83499999996</v>
      </c>
      <c r="AL115" s="195">
        <f t="shared" si="37"/>
        <v>294418.20600000006</v>
      </c>
      <c r="AM115" s="195">
        <f t="shared" si="37"/>
        <v>285506.50200000009</v>
      </c>
      <c r="AN115" s="195">
        <f t="shared" si="37"/>
        <v>234186.527</v>
      </c>
      <c r="AO115" s="195">
        <f t="shared" si="37"/>
        <v>265025.32500000001</v>
      </c>
      <c r="AP115" s="195">
        <f t="shared" si="37"/>
        <v>286756.58100000006</v>
      </c>
      <c r="AQ115" s="195">
        <f t="shared" si="37"/>
        <v>335263.87099999993</v>
      </c>
      <c r="AR115" s="195">
        <f t="shared" si="37"/>
        <v>251814.98700000002</v>
      </c>
      <c r="AS115" s="195">
        <f t="shared" si="37"/>
        <v>283128.99300000002</v>
      </c>
      <c r="AT115" s="195">
        <f t="shared" si="37"/>
        <v>328801.95799999998</v>
      </c>
      <c r="AU115" s="195">
        <f t="shared" si="37"/>
        <v>341051.72999199998</v>
      </c>
      <c r="AV115" s="195">
        <f t="shared" si="37"/>
        <v>322692.42</v>
      </c>
      <c r="AW115" s="195">
        <f t="shared" si="37"/>
        <v>335212.40099999995</v>
      </c>
      <c r="AX115" s="195">
        <f t="shared" si="37"/>
        <v>371704.7443790001</v>
      </c>
      <c r="AY115" s="195">
        <f t="shared" si="37"/>
        <v>382593.83935199998</v>
      </c>
      <c r="AZ115" s="195">
        <f t="shared" si="37"/>
        <v>322531.25032699999</v>
      </c>
      <c r="BA115" s="195">
        <f t="shared" si="37"/>
        <v>336569.26296999992</v>
      </c>
      <c r="BB115" s="195">
        <f>+BB114+BB110</f>
        <v>362627.83031799993</v>
      </c>
    </row>
    <row r="116" spans="2:54" ht="15" customHeight="1">
      <c r="B116" s="204"/>
      <c r="C116" s="204"/>
      <c r="D116" s="205"/>
      <c r="E116" s="205"/>
      <c r="F116" s="205"/>
      <c r="G116" s="205"/>
      <c r="H116" s="205"/>
      <c r="I116" s="205"/>
      <c r="J116" s="205"/>
      <c r="K116" s="205"/>
      <c r="L116" s="205"/>
      <c r="M116" s="205"/>
      <c r="N116" s="205"/>
      <c r="O116" s="205"/>
      <c r="P116" s="205"/>
      <c r="Q116" s="205"/>
      <c r="R116" s="205"/>
      <c r="S116" s="205"/>
      <c r="T116" s="205"/>
      <c r="U116" s="205"/>
      <c r="V116" s="205"/>
      <c r="W116" s="205"/>
      <c r="X116" s="205"/>
      <c r="Y116" s="205"/>
      <c r="Z116" s="205"/>
      <c r="AA116" s="205"/>
      <c r="AB116" s="205"/>
      <c r="AC116" s="205"/>
      <c r="AD116" s="205"/>
      <c r="AE116" s="205"/>
      <c r="AF116" s="205"/>
      <c r="AG116" s="205"/>
      <c r="AH116" s="205"/>
      <c r="AI116" s="205"/>
      <c r="AJ116" s="205"/>
      <c r="AK116" s="205"/>
      <c r="AL116" s="205"/>
      <c r="AM116" s="205"/>
      <c r="AN116" s="205"/>
      <c r="AO116" s="205"/>
      <c r="AP116" s="205"/>
      <c r="AQ116" s="205"/>
      <c r="AR116" s="205"/>
      <c r="AS116" s="205"/>
      <c r="AT116" s="205"/>
      <c r="AU116" s="205"/>
      <c r="AV116" s="205"/>
      <c r="AW116" s="205"/>
      <c r="AX116" s="205"/>
      <c r="AY116" s="205"/>
      <c r="AZ116" s="205"/>
      <c r="BA116" s="205"/>
      <c r="BB116" s="205"/>
    </row>
    <row r="117" spans="2:54" ht="15" customHeight="1">
      <c r="B117" s="190" t="s">
        <v>125</v>
      </c>
      <c r="C117" s="190" t="s">
        <v>125</v>
      </c>
      <c r="D117" s="191"/>
      <c r="E117" s="191"/>
      <c r="F117" s="191"/>
      <c r="G117" s="191"/>
      <c r="H117" s="191"/>
      <c r="I117" s="191"/>
      <c r="J117" s="191"/>
      <c r="K117" s="191"/>
      <c r="L117" s="191"/>
      <c r="M117" s="191"/>
      <c r="N117" s="191"/>
      <c r="O117" s="191"/>
      <c r="P117" s="191"/>
      <c r="Q117" s="191"/>
      <c r="R117" s="191"/>
      <c r="S117" s="191"/>
      <c r="T117" s="191"/>
      <c r="U117" s="191"/>
      <c r="V117" s="191"/>
      <c r="W117" s="191"/>
      <c r="X117" s="191"/>
      <c r="Y117" s="191"/>
      <c r="Z117" s="191"/>
      <c r="AA117" s="191"/>
      <c r="AB117" s="191"/>
      <c r="AC117" s="191"/>
      <c r="AD117" s="191"/>
      <c r="AE117" s="191"/>
      <c r="AF117" s="191"/>
      <c r="AG117" s="191"/>
      <c r="AH117" s="191"/>
      <c r="AI117" s="191"/>
      <c r="AJ117" s="191"/>
      <c r="AK117" s="191"/>
      <c r="AL117" s="191"/>
      <c r="AM117" s="191"/>
      <c r="AN117" s="191"/>
      <c r="AO117" s="191"/>
      <c r="AP117" s="191"/>
      <c r="AQ117" s="191"/>
      <c r="AR117" s="191"/>
      <c r="AS117" s="191"/>
      <c r="AT117" s="191"/>
      <c r="AU117" s="191"/>
      <c r="AV117" s="191"/>
      <c r="AW117" s="191"/>
      <c r="AX117" s="191"/>
      <c r="AY117" s="191"/>
      <c r="AZ117" s="191"/>
      <c r="BA117" s="191"/>
      <c r="BB117" s="191"/>
    </row>
    <row r="118" spans="2:54" ht="15" customHeight="1">
      <c r="B118" s="192" t="s">
        <v>90</v>
      </c>
      <c r="C118" s="192" t="s">
        <v>91</v>
      </c>
      <c r="D118" s="193"/>
      <c r="E118" s="193"/>
      <c r="F118" s="193"/>
      <c r="G118" s="193"/>
      <c r="H118" s="193"/>
      <c r="I118" s="193"/>
      <c r="J118" s="193"/>
      <c r="K118" s="193"/>
      <c r="L118" s="193"/>
      <c r="M118" s="193"/>
      <c r="N118" s="193"/>
      <c r="O118" s="193"/>
      <c r="P118" s="193"/>
      <c r="Q118" s="193"/>
      <c r="R118" s="193"/>
      <c r="S118" s="193"/>
      <c r="T118" s="193"/>
      <c r="U118" s="193"/>
      <c r="V118" s="193"/>
      <c r="W118" s="193"/>
      <c r="X118" s="193"/>
      <c r="Y118" s="201"/>
      <c r="Z118" s="201"/>
      <c r="AA118" s="201"/>
      <c r="AB118" s="201"/>
      <c r="AC118" s="201"/>
      <c r="AD118" s="201"/>
      <c r="AE118" s="201"/>
      <c r="AF118" s="201"/>
      <c r="AG118" s="201"/>
      <c r="AH118" s="201"/>
      <c r="AI118" s="201"/>
      <c r="AJ118" s="201"/>
      <c r="AK118" s="201"/>
      <c r="AL118" s="201"/>
      <c r="AM118" s="201">
        <v>1477273.281</v>
      </c>
      <c r="AN118" s="201">
        <v>1362379.4979999999</v>
      </c>
      <c r="AO118" s="201">
        <v>1356479.85</v>
      </c>
      <c r="AP118" s="201">
        <v>1357999.4369999999</v>
      </c>
      <c r="AQ118" s="201">
        <v>1502299.1950000001</v>
      </c>
      <c r="AR118" s="201">
        <v>1383298.91</v>
      </c>
      <c r="AS118" s="201">
        <v>1427380.6429999999</v>
      </c>
      <c r="AT118" s="201">
        <v>1438937.591</v>
      </c>
      <c r="AU118" s="201">
        <v>1841742.06</v>
      </c>
      <c r="AV118" s="201">
        <v>1632894.7649999999</v>
      </c>
      <c r="AW118" s="201">
        <v>1605169.7930000001</v>
      </c>
      <c r="AX118" s="201">
        <v>1546217.5119999999</v>
      </c>
      <c r="AY118" s="201">
        <v>1772260</v>
      </c>
      <c r="AZ118" s="201">
        <v>1649442.5530000001</v>
      </c>
      <c r="BA118" s="201">
        <v>1584895.0089999998</v>
      </c>
      <c r="BB118" s="201">
        <v>1518542.983</v>
      </c>
    </row>
    <row r="119" spans="2:54" ht="15" customHeight="1">
      <c r="B119" s="192" t="s">
        <v>92</v>
      </c>
      <c r="C119" s="192" t="s">
        <v>92</v>
      </c>
      <c r="D119" s="193"/>
      <c r="E119" s="193"/>
      <c r="F119" s="193"/>
      <c r="G119" s="193"/>
      <c r="H119" s="193"/>
      <c r="I119" s="193"/>
      <c r="J119" s="193"/>
      <c r="K119" s="193"/>
      <c r="L119" s="193"/>
      <c r="M119" s="193"/>
      <c r="N119" s="193"/>
      <c r="O119" s="193"/>
      <c r="P119" s="193"/>
      <c r="Q119" s="193"/>
      <c r="R119" s="193"/>
      <c r="S119" s="193"/>
      <c r="T119" s="193"/>
      <c r="U119" s="193"/>
      <c r="V119" s="193"/>
      <c r="W119" s="193"/>
      <c r="X119" s="193"/>
      <c r="Y119" s="201"/>
      <c r="Z119" s="201"/>
      <c r="AA119" s="201"/>
      <c r="AB119" s="201"/>
      <c r="AC119" s="201"/>
      <c r="AD119" s="201"/>
      <c r="AE119" s="201"/>
      <c r="AF119" s="201"/>
      <c r="AG119" s="201"/>
      <c r="AH119" s="201"/>
      <c r="AI119" s="201"/>
      <c r="AJ119" s="201"/>
      <c r="AK119" s="201"/>
      <c r="AL119" s="201"/>
      <c r="AM119" s="201">
        <v>130420.47199999999</v>
      </c>
      <c r="AN119" s="201">
        <v>107126.72700000001</v>
      </c>
      <c r="AO119" s="201">
        <v>118178.969</v>
      </c>
      <c r="AP119" s="201">
        <v>118493.73000000001</v>
      </c>
      <c r="AQ119" s="201">
        <v>116036.158</v>
      </c>
      <c r="AR119" s="201">
        <v>91228.027000000002</v>
      </c>
      <c r="AS119" s="201">
        <v>103971.20400000001</v>
      </c>
      <c r="AT119" s="201">
        <v>98440.051999999996</v>
      </c>
      <c r="AU119" s="201">
        <v>99131.014999999999</v>
      </c>
      <c r="AV119" s="201">
        <v>85918.255000000005</v>
      </c>
      <c r="AW119" s="201">
        <v>90298.974000000002</v>
      </c>
      <c r="AX119" s="201">
        <v>86532.76</v>
      </c>
      <c r="AY119" s="201">
        <v>73951</v>
      </c>
      <c r="AZ119" s="201">
        <v>65508.017999999996</v>
      </c>
      <c r="BA119" s="201">
        <v>66890.03</v>
      </c>
      <c r="BB119" s="201">
        <v>62559.966999999997</v>
      </c>
    </row>
    <row r="120" spans="2:54" ht="15" customHeight="1">
      <c r="B120" s="192" t="s">
        <v>93</v>
      </c>
      <c r="C120" s="192" t="s">
        <v>94</v>
      </c>
      <c r="D120" s="193"/>
      <c r="E120" s="193"/>
      <c r="F120" s="193"/>
      <c r="G120" s="193"/>
      <c r="H120" s="193"/>
      <c r="I120" s="193"/>
      <c r="J120" s="193"/>
      <c r="K120" s="193"/>
      <c r="L120" s="193"/>
      <c r="M120" s="193"/>
      <c r="N120" s="193"/>
      <c r="O120" s="193"/>
      <c r="P120" s="193"/>
      <c r="Q120" s="193"/>
      <c r="R120" s="193"/>
      <c r="S120" s="193"/>
      <c r="T120" s="193"/>
      <c r="U120" s="193"/>
      <c r="V120" s="193"/>
      <c r="W120" s="193"/>
      <c r="X120" s="193"/>
      <c r="Y120" s="201"/>
      <c r="Z120" s="201"/>
      <c r="AA120" s="201"/>
      <c r="AB120" s="201"/>
      <c r="AC120" s="201"/>
      <c r="AD120" s="201"/>
      <c r="AE120" s="201"/>
      <c r="AF120" s="201"/>
      <c r="AG120" s="201"/>
      <c r="AH120" s="201"/>
      <c r="AI120" s="201"/>
      <c r="AJ120" s="201"/>
      <c r="AK120" s="201"/>
      <c r="AL120" s="201"/>
      <c r="AM120" s="201">
        <v>493328.03800000006</v>
      </c>
      <c r="AN120" s="201">
        <v>459917.33499999996</v>
      </c>
      <c r="AO120" s="201">
        <v>500085.22600000002</v>
      </c>
      <c r="AP120" s="201">
        <v>458242.80100000004</v>
      </c>
      <c r="AQ120" s="201">
        <v>472560.82999999996</v>
      </c>
      <c r="AR120" s="201">
        <v>424153.75399999996</v>
      </c>
      <c r="AS120" s="201">
        <v>443680.24699999997</v>
      </c>
      <c r="AT120" s="201">
        <v>412970.446</v>
      </c>
      <c r="AU120" s="201">
        <v>493000.533</v>
      </c>
      <c r="AV120" s="201">
        <v>431716</v>
      </c>
      <c r="AW120" s="201">
        <v>446938.80300000001</v>
      </c>
      <c r="AX120" s="201">
        <v>402113.93599999999</v>
      </c>
      <c r="AY120" s="201">
        <v>430833</v>
      </c>
      <c r="AZ120" s="201">
        <v>388927.62</v>
      </c>
      <c r="BA120" s="201">
        <v>373865.80800000002</v>
      </c>
      <c r="BB120" s="201">
        <v>333217.58399999997</v>
      </c>
    </row>
    <row r="121" spans="2:54" ht="15" customHeight="1" thickBot="1">
      <c r="B121" s="192" t="s">
        <v>95</v>
      </c>
      <c r="C121" s="192" t="s">
        <v>96</v>
      </c>
      <c r="D121" s="193"/>
      <c r="E121" s="193"/>
      <c r="F121" s="193"/>
      <c r="G121" s="193"/>
      <c r="H121" s="193"/>
      <c r="I121" s="193"/>
      <c r="J121" s="193"/>
      <c r="K121" s="193"/>
      <c r="L121" s="193"/>
      <c r="M121" s="193"/>
      <c r="N121" s="193"/>
      <c r="O121" s="193"/>
      <c r="P121" s="193"/>
      <c r="Q121" s="193"/>
      <c r="R121" s="193"/>
      <c r="S121" s="193"/>
      <c r="T121" s="193"/>
      <c r="U121" s="193"/>
      <c r="V121" s="193"/>
      <c r="W121" s="193"/>
      <c r="X121" s="193"/>
      <c r="Y121" s="201"/>
      <c r="Z121" s="201"/>
      <c r="AA121" s="201"/>
      <c r="AB121" s="201"/>
      <c r="AC121" s="201"/>
      <c r="AD121" s="201"/>
      <c r="AE121" s="201"/>
      <c r="AF121" s="201"/>
      <c r="AG121" s="201"/>
      <c r="AH121" s="201"/>
      <c r="AI121" s="201"/>
      <c r="AJ121" s="201"/>
      <c r="AK121" s="201"/>
      <c r="AL121" s="201"/>
      <c r="AM121" s="201">
        <v>805359.29399999999</v>
      </c>
      <c r="AN121" s="201">
        <v>650798.48399999994</v>
      </c>
      <c r="AO121" s="201">
        <v>809882.30799999996</v>
      </c>
      <c r="AP121" s="201">
        <v>860229</v>
      </c>
      <c r="AQ121" s="201">
        <v>794899.50400000007</v>
      </c>
      <c r="AR121" s="201">
        <v>661294.08100000012</v>
      </c>
      <c r="AS121" s="201">
        <v>790071.50800000003</v>
      </c>
      <c r="AT121" s="201">
        <v>828801</v>
      </c>
      <c r="AU121" s="201">
        <v>868991.80700000003</v>
      </c>
      <c r="AV121" s="201">
        <v>726202.34800000023</v>
      </c>
      <c r="AW121" s="201">
        <v>813889.2370000002</v>
      </c>
      <c r="AX121" s="201">
        <v>856472.04500000016</v>
      </c>
      <c r="AY121" s="201">
        <v>777201</v>
      </c>
      <c r="AZ121" s="201">
        <v>650404.84899999993</v>
      </c>
      <c r="BA121" s="201">
        <v>790881.84400000027</v>
      </c>
      <c r="BB121" s="201">
        <v>788475.38200000022</v>
      </c>
    </row>
    <row r="122" spans="2:54" ht="15" customHeight="1" thickBot="1">
      <c r="B122" s="199" t="s">
        <v>97</v>
      </c>
      <c r="C122" s="194" t="s">
        <v>98</v>
      </c>
      <c r="D122" s="202"/>
      <c r="E122" s="202"/>
      <c r="F122" s="202"/>
      <c r="G122" s="202"/>
      <c r="H122" s="202"/>
      <c r="I122" s="202"/>
      <c r="J122" s="202"/>
      <c r="K122" s="202"/>
      <c r="L122" s="202"/>
      <c r="M122" s="202"/>
      <c r="N122" s="202"/>
      <c r="O122" s="202"/>
      <c r="P122" s="202"/>
      <c r="Q122" s="202"/>
      <c r="R122" s="202"/>
      <c r="S122" s="202"/>
      <c r="T122" s="202"/>
      <c r="U122" s="202"/>
      <c r="V122" s="202"/>
      <c r="W122" s="202"/>
      <c r="X122" s="202"/>
      <c r="Y122" s="202"/>
      <c r="Z122" s="202"/>
      <c r="AA122" s="202"/>
      <c r="AB122" s="202"/>
      <c r="AC122" s="202"/>
      <c r="AD122" s="202"/>
      <c r="AE122" s="202"/>
      <c r="AF122" s="202"/>
      <c r="AG122" s="202"/>
      <c r="AH122" s="202"/>
      <c r="AI122" s="202"/>
      <c r="AJ122" s="202"/>
      <c r="AK122" s="202"/>
      <c r="AL122" s="202"/>
      <c r="AM122" s="202">
        <f>SUM(AM118:AM121)</f>
        <v>2906381.085</v>
      </c>
      <c r="AN122" s="202">
        <f>SUM(AN118:AN121)</f>
        <v>2580222.0439999998</v>
      </c>
      <c r="AO122" s="202">
        <f>SUM(AO118:AO121)</f>
        <v>2784626.3530000001</v>
      </c>
      <c r="AP122" s="202">
        <f>SUM(AP118:AP121)</f>
        <v>2794964.9679999999</v>
      </c>
      <c r="AQ122" s="202">
        <f t="shared" ref="AQ122:BB122" si="38">SUM(AQ118:AQ121)</f>
        <v>2885795.6870000004</v>
      </c>
      <c r="AR122" s="202">
        <f t="shared" si="38"/>
        <v>2559974.7719999999</v>
      </c>
      <c r="AS122" s="202">
        <f t="shared" si="38"/>
        <v>2765103.602</v>
      </c>
      <c r="AT122" s="202">
        <f t="shared" si="38"/>
        <v>2779149.0889999997</v>
      </c>
      <c r="AU122" s="202">
        <f t="shared" si="38"/>
        <v>3302865.415</v>
      </c>
      <c r="AV122" s="202">
        <f t="shared" si="38"/>
        <v>2876731.3680000002</v>
      </c>
      <c r="AW122" s="202">
        <f t="shared" si="38"/>
        <v>2956296.807</v>
      </c>
      <c r="AX122" s="202">
        <f t="shared" si="38"/>
        <v>2891336.253</v>
      </c>
      <c r="AY122" s="202">
        <f t="shared" si="38"/>
        <v>3054245</v>
      </c>
      <c r="AZ122" s="202">
        <f t="shared" si="38"/>
        <v>2754283.04</v>
      </c>
      <c r="BA122" s="202">
        <f t="shared" si="38"/>
        <v>2816532.6910000001</v>
      </c>
      <c r="BB122" s="202">
        <f t="shared" si="38"/>
        <v>2702795.9160000002</v>
      </c>
    </row>
    <row r="123" spans="2:54" ht="15" customHeight="1">
      <c r="B123" s="192" t="s">
        <v>92</v>
      </c>
      <c r="C123" s="192" t="s">
        <v>92</v>
      </c>
      <c r="D123" s="193"/>
      <c r="E123" s="193"/>
      <c r="F123" s="193"/>
      <c r="G123" s="193"/>
      <c r="H123" s="193"/>
      <c r="I123" s="193"/>
      <c r="J123" s="193"/>
      <c r="K123" s="193"/>
      <c r="L123" s="193"/>
      <c r="M123" s="193"/>
      <c r="N123" s="193"/>
      <c r="O123" s="193"/>
      <c r="P123" s="193"/>
      <c r="Q123" s="193"/>
      <c r="R123" s="193"/>
      <c r="S123" s="193"/>
      <c r="T123" s="193"/>
      <c r="U123" s="193"/>
      <c r="V123" s="193"/>
      <c r="W123" s="193"/>
      <c r="X123" s="193"/>
      <c r="Y123" s="201"/>
      <c r="Z123" s="201"/>
      <c r="AA123" s="201"/>
      <c r="AB123" s="201"/>
      <c r="AC123" s="201"/>
      <c r="AD123" s="201"/>
      <c r="AE123" s="201"/>
      <c r="AF123" s="201"/>
      <c r="AG123" s="201"/>
      <c r="AH123" s="201"/>
      <c r="AI123" s="201"/>
      <c r="AJ123" s="201"/>
      <c r="AK123" s="201"/>
      <c r="AL123" s="201"/>
      <c r="AM123" s="201">
        <v>846009.65398000006</v>
      </c>
      <c r="AN123" s="201">
        <v>817867.40408099978</v>
      </c>
      <c r="AO123" s="201">
        <v>840340.33606999973</v>
      </c>
      <c r="AP123" s="201">
        <v>890402.20817999984</v>
      </c>
      <c r="AQ123" s="201">
        <v>845443.76925899996</v>
      </c>
      <c r="AR123" s="201">
        <v>855841.69847800001</v>
      </c>
      <c r="AS123" s="201">
        <v>865473.90344799962</v>
      </c>
      <c r="AT123" s="201">
        <v>922649.66536600003</v>
      </c>
      <c r="AU123" s="201">
        <v>889569.71698617702</v>
      </c>
      <c r="AV123" s="201">
        <v>907722.83886358596</v>
      </c>
      <c r="AW123" s="201">
        <v>947096.52759010298</v>
      </c>
      <c r="AX123" s="201">
        <v>994595.81095695496</v>
      </c>
      <c r="AY123" s="201">
        <v>978788.66441899806</v>
      </c>
      <c r="AZ123" s="201">
        <v>974949.63017099898</v>
      </c>
      <c r="BA123" s="201">
        <v>979890.97972599999</v>
      </c>
      <c r="BB123" s="201">
        <v>1025292.7073139999</v>
      </c>
    </row>
    <row r="124" spans="2:54" ht="15" customHeight="1">
      <c r="B124" s="192" t="s">
        <v>93</v>
      </c>
      <c r="C124" s="192" t="s">
        <v>94</v>
      </c>
      <c r="D124" s="193"/>
      <c r="E124" s="193"/>
      <c r="F124" s="193"/>
      <c r="G124" s="193"/>
      <c r="H124" s="193"/>
      <c r="I124" s="193"/>
      <c r="J124" s="193"/>
      <c r="K124" s="193"/>
      <c r="L124" s="193"/>
      <c r="M124" s="193"/>
      <c r="N124" s="193"/>
      <c r="O124" s="193"/>
      <c r="P124" s="193"/>
      <c r="Q124" s="193"/>
      <c r="R124" s="193"/>
      <c r="S124" s="193"/>
      <c r="T124" s="193"/>
      <c r="U124" s="193"/>
      <c r="V124" s="193"/>
      <c r="W124" s="193"/>
      <c r="X124" s="193"/>
      <c r="Y124" s="201"/>
      <c r="Z124" s="201"/>
      <c r="AA124" s="201"/>
      <c r="AB124" s="201"/>
      <c r="AC124" s="201"/>
      <c r="AD124" s="201"/>
      <c r="AE124" s="201"/>
      <c r="AF124" s="201"/>
      <c r="AG124" s="201"/>
      <c r="AH124" s="201"/>
      <c r="AI124" s="201"/>
      <c r="AJ124" s="201"/>
      <c r="AK124" s="201"/>
      <c r="AL124" s="201"/>
      <c r="AM124" s="201">
        <v>110551.05225000001</v>
      </c>
      <c r="AN124" s="201">
        <v>123121.26235099995</v>
      </c>
      <c r="AO124" s="201">
        <v>113634.71864400004</v>
      </c>
      <c r="AP124" s="201">
        <v>119813.93632799991</v>
      </c>
      <c r="AQ124" s="201">
        <v>127405.569814</v>
      </c>
      <c r="AR124" s="201">
        <v>141688.78641199999</v>
      </c>
      <c r="AS124" s="201">
        <v>137704.49681700004</v>
      </c>
      <c r="AT124" s="201">
        <v>159068.50938100019</v>
      </c>
      <c r="AU124" s="201">
        <v>178651.223524</v>
      </c>
      <c r="AV124" s="201">
        <v>188297.62612999999</v>
      </c>
      <c r="AW124" s="201">
        <v>189139.06760499999</v>
      </c>
      <c r="AX124" s="201">
        <v>192485.31145800001</v>
      </c>
      <c r="AY124" s="201">
        <v>215750.60846700001</v>
      </c>
      <c r="AZ124" s="201">
        <v>247473.263698</v>
      </c>
      <c r="BA124" s="201">
        <v>235589.64747200001</v>
      </c>
      <c r="BB124" s="201">
        <v>244656.091615999</v>
      </c>
    </row>
    <row r="125" spans="2:54" ht="15" customHeight="1" thickBot="1">
      <c r="B125" s="192" t="s">
        <v>95</v>
      </c>
      <c r="C125" s="192" t="s">
        <v>96</v>
      </c>
      <c r="D125" s="193"/>
      <c r="E125" s="193"/>
      <c r="F125" s="193"/>
      <c r="G125" s="193"/>
      <c r="H125" s="193"/>
      <c r="I125" s="193"/>
      <c r="J125" s="193"/>
      <c r="K125" s="193"/>
      <c r="L125" s="193"/>
      <c r="M125" s="193"/>
      <c r="N125" s="193"/>
      <c r="O125" s="193"/>
      <c r="P125" s="193"/>
      <c r="Q125" s="193"/>
      <c r="R125" s="193"/>
      <c r="S125" s="193"/>
      <c r="T125" s="193"/>
      <c r="U125" s="193"/>
      <c r="V125" s="193"/>
      <c r="W125" s="193"/>
      <c r="X125" s="193"/>
      <c r="Y125" s="201"/>
      <c r="Z125" s="201"/>
      <c r="AA125" s="201"/>
      <c r="AB125" s="201"/>
      <c r="AC125" s="201"/>
      <c r="AD125" s="201"/>
      <c r="AE125" s="201"/>
      <c r="AF125" s="201"/>
      <c r="AG125" s="201"/>
      <c r="AH125" s="201"/>
      <c r="AI125" s="201"/>
      <c r="AJ125" s="201"/>
      <c r="AK125" s="201"/>
      <c r="AL125" s="201"/>
      <c r="AM125" s="201">
        <v>2188.2580899999998</v>
      </c>
      <c r="AN125" s="201">
        <v>4720.4066679999996</v>
      </c>
      <c r="AO125" s="201">
        <v>6580.0841440000004</v>
      </c>
      <c r="AP125" s="201">
        <v>8126.5625349999991</v>
      </c>
      <c r="AQ125" s="201">
        <v>8669.2920859999704</v>
      </c>
      <c r="AR125" s="201">
        <v>14500.619974999978</v>
      </c>
      <c r="AS125" s="201">
        <v>31179.528869000002</v>
      </c>
      <c r="AT125" s="201">
        <v>34564.713187000008</v>
      </c>
      <c r="AU125" s="201">
        <v>36933.619930002838</v>
      </c>
      <c r="AV125" s="201">
        <v>35734.953571004015</v>
      </c>
      <c r="AW125" s="201">
        <v>48494.539760997053</v>
      </c>
      <c r="AX125" s="201">
        <v>65228.435653995024</v>
      </c>
      <c r="AY125" s="201">
        <v>49732.577955001965</v>
      </c>
      <c r="AZ125" s="201">
        <v>47486.330805000849</v>
      </c>
      <c r="BA125" s="201">
        <v>58141.638991000131</v>
      </c>
      <c r="BB125" s="201">
        <v>66532.160129000898</v>
      </c>
    </row>
    <row r="126" spans="2:54" ht="15" customHeight="1" thickBot="1">
      <c r="B126" s="194" t="s">
        <v>99</v>
      </c>
      <c r="C126" s="194" t="s">
        <v>100</v>
      </c>
      <c r="D126" s="195"/>
      <c r="E126" s="195"/>
      <c r="F126" s="195"/>
      <c r="G126" s="195"/>
      <c r="H126" s="195"/>
      <c r="I126" s="195"/>
      <c r="J126" s="195"/>
      <c r="K126" s="195"/>
      <c r="L126" s="195"/>
      <c r="M126" s="195"/>
      <c r="N126" s="195"/>
      <c r="O126" s="195"/>
      <c r="P126" s="195"/>
      <c r="Q126" s="195"/>
      <c r="R126" s="195"/>
      <c r="S126" s="195"/>
      <c r="T126" s="195"/>
      <c r="U126" s="195"/>
      <c r="V126" s="195"/>
      <c r="W126" s="195"/>
      <c r="X126" s="195"/>
      <c r="Y126" s="195"/>
      <c r="Z126" s="195"/>
      <c r="AA126" s="195"/>
      <c r="AB126" s="195"/>
      <c r="AC126" s="195"/>
      <c r="AD126" s="195"/>
      <c r="AE126" s="195"/>
      <c r="AF126" s="195"/>
      <c r="AG126" s="195"/>
      <c r="AH126" s="195"/>
      <c r="AI126" s="195"/>
      <c r="AJ126" s="195"/>
      <c r="AK126" s="195"/>
      <c r="AL126" s="195"/>
      <c r="AM126" s="195">
        <f t="shared" ref="AM126:BB126" si="39">SUM(AM123:AM125)</f>
        <v>958748.96432000014</v>
      </c>
      <c r="AN126" s="195">
        <f t="shared" si="39"/>
        <v>945709.0730999998</v>
      </c>
      <c r="AO126" s="195">
        <f t="shared" si="39"/>
        <v>960555.1388579997</v>
      </c>
      <c r="AP126" s="195">
        <f t="shared" si="39"/>
        <v>1018342.7070429998</v>
      </c>
      <c r="AQ126" s="195">
        <f t="shared" si="39"/>
        <v>981518.63115899998</v>
      </c>
      <c r="AR126" s="195">
        <f t="shared" si="39"/>
        <v>1012031.1048649999</v>
      </c>
      <c r="AS126" s="195">
        <f t="shared" si="39"/>
        <v>1034357.9291339996</v>
      </c>
      <c r="AT126" s="195">
        <f t="shared" si="39"/>
        <v>1116282.8879340002</v>
      </c>
      <c r="AU126" s="195">
        <f t="shared" si="39"/>
        <v>1105154.5604401799</v>
      </c>
      <c r="AV126" s="195">
        <f t="shared" si="39"/>
        <v>1131755.4185645899</v>
      </c>
      <c r="AW126" s="195">
        <f t="shared" si="39"/>
        <v>1184730.1349561</v>
      </c>
      <c r="AX126" s="195">
        <f t="shared" si="39"/>
        <v>1252309.55806895</v>
      </c>
      <c r="AY126" s="195">
        <f t="shared" si="39"/>
        <v>1244271.850841</v>
      </c>
      <c r="AZ126" s="195">
        <f t="shared" si="39"/>
        <v>1269909.2246739999</v>
      </c>
      <c r="BA126" s="195">
        <f t="shared" si="39"/>
        <v>1273622.2661890001</v>
      </c>
      <c r="BB126" s="195">
        <f t="shared" si="39"/>
        <v>1336480.9590589998</v>
      </c>
    </row>
    <row r="127" spans="2:54" ht="15" customHeight="1" thickBot="1">
      <c r="B127" s="196" t="s">
        <v>101</v>
      </c>
      <c r="C127" s="196" t="s">
        <v>102</v>
      </c>
      <c r="D127" s="197"/>
      <c r="E127" s="197"/>
      <c r="F127" s="197"/>
      <c r="G127" s="197"/>
      <c r="H127" s="197"/>
      <c r="I127" s="197"/>
      <c r="J127" s="197"/>
      <c r="K127" s="197"/>
      <c r="L127" s="197"/>
      <c r="M127" s="197"/>
      <c r="N127" s="197"/>
      <c r="O127" s="197"/>
      <c r="P127" s="197"/>
      <c r="Q127" s="197"/>
      <c r="R127" s="197"/>
      <c r="S127" s="197"/>
      <c r="T127" s="197"/>
      <c r="U127" s="197"/>
      <c r="V127" s="197"/>
      <c r="W127" s="197"/>
      <c r="X127" s="197"/>
      <c r="Y127" s="197"/>
      <c r="Z127" s="197"/>
      <c r="AA127" s="197"/>
      <c r="AB127" s="198"/>
      <c r="AC127" s="198"/>
      <c r="AD127" s="198"/>
      <c r="AE127" s="198"/>
      <c r="AF127" s="198"/>
      <c r="AG127" s="198"/>
      <c r="AH127" s="198"/>
      <c r="AI127" s="198"/>
      <c r="AJ127" s="198"/>
      <c r="AK127" s="198"/>
      <c r="AL127" s="198"/>
      <c r="AM127" s="198">
        <v>1864.0644800000002</v>
      </c>
      <c r="AN127" s="198">
        <v>2140.9533569999999</v>
      </c>
      <c r="AO127" s="198">
        <v>2536.526237</v>
      </c>
      <c r="AP127" s="198">
        <v>2649.0252799999998</v>
      </c>
      <c r="AQ127" s="198">
        <v>2533.7059949999998</v>
      </c>
      <c r="AR127" s="198">
        <v>2544.739075</v>
      </c>
      <c r="AS127" s="198">
        <v>2790.492949</v>
      </c>
      <c r="AT127" s="198">
        <v>3064.3879999999999</v>
      </c>
      <c r="AU127" s="198">
        <v>2926.55</v>
      </c>
      <c r="AV127" s="198">
        <v>5759.33</v>
      </c>
      <c r="AW127" s="543">
        <v>2898.64</v>
      </c>
      <c r="AX127" s="198">
        <v>3347.69</v>
      </c>
      <c r="AY127" s="198">
        <v>3266.5562369999998</v>
      </c>
      <c r="AZ127" s="543">
        <v>3212.4917049999999</v>
      </c>
      <c r="BA127" s="198">
        <v>1285.336609</v>
      </c>
      <c r="BB127" s="198">
        <v>1912.300117</v>
      </c>
    </row>
    <row r="128" spans="2:54" ht="15" customHeight="1" thickBot="1">
      <c r="B128" s="199" t="s">
        <v>103</v>
      </c>
      <c r="C128" s="199" t="s">
        <v>2061</v>
      </c>
      <c r="D128" s="195">
        <f t="shared" ref="D128:BB128" si="40">SUM(D122,D126,D127)</f>
        <v>0</v>
      </c>
      <c r="E128" s="195">
        <f t="shared" si="40"/>
        <v>0</v>
      </c>
      <c r="F128" s="195">
        <f t="shared" si="40"/>
        <v>0</v>
      </c>
      <c r="G128" s="195">
        <f t="shared" si="40"/>
        <v>0</v>
      </c>
      <c r="H128" s="195">
        <f t="shared" si="40"/>
        <v>0</v>
      </c>
      <c r="I128" s="195">
        <f t="shared" si="40"/>
        <v>0</v>
      </c>
      <c r="J128" s="195">
        <f t="shared" si="40"/>
        <v>0</v>
      </c>
      <c r="K128" s="195">
        <f t="shared" si="40"/>
        <v>0</v>
      </c>
      <c r="L128" s="195">
        <f t="shared" si="40"/>
        <v>0</v>
      </c>
      <c r="M128" s="195">
        <f t="shared" si="40"/>
        <v>0</v>
      </c>
      <c r="N128" s="195">
        <f t="shared" si="40"/>
        <v>0</v>
      </c>
      <c r="O128" s="195">
        <f t="shared" si="40"/>
        <v>0</v>
      </c>
      <c r="P128" s="195">
        <f t="shared" si="40"/>
        <v>0</v>
      </c>
      <c r="Q128" s="195">
        <f t="shared" si="40"/>
        <v>0</v>
      </c>
      <c r="R128" s="195">
        <f t="shared" si="40"/>
        <v>0</v>
      </c>
      <c r="S128" s="195">
        <f t="shared" si="40"/>
        <v>0</v>
      </c>
      <c r="T128" s="195">
        <f t="shared" si="40"/>
        <v>0</v>
      </c>
      <c r="U128" s="195">
        <f t="shared" si="40"/>
        <v>0</v>
      </c>
      <c r="V128" s="195">
        <f t="shared" si="40"/>
        <v>0</v>
      </c>
      <c r="W128" s="195">
        <f t="shared" si="40"/>
        <v>0</v>
      </c>
      <c r="X128" s="195">
        <f t="shared" si="40"/>
        <v>0</v>
      </c>
      <c r="Y128" s="195">
        <f t="shared" si="40"/>
        <v>0</v>
      </c>
      <c r="Z128" s="195">
        <f t="shared" si="40"/>
        <v>0</v>
      </c>
      <c r="AA128" s="195">
        <f t="shared" si="40"/>
        <v>0</v>
      </c>
      <c r="AB128" s="195">
        <f t="shared" si="40"/>
        <v>0</v>
      </c>
      <c r="AC128" s="195">
        <f t="shared" si="40"/>
        <v>0</v>
      </c>
      <c r="AD128" s="195">
        <f t="shared" si="40"/>
        <v>0</v>
      </c>
      <c r="AE128" s="195">
        <f t="shared" si="40"/>
        <v>0</v>
      </c>
      <c r="AF128" s="195">
        <f t="shared" si="40"/>
        <v>0</v>
      </c>
      <c r="AG128" s="195">
        <f t="shared" si="40"/>
        <v>0</v>
      </c>
      <c r="AH128" s="195">
        <f t="shared" si="40"/>
        <v>0</v>
      </c>
      <c r="AI128" s="195">
        <f t="shared" si="40"/>
        <v>0</v>
      </c>
      <c r="AJ128" s="195">
        <f t="shared" si="40"/>
        <v>0</v>
      </c>
      <c r="AK128" s="195">
        <f t="shared" si="40"/>
        <v>0</v>
      </c>
      <c r="AL128" s="195">
        <f t="shared" si="40"/>
        <v>0</v>
      </c>
      <c r="AM128" s="195">
        <f t="shared" si="40"/>
        <v>3866994.1138000004</v>
      </c>
      <c r="AN128" s="195">
        <f t="shared" si="40"/>
        <v>3528072.0704569994</v>
      </c>
      <c r="AO128" s="195">
        <f t="shared" si="40"/>
        <v>3747718.0180949997</v>
      </c>
      <c r="AP128" s="195">
        <f t="shared" si="40"/>
        <v>3815956.7003230001</v>
      </c>
      <c r="AQ128" s="195">
        <f t="shared" si="40"/>
        <v>3869848.0241540004</v>
      </c>
      <c r="AR128" s="195">
        <f t="shared" si="40"/>
        <v>3574550.6159399995</v>
      </c>
      <c r="AS128" s="195">
        <f t="shared" si="40"/>
        <v>3802252.0240829997</v>
      </c>
      <c r="AT128" s="195">
        <f t="shared" si="40"/>
        <v>3898496.3649339997</v>
      </c>
      <c r="AU128" s="195">
        <f t="shared" si="40"/>
        <v>4410946.5254401797</v>
      </c>
      <c r="AV128" s="195">
        <f t="shared" si="40"/>
        <v>4014246.1165645905</v>
      </c>
      <c r="AW128" s="195">
        <f t="shared" si="40"/>
        <v>4143925.5819561002</v>
      </c>
      <c r="AX128" s="195">
        <f t="shared" si="40"/>
        <v>4146993.5010689502</v>
      </c>
      <c r="AY128" s="195">
        <f t="shared" si="40"/>
        <v>4301783.4070779998</v>
      </c>
      <c r="AZ128" s="195">
        <f t="shared" si="40"/>
        <v>4027404.7563789999</v>
      </c>
      <c r="BA128" s="195">
        <f t="shared" si="40"/>
        <v>4091440.2937980001</v>
      </c>
      <c r="BB128" s="195">
        <f t="shared" si="40"/>
        <v>4041189.1751760002</v>
      </c>
    </row>
    <row r="129" spans="2:54" ht="15" customHeight="1" thickBot="1">
      <c r="B129" s="581" t="s">
        <v>2060</v>
      </c>
      <c r="C129" s="581" t="s">
        <v>2063</v>
      </c>
      <c r="D129" s="203"/>
      <c r="E129" s="203"/>
      <c r="F129" s="203"/>
      <c r="G129" s="203"/>
      <c r="H129" s="203"/>
      <c r="I129" s="203"/>
      <c r="J129" s="203"/>
      <c r="K129" s="203"/>
      <c r="L129" s="203"/>
      <c r="M129" s="203"/>
      <c r="N129" s="203"/>
      <c r="O129" s="203"/>
      <c r="P129" s="203"/>
      <c r="Q129" s="203"/>
      <c r="R129" s="203"/>
      <c r="S129" s="203"/>
      <c r="T129" s="203"/>
      <c r="U129" s="203"/>
      <c r="V129" s="203"/>
      <c r="W129" s="203"/>
      <c r="X129" s="203"/>
      <c r="Y129" s="203"/>
      <c r="Z129" s="203"/>
      <c r="AA129" s="203"/>
      <c r="AB129" s="582"/>
      <c r="AC129" s="582"/>
      <c r="AD129" s="582"/>
      <c r="AE129" s="582"/>
      <c r="AF129" s="582"/>
      <c r="AG129" s="582"/>
      <c r="AH129" s="582"/>
      <c r="AI129" s="582"/>
      <c r="AJ129" s="582"/>
      <c r="AK129" s="582"/>
      <c r="AL129" s="582"/>
      <c r="AM129" s="582"/>
      <c r="AN129" s="582"/>
      <c r="AO129" s="582"/>
      <c r="AP129" s="582"/>
      <c r="AQ129" s="582"/>
      <c r="AR129" s="582"/>
      <c r="AS129" s="582"/>
      <c r="AT129" s="582"/>
      <c r="AU129" s="582"/>
      <c r="AV129" s="582">
        <v>42371.566999999995</v>
      </c>
      <c r="AW129" s="582">
        <v>58378.733999999997</v>
      </c>
      <c r="AX129" s="582">
        <v>83082.338000000003</v>
      </c>
      <c r="AY129" s="582">
        <v>118222.54</v>
      </c>
      <c r="AZ129" s="582">
        <v>147480.17199999999</v>
      </c>
      <c r="BA129" s="582">
        <v>183518.75099999999</v>
      </c>
      <c r="BB129" s="582">
        <v>217445</v>
      </c>
    </row>
    <row r="130" spans="2:54" ht="15" customHeight="1" thickBot="1">
      <c r="B130" s="199" t="s">
        <v>104</v>
      </c>
      <c r="C130" s="199" t="s">
        <v>2062</v>
      </c>
      <c r="D130" s="580">
        <f t="shared" ref="D130:BB130" si="41">D128+D129</f>
        <v>0</v>
      </c>
      <c r="E130" s="580">
        <f t="shared" si="41"/>
        <v>0</v>
      </c>
      <c r="F130" s="580">
        <f t="shared" si="41"/>
        <v>0</v>
      </c>
      <c r="G130" s="580">
        <f t="shared" si="41"/>
        <v>0</v>
      </c>
      <c r="H130" s="580">
        <f t="shared" si="41"/>
        <v>0</v>
      </c>
      <c r="I130" s="580">
        <f t="shared" si="41"/>
        <v>0</v>
      </c>
      <c r="J130" s="580">
        <f t="shared" si="41"/>
        <v>0</v>
      </c>
      <c r="K130" s="580">
        <f t="shared" si="41"/>
        <v>0</v>
      </c>
      <c r="L130" s="580">
        <f t="shared" si="41"/>
        <v>0</v>
      </c>
      <c r="M130" s="580">
        <f t="shared" si="41"/>
        <v>0</v>
      </c>
      <c r="N130" s="580">
        <f t="shared" si="41"/>
        <v>0</v>
      </c>
      <c r="O130" s="580">
        <f t="shared" si="41"/>
        <v>0</v>
      </c>
      <c r="P130" s="580">
        <f t="shared" si="41"/>
        <v>0</v>
      </c>
      <c r="Q130" s="580">
        <f t="shared" si="41"/>
        <v>0</v>
      </c>
      <c r="R130" s="580">
        <f t="shared" si="41"/>
        <v>0</v>
      </c>
      <c r="S130" s="580">
        <f t="shared" si="41"/>
        <v>0</v>
      </c>
      <c r="T130" s="580">
        <f t="shared" si="41"/>
        <v>0</v>
      </c>
      <c r="U130" s="580">
        <f t="shared" si="41"/>
        <v>0</v>
      </c>
      <c r="V130" s="580">
        <f t="shared" si="41"/>
        <v>0</v>
      </c>
      <c r="W130" s="580">
        <f t="shared" si="41"/>
        <v>0</v>
      </c>
      <c r="X130" s="580">
        <f t="shared" si="41"/>
        <v>0</v>
      </c>
      <c r="Y130" s="580">
        <f t="shared" si="41"/>
        <v>0</v>
      </c>
      <c r="Z130" s="580">
        <f t="shared" si="41"/>
        <v>0</v>
      </c>
      <c r="AA130" s="580">
        <f t="shared" si="41"/>
        <v>0</v>
      </c>
      <c r="AB130" s="580">
        <f t="shared" si="41"/>
        <v>0</v>
      </c>
      <c r="AC130" s="580">
        <f t="shared" si="41"/>
        <v>0</v>
      </c>
      <c r="AD130" s="580">
        <f t="shared" si="41"/>
        <v>0</v>
      </c>
      <c r="AE130" s="580">
        <f t="shared" si="41"/>
        <v>0</v>
      </c>
      <c r="AF130" s="580">
        <f t="shared" si="41"/>
        <v>0</v>
      </c>
      <c r="AG130" s="580">
        <f t="shared" si="41"/>
        <v>0</v>
      </c>
      <c r="AH130" s="580">
        <f t="shared" si="41"/>
        <v>0</v>
      </c>
      <c r="AI130" s="580">
        <f t="shared" si="41"/>
        <v>0</v>
      </c>
      <c r="AJ130" s="580">
        <f t="shared" si="41"/>
        <v>0</v>
      </c>
      <c r="AK130" s="580">
        <f t="shared" si="41"/>
        <v>0</v>
      </c>
      <c r="AL130" s="580">
        <f t="shared" si="41"/>
        <v>0</v>
      </c>
      <c r="AM130" s="580">
        <f t="shared" si="41"/>
        <v>3866994.1138000004</v>
      </c>
      <c r="AN130" s="580">
        <f t="shared" si="41"/>
        <v>3528072.0704569994</v>
      </c>
      <c r="AO130" s="580">
        <f t="shared" si="41"/>
        <v>3747718.0180949997</v>
      </c>
      <c r="AP130" s="580">
        <f t="shared" si="41"/>
        <v>3815956.7003230001</v>
      </c>
      <c r="AQ130" s="580">
        <f t="shared" si="41"/>
        <v>3869848.0241540004</v>
      </c>
      <c r="AR130" s="580">
        <f t="shared" si="41"/>
        <v>3574550.6159399995</v>
      </c>
      <c r="AS130" s="580">
        <f t="shared" si="41"/>
        <v>3802252.0240829997</v>
      </c>
      <c r="AT130" s="580">
        <f t="shared" si="41"/>
        <v>3898496.3649339997</v>
      </c>
      <c r="AU130" s="580">
        <f t="shared" si="41"/>
        <v>4410946.5254401797</v>
      </c>
      <c r="AV130" s="580">
        <f t="shared" si="41"/>
        <v>4056617.6835645903</v>
      </c>
      <c r="AW130" s="580">
        <f t="shared" si="41"/>
        <v>4202304.3159560999</v>
      </c>
      <c r="AX130" s="580">
        <f t="shared" si="41"/>
        <v>4230075.8390689502</v>
      </c>
      <c r="AY130" s="580">
        <f t="shared" si="41"/>
        <v>4420005.9470779998</v>
      </c>
      <c r="AZ130" s="580">
        <f t="shared" si="41"/>
        <v>4174884.9283789997</v>
      </c>
      <c r="BA130" s="580">
        <f t="shared" si="41"/>
        <v>4274959.0447979998</v>
      </c>
      <c r="BB130" s="580">
        <f t="shared" si="41"/>
        <v>4258634.1751760002</v>
      </c>
    </row>
    <row r="131" spans="2:54" ht="15" customHeight="1" thickBot="1">
      <c r="B131" s="581" t="s">
        <v>105</v>
      </c>
      <c r="C131" s="581" t="s">
        <v>2064</v>
      </c>
      <c r="D131" s="203"/>
      <c r="E131" s="203"/>
      <c r="F131" s="203"/>
      <c r="G131" s="203"/>
      <c r="H131" s="203"/>
      <c r="I131" s="203"/>
      <c r="J131" s="203"/>
      <c r="K131" s="203"/>
      <c r="L131" s="203"/>
      <c r="M131" s="203"/>
      <c r="N131" s="203"/>
      <c r="O131" s="203"/>
      <c r="P131" s="203"/>
      <c r="Q131" s="203"/>
      <c r="R131" s="203"/>
      <c r="S131" s="203"/>
      <c r="T131" s="203"/>
      <c r="U131" s="203"/>
      <c r="V131" s="203"/>
      <c r="W131" s="203"/>
      <c r="X131" s="203"/>
      <c r="Y131" s="203"/>
      <c r="Z131" s="203"/>
      <c r="AA131" s="203"/>
      <c r="AB131" s="582"/>
      <c r="AC131" s="582"/>
      <c r="AD131" s="582"/>
      <c r="AE131" s="582"/>
      <c r="AF131" s="582"/>
      <c r="AG131" s="582"/>
      <c r="AH131" s="582"/>
      <c r="AI131" s="582"/>
      <c r="AJ131" s="582"/>
      <c r="AK131" s="582"/>
      <c r="AL131" s="582"/>
      <c r="AM131" s="582"/>
      <c r="AN131" s="582"/>
      <c r="AO131" s="582"/>
      <c r="AP131" s="582"/>
      <c r="AQ131" s="582"/>
      <c r="AR131" s="582"/>
      <c r="AS131" s="582"/>
      <c r="AT131" s="582"/>
      <c r="AU131" s="582"/>
      <c r="AV131" s="582">
        <v>277542.39000000141</v>
      </c>
      <c r="AW131" s="582">
        <v>271351.92799999996</v>
      </c>
      <c r="AX131" s="582">
        <v>266684.88900000026</v>
      </c>
      <c r="AY131" s="582">
        <v>302416.56</v>
      </c>
      <c r="AZ131" s="582">
        <v>279364.99500000058</v>
      </c>
      <c r="BA131" s="582">
        <v>322100.0270000007</v>
      </c>
      <c r="BB131" s="582">
        <v>306228.57300000003</v>
      </c>
    </row>
    <row r="132" spans="2:54" ht="15" customHeight="1" thickBot="1">
      <c r="B132" s="196" t="s">
        <v>106</v>
      </c>
      <c r="C132" s="196" t="s">
        <v>2065</v>
      </c>
      <c r="D132" s="197"/>
      <c r="E132" s="197"/>
      <c r="F132" s="197"/>
      <c r="G132" s="197"/>
      <c r="H132" s="197"/>
      <c r="I132" s="197"/>
      <c r="J132" s="197"/>
      <c r="K132" s="197"/>
      <c r="L132" s="197"/>
      <c r="M132" s="197"/>
      <c r="N132" s="197"/>
      <c r="O132" s="197"/>
      <c r="P132" s="197"/>
      <c r="Q132" s="197"/>
      <c r="R132" s="197"/>
      <c r="S132" s="197"/>
      <c r="T132" s="197"/>
      <c r="U132" s="197"/>
      <c r="V132" s="197"/>
      <c r="W132" s="197"/>
      <c r="X132" s="197"/>
      <c r="Y132" s="197"/>
      <c r="Z132" s="197"/>
      <c r="AA132" s="197"/>
      <c r="AB132" s="198"/>
      <c r="AC132" s="198"/>
      <c r="AD132" s="198"/>
      <c r="AE132" s="198"/>
      <c r="AF132" s="198"/>
      <c r="AG132" s="198"/>
      <c r="AH132" s="198"/>
      <c r="AI132" s="198"/>
      <c r="AJ132" s="198"/>
      <c r="AK132" s="198"/>
      <c r="AL132" s="198"/>
      <c r="AM132" s="198">
        <v>104325.42800000031</v>
      </c>
      <c r="AN132" s="198">
        <v>120726.10900000017</v>
      </c>
      <c r="AO132" s="198">
        <v>135651.96800000034</v>
      </c>
      <c r="AP132" s="198">
        <v>144222.03200000012</v>
      </c>
      <c r="AQ132" s="198">
        <v>188072.71100000013</v>
      </c>
      <c r="AR132" s="198">
        <v>197662.14999999991</v>
      </c>
      <c r="AS132" s="198">
        <v>231095.31600000011</v>
      </c>
      <c r="AT132" s="198">
        <v>260462.6520000007</v>
      </c>
      <c r="AU132" s="198">
        <v>335588.95599999977</v>
      </c>
      <c r="AV132" s="198">
        <f t="shared" ref="AV132:BA132" si="42">+AV131+AV129</f>
        <v>319913.95700000139</v>
      </c>
      <c r="AW132" s="198">
        <f t="shared" si="42"/>
        <v>329730.66199999995</v>
      </c>
      <c r="AX132" s="198">
        <f t="shared" si="42"/>
        <v>349767.22700000025</v>
      </c>
      <c r="AY132" s="198">
        <f t="shared" si="42"/>
        <v>420639.1</v>
      </c>
      <c r="AZ132" s="198">
        <f t="shared" si="42"/>
        <v>426845.1670000006</v>
      </c>
      <c r="BA132" s="198">
        <f t="shared" si="42"/>
        <v>505618.77800000069</v>
      </c>
      <c r="BB132" s="198">
        <f>+BB131+BB129</f>
        <v>523673.57300000003</v>
      </c>
    </row>
    <row r="133" spans="2:54" ht="15" customHeight="1" thickBot="1">
      <c r="B133" s="199" t="s">
        <v>126</v>
      </c>
      <c r="C133" s="199" t="s">
        <v>127</v>
      </c>
      <c r="D133" s="195">
        <f t="shared" ref="D133:AW133" si="43">D128+D132</f>
        <v>0</v>
      </c>
      <c r="E133" s="195">
        <f t="shared" si="43"/>
        <v>0</v>
      </c>
      <c r="F133" s="195">
        <f t="shared" si="43"/>
        <v>0</v>
      </c>
      <c r="G133" s="195">
        <f t="shared" si="43"/>
        <v>0</v>
      </c>
      <c r="H133" s="195">
        <f t="shared" si="43"/>
        <v>0</v>
      </c>
      <c r="I133" s="195">
        <f t="shared" si="43"/>
        <v>0</v>
      </c>
      <c r="J133" s="195">
        <f t="shared" si="43"/>
        <v>0</v>
      </c>
      <c r="K133" s="195">
        <f t="shared" si="43"/>
        <v>0</v>
      </c>
      <c r="L133" s="195">
        <f t="shared" si="43"/>
        <v>0</v>
      </c>
      <c r="M133" s="195">
        <f t="shared" si="43"/>
        <v>0</v>
      </c>
      <c r="N133" s="195">
        <f t="shared" si="43"/>
        <v>0</v>
      </c>
      <c r="O133" s="195">
        <f t="shared" si="43"/>
        <v>0</v>
      </c>
      <c r="P133" s="195">
        <f t="shared" si="43"/>
        <v>0</v>
      </c>
      <c r="Q133" s="195">
        <f t="shared" si="43"/>
        <v>0</v>
      </c>
      <c r="R133" s="195">
        <f t="shared" si="43"/>
        <v>0</v>
      </c>
      <c r="S133" s="195">
        <f t="shared" si="43"/>
        <v>0</v>
      </c>
      <c r="T133" s="195">
        <f t="shared" si="43"/>
        <v>0</v>
      </c>
      <c r="U133" s="195">
        <f t="shared" si="43"/>
        <v>0</v>
      </c>
      <c r="V133" s="195">
        <f t="shared" si="43"/>
        <v>0</v>
      </c>
      <c r="W133" s="195">
        <f t="shared" si="43"/>
        <v>0</v>
      </c>
      <c r="X133" s="195">
        <f t="shared" si="43"/>
        <v>0</v>
      </c>
      <c r="Y133" s="195">
        <f t="shared" si="43"/>
        <v>0</v>
      </c>
      <c r="Z133" s="195">
        <f t="shared" si="43"/>
        <v>0</v>
      </c>
      <c r="AA133" s="195">
        <f t="shared" si="43"/>
        <v>0</v>
      </c>
      <c r="AB133" s="195">
        <f t="shared" si="43"/>
        <v>0</v>
      </c>
      <c r="AC133" s="195">
        <f t="shared" si="43"/>
        <v>0</v>
      </c>
      <c r="AD133" s="195">
        <f t="shared" si="43"/>
        <v>0</v>
      </c>
      <c r="AE133" s="195">
        <f t="shared" si="43"/>
        <v>0</v>
      </c>
      <c r="AF133" s="195">
        <f t="shared" si="43"/>
        <v>0</v>
      </c>
      <c r="AG133" s="195">
        <f t="shared" si="43"/>
        <v>0</v>
      </c>
      <c r="AH133" s="195">
        <f t="shared" si="43"/>
        <v>0</v>
      </c>
      <c r="AI133" s="195">
        <f t="shared" si="43"/>
        <v>0</v>
      </c>
      <c r="AJ133" s="195">
        <f t="shared" si="43"/>
        <v>0</v>
      </c>
      <c r="AK133" s="195">
        <f t="shared" si="43"/>
        <v>0</v>
      </c>
      <c r="AL133" s="195">
        <f t="shared" si="43"/>
        <v>0</v>
      </c>
      <c r="AM133" s="195">
        <f t="shared" si="43"/>
        <v>3971319.5418000007</v>
      </c>
      <c r="AN133" s="195">
        <f t="shared" si="43"/>
        <v>3648798.1794569995</v>
      </c>
      <c r="AO133" s="195">
        <f t="shared" si="43"/>
        <v>3883369.9860950001</v>
      </c>
      <c r="AP133" s="195">
        <f t="shared" si="43"/>
        <v>3960178.7323230002</v>
      </c>
      <c r="AQ133" s="195">
        <f t="shared" si="43"/>
        <v>4057920.7351540006</v>
      </c>
      <c r="AR133" s="195">
        <f t="shared" si="43"/>
        <v>3772212.7659399994</v>
      </c>
      <c r="AS133" s="195">
        <f t="shared" si="43"/>
        <v>4033347.3400829998</v>
      </c>
      <c r="AT133" s="195">
        <f t="shared" si="43"/>
        <v>4158959.0169340004</v>
      </c>
      <c r="AU133" s="195">
        <f t="shared" si="43"/>
        <v>4746535.481440179</v>
      </c>
      <c r="AV133" s="195">
        <f t="shared" si="43"/>
        <v>4334160.0735645918</v>
      </c>
      <c r="AW133" s="195">
        <f t="shared" si="43"/>
        <v>4473656.2439561002</v>
      </c>
      <c r="AX133" s="195">
        <f>AX128+AX132</f>
        <v>4496760.7280689506</v>
      </c>
      <c r="AY133" s="195">
        <f>AY128+AY132</f>
        <v>4722422.5070779994</v>
      </c>
      <c r="AZ133" s="195">
        <f>+AZ128+AZ132</f>
        <v>4454249.9233790003</v>
      </c>
      <c r="BA133" s="195">
        <f>+BA128+BA132</f>
        <v>4597059.0717980005</v>
      </c>
      <c r="BB133" s="195">
        <f>+BB128+BB132</f>
        <v>4564862.7481760001</v>
      </c>
    </row>
    <row r="134" spans="2:54" ht="15" customHeight="1">
      <c r="B134" s="204"/>
      <c r="C134" s="204"/>
      <c r="D134" s="205"/>
      <c r="E134" s="205"/>
      <c r="F134" s="205"/>
      <c r="G134" s="205"/>
      <c r="H134" s="205"/>
      <c r="I134" s="205"/>
      <c r="J134" s="205"/>
      <c r="K134" s="205"/>
      <c r="L134" s="205"/>
      <c r="M134" s="205"/>
      <c r="N134" s="205"/>
      <c r="O134" s="205"/>
      <c r="P134" s="205"/>
      <c r="Q134" s="205"/>
      <c r="R134" s="205"/>
      <c r="S134" s="205"/>
      <c r="T134" s="205"/>
      <c r="U134" s="205"/>
      <c r="V134" s="205"/>
      <c r="W134" s="205"/>
      <c r="X134" s="205"/>
      <c r="Y134" s="205"/>
      <c r="Z134" s="205"/>
      <c r="AA134" s="205"/>
      <c r="AB134" s="205"/>
      <c r="AC134" s="205"/>
      <c r="AD134" s="205"/>
      <c r="AE134" s="205"/>
      <c r="AF134" s="205"/>
      <c r="AG134" s="205"/>
      <c r="AH134" s="205"/>
      <c r="AI134" s="205"/>
      <c r="AJ134" s="205"/>
      <c r="AK134" s="205"/>
      <c r="AL134" s="205"/>
      <c r="AM134" s="205"/>
      <c r="AN134" s="205"/>
      <c r="AO134" s="205"/>
      <c r="AP134" s="205"/>
      <c r="AQ134" s="205"/>
      <c r="AR134" s="205"/>
      <c r="AS134" s="205"/>
      <c r="AT134" s="205"/>
      <c r="AU134" s="493"/>
      <c r="AV134" s="493"/>
      <c r="AW134" s="493"/>
      <c r="AX134" s="493"/>
      <c r="AY134" s="493"/>
      <c r="AZ134" s="493"/>
      <c r="BA134" s="493"/>
      <c r="BB134" s="493"/>
    </row>
    <row r="135" spans="2:54" ht="15" customHeight="1">
      <c r="B135" s="441" t="s">
        <v>128</v>
      </c>
      <c r="C135" s="441" t="s">
        <v>129</v>
      </c>
      <c r="D135" s="442">
        <f t="shared" ref="D135:AZ135" si="44">SUM(D21,D40,D58,D76,D94,D112,D130)</f>
        <v>3582336.6063963659</v>
      </c>
      <c r="E135" s="442">
        <f t="shared" si="44"/>
        <v>3734417.0149720004</v>
      </c>
      <c r="F135" s="442">
        <f t="shared" si="44"/>
        <v>4002431.6930880905</v>
      </c>
      <c r="G135" s="442">
        <f t="shared" si="44"/>
        <v>4252898.6532920003</v>
      </c>
      <c r="H135" s="442">
        <f t="shared" si="44"/>
        <v>3974837.1518339999</v>
      </c>
      <c r="I135" s="442">
        <f t="shared" si="44"/>
        <v>4099346.3673472288</v>
      </c>
      <c r="J135" s="442">
        <f t="shared" si="44"/>
        <v>4428269.4971643053</v>
      </c>
      <c r="K135" s="442">
        <f t="shared" si="44"/>
        <v>4563392.2646200005</v>
      </c>
      <c r="L135" s="442">
        <f t="shared" si="44"/>
        <v>4182252.1636089915</v>
      </c>
      <c r="M135" s="442">
        <f t="shared" si="44"/>
        <v>4104940.4005018449</v>
      </c>
      <c r="N135" s="442">
        <f t="shared" si="44"/>
        <v>4547258.5770700965</v>
      </c>
      <c r="O135" s="442">
        <f t="shared" si="44"/>
        <v>4941838.4751753816</v>
      </c>
      <c r="P135" s="442">
        <f t="shared" si="44"/>
        <v>4271708.525209358</v>
      </c>
      <c r="Q135" s="442">
        <f t="shared" si="44"/>
        <v>4475031.6781500913</v>
      </c>
      <c r="R135" s="442">
        <f t="shared" si="44"/>
        <v>4785504.2351499973</v>
      </c>
      <c r="S135" s="442">
        <f t="shared" si="44"/>
        <v>4904343.2665440431</v>
      </c>
      <c r="T135" s="442">
        <f t="shared" si="44"/>
        <v>5140494.077179228</v>
      </c>
      <c r="U135" s="442">
        <f t="shared" si="44"/>
        <v>5459269.5511155697</v>
      </c>
      <c r="V135" s="442">
        <f t="shared" si="44"/>
        <v>5647854.4472689927</v>
      </c>
      <c r="W135" s="442">
        <f t="shared" si="44"/>
        <v>5968529.2016652748</v>
      </c>
      <c r="X135" s="442">
        <f t="shared" si="44"/>
        <v>5294396.8858074099</v>
      </c>
      <c r="Y135" s="442">
        <f t="shared" si="44"/>
        <v>5422004.5218184264</v>
      </c>
      <c r="Z135" s="442">
        <f t="shared" si="44"/>
        <v>5631152.973630242</v>
      </c>
      <c r="AA135" s="442">
        <f t="shared" si="44"/>
        <v>5732759.4142166981</v>
      </c>
      <c r="AB135" s="442">
        <f t="shared" si="44"/>
        <v>5247863.3184180623</v>
      </c>
      <c r="AC135" s="442">
        <f t="shared" si="44"/>
        <v>5169240.0279878927</v>
      </c>
      <c r="AD135" s="442">
        <f t="shared" si="44"/>
        <v>5703704.8790268619</v>
      </c>
      <c r="AE135" s="442">
        <f t="shared" si="44"/>
        <v>6178707.3639892507</v>
      </c>
      <c r="AF135" s="442">
        <f t="shared" si="44"/>
        <v>5549261.4612175133</v>
      </c>
      <c r="AG135" s="442">
        <f t="shared" si="44"/>
        <v>5308947.0432739407</v>
      </c>
      <c r="AH135" s="442">
        <f t="shared" si="44"/>
        <v>7722267.9577574152</v>
      </c>
      <c r="AI135" s="442">
        <f t="shared" si="44"/>
        <v>8264631.6816435643</v>
      </c>
      <c r="AJ135" s="442">
        <f t="shared" si="44"/>
        <v>8237594.9663093425</v>
      </c>
      <c r="AK135" s="442">
        <f t="shared" si="44"/>
        <v>8045538.4854366733</v>
      </c>
      <c r="AL135" s="442">
        <f t="shared" si="44"/>
        <v>8181051.6115296381</v>
      </c>
      <c r="AM135" s="442">
        <f t="shared" si="44"/>
        <v>12399707.658756016</v>
      </c>
      <c r="AN135" s="442">
        <f t="shared" si="44"/>
        <v>11956470.174709655</v>
      </c>
      <c r="AO135" s="442">
        <f t="shared" si="44"/>
        <v>11868586.962116715</v>
      </c>
      <c r="AP135" s="442">
        <f t="shared" si="44"/>
        <v>12324975.832014516</v>
      </c>
      <c r="AQ135" s="442">
        <f t="shared" si="44"/>
        <v>12680214.345470997</v>
      </c>
      <c r="AR135" s="442">
        <f t="shared" si="44"/>
        <v>12320934.609808654</v>
      </c>
      <c r="AS135" s="442">
        <f t="shared" si="44"/>
        <v>12398962.613658931</v>
      </c>
      <c r="AT135" s="442">
        <f t="shared" si="44"/>
        <v>12828404.433324628</v>
      </c>
      <c r="AU135" s="442">
        <f t="shared" si="44"/>
        <v>13889566.912386797</v>
      </c>
      <c r="AV135" s="442">
        <f t="shared" si="44"/>
        <v>13527858.152782165</v>
      </c>
      <c r="AW135" s="442">
        <f t="shared" si="44"/>
        <v>13308265.38138368</v>
      </c>
      <c r="AX135" s="442">
        <f t="shared" si="44"/>
        <v>13753192.775254507</v>
      </c>
      <c r="AY135" s="442">
        <f t="shared" si="44"/>
        <v>14469161.201683208</v>
      </c>
      <c r="AZ135" s="442">
        <f t="shared" si="44"/>
        <v>13864441.492664682</v>
      </c>
      <c r="BA135" s="442">
        <f>SUM(BA21,BA40,BA58,BA76,BA94,BA112,BA130)</f>
        <v>13839454.767261555</v>
      </c>
      <c r="BB135" s="442">
        <f>SUM(BB21,BB40,BB58,BB76,BB94,BB112,BB130)</f>
        <v>14112492.640016116</v>
      </c>
    </row>
    <row r="136" spans="2:54" ht="15" customHeight="1">
      <c r="BB136" s="224"/>
    </row>
    <row r="137" spans="2:54" ht="15" customHeight="1">
      <c r="B137" s="439" t="s">
        <v>130</v>
      </c>
      <c r="C137" s="439" t="s">
        <v>131</v>
      </c>
      <c r="D137" s="440" t="s">
        <v>39</v>
      </c>
      <c r="E137" s="440" t="s">
        <v>40</v>
      </c>
      <c r="F137" s="440" t="s">
        <v>41</v>
      </c>
      <c r="G137" s="440" t="s">
        <v>42</v>
      </c>
      <c r="H137" s="440" t="s">
        <v>43</v>
      </c>
      <c r="I137" s="440" t="s">
        <v>44</v>
      </c>
      <c r="J137" s="440" t="s">
        <v>45</v>
      </c>
      <c r="K137" s="440" t="s">
        <v>46</v>
      </c>
      <c r="L137" s="440" t="s">
        <v>47</v>
      </c>
      <c r="M137" s="440" t="s">
        <v>48</v>
      </c>
      <c r="N137" s="440" t="s">
        <v>49</v>
      </c>
      <c r="O137" s="440" t="s">
        <v>50</v>
      </c>
      <c r="P137" s="440" t="s">
        <v>51</v>
      </c>
      <c r="Q137" s="440" t="s">
        <v>52</v>
      </c>
      <c r="R137" s="440" t="s">
        <v>53</v>
      </c>
      <c r="S137" s="440" t="s">
        <v>54</v>
      </c>
      <c r="T137" s="440" t="s">
        <v>55</v>
      </c>
      <c r="U137" s="440" t="s">
        <v>56</v>
      </c>
      <c r="V137" s="440" t="s">
        <v>57</v>
      </c>
      <c r="W137" s="440" t="s">
        <v>58</v>
      </c>
      <c r="X137" s="440" t="s">
        <v>59</v>
      </c>
      <c r="Y137" s="440" t="s">
        <v>60</v>
      </c>
      <c r="Z137" s="440" t="s">
        <v>61</v>
      </c>
      <c r="AA137" s="440" t="s">
        <v>62</v>
      </c>
      <c r="AB137" s="440" t="s">
        <v>63</v>
      </c>
      <c r="AC137" s="440" t="s">
        <v>64</v>
      </c>
      <c r="AD137" s="440" t="s">
        <v>65</v>
      </c>
      <c r="AE137" s="440" t="s">
        <v>66</v>
      </c>
      <c r="AF137" s="440" t="s">
        <v>67</v>
      </c>
      <c r="AG137" s="440" t="s">
        <v>68</v>
      </c>
      <c r="AH137" s="440" t="s">
        <v>69</v>
      </c>
      <c r="AI137" s="440" t="s">
        <v>70</v>
      </c>
      <c r="AJ137" s="440" t="str">
        <f t="shared" ref="AJ137:AT137" si="45">AJ6</f>
        <v>1T21</v>
      </c>
      <c r="AK137" s="440" t="str">
        <f t="shared" si="45"/>
        <v>2T21</v>
      </c>
      <c r="AL137" s="440" t="str">
        <f t="shared" si="45"/>
        <v>3T21</v>
      </c>
      <c r="AM137" s="440" t="str">
        <f t="shared" si="45"/>
        <v>4T21</v>
      </c>
      <c r="AN137" s="440" t="str">
        <f t="shared" si="45"/>
        <v>1T22</v>
      </c>
      <c r="AO137" s="440" t="str">
        <f t="shared" si="45"/>
        <v>2T22</v>
      </c>
      <c r="AP137" s="440" t="str">
        <f t="shared" si="45"/>
        <v>3T22</v>
      </c>
      <c r="AQ137" s="440" t="str">
        <f t="shared" si="45"/>
        <v>4T22</v>
      </c>
      <c r="AR137" s="440" t="str">
        <f t="shared" si="45"/>
        <v>1T23</v>
      </c>
      <c r="AS137" s="440" t="str">
        <f t="shared" si="45"/>
        <v>2T23</v>
      </c>
      <c r="AT137" s="440" t="str">
        <f t="shared" si="45"/>
        <v>3T23</v>
      </c>
      <c r="AU137" s="440" t="s">
        <v>82</v>
      </c>
      <c r="AV137" s="440" t="str">
        <f>AV6</f>
        <v>1T24</v>
      </c>
      <c r="AW137" s="440" t="str">
        <f>AW6</f>
        <v>2T24</v>
      </c>
      <c r="AX137" s="440" t="s">
        <v>85</v>
      </c>
      <c r="AY137" s="440" t="str">
        <f>AY6</f>
        <v>4T24</v>
      </c>
      <c r="AZ137" s="440" t="str">
        <f>AZ6</f>
        <v>1T25</v>
      </c>
      <c r="BA137" s="440" t="str">
        <f>BA6</f>
        <v>2T25</v>
      </c>
      <c r="BB137" s="440" t="str">
        <f>BB6</f>
        <v>3T25</v>
      </c>
    </row>
    <row r="138" spans="2:54" ht="15" customHeight="1">
      <c r="B138" s="189"/>
      <c r="C138" s="189"/>
    </row>
    <row r="139" spans="2:54" ht="15" customHeight="1">
      <c r="B139" s="190" t="s">
        <v>89</v>
      </c>
      <c r="C139" s="190" t="s">
        <v>89</v>
      </c>
      <c r="D139" s="191"/>
      <c r="E139" s="191"/>
      <c r="F139" s="191"/>
      <c r="G139" s="191"/>
      <c r="H139" s="191"/>
      <c r="I139" s="191"/>
      <c r="J139" s="191"/>
      <c r="K139" s="191"/>
      <c r="L139" s="191"/>
      <c r="M139" s="191"/>
      <c r="N139" s="191"/>
      <c r="O139" s="191"/>
      <c r="P139" s="191"/>
      <c r="Q139" s="191"/>
      <c r="R139" s="191"/>
      <c r="S139" s="191"/>
      <c r="T139" s="191"/>
      <c r="U139" s="191"/>
      <c r="V139" s="191"/>
      <c r="W139" s="191"/>
      <c r="X139" s="191"/>
      <c r="Y139" s="191"/>
      <c r="Z139" s="191"/>
      <c r="AA139" s="191"/>
      <c r="AB139" s="191"/>
      <c r="AC139" s="191"/>
      <c r="AD139" s="191"/>
      <c r="AE139" s="191"/>
      <c r="AF139" s="191"/>
      <c r="AG139" s="191"/>
      <c r="AH139" s="191"/>
      <c r="AI139" s="191"/>
      <c r="AJ139" s="191"/>
      <c r="AK139" s="191"/>
      <c r="AL139" s="191"/>
      <c r="AM139" s="191"/>
      <c r="AN139" s="191"/>
      <c r="AO139" s="191"/>
      <c r="AP139" s="191"/>
      <c r="AQ139" s="191"/>
      <c r="AR139" s="191"/>
      <c r="AS139" s="191"/>
      <c r="AT139" s="191"/>
      <c r="AU139" s="191"/>
      <c r="AV139" s="191"/>
      <c r="AW139" s="191"/>
      <c r="AX139" s="191"/>
      <c r="AY139" s="191"/>
      <c r="AZ139" s="191"/>
      <c r="BA139" s="191"/>
      <c r="BB139" s="191"/>
    </row>
    <row r="140" spans="2:54" ht="15" customHeight="1">
      <c r="B140" s="192" t="s">
        <v>132</v>
      </c>
      <c r="C140" s="192" t="s">
        <v>133</v>
      </c>
      <c r="D140" s="201">
        <v>807281</v>
      </c>
      <c r="E140" s="201">
        <v>807621</v>
      </c>
      <c r="F140" s="201">
        <v>802966</v>
      </c>
      <c r="G140" s="201">
        <v>812694</v>
      </c>
      <c r="H140" s="201">
        <v>815744</v>
      </c>
      <c r="I140" s="201">
        <v>812808</v>
      </c>
      <c r="J140" s="201">
        <v>819880</v>
      </c>
      <c r="K140" s="201">
        <v>841557</v>
      </c>
      <c r="L140" s="201">
        <v>1099173</v>
      </c>
      <c r="M140" s="201">
        <v>1221464</v>
      </c>
      <c r="N140" s="201">
        <v>1199896</v>
      </c>
      <c r="O140" s="201">
        <v>1209060</v>
      </c>
      <c r="P140" s="201">
        <v>1213738</v>
      </c>
      <c r="Q140" s="201">
        <v>1265558</v>
      </c>
      <c r="R140" s="201">
        <v>1285748</v>
      </c>
      <c r="S140" s="201">
        <v>1306721</v>
      </c>
      <c r="T140" s="201">
        <v>1336522</v>
      </c>
      <c r="U140" s="201">
        <v>1304571</v>
      </c>
      <c r="V140" s="201">
        <v>1321978</v>
      </c>
      <c r="W140" s="201">
        <v>1353558</v>
      </c>
      <c r="X140" s="201">
        <v>1444489</v>
      </c>
      <c r="Y140" s="201">
        <v>1526078</v>
      </c>
      <c r="Z140" s="201">
        <v>1477303</v>
      </c>
      <c r="AA140" s="201">
        <v>1646989</v>
      </c>
      <c r="AB140" s="201">
        <v>1634498</v>
      </c>
      <c r="AC140" s="201">
        <v>1594238</v>
      </c>
      <c r="AD140" s="201">
        <v>1586010</v>
      </c>
      <c r="AE140" s="201">
        <v>1579444</v>
      </c>
      <c r="AF140" s="201">
        <v>1570164</v>
      </c>
      <c r="AG140" s="201">
        <v>1507454</v>
      </c>
      <c r="AH140" s="201">
        <v>1486828</v>
      </c>
      <c r="AI140" s="201">
        <v>1474533</v>
      </c>
      <c r="AJ140" s="201">
        <v>1449050</v>
      </c>
      <c r="AK140" s="201">
        <v>1438238</v>
      </c>
      <c r="AL140" s="201">
        <v>1432261</v>
      </c>
      <c r="AM140" s="201">
        <v>1435006</v>
      </c>
      <c r="AN140" s="201">
        <v>1470702</v>
      </c>
      <c r="AO140" s="201">
        <v>1496932</v>
      </c>
      <c r="AP140" s="201">
        <v>1473498</v>
      </c>
      <c r="AQ140" s="201">
        <v>1469944</v>
      </c>
      <c r="AR140" s="201">
        <v>1445514</v>
      </c>
      <c r="AS140" s="201">
        <v>1480160</v>
      </c>
      <c r="AT140" s="201">
        <v>1495996</v>
      </c>
      <c r="AU140" s="201">
        <v>1505355</v>
      </c>
      <c r="AV140" s="201">
        <v>1502555</v>
      </c>
      <c r="AW140" s="201">
        <v>1532953</v>
      </c>
      <c r="AX140" s="201">
        <v>1537515</v>
      </c>
      <c r="AY140" s="201">
        <v>1562012</v>
      </c>
      <c r="AZ140" s="201">
        <v>1583360</v>
      </c>
      <c r="BA140" s="201">
        <v>1599750</v>
      </c>
      <c r="BB140" s="201">
        <v>1592764</v>
      </c>
    </row>
    <row r="141" spans="2:54" ht="15" customHeight="1">
      <c r="B141" s="192" t="s">
        <v>134</v>
      </c>
      <c r="C141" s="192" t="s">
        <v>135</v>
      </c>
      <c r="D141" s="201">
        <v>1037096</v>
      </c>
      <c r="E141" s="201">
        <v>1052535</v>
      </c>
      <c r="F141" s="201">
        <v>1075734</v>
      </c>
      <c r="G141" s="201">
        <v>1080999</v>
      </c>
      <c r="H141" s="201">
        <v>1096703</v>
      </c>
      <c r="I141" s="201">
        <v>1113868</v>
      </c>
      <c r="J141" s="201">
        <v>1117227</v>
      </c>
      <c r="K141" s="201">
        <v>1112578</v>
      </c>
      <c r="L141" s="201">
        <v>868659</v>
      </c>
      <c r="M141" s="201">
        <v>755685</v>
      </c>
      <c r="N141" s="201">
        <v>790070</v>
      </c>
      <c r="O141" s="201">
        <v>803113</v>
      </c>
      <c r="P141" s="201">
        <v>818637</v>
      </c>
      <c r="Q141" s="201">
        <v>804467</v>
      </c>
      <c r="R141" s="201">
        <v>801007</v>
      </c>
      <c r="S141" s="201">
        <v>798209</v>
      </c>
      <c r="T141" s="201">
        <v>787745</v>
      </c>
      <c r="U141" s="201">
        <v>834772</v>
      </c>
      <c r="V141" s="201">
        <v>841507</v>
      </c>
      <c r="W141" s="201">
        <v>824717</v>
      </c>
      <c r="X141" s="201">
        <v>750727</v>
      </c>
      <c r="Y141" s="201">
        <v>686126</v>
      </c>
      <c r="Z141" s="201">
        <v>746417</v>
      </c>
      <c r="AA141" s="201">
        <v>595682</v>
      </c>
      <c r="AB141" s="201">
        <v>620634</v>
      </c>
      <c r="AC141" s="201">
        <v>669690</v>
      </c>
      <c r="AD141" s="201">
        <v>671269</v>
      </c>
      <c r="AE141" s="201">
        <v>697511</v>
      </c>
      <c r="AF141" s="201">
        <v>701522</v>
      </c>
      <c r="AG141" s="201">
        <v>776140</v>
      </c>
      <c r="AH141" s="201">
        <v>805201</v>
      </c>
      <c r="AI141" s="201">
        <v>834429</v>
      </c>
      <c r="AJ141" s="201">
        <v>855409</v>
      </c>
      <c r="AK141" s="201">
        <v>866391</v>
      </c>
      <c r="AL141" s="201">
        <v>881025</v>
      </c>
      <c r="AM141" s="201">
        <v>892278</v>
      </c>
      <c r="AN141" s="201">
        <v>932681</v>
      </c>
      <c r="AO141" s="201">
        <v>939218</v>
      </c>
      <c r="AP141" s="201">
        <v>970785</v>
      </c>
      <c r="AQ141" s="201">
        <v>985010</v>
      </c>
      <c r="AR141" s="201">
        <v>1024132</v>
      </c>
      <c r="AS141" s="201">
        <v>1003498</v>
      </c>
      <c r="AT141" s="201">
        <v>1000575</v>
      </c>
      <c r="AU141" s="201">
        <v>1010356</v>
      </c>
      <c r="AV141" s="201">
        <v>1019145</v>
      </c>
      <c r="AW141" s="201">
        <v>1007980</v>
      </c>
      <c r="AX141" s="201">
        <v>1016571</v>
      </c>
      <c r="AY141" s="201">
        <v>1019719</v>
      </c>
      <c r="AZ141" s="201">
        <v>992564</v>
      </c>
      <c r="BA141" s="201">
        <v>994064</v>
      </c>
      <c r="BB141" s="201">
        <v>1019890</v>
      </c>
    </row>
    <row r="142" spans="2:54" ht="15" customHeight="1">
      <c r="B142" s="192" t="s">
        <v>92</v>
      </c>
      <c r="C142" s="192" t="s">
        <v>92</v>
      </c>
      <c r="D142" s="201">
        <v>9153</v>
      </c>
      <c r="E142" s="201">
        <v>9002</v>
      </c>
      <c r="F142" s="201">
        <v>9000</v>
      </c>
      <c r="G142" s="201">
        <v>8982</v>
      </c>
      <c r="H142" s="201">
        <v>8961</v>
      </c>
      <c r="I142" s="201">
        <v>8862</v>
      </c>
      <c r="J142" s="201">
        <v>8820</v>
      </c>
      <c r="K142" s="201">
        <v>8685</v>
      </c>
      <c r="L142" s="201">
        <v>8536</v>
      </c>
      <c r="M142" s="201">
        <v>8523</v>
      </c>
      <c r="N142" s="201">
        <v>8580</v>
      </c>
      <c r="O142" s="201">
        <v>8507</v>
      </c>
      <c r="P142" s="201">
        <v>8480</v>
      </c>
      <c r="Q142" s="201">
        <v>8551</v>
      </c>
      <c r="R142" s="201">
        <v>8443</v>
      </c>
      <c r="S142" s="201">
        <v>8395</v>
      </c>
      <c r="T142" s="201">
        <v>8293</v>
      </c>
      <c r="U142" s="201">
        <v>8240</v>
      </c>
      <c r="V142" s="201">
        <v>8193</v>
      </c>
      <c r="W142" s="201">
        <v>8107</v>
      </c>
      <c r="X142" s="201">
        <v>8059</v>
      </c>
      <c r="Y142" s="201">
        <v>7932</v>
      </c>
      <c r="Z142" s="201">
        <v>7784</v>
      </c>
      <c r="AA142" s="201">
        <v>7728</v>
      </c>
      <c r="AB142" s="201">
        <v>7778</v>
      </c>
      <c r="AC142" s="201">
        <v>7533</v>
      </c>
      <c r="AD142" s="201">
        <v>7609</v>
      </c>
      <c r="AE142" s="201">
        <v>7541</v>
      </c>
      <c r="AF142" s="201">
        <v>7469</v>
      </c>
      <c r="AG142" s="201">
        <v>7365</v>
      </c>
      <c r="AH142" s="201">
        <v>7307</v>
      </c>
      <c r="AI142" s="201">
        <v>7165</v>
      </c>
      <c r="AJ142" s="201">
        <v>6880</v>
      </c>
      <c r="AK142" s="201">
        <v>6825</v>
      </c>
      <c r="AL142" s="201">
        <v>6703</v>
      </c>
      <c r="AM142" s="201">
        <v>6468</v>
      </c>
      <c r="AN142" s="201">
        <v>3277</v>
      </c>
      <c r="AO142" s="201">
        <v>2680</v>
      </c>
      <c r="AP142" s="201">
        <v>2616</v>
      </c>
      <c r="AQ142" s="201">
        <v>2620</v>
      </c>
      <c r="AR142" s="201">
        <v>2631</v>
      </c>
      <c r="AS142" s="201">
        <v>2702</v>
      </c>
      <c r="AT142" s="201">
        <v>2755</v>
      </c>
      <c r="AU142" s="201">
        <v>2804</v>
      </c>
      <c r="AV142" s="201">
        <v>2854</v>
      </c>
      <c r="AW142" s="201">
        <v>2878</v>
      </c>
      <c r="AX142" s="201">
        <v>2955</v>
      </c>
      <c r="AY142" s="201">
        <v>2935</v>
      </c>
      <c r="AZ142" s="201">
        <v>2917</v>
      </c>
      <c r="BA142" s="201">
        <v>2888</v>
      </c>
      <c r="BB142" s="201">
        <v>2954</v>
      </c>
    </row>
    <row r="143" spans="2:54" ht="15" customHeight="1">
      <c r="B143" s="192" t="s">
        <v>93</v>
      </c>
      <c r="C143" s="192" t="s">
        <v>94</v>
      </c>
      <c r="D143" s="201">
        <v>130336</v>
      </c>
      <c r="E143" s="201">
        <v>131619</v>
      </c>
      <c r="F143" s="201">
        <v>133148</v>
      </c>
      <c r="G143" s="201">
        <v>134985</v>
      </c>
      <c r="H143" s="201">
        <v>139703</v>
      </c>
      <c r="I143" s="201">
        <v>142422</v>
      </c>
      <c r="J143" s="201">
        <v>144467</v>
      </c>
      <c r="K143" s="201">
        <v>146021</v>
      </c>
      <c r="L143" s="201">
        <v>147345</v>
      </c>
      <c r="M143" s="201">
        <v>148646</v>
      </c>
      <c r="N143" s="201">
        <v>150102</v>
      </c>
      <c r="O143" s="201">
        <v>151361</v>
      </c>
      <c r="P143" s="201">
        <v>152240</v>
      </c>
      <c r="Q143" s="201">
        <v>154365</v>
      </c>
      <c r="R143" s="201">
        <v>154278</v>
      </c>
      <c r="S143" s="201">
        <v>154726</v>
      </c>
      <c r="T143" s="201">
        <v>154534</v>
      </c>
      <c r="U143" s="201">
        <v>155009</v>
      </c>
      <c r="V143" s="201">
        <v>155959</v>
      </c>
      <c r="W143" s="201">
        <v>155576</v>
      </c>
      <c r="X143" s="201">
        <v>155608</v>
      </c>
      <c r="Y143" s="201">
        <v>154527</v>
      </c>
      <c r="Z143" s="201">
        <v>149664</v>
      </c>
      <c r="AA143" s="201">
        <v>148648</v>
      </c>
      <c r="AB143" s="201">
        <v>147250</v>
      </c>
      <c r="AC143" s="201">
        <v>145408</v>
      </c>
      <c r="AD143" s="201">
        <v>144474</v>
      </c>
      <c r="AE143" s="201">
        <v>142788</v>
      </c>
      <c r="AF143" s="201">
        <v>140585</v>
      </c>
      <c r="AG143" s="201">
        <v>139229</v>
      </c>
      <c r="AH143" s="201">
        <v>138090</v>
      </c>
      <c r="AI143" s="201">
        <v>135107</v>
      </c>
      <c r="AJ143" s="201">
        <v>130668</v>
      </c>
      <c r="AK143" s="201">
        <v>129037</v>
      </c>
      <c r="AL143" s="201">
        <v>127712</v>
      </c>
      <c r="AM143" s="201">
        <v>125803</v>
      </c>
      <c r="AN143" s="201">
        <v>67431</v>
      </c>
      <c r="AO143" s="201">
        <v>58935</v>
      </c>
      <c r="AP143" s="201">
        <v>58952</v>
      </c>
      <c r="AQ143" s="201">
        <v>59203</v>
      </c>
      <c r="AR143" s="201">
        <v>59675</v>
      </c>
      <c r="AS143" s="201">
        <v>60043</v>
      </c>
      <c r="AT143" s="201">
        <v>60373</v>
      </c>
      <c r="AU143" s="201">
        <v>60514</v>
      </c>
      <c r="AV143" s="201">
        <v>60765</v>
      </c>
      <c r="AW143" s="201">
        <v>61412</v>
      </c>
      <c r="AX143" s="201">
        <v>61832</v>
      </c>
      <c r="AY143" s="201">
        <v>62306</v>
      </c>
      <c r="AZ143" s="201">
        <v>62683</v>
      </c>
      <c r="BA143" s="201">
        <v>64298</v>
      </c>
      <c r="BB143" s="201">
        <v>62739</v>
      </c>
    </row>
    <row r="144" spans="2:54" ht="15" customHeight="1" thickBot="1">
      <c r="B144" s="192" t="s">
        <v>95</v>
      </c>
      <c r="C144" s="192" t="s">
        <v>96</v>
      </c>
      <c r="D144" s="201">
        <v>88136</v>
      </c>
      <c r="E144" s="201">
        <v>87950</v>
      </c>
      <c r="F144" s="201">
        <v>87827</v>
      </c>
      <c r="G144" s="201">
        <v>88300</v>
      </c>
      <c r="H144" s="201">
        <v>88751</v>
      </c>
      <c r="I144" s="201">
        <v>88743</v>
      </c>
      <c r="J144" s="201">
        <v>88512</v>
      </c>
      <c r="K144" s="201">
        <v>88982</v>
      </c>
      <c r="L144" s="201">
        <v>88526</v>
      </c>
      <c r="M144" s="201">
        <v>88479</v>
      </c>
      <c r="N144" s="201">
        <v>89067</v>
      </c>
      <c r="O144" s="201">
        <v>89561</v>
      </c>
      <c r="P144" s="201">
        <v>89949</v>
      </c>
      <c r="Q144" s="201">
        <v>90544</v>
      </c>
      <c r="R144" s="201">
        <v>90558</v>
      </c>
      <c r="S144" s="201">
        <v>90715</v>
      </c>
      <c r="T144" s="201">
        <v>90632</v>
      </c>
      <c r="U144" s="201">
        <v>90106</v>
      </c>
      <c r="V144" s="201">
        <v>91307</v>
      </c>
      <c r="W144" s="201">
        <v>91543</v>
      </c>
      <c r="X144" s="201">
        <v>93095</v>
      </c>
      <c r="Y144" s="201">
        <v>93367</v>
      </c>
      <c r="Z144" s="201">
        <v>92445</v>
      </c>
      <c r="AA144" s="201">
        <v>92800</v>
      </c>
      <c r="AB144" s="201">
        <v>92971</v>
      </c>
      <c r="AC144" s="201">
        <v>92721</v>
      </c>
      <c r="AD144" s="201">
        <v>120649</v>
      </c>
      <c r="AE144" s="201">
        <v>121496</v>
      </c>
      <c r="AF144" s="201">
        <v>135399</v>
      </c>
      <c r="AG144" s="201">
        <v>133916</v>
      </c>
      <c r="AH144" s="201">
        <v>142199</v>
      </c>
      <c r="AI144" s="201">
        <v>143867</v>
      </c>
      <c r="AJ144" s="201">
        <v>153671</v>
      </c>
      <c r="AK144" s="201">
        <v>156660</v>
      </c>
      <c r="AL144" s="201">
        <v>167488</v>
      </c>
      <c r="AM144" s="201">
        <v>169898</v>
      </c>
      <c r="AN144" s="201">
        <v>169635</v>
      </c>
      <c r="AO144" s="201">
        <v>155797</v>
      </c>
      <c r="AP144" s="201">
        <v>159964</v>
      </c>
      <c r="AQ144" s="201">
        <v>159954</v>
      </c>
      <c r="AR144" s="201">
        <v>159911</v>
      </c>
      <c r="AS144" s="201">
        <v>160046</v>
      </c>
      <c r="AT144" s="201">
        <v>159941</v>
      </c>
      <c r="AU144" s="201">
        <v>159681</v>
      </c>
      <c r="AV144" s="201">
        <v>159169</v>
      </c>
      <c r="AW144" s="201">
        <v>162401</v>
      </c>
      <c r="AX144" s="201">
        <v>161421</v>
      </c>
      <c r="AY144" s="201">
        <v>158990</v>
      </c>
      <c r="AZ144" s="201">
        <v>157526</v>
      </c>
      <c r="BA144" s="201">
        <v>159015</v>
      </c>
      <c r="BB144" s="201">
        <v>159341</v>
      </c>
    </row>
    <row r="145" spans="2:54" ht="15" customHeight="1" thickBot="1">
      <c r="B145" s="194" t="s">
        <v>136</v>
      </c>
      <c r="C145" s="194" t="s">
        <v>136</v>
      </c>
      <c r="D145" s="206">
        <f>SUM(D140:D144)</f>
        <v>2072002</v>
      </c>
      <c r="E145" s="206">
        <f t="shared" ref="E145:AV145" si="46">SUM(E140:E144)</f>
        <v>2088727</v>
      </c>
      <c r="F145" s="206">
        <f t="shared" si="46"/>
        <v>2108675</v>
      </c>
      <c r="G145" s="206">
        <f t="shared" si="46"/>
        <v>2125960</v>
      </c>
      <c r="H145" s="206">
        <f t="shared" si="46"/>
        <v>2149862</v>
      </c>
      <c r="I145" s="206">
        <f t="shared" si="46"/>
        <v>2166703</v>
      </c>
      <c r="J145" s="206">
        <f t="shared" si="46"/>
        <v>2178906</v>
      </c>
      <c r="K145" s="206">
        <f t="shared" si="46"/>
        <v>2197823</v>
      </c>
      <c r="L145" s="206">
        <f t="shared" si="46"/>
        <v>2212239</v>
      </c>
      <c r="M145" s="206">
        <f t="shared" si="46"/>
        <v>2222797</v>
      </c>
      <c r="N145" s="206">
        <f t="shared" si="46"/>
        <v>2237715</v>
      </c>
      <c r="O145" s="206">
        <f t="shared" si="46"/>
        <v>2261602</v>
      </c>
      <c r="P145" s="206">
        <f t="shared" si="46"/>
        <v>2283044</v>
      </c>
      <c r="Q145" s="206">
        <f t="shared" si="46"/>
        <v>2323485</v>
      </c>
      <c r="R145" s="206">
        <f t="shared" si="46"/>
        <v>2340034</v>
      </c>
      <c r="S145" s="206">
        <f t="shared" si="46"/>
        <v>2358766</v>
      </c>
      <c r="T145" s="206">
        <f t="shared" si="46"/>
        <v>2377726</v>
      </c>
      <c r="U145" s="206">
        <f t="shared" si="46"/>
        <v>2392698</v>
      </c>
      <c r="V145" s="206">
        <f t="shared" si="46"/>
        <v>2418944</v>
      </c>
      <c r="W145" s="206">
        <f t="shared" si="46"/>
        <v>2433501</v>
      </c>
      <c r="X145" s="206">
        <f t="shared" si="46"/>
        <v>2451978</v>
      </c>
      <c r="Y145" s="206">
        <f t="shared" si="46"/>
        <v>2468030</v>
      </c>
      <c r="Z145" s="206">
        <f t="shared" si="46"/>
        <v>2473613</v>
      </c>
      <c r="AA145" s="206">
        <f t="shared" si="46"/>
        <v>2491847</v>
      </c>
      <c r="AB145" s="206">
        <f t="shared" si="46"/>
        <v>2503131</v>
      </c>
      <c r="AC145" s="206">
        <f t="shared" si="46"/>
        <v>2509590</v>
      </c>
      <c r="AD145" s="206">
        <f t="shared" si="46"/>
        <v>2530011</v>
      </c>
      <c r="AE145" s="206">
        <f t="shared" si="46"/>
        <v>2548780</v>
      </c>
      <c r="AF145" s="206">
        <f t="shared" si="46"/>
        <v>2555139</v>
      </c>
      <c r="AG145" s="206">
        <f t="shared" si="46"/>
        <v>2564104</v>
      </c>
      <c r="AH145" s="206">
        <f t="shared" si="46"/>
        <v>2579625</v>
      </c>
      <c r="AI145" s="206">
        <f t="shared" si="46"/>
        <v>2595101</v>
      </c>
      <c r="AJ145" s="206">
        <f t="shared" si="46"/>
        <v>2595678</v>
      </c>
      <c r="AK145" s="206">
        <f t="shared" si="46"/>
        <v>2597151</v>
      </c>
      <c r="AL145" s="206">
        <f t="shared" si="46"/>
        <v>2615189</v>
      </c>
      <c r="AM145" s="206">
        <f t="shared" si="46"/>
        <v>2629453</v>
      </c>
      <c r="AN145" s="206">
        <f t="shared" si="46"/>
        <v>2643726</v>
      </c>
      <c r="AO145" s="206">
        <f t="shared" si="46"/>
        <v>2653562</v>
      </c>
      <c r="AP145" s="206">
        <f t="shared" si="46"/>
        <v>2665815</v>
      </c>
      <c r="AQ145" s="206">
        <f t="shared" si="46"/>
        <v>2676731</v>
      </c>
      <c r="AR145" s="206">
        <f t="shared" si="46"/>
        <v>2691863</v>
      </c>
      <c r="AS145" s="206">
        <f t="shared" si="46"/>
        <v>2706449</v>
      </c>
      <c r="AT145" s="206">
        <f t="shared" si="46"/>
        <v>2719640</v>
      </c>
      <c r="AU145" s="206">
        <f t="shared" si="46"/>
        <v>2738710</v>
      </c>
      <c r="AV145" s="206">
        <f t="shared" si="46"/>
        <v>2744488</v>
      </c>
      <c r="AW145" s="206">
        <f t="shared" ref="AW145:BB145" si="47">SUM(AW140:AW144)</f>
        <v>2767624</v>
      </c>
      <c r="AX145" s="206">
        <f t="shared" si="47"/>
        <v>2780294</v>
      </c>
      <c r="AY145" s="206">
        <f t="shared" si="47"/>
        <v>2805962</v>
      </c>
      <c r="AZ145" s="206">
        <f t="shared" si="47"/>
        <v>2799050</v>
      </c>
      <c r="BA145" s="206">
        <f t="shared" si="47"/>
        <v>2820015</v>
      </c>
      <c r="BB145" s="206">
        <f t="shared" si="47"/>
        <v>2837688</v>
      </c>
    </row>
    <row r="146" spans="2:54" ht="15" customHeight="1">
      <c r="B146" s="207"/>
      <c r="C146" s="207"/>
    </row>
    <row r="147" spans="2:54" ht="15" customHeight="1">
      <c r="B147" s="190" t="s">
        <v>110</v>
      </c>
      <c r="C147" s="190" t="s">
        <v>110</v>
      </c>
      <c r="D147" s="191"/>
      <c r="E147" s="191"/>
      <c r="F147" s="191"/>
      <c r="G147" s="191"/>
      <c r="H147" s="191"/>
      <c r="I147" s="191"/>
      <c r="J147" s="191"/>
      <c r="K147" s="191"/>
      <c r="L147" s="191"/>
      <c r="M147" s="191"/>
      <c r="N147" s="191"/>
      <c r="O147" s="191"/>
      <c r="P147" s="191"/>
      <c r="Q147" s="191"/>
      <c r="R147" s="191"/>
      <c r="S147" s="191"/>
      <c r="T147" s="191"/>
      <c r="U147" s="191"/>
      <c r="V147" s="191"/>
      <c r="W147" s="191"/>
      <c r="X147" s="191"/>
      <c r="Y147" s="191"/>
      <c r="Z147" s="191"/>
      <c r="AA147" s="191"/>
      <c r="AB147" s="191"/>
      <c r="AC147" s="191"/>
      <c r="AD147" s="191"/>
      <c r="AE147" s="191"/>
      <c r="AF147" s="191"/>
      <c r="AG147" s="191"/>
      <c r="AH147" s="191"/>
      <c r="AI147" s="191"/>
      <c r="AJ147" s="191"/>
      <c r="AK147" s="191"/>
      <c r="AL147" s="191"/>
      <c r="AM147" s="191"/>
      <c r="AN147" s="191"/>
      <c r="AO147" s="191"/>
      <c r="AP147" s="191"/>
      <c r="AQ147" s="191"/>
      <c r="AR147" s="191"/>
      <c r="AS147" s="191"/>
      <c r="AT147" s="191"/>
      <c r="AU147" s="191"/>
      <c r="AV147" s="191"/>
      <c r="AW147" s="191"/>
      <c r="AX147" s="191"/>
      <c r="AY147" s="191"/>
      <c r="AZ147" s="191"/>
      <c r="BA147" s="191"/>
      <c r="BB147" s="191"/>
    </row>
    <row r="148" spans="2:54" ht="15" customHeight="1">
      <c r="B148" s="192" t="s">
        <v>132</v>
      </c>
      <c r="C148" s="192" t="s">
        <v>133</v>
      </c>
      <c r="D148" s="201">
        <v>1203699</v>
      </c>
      <c r="E148" s="201">
        <v>1119891</v>
      </c>
      <c r="F148" s="201">
        <v>1129111</v>
      </c>
      <c r="G148" s="201">
        <v>1133956</v>
      </c>
      <c r="H148" s="201">
        <v>1157262</v>
      </c>
      <c r="I148" s="201">
        <v>1146162</v>
      </c>
      <c r="J148" s="201">
        <v>1167510</v>
      </c>
      <c r="K148" s="201">
        <v>1182998</v>
      </c>
      <c r="L148" s="201">
        <v>1317040</v>
      </c>
      <c r="M148" s="201">
        <v>1431139</v>
      </c>
      <c r="N148" s="201">
        <v>1399562</v>
      </c>
      <c r="O148" s="201">
        <v>1425157</v>
      </c>
      <c r="P148" s="201">
        <v>1391858</v>
      </c>
      <c r="Q148" s="201">
        <v>1488133</v>
      </c>
      <c r="R148" s="201">
        <v>1525475</v>
      </c>
      <c r="S148" s="201">
        <v>1559018</v>
      </c>
      <c r="T148" s="201">
        <v>1608525</v>
      </c>
      <c r="U148" s="201">
        <v>1597326</v>
      </c>
      <c r="V148" s="201">
        <v>1602156</v>
      </c>
      <c r="W148" s="201">
        <v>1592529</v>
      </c>
      <c r="X148" s="201">
        <v>1710069</v>
      </c>
      <c r="Y148" s="201">
        <v>1719971</v>
      </c>
      <c r="Z148" s="201">
        <v>1682961</v>
      </c>
      <c r="AA148" s="201">
        <v>1808031</v>
      </c>
      <c r="AB148" s="201">
        <v>1810233</v>
      </c>
      <c r="AC148" s="201">
        <v>1777396</v>
      </c>
      <c r="AD148" s="201">
        <v>1768383</v>
      </c>
      <c r="AE148" s="201">
        <v>1747292</v>
      </c>
      <c r="AF148" s="201">
        <v>1738814</v>
      </c>
      <c r="AG148" s="201">
        <v>1655639</v>
      </c>
      <c r="AH148" s="201">
        <v>1662332</v>
      </c>
      <c r="AI148" s="201">
        <v>1634830</v>
      </c>
      <c r="AJ148" s="201">
        <v>1614012</v>
      </c>
      <c r="AK148" s="201">
        <v>1616324</v>
      </c>
      <c r="AL148" s="201">
        <v>1621982</v>
      </c>
      <c r="AM148" s="201">
        <v>1635209</v>
      </c>
      <c r="AN148" s="201">
        <v>1629123</v>
      </c>
      <c r="AO148" s="201">
        <v>1663405</v>
      </c>
      <c r="AP148" s="201">
        <v>1662669</v>
      </c>
      <c r="AQ148" s="201">
        <v>1630047</v>
      </c>
      <c r="AR148" s="201">
        <v>1605596</v>
      </c>
      <c r="AS148" s="201">
        <v>1639946</v>
      </c>
      <c r="AT148" s="201">
        <v>1638420</v>
      </c>
      <c r="AU148" s="201">
        <v>1651472</v>
      </c>
      <c r="AV148" s="201">
        <v>1668545</v>
      </c>
      <c r="AW148" s="201">
        <v>1670573</v>
      </c>
      <c r="AX148" s="201">
        <v>1670518</v>
      </c>
      <c r="AY148" s="201">
        <v>1706344</v>
      </c>
      <c r="AZ148" s="201">
        <v>1732771</v>
      </c>
      <c r="BA148" s="201">
        <v>1734576</v>
      </c>
      <c r="BB148" s="201">
        <v>1726277</v>
      </c>
    </row>
    <row r="149" spans="2:54" ht="15" customHeight="1">
      <c r="B149" s="192" t="s">
        <v>134</v>
      </c>
      <c r="C149" s="192" t="s">
        <v>135</v>
      </c>
      <c r="D149" s="201">
        <v>456283</v>
      </c>
      <c r="E149" s="201">
        <v>551935</v>
      </c>
      <c r="F149" s="201">
        <v>565137</v>
      </c>
      <c r="G149" s="201">
        <v>600039</v>
      </c>
      <c r="H149" s="201">
        <v>619057</v>
      </c>
      <c r="I149" s="201">
        <v>659640</v>
      </c>
      <c r="J149" s="201">
        <v>674438</v>
      </c>
      <c r="K149" s="201">
        <v>697169</v>
      </c>
      <c r="L149" s="201">
        <v>591183</v>
      </c>
      <c r="M149" s="201">
        <v>500744</v>
      </c>
      <c r="N149" s="201">
        <v>559347</v>
      </c>
      <c r="O149" s="201">
        <v>562525</v>
      </c>
      <c r="P149" s="201">
        <v>551905</v>
      </c>
      <c r="Q149" s="201">
        <v>545401</v>
      </c>
      <c r="R149" s="201">
        <v>536906</v>
      </c>
      <c r="S149" s="201">
        <v>537059</v>
      </c>
      <c r="T149" s="201">
        <v>511926</v>
      </c>
      <c r="U149" s="201">
        <v>549941</v>
      </c>
      <c r="V149" s="201">
        <v>590395</v>
      </c>
      <c r="W149" s="201">
        <v>634222</v>
      </c>
      <c r="X149" s="201">
        <v>526655</v>
      </c>
      <c r="Y149" s="201">
        <v>527800</v>
      </c>
      <c r="Z149" s="201">
        <v>571671</v>
      </c>
      <c r="AA149" s="201">
        <v>463694</v>
      </c>
      <c r="AB149" s="201">
        <v>469252</v>
      </c>
      <c r="AC149" s="201">
        <v>526972</v>
      </c>
      <c r="AD149" s="201">
        <v>542769</v>
      </c>
      <c r="AE149" s="201">
        <v>576296</v>
      </c>
      <c r="AF149" s="201">
        <v>587154</v>
      </c>
      <c r="AG149" s="201">
        <v>692399</v>
      </c>
      <c r="AH149" s="201">
        <v>687003</v>
      </c>
      <c r="AI149" s="201">
        <v>726150</v>
      </c>
      <c r="AJ149" s="201">
        <v>755075</v>
      </c>
      <c r="AK149" s="201">
        <v>772414</v>
      </c>
      <c r="AL149" s="201">
        <v>793977</v>
      </c>
      <c r="AM149" s="201">
        <v>796970</v>
      </c>
      <c r="AN149" s="201">
        <v>834985</v>
      </c>
      <c r="AO149" s="201">
        <v>848600</v>
      </c>
      <c r="AP149" s="201">
        <v>875156</v>
      </c>
      <c r="AQ149" s="201">
        <v>913304</v>
      </c>
      <c r="AR149" s="201">
        <v>964158</v>
      </c>
      <c r="AS149" s="201">
        <v>946890</v>
      </c>
      <c r="AT149" s="201">
        <v>962404</v>
      </c>
      <c r="AU149" s="201">
        <v>962634</v>
      </c>
      <c r="AV149" s="201">
        <v>958325</v>
      </c>
      <c r="AW149" s="201">
        <v>1002503</v>
      </c>
      <c r="AX149" s="201">
        <v>979988</v>
      </c>
      <c r="AY149" s="201">
        <v>989308</v>
      </c>
      <c r="AZ149" s="201">
        <v>948684</v>
      </c>
      <c r="BA149" s="201">
        <v>966287</v>
      </c>
      <c r="BB149" s="201">
        <v>1001066</v>
      </c>
    </row>
    <row r="150" spans="2:54" ht="15" customHeight="1">
      <c r="B150" s="192" t="s">
        <v>92</v>
      </c>
      <c r="C150" s="192" t="s">
        <v>92</v>
      </c>
      <c r="D150" s="201">
        <v>3809</v>
      </c>
      <c r="E150" s="201">
        <v>3858</v>
      </c>
      <c r="F150" s="201">
        <v>3926</v>
      </c>
      <c r="G150" s="201">
        <v>4030</v>
      </c>
      <c r="H150" s="201">
        <v>3992</v>
      </c>
      <c r="I150" s="201">
        <v>4003</v>
      </c>
      <c r="J150" s="201">
        <v>4038</v>
      </c>
      <c r="K150" s="201">
        <v>4022</v>
      </c>
      <c r="L150" s="201">
        <v>4037</v>
      </c>
      <c r="M150" s="201">
        <v>4000</v>
      </c>
      <c r="N150" s="201">
        <v>4018</v>
      </c>
      <c r="O150" s="201">
        <v>3998</v>
      </c>
      <c r="P150" s="201">
        <v>3660</v>
      </c>
      <c r="Q150" s="201">
        <v>4406</v>
      </c>
      <c r="R150" s="201">
        <v>4109</v>
      </c>
      <c r="S150" s="201">
        <v>4231</v>
      </c>
      <c r="T150" s="201">
        <v>4053</v>
      </c>
      <c r="U150" s="201">
        <v>4008</v>
      </c>
      <c r="V150" s="201">
        <v>3967</v>
      </c>
      <c r="W150" s="201">
        <v>3929</v>
      </c>
      <c r="X150" s="201">
        <v>4075</v>
      </c>
      <c r="Y150" s="201">
        <v>3932</v>
      </c>
      <c r="Z150" s="201">
        <v>4001</v>
      </c>
      <c r="AA150" s="201">
        <v>4076</v>
      </c>
      <c r="AB150" s="201">
        <v>4010</v>
      </c>
      <c r="AC150" s="201">
        <v>4068</v>
      </c>
      <c r="AD150" s="201">
        <v>4067</v>
      </c>
      <c r="AE150" s="201">
        <v>4025</v>
      </c>
      <c r="AF150" s="201">
        <v>4013</v>
      </c>
      <c r="AG150" s="201">
        <v>3947</v>
      </c>
      <c r="AH150" s="201">
        <v>4039</v>
      </c>
      <c r="AI150" s="201">
        <v>3951</v>
      </c>
      <c r="AJ150" s="201">
        <v>4103</v>
      </c>
      <c r="AK150" s="201">
        <v>4070</v>
      </c>
      <c r="AL150" s="201">
        <v>4127</v>
      </c>
      <c r="AM150" s="201">
        <v>4385</v>
      </c>
      <c r="AN150" s="201">
        <v>4214</v>
      </c>
      <c r="AO150" s="201">
        <v>4184</v>
      </c>
      <c r="AP150" s="201">
        <v>4182</v>
      </c>
      <c r="AQ150" s="201">
        <v>4173</v>
      </c>
      <c r="AR150" s="201">
        <v>4204</v>
      </c>
      <c r="AS150" s="201">
        <v>4303</v>
      </c>
      <c r="AT150" s="201">
        <v>4346</v>
      </c>
      <c r="AU150" s="201">
        <v>4369</v>
      </c>
      <c r="AV150" s="201">
        <v>4488</v>
      </c>
      <c r="AW150" s="201">
        <v>4389</v>
      </c>
      <c r="AX150" s="201">
        <v>4418</v>
      </c>
      <c r="AY150" s="201">
        <v>4461</v>
      </c>
      <c r="AZ150" s="201">
        <v>4421</v>
      </c>
      <c r="BA150" s="201">
        <v>4376</v>
      </c>
      <c r="BB150" s="201">
        <v>4460</v>
      </c>
    </row>
    <row r="151" spans="2:54" ht="15" customHeight="1">
      <c r="B151" s="192" t="s">
        <v>93</v>
      </c>
      <c r="C151" s="192" t="s">
        <v>94</v>
      </c>
      <c r="D151" s="201">
        <v>147963</v>
      </c>
      <c r="E151" s="201">
        <v>149853</v>
      </c>
      <c r="F151" s="201">
        <v>151435</v>
      </c>
      <c r="G151" s="201">
        <v>153328</v>
      </c>
      <c r="H151" s="201">
        <v>154966</v>
      </c>
      <c r="I151" s="201">
        <v>157585</v>
      </c>
      <c r="J151" s="201">
        <v>159280</v>
      </c>
      <c r="K151" s="201">
        <v>161044</v>
      </c>
      <c r="L151" s="201">
        <v>161795</v>
      </c>
      <c r="M151" s="201">
        <v>163502</v>
      </c>
      <c r="N151" s="201">
        <v>165916</v>
      </c>
      <c r="O151" s="201">
        <v>168116</v>
      </c>
      <c r="P151" s="201">
        <v>162289</v>
      </c>
      <c r="Q151" s="201">
        <v>172961</v>
      </c>
      <c r="R151" s="201">
        <v>175943</v>
      </c>
      <c r="S151" s="201">
        <v>176288</v>
      </c>
      <c r="T151" s="201">
        <v>177062</v>
      </c>
      <c r="U151" s="201">
        <v>178461</v>
      </c>
      <c r="V151" s="201">
        <v>180029</v>
      </c>
      <c r="W151" s="201">
        <v>180238</v>
      </c>
      <c r="X151" s="201">
        <v>180072</v>
      </c>
      <c r="Y151" s="201">
        <v>177935</v>
      </c>
      <c r="Z151" s="201">
        <v>175850</v>
      </c>
      <c r="AA151" s="201">
        <v>175271</v>
      </c>
      <c r="AB151" s="201">
        <v>174540</v>
      </c>
      <c r="AC151" s="201">
        <v>173763</v>
      </c>
      <c r="AD151" s="201">
        <v>173146</v>
      </c>
      <c r="AE151" s="201">
        <v>173483</v>
      </c>
      <c r="AF151" s="201">
        <v>171315</v>
      </c>
      <c r="AG151" s="201">
        <v>169751</v>
      </c>
      <c r="AH151" s="201">
        <v>169216</v>
      </c>
      <c r="AI151" s="201">
        <v>166229</v>
      </c>
      <c r="AJ151" s="201">
        <v>163845</v>
      </c>
      <c r="AK151" s="201">
        <v>163090</v>
      </c>
      <c r="AL151" s="201">
        <v>163295</v>
      </c>
      <c r="AM151" s="201">
        <v>162826</v>
      </c>
      <c r="AN151" s="201">
        <v>163484</v>
      </c>
      <c r="AO151" s="201">
        <v>163069</v>
      </c>
      <c r="AP151" s="201">
        <v>162413</v>
      </c>
      <c r="AQ151" s="201">
        <v>161291</v>
      </c>
      <c r="AR151" s="201">
        <v>160067</v>
      </c>
      <c r="AS151" s="201">
        <v>158921</v>
      </c>
      <c r="AT151" s="201">
        <v>157366</v>
      </c>
      <c r="AU151" s="201">
        <v>155941</v>
      </c>
      <c r="AV151" s="201">
        <v>155304</v>
      </c>
      <c r="AW151" s="201">
        <v>154999</v>
      </c>
      <c r="AX151" s="201">
        <v>154206</v>
      </c>
      <c r="AY151" s="201">
        <v>153060</v>
      </c>
      <c r="AZ151" s="201">
        <v>152081</v>
      </c>
      <c r="BA151" s="201">
        <v>152338</v>
      </c>
      <c r="BB151" s="201">
        <v>152984</v>
      </c>
    </row>
    <row r="152" spans="2:54" ht="15" customHeight="1" thickBot="1">
      <c r="B152" s="192" t="s">
        <v>95</v>
      </c>
      <c r="C152" s="192" t="s">
        <v>96</v>
      </c>
      <c r="D152" s="201">
        <v>140285</v>
      </c>
      <c r="E152" s="201">
        <v>139959</v>
      </c>
      <c r="F152" s="201">
        <v>139656</v>
      </c>
      <c r="G152" s="201">
        <v>139180</v>
      </c>
      <c r="H152" s="201">
        <v>138974</v>
      </c>
      <c r="I152" s="201">
        <v>138628</v>
      </c>
      <c r="J152" s="201">
        <v>138471</v>
      </c>
      <c r="K152" s="201">
        <v>138072</v>
      </c>
      <c r="L152" s="201">
        <v>139448</v>
      </c>
      <c r="M152" s="201">
        <v>141669</v>
      </c>
      <c r="N152" s="201">
        <v>146317</v>
      </c>
      <c r="O152" s="201">
        <v>151207</v>
      </c>
      <c r="P152" s="201">
        <v>153801</v>
      </c>
      <c r="Q152" s="201">
        <v>158228</v>
      </c>
      <c r="R152" s="201">
        <v>162244</v>
      </c>
      <c r="S152" s="201">
        <v>166748</v>
      </c>
      <c r="T152" s="201">
        <v>173003</v>
      </c>
      <c r="U152" s="201">
        <v>176647</v>
      </c>
      <c r="V152" s="201">
        <v>181499</v>
      </c>
      <c r="W152" s="201">
        <v>185068</v>
      </c>
      <c r="X152" s="201">
        <v>187715</v>
      </c>
      <c r="Y152" s="201">
        <v>189320</v>
      </c>
      <c r="Z152" s="201">
        <v>191762</v>
      </c>
      <c r="AA152" s="201">
        <v>192711</v>
      </c>
      <c r="AB152" s="201">
        <v>195858</v>
      </c>
      <c r="AC152" s="201">
        <v>196247</v>
      </c>
      <c r="AD152" s="201">
        <v>202025</v>
      </c>
      <c r="AE152" s="201">
        <v>209494</v>
      </c>
      <c r="AF152" s="201">
        <v>215207</v>
      </c>
      <c r="AG152" s="201">
        <v>195356</v>
      </c>
      <c r="AH152" s="201">
        <v>217663</v>
      </c>
      <c r="AI152" s="201">
        <v>201974</v>
      </c>
      <c r="AJ152" s="201">
        <v>207101</v>
      </c>
      <c r="AK152" s="201">
        <v>214625</v>
      </c>
      <c r="AL152" s="201">
        <v>210791</v>
      </c>
      <c r="AM152" s="201">
        <v>212091</v>
      </c>
      <c r="AN152" s="201">
        <v>215812</v>
      </c>
      <c r="AO152" s="201">
        <v>206854</v>
      </c>
      <c r="AP152" s="201">
        <v>210153</v>
      </c>
      <c r="AQ152" s="201">
        <v>204394</v>
      </c>
      <c r="AR152" s="201">
        <v>208585</v>
      </c>
      <c r="AS152" s="201">
        <v>211921</v>
      </c>
      <c r="AT152" s="201">
        <v>210857</v>
      </c>
      <c r="AU152" s="201">
        <v>215407</v>
      </c>
      <c r="AV152" s="201">
        <v>215651</v>
      </c>
      <c r="AW152" s="201">
        <v>281333</v>
      </c>
      <c r="AX152" s="201">
        <v>220532</v>
      </c>
      <c r="AY152" s="201">
        <v>211031</v>
      </c>
      <c r="AZ152" s="201">
        <v>208981</v>
      </c>
      <c r="BA152" s="201">
        <v>206785</v>
      </c>
      <c r="BB152" s="201">
        <v>204201</v>
      </c>
    </row>
    <row r="153" spans="2:54" ht="15" customHeight="1" thickBot="1">
      <c r="B153" s="194" t="s">
        <v>137</v>
      </c>
      <c r="C153" s="194" t="s">
        <v>137</v>
      </c>
      <c r="D153" s="206">
        <f>SUM(D148:D152)</f>
        <v>1952039</v>
      </c>
      <c r="E153" s="206">
        <f t="shared" ref="E153:AV153" si="48">SUM(E148:E152)</f>
        <v>1965496</v>
      </c>
      <c r="F153" s="206">
        <f t="shared" si="48"/>
        <v>1989265</v>
      </c>
      <c r="G153" s="206">
        <f t="shared" si="48"/>
        <v>2030533</v>
      </c>
      <c r="H153" s="206">
        <f t="shared" si="48"/>
        <v>2074251</v>
      </c>
      <c r="I153" s="206">
        <f t="shared" si="48"/>
        <v>2106018</v>
      </c>
      <c r="J153" s="206">
        <f t="shared" si="48"/>
        <v>2143737</v>
      </c>
      <c r="K153" s="206">
        <f t="shared" si="48"/>
        <v>2183305</v>
      </c>
      <c r="L153" s="206">
        <f t="shared" si="48"/>
        <v>2213503</v>
      </c>
      <c r="M153" s="206">
        <f t="shared" si="48"/>
        <v>2241054</v>
      </c>
      <c r="N153" s="206">
        <f t="shared" si="48"/>
        <v>2275160</v>
      </c>
      <c r="O153" s="206">
        <f t="shared" si="48"/>
        <v>2311003</v>
      </c>
      <c r="P153" s="206">
        <f t="shared" si="48"/>
        <v>2263513</v>
      </c>
      <c r="Q153" s="206">
        <f t="shared" si="48"/>
        <v>2369129</v>
      </c>
      <c r="R153" s="206">
        <f t="shared" si="48"/>
        <v>2404677</v>
      </c>
      <c r="S153" s="206">
        <f t="shared" si="48"/>
        <v>2443344</v>
      </c>
      <c r="T153" s="206">
        <f t="shared" si="48"/>
        <v>2474569</v>
      </c>
      <c r="U153" s="206">
        <f t="shared" si="48"/>
        <v>2506383</v>
      </c>
      <c r="V153" s="206">
        <f t="shared" si="48"/>
        <v>2558046</v>
      </c>
      <c r="W153" s="206">
        <f t="shared" si="48"/>
        <v>2595986</v>
      </c>
      <c r="X153" s="206">
        <f t="shared" si="48"/>
        <v>2608586</v>
      </c>
      <c r="Y153" s="206">
        <f t="shared" si="48"/>
        <v>2618958</v>
      </c>
      <c r="Z153" s="206">
        <f t="shared" si="48"/>
        <v>2626245</v>
      </c>
      <c r="AA153" s="206">
        <f t="shared" si="48"/>
        <v>2643783</v>
      </c>
      <c r="AB153" s="206">
        <f t="shared" si="48"/>
        <v>2653893</v>
      </c>
      <c r="AC153" s="206">
        <f t="shared" si="48"/>
        <v>2678446</v>
      </c>
      <c r="AD153" s="206">
        <f t="shared" si="48"/>
        <v>2690390</v>
      </c>
      <c r="AE153" s="206">
        <f t="shared" si="48"/>
        <v>2710590</v>
      </c>
      <c r="AF153" s="206">
        <f t="shared" si="48"/>
        <v>2716503</v>
      </c>
      <c r="AG153" s="206">
        <f t="shared" si="48"/>
        <v>2717092</v>
      </c>
      <c r="AH153" s="206">
        <f t="shared" si="48"/>
        <v>2740253</v>
      </c>
      <c r="AI153" s="206">
        <f t="shared" si="48"/>
        <v>2733134</v>
      </c>
      <c r="AJ153" s="206">
        <f t="shared" si="48"/>
        <v>2744136</v>
      </c>
      <c r="AK153" s="206">
        <f t="shared" si="48"/>
        <v>2770523</v>
      </c>
      <c r="AL153" s="206">
        <f t="shared" si="48"/>
        <v>2794172</v>
      </c>
      <c r="AM153" s="206">
        <f t="shared" si="48"/>
        <v>2811481</v>
      </c>
      <c r="AN153" s="206">
        <f t="shared" si="48"/>
        <v>2847618</v>
      </c>
      <c r="AO153" s="206">
        <f t="shared" si="48"/>
        <v>2886112</v>
      </c>
      <c r="AP153" s="206">
        <f t="shared" si="48"/>
        <v>2914573</v>
      </c>
      <c r="AQ153" s="206">
        <f t="shared" si="48"/>
        <v>2913209</v>
      </c>
      <c r="AR153" s="206">
        <f t="shared" si="48"/>
        <v>2942610</v>
      </c>
      <c r="AS153" s="206">
        <f t="shared" si="48"/>
        <v>2961981</v>
      </c>
      <c r="AT153" s="206">
        <f t="shared" si="48"/>
        <v>2973393</v>
      </c>
      <c r="AU153" s="206">
        <f t="shared" si="48"/>
        <v>2989823</v>
      </c>
      <c r="AV153" s="206">
        <f t="shared" si="48"/>
        <v>3002313</v>
      </c>
      <c r="AW153" s="206">
        <f t="shared" ref="AW153:BB153" si="49">SUM(AW148:AW152)</f>
        <v>3113797</v>
      </c>
      <c r="AX153" s="206">
        <f t="shared" si="49"/>
        <v>3029662</v>
      </c>
      <c r="AY153" s="206">
        <f t="shared" si="49"/>
        <v>3064204</v>
      </c>
      <c r="AZ153" s="206">
        <f t="shared" si="49"/>
        <v>3046938</v>
      </c>
      <c r="BA153" s="206">
        <f t="shared" si="49"/>
        <v>3064362</v>
      </c>
      <c r="BB153" s="206">
        <f t="shared" si="49"/>
        <v>3088988</v>
      </c>
    </row>
    <row r="154" spans="2:54" ht="15" customHeight="1">
      <c r="B154" s="208"/>
      <c r="C154" s="208"/>
      <c r="D154" s="209"/>
      <c r="E154" s="209"/>
      <c r="F154" s="209"/>
      <c r="G154" s="209"/>
      <c r="H154" s="209"/>
      <c r="I154" s="209"/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  <c r="AH154" s="209"/>
      <c r="AI154" s="209"/>
      <c r="AJ154" s="209"/>
      <c r="AK154" s="209"/>
      <c r="AL154" s="209"/>
      <c r="AM154" s="209"/>
      <c r="AN154" s="209"/>
      <c r="AO154" s="209"/>
      <c r="AP154" s="209"/>
      <c r="AQ154" s="209"/>
      <c r="AR154" s="209"/>
      <c r="AS154" s="209"/>
      <c r="AT154" s="209"/>
      <c r="AU154" s="209"/>
      <c r="AV154" s="209"/>
      <c r="AW154" s="209"/>
      <c r="AX154" s="209"/>
      <c r="AY154" s="209"/>
      <c r="AZ154" s="209"/>
      <c r="BA154" s="209"/>
      <c r="BB154" s="209"/>
    </row>
    <row r="155" spans="2:54" ht="15" customHeight="1">
      <c r="B155" s="190" t="s">
        <v>113</v>
      </c>
      <c r="C155" s="190" t="s">
        <v>113</v>
      </c>
      <c r="D155" s="191"/>
      <c r="E155" s="191"/>
      <c r="F155" s="191"/>
      <c r="G155" s="191"/>
      <c r="H155" s="191"/>
      <c r="I155" s="191"/>
      <c r="J155" s="191"/>
      <c r="K155" s="191"/>
      <c r="L155" s="191"/>
      <c r="M155" s="191"/>
      <c r="N155" s="191"/>
      <c r="O155" s="191"/>
      <c r="P155" s="191"/>
      <c r="Q155" s="191"/>
      <c r="R155" s="191"/>
      <c r="S155" s="191"/>
      <c r="T155" s="191"/>
      <c r="U155" s="191"/>
      <c r="V155" s="191"/>
      <c r="W155" s="191"/>
      <c r="X155" s="191"/>
      <c r="Y155" s="191"/>
      <c r="Z155" s="191"/>
      <c r="AA155" s="191"/>
      <c r="AB155" s="191"/>
      <c r="AC155" s="191"/>
      <c r="AD155" s="191"/>
      <c r="AE155" s="191"/>
      <c r="AF155" s="191"/>
      <c r="AG155" s="191"/>
      <c r="AH155" s="191"/>
      <c r="AI155" s="191"/>
      <c r="AJ155" s="191"/>
      <c r="AK155" s="191"/>
      <c r="AL155" s="191"/>
      <c r="AM155" s="191"/>
      <c r="AN155" s="191"/>
      <c r="AO155" s="191"/>
      <c r="AP155" s="191"/>
      <c r="AQ155" s="191"/>
      <c r="AR155" s="191"/>
      <c r="AS155" s="191"/>
      <c r="AT155" s="191"/>
      <c r="AU155" s="191"/>
      <c r="AV155" s="191"/>
      <c r="AW155" s="191"/>
      <c r="AX155" s="191"/>
      <c r="AY155" s="191"/>
      <c r="AZ155" s="191"/>
      <c r="BA155" s="191"/>
      <c r="BB155" s="191"/>
    </row>
    <row r="156" spans="2:54" ht="15" customHeight="1">
      <c r="B156" s="192" t="s">
        <v>132</v>
      </c>
      <c r="C156" s="192" t="s">
        <v>133</v>
      </c>
      <c r="D156" s="201">
        <v>568786</v>
      </c>
      <c r="E156" s="201">
        <v>577772</v>
      </c>
      <c r="F156" s="201">
        <v>584087</v>
      </c>
      <c r="G156" s="201">
        <v>590123</v>
      </c>
      <c r="H156" s="201">
        <v>599827</v>
      </c>
      <c r="I156" s="201">
        <v>605664</v>
      </c>
      <c r="J156" s="201">
        <v>614721</v>
      </c>
      <c r="K156" s="201">
        <v>625649</v>
      </c>
      <c r="L156" s="201">
        <v>663200</v>
      </c>
      <c r="M156" s="201">
        <v>701629</v>
      </c>
      <c r="N156" s="201">
        <v>716678</v>
      </c>
      <c r="O156" s="201">
        <v>740741</v>
      </c>
      <c r="P156" s="201">
        <v>743457</v>
      </c>
      <c r="Q156" s="201">
        <v>731739</v>
      </c>
      <c r="R156" s="201">
        <v>736817</v>
      </c>
      <c r="S156" s="201">
        <v>746206</v>
      </c>
      <c r="T156" s="201">
        <v>754151</v>
      </c>
      <c r="U156" s="201">
        <v>736098</v>
      </c>
      <c r="V156" s="201">
        <v>773412</v>
      </c>
      <c r="W156" s="201">
        <v>809672</v>
      </c>
      <c r="X156" s="201">
        <v>831621</v>
      </c>
      <c r="Y156" s="201">
        <v>798761</v>
      </c>
      <c r="Z156" s="201">
        <v>801452</v>
      </c>
      <c r="AA156" s="201">
        <v>781980</v>
      </c>
      <c r="AB156" s="201">
        <v>775420</v>
      </c>
      <c r="AC156" s="201">
        <v>841137</v>
      </c>
      <c r="AD156" s="201">
        <v>822147</v>
      </c>
      <c r="AE156" s="201">
        <v>731423</v>
      </c>
      <c r="AF156" s="201">
        <v>723938</v>
      </c>
      <c r="AG156" s="201">
        <v>690483</v>
      </c>
      <c r="AH156" s="201">
        <v>652011</v>
      </c>
      <c r="AI156" s="201">
        <v>643207</v>
      </c>
      <c r="AJ156" s="201">
        <v>651465</v>
      </c>
      <c r="AK156" s="201">
        <v>642254</v>
      </c>
      <c r="AL156" s="201">
        <v>645227</v>
      </c>
      <c r="AM156" s="201">
        <v>650006</v>
      </c>
      <c r="AN156" s="201">
        <v>636589</v>
      </c>
      <c r="AO156" s="201">
        <v>657311</v>
      </c>
      <c r="AP156" s="201">
        <v>650174</v>
      </c>
      <c r="AQ156" s="201">
        <v>666208</v>
      </c>
      <c r="AR156" s="201">
        <v>554682</v>
      </c>
      <c r="AS156" s="201">
        <v>708651</v>
      </c>
      <c r="AT156" s="201">
        <v>722136</v>
      </c>
      <c r="AU156" s="201">
        <v>735155</v>
      </c>
      <c r="AV156" s="201">
        <v>736022</v>
      </c>
      <c r="AW156" s="201">
        <v>753029</v>
      </c>
      <c r="AX156" s="201">
        <v>765522</v>
      </c>
      <c r="AY156" s="201">
        <v>779586</v>
      </c>
      <c r="AZ156" s="201">
        <v>798528</v>
      </c>
      <c r="BA156" s="201">
        <v>802585</v>
      </c>
      <c r="BB156" s="201">
        <v>808371</v>
      </c>
    </row>
    <row r="157" spans="2:54" ht="15" customHeight="1">
      <c r="B157" s="192" t="s">
        <v>134</v>
      </c>
      <c r="C157" s="192" t="s">
        <v>135</v>
      </c>
      <c r="D157" s="201">
        <v>371083</v>
      </c>
      <c r="E157" s="201">
        <v>373223</v>
      </c>
      <c r="F157" s="201">
        <v>375825</v>
      </c>
      <c r="G157" s="201">
        <v>377348</v>
      </c>
      <c r="H157" s="201">
        <v>378098</v>
      </c>
      <c r="I157" s="201">
        <v>378910</v>
      </c>
      <c r="J157" s="201">
        <v>380682</v>
      </c>
      <c r="K157" s="201">
        <v>380631</v>
      </c>
      <c r="L157" s="201">
        <v>351965</v>
      </c>
      <c r="M157" s="201">
        <v>315228</v>
      </c>
      <c r="N157" s="201">
        <v>308546</v>
      </c>
      <c r="O157" s="201">
        <v>290971</v>
      </c>
      <c r="P157" s="201">
        <v>295925</v>
      </c>
      <c r="Q157" s="201">
        <v>316830</v>
      </c>
      <c r="R157" s="201">
        <v>334244</v>
      </c>
      <c r="S157" s="201">
        <v>332828</v>
      </c>
      <c r="T157" s="201">
        <v>335596</v>
      </c>
      <c r="U157" s="201">
        <v>361026</v>
      </c>
      <c r="V157" s="201">
        <v>334784</v>
      </c>
      <c r="W157" s="201">
        <v>304404</v>
      </c>
      <c r="X157" s="201">
        <v>288824</v>
      </c>
      <c r="Y157" s="201">
        <v>327612</v>
      </c>
      <c r="Z157" s="201">
        <v>321421</v>
      </c>
      <c r="AA157" s="201">
        <v>313807</v>
      </c>
      <c r="AB157" s="201">
        <v>349175</v>
      </c>
      <c r="AC157" s="201">
        <v>293985</v>
      </c>
      <c r="AD157" s="201">
        <v>316330</v>
      </c>
      <c r="AE157" s="201">
        <v>383107</v>
      </c>
      <c r="AF157" s="201">
        <v>386840</v>
      </c>
      <c r="AG157" s="201">
        <v>418493</v>
      </c>
      <c r="AH157" s="201">
        <v>440276</v>
      </c>
      <c r="AI157" s="201">
        <v>456653</v>
      </c>
      <c r="AJ157" s="201">
        <v>462406</v>
      </c>
      <c r="AK157" s="201">
        <v>465374</v>
      </c>
      <c r="AL157" s="201">
        <v>471667</v>
      </c>
      <c r="AM157" s="201">
        <v>482013</v>
      </c>
      <c r="AN157" s="201">
        <v>508233</v>
      </c>
      <c r="AO157" s="201">
        <v>498129</v>
      </c>
      <c r="AP157" s="201">
        <v>519859</v>
      </c>
      <c r="AQ157" s="201">
        <v>527669</v>
      </c>
      <c r="AR157" s="201">
        <v>664313</v>
      </c>
      <c r="AS157" s="201">
        <v>545931</v>
      </c>
      <c r="AT157" s="201">
        <v>540944</v>
      </c>
      <c r="AU157" s="201">
        <v>536559</v>
      </c>
      <c r="AV157" s="201">
        <v>547700</v>
      </c>
      <c r="AW157" s="201">
        <v>539717</v>
      </c>
      <c r="AX157" s="201">
        <v>537569</v>
      </c>
      <c r="AY157" s="201">
        <v>540749</v>
      </c>
      <c r="AZ157" s="201">
        <v>522965</v>
      </c>
      <c r="BA157" s="201">
        <v>529574</v>
      </c>
      <c r="BB157" s="201">
        <v>539141</v>
      </c>
    </row>
    <row r="158" spans="2:54" ht="15" customHeight="1">
      <c r="B158" s="192" t="s">
        <v>92</v>
      </c>
      <c r="C158" s="192" t="s">
        <v>92</v>
      </c>
      <c r="D158" s="201">
        <v>3662</v>
      </c>
      <c r="E158" s="201">
        <v>3628</v>
      </c>
      <c r="F158" s="201">
        <v>3602</v>
      </c>
      <c r="G158" s="201">
        <v>3601</v>
      </c>
      <c r="H158" s="201">
        <v>3604</v>
      </c>
      <c r="I158" s="201">
        <v>3571</v>
      </c>
      <c r="J158" s="201">
        <v>3592</v>
      </c>
      <c r="K158" s="201">
        <v>3526</v>
      </c>
      <c r="L158" s="201">
        <v>3522</v>
      </c>
      <c r="M158" s="201">
        <v>3508</v>
      </c>
      <c r="N158" s="201">
        <v>3363</v>
      </c>
      <c r="O158" s="201">
        <v>3355</v>
      </c>
      <c r="P158" s="201">
        <v>3348</v>
      </c>
      <c r="Q158" s="201">
        <v>3325</v>
      </c>
      <c r="R158" s="201">
        <v>3430</v>
      </c>
      <c r="S158" s="201">
        <v>3415</v>
      </c>
      <c r="T158" s="201">
        <v>3366</v>
      </c>
      <c r="U158" s="201">
        <v>3315</v>
      </c>
      <c r="V158" s="201">
        <v>3291</v>
      </c>
      <c r="W158" s="201">
        <v>3131</v>
      </c>
      <c r="X158" s="201">
        <v>3168</v>
      </c>
      <c r="Y158" s="201">
        <v>3149</v>
      </c>
      <c r="Z158" s="201">
        <v>3084</v>
      </c>
      <c r="AA158" s="201">
        <v>2890</v>
      </c>
      <c r="AB158" s="201">
        <v>2999</v>
      </c>
      <c r="AC158" s="201">
        <v>2960</v>
      </c>
      <c r="AD158" s="201">
        <v>2938</v>
      </c>
      <c r="AE158" s="201">
        <v>2882</v>
      </c>
      <c r="AF158" s="201">
        <v>2774</v>
      </c>
      <c r="AG158" s="201">
        <v>2653</v>
      </c>
      <c r="AH158" s="201">
        <v>2540</v>
      </c>
      <c r="AI158" s="201">
        <v>2455</v>
      </c>
      <c r="AJ158" s="201">
        <v>2451</v>
      </c>
      <c r="AK158" s="201">
        <v>2420</v>
      </c>
      <c r="AL158" s="201">
        <v>2394</v>
      </c>
      <c r="AM158" s="201">
        <v>2415</v>
      </c>
      <c r="AN158" s="201">
        <v>2346</v>
      </c>
      <c r="AO158" s="201">
        <v>2311</v>
      </c>
      <c r="AP158" s="201">
        <v>2310</v>
      </c>
      <c r="AQ158" s="201">
        <v>2377</v>
      </c>
      <c r="AR158" s="201">
        <v>2471</v>
      </c>
      <c r="AS158" s="201">
        <v>2508</v>
      </c>
      <c r="AT158" s="201">
        <v>2498</v>
      </c>
      <c r="AU158" s="201">
        <v>2477</v>
      </c>
      <c r="AV158" s="201">
        <v>2485</v>
      </c>
      <c r="AW158" s="201">
        <v>2462</v>
      </c>
      <c r="AX158" s="201">
        <v>2465</v>
      </c>
      <c r="AY158" s="201">
        <v>2428</v>
      </c>
      <c r="AZ158" s="201">
        <v>2410</v>
      </c>
      <c r="BA158" s="201">
        <v>2407</v>
      </c>
      <c r="BB158" s="201">
        <v>2387</v>
      </c>
    </row>
    <row r="159" spans="2:54" ht="15" customHeight="1">
      <c r="B159" s="192" t="s">
        <v>93</v>
      </c>
      <c r="C159" s="192" t="s">
        <v>94</v>
      </c>
      <c r="D159" s="201">
        <v>77222</v>
      </c>
      <c r="E159" s="201">
        <v>79522</v>
      </c>
      <c r="F159" s="201">
        <v>80397</v>
      </c>
      <c r="G159" s="201">
        <v>80133</v>
      </c>
      <c r="H159" s="201">
        <v>80541</v>
      </c>
      <c r="I159" s="201">
        <v>82267</v>
      </c>
      <c r="J159" s="201">
        <v>83790</v>
      </c>
      <c r="K159" s="201">
        <v>83476</v>
      </c>
      <c r="L159" s="201">
        <v>84403</v>
      </c>
      <c r="M159" s="201">
        <v>84773</v>
      </c>
      <c r="N159" s="201">
        <v>86018</v>
      </c>
      <c r="O159" s="201">
        <v>86153</v>
      </c>
      <c r="P159" s="201">
        <v>86163</v>
      </c>
      <c r="Q159" s="201">
        <v>87769</v>
      </c>
      <c r="R159" s="201">
        <v>90936</v>
      </c>
      <c r="S159" s="201">
        <v>90984</v>
      </c>
      <c r="T159" s="201">
        <v>91276</v>
      </c>
      <c r="U159" s="201">
        <v>92069</v>
      </c>
      <c r="V159" s="201">
        <v>93323</v>
      </c>
      <c r="W159" s="201">
        <v>93127</v>
      </c>
      <c r="X159" s="201">
        <v>93230</v>
      </c>
      <c r="Y159" s="201">
        <v>94280</v>
      </c>
      <c r="Z159" s="201">
        <v>93603</v>
      </c>
      <c r="AA159" s="201">
        <v>89988</v>
      </c>
      <c r="AB159" s="201">
        <v>92521</v>
      </c>
      <c r="AC159" s="201">
        <v>94208</v>
      </c>
      <c r="AD159" s="201">
        <v>95013</v>
      </c>
      <c r="AE159" s="201">
        <v>94850</v>
      </c>
      <c r="AF159" s="201">
        <v>92977</v>
      </c>
      <c r="AG159" s="201">
        <v>89471</v>
      </c>
      <c r="AH159" s="201">
        <v>87902</v>
      </c>
      <c r="AI159" s="201">
        <v>86760</v>
      </c>
      <c r="AJ159" s="201">
        <v>87157</v>
      </c>
      <c r="AK159" s="201">
        <v>85255</v>
      </c>
      <c r="AL159" s="201">
        <v>87050</v>
      </c>
      <c r="AM159" s="201">
        <v>86979</v>
      </c>
      <c r="AN159" s="201">
        <v>86274</v>
      </c>
      <c r="AO159" s="201">
        <v>87130</v>
      </c>
      <c r="AP159" s="201">
        <v>87726</v>
      </c>
      <c r="AQ159" s="201">
        <v>88216</v>
      </c>
      <c r="AR159" s="201">
        <v>88956</v>
      </c>
      <c r="AS159" s="201">
        <v>91944</v>
      </c>
      <c r="AT159" s="201">
        <v>91031</v>
      </c>
      <c r="AU159" s="201">
        <v>90149</v>
      </c>
      <c r="AV159" s="201">
        <v>89691</v>
      </c>
      <c r="AW159" s="201">
        <v>89673</v>
      </c>
      <c r="AX159" s="201">
        <v>89647</v>
      </c>
      <c r="AY159" s="201">
        <v>89025</v>
      </c>
      <c r="AZ159" s="201">
        <v>88588</v>
      </c>
      <c r="BA159" s="201">
        <v>89389</v>
      </c>
      <c r="BB159" s="201">
        <v>89938</v>
      </c>
    </row>
    <row r="160" spans="2:54" ht="15" customHeight="1" thickBot="1">
      <c r="B160" s="192" t="s">
        <v>95</v>
      </c>
      <c r="C160" s="192" t="s">
        <v>96</v>
      </c>
      <c r="D160" s="201">
        <v>50215</v>
      </c>
      <c r="E160" s="201">
        <v>50151</v>
      </c>
      <c r="F160" s="201">
        <v>51028</v>
      </c>
      <c r="G160" s="201">
        <v>50858</v>
      </c>
      <c r="H160" s="201">
        <v>51005</v>
      </c>
      <c r="I160" s="201">
        <v>50924</v>
      </c>
      <c r="J160" s="201">
        <v>50950</v>
      </c>
      <c r="K160" s="201">
        <v>51076</v>
      </c>
      <c r="L160" s="201">
        <v>50896</v>
      </c>
      <c r="M160" s="201">
        <v>51420</v>
      </c>
      <c r="N160" s="201">
        <v>51429</v>
      </c>
      <c r="O160" s="201">
        <v>51805</v>
      </c>
      <c r="P160" s="201">
        <v>52055</v>
      </c>
      <c r="Q160" s="201">
        <v>52483</v>
      </c>
      <c r="R160" s="201">
        <v>53314</v>
      </c>
      <c r="S160" s="201">
        <v>53934</v>
      </c>
      <c r="T160" s="201">
        <v>54496</v>
      </c>
      <c r="U160" s="201">
        <v>54572</v>
      </c>
      <c r="V160" s="201">
        <v>55361</v>
      </c>
      <c r="W160" s="201">
        <v>56175</v>
      </c>
      <c r="X160" s="201">
        <v>57156</v>
      </c>
      <c r="Y160" s="201">
        <v>57436</v>
      </c>
      <c r="Z160" s="201">
        <v>57860</v>
      </c>
      <c r="AA160" s="201">
        <v>57533</v>
      </c>
      <c r="AB160" s="201">
        <v>58438</v>
      </c>
      <c r="AC160" s="201">
        <v>58449</v>
      </c>
      <c r="AD160" s="201">
        <v>58802</v>
      </c>
      <c r="AE160" s="201">
        <v>88602</v>
      </c>
      <c r="AF160" s="201">
        <v>86598</v>
      </c>
      <c r="AG160" s="201">
        <v>96318</v>
      </c>
      <c r="AH160" s="201">
        <v>129842</v>
      </c>
      <c r="AI160" s="201">
        <v>139405</v>
      </c>
      <c r="AJ160" s="201">
        <v>141625</v>
      </c>
      <c r="AK160" s="201">
        <v>144838</v>
      </c>
      <c r="AL160" s="201">
        <v>147469</v>
      </c>
      <c r="AM160" s="201">
        <v>143828</v>
      </c>
      <c r="AN160" s="201">
        <v>138034</v>
      </c>
      <c r="AO160" s="201">
        <v>136642</v>
      </c>
      <c r="AP160" s="201">
        <v>137350</v>
      </c>
      <c r="AQ160" s="201">
        <v>137603</v>
      </c>
      <c r="AR160" s="201">
        <v>139021</v>
      </c>
      <c r="AS160" s="201">
        <v>140837</v>
      </c>
      <c r="AT160" s="201">
        <v>140771</v>
      </c>
      <c r="AU160" s="201">
        <v>138131</v>
      </c>
      <c r="AV160" s="201">
        <v>136351</v>
      </c>
      <c r="AW160" s="201">
        <v>142102</v>
      </c>
      <c r="AX160" s="201">
        <v>139371</v>
      </c>
      <c r="AY160" s="201">
        <v>135161</v>
      </c>
      <c r="AZ160" s="201">
        <v>134828</v>
      </c>
      <c r="BA160" s="201">
        <v>134459</v>
      </c>
      <c r="BB160" s="201">
        <v>133931</v>
      </c>
    </row>
    <row r="161" spans="2:54" ht="15" customHeight="1" thickBot="1">
      <c r="B161" s="194" t="s">
        <v>138</v>
      </c>
      <c r="C161" s="194" t="s">
        <v>138</v>
      </c>
      <c r="D161" s="206">
        <f>SUM(D156:D160)</f>
        <v>1070968</v>
      </c>
      <c r="E161" s="206">
        <f t="shared" ref="E161:AV161" si="50">SUM(E156:E160)</f>
        <v>1084296</v>
      </c>
      <c r="F161" s="206">
        <f t="shared" si="50"/>
        <v>1094939</v>
      </c>
      <c r="G161" s="206">
        <f t="shared" si="50"/>
        <v>1102063</v>
      </c>
      <c r="H161" s="206">
        <f t="shared" si="50"/>
        <v>1113075</v>
      </c>
      <c r="I161" s="206">
        <f t="shared" si="50"/>
        <v>1121336</v>
      </c>
      <c r="J161" s="206">
        <f t="shared" si="50"/>
        <v>1133735</v>
      </c>
      <c r="K161" s="206">
        <f t="shared" si="50"/>
        <v>1144358</v>
      </c>
      <c r="L161" s="206">
        <f t="shared" si="50"/>
        <v>1153986</v>
      </c>
      <c r="M161" s="206">
        <f t="shared" si="50"/>
        <v>1156558</v>
      </c>
      <c r="N161" s="206">
        <f t="shared" si="50"/>
        <v>1166034</v>
      </c>
      <c r="O161" s="206">
        <f t="shared" si="50"/>
        <v>1173025</v>
      </c>
      <c r="P161" s="206">
        <f t="shared" si="50"/>
        <v>1180948</v>
      </c>
      <c r="Q161" s="206">
        <f t="shared" si="50"/>
        <v>1192146</v>
      </c>
      <c r="R161" s="206">
        <f t="shared" si="50"/>
        <v>1218741</v>
      </c>
      <c r="S161" s="206">
        <f t="shared" si="50"/>
        <v>1227367</v>
      </c>
      <c r="T161" s="206">
        <f t="shared" si="50"/>
        <v>1238885</v>
      </c>
      <c r="U161" s="206">
        <f t="shared" si="50"/>
        <v>1247080</v>
      </c>
      <c r="V161" s="206">
        <f t="shared" si="50"/>
        <v>1260171</v>
      </c>
      <c r="W161" s="206">
        <f t="shared" si="50"/>
        <v>1266509</v>
      </c>
      <c r="X161" s="206">
        <f t="shared" si="50"/>
        <v>1273999</v>
      </c>
      <c r="Y161" s="206">
        <f t="shared" si="50"/>
        <v>1281238</v>
      </c>
      <c r="Z161" s="206">
        <f t="shared" si="50"/>
        <v>1277420</v>
      </c>
      <c r="AA161" s="206">
        <f t="shared" si="50"/>
        <v>1246198</v>
      </c>
      <c r="AB161" s="206">
        <f t="shared" si="50"/>
        <v>1278553</v>
      </c>
      <c r="AC161" s="206">
        <f t="shared" si="50"/>
        <v>1290739</v>
      </c>
      <c r="AD161" s="206">
        <f t="shared" si="50"/>
        <v>1295230</v>
      </c>
      <c r="AE161" s="206">
        <f t="shared" si="50"/>
        <v>1300864</v>
      </c>
      <c r="AF161" s="206">
        <f t="shared" si="50"/>
        <v>1293127</v>
      </c>
      <c r="AG161" s="206">
        <f t="shared" si="50"/>
        <v>1297418</v>
      </c>
      <c r="AH161" s="206">
        <f t="shared" si="50"/>
        <v>1312571</v>
      </c>
      <c r="AI161" s="206">
        <f t="shared" si="50"/>
        <v>1328480</v>
      </c>
      <c r="AJ161" s="206">
        <f t="shared" si="50"/>
        <v>1345104</v>
      </c>
      <c r="AK161" s="206">
        <f t="shared" si="50"/>
        <v>1340141</v>
      </c>
      <c r="AL161" s="206">
        <f t="shared" si="50"/>
        <v>1353807</v>
      </c>
      <c r="AM161" s="206">
        <f t="shared" si="50"/>
        <v>1365241</v>
      </c>
      <c r="AN161" s="206">
        <f t="shared" si="50"/>
        <v>1371476</v>
      </c>
      <c r="AO161" s="206">
        <f t="shared" si="50"/>
        <v>1381523</v>
      </c>
      <c r="AP161" s="206">
        <f t="shared" si="50"/>
        <v>1397419</v>
      </c>
      <c r="AQ161" s="206">
        <f t="shared" si="50"/>
        <v>1422073</v>
      </c>
      <c r="AR161" s="206">
        <f t="shared" si="50"/>
        <v>1449443</v>
      </c>
      <c r="AS161" s="206">
        <f t="shared" si="50"/>
        <v>1489871</v>
      </c>
      <c r="AT161" s="206">
        <f t="shared" si="50"/>
        <v>1497380</v>
      </c>
      <c r="AU161" s="206">
        <f t="shared" si="50"/>
        <v>1502471</v>
      </c>
      <c r="AV161" s="206">
        <f t="shared" si="50"/>
        <v>1512249</v>
      </c>
      <c r="AW161" s="206">
        <f t="shared" ref="AW161:BB161" si="51">SUM(AW156:AW160)</f>
        <v>1526983</v>
      </c>
      <c r="AX161" s="206">
        <f t="shared" si="51"/>
        <v>1534574</v>
      </c>
      <c r="AY161" s="206">
        <f t="shared" si="51"/>
        <v>1546949</v>
      </c>
      <c r="AZ161" s="206">
        <f t="shared" si="51"/>
        <v>1547319</v>
      </c>
      <c r="BA161" s="206">
        <f t="shared" si="51"/>
        <v>1558414</v>
      </c>
      <c r="BB161" s="206">
        <f t="shared" si="51"/>
        <v>1573768</v>
      </c>
    </row>
    <row r="162" spans="2:54" ht="15" customHeight="1">
      <c r="B162" s="208"/>
      <c r="C162" s="208"/>
      <c r="D162" s="209"/>
      <c r="E162" s="209"/>
      <c r="F162" s="209"/>
      <c r="G162" s="209"/>
      <c r="H162" s="209"/>
      <c r="I162" s="209"/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  <c r="AH162" s="209"/>
      <c r="AI162" s="209"/>
      <c r="AJ162" s="209"/>
      <c r="AK162" s="209"/>
      <c r="AL162" s="209"/>
      <c r="AM162" s="209"/>
      <c r="AN162" s="209"/>
      <c r="AO162" s="209"/>
      <c r="AP162" s="209"/>
      <c r="AQ162" s="209"/>
      <c r="AR162" s="209"/>
      <c r="AS162" s="209"/>
      <c r="AT162" s="209"/>
      <c r="AU162" s="209"/>
      <c r="AV162" s="209"/>
      <c r="AW162" s="209"/>
      <c r="AX162" s="209"/>
      <c r="AY162" s="209"/>
      <c r="AZ162" s="209"/>
      <c r="BA162" s="209"/>
      <c r="BB162" s="209"/>
    </row>
    <row r="163" spans="2:54" ht="15" customHeight="1">
      <c r="B163" s="190" t="s">
        <v>116</v>
      </c>
      <c r="C163" s="190" t="s">
        <v>116</v>
      </c>
      <c r="D163" s="191"/>
      <c r="E163" s="191"/>
      <c r="F163" s="191"/>
      <c r="G163" s="191"/>
      <c r="H163" s="191"/>
      <c r="I163" s="191"/>
      <c r="J163" s="191"/>
      <c r="K163" s="191"/>
      <c r="L163" s="191"/>
      <c r="M163" s="191"/>
      <c r="N163" s="191"/>
      <c r="O163" s="191"/>
      <c r="P163" s="191"/>
      <c r="Q163" s="191"/>
      <c r="R163" s="191"/>
      <c r="S163" s="191"/>
      <c r="T163" s="191"/>
      <c r="U163" s="191"/>
      <c r="V163" s="191"/>
      <c r="W163" s="191"/>
      <c r="X163" s="191"/>
      <c r="Y163" s="191"/>
      <c r="Z163" s="191"/>
      <c r="AA163" s="191"/>
      <c r="AB163" s="191"/>
      <c r="AC163" s="191"/>
      <c r="AD163" s="191"/>
      <c r="AE163" s="191"/>
      <c r="AF163" s="191"/>
      <c r="AG163" s="191"/>
      <c r="AH163" s="191"/>
      <c r="AI163" s="191"/>
      <c r="AJ163" s="191"/>
      <c r="AK163" s="191"/>
      <c r="AL163" s="191"/>
      <c r="AM163" s="191"/>
      <c r="AN163" s="191"/>
      <c r="AO163" s="191"/>
      <c r="AP163" s="191"/>
      <c r="AQ163" s="191"/>
      <c r="AR163" s="191"/>
      <c r="AS163" s="191"/>
      <c r="AT163" s="191"/>
      <c r="AU163" s="191"/>
      <c r="AV163" s="191"/>
      <c r="AW163" s="191"/>
      <c r="AX163" s="191"/>
      <c r="AY163" s="191"/>
      <c r="AZ163" s="191"/>
      <c r="BA163" s="191"/>
      <c r="BB163" s="191"/>
    </row>
    <row r="164" spans="2:54" ht="15" customHeight="1">
      <c r="B164" s="192" t="s">
        <v>132</v>
      </c>
      <c r="C164" s="192" t="s">
        <v>133</v>
      </c>
      <c r="D164" s="201"/>
      <c r="E164" s="201"/>
      <c r="F164" s="201"/>
      <c r="G164" s="201"/>
      <c r="H164" s="201"/>
      <c r="I164" s="201"/>
      <c r="J164" s="201"/>
      <c r="K164" s="201"/>
      <c r="L164" s="201"/>
      <c r="M164" s="201"/>
      <c r="N164" s="201"/>
      <c r="O164" s="201"/>
      <c r="P164" s="201"/>
      <c r="Q164" s="201"/>
      <c r="R164" s="201"/>
      <c r="S164" s="201"/>
      <c r="T164" s="201">
        <v>803478</v>
      </c>
      <c r="U164" s="201">
        <v>810157</v>
      </c>
      <c r="V164" s="201">
        <v>827656</v>
      </c>
      <c r="W164" s="201">
        <v>847632</v>
      </c>
      <c r="X164" s="201">
        <v>876483</v>
      </c>
      <c r="Y164" s="201">
        <v>884092</v>
      </c>
      <c r="Z164" s="201">
        <v>904604</v>
      </c>
      <c r="AA164" s="201">
        <v>891025</v>
      </c>
      <c r="AB164" s="201">
        <v>897559</v>
      </c>
      <c r="AC164" s="201">
        <v>813351</v>
      </c>
      <c r="AD164" s="201">
        <v>800030</v>
      </c>
      <c r="AE164" s="201">
        <v>757560</v>
      </c>
      <c r="AF164" s="201">
        <v>727550</v>
      </c>
      <c r="AG164" s="201">
        <v>723971</v>
      </c>
      <c r="AH164" s="201">
        <v>733162</v>
      </c>
      <c r="AI164" s="201">
        <v>702329</v>
      </c>
      <c r="AJ164" s="201">
        <v>702419</v>
      </c>
      <c r="AK164" s="201">
        <v>705648</v>
      </c>
      <c r="AL164" s="201">
        <v>709003</v>
      </c>
      <c r="AM164" s="201">
        <v>703674</v>
      </c>
      <c r="AN164" s="201">
        <v>683941</v>
      </c>
      <c r="AO164" s="201">
        <v>697541</v>
      </c>
      <c r="AP164" s="201">
        <v>722688</v>
      </c>
      <c r="AQ164" s="201">
        <v>767112</v>
      </c>
      <c r="AR164" s="201">
        <v>749544</v>
      </c>
      <c r="AS164" s="201">
        <v>768496</v>
      </c>
      <c r="AT164" s="201">
        <v>764741</v>
      </c>
      <c r="AU164" s="201">
        <v>756795</v>
      </c>
      <c r="AV164" s="201">
        <v>756441</v>
      </c>
      <c r="AW164" s="201">
        <v>743308</v>
      </c>
      <c r="AX164" s="201">
        <v>742150</v>
      </c>
      <c r="AY164" s="201">
        <v>755485</v>
      </c>
      <c r="AZ164" s="201">
        <v>775110</v>
      </c>
      <c r="BA164" s="201">
        <v>783385</v>
      </c>
      <c r="BB164" s="201">
        <v>786539</v>
      </c>
    </row>
    <row r="165" spans="2:54" ht="15" customHeight="1">
      <c r="B165" s="192" t="s">
        <v>134</v>
      </c>
      <c r="C165" s="192" t="s">
        <v>135</v>
      </c>
      <c r="D165" s="201"/>
      <c r="E165" s="201"/>
      <c r="F165" s="201"/>
      <c r="G165" s="201"/>
      <c r="H165" s="201"/>
      <c r="I165" s="201"/>
      <c r="J165" s="201"/>
      <c r="K165" s="201"/>
      <c r="L165" s="201"/>
      <c r="M165" s="201"/>
      <c r="N165" s="201"/>
      <c r="O165" s="201"/>
      <c r="P165" s="201"/>
      <c r="Q165" s="201"/>
      <c r="R165" s="201"/>
      <c r="S165" s="201"/>
      <c r="T165" s="201">
        <v>233266</v>
      </c>
      <c r="U165" s="201">
        <v>240577</v>
      </c>
      <c r="V165" s="201">
        <v>229166</v>
      </c>
      <c r="W165" s="201">
        <v>216964</v>
      </c>
      <c r="X165" s="201">
        <v>200515</v>
      </c>
      <c r="Y165" s="201">
        <v>198532</v>
      </c>
      <c r="Z165" s="201">
        <v>186475</v>
      </c>
      <c r="AA165" s="201">
        <v>173777</v>
      </c>
      <c r="AB165" s="201">
        <v>158769</v>
      </c>
      <c r="AC165" s="201">
        <v>156062</v>
      </c>
      <c r="AD165" s="201">
        <v>241732</v>
      </c>
      <c r="AE165" s="201">
        <v>246094</v>
      </c>
      <c r="AF165" s="201">
        <v>244807</v>
      </c>
      <c r="AG165" s="201">
        <v>305002</v>
      </c>
      <c r="AH165" s="201">
        <v>317514</v>
      </c>
      <c r="AI165" s="201">
        <v>346250</v>
      </c>
      <c r="AJ165" s="201">
        <v>357908</v>
      </c>
      <c r="AK165" s="201">
        <v>349015</v>
      </c>
      <c r="AL165" s="201">
        <v>361394</v>
      </c>
      <c r="AM165" s="201">
        <v>381713</v>
      </c>
      <c r="AN165" s="201">
        <v>412515</v>
      </c>
      <c r="AO165" s="201">
        <v>403803</v>
      </c>
      <c r="AP165" s="201">
        <v>429388</v>
      </c>
      <c r="AQ165" s="201">
        <v>438999</v>
      </c>
      <c r="AR165" s="201">
        <v>461880</v>
      </c>
      <c r="AS165" s="201">
        <v>449062</v>
      </c>
      <c r="AT165" s="201">
        <v>460833</v>
      </c>
      <c r="AU165" s="201">
        <v>475510</v>
      </c>
      <c r="AV165" s="201">
        <v>486613</v>
      </c>
      <c r="AW165" s="201">
        <v>509779</v>
      </c>
      <c r="AX165" s="201">
        <v>521671</v>
      </c>
      <c r="AY165" s="201">
        <v>522184</v>
      </c>
      <c r="AZ165" s="201">
        <v>505927</v>
      </c>
      <c r="BA165" s="201">
        <v>503531</v>
      </c>
      <c r="BB165" s="201">
        <v>508144</v>
      </c>
    </row>
    <row r="166" spans="2:54" ht="15" customHeight="1">
      <c r="B166" s="192" t="s">
        <v>92</v>
      </c>
      <c r="C166" s="192" t="s">
        <v>92</v>
      </c>
      <c r="D166" s="201"/>
      <c r="E166" s="201"/>
      <c r="F166" s="201"/>
      <c r="G166" s="201"/>
      <c r="H166" s="201"/>
      <c r="I166" s="201"/>
      <c r="J166" s="201"/>
      <c r="K166" s="201"/>
      <c r="L166" s="201"/>
      <c r="M166" s="201"/>
      <c r="N166" s="201"/>
      <c r="O166" s="201"/>
      <c r="P166" s="201"/>
      <c r="Q166" s="201"/>
      <c r="R166" s="201"/>
      <c r="S166" s="201"/>
      <c r="T166" s="201">
        <v>2582</v>
      </c>
      <c r="U166" s="201">
        <v>2538</v>
      </c>
      <c r="V166" s="201">
        <v>2473</v>
      </c>
      <c r="W166" s="201">
        <v>2349</v>
      </c>
      <c r="X166" s="201">
        <v>2462</v>
      </c>
      <c r="Y166" s="201">
        <v>2439</v>
      </c>
      <c r="Z166" s="201">
        <v>2425</v>
      </c>
      <c r="AA166" s="201">
        <v>2334</v>
      </c>
      <c r="AB166" s="201">
        <v>2256</v>
      </c>
      <c r="AC166" s="201">
        <v>1954</v>
      </c>
      <c r="AD166" s="201">
        <v>2146</v>
      </c>
      <c r="AE166" s="201">
        <v>2000</v>
      </c>
      <c r="AF166" s="201">
        <v>1804</v>
      </c>
      <c r="AG166" s="201">
        <v>1870</v>
      </c>
      <c r="AH166" s="201">
        <v>2081</v>
      </c>
      <c r="AI166" s="201">
        <v>2070</v>
      </c>
      <c r="AJ166" s="201">
        <v>1993</v>
      </c>
      <c r="AK166" s="201">
        <v>1985</v>
      </c>
      <c r="AL166" s="201">
        <v>1905</v>
      </c>
      <c r="AM166" s="201">
        <v>1886</v>
      </c>
      <c r="AN166" s="201">
        <v>1889</v>
      </c>
      <c r="AO166" s="201">
        <v>1777</v>
      </c>
      <c r="AP166" s="201">
        <v>1972</v>
      </c>
      <c r="AQ166" s="201">
        <v>2120</v>
      </c>
      <c r="AR166" s="201">
        <v>2172</v>
      </c>
      <c r="AS166" s="201">
        <v>2224</v>
      </c>
      <c r="AT166" s="201">
        <v>2227</v>
      </c>
      <c r="AU166" s="201">
        <v>2288</v>
      </c>
      <c r="AV166" s="201">
        <v>2287</v>
      </c>
      <c r="AW166" s="201">
        <v>2279</v>
      </c>
      <c r="AX166" s="201">
        <v>2308</v>
      </c>
      <c r="AY166" s="201">
        <v>2293</v>
      </c>
      <c r="AZ166" s="201">
        <v>2287</v>
      </c>
      <c r="BA166" s="201">
        <v>2276</v>
      </c>
      <c r="BB166" s="201">
        <v>2251</v>
      </c>
    </row>
    <row r="167" spans="2:54" ht="15" customHeight="1">
      <c r="B167" s="192" t="s">
        <v>93</v>
      </c>
      <c r="C167" s="192" t="s">
        <v>94</v>
      </c>
      <c r="D167" s="201"/>
      <c r="E167" s="201"/>
      <c r="F167" s="201"/>
      <c r="G167" s="201"/>
      <c r="H167" s="201"/>
      <c r="I167" s="201"/>
      <c r="J167" s="201"/>
      <c r="K167" s="201"/>
      <c r="L167" s="201"/>
      <c r="M167" s="201"/>
      <c r="N167" s="201"/>
      <c r="O167" s="201"/>
      <c r="P167" s="201"/>
      <c r="Q167" s="201"/>
      <c r="R167" s="201"/>
      <c r="S167" s="201"/>
      <c r="T167" s="201">
        <v>65346</v>
      </c>
      <c r="U167" s="201">
        <v>66376</v>
      </c>
      <c r="V167" s="201">
        <v>66480</v>
      </c>
      <c r="W167" s="201">
        <v>67183</v>
      </c>
      <c r="X167" s="201">
        <v>67776</v>
      </c>
      <c r="Y167" s="201">
        <v>67898</v>
      </c>
      <c r="Z167" s="201">
        <v>68628</v>
      </c>
      <c r="AA167" s="201">
        <v>67228</v>
      </c>
      <c r="AB167" s="201">
        <v>66419</v>
      </c>
      <c r="AC167" s="201">
        <v>63021</v>
      </c>
      <c r="AD167" s="201">
        <v>66022</v>
      </c>
      <c r="AE167" s="201">
        <v>63820</v>
      </c>
      <c r="AF167" s="201">
        <v>63774</v>
      </c>
      <c r="AG167" s="201">
        <v>65040</v>
      </c>
      <c r="AH167" s="201">
        <v>65858</v>
      </c>
      <c r="AI167" s="201">
        <v>65942</v>
      </c>
      <c r="AJ167" s="201">
        <v>66003</v>
      </c>
      <c r="AK167" s="201">
        <v>65325</v>
      </c>
      <c r="AL167" s="201">
        <v>65820</v>
      </c>
      <c r="AM167" s="201">
        <v>65630</v>
      </c>
      <c r="AN167" s="201">
        <v>65227</v>
      </c>
      <c r="AO167" s="201">
        <v>65329</v>
      </c>
      <c r="AP167" s="201">
        <v>68842</v>
      </c>
      <c r="AQ167" s="201">
        <v>72722</v>
      </c>
      <c r="AR167" s="201">
        <v>72026</v>
      </c>
      <c r="AS167" s="201">
        <v>71918</v>
      </c>
      <c r="AT167" s="201">
        <v>71777</v>
      </c>
      <c r="AU167" s="201">
        <v>71767</v>
      </c>
      <c r="AV167" s="201">
        <v>71674</v>
      </c>
      <c r="AW167" s="201">
        <v>71838</v>
      </c>
      <c r="AX167" s="201">
        <v>72097</v>
      </c>
      <c r="AY167" s="201">
        <v>71402</v>
      </c>
      <c r="AZ167" s="201">
        <v>71105</v>
      </c>
      <c r="BA167" s="201">
        <v>71138</v>
      </c>
      <c r="BB167" s="201">
        <v>71160</v>
      </c>
    </row>
    <row r="168" spans="2:54" ht="15" customHeight="1" thickBot="1">
      <c r="B168" s="192" t="s">
        <v>95</v>
      </c>
      <c r="C168" s="192" t="s">
        <v>96</v>
      </c>
      <c r="D168" s="201"/>
      <c r="E168" s="201"/>
      <c r="F168" s="201"/>
      <c r="G168" s="201"/>
      <c r="H168" s="201"/>
      <c r="I168" s="201"/>
      <c r="J168" s="201"/>
      <c r="K168" s="201"/>
      <c r="L168" s="201"/>
      <c r="M168" s="201"/>
      <c r="N168" s="201"/>
      <c r="O168" s="201"/>
      <c r="P168" s="201"/>
      <c r="Q168" s="201"/>
      <c r="R168" s="201"/>
      <c r="S168" s="201"/>
      <c r="T168" s="201">
        <v>23006</v>
      </c>
      <c r="U168" s="201">
        <v>22975</v>
      </c>
      <c r="V168" s="201">
        <v>23119</v>
      </c>
      <c r="W168" s="201">
        <v>23283</v>
      </c>
      <c r="X168" s="201">
        <v>23614</v>
      </c>
      <c r="Y168" s="201">
        <v>23580</v>
      </c>
      <c r="Z168" s="201">
        <v>23620</v>
      </c>
      <c r="AA168" s="201">
        <v>23707</v>
      </c>
      <c r="AB168" s="201">
        <v>23496</v>
      </c>
      <c r="AC168" s="201">
        <v>21660</v>
      </c>
      <c r="AD168" s="201">
        <v>23140</v>
      </c>
      <c r="AE168" s="201">
        <v>35585</v>
      </c>
      <c r="AF168" s="201">
        <v>34552</v>
      </c>
      <c r="AG168" s="201">
        <v>34991</v>
      </c>
      <c r="AH168" s="201">
        <v>39310</v>
      </c>
      <c r="AI168" s="201">
        <v>44137</v>
      </c>
      <c r="AJ168" s="201">
        <v>43844</v>
      </c>
      <c r="AK168" s="201">
        <v>45810</v>
      </c>
      <c r="AL168" s="201">
        <v>46633</v>
      </c>
      <c r="AM168" s="201">
        <v>45113</v>
      </c>
      <c r="AN168" s="201">
        <v>42074</v>
      </c>
      <c r="AO168" s="201">
        <v>41518</v>
      </c>
      <c r="AP168" s="201">
        <v>42782</v>
      </c>
      <c r="AQ168" s="201">
        <v>44237</v>
      </c>
      <c r="AR168" s="201">
        <v>44077</v>
      </c>
      <c r="AS168" s="201">
        <v>44006</v>
      </c>
      <c r="AT168" s="201">
        <v>43833</v>
      </c>
      <c r="AU168" s="201">
        <v>43676</v>
      </c>
      <c r="AV168" s="201">
        <v>43692</v>
      </c>
      <c r="AW168" s="201">
        <v>43537</v>
      </c>
      <c r="AX168" s="201">
        <v>43462</v>
      </c>
      <c r="AY168" s="201">
        <v>43185</v>
      </c>
      <c r="AZ168" s="201">
        <v>43196</v>
      </c>
      <c r="BA168" s="201">
        <v>42764</v>
      </c>
      <c r="BB168" s="201">
        <v>42915</v>
      </c>
    </row>
    <row r="169" spans="2:54" ht="15" customHeight="1" thickBot="1">
      <c r="B169" s="194" t="s">
        <v>139</v>
      </c>
      <c r="C169" s="194" t="s">
        <v>139</v>
      </c>
      <c r="D169" s="206">
        <f>SUM(D164:D168)</f>
        <v>0</v>
      </c>
      <c r="E169" s="206">
        <f t="shared" ref="E169:AV169" si="52">SUM(E164:E168)</f>
        <v>0</v>
      </c>
      <c r="F169" s="206">
        <f t="shared" si="52"/>
        <v>0</v>
      </c>
      <c r="G169" s="206">
        <f t="shared" si="52"/>
        <v>0</v>
      </c>
      <c r="H169" s="206">
        <f t="shared" si="52"/>
        <v>0</v>
      </c>
      <c r="I169" s="206">
        <f t="shared" si="52"/>
        <v>0</v>
      </c>
      <c r="J169" s="206">
        <f t="shared" si="52"/>
        <v>0</v>
      </c>
      <c r="K169" s="206">
        <f t="shared" si="52"/>
        <v>0</v>
      </c>
      <c r="L169" s="206">
        <f t="shared" si="52"/>
        <v>0</v>
      </c>
      <c r="M169" s="206">
        <f t="shared" si="52"/>
        <v>0</v>
      </c>
      <c r="N169" s="206">
        <f t="shared" si="52"/>
        <v>0</v>
      </c>
      <c r="O169" s="206">
        <f t="shared" si="52"/>
        <v>0</v>
      </c>
      <c r="P169" s="206">
        <f t="shared" si="52"/>
        <v>0</v>
      </c>
      <c r="Q169" s="206">
        <f t="shared" si="52"/>
        <v>0</v>
      </c>
      <c r="R169" s="206">
        <f t="shared" si="52"/>
        <v>0</v>
      </c>
      <c r="S169" s="206">
        <f t="shared" si="52"/>
        <v>0</v>
      </c>
      <c r="T169" s="206">
        <f t="shared" si="52"/>
        <v>1127678</v>
      </c>
      <c r="U169" s="206">
        <f t="shared" si="52"/>
        <v>1142623</v>
      </c>
      <c r="V169" s="206">
        <f t="shared" si="52"/>
        <v>1148894</v>
      </c>
      <c r="W169" s="206">
        <f t="shared" si="52"/>
        <v>1157411</v>
      </c>
      <c r="X169" s="206">
        <f t="shared" si="52"/>
        <v>1170850</v>
      </c>
      <c r="Y169" s="206">
        <f t="shared" si="52"/>
        <v>1176541</v>
      </c>
      <c r="Z169" s="206">
        <f t="shared" si="52"/>
        <v>1185752</v>
      </c>
      <c r="AA169" s="206">
        <f t="shared" si="52"/>
        <v>1158071</v>
      </c>
      <c r="AB169" s="206">
        <f t="shared" si="52"/>
        <v>1148499</v>
      </c>
      <c r="AC169" s="206">
        <f t="shared" si="52"/>
        <v>1056048</v>
      </c>
      <c r="AD169" s="206">
        <f t="shared" si="52"/>
        <v>1133070</v>
      </c>
      <c r="AE169" s="206">
        <f t="shared" si="52"/>
        <v>1105059</v>
      </c>
      <c r="AF169" s="206">
        <f t="shared" si="52"/>
        <v>1072487</v>
      </c>
      <c r="AG169" s="206">
        <f t="shared" si="52"/>
        <v>1130874</v>
      </c>
      <c r="AH169" s="206">
        <f t="shared" si="52"/>
        <v>1157925</v>
      </c>
      <c r="AI169" s="206">
        <f t="shared" si="52"/>
        <v>1160728</v>
      </c>
      <c r="AJ169" s="206">
        <f t="shared" si="52"/>
        <v>1172167</v>
      </c>
      <c r="AK169" s="206">
        <f t="shared" si="52"/>
        <v>1167783</v>
      </c>
      <c r="AL169" s="206">
        <f t="shared" si="52"/>
        <v>1184755</v>
      </c>
      <c r="AM169" s="206">
        <f t="shared" si="52"/>
        <v>1198016</v>
      </c>
      <c r="AN169" s="206">
        <f t="shared" si="52"/>
        <v>1205646</v>
      </c>
      <c r="AO169" s="206">
        <f t="shared" si="52"/>
        <v>1209968</v>
      </c>
      <c r="AP169" s="206">
        <f t="shared" si="52"/>
        <v>1265672</v>
      </c>
      <c r="AQ169" s="206">
        <f t="shared" si="52"/>
        <v>1325190</v>
      </c>
      <c r="AR169" s="206">
        <f t="shared" si="52"/>
        <v>1329699</v>
      </c>
      <c r="AS169" s="206">
        <f t="shared" si="52"/>
        <v>1335706</v>
      </c>
      <c r="AT169" s="206">
        <f t="shared" si="52"/>
        <v>1343411</v>
      </c>
      <c r="AU169" s="206">
        <f t="shared" si="52"/>
        <v>1350036</v>
      </c>
      <c r="AV169" s="206">
        <f t="shared" si="52"/>
        <v>1360707</v>
      </c>
      <c r="AW169" s="206">
        <f t="shared" ref="AW169:BB169" si="53">SUM(AW164:AW168)</f>
        <v>1370741</v>
      </c>
      <c r="AX169" s="206">
        <f t="shared" si="53"/>
        <v>1381688</v>
      </c>
      <c r="AY169" s="206">
        <f t="shared" si="53"/>
        <v>1394549</v>
      </c>
      <c r="AZ169" s="206">
        <f t="shared" si="53"/>
        <v>1397625</v>
      </c>
      <c r="BA169" s="206">
        <f t="shared" si="53"/>
        <v>1403094</v>
      </c>
      <c r="BB169" s="206">
        <f t="shared" si="53"/>
        <v>1411009</v>
      </c>
    </row>
    <row r="170" spans="2:54" ht="15" customHeight="1">
      <c r="B170" s="208"/>
      <c r="C170" s="208"/>
      <c r="D170" s="209"/>
      <c r="E170" s="209"/>
      <c r="F170" s="209"/>
      <c r="G170" s="209"/>
      <c r="H170" s="209"/>
      <c r="I170" s="209"/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  <c r="AH170" s="209"/>
      <c r="AI170" s="209"/>
      <c r="AJ170" s="209"/>
      <c r="AK170" s="209"/>
      <c r="AL170" s="209"/>
      <c r="AM170" s="209"/>
      <c r="AN170" s="209"/>
      <c r="AO170" s="209"/>
      <c r="AP170" s="209"/>
      <c r="AQ170" s="209"/>
      <c r="AR170" s="209"/>
      <c r="AS170" s="209"/>
      <c r="AT170" s="209"/>
      <c r="AU170" s="209"/>
      <c r="AV170" s="209"/>
      <c r="AW170" s="209"/>
      <c r="AX170" s="209"/>
      <c r="AY170" s="209"/>
      <c r="AZ170" s="209"/>
      <c r="BA170" s="209"/>
      <c r="BB170" s="209"/>
    </row>
    <row r="171" spans="2:54" ht="15" customHeight="1">
      <c r="B171" s="190" t="s">
        <v>119</v>
      </c>
      <c r="C171" s="190" t="s">
        <v>119</v>
      </c>
      <c r="D171" s="191"/>
      <c r="E171" s="191"/>
      <c r="F171" s="191"/>
      <c r="G171" s="191"/>
      <c r="H171" s="191"/>
      <c r="I171" s="191"/>
      <c r="J171" s="191"/>
      <c r="K171" s="191"/>
      <c r="L171" s="191"/>
      <c r="M171" s="191"/>
      <c r="N171" s="191"/>
      <c r="O171" s="191"/>
      <c r="P171" s="191"/>
      <c r="Q171" s="191"/>
      <c r="R171" s="191"/>
      <c r="S171" s="191"/>
      <c r="T171" s="191"/>
      <c r="U171" s="191"/>
      <c r="V171" s="191"/>
      <c r="W171" s="191"/>
      <c r="X171" s="191"/>
      <c r="Y171" s="191"/>
      <c r="Z171" s="191"/>
      <c r="AA171" s="191"/>
      <c r="AB171" s="191"/>
      <c r="AC171" s="191"/>
      <c r="AD171" s="191"/>
      <c r="AE171" s="191"/>
      <c r="AF171" s="191"/>
      <c r="AG171" s="191"/>
      <c r="AH171" s="191"/>
      <c r="AI171" s="191"/>
      <c r="AJ171" s="191"/>
      <c r="AK171" s="191"/>
      <c r="AL171" s="191"/>
      <c r="AM171" s="191"/>
      <c r="AN171" s="191"/>
      <c r="AO171" s="191"/>
      <c r="AP171" s="191"/>
      <c r="AQ171" s="191"/>
      <c r="AR171" s="191"/>
      <c r="AS171" s="191"/>
      <c r="AT171" s="191"/>
      <c r="AU171" s="191"/>
      <c r="AV171" s="191"/>
      <c r="AW171" s="191"/>
      <c r="AX171" s="191"/>
      <c r="AY171" s="191"/>
      <c r="AZ171" s="191"/>
      <c r="BA171" s="191"/>
      <c r="BB171" s="191"/>
    </row>
    <row r="172" spans="2:54" ht="15" customHeight="1">
      <c r="B172" s="192" t="s">
        <v>132</v>
      </c>
      <c r="C172" s="192" t="s">
        <v>133</v>
      </c>
      <c r="D172" s="201"/>
      <c r="E172" s="201"/>
      <c r="F172" s="201"/>
      <c r="G172" s="201"/>
      <c r="H172" s="201"/>
      <c r="I172" s="201"/>
      <c r="J172" s="201"/>
      <c r="K172" s="201"/>
      <c r="L172" s="201"/>
      <c r="M172" s="201"/>
      <c r="N172" s="201"/>
      <c r="O172" s="201"/>
      <c r="P172" s="201"/>
      <c r="Q172" s="201"/>
      <c r="R172" s="201"/>
      <c r="S172" s="201"/>
      <c r="T172" s="201"/>
      <c r="U172" s="201"/>
      <c r="V172" s="201"/>
      <c r="W172" s="201"/>
      <c r="X172" s="201"/>
      <c r="Y172" s="201"/>
      <c r="Z172" s="201"/>
      <c r="AA172" s="201"/>
      <c r="AB172" s="201"/>
      <c r="AC172" s="201"/>
      <c r="AD172" s="201"/>
      <c r="AE172" s="201"/>
      <c r="AF172" s="201"/>
      <c r="AG172" s="201"/>
      <c r="AH172" s="201">
        <v>1381982</v>
      </c>
      <c r="AI172" s="201">
        <v>1383789</v>
      </c>
      <c r="AJ172" s="201">
        <v>1390235</v>
      </c>
      <c r="AK172" s="201">
        <v>1393858</v>
      </c>
      <c r="AL172" s="201">
        <v>1378964</v>
      </c>
      <c r="AM172" s="201">
        <v>1396571</v>
      </c>
      <c r="AN172" s="201">
        <v>1370893</v>
      </c>
      <c r="AO172" s="201">
        <v>1385932</v>
      </c>
      <c r="AP172" s="201">
        <v>1401963</v>
      </c>
      <c r="AQ172" s="201">
        <v>1409427</v>
      </c>
      <c r="AR172" s="201">
        <v>1405998</v>
      </c>
      <c r="AS172" s="201">
        <v>1415314</v>
      </c>
      <c r="AT172" s="201">
        <v>1433762</v>
      </c>
      <c r="AU172" s="201">
        <v>1436708</v>
      </c>
      <c r="AV172" s="201">
        <v>1439816</v>
      </c>
      <c r="AW172" s="201">
        <v>1271242</v>
      </c>
      <c r="AX172" s="201">
        <v>1440508</v>
      </c>
      <c r="AY172" s="201">
        <v>1436933</v>
      </c>
      <c r="AZ172" s="201">
        <v>1449920</v>
      </c>
      <c r="BA172" s="201">
        <v>1449103</v>
      </c>
      <c r="BB172" s="201">
        <v>1451775</v>
      </c>
    </row>
    <row r="173" spans="2:54" ht="15" customHeight="1">
      <c r="B173" s="192" t="s">
        <v>134</v>
      </c>
      <c r="C173" s="192" t="s">
        <v>135</v>
      </c>
      <c r="D173" s="201"/>
      <c r="E173" s="201"/>
      <c r="F173" s="201"/>
      <c r="G173" s="201"/>
      <c r="H173" s="201"/>
      <c r="I173" s="201"/>
      <c r="J173" s="201"/>
      <c r="K173" s="201"/>
      <c r="L173" s="201"/>
      <c r="M173" s="201"/>
      <c r="N173" s="201"/>
      <c r="O173" s="201"/>
      <c r="P173" s="201"/>
      <c r="Q173" s="201"/>
      <c r="R173" s="201"/>
      <c r="S173" s="201"/>
      <c r="T173" s="201"/>
      <c r="U173" s="201"/>
      <c r="V173" s="201"/>
      <c r="W173" s="201"/>
      <c r="X173" s="201"/>
      <c r="Y173" s="201"/>
      <c r="Z173" s="201"/>
      <c r="AA173" s="201"/>
      <c r="AB173" s="201"/>
      <c r="AC173" s="201"/>
      <c r="AD173" s="201"/>
      <c r="AE173" s="201"/>
      <c r="AF173" s="201"/>
      <c r="AG173" s="201"/>
      <c r="AH173" s="201">
        <v>111602</v>
      </c>
      <c r="AI173" s="201">
        <v>116275</v>
      </c>
      <c r="AJ173" s="201">
        <v>115599</v>
      </c>
      <c r="AK173" s="201">
        <v>113433</v>
      </c>
      <c r="AL173" s="201">
        <v>123882</v>
      </c>
      <c r="AM173" s="201">
        <v>123720</v>
      </c>
      <c r="AN173" s="201">
        <v>155987</v>
      </c>
      <c r="AO173" s="201">
        <v>152915</v>
      </c>
      <c r="AP173" s="201">
        <v>160463</v>
      </c>
      <c r="AQ173" s="201">
        <v>180885</v>
      </c>
      <c r="AR173" s="201">
        <v>201908</v>
      </c>
      <c r="AS173" s="201">
        <v>209058</v>
      </c>
      <c r="AT173" s="201">
        <v>200500</v>
      </c>
      <c r="AU173" s="201">
        <v>210553</v>
      </c>
      <c r="AV173" s="201">
        <v>216618</v>
      </c>
      <c r="AW173" s="201">
        <v>197391</v>
      </c>
      <c r="AX173" s="201">
        <v>230382</v>
      </c>
      <c r="AY173" s="201">
        <v>243179</v>
      </c>
      <c r="AZ173" s="201">
        <v>242569</v>
      </c>
      <c r="BA173" s="201">
        <v>251038</v>
      </c>
      <c r="BB173" s="201">
        <v>259935</v>
      </c>
    </row>
    <row r="174" spans="2:54" ht="15" customHeight="1">
      <c r="B174" s="192" t="s">
        <v>92</v>
      </c>
      <c r="C174" s="192" t="s">
        <v>92</v>
      </c>
      <c r="D174" s="201"/>
      <c r="E174" s="201"/>
      <c r="F174" s="201"/>
      <c r="G174" s="201"/>
      <c r="H174" s="201"/>
      <c r="I174" s="201"/>
      <c r="J174" s="201"/>
      <c r="K174" s="201"/>
      <c r="L174" s="201"/>
      <c r="M174" s="201"/>
      <c r="N174" s="201"/>
      <c r="O174" s="201"/>
      <c r="P174" s="201"/>
      <c r="Q174" s="201"/>
      <c r="R174" s="201"/>
      <c r="S174" s="201"/>
      <c r="T174" s="201"/>
      <c r="U174" s="201"/>
      <c r="V174" s="201"/>
      <c r="W174" s="201"/>
      <c r="X174" s="201"/>
      <c r="Y174" s="201"/>
      <c r="Z174" s="201"/>
      <c r="AA174" s="201"/>
      <c r="AB174" s="201"/>
      <c r="AC174" s="201"/>
      <c r="AD174" s="201"/>
      <c r="AE174" s="201"/>
      <c r="AF174" s="201"/>
      <c r="AG174" s="201"/>
      <c r="AH174" s="201">
        <v>10522</v>
      </c>
      <c r="AI174" s="201">
        <v>9641</v>
      </c>
      <c r="AJ174" s="201">
        <v>9453</v>
      </c>
      <c r="AK174" s="201">
        <v>9398</v>
      </c>
      <c r="AL174" s="201">
        <v>9244</v>
      </c>
      <c r="AM174" s="201">
        <v>9268</v>
      </c>
      <c r="AN174" s="201">
        <v>9199</v>
      </c>
      <c r="AO174" s="201">
        <v>9138</v>
      </c>
      <c r="AP174" s="201">
        <v>3738</v>
      </c>
      <c r="AQ174" s="201">
        <v>3772</v>
      </c>
      <c r="AR174" s="201">
        <v>3756</v>
      </c>
      <c r="AS174" s="201">
        <v>3551</v>
      </c>
      <c r="AT174" s="201">
        <v>3452</v>
      </c>
      <c r="AU174" s="201">
        <v>3496</v>
      </c>
      <c r="AV174" s="201">
        <v>3540</v>
      </c>
      <c r="AW174" s="201">
        <v>2989</v>
      </c>
      <c r="AX174" s="201">
        <v>3544</v>
      </c>
      <c r="AY174" s="201">
        <v>3557</v>
      </c>
      <c r="AZ174" s="201">
        <v>3553</v>
      </c>
      <c r="BA174" s="201">
        <v>3582</v>
      </c>
      <c r="BB174" s="201">
        <v>3615</v>
      </c>
    </row>
    <row r="175" spans="2:54" ht="15" customHeight="1">
      <c r="B175" s="192" t="s">
        <v>93</v>
      </c>
      <c r="C175" s="192" t="s">
        <v>94</v>
      </c>
      <c r="D175" s="201"/>
      <c r="E175" s="201"/>
      <c r="F175" s="201"/>
      <c r="G175" s="201"/>
      <c r="H175" s="201"/>
      <c r="I175" s="201"/>
      <c r="J175" s="201"/>
      <c r="K175" s="201"/>
      <c r="L175" s="201"/>
      <c r="M175" s="201"/>
      <c r="N175" s="201"/>
      <c r="O175" s="201"/>
      <c r="P175" s="201"/>
      <c r="Q175" s="201"/>
      <c r="R175" s="201"/>
      <c r="S175" s="201"/>
      <c r="T175" s="201"/>
      <c r="U175" s="201"/>
      <c r="V175" s="201"/>
      <c r="W175" s="201"/>
      <c r="X175" s="201"/>
      <c r="Y175" s="201"/>
      <c r="Z175" s="201"/>
      <c r="AA175" s="201"/>
      <c r="AB175" s="201"/>
      <c r="AC175" s="201"/>
      <c r="AD175" s="201"/>
      <c r="AE175" s="201"/>
      <c r="AF175" s="201"/>
      <c r="AG175" s="201"/>
      <c r="AH175" s="201">
        <v>156212</v>
      </c>
      <c r="AI175" s="201">
        <v>157901</v>
      </c>
      <c r="AJ175" s="201">
        <v>158585</v>
      </c>
      <c r="AK175" s="201">
        <v>157751</v>
      </c>
      <c r="AL175" s="201">
        <v>156848</v>
      </c>
      <c r="AM175" s="201">
        <v>159169</v>
      </c>
      <c r="AN175" s="201">
        <v>160005</v>
      </c>
      <c r="AO175" s="201">
        <v>160228</v>
      </c>
      <c r="AP175" s="201">
        <v>167164</v>
      </c>
      <c r="AQ175" s="201">
        <v>167769</v>
      </c>
      <c r="AR175" s="201">
        <v>168487</v>
      </c>
      <c r="AS175" s="201">
        <v>168823</v>
      </c>
      <c r="AT175" s="201">
        <v>169542</v>
      </c>
      <c r="AU175" s="201">
        <v>170341</v>
      </c>
      <c r="AV175" s="201">
        <v>170737</v>
      </c>
      <c r="AW175" s="201">
        <v>133748</v>
      </c>
      <c r="AX175" s="201">
        <v>170512</v>
      </c>
      <c r="AY175" s="201">
        <v>171162</v>
      </c>
      <c r="AZ175" s="201">
        <v>171708</v>
      </c>
      <c r="BA175" s="201">
        <v>171834</v>
      </c>
      <c r="BB175" s="201">
        <v>171761</v>
      </c>
    </row>
    <row r="176" spans="2:54" ht="15" customHeight="1" thickBot="1">
      <c r="B176" s="192" t="s">
        <v>95</v>
      </c>
      <c r="C176" s="192" t="s">
        <v>96</v>
      </c>
      <c r="D176" s="201"/>
      <c r="E176" s="201"/>
      <c r="F176" s="201"/>
      <c r="G176" s="201"/>
      <c r="H176" s="201"/>
      <c r="I176" s="201"/>
      <c r="J176" s="201"/>
      <c r="K176" s="201"/>
      <c r="L176" s="201"/>
      <c r="M176" s="201"/>
      <c r="N176" s="201"/>
      <c r="O176" s="201"/>
      <c r="P176" s="201"/>
      <c r="Q176" s="201"/>
      <c r="R176" s="201"/>
      <c r="S176" s="201"/>
      <c r="T176" s="201"/>
      <c r="U176" s="201"/>
      <c r="V176" s="201"/>
      <c r="W176" s="201"/>
      <c r="X176" s="201"/>
      <c r="Y176" s="201"/>
      <c r="Z176" s="201"/>
      <c r="AA176" s="201"/>
      <c r="AB176" s="201"/>
      <c r="AC176" s="201"/>
      <c r="AD176" s="201"/>
      <c r="AE176" s="201"/>
      <c r="AF176" s="201"/>
      <c r="AG176" s="201"/>
      <c r="AH176" s="201">
        <v>101853</v>
      </c>
      <c r="AI176" s="201">
        <v>101674</v>
      </c>
      <c r="AJ176" s="201">
        <v>102323</v>
      </c>
      <c r="AK176" s="201">
        <v>102347</v>
      </c>
      <c r="AL176" s="201">
        <v>102281</v>
      </c>
      <c r="AM176" s="201">
        <v>102808</v>
      </c>
      <c r="AN176" s="201">
        <v>103049</v>
      </c>
      <c r="AO176" s="201">
        <v>103272</v>
      </c>
      <c r="AP176" s="201">
        <v>103206</v>
      </c>
      <c r="AQ176" s="201">
        <v>103446</v>
      </c>
      <c r="AR176" s="201">
        <v>103623</v>
      </c>
      <c r="AS176" s="201">
        <v>102304</v>
      </c>
      <c r="AT176" s="201">
        <v>101723</v>
      </c>
      <c r="AU176" s="201">
        <v>102124</v>
      </c>
      <c r="AV176" s="201">
        <v>102461</v>
      </c>
      <c r="AW176" s="201">
        <v>97428</v>
      </c>
      <c r="AX176" s="201">
        <v>102416</v>
      </c>
      <c r="AY176" s="201">
        <v>102688</v>
      </c>
      <c r="AZ176" s="201">
        <v>102841</v>
      </c>
      <c r="BA176" s="201">
        <v>102916</v>
      </c>
      <c r="BB176" s="201">
        <v>102808</v>
      </c>
    </row>
    <row r="177" spans="2:54" ht="15" customHeight="1" thickBot="1">
      <c r="B177" s="194" t="s">
        <v>140</v>
      </c>
      <c r="C177" s="194" t="s">
        <v>140</v>
      </c>
      <c r="D177" s="206">
        <f>SUM(D172:D176)</f>
        <v>0</v>
      </c>
      <c r="E177" s="206">
        <f t="shared" ref="E177:AV177" si="54">SUM(E172:E176)</f>
        <v>0</v>
      </c>
      <c r="F177" s="206">
        <f t="shared" si="54"/>
        <v>0</v>
      </c>
      <c r="G177" s="206">
        <f t="shared" si="54"/>
        <v>0</v>
      </c>
      <c r="H177" s="206">
        <f t="shared" si="54"/>
        <v>0</v>
      </c>
      <c r="I177" s="206">
        <f t="shared" si="54"/>
        <v>0</v>
      </c>
      <c r="J177" s="206">
        <f t="shared" si="54"/>
        <v>0</v>
      </c>
      <c r="K177" s="206">
        <f t="shared" si="54"/>
        <v>0</v>
      </c>
      <c r="L177" s="206">
        <f t="shared" si="54"/>
        <v>0</v>
      </c>
      <c r="M177" s="206">
        <f t="shared" si="54"/>
        <v>0</v>
      </c>
      <c r="N177" s="206">
        <f t="shared" si="54"/>
        <v>0</v>
      </c>
      <c r="O177" s="206">
        <f t="shared" si="54"/>
        <v>0</v>
      </c>
      <c r="P177" s="206">
        <f t="shared" si="54"/>
        <v>0</v>
      </c>
      <c r="Q177" s="206">
        <f t="shared" si="54"/>
        <v>0</v>
      </c>
      <c r="R177" s="206">
        <f t="shared" si="54"/>
        <v>0</v>
      </c>
      <c r="S177" s="206">
        <f t="shared" si="54"/>
        <v>0</v>
      </c>
      <c r="T177" s="206">
        <f t="shared" si="54"/>
        <v>0</v>
      </c>
      <c r="U177" s="206">
        <f t="shared" si="54"/>
        <v>0</v>
      </c>
      <c r="V177" s="206">
        <f t="shared" si="54"/>
        <v>0</v>
      </c>
      <c r="W177" s="206">
        <f t="shared" si="54"/>
        <v>0</v>
      </c>
      <c r="X177" s="206">
        <f t="shared" si="54"/>
        <v>0</v>
      </c>
      <c r="Y177" s="206">
        <f t="shared" si="54"/>
        <v>0</v>
      </c>
      <c r="Z177" s="206">
        <f t="shared" si="54"/>
        <v>0</v>
      </c>
      <c r="AA177" s="206">
        <f t="shared" si="54"/>
        <v>0</v>
      </c>
      <c r="AB177" s="206">
        <f t="shared" si="54"/>
        <v>0</v>
      </c>
      <c r="AC177" s="206">
        <f t="shared" si="54"/>
        <v>0</v>
      </c>
      <c r="AD177" s="206">
        <f t="shared" si="54"/>
        <v>0</v>
      </c>
      <c r="AE177" s="206">
        <f t="shared" si="54"/>
        <v>0</v>
      </c>
      <c r="AF177" s="206">
        <f t="shared" si="54"/>
        <v>0</v>
      </c>
      <c r="AG177" s="206">
        <f t="shared" si="54"/>
        <v>0</v>
      </c>
      <c r="AH177" s="206">
        <f t="shared" si="54"/>
        <v>1762171</v>
      </c>
      <c r="AI177" s="206">
        <f t="shared" si="54"/>
        <v>1769280</v>
      </c>
      <c r="AJ177" s="206">
        <f t="shared" si="54"/>
        <v>1776195</v>
      </c>
      <c r="AK177" s="206">
        <f t="shared" si="54"/>
        <v>1776787</v>
      </c>
      <c r="AL177" s="206">
        <f t="shared" si="54"/>
        <v>1771219</v>
      </c>
      <c r="AM177" s="206">
        <f t="shared" si="54"/>
        <v>1791536</v>
      </c>
      <c r="AN177" s="206">
        <f t="shared" si="54"/>
        <v>1799133</v>
      </c>
      <c r="AO177" s="206">
        <f t="shared" si="54"/>
        <v>1811485</v>
      </c>
      <c r="AP177" s="206">
        <f t="shared" si="54"/>
        <v>1836534</v>
      </c>
      <c r="AQ177" s="206">
        <f t="shared" si="54"/>
        <v>1865299</v>
      </c>
      <c r="AR177" s="206">
        <f t="shared" si="54"/>
        <v>1883772</v>
      </c>
      <c r="AS177" s="206">
        <f t="shared" si="54"/>
        <v>1899050</v>
      </c>
      <c r="AT177" s="206">
        <f t="shared" si="54"/>
        <v>1908979</v>
      </c>
      <c r="AU177" s="206">
        <f t="shared" si="54"/>
        <v>1923222</v>
      </c>
      <c r="AV177" s="206">
        <f t="shared" si="54"/>
        <v>1933172</v>
      </c>
      <c r="AW177" s="206">
        <f t="shared" ref="AW177:BB177" si="55">SUM(AW172:AW176)</f>
        <v>1702798</v>
      </c>
      <c r="AX177" s="206">
        <f t="shared" si="55"/>
        <v>1947362</v>
      </c>
      <c r="AY177" s="206">
        <f t="shared" si="55"/>
        <v>1957519</v>
      </c>
      <c r="AZ177" s="206">
        <f t="shared" si="55"/>
        <v>1970591</v>
      </c>
      <c r="BA177" s="206">
        <f t="shared" si="55"/>
        <v>1978473</v>
      </c>
      <c r="BB177" s="206">
        <f t="shared" si="55"/>
        <v>1989894</v>
      </c>
    </row>
    <row r="178" spans="2:54" ht="15" customHeight="1">
      <c r="B178" s="208"/>
      <c r="C178" s="208"/>
      <c r="D178" s="209"/>
      <c r="E178" s="209"/>
      <c r="F178" s="209"/>
      <c r="G178" s="209"/>
      <c r="H178" s="209"/>
      <c r="I178" s="209"/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  <c r="AH178" s="209"/>
      <c r="AI178" s="209"/>
      <c r="AJ178" s="209"/>
      <c r="AK178" s="209"/>
      <c r="AL178" s="209"/>
      <c r="AM178" s="209"/>
      <c r="AN178" s="209"/>
      <c r="AO178" s="209"/>
      <c r="AP178" s="209"/>
      <c r="AQ178" s="209"/>
      <c r="AR178" s="209"/>
      <c r="AS178" s="209"/>
      <c r="AT178" s="209"/>
      <c r="AU178" s="209"/>
      <c r="AV178" s="209"/>
      <c r="AW178" s="209"/>
      <c r="AX178" s="209"/>
      <c r="AY178" s="209"/>
      <c r="AZ178" s="209"/>
      <c r="BA178" s="209"/>
      <c r="BB178" s="209"/>
    </row>
    <row r="179" spans="2:54" ht="15" customHeight="1">
      <c r="B179" s="190" t="s">
        <v>122</v>
      </c>
      <c r="C179" s="190" t="s">
        <v>122</v>
      </c>
      <c r="D179" s="191"/>
      <c r="E179" s="191"/>
      <c r="F179" s="191"/>
      <c r="G179" s="191"/>
      <c r="H179" s="191"/>
      <c r="I179" s="191"/>
      <c r="J179" s="191"/>
      <c r="K179" s="191"/>
      <c r="L179" s="191"/>
      <c r="M179" s="191"/>
      <c r="N179" s="191"/>
      <c r="O179" s="191"/>
      <c r="P179" s="191"/>
      <c r="Q179" s="191"/>
      <c r="R179" s="191"/>
      <c r="S179" s="191"/>
      <c r="T179" s="191"/>
      <c r="U179" s="191"/>
      <c r="V179" s="191"/>
      <c r="W179" s="191"/>
      <c r="X179" s="191"/>
      <c r="Y179" s="191"/>
      <c r="Z179" s="191"/>
      <c r="AA179" s="191"/>
      <c r="AB179" s="191"/>
      <c r="AC179" s="191"/>
      <c r="AD179" s="191"/>
      <c r="AE179" s="191"/>
      <c r="AF179" s="191"/>
      <c r="AG179" s="191"/>
      <c r="AH179" s="191"/>
      <c r="AI179" s="191"/>
      <c r="AJ179" s="191"/>
      <c r="AK179" s="191"/>
      <c r="AL179" s="191"/>
      <c r="AM179" s="191"/>
      <c r="AN179" s="191"/>
      <c r="AO179" s="191"/>
      <c r="AP179" s="191"/>
      <c r="AQ179" s="191"/>
      <c r="AR179" s="191"/>
      <c r="AS179" s="191"/>
      <c r="AT179" s="191"/>
      <c r="AU179" s="191"/>
      <c r="AV179" s="191"/>
      <c r="AW179" s="191"/>
      <c r="AX179" s="191"/>
      <c r="AY179" s="191"/>
      <c r="AZ179" s="191"/>
      <c r="BA179" s="191"/>
      <c r="BB179" s="191"/>
    </row>
    <row r="180" spans="2:54" ht="15" customHeight="1">
      <c r="B180" s="192" t="s">
        <v>132</v>
      </c>
      <c r="C180" s="192" t="s">
        <v>133</v>
      </c>
      <c r="D180" s="201"/>
      <c r="E180" s="201"/>
      <c r="F180" s="201"/>
      <c r="G180" s="201"/>
      <c r="H180" s="201"/>
      <c r="I180" s="201"/>
      <c r="J180" s="201"/>
      <c r="K180" s="201"/>
      <c r="L180" s="201"/>
      <c r="M180" s="201"/>
      <c r="N180" s="201"/>
      <c r="O180" s="201"/>
      <c r="P180" s="201"/>
      <c r="Q180" s="201"/>
      <c r="R180" s="201"/>
      <c r="S180" s="201"/>
      <c r="T180" s="201"/>
      <c r="U180" s="201"/>
      <c r="V180" s="201"/>
      <c r="W180" s="201"/>
      <c r="X180" s="201"/>
      <c r="Y180" s="201"/>
      <c r="Z180" s="201"/>
      <c r="AA180" s="201"/>
      <c r="AB180" s="201"/>
      <c r="AC180" s="201"/>
      <c r="AD180" s="201"/>
      <c r="AE180" s="201"/>
      <c r="AF180" s="201"/>
      <c r="AG180" s="201"/>
      <c r="AH180" s="201"/>
      <c r="AI180" s="201">
        <v>161436</v>
      </c>
      <c r="AJ180" s="201">
        <v>162449</v>
      </c>
      <c r="AK180" s="201">
        <v>165451</v>
      </c>
      <c r="AL180" s="201">
        <v>166026</v>
      </c>
      <c r="AM180" s="201">
        <v>147355</v>
      </c>
      <c r="AN180" s="201">
        <v>133659</v>
      </c>
      <c r="AO180" s="201">
        <v>132781</v>
      </c>
      <c r="AP180" s="201">
        <v>121853</v>
      </c>
      <c r="AQ180" s="201">
        <v>114309</v>
      </c>
      <c r="AR180" s="201">
        <v>110440</v>
      </c>
      <c r="AS180" s="201">
        <v>93168</v>
      </c>
      <c r="AT180" s="201">
        <v>94188</v>
      </c>
      <c r="AU180" s="201">
        <v>95101</v>
      </c>
      <c r="AV180" s="201">
        <v>104137</v>
      </c>
      <c r="AW180" s="201">
        <v>109018</v>
      </c>
      <c r="AX180" s="201">
        <v>111736</v>
      </c>
      <c r="AY180" s="201">
        <v>119651</v>
      </c>
      <c r="AZ180" s="201">
        <v>141754</v>
      </c>
      <c r="BA180" s="201">
        <v>139792</v>
      </c>
      <c r="BB180" s="201">
        <v>141354</v>
      </c>
    </row>
    <row r="181" spans="2:54" ht="15" customHeight="1">
      <c r="B181" s="192" t="s">
        <v>134</v>
      </c>
      <c r="C181" s="192" t="s">
        <v>135</v>
      </c>
      <c r="D181" s="201"/>
      <c r="E181" s="201"/>
      <c r="F181" s="201"/>
      <c r="G181" s="201"/>
      <c r="H181" s="201"/>
      <c r="I181" s="201"/>
      <c r="J181" s="201"/>
      <c r="K181" s="201"/>
      <c r="L181" s="201"/>
      <c r="M181" s="201"/>
      <c r="N181" s="201"/>
      <c r="O181" s="201"/>
      <c r="P181" s="201"/>
      <c r="Q181" s="201"/>
      <c r="R181" s="201"/>
      <c r="S181" s="201"/>
      <c r="T181" s="201"/>
      <c r="U181" s="201"/>
      <c r="V181" s="201"/>
      <c r="W181" s="201"/>
      <c r="X181" s="201"/>
      <c r="Y181" s="201"/>
      <c r="Z181" s="201"/>
      <c r="AA181" s="201"/>
      <c r="AB181" s="201"/>
      <c r="AC181" s="201"/>
      <c r="AD181" s="201"/>
      <c r="AE181" s="201"/>
      <c r="AF181" s="201"/>
      <c r="AG181" s="201"/>
      <c r="AH181" s="201"/>
      <c r="AI181" s="201">
        <v>23630</v>
      </c>
      <c r="AJ181" s="201">
        <v>22848</v>
      </c>
      <c r="AK181" s="201">
        <v>21330</v>
      </c>
      <c r="AL181" s="201">
        <v>21343</v>
      </c>
      <c r="AM181" s="201">
        <v>29419</v>
      </c>
      <c r="AN181" s="201">
        <v>32424</v>
      </c>
      <c r="AO181" s="201">
        <v>35648</v>
      </c>
      <c r="AP181" s="201">
        <v>41003</v>
      </c>
      <c r="AQ181" s="201">
        <v>64152</v>
      </c>
      <c r="AR181" s="201">
        <v>71757</v>
      </c>
      <c r="AS181" s="201">
        <v>96861</v>
      </c>
      <c r="AT181" s="201">
        <v>98126</v>
      </c>
      <c r="AU181" s="201">
        <v>100673</v>
      </c>
      <c r="AV181" s="201">
        <v>98404</v>
      </c>
      <c r="AW181" s="201">
        <v>98460</v>
      </c>
      <c r="AX181" s="201">
        <v>99791</v>
      </c>
      <c r="AY181" s="201">
        <v>96911</v>
      </c>
      <c r="AZ181" s="201">
        <v>98528</v>
      </c>
      <c r="BA181" s="201">
        <v>100665</v>
      </c>
      <c r="BB181" s="201">
        <v>102701</v>
      </c>
    </row>
    <row r="182" spans="2:54" ht="15" customHeight="1">
      <c r="B182" s="192" t="s">
        <v>92</v>
      </c>
      <c r="C182" s="192" t="s">
        <v>92</v>
      </c>
      <c r="D182" s="201"/>
      <c r="E182" s="201"/>
      <c r="F182" s="201"/>
      <c r="G182" s="201"/>
      <c r="H182" s="201"/>
      <c r="I182" s="201"/>
      <c r="J182" s="201"/>
      <c r="K182" s="201"/>
      <c r="L182" s="201"/>
      <c r="M182" s="201"/>
      <c r="N182" s="201"/>
      <c r="O182" s="201"/>
      <c r="P182" s="201"/>
      <c r="Q182" s="201"/>
      <c r="R182" s="201"/>
      <c r="S182" s="201"/>
      <c r="T182" s="201"/>
      <c r="U182" s="201"/>
      <c r="V182" s="201"/>
      <c r="W182" s="201"/>
      <c r="X182" s="201"/>
      <c r="Y182" s="201"/>
      <c r="Z182" s="201"/>
      <c r="AA182" s="201"/>
      <c r="AB182" s="201"/>
      <c r="AC182" s="201"/>
      <c r="AD182" s="201"/>
      <c r="AE182" s="201"/>
      <c r="AF182" s="201"/>
      <c r="AG182" s="201"/>
      <c r="AH182" s="201"/>
      <c r="AI182" s="201">
        <v>342</v>
      </c>
      <c r="AJ182" s="201">
        <v>344</v>
      </c>
      <c r="AK182" s="201">
        <v>338</v>
      </c>
      <c r="AL182" s="201">
        <v>329</v>
      </c>
      <c r="AM182" s="201">
        <v>289</v>
      </c>
      <c r="AN182" s="201">
        <v>257</v>
      </c>
      <c r="AO182" s="201">
        <v>260</v>
      </c>
      <c r="AP182" s="201">
        <v>237</v>
      </c>
      <c r="AQ182" s="201">
        <v>248</v>
      </c>
      <c r="AR182" s="201">
        <v>247</v>
      </c>
      <c r="AS182" s="201">
        <v>254</v>
      </c>
      <c r="AT182" s="201">
        <v>238</v>
      </c>
      <c r="AU182" s="201">
        <v>242</v>
      </c>
      <c r="AV182" s="201">
        <v>243</v>
      </c>
      <c r="AW182" s="201">
        <v>267</v>
      </c>
      <c r="AX182" s="201">
        <v>538</v>
      </c>
      <c r="AY182" s="201">
        <v>521</v>
      </c>
      <c r="AZ182" s="201">
        <v>579</v>
      </c>
      <c r="BA182" s="201">
        <v>564</v>
      </c>
      <c r="BB182" s="201">
        <v>568</v>
      </c>
    </row>
    <row r="183" spans="2:54" ht="15" customHeight="1">
      <c r="B183" s="192" t="s">
        <v>93</v>
      </c>
      <c r="C183" s="192" t="s">
        <v>94</v>
      </c>
      <c r="D183" s="201"/>
      <c r="E183" s="201"/>
      <c r="F183" s="201"/>
      <c r="G183" s="201"/>
      <c r="H183" s="201"/>
      <c r="I183" s="201"/>
      <c r="J183" s="201"/>
      <c r="K183" s="201"/>
      <c r="L183" s="201"/>
      <c r="M183" s="201"/>
      <c r="N183" s="201"/>
      <c r="O183" s="201"/>
      <c r="P183" s="201"/>
      <c r="Q183" s="201"/>
      <c r="R183" s="201"/>
      <c r="S183" s="201"/>
      <c r="T183" s="201"/>
      <c r="U183" s="201"/>
      <c r="V183" s="201"/>
      <c r="W183" s="201"/>
      <c r="X183" s="201"/>
      <c r="Y183" s="201"/>
      <c r="Z183" s="201"/>
      <c r="AA183" s="201"/>
      <c r="AB183" s="201"/>
      <c r="AC183" s="201"/>
      <c r="AD183" s="201"/>
      <c r="AE183" s="201"/>
      <c r="AF183" s="201"/>
      <c r="AG183" s="201"/>
      <c r="AH183" s="201"/>
      <c r="AI183" s="201">
        <v>18471</v>
      </c>
      <c r="AJ183" s="201">
        <v>18460</v>
      </c>
      <c r="AK183" s="201">
        <v>18583</v>
      </c>
      <c r="AL183" s="201">
        <v>18739</v>
      </c>
      <c r="AM183" s="201">
        <v>16772</v>
      </c>
      <c r="AN183" s="201">
        <v>15291</v>
      </c>
      <c r="AO183" s="201">
        <v>15656</v>
      </c>
      <c r="AP183" s="201">
        <v>14447</v>
      </c>
      <c r="AQ183" s="201">
        <v>15516</v>
      </c>
      <c r="AR183" s="201">
        <v>15454</v>
      </c>
      <c r="AS183" s="201">
        <v>15880</v>
      </c>
      <c r="AT183" s="201">
        <v>15702</v>
      </c>
      <c r="AU183" s="201">
        <v>15713</v>
      </c>
      <c r="AV183" s="201">
        <v>15717</v>
      </c>
      <c r="AW183" s="201">
        <v>15625</v>
      </c>
      <c r="AX183" s="201">
        <v>15422</v>
      </c>
      <c r="AY183" s="201">
        <v>15538</v>
      </c>
      <c r="AZ183" s="201">
        <v>17381</v>
      </c>
      <c r="BA183" s="201">
        <v>17395</v>
      </c>
      <c r="BB183" s="201">
        <v>17592</v>
      </c>
    </row>
    <row r="184" spans="2:54" ht="15" customHeight="1" thickBot="1">
      <c r="B184" s="192" t="s">
        <v>95</v>
      </c>
      <c r="C184" s="192" t="s">
        <v>96</v>
      </c>
      <c r="D184" s="201"/>
      <c r="E184" s="201"/>
      <c r="F184" s="201"/>
      <c r="G184" s="201"/>
      <c r="H184" s="201"/>
      <c r="I184" s="201"/>
      <c r="J184" s="201"/>
      <c r="K184" s="201"/>
      <c r="L184" s="201"/>
      <c r="M184" s="201"/>
      <c r="N184" s="201"/>
      <c r="O184" s="201"/>
      <c r="P184" s="201"/>
      <c r="Q184" s="201"/>
      <c r="R184" s="201"/>
      <c r="S184" s="201"/>
      <c r="T184" s="201"/>
      <c r="U184" s="201"/>
      <c r="V184" s="201"/>
      <c r="W184" s="201"/>
      <c r="X184" s="201"/>
      <c r="Y184" s="201"/>
      <c r="Z184" s="201"/>
      <c r="AA184" s="201"/>
      <c r="AB184" s="201"/>
      <c r="AC184" s="201"/>
      <c r="AD184" s="201"/>
      <c r="AE184" s="201"/>
      <c r="AF184" s="201"/>
      <c r="AG184" s="201"/>
      <c r="AH184" s="201"/>
      <c r="AI184" s="201">
        <v>4728</v>
      </c>
      <c r="AJ184" s="201">
        <v>4776</v>
      </c>
      <c r="AK184" s="201">
        <v>4611</v>
      </c>
      <c r="AL184" s="201">
        <v>5211</v>
      </c>
      <c r="AM184" s="201">
        <v>4916</v>
      </c>
      <c r="AN184" s="201">
        <v>4869</v>
      </c>
      <c r="AO184" s="201">
        <v>4740</v>
      </c>
      <c r="AP184" s="201">
        <v>4691</v>
      </c>
      <c r="AQ184" s="201">
        <v>4769</v>
      </c>
      <c r="AR184" s="201">
        <v>5246</v>
      </c>
      <c r="AS184" s="201">
        <v>5157</v>
      </c>
      <c r="AT184" s="201">
        <v>5652</v>
      </c>
      <c r="AU184" s="201">
        <v>5724</v>
      </c>
      <c r="AV184" s="201">
        <v>5701</v>
      </c>
      <c r="AW184" s="201">
        <v>5612</v>
      </c>
      <c r="AX184" s="201">
        <v>5640</v>
      </c>
      <c r="AY184" s="201">
        <v>5317</v>
      </c>
      <c r="AZ184" s="201">
        <v>5826</v>
      </c>
      <c r="BA184" s="201">
        <v>5823</v>
      </c>
      <c r="BB184" s="201">
        <v>5869</v>
      </c>
    </row>
    <row r="185" spans="2:54" ht="15" customHeight="1" thickBot="1">
      <c r="B185" s="194" t="s">
        <v>141</v>
      </c>
      <c r="C185" s="194" t="s">
        <v>141</v>
      </c>
      <c r="D185" s="206">
        <f>SUM(D180:D184)</f>
        <v>0</v>
      </c>
      <c r="E185" s="206">
        <f t="shared" ref="E185:AV185" si="56">SUM(E180:E184)</f>
        <v>0</v>
      </c>
      <c r="F185" s="206">
        <f t="shared" si="56"/>
        <v>0</v>
      </c>
      <c r="G185" s="206">
        <f t="shared" si="56"/>
        <v>0</v>
      </c>
      <c r="H185" s="206">
        <f t="shared" si="56"/>
        <v>0</v>
      </c>
      <c r="I185" s="206">
        <f t="shared" si="56"/>
        <v>0</v>
      </c>
      <c r="J185" s="206">
        <f t="shared" si="56"/>
        <v>0</v>
      </c>
      <c r="K185" s="206">
        <f t="shared" si="56"/>
        <v>0</v>
      </c>
      <c r="L185" s="206">
        <f t="shared" si="56"/>
        <v>0</v>
      </c>
      <c r="M185" s="206">
        <f t="shared" si="56"/>
        <v>0</v>
      </c>
      <c r="N185" s="206">
        <f t="shared" si="56"/>
        <v>0</v>
      </c>
      <c r="O185" s="206">
        <f t="shared" si="56"/>
        <v>0</v>
      </c>
      <c r="P185" s="206">
        <f t="shared" si="56"/>
        <v>0</v>
      </c>
      <c r="Q185" s="206">
        <f t="shared" si="56"/>
        <v>0</v>
      </c>
      <c r="R185" s="206">
        <f t="shared" si="56"/>
        <v>0</v>
      </c>
      <c r="S185" s="206">
        <f t="shared" si="56"/>
        <v>0</v>
      </c>
      <c r="T185" s="206">
        <f t="shared" si="56"/>
        <v>0</v>
      </c>
      <c r="U185" s="206">
        <f t="shared" si="56"/>
        <v>0</v>
      </c>
      <c r="V185" s="206">
        <f t="shared" si="56"/>
        <v>0</v>
      </c>
      <c r="W185" s="206">
        <f t="shared" si="56"/>
        <v>0</v>
      </c>
      <c r="X185" s="206">
        <f t="shared" si="56"/>
        <v>0</v>
      </c>
      <c r="Y185" s="206">
        <f t="shared" si="56"/>
        <v>0</v>
      </c>
      <c r="Z185" s="206">
        <f t="shared" si="56"/>
        <v>0</v>
      </c>
      <c r="AA185" s="206">
        <f t="shared" si="56"/>
        <v>0</v>
      </c>
      <c r="AB185" s="206">
        <f t="shared" si="56"/>
        <v>0</v>
      </c>
      <c r="AC185" s="206">
        <f t="shared" si="56"/>
        <v>0</v>
      </c>
      <c r="AD185" s="206">
        <f t="shared" si="56"/>
        <v>0</v>
      </c>
      <c r="AE185" s="206">
        <f t="shared" si="56"/>
        <v>0</v>
      </c>
      <c r="AF185" s="206">
        <f t="shared" si="56"/>
        <v>0</v>
      </c>
      <c r="AG185" s="206">
        <f t="shared" si="56"/>
        <v>0</v>
      </c>
      <c r="AH185" s="206">
        <f t="shared" si="56"/>
        <v>0</v>
      </c>
      <c r="AI185" s="206">
        <f t="shared" si="56"/>
        <v>208607</v>
      </c>
      <c r="AJ185" s="206">
        <f t="shared" si="56"/>
        <v>208877</v>
      </c>
      <c r="AK185" s="206">
        <f t="shared" si="56"/>
        <v>210313</v>
      </c>
      <c r="AL185" s="206">
        <f t="shared" si="56"/>
        <v>211648</v>
      </c>
      <c r="AM185" s="206">
        <f t="shared" si="56"/>
        <v>198751</v>
      </c>
      <c r="AN185" s="206">
        <f t="shared" si="56"/>
        <v>186500</v>
      </c>
      <c r="AO185" s="206">
        <f t="shared" si="56"/>
        <v>189085</v>
      </c>
      <c r="AP185" s="206">
        <f t="shared" si="56"/>
        <v>182231</v>
      </c>
      <c r="AQ185" s="206">
        <f t="shared" si="56"/>
        <v>198994</v>
      </c>
      <c r="AR185" s="206">
        <f t="shared" si="56"/>
        <v>203144</v>
      </c>
      <c r="AS185" s="206">
        <f t="shared" si="56"/>
        <v>211320</v>
      </c>
      <c r="AT185" s="206">
        <f t="shared" si="56"/>
        <v>213906</v>
      </c>
      <c r="AU185" s="206">
        <f t="shared" si="56"/>
        <v>217453</v>
      </c>
      <c r="AV185" s="206">
        <f t="shared" si="56"/>
        <v>224202</v>
      </c>
      <c r="AW185" s="206">
        <f t="shared" ref="AW185:BB185" si="57">SUM(AW180:AW184)</f>
        <v>228982</v>
      </c>
      <c r="AX185" s="206">
        <f t="shared" si="57"/>
        <v>233127</v>
      </c>
      <c r="AY185" s="206">
        <f t="shared" si="57"/>
        <v>237938</v>
      </c>
      <c r="AZ185" s="206">
        <f t="shared" si="57"/>
        <v>264068</v>
      </c>
      <c r="BA185" s="206">
        <f t="shared" si="57"/>
        <v>264239</v>
      </c>
      <c r="BB185" s="206">
        <f t="shared" si="57"/>
        <v>268084</v>
      </c>
    </row>
    <row r="186" spans="2:54" ht="15" customHeight="1">
      <c r="B186" s="208"/>
      <c r="C186" s="208"/>
      <c r="D186" s="209"/>
      <c r="E186" s="209"/>
      <c r="F186" s="209"/>
      <c r="G186" s="209"/>
      <c r="H186" s="209"/>
      <c r="I186" s="209"/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  <c r="AH186" s="209"/>
      <c r="AI186" s="209"/>
      <c r="AJ186" s="209"/>
      <c r="AK186" s="209"/>
      <c r="AL186" s="209"/>
      <c r="AM186" s="209"/>
      <c r="AN186" s="209"/>
      <c r="AO186" s="209"/>
      <c r="AP186" s="209"/>
      <c r="AQ186" s="209"/>
      <c r="AR186" s="209"/>
      <c r="AS186" s="209"/>
      <c r="AT186" s="209"/>
      <c r="AU186" s="209"/>
      <c r="AV186" s="209"/>
      <c r="AW186" s="209"/>
      <c r="AX186" s="209"/>
      <c r="AY186" s="209"/>
      <c r="AZ186" s="209"/>
      <c r="BA186" s="209"/>
      <c r="BB186" s="209"/>
    </row>
    <row r="187" spans="2:54" ht="15" customHeight="1">
      <c r="B187" s="190" t="s">
        <v>125</v>
      </c>
      <c r="C187" s="190" t="s">
        <v>125</v>
      </c>
      <c r="D187" s="191"/>
      <c r="E187" s="191"/>
      <c r="F187" s="191"/>
      <c r="G187" s="191"/>
      <c r="H187" s="191"/>
      <c r="I187" s="191"/>
      <c r="J187" s="191"/>
      <c r="K187" s="191"/>
      <c r="L187" s="191"/>
      <c r="M187" s="191"/>
      <c r="N187" s="191"/>
      <c r="O187" s="191"/>
      <c r="P187" s="191"/>
      <c r="Q187" s="191"/>
      <c r="R187" s="191"/>
      <c r="S187" s="191"/>
      <c r="T187" s="191"/>
      <c r="U187" s="191"/>
      <c r="V187" s="191"/>
      <c r="W187" s="191"/>
      <c r="X187" s="191"/>
      <c r="Y187" s="191"/>
      <c r="Z187" s="191"/>
      <c r="AA187" s="191"/>
      <c r="AB187" s="191"/>
      <c r="AC187" s="191"/>
      <c r="AD187" s="191"/>
      <c r="AE187" s="191"/>
      <c r="AF187" s="191"/>
      <c r="AG187" s="191"/>
      <c r="AH187" s="191"/>
      <c r="AI187" s="191"/>
      <c r="AJ187" s="191"/>
      <c r="AK187" s="191"/>
      <c r="AL187" s="191"/>
      <c r="AM187" s="191"/>
      <c r="AN187" s="191"/>
      <c r="AO187" s="191"/>
      <c r="AP187" s="191"/>
      <c r="AQ187" s="191"/>
      <c r="AR187" s="191"/>
      <c r="AS187" s="191"/>
      <c r="AT187" s="191"/>
      <c r="AU187" s="191"/>
      <c r="AV187" s="191"/>
      <c r="AW187" s="191"/>
      <c r="AX187" s="191"/>
      <c r="AY187" s="191"/>
      <c r="AZ187" s="191"/>
      <c r="BA187" s="191"/>
      <c r="BB187" s="191"/>
    </row>
    <row r="188" spans="2:54" ht="15" customHeight="1">
      <c r="B188" s="192" t="s">
        <v>132</v>
      </c>
      <c r="C188" s="192" t="s">
        <v>133</v>
      </c>
      <c r="D188" s="201"/>
      <c r="E188" s="201"/>
      <c r="F188" s="201"/>
      <c r="G188" s="201"/>
      <c r="H188" s="201"/>
      <c r="I188" s="201"/>
      <c r="J188" s="201"/>
      <c r="K188" s="201"/>
      <c r="L188" s="201"/>
      <c r="M188" s="201"/>
      <c r="N188" s="201"/>
      <c r="O188" s="201"/>
      <c r="P188" s="201"/>
      <c r="Q188" s="201"/>
      <c r="R188" s="201"/>
      <c r="S188" s="201"/>
      <c r="T188" s="201"/>
      <c r="U188" s="201"/>
      <c r="V188" s="201"/>
      <c r="W188" s="201"/>
      <c r="X188" s="201"/>
      <c r="Y188" s="201"/>
      <c r="Z188" s="201"/>
      <c r="AA188" s="201"/>
      <c r="AB188" s="201"/>
      <c r="AC188" s="201"/>
      <c r="AD188" s="201"/>
      <c r="AE188" s="201"/>
      <c r="AF188" s="201"/>
      <c r="AG188" s="201"/>
      <c r="AH188" s="201"/>
      <c r="AI188" s="201"/>
      <c r="AJ188" s="201"/>
      <c r="AK188" s="201"/>
      <c r="AL188" s="201"/>
      <c r="AM188" s="201">
        <v>2470542</v>
      </c>
      <c r="AN188" s="201">
        <v>2431091</v>
      </c>
      <c r="AO188" s="201">
        <v>2440354</v>
      </c>
      <c r="AP188" s="201">
        <v>2453212</v>
      </c>
      <c r="AQ188" s="201">
        <v>2458684</v>
      </c>
      <c r="AR188" s="201">
        <v>2436091</v>
      </c>
      <c r="AS188" s="201">
        <v>2435940</v>
      </c>
      <c r="AT188" s="201">
        <v>2473974</v>
      </c>
      <c r="AU188" s="201">
        <v>2413658</v>
      </c>
      <c r="AV188" s="201">
        <v>2407261</v>
      </c>
      <c r="AW188" s="201">
        <v>2421558</v>
      </c>
      <c r="AX188" s="201">
        <v>2417239</v>
      </c>
      <c r="AY188" s="201">
        <v>2451470</v>
      </c>
      <c r="AZ188" s="201">
        <v>2493682</v>
      </c>
      <c r="BA188" s="201">
        <v>2501354</v>
      </c>
      <c r="BB188" s="201">
        <v>2496482</v>
      </c>
    </row>
    <row r="189" spans="2:54" ht="15" customHeight="1">
      <c r="B189" s="192" t="s">
        <v>134</v>
      </c>
      <c r="C189" s="192" t="s">
        <v>135</v>
      </c>
      <c r="D189" s="201"/>
      <c r="E189" s="201"/>
      <c r="F189" s="201"/>
      <c r="G189" s="201"/>
      <c r="H189" s="201"/>
      <c r="I189" s="201"/>
      <c r="J189" s="201"/>
      <c r="K189" s="201"/>
      <c r="L189" s="201"/>
      <c r="M189" s="201"/>
      <c r="N189" s="201"/>
      <c r="O189" s="201"/>
      <c r="P189" s="201"/>
      <c r="Q189" s="201"/>
      <c r="R189" s="201"/>
      <c r="S189" s="201"/>
      <c r="T189" s="201"/>
      <c r="U189" s="201"/>
      <c r="V189" s="201"/>
      <c r="W189" s="201"/>
      <c r="X189" s="201"/>
      <c r="Y189" s="201"/>
      <c r="Z189" s="201"/>
      <c r="AA189" s="201"/>
      <c r="AB189" s="201"/>
      <c r="AC189" s="201"/>
      <c r="AD189" s="201"/>
      <c r="AE189" s="201"/>
      <c r="AF189" s="201"/>
      <c r="AG189" s="201"/>
      <c r="AH189" s="201"/>
      <c r="AI189" s="201"/>
      <c r="AJ189" s="201"/>
      <c r="AK189" s="201"/>
      <c r="AL189" s="201"/>
      <c r="AM189" s="201">
        <v>272302</v>
      </c>
      <c r="AN189" s="201">
        <v>337661</v>
      </c>
      <c r="AO189" s="201">
        <v>340028</v>
      </c>
      <c r="AP189" s="201">
        <v>354673</v>
      </c>
      <c r="AQ189" s="201">
        <v>362526</v>
      </c>
      <c r="AR189" s="201">
        <v>406759</v>
      </c>
      <c r="AS189" s="201">
        <v>417245</v>
      </c>
      <c r="AT189" s="201">
        <v>397598</v>
      </c>
      <c r="AU189" s="201">
        <v>480598</v>
      </c>
      <c r="AV189" s="201">
        <v>502573</v>
      </c>
      <c r="AW189" s="201">
        <v>506375</v>
      </c>
      <c r="AX189" s="201">
        <v>539169</v>
      </c>
      <c r="AY189" s="201">
        <v>524014</v>
      </c>
      <c r="AZ189" s="201">
        <v>499050</v>
      </c>
      <c r="BA189" s="201">
        <v>514703</v>
      </c>
      <c r="BB189" s="201">
        <v>541259</v>
      </c>
    </row>
    <row r="190" spans="2:54" ht="15" customHeight="1">
      <c r="B190" s="192" t="s">
        <v>92</v>
      </c>
      <c r="C190" s="192" t="s">
        <v>92</v>
      </c>
      <c r="D190" s="201"/>
      <c r="E190" s="201"/>
      <c r="F190" s="201"/>
      <c r="G190" s="201"/>
      <c r="H190" s="201"/>
      <c r="I190" s="201"/>
      <c r="J190" s="201"/>
      <c r="K190" s="201"/>
      <c r="L190" s="201"/>
      <c r="M190" s="201"/>
      <c r="N190" s="201"/>
      <c r="O190" s="201"/>
      <c r="P190" s="201"/>
      <c r="Q190" s="201"/>
      <c r="R190" s="201"/>
      <c r="S190" s="201"/>
      <c r="T190" s="201"/>
      <c r="U190" s="201"/>
      <c r="V190" s="201"/>
      <c r="W190" s="201"/>
      <c r="X190" s="201"/>
      <c r="Y190" s="201"/>
      <c r="Z190" s="201"/>
      <c r="AA190" s="201"/>
      <c r="AB190" s="201"/>
      <c r="AC190" s="201"/>
      <c r="AD190" s="201"/>
      <c r="AE190" s="201"/>
      <c r="AF190" s="201"/>
      <c r="AG190" s="201"/>
      <c r="AH190" s="201"/>
      <c r="AI190" s="201"/>
      <c r="AJ190" s="201"/>
      <c r="AK190" s="201"/>
      <c r="AL190" s="201"/>
      <c r="AM190" s="201">
        <v>8667</v>
      </c>
      <c r="AN190" s="201">
        <v>8401</v>
      </c>
      <c r="AO190" s="201">
        <v>8561</v>
      </c>
      <c r="AP190" s="201">
        <v>8555</v>
      </c>
      <c r="AQ190" s="201">
        <v>8588</v>
      </c>
      <c r="AR190" s="201">
        <v>8200</v>
      </c>
      <c r="AS190" s="201">
        <v>8481</v>
      </c>
      <c r="AT190" s="201">
        <v>8437</v>
      </c>
      <c r="AU190" s="201">
        <v>8394</v>
      </c>
      <c r="AV190" s="201">
        <v>8360</v>
      </c>
      <c r="AW190" s="201">
        <v>8309</v>
      </c>
      <c r="AX190" s="201">
        <v>8306</v>
      </c>
      <c r="AY190" s="201">
        <v>8353</v>
      </c>
      <c r="AZ190" s="201">
        <v>8241</v>
      </c>
      <c r="BA190" s="201">
        <v>8211</v>
      </c>
      <c r="BB190" s="201">
        <v>8206</v>
      </c>
    </row>
    <row r="191" spans="2:54" ht="15" customHeight="1">
      <c r="B191" s="192" t="s">
        <v>93</v>
      </c>
      <c r="C191" s="192" t="s">
        <v>94</v>
      </c>
      <c r="D191" s="201"/>
      <c r="E191" s="201"/>
      <c r="F191" s="201"/>
      <c r="G191" s="201"/>
      <c r="H191" s="201"/>
      <c r="I191" s="201"/>
      <c r="J191" s="201"/>
      <c r="K191" s="201"/>
      <c r="L191" s="201"/>
      <c r="M191" s="201"/>
      <c r="N191" s="201"/>
      <c r="O191" s="201"/>
      <c r="P191" s="201"/>
      <c r="Q191" s="201"/>
      <c r="R191" s="201"/>
      <c r="S191" s="201"/>
      <c r="T191" s="201"/>
      <c r="U191" s="201"/>
      <c r="V191" s="201"/>
      <c r="W191" s="201"/>
      <c r="X191" s="201"/>
      <c r="Y191" s="201"/>
      <c r="Z191" s="201"/>
      <c r="AA191" s="201"/>
      <c r="AB191" s="201"/>
      <c r="AC191" s="201"/>
      <c r="AD191" s="201"/>
      <c r="AE191" s="201"/>
      <c r="AF191" s="201"/>
      <c r="AG191" s="201"/>
      <c r="AH191" s="201"/>
      <c r="AI191" s="201"/>
      <c r="AJ191" s="201"/>
      <c r="AK191" s="201"/>
      <c r="AL191" s="201"/>
      <c r="AM191" s="201">
        <v>202458</v>
      </c>
      <c r="AN191" s="201">
        <v>203817</v>
      </c>
      <c r="AO191" s="201">
        <v>203584</v>
      </c>
      <c r="AP191" s="201">
        <v>202894</v>
      </c>
      <c r="AQ191" s="201">
        <v>201995</v>
      </c>
      <c r="AR191" s="201">
        <v>201763</v>
      </c>
      <c r="AS191" s="201">
        <v>201612</v>
      </c>
      <c r="AT191" s="201">
        <v>199800</v>
      </c>
      <c r="AU191" s="201">
        <v>199228</v>
      </c>
      <c r="AV191" s="201">
        <v>198217</v>
      </c>
      <c r="AW191" s="201">
        <v>198183</v>
      </c>
      <c r="AX191" s="201">
        <v>196701</v>
      </c>
      <c r="AY191" s="201">
        <v>195850</v>
      </c>
      <c r="AZ191" s="201">
        <v>195464</v>
      </c>
      <c r="BA191" s="201">
        <v>196518</v>
      </c>
      <c r="BB191" s="201">
        <v>195647</v>
      </c>
    </row>
    <row r="192" spans="2:54" ht="15" customHeight="1" thickBot="1">
      <c r="B192" s="192" t="s">
        <v>95</v>
      </c>
      <c r="C192" s="192" t="s">
        <v>96</v>
      </c>
      <c r="D192" s="201"/>
      <c r="E192" s="201"/>
      <c r="F192" s="201"/>
      <c r="G192" s="201"/>
      <c r="H192" s="201"/>
      <c r="I192" s="201"/>
      <c r="J192" s="201"/>
      <c r="K192" s="201"/>
      <c r="L192" s="201"/>
      <c r="M192" s="201"/>
      <c r="N192" s="201"/>
      <c r="O192" s="201"/>
      <c r="P192" s="201"/>
      <c r="Q192" s="201"/>
      <c r="R192" s="201"/>
      <c r="S192" s="201"/>
      <c r="T192" s="201"/>
      <c r="U192" s="201"/>
      <c r="V192" s="201"/>
      <c r="W192" s="201"/>
      <c r="X192" s="201"/>
      <c r="Y192" s="201"/>
      <c r="Z192" s="201"/>
      <c r="AA192" s="201"/>
      <c r="AB192" s="201"/>
      <c r="AC192" s="201"/>
      <c r="AD192" s="201"/>
      <c r="AE192" s="201"/>
      <c r="AF192" s="201"/>
      <c r="AG192" s="201"/>
      <c r="AH192" s="201"/>
      <c r="AI192" s="201"/>
      <c r="AJ192" s="201"/>
      <c r="AK192" s="201"/>
      <c r="AL192" s="201"/>
      <c r="AM192" s="201">
        <v>234763</v>
      </c>
      <c r="AN192" s="201">
        <v>235571</v>
      </c>
      <c r="AO192" s="201">
        <v>237946</v>
      </c>
      <c r="AP192" s="201">
        <v>260029</v>
      </c>
      <c r="AQ192" s="201">
        <v>261586</v>
      </c>
      <c r="AR192" s="201">
        <v>254006</v>
      </c>
      <c r="AS192" s="201">
        <v>251393</v>
      </c>
      <c r="AT192" s="201">
        <v>253597</v>
      </c>
      <c r="AU192" s="201">
        <v>253498</v>
      </c>
      <c r="AV192" s="201">
        <v>255062</v>
      </c>
      <c r="AW192" s="201">
        <v>257367</v>
      </c>
      <c r="AX192" s="201">
        <v>256005</v>
      </c>
      <c r="AY192" s="201">
        <v>256552</v>
      </c>
      <c r="AZ192" s="201">
        <v>256845</v>
      </c>
      <c r="BA192" s="201">
        <v>258251</v>
      </c>
      <c r="BB192" s="201">
        <v>259340</v>
      </c>
    </row>
    <row r="193" spans="2:54" ht="15" customHeight="1" thickBot="1">
      <c r="B193" s="194" t="s">
        <v>142</v>
      </c>
      <c r="C193" s="194" t="s">
        <v>142</v>
      </c>
      <c r="D193" s="206"/>
      <c r="E193" s="206"/>
      <c r="F193" s="206"/>
      <c r="G193" s="206"/>
      <c r="H193" s="206"/>
      <c r="I193" s="206"/>
      <c r="J193" s="206"/>
      <c r="K193" s="206"/>
      <c r="L193" s="206"/>
      <c r="M193" s="206"/>
      <c r="N193" s="206"/>
      <c r="O193" s="206"/>
      <c r="P193" s="206"/>
      <c r="Q193" s="206"/>
      <c r="R193" s="206"/>
      <c r="S193" s="206"/>
      <c r="T193" s="206"/>
      <c r="U193" s="206"/>
      <c r="V193" s="206"/>
      <c r="W193" s="206"/>
      <c r="X193" s="206"/>
      <c r="Y193" s="206"/>
      <c r="Z193" s="206"/>
      <c r="AA193" s="206"/>
      <c r="AB193" s="206"/>
      <c r="AC193" s="206"/>
      <c r="AD193" s="206"/>
      <c r="AE193" s="206"/>
      <c r="AF193" s="206"/>
      <c r="AG193" s="206"/>
      <c r="AH193" s="206"/>
      <c r="AI193" s="206"/>
      <c r="AJ193" s="206"/>
      <c r="AK193" s="206"/>
      <c r="AL193" s="206"/>
      <c r="AM193" s="206">
        <f t="shared" ref="AM193:AV193" si="58">SUM(AM188:AM192)</f>
        <v>3188732</v>
      </c>
      <c r="AN193" s="206">
        <f t="shared" si="58"/>
        <v>3216541</v>
      </c>
      <c r="AO193" s="206">
        <f t="shared" si="58"/>
        <v>3230473</v>
      </c>
      <c r="AP193" s="206">
        <f t="shared" si="58"/>
        <v>3279363</v>
      </c>
      <c r="AQ193" s="206">
        <f t="shared" si="58"/>
        <v>3293379</v>
      </c>
      <c r="AR193" s="206">
        <f t="shared" si="58"/>
        <v>3306819</v>
      </c>
      <c r="AS193" s="206">
        <f t="shared" si="58"/>
        <v>3314671</v>
      </c>
      <c r="AT193" s="206">
        <f t="shared" si="58"/>
        <v>3333406</v>
      </c>
      <c r="AU193" s="206">
        <f t="shared" si="58"/>
        <v>3355376</v>
      </c>
      <c r="AV193" s="206">
        <f t="shared" si="58"/>
        <v>3371473</v>
      </c>
      <c r="AW193" s="206">
        <f t="shared" ref="AW193:BB193" si="59">SUM(AW188:AW192)</f>
        <v>3391792</v>
      </c>
      <c r="AX193" s="206">
        <f t="shared" si="59"/>
        <v>3417420</v>
      </c>
      <c r="AY193" s="206">
        <f t="shared" si="59"/>
        <v>3436239</v>
      </c>
      <c r="AZ193" s="206">
        <f t="shared" si="59"/>
        <v>3453282</v>
      </c>
      <c r="BA193" s="206">
        <f t="shared" si="59"/>
        <v>3479037</v>
      </c>
      <c r="BB193" s="206">
        <f t="shared" si="59"/>
        <v>3500934</v>
      </c>
    </row>
    <row r="194" spans="2:54" ht="15" customHeight="1">
      <c r="B194" s="208"/>
      <c r="C194" s="208"/>
      <c r="D194" s="209"/>
      <c r="E194" s="209"/>
      <c r="F194" s="209"/>
      <c r="G194" s="209"/>
      <c r="H194" s="209"/>
      <c r="I194" s="209"/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  <c r="AH194" s="209"/>
      <c r="AI194" s="209"/>
      <c r="AJ194" s="209"/>
      <c r="AK194" s="209"/>
      <c r="AL194" s="209"/>
      <c r="AM194" s="209"/>
      <c r="AN194" s="209"/>
      <c r="AO194" s="209"/>
      <c r="AP194" s="209"/>
      <c r="AQ194" s="209"/>
      <c r="AR194" s="209"/>
      <c r="AS194" s="209"/>
      <c r="AT194" s="209"/>
      <c r="AU194" s="209"/>
      <c r="AV194" s="209"/>
      <c r="AW194" s="209"/>
      <c r="AX194" s="209"/>
      <c r="AY194" s="209"/>
      <c r="AZ194" s="209"/>
      <c r="BA194" s="209"/>
      <c r="BB194" s="209"/>
    </row>
    <row r="195" spans="2:54" ht="15" customHeight="1">
      <c r="B195" s="443" t="s">
        <v>143</v>
      </c>
      <c r="C195" s="443" t="s">
        <v>144</v>
      </c>
      <c r="D195" s="443">
        <f t="shared" ref="D195:AL195" si="60">D145+D153+D161+D169+D185+D177+D193</f>
        <v>5095009</v>
      </c>
      <c r="E195" s="443">
        <f t="shared" si="60"/>
        <v>5138519</v>
      </c>
      <c r="F195" s="443">
        <f t="shared" si="60"/>
        <v>5192879</v>
      </c>
      <c r="G195" s="443">
        <f t="shared" si="60"/>
        <v>5258556</v>
      </c>
      <c r="H195" s="443">
        <f t="shared" si="60"/>
        <v>5337188</v>
      </c>
      <c r="I195" s="443">
        <f t="shared" si="60"/>
        <v>5394057</v>
      </c>
      <c r="J195" s="443">
        <f t="shared" si="60"/>
        <v>5456378</v>
      </c>
      <c r="K195" s="443">
        <f t="shared" si="60"/>
        <v>5525486</v>
      </c>
      <c r="L195" s="443">
        <f t="shared" si="60"/>
        <v>5579728</v>
      </c>
      <c r="M195" s="443">
        <f t="shared" si="60"/>
        <v>5620409</v>
      </c>
      <c r="N195" s="443">
        <f t="shared" si="60"/>
        <v>5678909</v>
      </c>
      <c r="O195" s="443">
        <f t="shared" si="60"/>
        <v>5745630</v>
      </c>
      <c r="P195" s="443">
        <f t="shared" si="60"/>
        <v>5727505</v>
      </c>
      <c r="Q195" s="443">
        <f t="shared" si="60"/>
        <v>5884760</v>
      </c>
      <c r="R195" s="443">
        <f t="shared" si="60"/>
        <v>5963452</v>
      </c>
      <c r="S195" s="443">
        <f t="shared" si="60"/>
        <v>6029477</v>
      </c>
      <c r="T195" s="443">
        <f t="shared" si="60"/>
        <v>7218858</v>
      </c>
      <c r="U195" s="443">
        <f t="shared" si="60"/>
        <v>7288784</v>
      </c>
      <c r="V195" s="443">
        <f t="shared" si="60"/>
        <v>7386055</v>
      </c>
      <c r="W195" s="443">
        <f t="shared" si="60"/>
        <v>7453407</v>
      </c>
      <c r="X195" s="443">
        <f t="shared" si="60"/>
        <v>7505413</v>
      </c>
      <c r="Y195" s="443">
        <f t="shared" si="60"/>
        <v>7544767</v>
      </c>
      <c r="Z195" s="443">
        <f t="shared" si="60"/>
        <v>7563030</v>
      </c>
      <c r="AA195" s="443">
        <f t="shared" si="60"/>
        <v>7539899</v>
      </c>
      <c r="AB195" s="443">
        <f t="shared" si="60"/>
        <v>7584076</v>
      </c>
      <c r="AC195" s="443">
        <f t="shared" si="60"/>
        <v>7534823</v>
      </c>
      <c r="AD195" s="443">
        <f t="shared" si="60"/>
        <v>7648701</v>
      </c>
      <c r="AE195" s="443">
        <f t="shared" si="60"/>
        <v>7665293</v>
      </c>
      <c r="AF195" s="443">
        <f t="shared" si="60"/>
        <v>7637256</v>
      </c>
      <c r="AG195" s="443">
        <f t="shared" si="60"/>
        <v>7709488</v>
      </c>
      <c r="AH195" s="443">
        <f t="shared" si="60"/>
        <v>9552545</v>
      </c>
      <c r="AI195" s="443">
        <f t="shared" si="60"/>
        <v>9795330</v>
      </c>
      <c r="AJ195" s="443">
        <f t="shared" si="60"/>
        <v>9842157</v>
      </c>
      <c r="AK195" s="443">
        <f t="shared" si="60"/>
        <v>9862698</v>
      </c>
      <c r="AL195" s="443">
        <f t="shared" si="60"/>
        <v>9930790</v>
      </c>
      <c r="AM195" s="443">
        <f>AM145+AM153+AM161+AM169+AM185+AM177</f>
        <v>9994478</v>
      </c>
      <c r="AN195" s="443">
        <f>AN145+AN153+AN161+AN169+AN185+AN177</f>
        <v>10054099</v>
      </c>
      <c r="AO195" s="443">
        <f>AO145+AO153+AO161+AO169+AO185+AO177</f>
        <v>10131735</v>
      </c>
      <c r="AP195" s="443">
        <f>AP145+AP153+AP161+AP169+AP185+AP177</f>
        <v>10262244</v>
      </c>
      <c r="AQ195" s="443">
        <f>AQ145+AQ153+AQ161+AQ169+AQ185+AQ177</f>
        <v>10401496</v>
      </c>
      <c r="AR195" s="443">
        <f t="shared" ref="AR195:AX195" si="61">AR145+AR153+AR161+AR169+AR185+AR177+AR193</f>
        <v>13807350</v>
      </c>
      <c r="AS195" s="443">
        <f t="shared" si="61"/>
        <v>13919048</v>
      </c>
      <c r="AT195" s="443">
        <f t="shared" si="61"/>
        <v>13990115</v>
      </c>
      <c r="AU195" s="443">
        <f t="shared" si="61"/>
        <v>14077091</v>
      </c>
      <c r="AV195" s="443">
        <f t="shared" si="61"/>
        <v>14148604</v>
      </c>
      <c r="AW195" s="443">
        <f t="shared" si="61"/>
        <v>14102717</v>
      </c>
      <c r="AX195" s="443">
        <f t="shared" si="61"/>
        <v>14324127</v>
      </c>
      <c r="AY195" s="443">
        <f>AY145+AY153+AY161+AY169+AY185+AY177+AY193</f>
        <v>14443360</v>
      </c>
      <c r="AZ195" s="443">
        <f>AZ145+AZ153+AZ161+AZ169+AZ185+AZ177+AZ193</f>
        <v>14478873</v>
      </c>
      <c r="BA195" s="443">
        <f>BA145+BA153+BA161+BA169+BA185+BA177+BA193</f>
        <v>14567634</v>
      </c>
      <c r="BB195" s="443">
        <f>BB145+BB153+BB161+BB169+BB185+BB177+BB193</f>
        <v>14670365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48453-BA14-4EC6-BC65-EE5C262B6294}">
  <sheetPr>
    <tabColor theme="9" tint="0.79998168889431442"/>
  </sheetPr>
  <dimension ref="B6:K195"/>
  <sheetViews>
    <sheetView showGridLines="0" zoomScale="85" zoomScaleNormal="85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33" sqref="C33"/>
    </sheetView>
  </sheetViews>
  <sheetFormatPr defaultColWidth="9.21875" defaultRowHeight="15" customHeight="1"/>
  <cols>
    <col min="1" max="1" width="8.5546875" style="57" customWidth="1"/>
    <col min="2" max="2" width="55.21875" style="57" bestFit="1" customWidth="1"/>
    <col min="3" max="3" width="55.109375" style="57" bestFit="1" customWidth="1"/>
    <col min="4" max="10" width="13" style="57" customWidth="1"/>
    <col min="11" max="16384" width="9.21875" style="57"/>
  </cols>
  <sheetData>
    <row r="6" spans="2:10" ht="15" customHeight="1">
      <c r="B6" s="439" t="s">
        <v>37</v>
      </c>
      <c r="C6" s="439" t="s">
        <v>38</v>
      </c>
      <c r="D6" s="440" t="s">
        <v>86</v>
      </c>
      <c r="E6" s="107" t="s">
        <v>87</v>
      </c>
      <c r="F6" s="107" t="s">
        <v>88</v>
      </c>
      <c r="G6" s="107" t="s">
        <v>2074</v>
      </c>
      <c r="H6" s="440" t="s">
        <v>2127</v>
      </c>
      <c r="I6" s="440" t="s">
        <v>2360</v>
      </c>
      <c r="J6" s="440" t="s">
        <v>2494</v>
      </c>
    </row>
    <row r="7" spans="2:10" ht="15" customHeight="1">
      <c r="B7" s="189"/>
      <c r="C7" s="189"/>
    </row>
    <row r="8" spans="2:10" ht="15" customHeight="1">
      <c r="B8" s="190" t="s">
        <v>89</v>
      </c>
      <c r="C8" s="190" t="s">
        <v>89</v>
      </c>
      <c r="D8" s="191"/>
      <c r="E8" s="191"/>
      <c r="F8" s="191"/>
      <c r="G8" s="191"/>
      <c r="H8" s="191"/>
      <c r="I8" s="191"/>
      <c r="J8" s="191"/>
    </row>
    <row r="9" spans="2:10" ht="15" customHeight="1">
      <c r="B9" s="192" t="s">
        <v>90</v>
      </c>
      <c r="C9" s="192" t="s">
        <v>91</v>
      </c>
      <c r="D9" s="193">
        <v>1266703</v>
      </c>
      <c r="E9" s="193">
        <v>1109360.933</v>
      </c>
      <c r="F9" s="193">
        <v>1149762.4950000001</v>
      </c>
      <c r="G9" s="193">
        <v>1231346.9029999999</v>
      </c>
      <c r="H9" s="193">
        <v>1304025</v>
      </c>
      <c r="I9" s="193">
        <v>1173083.8870000001</v>
      </c>
      <c r="J9" s="193">
        <v>1202586.27</v>
      </c>
    </row>
    <row r="10" spans="2:10" ht="15" customHeight="1">
      <c r="B10" s="192" t="s">
        <v>92</v>
      </c>
      <c r="C10" s="192" t="s">
        <v>92</v>
      </c>
      <c r="D10" s="193">
        <v>32658</v>
      </c>
      <c r="E10" s="193">
        <v>26993.026000000002</v>
      </c>
      <c r="F10" s="193">
        <v>25066.302</v>
      </c>
      <c r="G10" s="193">
        <v>24823.461000000003</v>
      </c>
      <c r="H10" s="193">
        <v>24667</v>
      </c>
      <c r="I10" s="193">
        <v>21204.710999999999</v>
      </c>
      <c r="J10" s="193">
        <v>20818.165000000001</v>
      </c>
    </row>
    <row r="11" spans="2:10" ht="15" customHeight="1">
      <c r="B11" s="192" t="s">
        <v>93</v>
      </c>
      <c r="C11" s="192" t="s">
        <v>94</v>
      </c>
      <c r="D11" s="193">
        <v>150896</v>
      </c>
      <c r="E11" s="193">
        <v>125822.677</v>
      </c>
      <c r="F11" s="193">
        <v>132074.79699999999</v>
      </c>
      <c r="G11" s="193">
        <v>137522.111</v>
      </c>
      <c r="H11" s="193">
        <v>139520</v>
      </c>
      <c r="I11" s="193">
        <v>125048.41399999999</v>
      </c>
      <c r="J11" s="193">
        <v>127815.083</v>
      </c>
    </row>
    <row r="12" spans="2:10" ht="15" customHeight="1" thickBot="1">
      <c r="B12" s="192" t="s">
        <v>95</v>
      </c>
      <c r="C12" s="192" t="s">
        <v>96</v>
      </c>
      <c r="D12" s="193">
        <v>437342</v>
      </c>
      <c r="E12" s="193">
        <v>354304.76100000017</v>
      </c>
      <c r="F12" s="193">
        <v>407267.54899999988</v>
      </c>
      <c r="G12" s="193">
        <v>434788.2760000003</v>
      </c>
      <c r="H12" s="193">
        <v>445214</v>
      </c>
      <c r="I12" s="193">
        <v>368344.69599999994</v>
      </c>
      <c r="J12" s="193">
        <v>414811.58599999995</v>
      </c>
    </row>
    <row r="13" spans="2:10" ht="15" customHeight="1" thickBot="1">
      <c r="B13" s="194" t="s">
        <v>97</v>
      </c>
      <c r="C13" s="194" t="s">
        <v>98</v>
      </c>
      <c r="D13" s="195">
        <f>SUM(D9:D12)</f>
        <v>1887599</v>
      </c>
      <c r="E13" s="195">
        <v>1616481.3970000001</v>
      </c>
      <c r="F13" s="195">
        <v>1714171.1429999999</v>
      </c>
      <c r="G13" s="195">
        <f>SUM(G9:G12)</f>
        <v>1828480.7510000002</v>
      </c>
      <c r="H13" s="195">
        <f t="shared" ref="H13:I13" si="0">SUM(H9:H12)</f>
        <v>1913426</v>
      </c>
      <c r="I13" s="195">
        <f t="shared" si="0"/>
        <v>1687681.7080000001</v>
      </c>
      <c r="J13" s="195">
        <f t="shared" ref="J13" si="1">SUM(J9:J12)</f>
        <v>1766031.1040000001</v>
      </c>
    </row>
    <row r="14" spans="2:10" ht="15" customHeight="1">
      <c r="B14" s="192" t="s">
        <v>92</v>
      </c>
      <c r="C14" s="192" t="s">
        <v>92</v>
      </c>
      <c r="D14" s="193">
        <v>121970</v>
      </c>
      <c r="E14" s="193">
        <v>107080.20805443</v>
      </c>
      <c r="F14" s="193">
        <v>121643.17958132</v>
      </c>
      <c r="G14" s="193">
        <v>129775.33644417001</v>
      </c>
      <c r="H14" s="193">
        <v>133595</v>
      </c>
      <c r="I14" s="193">
        <v>122871.60221517</v>
      </c>
      <c r="J14" s="193">
        <v>125729.28481781</v>
      </c>
    </row>
    <row r="15" spans="2:10" ht="15" customHeight="1">
      <c r="B15" s="192" t="s">
        <v>93</v>
      </c>
      <c r="C15" s="192" t="s">
        <v>94</v>
      </c>
      <c r="D15" s="193">
        <v>149544</v>
      </c>
      <c r="E15" s="193">
        <v>141324.52883816999</v>
      </c>
      <c r="F15" s="193">
        <v>153560.00016853999</v>
      </c>
      <c r="G15" s="193">
        <v>162393.27200806001</v>
      </c>
      <c r="H15" s="193">
        <v>167784</v>
      </c>
      <c r="I15" s="193">
        <v>158194.05126899001</v>
      </c>
      <c r="J15" s="193">
        <v>164324.54547692998</v>
      </c>
    </row>
    <row r="16" spans="2:10" ht="15" customHeight="1" thickBot="1">
      <c r="B16" s="192" t="s">
        <v>95</v>
      </c>
      <c r="C16" s="192" t="s">
        <v>96</v>
      </c>
      <c r="D16" s="193">
        <v>11219</v>
      </c>
      <c r="E16" s="193">
        <v>8644.2061538599955</v>
      </c>
      <c r="F16" s="193">
        <v>12320.794544240052</v>
      </c>
      <c r="G16" s="193">
        <v>15195.612234459957</v>
      </c>
      <c r="H16" s="193">
        <v>17876</v>
      </c>
      <c r="I16" s="193">
        <v>15763.893793839999</v>
      </c>
      <c r="J16" s="193">
        <v>18642.372277310002</v>
      </c>
    </row>
    <row r="17" spans="2:10" ht="15" customHeight="1" thickBot="1">
      <c r="B17" s="194" t="s">
        <v>99</v>
      </c>
      <c r="C17" s="194" t="s">
        <v>100</v>
      </c>
      <c r="D17" s="195">
        <f t="shared" ref="D17:I17" si="2">SUM(D14:D16)</f>
        <v>282733</v>
      </c>
      <c r="E17" s="195">
        <v>257048.94304645999</v>
      </c>
      <c r="F17" s="195">
        <v>287523.97429410001</v>
      </c>
      <c r="G17" s="195">
        <f t="shared" ref="G17" si="3">SUM(G14:G16)</f>
        <v>307364.22068668995</v>
      </c>
      <c r="H17" s="195">
        <f t="shared" si="2"/>
        <v>319255</v>
      </c>
      <c r="I17" s="195">
        <f t="shared" si="2"/>
        <v>296829.54727800004</v>
      </c>
      <c r="J17" s="195">
        <f t="shared" ref="J17" si="4">SUM(J14:J16)</f>
        <v>308696.20257204998</v>
      </c>
    </row>
    <row r="18" spans="2:10" ht="15" customHeight="1" thickBot="1">
      <c r="B18" s="196" t="s">
        <v>2144</v>
      </c>
      <c r="C18" s="196" t="s">
        <v>2145</v>
      </c>
      <c r="D18" s="543">
        <v>3039.4899666666702</v>
      </c>
      <c r="E18" s="543">
        <v>4108.5522030000038</v>
      </c>
      <c r="F18" s="543">
        <v>4287.2326911111104</v>
      </c>
      <c r="G18" s="543">
        <v>6003.8468560111096</v>
      </c>
      <c r="H18" s="543">
        <v>3998</v>
      </c>
      <c r="I18" s="543">
        <v>4072.8179999999998</v>
      </c>
      <c r="J18" s="543">
        <v>4443.9570000000003</v>
      </c>
    </row>
    <row r="19" spans="2:10" ht="15" customHeight="1" thickBot="1">
      <c r="B19" s="199" t="s">
        <v>103</v>
      </c>
      <c r="C19" s="199" t="s">
        <v>2061</v>
      </c>
      <c r="D19" s="195">
        <f>SUM(D13,D17,D18)</f>
        <v>2173371.4899666668</v>
      </c>
      <c r="E19" s="195">
        <v>1877638.8922494601</v>
      </c>
      <c r="F19" s="195">
        <v>2005982.3499852109</v>
      </c>
      <c r="G19" s="195">
        <f t="shared" ref="G19" si="5">SUM(G13,G17,G18)</f>
        <v>2141848.8185427012</v>
      </c>
      <c r="H19" s="195">
        <f t="shared" ref="H19:I19" si="6">SUM(H13,H17,H18)</f>
        <v>2236679</v>
      </c>
      <c r="I19" s="195">
        <f t="shared" si="6"/>
        <v>1988584.0732780001</v>
      </c>
      <c r="J19" s="195">
        <f t="shared" ref="J19" si="7">SUM(J13,J17,J18)</f>
        <v>2079171.26357205</v>
      </c>
    </row>
    <row r="20" spans="2:10" ht="15" customHeight="1" thickBot="1">
      <c r="B20" s="581" t="s">
        <v>2060</v>
      </c>
      <c r="C20" s="581" t="s">
        <v>2063</v>
      </c>
      <c r="D20" s="582">
        <v>52246.923999999999</v>
      </c>
      <c r="E20" s="582">
        <v>53740.120999999999</v>
      </c>
      <c r="F20" s="582">
        <v>68129.879000000015</v>
      </c>
      <c r="G20" s="582">
        <v>80252.120999999999</v>
      </c>
      <c r="H20" s="582">
        <v>96482</v>
      </c>
      <c r="I20" s="582">
        <v>90756.849000000002</v>
      </c>
      <c r="J20" s="582">
        <v>103921.67000000001</v>
      </c>
    </row>
    <row r="21" spans="2:10" ht="15" customHeight="1" thickBot="1">
      <c r="B21" s="199" t="s">
        <v>2135</v>
      </c>
      <c r="C21" s="199" t="s">
        <v>2138</v>
      </c>
      <c r="D21" s="580">
        <f t="shared" ref="D21:I21" si="8">D19+D20</f>
        <v>2225618.4139666669</v>
      </c>
      <c r="E21" s="580">
        <v>1931379.0132494601</v>
      </c>
      <c r="F21" s="580">
        <v>2074112.2289852109</v>
      </c>
      <c r="G21" s="580">
        <f t="shared" ref="G21" si="9">G19+G20</f>
        <v>2222100.939542701</v>
      </c>
      <c r="H21" s="580">
        <f t="shared" si="8"/>
        <v>2333161</v>
      </c>
      <c r="I21" s="580">
        <f t="shared" si="8"/>
        <v>2079340.922278</v>
      </c>
      <c r="J21" s="580">
        <f t="shared" ref="J21" si="10">J19+J20</f>
        <v>2183092.9335720502</v>
      </c>
    </row>
    <row r="22" spans="2:10" ht="15" customHeight="1" thickBot="1">
      <c r="B22" s="199" t="s">
        <v>2495</v>
      </c>
      <c r="C22" s="199" t="s">
        <v>2496</v>
      </c>
      <c r="D22" s="580"/>
      <c r="E22" s="580">
        <v>2044828</v>
      </c>
      <c r="F22" s="580">
        <v>2193916.5346487616</v>
      </c>
      <c r="G22" s="580"/>
      <c r="H22" s="580"/>
      <c r="I22" s="580">
        <v>2201159</v>
      </c>
      <c r="J22" s="580">
        <v>2313367.7339331945</v>
      </c>
    </row>
    <row r="23" spans="2:10" ht="15" customHeight="1" thickBot="1">
      <c r="B23" s="581" t="s">
        <v>2136</v>
      </c>
      <c r="C23" s="581" t="s">
        <v>2134</v>
      </c>
      <c r="D23" s="582">
        <f>'Bal. Energético D (Pós CP 09)'!D12</f>
        <v>1494.829853475168</v>
      </c>
      <c r="E23" s="582">
        <v>2163.4212786498156</v>
      </c>
      <c r="F23" s="582">
        <v>3134.7175993023425</v>
      </c>
      <c r="G23" s="582">
        <f>'Bal. Energético D (Pós CP 09)'!G12</f>
        <v>4996.7426187491146</v>
      </c>
      <c r="H23" s="582">
        <f>'Bal. Energético D (Pós CP 09)'!H12</f>
        <v>11185.495126422182</v>
      </c>
      <c r="I23" s="582">
        <f>'Bal. Energético D (Pós CP 09)'!I12</f>
        <v>8755.5849739277292</v>
      </c>
      <c r="J23" s="582">
        <f>'Bal. Energético D (Pós CP 09)'!J12</f>
        <v>9714.4110288572992</v>
      </c>
    </row>
    <row r="24" spans="2:10" ht="15" customHeight="1" thickBot="1">
      <c r="B24" s="199" t="s">
        <v>2137</v>
      </c>
      <c r="C24" s="199" t="s">
        <v>2139</v>
      </c>
      <c r="D24" s="195">
        <f>SUM('Bal. Energético D (Pós CP 09)'!D10:D12)</f>
        <v>2337105.3168201419</v>
      </c>
      <c r="E24" s="195">
        <v>2015896.4180071221</v>
      </c>
      <c r="F24" s="195">
        <v>2167026.3541122405</v>
      </c>
      <c r="G24" s="195">
        <f>SUM('Bal. Energético D (Pós CP 09)'!G10:G12)</f>
        <v>2329952.7533870996</v>
      </c>
      <c r="H24" s="195">
        <f>SUM('Bal. Energético D (Pós CP 09)'!H10:H12)</f>
        <v>2457952.5251499475</v>
      </c>
      <c r="I24" s="195">
        <f>SUM('Bal. Energético D (Pós CP 09)'!I10:I12)</f>
        <v>2189545.0661576805</v>
      </c>
      <c r="J24" s="195">
        <f>SUM('Bal. Energético D (Pós CP 09)'!J10:J12)</f>
        <v>2309154.0406475519</v>
      </c>
    </row>
    <row r="25" spans="2:10" ht="15" customHeight="1">
      <c r="B25" s="200"/>
      <c r="C25" s="200"/>
      <c r="D25" s="188"/>
      <c r="E25" s="188"/>
      <c r="F25" s="188"/>
      <c r="G25" s="188"/>
      <c r="H25" s="188"/>
      <c r="I25" s="188"/>
      <c r="J25" s="188"/>
    </row>
    <row r="26" spans="2:10" ht="15" customHeight="1">
      <c r="B26" s="200"/>
      <c r="C26" s="200"/>
      <c r="D26" s="554"/>
      <c r="E26" s="554"/>
      <c r="F26" s="554"/>
      <c r="G26" s="554"/>
      <c r="H26" s="554"/>
      <c r="I26" s="554"/>
      <c r="J26" s="554"/>
    </row>
    <row r="27" spans="2:10" ht="15" customHeight="1">
      <c r="B27" s="190" t="s">
        <v>110</v>
      </c>
      <c r="C27" s="190" t="s">
        <v>110</v>
      </c>
      <c r="D27" s="191"/>
      <c r="E27" s="191"/>
      <c r="F27" s="191"/>
      <c r="G27" s="191"/>
      <c r="H27" s="191"/>
      <c r="I27" s="191"/>
      <c r="J27" s="191"/>
    </row>
    <row r="28" spans="2:10" ht="15" customHeight="1">
      <c r="B28" s="192" t="s">
        <v>90</v>
      </c>
      <c r="C28" s="192" t="s">
        <v>91</v>
      </c>
      <c r="D28" s="193">
        <v>1328745</v>
      </c>
      <c r="E28" s="193">
        <v>1138695.8359999999</v>
      </c>
      <c r="F28" s="193">
        <v>1204218.956</v>
      </c>
      <c r="G28" s="193">
        <v>1265981.375</v>
      </c>
      <c r="H28" s="193">
        <v>1343876</v>
      </c>
      <c r="I28" s="193">
        <v>1194442.946</v>
      </c>
      <c r="J28" s="193">
        <v>1274689.8129999998</v>
      </c>
    </row>
    <row r="29" spans="2:10" ht="15" customHeight="1">
      <c r="B29" s="192" t="s">
        <v>92</v>
      </c>
      <c r="C29" s="192" t="s">
        <v>92</v>
      </c>
      <c r="D29" s="193">
        <v>68828</v>
      </c>
      <c r="E29" s="193">
        <v>52786.069000000003</v>
      </c>
      <c r="F29" s="193">
        <v>47241.928</v>
      </c>
      <c r="G29" s="193">
        <v>50167.563000000002</v>
      </c>
      <c r="H29" s="193">
        <v>50037</v>
      </c>
      <c r="I29" s="193">
        <v>40343.612000000001</v>
      </c>
      <c r="J29" s="193">
        <v>39109.297999999995</v>
      </c>
    </row>
    <row r="30" spans="2:10" ht="15" customHeight="1">
      <c r="B30" s="192" t="s">
        <v>93</v>
      </c>
      <c r="C30" s="192" t="s">
        <v>94</v>
      </c>
      <c r="D30" s="193">
        <v>323704</v>
      </c>
      <c r="E30" s="193">
        <v>261474.573</v>
      </c>
      <c r="F30" s="193">
        <v>268665.50300000003</v>
      </c>
      <c r="G30" s="193">
        <v>272891.90100000001</v>
      </c>
      <c r="H30" s="193">
        <v>280952</v>
      </c>
      <c r="I30" s="193">
        <v>242416.10499999998</v>
      </c>
      <c r="J30" s="193">
        <v>257765.81</v>
      </c>
    </row>
    <row r="31" spans="2:10" ht="15" customHeight="1" thickBot="1">
      <c r="B31" s="192" t="s">
        <v>95</v>
      </c>
      <c r="C31" s="192" t="s">
        <v>96</v>
      </c>
      <c r="D31" s="193">
        <v>439384</v>
      </c>
      <c r="E31" s="193">
        <v>358975.11100000003</v>
      </c>
      <c r="F31" s="193">
        <v>396824.25</v>
      </c>
      <c r="G31" s="193">
        <v>408448.84999999963</v>
      </c>
      <c r="H31" s="193">
        <v>430688</v>
      </c>
      <c r="I31" s="193">
        <v>367630.39299999998</v>
      </c>
      <c r="J31" s="193">
        <v>405194.47700000007</v>
      </c>
    </row>
    <row r="32" spans="2:10" ht="15" customHeight="1" thickBot="1">
      <c r="B32" s="194" t="s">
        <v>97</v>
      </c>
      <c r="C32" s="194" t="s">
        <v>98</v>
      </c>
      <c r="D32" s="195">
        <f>SUM(D28:D31)</f>
        <v>2160661</v>
      </c>
      <c r="E32" s="195">
        <v>1811931.5889999999</v>
      </c>
      <c r="F32" s="195">
        <v>1916950.6370000001</v>
      </c>
      <c r="G32" s="195">
        <f t="shared" ref="G32" si="11">SUM(G28:G31)</f>
        <v>1997489.6889999998</v>
      </c>
      <c r="H32" s="195">
        <f t="shared" ref="H32:I32" si="12">SUM(H28:H31)</f>
        <v>2105553</v>
      </c>
      <c r="I32" s="195">
        <f t="shared" si="12"/>
        <v>1844833.0559999999</v>
      </c>
      <c r="J32" s="195">
        <f t="shared" ref="J32" si="13">SUM(J28:J31)</f>
        <v>1976759.398</v>
      </c>
    </row>
    <row r="33" spans="2:10" ht="15" customHeight="1">
      <c r="B33" s="192" t="s">
        <v>92</v>
      </c>
      <c r="C33" s="192" t="s">
        <v>92</v>
      </c>
      <c r="D33" s="193">
        <v>372519</v>
      </c>
      <c r="E33" s="193">
        <v>356281.30397473997</v>
      </c>
      <c r="F33" s="193">
        <v>393835.87443662004</v>
      </c>
      <c r="G33" s="193">
        <v>419778.62607898004</v>
      </c>
      <c r="H33" s="193">
        <v>434707</v>
      </c>
      <c r="I33" s="193">
        <v>404682.47401375009</v>
      </c>
      <c r="J33" s="193">
        <v>414286.94720907009</v>
      </c>
    </row>
    <row r="34" spans="2:10" ht="15" customHeight="1">
      <c r="B34" s="192" t="s">
        <v>93</v>
      </c>
      <c r="C34" s="192" t="s">
        <v>94</v>
      </c>
      <c r="D34" s="193">
        <v>250303</v>
      </c>
      <c r="E34" s="193">
        <v>245769.37117062989</v>
      </c>
      <c r="F34" s="193">
        <v>275167.75172879966</v>
      </c>
      <c r="G34" s="193">
        <v>289181.43149462988</v>
      </c>
      <c r="H34" s="193">
        <v>296857</v>
      </c>
      <c r="I34" s="193">
        <v>280778.31283132988</v>
      </c>
      <c r="J34" s="193">
        <v>300521.31190788996</v>
      </c>
    </row>
    <row r="35" spans="2:10" ht="15" customHeight="1" thickBot="1">
      <c r="B35" s="192" t="s">
        <v>95</v>
      </c>
      <c r="C35" s="192" t="s">
        <v>96</v>
      </c>
      <c r="D35" s="193">
        <v>36875</v>
      </c>
      <c r="E35" s="193">
        <v>34216.323724790127</v>
      </c>
      <c r="F35" s="193">
        <v>37994.44291721005</v>
      </c>
      <c r="G35" s="193">
        <v>40992.476491349866</v>
      </c>
      <c r="H35" s="193">
        <v>40529</v>
      </c>
      <c r="I35" s="193">
        <v>41832.753113499959</v>
      </c>
      <c r="J35" s="193">
        <v>47835.392405729915</v>
      </c>
    </row>
    <row r="36" spans="2:10" ht="15" customHeight="1" thickBot="1">
      <c r="B36" s="194" t="s">
        <v>99</v>
      </c>
      <c r="C36" s="194" t="s">
        <v>100</v>
      </c>
      <c r="D36" s="195">
        <f t="shared" ref="D36:I36" si="14">SUM(D33:D35)</f>
        <v>659697</v>
      </c>
      <c r="E36" s="195">
        <v>636266.99887015997</v>
      </c>
      <c r="F36" s="195">
        <v>706998.06908262975</v>
      </c>
      <c r="G36" s="195">
        <f t="shared" ref="G36" si="15">SUM(G33:G35)</f>
        <v>749952.53406495985</v>
      </c>
      <c r="H36" s="195">
        <f t="shared" si="14"/>
        <v>772093</v>
      </c>
      <c r="I36" s="195">
        <f t="shared" si="14"/>
        <v>727293.53995857993</v>
      </c>
      <c r="J36" s="195">
        <f t="shared" ref="J36" si="16">SUM(J33:J35)</f>
        <v>762643.65152268996</v>
      </c>
    </row>
    <row r="37" spans="2:10" ht="15" customHeight="1" thickBot="1">
      <c r="B37" s="196" t="s">
        <v>2144</v>
      </c>
      <c r="C37" s="196" t="s">
        <v>2145</v>
      </c>
      <c r="D37" s="543">
        <v>12552</v>
      </c>
      <c r="E37" s="543">
        <v>7791.5838240000003</v>
      </c>
      <c r="F37" s="543">
        <v>8356.694567999999</v>
      </c>
      <c r="G37" s="543">
        <v>8288.5351680000003</v>
      </c>
      <c r="H37" s="543">
        <v>8185</v>
      </c>
      <c r="I37" s="543">
        <v>7297.1956430400005</v>
      </c>
      <c r="J37" s="543">
        <v>8319.3725284800003</v>
      </c>
    </row>
    <row r="38" spans="2:10" ht="15" customHeight="1" thickBot="1">
      <c r="B38" s="199" t="s">
        <v>103</v>
      </c>
      <c r="C38" s="199" t="s">
        <v>2061</v>
      </c>
      <c r="D38" s="195">
        <f>SUM(D32,D36,D37)</f>
        <v>2832910</v>
      </c>
      <c r="E38" s="195">
        <v>2455990.17169416</v>
      </c>
      <c r="F38" s="195">
        <v>2632305.4006506298</v>
      </c>
      <c r="G38" s="195">
        <f t="shared" ref="G38" si="17">SUM(G32,G36,G37)</f>
        <v>2755730.7582329595</v>
      </c>
      <c r="H38" s="195">
        <f t="shared" ref="H38:I38" si="18">SUM(H32,H36,H37)</f>
        <v>2885831</v>
      </c>
      <c r="I38" s="195">
        <f t="shared" si="18"/>
        <v>2579423.7916016197</v>
      </c>
      <c r="J38" s="195">
        <f t="shared" ref="J38" si="19">SUM(J32,J36,J37)</f>
        <v>2747722.4220511699</v>
      </c>
    </row>
    <row r="39" spans="2:10" ht="15" customHeight="1" thickBot="1">
      <c r="B39" s="581" t="s">
        <v>2060</v>
      </c>
      <c r="C39" s="581" t="s">
        <v>2063</v>
      </c>
      <c r="D39" s="582">
        <v>105919</v>
      </c>
      <c r="E39" s="582">
        <v>103579.978</v>
      </c>
      <c r="F39" s="582">
        <v>129783.71400000001</v>
      </c>
      <c r="G39" s="582">
        <v>151384.745</v>
      </c>
      <c r="H39" s="582">
        <v>177413</v>
      </c>
      <c r="I39" s="582">
        <v>160628.02600000001</v>
      </c>
      <c r="J39" s="582">
        <v>184971.79399999999</v>
      </c>
    </row>
    <row r="40" spans="2:10" ht="15" customHeight="1" thickBot="1">
      <c r="B40" s="199" t="s">
        <v>2135</v>
      </c>
      <c r="C40" s="199" t="s">
        <v>2138</v>
      </c>
      <c r="D40" s="580">
        <f t="shared" ref="D40:I40" si="20">D38+D39</f>
        <v>2938829</v>
      </c>
      <c r="E40" s="580">
        <v>2559570.1496941601</v>
      </c>
      <c r="F40" s="580">
        <v>2762089.1146506299</v>
      </c>
      <c r="G40" s="580">
        <f t="shared" ref="G40" si="21">G38+G39</f>
        <v>2907115.5032329597</v>
      </c>
      <c r="H40" s="580">
        <f t="shared" si="20"/>
        <v>3063244</v>
      </c>
      <c r="I40" s="580">
        <f t="shared" si="20"/>
        <v>2740051.8176016198</v>
      </c>
      <c r="J40" s="580">
        <f t="shared" ref="J40" si="22">J38+J39</f>
        <v>2932694.2160511697</v>
      </c>
    </row>
    <row r="41" spans="2:10" ht="15" customHeight="1" thickBot="1">
      <c r="B41" s="199" t="s">
        <v>2495</v>
      </c>
      <c r="C41" s="199" t="s">
        <v>2496</v>
      </c>
      <c r="D41" s="580"/>
      <c r="E41" s="580">
        <v>2691879</v>
      </c>
      <c r="F41" s="580">
        <v>2913316.8249039399</v>
      </c>
      <c r="G41" s="580"/>
      <c r="H41" s="580"/>
      <c r="I41" s="580">
        <v>2888595</v>
      </c>
      <c r="J41" s="580">
        <v>3095603.7240894502</v>
      </c>
    </row>
    <row r="42" spans="2:10" ht="15" customHeight="1" thickBot="1">
      <c r="B42" s="581" t="s">
        <v>2136</v>
      </c>
      <c r="C42" s="581" t="s">
        <v>2134</v>
      </c>
      <c r="D42" s="582">
        <f>'Bal. Energético D (Pós CP 09)'!D23</f>
        <v>26681.284629488793</v>
      </c>
      <c r="E42" s="582">
        <v>59139.345511789368</v>
      </c>
      <c r="F42" s="582">
        <v>35746.914980625013</v>
      </c>
      <c r="G42" s="582">
        <f>'Bal. Energético D (Pós CP 09)'!G23</f>
        <v>7469.7495558034334</v>
      </c>
      <c r="H42" s="582">
        <f>'Bal. Energético D (Pós CP 09)'!H23</f>
        <v>20446.519438658139</v>
      </c>
      <c r="I42" s="582">
        <f>'Bal. Energético D (Pós CP 09)'!I23</f>
        <v>50984.570091872578</v>
      </c>
      <c r="J42" s="582">
        <f>'Bal. Energético D (Pós CP 09)'!J23</f>
        <v>30807.418996561806</v>
      </c>
    </row>
    <row r="43" spans="2:10" ht="15" customHeight="1" thickBot="1">
      <c r="B43" s="199" t="s">
        <v>2137</v>
      </c>
      <c r="C43" s="199" t="s">
        <v>2139</v>
      </c>
      <c r="D43" s="195">
        <f>SUM('Bal. Energético D (Pós CP 09)'!D21:D23)</f>
        <v>3094531.8196641491</v>
      </c>
      <c r="E43" s="195">
        <v>2703444.8135039993</v>
      </c>
      <c r="F43" s="195">
        <v>2901490.8548845649</v>
      </c>
      <c r="G43" s="195">
        <f>SUM('Bal. Energético D (Pós CP 09)'!G21:G23)</f>
        <v>3036015.4561605761</v>
      </c>
      <c r="H43" s="195">
        <f>SUM('Bal. Energético D (Pós CP 09)'!H21:H23)</f>
        <v>3229765.3932271469</v>
      </c>
      <c r="I43" s="195">
        <f>SUM('Bal. Energético D (Pós CP 09)'!I21:I23)</f>
        <v>2910322.3145960588</v>
      </c>
      <c r="J43" s="195">
        <f>SUM('Bal. Energético D (Pós CP 09)'!J21:J23)</f>
        <v>3099958.4403537423</v>
      </c>
    </row>
    <row r="44" spans="2:10" ht="15" customHeight="1">
      <c r="B44" s="204"/>
      <c r="C44" s="204"/>
    </row>
    <row r="45" spans="2:10" ht="15" customHeight="1">
      <c r="B45" s="190" t="s">
        <v>113</v>
      </c>
      <c r="C45" s="190" t="s">
        <v>113</v>
      </c>
      <c r="D45" s="191"/>
      <c r="E45" s="191"/>
      <c r="F45" s="191"/>
      <c r="G45" s="191"/>
      <c r="H45" s="191"/>
      <c r="I45" s="191"/>
      <c r="J45" s="191"/>
    </row>
    <row r="46" spans="2:10" ht="15" customHeight="1">
      <c r="B46" s="192" t="s">
        <v>90</v>
      </c>
      <c r="C46" s="192" t="s">
        <v>91</v>
      </c>
      <c r="D46" s="193">
        <v>573335</v>
      </c>
      <c r="E46" s="193">
        <v>500197.81300000002</v>
      </c>
      <c r="F46" s="193">
        <v>509002.48</v>
      </c>
      <c r="G46" s="193">
        <v>543629.77600000007</v>
      </c>
      <c r="H46" s="193">
        <v>588225</v>
      </c>
      <c r="I46" s="193">
        <v>515950.19700000004</v>
      </c>
      <c r="J46" s="193">
        <v>514354.25300000003</v>
      </c>
    </row>
    <row r="47" spans="2:10" ht="15" customHeight="1">
      <c r="B47" s="192" t="s">
        <v>92</v>
      </c>
      <c r="C47" s="192" t="s">
        <v>92</v>
      </c>
      <c r="D47" s="193">
        <v>15163</v>
      </c>
      <c r="E47" s="193">
        <v>13286.645</v>
      </c>
      <c r="F47" s="193">
        <v>13794.181</v>
      </c>
      <c r="G47" s="193">
        <v>14730.445</v>
      </c>
      <c r="H47" s="193">
        <v>13483</v>
      </c>
      <c r="I47" s="193">
        <v>12702.753000000001</v>
      </c>
      <c r="J47" s="193">
        <v>12332.666000000001</v>
      </c>
    </row>
    <row r="48" spans="2:10" ht="15" customHeight="1">
      <c r="B48" s="192" t="s">
        <v>93</v>
      </c>
      <c r="C48" s="192" t="s">
        <v>94</v>
      </c>
      <c r="D48" s="193">
        <v>126266</v>
      </c>
      <c r="E48" s="193">
        <v>106018.32399999999</v>
      </c>
      <c r="F48" s="193">
        <v>109320.61900000001</v>
      </c>
      <c r="G48" s="193">
        <v>111856.999</v>
      </c>
      <c r="H48" s="193">
        <v>114587</v>
      </c>
      <c r="I48" s="193">
        <v>99216</v>
      </c>
      <c r="J48" s="193">
        <v>102444.814</v>
      </c>
    </row>
    <row r="49" spans="2:10" ht="15" customHeight="1" thickBot="1">
      <c r="B49" s="192" t="s">
        <v>95</v>
      </c>
      <c r="C49" s="192" t="s">
        <v>96</v>
      </c>
      <c r="D49" s="193">
        <v>252001</v>
      </c>
      <c r="E49" s="193">
        <v>204605.01</v>
      </c>
      <c r="F49" s="193">
        <v>240331.21299999999</v>
      </c>
      <c r="G49" s="193">
        <v>251426.37400000007</v>
      </c>
      <c r="H49" s="193">
        <v>257568</v>
      </c>
      <c r="I49" s="193">
        <v>198373.35</v>
      </c>
      <c r="J49" s="193">
        <v>227411.85199999998</v>
      </c>
    </row>
    <row r="50" spans="2:10" ht="15" customHeight="1" thickBot="1">
      <c r="B50" s="194" t="s">
        <v>97</v>
      </c>
      <c r="C50" s="194" t="s">
        <v>98</v>
      </c>
      <c r="D50" s="195">
        <f>SUM(D46:D49)</f>
        <v>966765</v>
      </c>
      <c r="E50" s="195">
        <v>824107.79200000002</v>
      </c>
      <c r="F50" s="195">
        <v>872448.49300000002</v>
      </c>
      <c r="G50" s="195">
        <f t="shared" ref="G50" si="23">SUM(G46:G49)</f>
        <v>921643.59400000004</v>
      </c>
      <c r="H50" s="195">
        <f t="shared" ref="H50:I50" si="24">SUM(H46:H49)</f>
        <v>973863</v>
      </c>
      <c r="I50" s="195">
        <f t="shared" si="24"/>
        <v>826242.3</v>
      </c>
      <c r="J50" s="195">
        <f t="shared" ref="J50" si="25">SUM(J46:J49)</f>
        <v>856543.58499999996</v>
      </c>
    </row>
    <row r="51" spans="2:10" ht="15" customHeight="1">
      <c r="B51" s="192" t="s">
        <v>92</v>
      </c>
      <c r="C51" s="192" t="s">
        <v>92</v>
      </c>
      <c r="D51" s="193">
        <v>42638</v>
      </c>
      <c r="E51" s="193">
        <v>37725.040767490005</v>
      </c>
      <c r="F51" s="193">
        <v>44641.491987339999</v>
      </c>
      <c r="G51" s="193">
        <v>43489.315010669998</v>
      </c>
      <c r="H51" s="193">
        <v>46559</v>
      </c>
      <c r="I51" s="193">
        <v>43714.524970209997</v>
      </c>
      <c r="J51" s="193">
        <v>46499.221094460001</v>
      </c>
    </row>
    <row r="52" spans="2:10" ht="15" customHeight="1">
      <c r="B52" s="192" t="s">
        <v>93</v>
      </c>
      <c r="C52" s="192" t="s">
        <v>94</v>
      </c>
      <c r="D52" s="193">
        <v>76200</v>
      </c>
      <c r="E52" s="193">
        <v>72281.190339330002</v>
      </c>
      <c r="F52" s="193">
        <v>78536.893593569999</v>
      </c>
      <c r="G52" s="193">
        <v>84465.680075919998</v>
      </c>
      <c r="H52" s="193">
        <v>90400</v>
      </c>
      <c r="I52" s="193">
        <v>83095.345080189974</v>
      </c>
      <c r="J52" s="193">
        <v>86638.090572250017</v>
      </c>
    </row>
    <row r="53" spans="2:10" ht="15" customHeight="1" thickBot="1">
      <c r="B53" s="192" t="s">
        <v>95</v>
      </c>
      <c r="C53" s="192" t="s">
        <v>96</v>
      </c>
      <c r="D53" s="193">
        <v>20176</v>
      </c>
      <c r="E53" s="193">
        <v>20380.760586549994</v>
      </c>
      <c r="F53" s="193">
        <v>21119.178113319998</v>
      </c>
      <c r="G53" s="193">
        <v>23576.285778040008</v>
      </c>
      <c r="H53" s="193">
        <v>23740</v>
      </c>
      <c r="I53" s="193">
        <v>24355.83503659998</v>
      </c>
      <c r="J53" s="193">
        <v>26345.053244089991</v>
      </c>
    </row>
    <row r="54" spans="2:10" ht="15" customHeight="1" thickBot="1">
      <c r="B54" s="194" t="s">
        <v>99</v>
      </c>
      <c r="C54" s="194" t="s">
        <v>100</v>
      </c>
      <c r="D54" s="195">
        <f t="shared" ref="D54:I54" si="26">SUM(D51:D53)</f>
        <v>139014</v>
      </c>
      <c r="E54" s="195">
        <v>130386.99169337</v>
      </c>
      <c r="F54" s="195">
        <v>144297.56369422999</v>
      </c>
      <c r="G54" s="195">
        <f t="shared" ref="G54" si="27">SUM(G51:G53)</f>
        <v>151531.28086463001</v>
      </c>
      <c r="H54" s="195">
        <f t="shared" si="26"/>
        <v>160699</v>
      </c>
      <c r="I54" s="195">
        <f t="shared" si="26"/>
        <v>151165.70508699995</v>
      </c>
      <c r="J54" s="195">
        <f t="shared" ref="J54" si="28">SUM(J51:J53)</f>
        <v>159482.36491080001</v>
      </c>
    </row>
    <row r="55" spans="2:10" ht="15" customHeight="1" thickBot="1">
      <c r="B55" s="196" t="s">
        <v>2144</v>
      </c>
      <c r="C55" s="196" t="s">
        <v>2145</v>
      </c>
      <c r="D55" s="582">
        <v>48792</v>
      </c>
      <c r="E55" s="543">
        <v>43687.629157050003</v>
      </c>
      <c r="F55" s="543">
        <v>47923.315436789999</v>
      </c>
      <c r="G55" s="543">
        <v>49818.410594159999</v>
      </c>
      <c r="H55" s="543">
        <v>52028</v>
      </c>
      <c r="I55" s="543">
        <v>46769.746726799996</v>
      </c>
      <c r="J55" s="543">
        <v>48433.089937650002</v>
      </c>
    </row>
    <row r="56" spans="2:10" ht="15" customHeight="1" thickBot="1">
      <c r="B56" s="199" t="s">
        <v>103</v>
      </c>
      <c r="C56" s="199" t="s">
        <v>2061</v>
      </c>
      <c r="D56" s="195">
        <f>SUM(D50,D54,D55)</f>
        <v>1154571</v>
      </c>
      <c r="E56" s="195">
        <v>998182.41285042011</v>
      </c>
      <c r="F56" s="195">
        <v>1064669.3721310201</v>
      </c>
      <c r="G56" s="195">
        <f t="shared" ref="G56" si="29">SUM(G50,G54,G55)</f>
        <v>1122993.2854587899</v>
      </c>
      <c r="H56" s="195">
        <f t="shared" ref="H56:I56" si="30">SUM(H50,H54,H55)</f>
        <v>1186590</v>
      </c>
      <c r="I56" s="195">
        <f t="shared" si="30"/>
        <v>1024177.7518138</v>
      </c>
      <c r="J56" s="195">
        <f t="shared" ref="J56" si="31">SUM(J50,J54,J55)</f>
        <v>1064459.0398484499</v>
      </c>
    </row>
    <row r="57" spans="2:10" ht="15" customHeight="1" thickBot="1">
      <c r="B57" s="581" t="s">
        <v>2060</v>
      </c>
      <c r="C57" s="581" t="s">
        <v>2063</v>
      </c>
      <c r="D57" s="582">
        <v>59267</v>
      </c>
      <c r="E57" s="582">
        <v>57354.460999999996</v>
      </c>
      <c r="F57" s="582">
        <v>69570.366999999998</v>
      </c>
      <c r="G57" s="582">
        <v>82695.471999999994</v>
      </c>
      <c r="H57" s="582">
        <v>100724</v>
      </c>
      <c r="I57" s="582">
        <v>89232.611999999994</v>
      </c>
      <c r="J57" s="582">
        <v>96429.518000000011</v>
      </c>
    </row>
    <row r="58" spans="2:10" ht="15" customHeight="1" thickBot="1">
      <c r="B58" s="199" t="s">
        <v>2135</v>
      </c>
      <c r="C58" s="199" t="s">
        <v>2138</v>
      </c>
      <c r="D58" s="580">
        <f t="shared" ref="D58:I58" si="32">D56+D57</f>
        <v>1213838</v>
      </c>
      <c r="E58" s="580">
        <v>1055536.8738504201</v>
      </c>
      <c r="F58" s="580">
        <v>1134239.7391310201</v>
      </c>
      <c r="G58" s="580">
        <f t="shared" ref="G58" si="33">G56+G57</f>
        <v>1205688.75745879</v>
      </c>
      <c r="H58" s="580">
        <f t="shared" si="32"/>
        <v>1287314</v>
      </c>
      <c r="I58" s="580">
        <f t="shared" si="32"/>
        <v>1113410.3638138</v>
      </c>
      <c r="J58" s="580">
        <f t="shared" ref="J58" si="34">J56+J57</f>
        <v>1160888.5578484498</v>
      </c>
    </row>
    <row r="59" spans="2:10" ht="15" customHeight="1" thickBot="1">
      <c r="B59" s="199" t="s">
        <v>2495</v>
      </c>
      <c r="C59" s="199" t="s">
        <v>2496</v>
      </c>
      <c r="D59" s="580"/>
      <c r="E59" s="580">
        <v>1164707</v>
      </c>
      <c r="F59" s="580">
        <v>1251465.1833054207</v>
      </c>
      <c r="G59" s="580"/>
      <c r="H59" s="580"/>
      <c r="I59" s="580">
        <v>1234765</v>
      </c>
      <c r="J59" s="580">
        <v>1286813.5901052039</v>
      </c>
    </row>
    <row r="60" spans="2:10" ht="15" customHeight="1" thickBot="1">
      <c r="B60" s="581" t="s">
        <v>2136</v>
      </c>
      <c r="C60" s="581" t="s">
        <v>2134</v>
      </c>
      <c r="D60" s="582">
        <f>'Bal. Energético D (Pós CP 09)'!D33</f>
        <v>160976.87740511773</v>
      </c>
      <c r="E60" s="582">
        <v>61264.538569663258</v>
      </c>
      <c r="F60" s="582">
        <v>62211.106939534468</v>
      </c>
      <c r="G60" s="582">
        <f>'Bal. Energético D (Pós CP 09)'!G33</f>
        <v>141144.3006205546</v>
      </c>
      <c r="H60" s="582">
        <f>'Bal. Energético D (Pós CP 09)'!H33</f>
        <v>172670.59444538664</v>
      </c>
      <c r="I60" s="582">
        <f>'Bal. Energético D (Pós CP 09)'!I33</f>
        <v>84524.37857621735</v>
      </c>
      <c r="J60" s="582">
        <f>'Bal. Energético D (Pós CP 09)'!J33</f>
        <v>54032.093431612615</v>
      </c>
    </row>
    <row r="61" spans="2:10" ht="15" customHeight="1" thickBot="1">
      <c r="B61" s="199" t="s">
        <v>2137</v>
      </c>
      <c r="C61" s="199" t="s">
        <v>2139</v>
      </c>
      <c r="D61" s="195">
        <f>SUM('Bal. Energético D (Pós CP 09)'!D31:D33)</f>
        <v>1483752.5044340326</v>
      </c>
      <c r="E61" s="195">
        <v>1208153.1208116373</v>
      </c>
      <c r="F61" s="195">
        <v>1298313.3244714234</v>
      </c>
      <c r="G61" s="195">
        <f>SUM('Bal. Energético D (Pós CP 09)'!G31:G33)</f>
        <v>1462847.1179274577</v>
      </c>
      <c r="H61" s="195">
        <f>SUM('Bal. Energético D (Pós CP 09)'!H31:H33)</f>
        <v>1589537.8651603386</v>
      </c>
      <c r="I61" s="195">
        <f>SUM('Bal. Energético D (Pós CP 09)'!I31:I33)</f>
        <v>1303126.8393117329</v>
      </c>
      <c r="J61" s="195">
        <f>SUM('Bal. Energético D (Pós CP 09)'!J31:J33)</f>
        <v>1326966.4351345894</v>
      </c>
    </row>
    <row r="62" spans="2:10" ht="15" customHeight="1">
      <c r="B62" s="204"/>
      <c r="C62" s="204"/>
      <c r="D62" s="205"/>
      <c r="E62" s="205"/>
      <c r="F62" s="205"/>
      <c r="G62" s="205"/>
      <c r="H62" s="205"/>
      <c r="I62" s="205"/>
      <c r="J62" s="205"/>
    </row>
    <row r="63" spans="2:10" ht="15" customHeight="1">
      <c r="B63" s="190" t="s">
        <v>116</v>
      </c>
      <c r="C63" s="190" t="s">
        <v>116</v>
      </c>
      <c r="D63" s="191"/>
      <c r="E63" s="191"/>
      <c r="F63" s="191"/>
      <c r="G63" s="191"/>
      <c r="H63" s="191"/>
      <c r="I63" s="191"/>
      <c r="J63" s="191"/>
    </row>
    <row r="64" spans="2:10" ht="15" customHeight="1">
      <c r="B64" s="192" t="s">
        <v>90</v>
      </c>
      <c r="C64" s="192" t="s">
        <v>91</v>
      </c>
      <c r="D64" s="193">
        <v>476927</v>
      </c>
      <c r="E64" s="193">
        <v>510839.90500000003</v>
      </c>
      <c r="F64" s="193">
        <v>499805.04075000004</v>
      </c>
      <c r="G64" s="193">
        <v>431264.63899999997</v>
      </c>
      <c r="H64" s="193">
        <v>493863</v>
      </c>
      <c r="I64" s="193">
        <v>535313.46699999995</v>
      </c>
      <c r="J64" s="193">
        <v>511632.34600000002</v>
      </c>
    </row>
    <row r="65" spans="2:10" ht="15" customHeight="1">
      <c r="B65" s="192" t="s">
        <v>92</v>
      </c>
      <c r="C65" s="192" t="s">
        <v>92</v>
      </c>
      <c r="D65" s="193">
        <v>17587</v>
      </c>
      <c r="E65" s="193">
        <v>17472.144</v>
      </c>
      <c r="F65" s="193">
        <v>17696.756000000001</v>
      </c>
      <c r="G65" s="193">
        <v>16320.992999999999</v>
      </c>
      <c r="H65" s="193">
        <v>13229</v>
      </c>
      <c r="I65" s="193">
        <v>12206.886999999999</v>
      </c>
      <c r="J65" s="193">
        <v>12163.438</v>
      </c>
    </row>
    <row r="66" spans="2:10" ht="15" customHeight="1">
      <c r="B66" s="192" t="s">
        <v>93</v>
      </c>
      <c r="C66" s="192" t="s">
        <v>94</v>
      </c>
      <c r="D66" s="193">
        <v>119764</v>
      </c>
      <c r="E66" s="193">
        <v>117688.64</v>
      </c>
      <c r="F66" s="193">
        <v>112505.575</v>
      </c>
      <c r="G66" s="193">
        <v>98479.247999999992</v>
      </c>
      <c r="H66" s="193">
        <v>105618</v>
      </c>
      <c r="I66" s="193">
        <v>106986.602</v>
      </c>
      <c r="J66" s="193">
        <v>102194.001</v>
      </c>
    </row>
    <row r="67" spans="2:10" ht="15" customHeight="1" thickBot="1">
      <c r="B67" s="192" t="s">
        <v>95</v>
      </c>
      <c r="C67" s="192" t="s">
        <v>96</v>
      </c>
      <c r="D67" s="193">
        <v>213537</v>
      </c>
      <c r="E67" s="193">
        <v>180329.43799999997</v>
      </c>
      <c r="F67" s="193">
        <v>168618.77399999998</v>
      </c>
      <c r="G67" s="193">
        <v>145596.12799999991</v>
      </c>
      <c r="H67" s="193">
        <v>186911</v>
      </c>
      <c r="I67" s="193">
        <v>187132.242</v>
      </c>
      <c r="J67" s="193">
        <v>163597.22700000001</v>
      </c>
    </row>
    <row r="68" spans="2:10" ht="15" customHeight="1" thickBot="1">
      <c r="B68" s="194" t="s">
        <v>97</v>
      </c>
      <c r="C68" s="194" t="s">
        <v>98</v>
      </c>
      <c r="D68" s="195">
        <f>SUM(D64:D67)</f>
        <v>827815</v>
      </c>
      <c r="E68" s="195">
        <v>826330.12699999998</v>
      </c>
      <c r="F68" s="195">
        <v>798626.14575000003</v>
      </c>
      <c r="G68" s="195">
        <f t="shared" ref="G68" si="35">SUM(G64:G67)</f>
        <v>691661.00799999991</v>
      </c>
      <c r="H68" s="195">
        <f t="shared" ref="H68:I68" si="36">SUM(H64:H67)</f>
        <v>799621</v>
      </c>
      <c r="I68" s="195">
        <f t="shared" si="36"/>
        <v>841639.19799999986</v>
      </c>
      <c r="J68" s="195">
        <f t="shared" ref="J68" si="37">SUM(J64:J67)</f>
        <v>789587.0120000001</v>
      </c>
    </row>
    <row r="69" spans="2:10" ht="15" customHeight="1">
      <c r="B69" s="192" t="s">
        <v>92</v>
      </c>
      <c r="C69" s="192" t="s">
        <v>92</v>
      </c>
      <c r="D69" s="193">
        <v>174238</v>
      </c>
      <c r="E69" s="193">
        <v>181262.77340183</v>
      </c>
      <c r="F69" s="193">
        <v>181160.39110713001</v>
      </c>
      <c r="G69" s="193">
        <v>185603.69819257001</v>
      </c>
      <c r="H69" s="193">
        <v>181577</v>
      </c>
      <c r="I69" s="193">
        <v>181937.39995657996</v>
      </c>
      <c r="J69" s="193">
        <v>131498.40023058001</v>
      </c>
    </row>
    <row r="70" spans="2:10" ht="15" customHeight="1">
      <c r="B70" s="192" t="s">
        <v>93</v>
      </c>
      <c r="C70" s="192" t="s">
        <v>94</v>
      </c>
      <c r="D70" s="193">
        <v>93967</v>
      </c>
      <c r="E70" s="193">
        <v>103097.83938883001</v>
      </c>
      <c r="F70" s="193">
        <v>93425.460919970006</v>
      </c>
      <c r="G70" s="193">
        <v>89557.363767620016</v>
      </c>
      <c r="H70" s="193">
        <v>103227</v>
      </c>
      <c r="I70" s="193">
        <v>108438.61291805998</v>
      </c>
      <c r="J70" s="193">
        <v>70010.663304419999</v>
      </c>
    </row>
    <row r="71" spans="2:10" ht="15" customHeight="1" thickBot="1">
      <c r="B71" s="192" t="s">
        <v>95</v>
      </c>
      <c r="C71" s="192" t="s">
        <v>96</v>
      </c>
      <c r="D71" s="193">
        <v>64866</v>
      </c>
      <c r="E71" s="193">
        <v>40831.73435439996</v>
      </c>
      <c r="F71" s="193">
        <v>40921.171968889947</v>
      </c>
      <c r="G71" s="193">
        <v>40427.709313990024</v>
      </c>
      <c r="H71" s="193">
        <v>62487</v>
      </c>
      <c r="I71" s="193">
        <v>62140.9506865</v>
      </c>
      <c r="J71" s="193">
        <v>26676.427858549985</v>
      </c>
    </row>
    <row r="72" spans="2:10" ht="15" customHeight="1" thickBot="1">
      <c r="B72" s="194" t="s">
        <v>99</v>
      </c>
      <c r="C72" s="194" t="s">
        <v>100</v>
      </c>
      <c r="D72" s="195">
        <f t="shared" ref="D72:I72" si="38">SUM(D69:D71)</f>
        <v>333071</v>
      </c>
      <c r="E72" s="195">
        <v>325192.34714505996</v>
      </c>
      <c r="F72" s="195">
        <v>315507.02399598999</v>
      </c>
      <c r="G72" s="195">
        <f t="shared" ref="G72" si="39">SUM(G69:G71)</f>
        <v>315588.77127418004</v>
      </c>
      <c r="H72" s="195">
        <f t="shared" si="38"/>
        <v>347291</v>
      </c>
      <c r="I72" s="195">
        <f t="shared" si="38"/>
        <v>352516.96356113994</v>
      </c>
      <c r="J72" s="195">
        <f t="shared" ref="J72" si="40">SUM(J69:J71)</f>
        <v>228185.49139355001</v>
      </c>
    </row>
    <row r="73" spans="2:10" ht="15" customHeight="1" thickBot="1">
      <c r="B73" s="196" t="s">
        <v>2144</v>
      </c>
      <c r="C73" s="196" t="s">
        <v>2145</v>
      </c>
      <c r="D73" s="543">
        <v>3318</v>
      </c>
      <c r="E73" s="543">
        <v>3339.9439730000004</v>
      </c>
      <c r="F73" s="543">
        <v>3507.4070000000002</v>
      </c>
      <c r="G73" s="543">
        <v>3677.5740499999997</v>
      </c>
      <c r="H73" s="543">
        <v>3754</v>
      </c>
      <c r="I73" s="543">
        <v>3960.6616400000003</v>
      </c>
      <c r="J73" s="543">
        <v>2839.6381499999998</v>
      </c>
    </row>
    <row r="74" spans="2:10" ht="15" customHeight="1" thickBot="1">
      <c r="B74" s="199" t="s">
        <v>103</v>
      </c>
      <c r="C74" s="199" t="s">
        <v>2061</v>
      </c>
      <c r="D74" s="195">
        <f>SUM(D68,D72,D73)</f>
        <v>1164204</v>
      </c>
      <c r="E74" s="195">
        <v>1154862.4181180599</v>
      </c>
      <c r="F74" s="195">
        <v>1117640.57674599</v>
      </c>
      <c r="G74" s="195">
        <f t="shared" ref="G74" si="41">SUM(G68,G72,G73)</f>
        <v>1010927.35332418</v>
      </c>
      <c r="H74" s="195">
        <f t="shared" ref="H74:I74" si="42">SUM(H68,H72,H73)</f>
        <v>1150666</v>
      </c>
      <c r="I74" s="195">
        <f t="shared" si="42"/>
        <v>1198116.8232011399</v>
      </c>
      <c r="J74" s="195">
        <f t="shared" ref="J74" si="43">SUM(J68,J72,J73)</f>
        <v>1020612.1415435502</v>
      </c>
    </row>
    <row r="75" spans="2:10" ht="15" customHeight="1" thickBot="1">
      <c r="B75" s="581" t="s">
        <v>2060</v>
      </c>
      <c r="C75" s="581" t="s">
        <v>2063</v>
      </c>
      <c r="D75" s="582">
        <v>32079</v>
      </c>
      <c r="E75" s="582">
        <v>42842.221999999994</v>
      </c>
      <c r="F75" s="582">
        <v>47228.18</v>
      </c>
      <c r="G75" s="582">
        <v>43012.715000000004</v>
      </c>
      <c r="H75" s="582">
        <v>62002</v>
      </c>
      <c r="I75" s="582">
        <v>74408.645999999993</v>
      </c>
      <c r="J75" s="582">
        <v>71312.968999999997</v>
      </c>
    </row>
    <row r="76" spans="2:10" ht="15" customHeight="1" thickBot="1">
      <c r="B76" s="199" t="s">
        <v>2135</v>
      </c>
      <c r="C76" s="199" t="s">
        <v>2138</v>
      </c>
      <c r="D76" s="580">
        <f t="shared" ref="D76:I76" si="44">D74+D75</f>
        <v>1196283</v>
      </c>
      <c r="E76" s="580">
        <v>1197704.6401180599</v>
      </c>
      <c r="F76" s="580">
        <v>1164868.7567459899</v>
      </c>
      <c r="G76" s="580">
        <f t="shared" ref="G76" si="45">G74+G75</f>
        <v>1053940.0683241801</v>
      </c>
      <c r="H76" s="580">
        <f t="shared" si="44"/>
        <v>1212668</v>
      </c>
      <c r="I76" s="580">
        <f t="shared" si="44"/>
        <v>1272525.4692011399</v>
      </c>
      <c r="J76" s="580">
        <f t="shared" ref="J76" si="46">J74+J75</f>
        <v>1091925.1105435502</v>
      </c>
    </row>
    <row r="77" spans="2:10" ht="15" customHeight="1" thickBot="1">
      <c r="B77" s="199" t="s">
        <v>2495</v>
      </c>
      <c r="C77" s="199" t="s">
        <v>2496</v>
      </c>
      <c r="D77" s="580"/>
      <c r="E77" s="580">
        <v>1282060</v>
      </c>
      <c r="F77" s="580">
        <v>1245855.7387723788</v>
      </c>
      <c r="G77" s="580"/>
      <c r="H77" s="580"/>
      <c r="I77" s="580">
        <v>1371685</v>
      </c>
      <c r="J77" s="580">
        <v>1287229.8853629902</v>
      </c>
    </row>
    <row r="78" spans="2:10" ht="15" customHeight="1" thickBot="1">
      <c r="B78" s="581" t="s">
        <v>2136</v>
      </c>
      <c r="C78" s="581" t="s">
        <v>2134</v>
      </c>
      <c r="D78" s="582">
        <f>'Bal. Energético D (Pós CP 09)'!D43</f>
        <v>15443.572247340766</v>
      </c>
      <c r="E78" s="582">
        <v>9397.6339034612138</v>
      </c>
      <c r="F78" s="582">
        <v>1773.72928469923</v>
      </c>
      <c r="G78" s="582">
        <f>'Bal. Energético D (Pós CP 09)'!G43</f>
        <v>5400.5400223501865</v>
      </c>
      <c r="H78" s="582">
        <f>'Bal. Energético D (Pós CP 09)'!H43</f>
        <v>21510.70902804238</v>
      </c>
      <c r="I78" s="582">
        <f>'Bal. Energético D (Pós CP 09)'!I43</f>
        <v>13493.323007845815</v>
      </c>
      <c r="J78" s="582">
        <f>'Bal. Energético D (Pós CP 09)'!J43</f>
        <v>4254.3134025368336</v>
      </c>
    </row>
    <row r="79" spans="2:10" ht="15" customHeight="1" thickBot="1">
      <c r="B79" s="199" t="s">
        <v>2137</v>
      </c>
      <c r="C79" s="199" t="s">
        <v>2139</v>
      </c>
      <c r="D79" s="195">
        <f>SUM('Bal. Energético D (Pós CP 09)'!D41:D43)</f>
        <v>1281072.2890258585</v>
      </c>
      <c r="E79" s="195">
        <v>1281127.9353554817</v>
      </c>
      <c r="F79" s="195">
        <v>1233770.3275330549</v>
      </c>
      <c r="G79" s="195">
        <f>SUM('Bal. Energético D (Pós CP 09)'!G41:G43)</f>
        <v>1116064.1689326889</v>
      </c>
      <c r="H79" s="195">
        <f>SUM('Bal. Energético D (Pós CP 09)'!H41:H43)</f>
        <v>1313951.2996096865</v>
      </c>
      <c r="I79" s="195">
        <f>SUM('Bal. Energético D (Pós CP 09)'!I41:I43)</f>
        <v>1372667.540482003</v>
      </c>
      <c r="J79" s="195">
        <f>SUM('Bal. Energético D (Pós CP 09)'!J41:J43)</f>
        <v>1279943.4308150436</v>
      </c>
    </row>
    <row r="81" spans="2:10" ht="15" customHeight="1">
      <c r="B81" s="190" t="s">
        <v>119</v>
      </c>
      <c r="C81" s="190" t="s">
        <v>119</v>
      </c>
      <c r="D81" s="191"/>
      <c r="E81" s="191"/>
      <c r="F81" s="191"/>
      <c r="G81" s="191"/>
      <c r="H81" s="191"/>
      <c r="I81" s="191"/>
      <c r="J81" s="191"/>
    </row>
    <row r="82" spans="2:10" ht="15" customHeight="1">
      <c r="B82" s="192" t="s">
        <v>90</v>
      </c>
      <c r="C82" s="192" t="s">
        <v>91</v>
      </c>
      <c r="D82" s="193">
        <v>863471</v>
      </c>
      <c r="E82" s="193">
        <v>1109520.3799999999</v>
      </c>
      <c r="F82" s="193">
        <v>845122.74799999991</v>
      </c>
      <c r="G82" s="193">
        <v>937257.86600000015</v>
      </c>
      <c r="H82" s="193">
        <v>843622</v>
      </c>
      <c r="I82" s="193">
        <v>1073684.45</v>
      </c>
      <c r="J82" s="193">
        <v>912292.93299999996</v>
      </c>
    </row>
    <row r="83" spans="2:10" ht="15" customHeight="1">
      <c r="B83" s="192" t="s">
        <v>92</v>
      </c>
      <c r="C83" s="192" t="s">
        <v>92</v>
      </c>
      <c r="D83" s="193">
        <v>40337</v>
      </c>
      <c r="E83" s="193">
        <v>39201.553</v>
      </c>
      <c r="F83" s="193">
        <v>42835.053</v>
      </c>
      <c r="G83" s="193">
        <v>35182.283000000003</v>
      </c>
      <c r="H83" s="193">
        <v>29967</v>
      </c>
      <c r="I83" s="193">
        <v>29127.685000000001</v>
      </c>
      <c r="J83" s="193">
        <v>27780.145</v>
      </c>
    </row>
    <row r="84" spans="2:10" ht="15" customHeight="1">
      <c r="B84" s="192" t="s">
        <v>93</v>
      </c>
      <c r="C84" s="192" t="s">
        <v>94</v>
      </c>
      <c r="D84" s="193">
        <v>339418</v>
      </c>
      <c r="E84" s="193">
        <v>394208.641</v>
      </c>
      <c r="F84" s="193">
        <v>313021.76799999998</v>
      </c>
      <c r="G84" s="193">
        <v>292862.30800000002</v>
      </c>
      <c r="H84" s="193">
        <v>267635</v>
      </c>
      <c r="I84" s="193">
        <v>342638.46900000004</v>
      </c>
      <c r="J84" s="193">
        <v>295531.38299999997</v>
      </c>
    </row>
    <row r="85" spans="2:10" ht="15" customHeight="1" thickBot="1">
      <c r="B85" s="192" t="s">
        <v>95</v>
      </c>
      <c r="C85" s="192" t="s">
        <v>96</v>
      </c>
      <c r="D85" s="193">
        <v>223560</v>
      </c>
      <c r="E85" s="193">
        <v>382002.58499999996</v>
      </c>
      <c r="F85" s="193">
        <v>250959.42600000021</v>
      </c>
      <c r="G85" s="193">
        <v>197933.64199999976</v>
      </c>
      <c r="H85" s="193">
        <v>210619</v>
      </c>
      <c r="I85" s="193">
        <v>350662.00100000005</v>
      </c>
      <c r="J85" s="193">
        <v>226314.76201999999</v>
      </c>
    </row>
    <row r="86" spans="2:10" ht="15" customHeight="1" thickBot="1">
      <c r="B86" s="194" t="s">
        <v>97</v>
      </c>
      <c r="C86" s="194" t="s">
        <v>98</v>
      </c>
      <c r="D86" s="195">
        <f>SUM(D82:D85)</f>
        <v>1466786</v>
      </c>
      <c r="E86" s="195">
        <v>1924933.159</v>
      </c>
      <c r="F86" s="195">
        <v>1451938.9950000001</v>
      </c>
      <c r="G86" s="195">
        <f t="shared" ref="G86" si="47">SUM(G82:G85)</f>
        <v>1463236.0989999999</v>
      </c>
      <c r="H86" s="195">
        <f t="shared" ref="H86:I86" si="48">SUM(H82:H85)</f>
        <v>1351843</v>
      </c>
      <c r="I86" s="195">
        <f t="shared" si="48"/>
        <v>1796112.605</v>
      </c>
      <c r="J86" s="195">
        <f t="shared" ref="J86" si="49">SUM(J82:J85)</f>
        <v>1461919.2230199999</v>
      </c>
    </row>
    <row r="87" spans="2:10" ht="15" customHeight="1">
      <c r="B87" s="192" t="s">
        <v>92</v>
      </c>
      <c r="C87" s="192" t="s">
        <v>92</v>
      </c>
      <c r="D87" s="193">
        <v>288636.72000000003</v>
      </c>
      <c r="E87" s="193">
        <v>266556.62699999998</v>
      </c>
      <c r="F87" s="193">
        <v>318228.19199999998</v>
      </c>
      <c r="G87" s="193">
        <v>310686.967</v>
      </c>
      <c r="H87" s="193">
        <v>305547</v>
      </c>
      <c r="I87" s="193">
        <v>293091.875</v>
      </c>
      <c r="J87" s="193">
        <v>330446.75899157999</v>
      </c>
    </row>
    <row r="88" spans="2:10" ht="15" customHeight="1">
      <c r="B88" s="192" t="s">
        <v>93</v>
      </c>
      <c r="C88" s="192" t="s">
        <v>94</v>
      </c>
      <c r="D88" s="193">
        <v>233261.65700000001</v>
      </c>
      <c r="E88" s="193">
        <v>284791.962</v>
      </c>
      <c r="F88" s="193">
        <v>263284.08199999994</v>
      </c>
      <c r="G88" s="193">
        <v>219819.954</v>
      </c>
      <c r="H88" s="193">
        <v>251380</v>
      </c>
      <c r="I88" s="193">
        <v>312774.60200000001</v>
      </c>
      <c r="J88" s="193">
        <v>289500.3744875</v>
      </c>
    </row>
    <row r="89" spans="2:10" ht="15" customHeight="1" thickBot="1">
      <c r="B89" s="192" t="s">
        <v>95</v>
      </c>
      <c r="C89" s="192" t="s">
        <v>96</v>
      </c>
      <c r="D89" s="193">
        <v>49393.325000000012</v>
      </c>
      <c r="E89" s="193">
        <v>71184.752000000095</v>
      </c>
      <c r="F89" s="193">
        <v>74942.550999999978</v>
      </c>
      <c r="G89" s="193">
        <v>67997.201000000001</v>
      </c>
      <c r="H89" s="193">
        <v>76821</v>
      </c>
      <c r="I89" s="193">
        <v>102138.63499999995</v>
      </c>
      <c r="J89" s="193">
        <v>95826.643022698991</v>
      </c>
    </row>
    <row r="90" spans="2:10" ht="15" customHeight="1" thickBot="1">
      <c r="B90" s="194" t="s">
        <v>99</v>
      </c>
      <c r="C90" s="194" t="s">
        <v>100</v>
      </c>
      <c r="D90" s="195">
        <f t="shared" ref="D90:I90" si="50">SUM(D87:D89)</f>
        <v>571291.70200000005</v>
      </c>
      <c r="E90" s="195">
        <v>622533.34100000001</v>
      </c>
      <c r="F90" s="195">
        <v>656454.82499999995</v>
      </c>
      <c r="G90" s="195">
        <f t="shared" ref="G90" si="51">SUM(G87:G89)</f>
        <v>598504.12199999997</v>
      </c>
      <c r="H90" s="195">
        <f t="shared" si="50"/>
        <v>633748</v>
      </c>
      <c r="I90" s="195">
        <f t="shared" si="50"/>
        <v>708005.11199999996</v>
      </c>
      <c r="J90" s="195">
        <f t="shared" ref="J90" si="52">SUM(J87:J89)</f>
        <v>715773.77650177898</v>
      </c>
    </row>
    <row r="91" spans="2:10" ht="15" customHeight="1" thickBot="1">
      <c r="B91" s="196" t="s">
        <v>2144</v>
      </c>
      <c r="C91" s="196" t="s">
        <v>2145</v>
      </c>
      <c r="D91" s="543">
        <v>14470.569746000001</v>
      </c>
      <c r="E91" s="543">
        <v>20537.734</v>
      </c>
      <c r="F91" s="543">
        <v>19991.534</v>
      </c>
      <c r="G91" s="543">
        <v>15787.107999999998</v>
      </c>
      <c r="H91" s="543">
        <v>11852</v>
      </c>
      <c r="I91" s="543">
        <v>19684.409</v>
      </c>
      <c r="J91" s="543">
        <v>18077.34</v>
      </c>
    </row>
    <row r="92" spans="2:10" ht="15" customHeight="1" thickBot="1">
      <c r="B92" s="199" t="s">
        <v>103</v>
      </c>
      <c r="C92" s="199" t="s">
        <v>2061</v>
      </c>
      <c r="D92" s="195">
        <f>SUM(D86,D90,D91)</f>
        <v>2052548.271746</v>
      </c>
      <c r="E92" s="195">
        <v>2568004.2340000002</v>
      </c>
      <c r="F92" s="195">
        <v>2128385.3540000003</v>
      </c>
      <c r="G92" s="195">
        <f t="shared" ref="G92" si="53">SUM(G86,G90,G91)</f>
        <v>2077527.3289999999</v>
      </c>
      <c r="H92" s="195">
        <f t="shared" ref="H92:I92" si="54">SUM(H86,H90,H91)</f>
        <v>1997443</v>
      </c>
      <c r="I92" s="195">
        <f t="shared" si="54"/>
        <v>2523802.1260000002</v>
      </c>
      <c r="J92" s="195">
        <f t="shared" ref="J92" si="55">SUM(J86,J90,J91)</f>
        <v>2195770.3395217787</v>
      </c>
    </row>
    <row r="93" spans="2:10" ht="15" customHeight="1" thickBot="1">
      <c r="B93" s="581" t="s">
        <v>2060</v>
      </c>
      <c r="C93" s="581" t="s">
        <v>2063</v>
      </c>
      <c r="D93" s="582">
        <v>14268</v>
      </c>
      <c r="E93" s="582">
        <v>29270.607</v>
      </c>
      <c r="F93" s="582">
        <v>24372.680999999997</v>
      </c>
      <c r="G93" s="582">
        <v>26843.884999999995</v>
      </c>
      <c r="H93" s="582">
        <v>34985</v>
      </c>
      <c r="I93" s="582">
        <v>51667.761000000006</v>
      </c>
      <c r="J93" s="582">
        <v>50176.608999999997</v>
      </c>
    </row>
    <row r="94" spans="2:10" ht="15" customHeight="1" thickBot="1">
      <c r="B94" s="199" t="s">
        <v>2135</v>
      </c>
      <c r="C94" s="199" t="s">
        <v>2138</v>
      </c>
      <c r="D94" s="580">
        <f t="shared" ref="D94:I94" si="56">D92+D93</f>
        <v>2066816.271746</v>
      </c>
      <c r="E94" s="580">
        <v>2597274.841</v>
      </c>
      <c r="F94" s="580">
        <v>2152758.0350000001</v>
      </c>
      <c r="G94" s="580">
        <f t="shared" ref="G94" si="57">G92+G93</f>
        <v>2104371.2139999997</v>
      </c>
      <c r="H94" s="580">
        <f t="shared" si="56"/>
        <v>2032428</v>
      </c>
      <c r="I94" s="580">
        <f t="shared" si="56"/>
        <v>2575469.8870000001</v>
      </c>
      <c r="J94" s="580">
        <f t="shared" ref="J94" si="58">J92+J93</f>
        <v>2245946.9485217789</v>
      </c>
    </row>
    <row r="95" spans="2:10" ht="15" customHeight="1" thickBot="1">
      <c r="B95" s="199" t="s">
        <v>2495</v>
      </c>
      <c r="C95" s="199" t="s">
        <v>2496</v>
      </c>
      <c r="D95" s="580"/>
      <c r="E95" s="580">
        <v>2741218</v>
      </c>
      <c r="F95" s="580">
        <v>2191933.3055209937</v>
      </c>
      <c r="G95" s="580"/>
      <c r="H95" s="580"/>
      <c r="I95" s="580">
        <v>2739385</v>
      </c>
      <c r="J95" s="580">
        <v>2306679.2921407996</v>
      </c>
    </row>
    <row r="96" spans="2:10" ht="15" customHeight="1" thickBot="1">
      <c r="B96" s="581" t="s">
        <v>2136</v>
      </c>
      <c r="C96" s="581" t="s">
        <v>2134</v>
      </c>
      <c r="D96" s="582">
        <f>'Bal. Energético D (Pós CP 09)'!D53</f>
        <v>33861.926102993551</v>
      </c>
      <c r="E96" s="582">
        <v>6327.6462205400876</v>
      </c>
      <c r="F96" s="582">
        <v>18588.432862960806</v>
      </c>
      <c r="G96" s="582">
        <f>'Bal. Energético D (Pós CP 09)'!G53</f>
        <v>36991.426311105504</v>
      </c>
      <c r="H96" s="582">
        <f>'Bal. Energético D (Pós CP 09)'!H53</f>
        <v>31138.041962576477</v>
      </c>
      <c r="I96" s="582">
        <f>'Bal. Energético D (Pós CP 09)'!I53</f>
        <v>7627.8367444750293</v>
      </c>
      <c r="J96" s="582">
        <f>'Bal. Energético D (Pós CP 09)'!J53</f>
        <v>17085.507310909459</v>
      </c>
    </row>
    <row r="97" spans="2:10" ht="15" customHeight="1" thickBot="1">
      <c r="B97" s="199" t="s">
        <v>2137</v>
      </c>
      <c r="C97" s="199" t="s">
        <v>2139</v>
      </c>
      <c r="D97" s="195">
        <f>SUM('Bal. Energético D (Pós CP 09)'!D51:D53)</f>
        <v>2173242.7842502845</v>
      </c>
      <c r="E97" s="195">
        <v>2723582.0592321153</v>
      </c>
      <c r="F97" s="195">
        <v>2180370.4311839542</v>
      </c>
      <c r="G97" s="195">
        <f>SUM('Bal. Energético D (Pós CP 09)'!G51:G53)</f>
        <v>2203941.780450223</v>
      </c>
      <c r="H97" s="195">
        <f>SUM('Bal. Energético D (Pós CP 09)'!H51:H53)</f>
        <v>2171465.0377750546</v>
      </c>
      <c r="I97" s="195">
        <f>SUM('Bal. Energético D (Pós CP 09)'!I51:I53)</f>
        <v>2723321.5888336049</v>
      </c>
      <c r="J97" s="195">
        <f>SUM('Bal. Energético D (Pós CP 09)'!J51:J53)</f>
        <v>2294038.3318175916</v>
      </c>
    </row>
    <row r="98" spans="2:10" ht="15" customHeight="1">
      <c r="B98" s="204"/>
      <c r="C98" s="204"/>
      <c r="D98" s="205"/>
      <c r="E98" s="205"/>
      <c r="F98" s="205"/>
      <c r="G98" s="205"/>
      <c r="H98" s="205"/>
      <c r="I98" s="205"/>
      <c r="J98" s="205"/>
    </row>
    <row r="99" spans="2:10" ht="15" customHeight="1">
      <c r="B99" s="190" t="s">
        <v>122</v>
      </c>
      <c r="C99" s="190" t="s">
        <v>122</v>
      </c>
      <c r="D99" s="191"/>
      <c r="E99" s="191"/>
      <c r="F99" s="191"/>
      <c r="G99" s="191"/>
      <c r="H99" s="191"/>
      <c r="I99" s="191"/>
      <c r="J99" s="191"/>
    </row>
    <row r="100" spans="2:10" ht="15" customHeight="1">
      <c r="B100" s="192" t="s">
        <v>90</v>
      </c>
      <c r="C100" s="192" t="s">
        <v>91</v>
      </c>
      <c r="D100" s="193">
        <v>218401</v>
      </c>
      <c r="E100" s="193">
        <v>179967.08199999999</v>
      </c>
      <c r="F100" s="193">
        <v>181128.236</v>
      </c>
      <c r="G100" s="193">
        <v>196254.12599999999</v>
      </c>
      <c r="H100" s="193">
        <v>207744</v>
      </c>
      <c r="I100" s="193">
        <v>185957.67200000002</v>
      </c>
      <c r="J100" s="193">
        <v>192528.62200000003</v>
      </c>
    </row>
    <row r="101" spans="2:10" ht="15" customHeight="1">
      <c r="B101" s="192" t="s">
        <v>92</v>
      </c>
      <c r="C101" s="192" t="s">
        <v>92</v>
      </c>
      <c r="D101" s="193">
        <v>10705.087</v>
      </c>
      <c r="E101" s="193">
        <v>7989.848</v>
      </c>
      <c r="F101" s="193">
        <v>6651.1379999999999</v>
      </c>
      <c r="G101" s="193">
        <v>7450.634</v>
      </c>
      <c r="H101" s="193">
        <v>8270</v>
      </c>
      <c r="I101" s="193">
        <v>6573.8539999999994</v>
      </c>
      <c r="J101" s="193">
        <v>5581.6970000000001</v>
      </c>
    </row>
    <row r="102" spans="2:10" ht="15" customHeight="1">
      <c r="B102" s="192" t="s">
        <v>93</v>
      </c>
      <c r="C102" s="192" t="s">
        <v>94</v>
      </c>
      <c r="D102" s="193">
        <v>59229.129000000001</v>
      </c>
      <c r="E102" s="193">
        <v>48356.955000000002</v>
      </c>
      <c r="F102" s="193">
        <v>49418.667000000001</v>
      </c>
      <c r="G102" s="193">
        <v>52751.19</v>
      </c>
      <c r="H102" s="193">
        <v>46618</v>
      </c>
      <c r="I102" s="193">
        <v>46534.76</v>
      </c>
      <c r="J102" s="193">
        <v>47832.595000000001</v>
      </c>
    </row>
    <row r="103" spans="2:10" ht="15" customHeight="1" thickBot="1">
      <c r="B103" s="192" t="s">
        <v>95</v>
      </c>
      <c r="C103" s="192" t="s">
        <v>96</v>
      </c>
      <c r="D103" s="193">
        <v>44212.364000000001</v>
      </c>
      <c r="E103" s="193">
        <v>38396.040999999968</v>
      </c>
      <c r="F103" s="193">
        <v>43448.486999999965</v>
      </c>
      <c r="G103" s="193">
        <v>42524.102000000043</v>
      </c>
      <c r="H103" s="193">
        <v>50131</v>
      </c>
      <c r="I103" s="193">
        <v>40962.623</v>
      </c>
      <c r="J103" s="193">
        <v>42192.485000000001</v>
      </c>
    </row>
    <row r="104" spans="2:10" ht="15" customHeight="1" thickBot="1">
      <c r="B104" s="194" t="s">
        <v>97</v>
      </c>
      <c r="C104" s="194" t="s">
        <v>98</v>
      </c>
      <c r="D104" s="195">
        <f>SUM(D100:D103)</f>
        <v>332547.58</v>
      </c>
      <c r="E104" s="195">
        <v>274709.92599999998</v>
      </c>
      <c r="F104" s="195">
        <v>280646.52799999999</v>
      </c>
      <c r="G104" s="195">
        <f t="shared" ref="G104" si="59">SUM(G100:G103)</f>
        <v>298980.05200000003</v>
      </c>
      <c r="H104" s="195">
        <f t="shared" ref="H104:I104" si="60">SUM(H100:H103)</f>
        <v>312763</v>
      </c>
      <c r="I104" s="195">
        <f t="shared" si="60"/>
        <v>280028.90900000004</v>
      </c>
      <c r="J104" s="195">
        <f t="shared" ref="J104" si="61">SUM(J100:J103)</f>
        <v>288135.39900000003</v>
      </c>
    </row>
    <row r="105" spans="2:10" ht="15" customHeight="1">
      <c r="B105" s="192" t="s">
        <v>92</v>
      </c>
      <c r="C105" s="192" t="s">
        <v>92</v>
      </c>
      <c r="D105" s="193">
        <v>3051.047</v>
      </c>
      <c r="E105" s="193">
        <v>4136.1261949999998</v>
      </c>
      <c r="F105" s="193">
        <v>5865.0862926499995</v>
      </c>
      <c r="G105" s="193">
        <v>5302.8724087000001</v>
      </c>
      <c r="H105" s="193">
        <v>5592</v>
      </c>
      <c r="I105" s="193">
        <v>4798.5967217499992</v>
      </c>
      <c r="J105" s="193">
        <v>5580.5687369999996</v>
      </c>
    </row>
    <row r="106" spans="2:10" ht="15" customHeight="1">
      <c r="B106" s="192" t="s">
        <v>93</v>
      </c>
      <c r="C106" s="192" t="s">
        <v>94</v>
      </c>
      <c r="D106" s="193">
        <v>19829.648999999998</v>
      </c>
      <c r="E106" s="193">
        <v>19234.338264800001</v>
      </c>
      <c r="F106" s="193">
        <v>20448.636679889998</v>
      </c>
      <c r="G106" s="193">
        <v>21802.875506550001</v>
      </c>
      <c r="H106" s="193">
        <v>23207</v>
      </c>
      <c r="I106" s="193">
        <v>20490.244761499995</v>
      </c>
      <c r="J106" s="193">
        <v>21511.827142250004</v>
      </c>
    </row>
    <row r="107" spans="2:10" ht="15" customHeight="1" thickBot="1">
      <c r="B107" s="192" t="s">
        <v>95</v>
      </c>
      <c r="C107" s="192" t="s">
        <v>96</v>
      </c>
      <c r="D107" s="193">
        <v>4152.4990000000034</v>
      </c>
      <c r="E107" s="193">
        <v>4004.4962305000008</v>
      </c>
      <c r="F107" s="193">
        <v>3386.0597355000064</v>
      </c>
      <c r="G107" s="193">
        <v>3775.6956159100009</v>
      </c>
      <c r="H107" s="193">
        <v>4568</v>
      </c>
      <c r="I107" s="193">
        <v>4659.4635502500032</v>
      </c>
      <c r="J107" s="193">
        <v>4445.473833729995</v>
      </c>
    </row>
    <row r="108" spans="2:10" ht="15" customHeight="1" thickBot="1">
      <c r="B108" s="194" t="s">
        <v>99</v>
      </c>
      <c r="C108" s="194" t="s">
        <v>100</v>
      </c>
      <c r="D108" s="195">
        <f t="shared" ref="D108:I108" si="62">SUM(D105:D107)</f>
        <v>27033.195</v>
      </c>
      <c r="E108" s="195">
        <v>27374.960690300002</v>
      </c>
      <c r="F108" s="195">
        <v>29699.782708040002</v>
      </c>
      <c r="G108" s="195">
        <f t="shared" ref="G108" si="63">SUM(G105:G107)</f>
        <v>30881.443531160003</v>
      </c>
      <c r="H108" s="195">
        <f t="shared" si="62"/>
        <v>33367</v>
      </c>
      <c r="I108" s="195">
        <f t="shared" si="62"/>
        <v>29948.305033499997</v>
      </c>
      <c r="J108" s="195">
        <f t="shared" ref="J108" si="64">SUM(J105:J107)</f>
        <v>31537.869712979998</v>
      </c>
    </row>
    <row r="109" spans="2:10" ht="15" customHeight="1" thickBot="1">
      <c r="B109" s="196" t="s">
        <v>2144</v>
      </c>
      <c r="C109" s="196" t="s">
        <v>2145</v>
      </c>
      <c r="D109" s="543">
        <v>0</v>
      </c>
      <c r="E109" s="543">
        <v>0</v>
      </c>
      <c r="F109" s="543">
        <v>0</v>
      </c>
      <c r="G109" s="543">
        <v>0</v>
      </c>
      <c r="H109" s="543">
        <v>0</v>
      </c>
      <c r="I109" s="543">
        <v>0</v>
      </c>
      <c r="J109" s="543">
        <v>0</v>
      </c>
    </row>
    <row r="110" spans="2:10" ht="15" customHeight="1" thickBot="1">
      <c r="B110" s="199" t="s">
        <v>103</v>
      </c>
      <c r="C110" s="199" t="s">
        <v>2061</v>
      </c>
      <c r="D110" s="195">
        <f>SUM(D104,D108,D109)</f>
        <v>359580.77500000002</v>
      </c>
      <c r="E110" s="195">
        <v>302084.88669029996</v>
      </c>
      <c r="F110" s="195">
        <v>310346.31070804002</v>
      </c>
      <c r="G110" s="195">
        <f t="shared" ref="G110" si="65">SUM(G104,G108,G109)</f>
        <v>329861.49553116004</v>
      </c>
      <c r="H110" s="195">
        <f t="shared" ref="H110:I110" si="66">SUM(H104,H108,H109)</f>
        <v>346130</v>
      </c>
      <c r="I110" s="195">
        <f t="shared" si="66"/>
        <v>309977.21403350006</v>
      </c>
      <c r="J110" s="195">
        <f t="shared" ref="J110" si="67">SUM(J104,J108,J109)</f>
        <v>319673.26871298003</v>
      </c>
    </row>
    <row r="111" spans="2:10" ht="15" customHeight="1" thickBot="1">
      <c r="B111" s="581" t="s">
        <v>2060</v>
      </c>
      <c r="C111" s="581" t="s">
        <v>2063</v>
      </c>
      <c r="D111" s="582">
        <v>16781.996999999999</v>
      </c>
      <c r="E111" s="582">
        <v>13542.129000000001</v>
      </c>
      <c r="F111" s="582">
        <v>16784.605</v>
      </c>
      <c r="G111" s="582">
        <v>23430.031999999999</v>
      </c>
      <c r="H111" s="582">
        <v>28580</v>
      </c>
      <c r="I111" s="582">
        <v>25150.664999999997</v>
      </c>
      <c r="J111" s="582">
        <v>27327.872000000003</v>
      </c>
    </row>
    <row r="112" spans="2:10" ht="15" customHeight="1" thickBot="1">
      <c r="B112" s="199" t="s">
        <v>2135</v>
      </c>
      <c r="C112" s="199" t="s">
        <v>2138</v>
      </c>
      <c r="D112" s="580">
        <f t="shared" ref="D112:I112" si="68">D110+D111</f>
        <v>376362.772</v>
      </c>
      <c r="E112" s="580">
        <v>315627.01569029997</v>
      </c>
      <c r="F112" s="580">
        <v>327130.91570804</v>
      </c>
      <c r="G112" s="580">
        <f t="shared" ref="G112" si="69">G110+G111</f>
        <v>353291.52753116004</v>
      </c>
      <c r="H112" s="580">
        <f t="shared" si="68"/>
        <v>374710</v>
      </c>
      <c r="I112" s="580">
        <f t="shared" si="68"/>
        <v>335127.87903350004</v>
      </c>
      <c r="J112" s="580">
        <f t="shared" ref="J112" si="70">J110+J111</f>
        <v>347001.14071298006</v>
      </c>
    </row>
    <row r="113" spans="2:10" ht="15" customHeight="1" thickBot="1">
      <c r="B113" s="199" t="s">
        <v>2495</v>
      </c>
      <c r="C113" s="199" t="s">
        <v>2496</v>
      </c>
      <c r="D113" s="580"/>
      <c r="E113" s="580">
        <v>322531</v>
      </c>
      <c r="F113" s="580">
        <v>336569.26297000004</v>
      </c>
      <c r="G113" s="580"/>
      <c r="H113" s="580"/>
      <c r="I113" s="580">
        <v>343303</v>
      </c>
      <c r="J113" s="580">
        <v>355717.66402700002</v>
      </c>
    </row>
    <row r="114" spans="2:10" ht="15" customHeight="1" thickBot="1">
      <c r="B114" s="581" t="s">
        <v>2136</v>
      </c>
      <c r="C114" s="581" t="s">
        <v>2134</v>
      </c>
      <c r="D114" s="582">
        <f>'Bal. Energético D (Pós CP 09)'!D63</f>
        <v>0</v>
      </c>
      <c r="E114" s="582">
        <v>6194.6557131749742</v>
      </c>
      <c r="F114" s="582">
        <v>8512.0068180144244</v>
      </c>
      <c r="G114" s="582">
        <f>'Bal. Energético D (Pós CP 09)'!G63</f>
        <v>5748.6158515018633</v>
      </c>
      <c r="H114" s="582">
        <f>'Bal. Energético D (Pós CP 09)'!H63</f>
        <v>11387.153303054098</v>
      </c>
      <c r="I114" s="582">
        <f>'Bal. Energético D (Pós CP 09)'!I63</f>
        <v>8791.6677418340987</v>
      </c>
      <c r="J114" s="582">
        <f>'Bal. Energético D (Pós CP 09)'!J63</f>
        <v>7741.4922855882196</v>
      </c>
    </row>
    <row r="115" spans="2:10" ht="15" customHeight="1" thickBot="1">
      <c r="B115" s="199" t="s">
        <v>2137</v>
      </c>
      <c r="C115" s="199" t="s">
        <v>2139</v>
      </c>
      <c r="D115" s="195">
        <f>SUM('Bal. Energético D (Pós CP 09)'!D62:D63)</f>
        <v>378671.55135199998</v>
      </c>
      <c r="E115" s="195">
        <v>324771.48888751498</v>
      </c>
      <c r="F115" s="195">
        <v>341900.58522077446</v>
      </c>
      <c r="G115" s="195">
        <f>SUM('Bal. Energético D (Pós CP 09)'!G62:G63)</f>
        <v>365277.15359421185</v>
      </c>
      <c r="H115" s="195">
        <f>SUM('Bal. Energético D (Pós CP 09)'!H62:H63)</f>
        <v>394968.58619335422</v>
      </c>
      <c r="I115" s="195">
        <f>SUM('Bal. Energético D (Pós CP 09)'!I62:I63)</f>
        <v>349075.65237153415</v>
      </c>
      <c r="J115" s="195">
        <f>SUM('Bal. Energético D (Pós CP 09)'!J62:J63)</f>
        <v>360826.83017822425</v>
      </c>
    </row>
    <row r="116" spans="2:10" ht="15" customHeight="1">
      <c r="B116" s="204"/>
      <c r="C116" s="204"/>
      <c r="D116" s="205"/>
      <c r="E116" s="205"/>
      <c r="F116" s="205"/>
      <c r="G116" s="205"/>
      <c r="H116" s="205"/>
      <c r="I116" s="205"/>
      <c r="J116" s="205"/>
    </row>
    <row r="117" spans="2:10" ht="15" customHeight="1">
      <c r="B117" s="190" t="s">
        <v>125</v>
      </c>
      <c r="C117" s="190" t="s">
        <v>125</v>
      </c>
      <c r="D117" s="191"/>
      <c r="E117" s="191"/>
      <c r="F117" s="191"/>
      <c r="G117" s="191"/>
      <c r="H117" s="191"/>
      <c r="I117" s="191"/>
      <c r="J117" s="191"/>
    </row>
    <row r="118" spans="2:10" ht="15" customHeight="1">
      <c r="B118" s="192" t="s">
        <v>90</v>
      </c>
      <c r="C118" s="192" t="s">
        <v>91</v>
      </c>
      <c r="D118" s="193">
        <v>1772260</v>
      </c>
      <c r="E118" s="193">
        <v>1633439.9950000001</v>
      </c>
      <c r="F118" s="193">
        <v>1584901.2889999999</v>
      </c>
      <c r="G118" s="193">
        <v>1518542.9840000002</v>
      </c>
      <c r="H118" s="193">
        <v>1792890</v>
      </c>
      <c r="I118" s="193">
        <v>1571987.2560000001</v>
      </c>
      <c r="J118" s="193">
        <v>1589520.5109999999</v>
      </c>
    </row>
    <row r="119" spans="2:10" ht="15" customHeight="1">
      <c r="B119" s="192" t="s">
        <v>92</v>
      </c>
      <c r="C119" s="192" t="s">
        <v>92</v>
      </c>
      <c r="D119" s="193">
        <v>73951</v>
      </c>
      <c r="E119" s="193">
        <v>64540.736000000004</v>
      </c>
      <c r="F119" s="193">
        <v>67162.876000000004</v>
      </c>
      <c r="G119" s="193">
        <v>62559.967000000004</v>
      </c>
      <c r="H119" s="193">
        <v>59694</v>
      </c>
      <c r="I119" s="193">
        <v>53839.163</v>
      </c>
      <c r="J119" s="193">
        <v>55098.901999999995</v>
      </c>
    </row>
    <row r="120" spans="2:10" ht="15" customHeight="1">
      <c r="B120" s="192" t="s">
        <v>93</v>
      </c>
      <c r="C120" s="192" t="s">
        <v>94</v>
      </c>
      <c r="D120" s="193">
        <v>430833</v>
      </c>
      <c r="E120" s="193">
        <v>375113.11600000004</v>
      </c>
      <c r="F120" s="193">
        <v>373708.35499999998</v>
      </c>
      <c r="G120" s="193">
        <v>333217.58400000003</v>
      </c>
      <c r="H120" s="193">
        <v>367053</v>
      </c>
      <c r="I120" s="193">
        <v>312279.79399999999</v>
      </c>
      <c r="J120" s="193">
        <v>332944.55599999998</v>
      </c>
    </row>
    <row r="121" spans="2:10" ht="15" customHeight="1" thickBot="1">
      <c r="B121" s="192" t="s">
        <v>95</v>
      </c>
      <c r="C121" s="192" t="s">
        <v>96</v>
      </c>
      <c r="D121" s="193">
        <v>777201</v>
      </c>
      <c r="E121" s="193">
        <v>644510.76899999985</v>
      </c>
      <c r="F121" s="193">
        <v>793998.56099999999</v>
      </c>
      <c r="G121" s="193">
        <v>788486.69799999986</v>
      </c>
      <c r="H121" s="193">
        <v>841837</v>
      </c>
      <c r="I121" s="193">
        <v>610662.32400000002</v>
      </c>
      <c r="J121" s="193">
        <v>779651.94</v>
      </c>
    </row>
    <row r="122" spans="2:10" ht="15" customHeight="1" thickBot="1">
      <c r="B122" s="194" t="s">
        <v>97</v>
      </c>
      <c r="C122" s="194" t="s">
        <v>98</v>
      </c>
      <c r="D122" s="195">
        <f>SUM(D118:D121)</f>
        <v>3054245</v>
      </c>
      <c r="E122" s="195">
        <v>2717604.6159999999</v>
      </c>
      <c r="F122" s="195">
        <v>2819771.0809999998</v>
      </c>
      <c r="G122" s="195">
        <f t="shared" ref="G122" si="71">SUM(G118:G121)</f>
        <v>2702807.233</v>
      </c>
      <c r="H122" s="195">
        <f t="shared" ref="H122:I122" si="72">SUM(H118:H121)</f>
        <v>3061474</v>
      </c>
      <c r="I122" s="195">
        <f t="shared" si="72"/>
        <v>2548768.537</v>
      </c>
      <c r="J122" s="195">
        <f t="shared" ref="J122" si="73">SUM(J118:J121)</f>
        <v>2757215.909</v>
      </c>
    </row>
    <row r="123" spans="2:10" ht="15" customHeight="1">
      <c r="B123" s="192" t="s">
        <v>92</v>
      </c>
      <c r="C123" s="192" t="s">
        <v>92</v>
      </c>
      <c r="D123" s="193">
        <v>987012</v>
      </c>
      <c r="E123" s="193">
        <v>934809.02856000001</v>
      </c>
      <c r="F123" s="193">
        <v>984846.34890999994</v>
      </c>
      <c r="G123" s="193">
        <v>981845.58692999999</v>
      </c>
      <c r="H123" s="193">
        <v>1011126</v>
      </c>
      <c r="I123" s="193">
        <v>941816.24182999996</v>
      </c>
      <c r="J123" s="193">
        <v>1022162.3330200001</v>
      </c>
    </row>
    <row r="124" spans="2:10" ht="15" customHeight="1">
      <c r="B124" s="192" t="s">
        <v>93</v>
      </c>
      <c r="C124" s="192" t="s">
        <v>94</v>
      </c>
      <c r="D124" s="193">
        <v>205845</v>
      </c>
      <c r="E124" s="193">
        <v>232386.82245000001</v>
      </c>
      <c r="F124" s="193">
        <v>244362.99709000002</v>
      </c>
      <c r="G124" s="193">
        <v>232454.20116</v>
      </c>
      <c r="H124" s="193">
        <v>254155</v>
      </c>
      <c r="I124" s="193">
        <v>259016.95223</v>
      </c>
      <c r="J124" s="193">
        <v>278429.06056999997</v>
      </c>
    </row>
    <row r="125" spans="2:10" ht="15" customHeight="1" thickBot="1">
      <c r="B125" s="192" t="s">
        <v>95</v>
      </c>
      <c r="C125" s="192" t="s">
        <v>96</v>
      </c>
      <c r="D125" s="193">
        <v>62266</v>
      </c>
      <c r="E125" s="193">
        <v>59371.053310000105</v>
      </c>
      <c r="F125" s="193">
        <v>73354.542330000084</v>
      </c>
      <c r="G125" s="193">
        <v>80357.866290000034</v>
      </c>
      <c r="H125" s="193">
        <v>80286</v>
      </c>
      <c r="I125" s="193">
        <v>67968.252169999992</v>
      </c>
      <c r="J125" s="193">
        <v>82932.898069999996</v>
      </c>
    </row>
    <row r="126" spans="2:10" ht="15" customHeight="1" thickBot="1">
      <c r="B126" s="194" t="s">
        <v>99</v>
      </c>
      <c r="C126" s="194" t="s">
        <v>100</v>
      </c>
      <c r="D126" s="195">
        <f t="shared" ref="D126:I126" si="74">SUM(D123:D125)</f>
        <v>1255123</v>
      </c>
      <c r="E126" s="195">
        <v>1226566.9043200002</v>
      </c>
      <c r="F126" s="195">
        <v>1302563.88833</v>
      </c>
      <c r="G126" s="195">
        <f t="shared" ref="G126" si="75">SUM(G123:G125)</f>
        <v>1294657.65438</v>
      </c>
      <c r="H126" s="195">
        <f t="shared" si="74"/>
        <v>1345567</v>
      </c>
      <c r="I126" s="195">
        <f t="shared" si="74"/>
        <v>1268801.4462299999</v>
      </c>
      <c r="J126" s="195">
        <f t="shared" ref="J126" si="76">SUM(J123:J125)</f>
        <v>1383524.2916600001</v>
      </c>
    </row>
    <row r="127" spans="2:10" ht="15" customHeight="1" thickBot="1">
      <c r="B127" s="196" t="s">
        <v>2144</v>
      </c>
      <c r="C127" s="196" t="s">
        <v>2145</v>
      </c>
      <c r="D127" s="543">
        <v>3447</v>
      </c>
      <c r="E127" s="543">
        <v>2915.1910200000002</v>
      </c>
      <c r="F127" s="543">
        <v>2245.69722</v>
      </c>
      <c r="G127" s="543">
        <v>1378.80024</v>
      </c>
      <c r="H127" s="543">
        <v>-279</v>
      </c>
      <c r="I127" s="543">
        <v>687.77793999999994</v>
      </c>
      <c r="J127" s="543">
        <v>577.84236999999996</v>
      </c>
    </row>
    <row r="128" spans="2:10" ht="15" customHeight="1" thickBot="1">
      <c r="B128" s="199" t="s">
        <v>103</v>
      </c>
      <c r="C128" s="199" t="s">
        <v>2061</v>
      </c>
      <c r="D128" s="195">
        <f>SUM(D122,D126,D127)</f>
        <v>4312815</v>
      </c>
      <c r="E128" s="195">
        <v>3947086.7113399999</v>
      </c>
      <c r="F128" s="195">
        <v>4124580.6665499997</v>
      </c>
      <c r="G128" s="195">
        <f t="shared" ref="G128" si="77">SUM(G122,G126,G127)</f>
        <v>3998843.68762</v>
      </c>
      <c r="H128" s="195">
        <f t="shared" ref="H128:I128" si="78">SUM(H122,H126,H127)</f>
        <v>4406762</v>
      </c>
      <c r="I128" s="195">
        <f t="shared" si="78"/>
        <v>3818257.7611699998</v>
      </c>
      <c r="J128" s="195">
        <f t="shared" ref="J128" si="79">SUM(J122,J126,J127)</f>
        <v>4141318.0430300003</v>
      </c>
    </row>
    <row r="129" spans="2:11" ht="15" customHeight="1" thickBot="1">
      <c r="B129" s="581" t="s">
        <v>2060</v>
      </c>
      <c r="C129" s="581" t="s">
        <v>2063</v>
      </c>
      <c r="D129" s="582">
        <v>118223</v>
      </c>
      <c r="E129" s="582">
        <v>147480.17199999999</v>
      </c>
      <c r="F129" s="582">
        <v>183518.75100000002</v>
      </c>
      <c r="G129" s="582">
        <v>217445.27499999997</v>
      </c>
      <c r="H129" s="582">
        <v>321785</v>
      </c>
      <c r="I129" s="582">
        <v>338422.81999999995</v>
      </c>
      <c r="J129" s="582">
        <v>409195.15899999999</v>
      </c>
    </row>
    <row r="130" spans="2:11" ht="15" customHeight="1" thickBot="1">
      <c r="B130" s="199" t="s">
        <v>2135</v>
      </c>
      <c r="C130" s="199" t="s">
        <v>2138</v>
      </c>
      <c r="D130" s="580">
        <f t="shared" ref="D130:I130" si="80">D128+D129</f>
        <v>4431038</v>
      </c>
      <c r="E130" s="580">
        <v>4094566.8833399997</v>
      </c>
      <c r="F130" s="580">
        <v>4308099.4175499994</v>
      </c>
      <c r="G130" s="580">
        <f t="shared" ref="G130" si="81">G128+G129</f>
        <v>4216288.9626200004</v>
      </c>
      <c r="H130" s="580">
        <f t="shared" si="80"/>
        <v>4728547</v>
      </c>
      <c r="I130" s="580">
        <f t="shared" si="80"/>
        <v>4156680.5811699997</v>
      </c>
      <c r="J130" s="580">
        <f t="shared" ref="J130" si="82">J128+J129</f>
        <v>4550513.2020300003</v>
      </c>
      <c r="K130" s="742">
        <f>I130/H130-1</f>
        <v>-0.1209391423686812</v>
      </c>
    </row>
    <row r="131" spans="2:11" ht="15" customHeight="1" thickBot="1">
      <c r="B131" s="199" t="s">
        <v>2495</v>
      </c>
      <c r="C131" s="199" t="s">
        <v>2496</v>
      </c>
      <c r="D131" s="580"/>
      <c r="E131" s="580">
        <v>4454721</v>
      </c>
      <c r="F131" s="580">
        <v>4597059.0737979989</v>
      </c>
      <c r="G131" s="580"/>
      <c r="H131" s="580"/>
      <c r="I131" s="580">
        <v>4526302</v>
      </c>
      <c r="J131" s="580">
        <v>4839047.8254119996</v>
      </c>
    </row>
    <row r="132" spans="2:11" ht="15" customHeight="1" thickBot="1">
      <c r="B132" s="581" t="s">
        <v>2136</v>
      </c>
      <c r="C132" s="581" t="s">
        <v>2134</v>
      </c>
      <c r="D132" s="582">
        <f>'Bal. Energético D (Pós CP 09)'!D73</f>
        <v>160202.400161</v>
      </c>
      <c r="E132" s="582">
        <v>225772.13746199996</v>
      </c>
      <c r="F132" s="582">
        <v>237850.89749400015</v>
      </c>
      <c r="G132" s="582">
        <f>'Bal. Energético D (Pós CP 09)'!G73</f>
        <v>207639.359757</v>
      </c>
      <c r="H132" s="582">
        <f>'Bal. Energético D (Pós CP 09)'!H73</f>
        <v>176780.62816800005</v>
      </c>
      <c r="I132" s="582">
        <f>'Bal. Energético D (Pós CP 09)'!I73</f>
        <v>282413.7109399999</v>
      </c>
      <c r="J132" s="582">
        <f>'Bal. Energético D (Pós CP 09)'!J73</f>
        <v>246545.44713200006</v>
      </c>
    </row>
    <row r="133" spans="2:11" ht="15" customHeight="1" thickBot="1">
      <c r="B133" s="199" t="s">
        <v>2137</v>
      </c>
      <c r="C133" s="199" t="s">
        <v>2139</v>
      </c>
      <c r="D133" s="195">
        <f>SUM('Bal. Energético D (Pós CP 09)'!D71:D73)</f>
        <v>4815739.2075689994</v>
      </c>
      <c r="E133" s="195">
        <v>4631807.3266509986</v>
      </c>
      <c r="F133" s="195">
        <v>4782741.7286919998</v>
      </c>
      <c r="G133" s="195">
        <f>SUM('Bal. Energético D (Pós CP 09)'!G71:G73)</f>
        <v>4735779.8982729977</v>
      </c>
      <c r="H133" s="195">
        <f>SUM('Bal. Energético D (Pós CP 09)'!H71:H73)</f>
        <v>5178421.0580139989</v>
      </c>
      <c r="I133" s="195">
        <f>SUM('Bal. Energético D (Pós CP 09)'!I71:I73)</f>
        <v>4759751.5902359858</v>
      </c>
      <c r="J133" s="195">
        <f>SUM('Bal. Energético D (Pós CP 09)'!J71:J73)</f>
        <v>5042738.1762839984</v>
      </c>
    </row>
    <row r="134" spans="2:11" ht="15" customHeight="1">
      <c r="B134" s="204"/>
      <c r="C134" s="204"/>
      <c r="D134" s="493"/>
      <c r="E134" s="493"/>
      <c r="F134" s="493"/>
      <c r="G134" s="493"/>
      <c r="H134" s="493"/>
      <c r="I134" s="493"/>
      <c r="J134" s="493"/>
    </row>
    <row r="135" spans="2:11" ht="15" customHeight="1">
      <c r="B135" s="441" t="s">
        <v>2140</v>
      </c>
      <c r="C135" s="441" t="s">
        <v>2141</v>
      </c>
      <c r="D135" s="442">
        <f>D133+D115+D97+D79+D61+D43+D24</f>
        <v>15564115.473115467</v>
      </c>
      <c r="E135" s="442">
        <v>14888783.16244887</v>
      </c>
      <c r="F135" s="442">
        <v>14905613.606098011</v>
      </c>
      <c r="G135" s="442">
        <f t="shared" ref="G135" si="83">G133+G115+G97+G79+G61+G43+G24</f>
        <v>15249878.328725254</v>
      </c>
      <c r="H135" s="442">
        <f t="shared" ref="H135:I135" si="84">H133+H115+H97+H79+H61+H43+H24</f>
        <v>16336061.765129527</v>
      </c>
      <c r="I135" s="442">
        <f t="shared" si="84"/>
        <v>15607810.591988599</v>
      </c>
      <c r="J135" s="442">
        <f t="shared" ref="J135" si="85">J133+J115+J97+J79+J61+J43+J24</f>
        <v>15713625.685230741</v>
      </c>
    </row>
    <row r="137" spans="2:11" ht="15" customHeight="1">
      <c r="B137" s="439" t="s">
        <v>130</v>
      </c>
      <c r="C137" s="439" t="s">
        <v>131</v>
      </c>
      <c r="D137" s="440" t="str">
        <f>D6</f>
        <v>4T24</v>
      </c>
      <c r="E137" s="107" t="s">
        <v>87</v>
      </c>
      <c r="F137" s="107" t="s">
        <v>88</v>
      </c>
      <c r="G137" s="107" t="s">
        <v>88</v>
      </c>
      <c r="H137" s="440" t="str">
        <f>H6</f>
        <v>4T25</v>
      </c>
      <c r="I137" s="440" t="str">
        <f>I6</f>
        <v>1T26</v>
      </c>
      <c r="J137" s="440" t="str">
        <f>J6</f>
        <v>2T26</v>
      </c>
    </row>
    <row r="138" spans="2:11" ht="15" customHeight="1">
      <c r="B138" s="189"/>
      <c r="C138" s="189"/>
    </row>
    <row r="139" spans="2:11" ht="15" customHeight="1">
      <c r="B139" s="190" t="s">
        <v>89</v>
      </c>
      <c r="C139" s="190" t="s">
        <v>89</v>
      </c>
      <c r="D139" s="191"/>
      <c r="E139" s="191"/>
      <c r="F139" s="191"/>
      <c r="G139" s="191"/>
      <c r="H139" s="191"/>
      <c r="I139" s="191"/>
      <c r="J139" s="191"/>
    </row>
    <row r="140" spans="2:11" ht="15" customHeight="1">
      <c r="B140" s="192" t="s">
        <v>132</v>
      </c>
      <c r="C140" s="192" t="s">
        <v>133</v>
      </c>
      <c r="D140" s="201">
        <v>1562012</v>
      </c>
      <c r="E140" s="201">
        <v>1583360</v>
      </c>
      <c r="F140" s="201">
        <v>1599750</v>
      </c>
      <c r="G140" s="201">
        <v>1592764</v>
      </c>
      <c r="H140" s="201">
        <v>1644624</v>
      </c>
      <c r="I140" s="201">
        <v>1617335</v>
      </c>
      <c r="J140" s="201">
        <v>1614539</v>
      </c>
    </row>
    <row r="141" spans="2:11" ht="15" customHeight="1">
      <c r="B141" s="192" t="s">
        <v>134</v>
      </c>
      <c r="C141" s="192" t="s">
        <v>135</v>
      </c>
      <c r="D141" s="201">
        <v>1019719</v>
      </c>
      <c r="E141" s="201">
        <v>992564</v>
      </c>
      <c r="F141" s="201">
        <v>994064</v>
      </c>
      <c r="G141" s="201">
        <v>1019890</v>
      </c>
      <c r="H141" s="201">
        <v>984739</v>
      </c>
      <c r="I141" s="201">
        <v>1026908</v>
      </c>
      <c r="J141" s="201">
        <v>1044226</v>
      </c>
    </row>
    <row r="142" spans="2:11" ht="15" customHeight="1">
      <c r="B142" s="192" t="s">
        <v>92</v>
      </c>
      <c r="C142" s="192" t="s">
        <v>92</v>
      </c>
      <c r="D142" s="201">
        <v>2935</v>
      </c>
      <c r="E142" s="201">
        <v>2917</v>
      </c>
      <c r="F142" s="201">
        <v>2888</v>
      </c>
      <c r="G142" s="201">
        <v>2954</v>
      </c>
      <c r="H142" s="201">
        <v>2907</v>
      </c>
      <c r="I142" s="201">
        <v>2967</v>
      </c>
      <c r="J142" s="201">
        <v>2973</v>
      </c>
    </row>
    <row r="143" spans="2:11" ht="15" customHeight="1">
      <c r="B143" s="192" t="s">
        <v>93</v>
      </c>
      <c r="C143" s="192" t="s">
        <v>94</v>
      </c>
      <c r="D143" s="201">
        <v>62306</v>
      </c>
      <c r="E143" s="201">
        <v>62683</v>
      </c>
      <c r="F143" s="201">
        <v>64298</v>
      </c>
      <c r="G143" s="201">
        <v>62739</v>
      </c>
      <c r="H143" s="201">
        <v>63064</v>
      </c>
      <c r="I143" s="201">
        <v>63421</v>
      </c>
      <c r="J143" s="201">
        <v>63597</v>
      </c>
    </row>
    <row r="144" spans="2:11" ht="15" customHeight="1" thickBot="1">
      <c r="B144" s="192" t="s">
        <v>95</v>
      </c>
      <c r="C144" s="192" t="s">
        <v>96</v>
      </c>
      <c r="D144" s="201">
        <v>158990</v>
      </c>
      <c r="E144" s="201">
        <v>157526</v>
      </c>
      <c r="F144" s="201">
        <v>159015</v>
      </c>
      <c r="G144" s="201">
        <v>159341</v>
      </c>
      <c r="H144" s="201">
        <v>158897</v>
      </c>
      <c r="I144" s="201">
        <v>159500</v>
      </c>
      <c r="J144" s="201">
        <v>158145</v>
      </c>
    </row>
    <row r="145" spans="2:10" ht="15" customHeight="1" thickBot="1">
      <c r="B145" s="194" t="s">
        <v>136</v>
      </c>
      <c r="C145" s="194" t="s">
        <v>136</v>
      </c>
      <c r="D145" s="206">
        <f t="shared" ref="D145:G145" si="86">SUM(D140:D144)</f>
        <v>2805962</v>
      </c>
      <c r="E145" s="206">
        <f t="shared" si="86"/>
        <v>2799050</v>
      </c>
      <c r="F145" s="206">
        <f t="shared" si="86"/>
        <v>2820015</v>
      </c>
      <c r="G145" s="206">
        <f t="shared" si="86"/>
        <v>2837688</v>
      </c>
      <c r="H145" s="206">
        <f t="shared" ref="H145:I145" si="87">SUM(H140:H144)</f>
        <v>2854231</v>
      </c>
      <c r="I145" s="206">
        <f t="shared" si="87"/>
        <v>2870131</v>
      </c>
      <c r="J145" s="206">
        <f t="shared" ref="J145" si="88">SUM(J140:J144)</f>
        <v>2883480</v>
      </c>
    </row>
    <row r="146" spans="2:10" ht="15" customHeight="1">
      <c r="B146" s="207"/>
      <c r="C146" s="207"/>
    </row>
    <row r="147" spans="2:10" ht="15" customHeight="1">
      <c r="B147" s="190" t="s">
        <v>110</v>
      </c>
      <c r="C147" s="190" t="s">
        <v>110</v>
      </c>
      <c r="D147" s="191"/>
      <c r="E147" s="191"/>
      <c r="F147" s="191"/>
      <c r="G147" s="191"/>
      <c r="H147" s="191"/>
      <c r="I147" s="191"/>
      <c r="J147" s="191"/>
    </row>
    <row r="148" spans="2:10" ht="15" customHeight="1">
      <c r="B148" s="192" t="s">
        <v>132</v>
      </c>
      <c r="C148" s="192" t="s">
        <v>133</v>
      </c>
      <c r="D148" s="201">
        <v>1706344</v>
      </c>
      <c r="E148" s="201">
        <v>1732771</v>
      </c>
      <c r="F148" s="201">
        <v>1734576</v>
      </c>
      <c r="G148" s="201">
        <v>1726277</v>
      </c>
      <c r="H148" s="201">
        <v>1772304</v>
      </c>
      <c r="I148" s="201">
        <v>1753100</v>
      </c>
      <c r="J148" s="201">
        <v>1747031</v>
      </c>
    </row>
    <row r="149" spans="2:10" ht="15" customHeight="1">
      <c r="B149" s="192" t="s">
        <v>134</v>
      </c>
      <c r="C149" s="192" t="s">
        <v>135</v>
      </c>
      <c r="D149" s="201">
        <v>989308</v>
      </c>
      <c r="E149" s="201">
        <v>948684</v>
      </c>
      <c r="F149" s="201">
        <v>966287</v>
      </c>
      <c r="G149" s="201">
        <v>1001066</v>
      </c>
      <c r="H149" s="201">
        <v>958376</v>
      </c>
      <c r="I149" s="201">
        <v>988691</v>
      </c>
      <c r="J149" s="201">
        <v>1011056</v>
      </c>
    </row>
    <row r="150" spans="2:10" ht="15" customHeight="1">
      <c r="B150" s="192" t="s">
        <v>92</v>
      </c>
      <c r="C150" s="192" t="s">
        <v>92</v>
      </c>
      <c r="D150" s="201">
        <v>4461</v>
      </c>
      <c r="E150" s="201">
        <v>4421</v>
      </c>
      <c r="F150" s="201">
        <v>4376</v>
      </c>
      <c r="G150" s="201">
        <v>4460</v>
      </c>
      <c r="H150" s="201">
        <v>4764</v>
      </c>
      <c r="I150" s="201">
        <v>4801</v>
      </c>
      <c r="J150" s="201">
        <v>4749</v>
      </c>
    </row>
    <row r="151" spans="2:10" ht="15" customHeight="1">
      <c r="B151" s="192" t="s">
        <v>93</v>
      </c>
      <c r="C151" s="192" t="s">
        <v>94</v>
      </c>
      <c r="D151" s="201">
        <v>153060</v>
      </c>
      <c r="E151" s="201">
        <v>152081</v>
      </c>
      <c r="F151" s="201">
        <v>152338</v>
      </c>
      <c r="G151" s="201">
        <v>152984</v>
      </c>
      <c r="H151" s="201">
        <v>153361</v>
      </c>
      <c r="I151" s="201">
        <v>153015</v>
      </c>
      <c r="J151" s="201">
        <v>152799</v>
      </c>
    </row>
    <row r="152" spans="2:10" ht="15" customHeight="1" thickBot="1">
      <c r="B152" s="192" t="s">
        <v>95</v>
      </c>
      <c r="C152" s="192" t="s">
        <v>96</v>
      </c>
      <c r="D152" s="201">
        <v>211031</v>
      </c>
      <c r="E152" s="201">
        <v>208981</v>
      </c>
      <c r="F152" s="201">
        <v>206785</v>
      </c>
      <c r="G152" s="201">
        <v>204201</v>
      </c>
      <c r="H152" s="201">
        <v>204150</v>
      </c>
      <c r="I152" s="201">
        <v>203533</v>
      </c>
      <c r="J152" s="201">
        <v>200882</v>
      </c>
    </row>
    <row r="153" spans="2:10" ht="15" customHeight="1" thickBot="1">
      <c r="B153" s="194" t="s">
        <v>137</v>
      </c>
      <c r="C153" s="194" t="s">
        <v>137</v>
      </c>
      <c r="D153" s="206">
        <f t="shared" ref="D153:H153" si="89">SUM(D148:D152)</f>
        <v>3064204</v>
      </c>
      <c r="E153" s="206">
        <f t="shared" ref="E153:G153" si="90">SUM(E148:E152)</f>
        <v>3046938</v>
      </c>
      <c r="F153" s="206">
        <f t="shared" si="90"/>
        <v>3064362</v>
      </c>
      <c r="G153" s="206">
        <f t="shared" si="90"/>
        <v>3088988</v>
      </c>
      <c r="H153" s="206">
        <f t="shared" si="89"/>
        <v>3092955</v>
      </c>
      <c r="I153" s="206">
        <f t="shared" ref="I153:J153" si="91">SUM(I148:I152)</f>
        <v>3103140</v>
      </c>
      <c r="J153" s="206">
        <f t="shared" si="91"/>
        <v>3116517</v>
      </c>
    </row>
    <row r="154" spans="2:10" ht="15" customHeight="1">
      <c r="B154" s="208"/>
      <c r="C154" s="208"/>
      <c r="D154" s="209"/>
      <c r="E154" s="209"/>
      <c r="F154" s="209"/>
      <c r="G154" s="209"/>
      <c r="H154" s="209"/>
      <c r="I154" s="209"/>
      <c r="J154" s="209"/>
    </row>
    <row r="155" spans="2:10" ht="15" customHeight="1">
      <c r="B155" s="190" t="s">
        <v>113</v>
      </c>
      <c r="C155" s="190" t="s">
        <v>113</v>
      </c>
      <c r="D155" s="191"/>
      <c r="E155" s="191"/>
      <c r="F155" s="191"/>
      <c r="G155" s="191"/>
      <c r="H155" s="191"/>
      <c r="I155" s="191"/>
      <c r="J155" s="191"/>
    </row>
    <row r="156" spans="2:10" ht="15" customHeight="1">
      <c r="B156" s="192" t="s">
        <v>132</v>
      </c>
      <c r="C156" s="192" t="s">
        <v>133</v>
      </c>
      <c r="D156" s="201">
        <v>779586</v>
      </c>
      <c r="E156" s="201">
        <v>798528</v>
      </c>
      <c r="F156" s="201">
        <v>802585</v>
      </c>
      <c r="G156" s="201">
        <v>808371</v>
      </c>
      <c r="H156" s="201">
        <v>828315</v>
      </c>
      <c r="I156" s="201">
        <v>804395</v>
      </c>
      <c r="J156" s="201">
        <v>799210</v>
      </c>
    </row>
    <row r="157" spans="2:10" ht="15" customHeight="1">
      <c r="B157" s="192" t="s">
        <v>134</v>
      </c>
      <c r="C157" s="192" t="s">
        <v>135</v>
      </c>
      <c r="D157" s="201">
        <v>540749</v>
      </c>
      <c r="E157" s="201">
        <v>522965</v>
      </c>
      <c r="F157" s="201">
        <v>529574</v>
      </c>
      <c r="G157" s="201">
        <v>539141</v>
      </c>
      <c r="H157" s="201">
        <v>525041</v>
      </c>
      <c r="I157" s="201">
        <v>561248</v>
      </c>
      <c r="J157" s="201">
        <v>572268</v>
      </c>
    </row>
    <row r="158" spans="2:10" ht="15" customHeight="1">
      <c r="B158" s="192" t="s">
        <v>92</v>
      </c>
      <c r="C158" s="192" t="s">
        <v>92</v>
      </c>
      <c r="D158" s="201">
        <v>2428</v>
      </c>
      <c r="E158" s="201">
        <v>2410</v>
      </c>
      <c r="F158" s="201">
        <v>2407</v>
      </c>
      <c r="G158" s="201">
        <v>2387</v>
      </c>
      <c r="H158" s="201">
        <v>2392</v>
      </c>
      <c r="I158" s="201">
        <v>2369</v>
      </c>
      <c r="J158" s="201">
        <v>2353</v>
      </c>
    </row>
    <row r="159" spans="2:10" ht="15" customHeight="1">
      <c r="B159" s="192" t="s">
        <v>93</v>
      </c>
      <c r="C159" s="192" t="s">
        <v>94</v>
      </c>
      <c r="D159" s="201">
        <v>89025</v>
      </c>
      <c r="E159" s="201">
        <v>88588</v>
      </c>
      <c r="F159" s="201">
        <v>89389</v>
      </c>
      <c r="G159" s="201">
        <v>89938</v>
      </c>
      <c r="H159" s="201">
        <v>89850</v>
      </c>
      <c r="I159" s="201">
        <v>89822</v>
      </c>
      <c r="J159" s="201">
        <v>90249</v>
      </c>
    </row>
    <row r="160" spans="2:10" ht="15" customHeight="1" thickBot="1">
      <c r="B160" s="192" t="s">
        <v>95</v>
      </c>
      <c r="C160" s="192" t="s">
        <v>96</v>
      </c>
      <c r="D160" s="201">
        <v>135161</v>
      </c>
      <c r="E160" s="201">
        <v>134828</v>
      </c>
      <c r="F160" s="201">
        <v>134459</v>
      </c>
      <c r="G160" s="201">
        <v>133931</v>
      </c>
      <c r="H160" s="201">
        <v>133399</v>
      </c>
      <c r="I160" s="201">
        <v>132602</v>
      </c>
      <c r="J160" s="201">
        <v>131471</v>
      </c>
    </row>
    <row r="161" spans="2:10" ht="15" customHeight="1" thickBot="1">
      <c r="B161" s="194" t="s">
        <v>138</v>
      </c>
      <c r="C161" s="194" t="s">
        <v>138</v>
      </c>
      <c r="D161" s="206">
        <f t="shared" ref="D161:H161" si="92">SUM(D156:D160)</f>
        <v>1546949</v>
      </c>
      <c r="E161" s="206">
        <f t="shared" ref="E161:G161" si="93">SUM(E156:E160)</f>
        <v>1547319</v>
      </c>
      <c r="F161" s="206">
        <f t="shared" si="93"/>
        <v>1558414</v>
      </c>
      <c r="G161" s="206">
        <f t="shared" si="93"/>
        <v>1573768</v>
      </c>
      <c r="H161" s="206">
        <f t="shared" si="92"/>
        <v>1578997</v>
      </c>
      <c r="I161" s="206">
        <f t="shared" ref="I161:J161" si="94">SUM(I156:I160)</f>
        <v>1590436</v>
      </c>
      <c r="J161" s="206">
        <f t="shared" si="94"/>
        <v>1595551</v>
      </c>
    </row>
    <row r="162" spans="2:10" ht="15" customHeight="1">
      <c r="B162" s="208"/>
      <c r="C162" s="208"/>
      <c r="D162" s="209"/>
      <c r="E162" s="209"/>
      <c r="F162" s="209"/>
      <c r="G162" s="209"/>
      <c r="H162" s="209"/>
      <c r="I162" s="209"/>
      <c r="J162" s="209"/>
    </row>
    <row r="163" spans="2:10" ht="15" customHeight="1">
      <c r="B163" s="190" t="s">
        <v>116</v>
      </c>
      <c r="C163" s="190" t="s">
        <v>116</v>
      </c>
      <c r="D163" s="191"/>
      <c r="E163" s="191"/>
      <c r="F163" s="191"/>
      <c r="G163" s="191"/>
      <c r="H163" s="191"/>
      <c r="I163" s="191"/>
      <c r="J163" s="191"/>
    </row>
    <row r="164" spans="2:10" ht="15" customHeight="1">
      <c r="B164" s="192" t="s">
        <v>132</v>
      </c>
      <c r="C164" s="192" t="s">
        <v>133</v>
      </c>
      <c r="D164" s="201">
        <v>755485</v>
      </c>
      <c r="E164" s="201">
        <v>775110</v>
      </c>
      <c r="F164" s="201">
        <v>783385</v>
      </c>
      <c r="G164" s="201">
        <v>786539</v>
      </c>
      <c r="H164" s="201">
        <v>809385</v>
      </c>
      <c r="I164" s="201">
        <v>799858</v>
      </c>
      <c r="J164" s="201">
        <v>795580</v>
      </c>
    </row>
    <row r="165" spans="2:10" ht="15" customHeight="1">
      <c r="B165" s="192" t="s">
        <v>134</v>
      </c>
      <c r="C165" s="192" t="s">
        <v>135</v>
      </c>
      <c r="D165" s="201">
        <v>522184</v>
      </c>
      <c r="E165" s="201">
        <v>505927</v>
      </c>
      <c r="F165" s="201">
        <v>503531</v>
      </c>
      <c r="G165" s="201">
        <v>508144</v>
      </c>
      <c r="H165" s="201">
        <v>494682</v>
      </c>
      <c r="I165" s="201">
        <v>516099</v>
      </c>
      <c r="J165" s="201">
        <v>526617</v>
      </c>
    </row>
    <row r="166" spans="2:10" ht="15" customHeight="1">
      <c r="B166" s="192" t="s">
        <v>92</v>
      </c>
      <c r="C166" s="192" t="s">
        <v>92</v>
      </c>
      <c r="D166" s="201">
        <v>2293</v>
      </c>
      <c r="E166" s="201">
        <v>2287</v>
      </c>
      <c r="F166" s="201">
        <v>2276</v>
      </c>
      <c r="G166" s="201">
        <v>2251</v>
      </c>
      <c r="H166" s="201">
        <v>2290</v>
      </c>
      <c r="I166" s="201">
        <v>2271</v>
      </c>
      <c r="J166" s="201">
        <v>2266</v>
      </c>
    </row>
    <row r="167" spans="2:10" ht="15" customHeight="1">
      <c r="B167" s="192" t="s">
        <v>93</v>
      </c>
      <c r="C167" s="192" t="s">
        <v>94</v>
      </c>
      <c r="D167" s="201">
        <v>71402</v>
      </c>
      <c r="E167" s="201">
        <v>71105</v>
      </c>
      <c r="F167" s="201">
        <v>71138</v>
      </c>
      <c r="G167" s="201">
        <v>71160</v>
      </c>
      <c r="H167" s="201">
        <v>71608</v>
      </c>
      <c r="I167" s="201">
        <v>71455</v>
      </c>
      <c r="J167" s="201">
        <v>71423</v>
      </c>
    </row>
    <row r="168" spans="2:10" ht="15" customHeight="1" thickBot="1">
      <c r="B168" s="192" t="s">
        <v>95</v>
      </c>
      <c r="C168" s="192" t="s">
        <v>96</v>
      </c>
      <c r="D168" s="201">
        <v>43185</v>
      </c>
      <c r="E168" s="201">
        <v>43196</v>
      </c>
      <c r="F168" s="201">
        <v>42764</v>
      </c>
      <c r="G168" s="201">
        <v>42915</v>
      </c>
      <c r="H168" s="201">
        <v>42792</v>
      </c>
      <c r="I168" s="201">
        <v>42780</v>
      </c>
      <c r="J168" s="201">
        <v>42503</v>
      </c>
    </row>
    <row r="169" spans="2:10" ht="15" customHeight="1" thickBot="1">
      <c r="B169" s="194" t="s">
        <v>139</v>
      </c>
      <c r="C169" s="194" t="s">
        <v>139</v>
      </c>
      <c r="D169" s="206">
        <f t="shared" ref="D169:H169" si="95">SUM(D164:D168)</f>
        <v>1394549</v>
      </c>
      <c r="E169" s="206">
        <f t="shared" ref="E169:G169" si="96">SUM(E164:E168)</f>
        <v>1397625</v>
      </c>
      <c r="F169" s="206">
        <f t="shared" si="96"/>
        <v>1403094</v>
      </c>
      <c r="G169" s="206">
        <f t="shared" si="96"/>
        <v>1411009</v>
      </c>
      <c r="H169" s="206">
        <f t="shared" si="95"/>
        <v>1420757</v>
      </c>
      <c r="I169" s="206">
        <f t="shared" ref="I169:J169" si="97">SUM(I164:I168)</f>
        <v>1432463</v>
      </c>
      <c r="J169" s="206">
        <f t="shared" si="97"/>
        <v>1438389</v>
      </c>
    </row>
    <row r="170" spans="2:10" ht="15" customHeight="1">
      <c r="B170" s="208"/>
      <c r="C170" s="208"/>
      <c r="D170" s="209"/>
      <c r="E170" s="209"/>
      <c r="F170" s="209"/>
      <c r="G170" s="209"/>
      <c r="H170" s="209"/>
      <c r="I170" s="209"/>
      <c r="J170" s="209"/>
    </row>
    <row r="171" spans="2:10" ht="15" customHeight="1">
      <c r="B171" s="190" t="s">
        <v>119</v>
      </c>
      <c r="C171" s="190" t="s">
        <v>119</v>
      </c>
      <c r="D171" s="191"/>
      <c r="E171" s="191"/>
      <c r="F171" s="191"/>
      <c r="G171" s="191"/>
      <c r="H171" s="191"/>
      <c r="I171" s="191"/>
      <c r="J171" s="191"/>
    </row>
    <row r="172" spans="2:10" ht="15" customHeight="1">
      <c r="B172" s="192" t="s">
        <v>132</v>
      </c>
      <c r="C172" s="192" t="s">
        <v>133</v>
      </c>
      <c r="D172" s="201">
        <v>1436933</v>
      </c>
      <c r="E172" s="201">
        <v>1449920</v>
      </c>
      <c r="F172" s="201">
        <v>1449103</v>
      </c>
      <c r="G172" s="201">
        <v>1451775</v>
      </c>
      <c r="H172" s="201">
        <v>1509048</v>
      </c>
      <c r="I172" s="201">
        <v>1493529</v>
      </c>
      <c r="J172" s="201">
        <v>1532417</v>
      </c>
    </row>
    <row r="173" spans="2:10" ht="15" customHeight="1">
      <c r="B173" s="192" t="s">
        <v>134</v>
      </c>
      <c r="C173" s="192" t="s">
        <v>135</v>
      </c>
      <c r="D173" s="201">
        <v>243179</v>
      </c>
      <c r="E173" s="201">
        <v>242569</v>
      </c>
      <c r="F173" s="201">
        <v>251038</v>
      </c>
      <c r="G173" s="201">
        <v>259935</v>
      </c>
      <c r="H173" s="201">
        <v>210990</v>
      </c>
      <c r="I173" s="201">
        <v>237985</v>
      </c>
      <c r="J173" s="201">
        <v>218192</v>
      </c>
    </row>
    <row r="174" spans="2:10" ht="15" customHeight="1">
      <c r="B174" s="192" t="s">
        <v>92</v>
      </c>
      <c r="C174" s="192" t="s">
        <v>92</v>
      </c>
      <c r="D174" s="201">
        <v>3557</v>
      </c>
      <c r="E174" s="201">
        <v>3553</v>
      </c>
      <c r="F174" s="201">
        <v>3582</v>
      </c>
      <c r="G174" s="201">
        <v>3615</v>
      </c>
      <c r="H174" s="201">
        <v>3630</v>
      </c>
      <c r="I174" s="201">
        <v>3649</v>
      </c>
      <c r="J174" s="201">
        <v>3648</v>
      </c>
    </row>
    <row r="175" spans="2:10" ht="15" customHeight="1">
      <c r="B175" s="192" t="s">
        <v>93</v>
      </c>
      <c r="C175" s="192" t="s">
        <v>94</v>
      </c>
      <c r="D175" s="201">
        <v>171162</v>
      </c>
      <c r="E175" s="201">
        <v>171708</v>
      </c>
      <c r="F175" s="201">
        <v>171834</v>
      </c>
      <c r="G175" s="201">
        <v>171761</v>
      </c>
      <c r="H175" s="201">
        <v>172301</v>
      </c>
      <c r="I175" s="201">
        <v>172681</v>
      </c>
      <c r="J175" s="201">
        <v>173360</v>
      </c>
    </row>
    <row r="176" spans="2:10" ht="15" customHeight="1" thickBot="1">
      <c r="B176" s="192" t="s">
        <v>95</v>
      </c>
      <c r="C176" s="192" t="s">
        <v>96</v>
      </c>
      <c r="D176" s="201">
        <v>102688</v>
      </c>
      <c r="E176" s="201">
        <v>102841</v>
      </c>
      <c r="F176" s="201">
        <v>102916</v>
      </c>
      <c r="G176" s="201">
        <v>102808</v>
      </c>
      <c r="H176" s="201">
        <v>102827</v>
      </c>
      <c r="I176" s="201">
        <v>102786</v>
      </c>
      <c r="J176" s="201">
        <v>103581</v>
      </c>
    </row>
    <row r="177" spans="2:10" ht="15" customHeight="1" thickBot="1">
      <c r="B177" s="194" t="s">
        <v>140</v>
      </c>
      <c r="C177" s="194" t="s">
        <v>140</v>
      </c>
      <c r="D177" s="206">
        <f t="shared" ref="D177:G177" si="98">SUM(D172:D176)</f>
        <v>1957519</v>
      </c>
      <c r="E177" s="206">
        <f t="shared" si="98"/>
        <v>1970591</v>
      </c>
      <c r="F177" s="206">
        <f t="shared" si="98"/>
        <v>1978473</v>
      </c>
      <c r="G177" s="206">
        <f t="shared" si="98"/>
        <v>1989894</v>
      </c>
      <c r="H177" s="206">
        <f t="shared" ref="H177:I177" si="99">SUM(H172:H176)</f>
        <v>1998796</v>
      </c>
      <c r="I177" s="206">
        <f t="shared" si="99"/>
        <v>2010630</v>
      </c>
      <c r="J177" s="206">
        <f t="shared" ref="J177" si="100">SUM(J172:J176)</f>
        <v>2031198</v>
      </c>
    </row>
    <row r="178" spans="2:10" ht="15" customHeight="1">
      <c r="B178" s="208"/>
      <c r="C178" s="208"/>
      <c r="D178" s="209"/>
      <c r="E178" s="209"/>
      <c r="F178" s="209"/>
      <c r="G178" s="209"/>
      <c r="H178" s="209"/>
      <c r="I178" s="209"/>
      <c r="J178" s="209"/>
    </row>
    <row r="179" spans="2:10" ht="15" customHeight="1">
      <c r="B179" s="190" t="s">
        <v>122</v>
      </c>
      <c r="C179" s="190" t="s">
        <v>122</v>
      </c>
      <c r="D179" s="191"/>
      <c r="E179" s="191"/>
      <c r="F179" s="191"/>
      <c r="G179" s="191"/>
      <c r="H179" s="191"/>
      <c r="I179" s="191"/>
      <c r="J179" s="191"/>
    </row>
    <row r="180" spans="2:10" ht="15" customHeight="1">
      <c r="B180" s="192" t="s">
        <v>132</v>
      </c>
      <c r="C180" s="192" t="s">
        <v>133</v>
      </c>
      <c r="D180" s="201">
        <v>119651</v>
      </c>
      <c r="E180" s="201">
        <v>141754</v>
      </c>
      <c r="F180" s="201">
        <v>139792</v>
      </c>
      <c r="G180" s="201">
        <v>141354</v>
      </c>
      <c r="H180" s="201">
        <v>163392</v>
      </c>
      <c r="I180" s="201">
        <v>159421</v>
      </c>
      <c r="J180" s="201">
        <v>151938</v>
      </c>
    </row>
    <row r="181" spans="2:10" ht="15" customHeight="1">
      <c r="B181" s="192" t="s">
        <v>134</v>
      </c>
      <c r="C181" s="192" t="s">
        <v>135</v>
      </c>
      <c r="D181" s="201">
        <v>96911</v>
      </c>
      <c r="E181" s="201">
        <v>98528</v>
      </c>
      <c r="F181" s="201">
        <v>100665</v>
      </c>
      <c r="G181" s="201">
        <v>102701</v>
      </c>
      <c r="H181" s="201">
        <v>83801</v>
      </c>
      <c r="I181" s="201">
        <v>93232</v>
      </c>
      <c r="J181" s="201">
        <v>100391</v>
      </c>
    </row>
    <row r="182" spans="2:10" ht="15" customHeight="1">
      <c r="B182" s="192" t="s">
        <v>92</v>
      </c>
      <c r="C182" s="192" t="s">
        <v>92</v>
      </c>
      <c r="D182" s="201">
        <v>521</v>
      </c>
      <c r="E182" s="201">
        <v>579</v>
      </c>
      <c r="F182" s="201">
        <v>564</v>
      </c>
      <c r="G182" s="201">
        <v>568</v>
      </c>
      <c r="H182" s="201">
        <v>525</v>
      </c>
      <c r="I182" s="201">
        <v>540</v>
      </c>
      <c r="J182" s="201">
        <v>534</v>
      </c>
    </row>
    <row r="183" spans="2:10" ht="15" customHeight="1">
      <c r="B183" s="192" t="s">
        <v>93</v>
      </c>
      <c r="C183" s="192" t="s">
        <v>94</v>
      </c>
      <c r="D183" s="201">
        <v>15538</v>
      </c>
      <c r="E183" s="201">
        <v>17381</v>
      </c>
      <c r="F183" s="201">
        <v>17395</v>
      </c>
      <c r="G183" s="201">
        <v>17592</v>
      </c>
      <c r="H183" s="201">
        <v>16337</v>
      </c>
      <c r="I183" s="201">
        <v>17537</v>
      </c>
      <c r="J183" s="201">
        <v>17511</v>
      </c>
    </row>
    <row r="184" spans="2:10" ht="15" customHeight="1" thickBot="1">
      <c r="B184" s="192" t="s">
        <v>95</v>
      </c>
      <c r="C184" s="192" t="s">
        <v>96</v>
      </c>
      <c r="D184" s="201">
        <v>5317</v>
      </c>
      <c r="E184" s="201">
        <v>5826</v>
      </c>
      <c r="F184" s="201">
        <v>5823</v>
      </c>
      <c r="G184" s="201">
        <v>5869</v>
      </c>
      <c r="H184" s="201">
        <v>5940</v>
      </c>
      <c r="I184" s="201">
        <v>6035</v>
      </c>
      <c r="J184" s="201">
        <v>6112</v>
      </c>
    </row>
    <row r="185" spans="2:10" ht="15" customHeight="1" thickBot="1">
      <c r="B185" s="194" t="s">
        <v>141</v>
      </c>
      <c r="C185" s="194" t="s">
        <v>141</v>
      </c>
      <c r="D185" s="206">
        <f t="shared" ref="D185:H185" si="101">SUM(D180:D184)</f>
        <v>237938</v>
      </c>
      <c r="E185" s="206">
        <f t="shared" ref="E185:G185" si="102">SUM(E180:E184)</f>
        <v>264068</v>
      </c>
      <c r="F185" s="206">
        <f t="shared" si="102"/>
        <v>264239</v>
      </c>
      <c r="G185" s="206">
        <f t="shared" si="102"/>
        <v>268084</v>
      </c>
      <c r="H185" s="206">
        <f t="shared" si="101"/>
        <v>269995</v>
      </c>
      <c r="I185" s="206">
        <f t="shared" ref="I185:J185" si="103">SUM(I180:I184)</f>
        <v>276765</v>
      </c>
      <c r="J185" s="206">
        <f t="shared" si="103"/>
        <v>276486</v>
      </c>
    </row>
    <row r="186" spans="2:10" ht="15" customHeight="1">
      <c r="B186" s="208"/>
      <c r="C186" s="208"/>
      <c r="D186" s="209"/>
      <c r="E186" s="209"/>
      <c r="F186" s="209"/>
      <c r="G186" s="209"/>
      <c r="H186" s="209"/>
      <c r="I186" s="209"/>
      <c r="J186" s="209"/>
    </row>
    <row r="187" spans="2:10" ht="15" customHeight="1">
      <c r="B187" s="190" t="s">
        <v>125</v>
      </c>
      <c r="C187" s="190" t="s">
        <v>125</v>
      </c>
      <c r="D187" s="191"/>
      <c r="E187" s="191"/>
      <c r="F187" s="191"/>
      <c r="G187" s="191"/>
      <c r="H187" s="191"/>
      <c r="I187" s="191"/>
      <c r="J187" s="191"/>
    </row>
    <row r="188" spans="2:10" ht="15" customHeight="1">
      <c r="B188" s="192" t="s">
        <v>132</v>
      </c>
      <c r="C188" s="192" t="s">
        <v>133</v>
      </c>
      <c r="D188" s="201">
        <v>2451470</v>
      </c>
      <c r="E188" s="201">
        <v>2493682</v>
      </c>
      <c r="F188" s="201">
        <v>2501354</v>
      </c>
      <c r="G188" s="201">
        <v>2496482</v>
      </c>
      <c r="H188" s="201">
        <v>2556024</v>
      </c>
      <c r="I188" s="201">
        <v>2508469</v>
      </c>
      <c r="J188" s="201">
        <v>2598467</v>
      </c>
    </row>
    <row r="189" spans="2:10" ht="15" customHeight="1">
      <c r="B189" s="192" t="s">
        <v>134</v>
      </c>
      <c r="C189" s="192" t="s">
        <v>135</v>
      </c>
      <c r="D189" s="201">
        <v>524014</v>
      </c>
      <c r="E189" s="201">
        <v>499050</v>
      </c>
      <c r="F189" s="201">
        <v>514703</v>
      </c>
      <c r="G189" s="201">
        <v>541259</v>
      </c>
      <c r="H189" s="201">
        <v>504625</v>
      </c>
      <c r="I189" s="201">
        <v>574655</v>
      </c>
      <c r="J189" s="201">
        <v>573998</v>
      </c>
    </row>
    <row r="190" spans="2:10" ht="15" customHeight="1">
      <c r="B190" s="192" t="s">
        <v>92</v>
      </c>
      <c r="C190" s="192" t="s">
        <v>92</v>
      </c>
      <c r="D190" s="201">
        <v>8341</v>
      </c>
      <c r="E190" s="201">
        <v>8241</v>
      </c>
      <c r="F190" s="201">
        <v>8211</v>
      </c>
      <c r="G190" s="201">
        <v>8206</v>
      </c>
      <c r="H190" s="201">
        <v>8140</v>
      </c>
      <c r="I190" s="201">
        <v>8159</v>
      </c>
      <c r="J190" s="201">
        <v>8302</v>
      </c>
    </row>
    <row r="191" spans="2:10" ht="15" customHeight="1">
      <c r="B191" s="192" t="s">
        <v>93</v>
      </c>
      <c r="C191" s="192" t="s">
        <v>94</v>
      </c>
      <c r="D191" s="201">
        <v>195850</v>
      </c>
      <c r="E191" s="201">
        <v>195464</v>
      </c>
      <c r="F191" s="201">
        <v>196518</v>
      </c>
      <c r="G191" s="201">
        <v>195647</v>
      </c>
      <c r="H191" s="201">
        <v>194499</v>
      </c>
      <c r="I191" s="201">
        <v>194534</v>
      </c>
      <c r="J191" s="201">
        <v>200206</v>
      </c>
    </row>
    <row r="192" spans="2:10" ht="15" customHeight="1" thickBot="1">
      <c r="B192" s="192" t="s">
        <v>95</v>
      </c>
      <c r="C192" s="192" t="s">
        <v>96</v>
      </c>
      <c r="D192" s="201">
        <v>256552</v>
      </c>
      <c r="E192" s="201">
        <v>256845</v>
      </c>
      <c r="F192" s="201">
        <v>258251</v>
      </c>
      <c r="G192" s="201">
        <v>259340</v>
      </c>
      <c r="H192" s="201">
        <v>258416</v>
      </c>
      <c r="I192" s="201">
        <v>264175</v>
      </c>
      <c r="J192" s="201">
        <v>270048</v>
      </c>
    </row>
    <row r="193" spans="2:10" ht="15" customHeight="1" thickBot="1">
      <c r="B193" s="194" t="s">
        <v>142</v>
      </c>
      <c r="C193" s="194" t="s">
        <v>142</v>
      </c>
      <c r="D193" s="206">
        <f t="shared" ref="D193:G193" si="104">SUM(D188:D192)</f>
        <v>3436227</v>
      </c>
      <c r="E193" s="206">
        <f t="shared" si="104"/>
        <v>3453282</v>
      </c>
      <c r="F193" s="206">
        <f t="shared" si="104"/>
        <v>3479037</v>
      </c>
      <c r="G193" s="206">
        <f t="shared" si="104"/>
        <v>3500934</v>
      </c>
      <c r="H193" s="206">
        <f t="shared" ref="H193:I193" si="105">SUM(H188:H192)</f>
        <v>3521704</v>
      </c>
      <c r="I193" s="206">
        <f t="shared" si="105"/>
        <v>3549992</v>
      </c>
      <c r="J193" s="206">
        <f t="shared" ref="J193" si="106">SUM(J188:J192)</f>
        <v>3651021</v>
      </c>
    </row>
    <row r="194" spans="2:10" ht="15" customHeight="1">
      <c r="B194" s="208"/>
      <c r="C194" s="208"/>
      <c r="D194" s="209"/>
      <c r="E194" s="209"/>
      <c r="F194" s="209"/>
      <c r="G194" s="209"/>
      <c r="H194" s="209"/>
      <c r="I194" s="209"/>
      <c r="J194" s="209"/>
    </row>
    <row r="195" spans="2:10" ht="15" customHeight="1">
      <c r="B195" s="443" t="s">
        <v>143</v>
      </c>
      <c r="C195" s="443" t="s">
        <v>144</v>
      </c>
      <c r="D195" s="443">
        <f>D145+D153+D161+D169+D185+D177+D193</f>
        <v>14443348</v>
      </c>
      <c r="E195" s="443">
        <f t="shared" ref="E195:G195" si="107">E145+E153+E161+E169+E185+E177+E193</f>
        <v>14478873</v>
      </c>
      <c r="F195" s="443">
        <f t="shared" si="107"/>
        <v>14567634</v>
      </c>
      <c r="G195" s="443">
        <f t="shared" si="107"/>
        <v>14670365</v>
      </c>
      <c r="H195" s="443">
        <f>H145+H153+H161+H169+H185+H177+H193</f>
        <v>14737435</v>
      </c>
      <c r="I195" s="443">
        <f>I145+I153+I161+I169+I185+I177+I193</f>
        <v>14833557</v>
      </c>
      <c r="J195" s="443">
        <f>J145+J153+J161+J169+J185+J177+J193</f>
        <v>14992642</v>
      </c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D24 H24" formulaRange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79998168889431442"/>
  </sheetPr>
  <dimension ref="B6:BB85"/>
  <sheetViews>
    <sheetView showGridLines="0" zoomScale="70" zoomScaleNormal="70" workbookViewId="0">
      <pane xSplit="3" topLeftCell="AS1" activePane="topRight" state="frozen"/>
      <selection pane="topRight" activeCell="BB12" sqref="BB12"/>
    </sheetView>
  </sheetViews>
  <sheetFormatPr defaultColWidth="9.21875" defaultRowHeight="15" customHeight="1" outlineLevelCol="1"/>
  <cols>
    <col min="1" max="1" width="8.5546875" style="57" customWidth="1"/>
    <col min="2" max="3" width="33.5546875" style="57" customWidth="1"/>
    <col min="4" max="27" width="12.44140625" style="57" hidden="1" customWidth="1" outlineLevel="1"/>
    <col min="28" max="28" width="12.44140625" style="57" customWidth="1" collapsed="1"/>
    <col min="29" max="44" width="12.44140625" style="57" customWidth="1"/>
    <col min="45" max="54" width="12.44140625" style="57" bestFit="1" customWidth="1"/>
    <col min="55" max="16384" width="9.21875" style="57"/>
  </cols>
  <sheetData>
    <row r="6" spans="2:54" ht="15" customHeight="1">
      <c r="B6" s="439" t="s">
        <v>145</v>
      </c>
      <c r="C6" s="439" t="s">
        <v>146</v>
      </c>
      <c r="D6" s="107" t="s">
        <v>39</v>
      </c>
      <c r="E6" s="107" t="s">
        <v>40</v>
      </c>
      <c r="F6" s="107" t="s">
        <v>41</v>
      </c>
      <c r="G6" s="107" t="s">
        <v>42</v>
      </c>
      <c r="H6" s="107" t="s">
        <v>43</v>
      </c>
      <c r="I6" s="107" t="s">
        <v>44</v>
      </c>
      <c r="J6" s="107" t="s">
        <v>45</v>
      </c>
      <c r="K6" s="107" t="s">
        <v>46</v>
      </c>
      <c r="L6" s="107" t="s">
        <v>47</v>
      </c>
      <c r="M6" s="107" t="s">
        <v>48</v>
      </c>
      <c r="N6" s="107" t="s">
        <v>49</v>
      </c>
      <c r="O6" s="107" t="s">
        <v>50</v>
      </c>
      <c r="P6" s="107" t="s">
        <v>51</v>
      </c>
      <c r="Q6" s="107" t="s">
        <v>52</v>
      </c>
      <c r="R6" s="107" t="s">
        <v>53</v>
      </c>
      <c r="S6" s="107" t="s">
        <v>54</v>
      </c>
      <c r="T6" s="107" t="s">
        <v>55</v>
      </c>
      <c r="U6" s="107" t="s">
        <v>56</v>
      </c>
      <c r="V6" s="107" t="s">
        <v>57</v>
      </c>
      <c r="W6" s="107" t="s">
        <v>58</v>
      </c>
      <c r="X6" s="107" t="s">
        <v>59</v>
      </c>
      <c r="Y6" s="107" t="s">
        <v>60</v>
      </c>
      <c r="Z6" s="107" t="s">
        <v>61</v>
      </c>
      <c r="AA6" s="107" t="s">
        <v>62</v>
      </c>
      <c r="AB6" s="107" t="s">
        <v>63</v>
      </c>
      <c r="AC6" s="107" t="s">
        <v>64</v>
      </c>
      <c r="AD6" s="107" t="s">
        <v>65</v>
      </c>
      <c r="AE6" s="107" t="s">
        <v>66</v>
      </c>
      <c r="AF6" s="107" t="s">
        <v>67</v>
      </c>
      <c r="AG6" s="107" t="s">
        <v>68</v>
      </c>
      <c r="AH6" s="107" t="s">
        <v>69</v>
      </c>
      <c r="AI6" s="107" t="s">
        <v>70</v>
      </c>
      <c r="AJ6" s="107" t="s">
        <v>71</v>
      </c>
      <c r="AK6" s="107" t="s">
        <v>72</v>
      </c>
      <c r="AL6" s="107" t="s">
        <v>73</v>
      </c>
      <c r="AM6" s="107" t="s">
        <v>74</v>
      </c>
      <c r="AN6" s="107" t="s">
        <v>75</v>
      </c>
      <c r="AO6" s="107" t="s">
        <v>76</v>
      </c>
      <c r="AP6" s="107" t="s">
        <v>77</v>
      </c>
      <c r="AQ6" s="107" t="s">
        <v>78</v>
      </c>
      <c r="AR6" s="107" t="s">
        <v>79</v>
      </c>
      <c r="AS6" s="107" t="s">
        <v>80</v>
      </c>
      <c r="AT6" s="107" t="s">
        <v>81</v>
      </c>
      <c r="AU6" s="107" t="s">
        <v>82</v>
      </c>
      <c r="AV6" s="107" t="s">
        <v>83</v>
      </c>
      <c r="AW6" s="107" t="s">
        <v>84</v>
      </c>
      <c r="AX6" s="107" t="s">
        <v>85</v>
      </c>
      <c r="AY6" s="107" t="s">
        <v>86</v>
      </c>
      <c r="AZ6" s="107" t="s">
        <v>87</v>
      </c>
      <c r="BA6" s="107" t="s">
        <v>88</v>
      </c>
      <c r="BB6" s="107" t="s">
        <v>2074</v>
      </c>
    </row>
    <row r="7" spans="2:54" ht="15" customHeight="1">
      <c r="B7" s="210" t="s">
        <v>147</v>
      </c>
      <c r="C7" s="210" t="s">
        <v>148</v>
      </c>
      <c r="D7" s="211">
        <v>1526615.4867999807</v>
      </c>
      <c r="E7" s="211">
        <v>1581813.1632261479</v>
      </c>
      <c r="F7" s="211">
        <v>1699002.9119384571</v>
      </c>
      <c r="G7" s="211">
        <v>1745389.1146598607</v>
      </c>
      <c r="H7" s="211">
        <v>1583219.4156067655</v>
      </c>
      <c r="I7" s="211">
        <v>1660906.8014424639</v>
      </c>
      <c r="J7" s="211">
        <v>1813517.5957417819</v>
      </c>
      <c r="K7" s="211">
        <v>1864066.0124096428</v>
      </c>
      <c r="L7" s="211">
        <v>1683773.3463106123</v>
      </c>
      <c r="M7" s="211">
        <v>1743627.2382556917</v>
      </c>
      <c r="N7" s="211">
        <v>1860011.3503605344</v>
      </c>
      <c r="O7" s="211">
        <v>1948277.612314831</v>
      </c>
      <c r="P7" s="211">
        <v>1767976.6093684826</v>
      </c>
      <c r="Q7" s="211">
        <v>1846433.8785640257</v>
      </c>
      <c r="R7" s="211">
        <v>1934752.8616930454</v>
      </c>
      <c r="S7" s="211">
        <v>1981507.3484924228</v>
      </c>
      <c r="T7" s="211">
        <v>1709191</v>
      </c>
      <c r="U7" s="211">
        <v>1831783</v>
      </c>
      <c r="V7" s="211">
        <v>1955279</v>
      </c>
      <c r="W7" s="211">
        <v>1993483</v>
      </c>
      <c r="X7" s="211">
        <v>1742942.0553852729</v>
      </c>
      <c r="Y7" s="201">
        <v>1821911.2945724502</v>
      </c>
      <c r="Z7" s="201">
        <v>1967896.6213962552</v>
      </c>
      <c r="AA7" s="201">
        <v>1985304.5531040998</v>
      </c>
      <c r="AB7" s="201">
        <v>1779750.8516329874</v>
      </c>
      <c r="AC7" s="201">
        <v>1889468.6414841129</v>
      </c>
      <c r="AD7" s="201">
        <v>2031818.6113393791</v>
      </c>
      <c r="AE7" s="201">
        <v>2125307.8748774254</v>
      </c>
      <c r="AF7" s="201">
        <v>1865334.0670048376</v>
      </c>
      <c r="AG7" s="201">
        <v>1901764.5931744881</v>
      </c>
      <c r="AH7" s="201">
        <v>2117282.7991008889</v>
      </c>
      <c r="AI7" s="201">
        <v>2201710.221504706</v>
      </c>
      <c r="AJ7" s="201">
        <v>1959722.1635070001</v>
      </c>
      <c r="AK7" s="201">
        <v>2082997.4178913299</v>
      </c>
      <c r="AL7" s="201">
        <v>2196610.6192615889</v>
      </c>
      <c r="AM7" s="201">
        <v>2209970.28690982</v>
      </c>
      <c r="AN7" s="201">
        <v>1966425.9398538147</v>
      </c>
      <c r="AO7" s="201">
        <v>2088053.6346000803</v>
      </c>
      <c r="AP7" s="201">
        <v>2255893.6854976648</v>
      </c>
      <c r="AQ7" s="201">
        <v>2302604.2781308992</v>
      </c>
      <c r="AR7" s="201">
        <v>2053738.1087607869</v>
      </c>
      <c r="AS7" s="201">
        <v>2254358.1012226432</v>
      </c>
      <c r="AT7" s="201">
        <v>2457907.9195126863</v>
      </c>
      <c r="AU7" s="201">
        <v>2581449.16903061</v>
      </c>
      <c r="AV7" s="201">
        <v>2316483.4993973803</v>
      </c>
      <c r="AW7" s="201">
        <v>2430246.7442725701</v>
      </c>
      <c r="AX7" s="201">
        <v>2523273.7283945</v>
      </c>
      <c r="AY7" s="201">
        <v>2660825.4154549898</v>
      </c>
      <c r="AZ7" s="201">
        <v>2259420.6828219201</v>
      </c>
      <c r="BA7" s="201">
        <v>2491272.59467415</v>
      </c>
      <c r="BB7" s="201">
        <v>2623126.7031076099</v>
      </c>
    </row>
    <row r="8" spans="2:54" ht="15" customHeight="1">
      <c r="B8" s="212" t="s">
        <v>149</v>
      </c>
      <c r="C8" s="210" t="s">
        <v>150</v>
      </c>
      <c r="D8" s="211"/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01"/>
      <c r="Z8" s="201"/>
      <c r="AA8" s="201"/>
      <c r="AB8" s="201">
        <v>2166.4990000000003</v>
      </c>
      <c r="AC8" s="201">
        <v>3195.0579982450004</v>
      </c>
      <c r="AD8" s="201">
        <v>5747.0200000000023</v>
      </c>
      <c r="AE8" s="201">
        <v>8838.7829999999994</v>
      </c>
      <c r="AF8" s="201">
        <v>11325.987999999999</v>
      </c>
      <c r="AG8" s="201">
        <v>16158.523394680007</v>
      </c>
      <c r="AH8" s="201">
        <v>24886.670653799993</v>
      </c>
      <c r="AI8" s="201">
        <v>27084.328999999998</v>
      </c>
      <c r="AJ8" s="201">
        <v>28209.815999999992</v>
      </c>
      <c r="AK8" s="201">
        <v>35876.932000000001</v>
      </c>
      <c r="AL8" s="201">
        <v>48507.407999999981</v>
      </c>
      <c r="AM8" s="201">
        <v>52918.842000000019</v>
      </c>
      <c r="AN8" s="201">
        <v>51767.37900000003</v>
      </c>
      <c r="AO8" s="201">
        <v>68319.449000000022</v>
      </c>
      <c r="AP8" s="201">
        <v>89884.172091149987</v>
      </c>
      <c r="AQ8" s="201">
        <v>98024.286254620005</v>
      </c>
      <c r="AR8" s="201">
        <v>98911.24660749</v>
      </c>
      <c r="AS8" s="201">
        <v>118912.10500000001</v>
      </c>
      <c r="AT8" s="201">
        <v>139020.807</v>
      </c>
      <c r="AU8" s="201">
        <v>145271.323</v>
      </c>
      <c r="AV8" s="201">
        <v>139868.00200000001</v>
      </c>
      <c r="AW8" s="201">
        <v>166175.00122000001</v>
      </c>
      <c r="AX8" s="201">
        <v>214137.66529999999</v>
      </c>
      <c r="AY8" s="201">
        <v>217646.33300000001</v>
      </c>
      <c r="AZ8" s="201">
        <v>204711.74100000001</v>
      </c>
      <c r="BA8" s="201">
        <v>231939.59700000001</v>
      </c>
      <c r="BB8" s="201">
        <v>274756.91499999998</v>
      </c>
    </row>
    <row r="9" spans="2:54" ht="15" customHeight="1">
      <c r="B9" s="656" t="s">
        <v>151</v>
      </c>
      <c r="C9" s="656" t="s">
        <v>152</v>
      </c>
      <c r="D9" s="651">
        <f>SUM(D7:D7)</f>
        <v>1526615.4867999807</v>
      </c>
      <c r="E9" s="651">
        <f>SUM(E7:E7)</f>
        <v>1581813.1632261479</v>
      </c>
      <c r="F9" s="651">
        <f t="shared" ref="F9:Y9" si="0">SUM(F7:F7)</f>
        <v>1699002.9119384571</v>
      </c>
      <c r="G9" s="651">
        <f t="shared" si="0"/>
        <v>1745389.1146598607</v>
      </c>
      <c r="H9" s="651">
        <f t="shared" si="0"/>
        <v>1583219.4156067655</v>
      </c>
      <c r="I9" s="651">
        <f t="shared" si="0"/>
        <v>1660906.8014424639</v>
      </c>
      <c r="J9" s="651">
        <f t="shared" si="0"/>
        <v>1813517.5957417819</v>
      </c>
      <c r="K9" s="651">
        <f t="shared" si="0"/>
        <v>1864066.0124096428</v>
      </c>
      <c r="L9" s="651">
        <f t="shared" si="0"/>
        <v>1683773.3463106123</v>
      </c>
      <c r="M9" s="651">
        <f t="shared" si="0"/>
        <v>1743627.2382556917</v>
      </c>
      <c r="N9" s="651">
        <f t="shared" si="0"/>
        <v>1860011.3503605344</v>
      </c>
      <c r="O9" s="651">
        <f t="shared" si="0"/>
        <v>1948277.612314831</v>
      </c>
      <c r="P9" s="651">
        <f t="shared" si="0"/>
        <v>1767976.6093684826</v>
      </c>
      <c r="Q9" s="651">
        <f t="shared" si="0"/>
        <v>1846433.8785640257</v>
      </c>
      <c r="R9" s="651">
        <f t="shared" si="0"/>
        <v>1934752.8616930454</v>
      </c>
      <c r="S9" s="651">
        <f t="shared" si="0"/>
        <v>1981507.3484924228</v>
      </c>
      <c r="T9" s="651">
        <f t="shared" si="0"/>
        <v>1709191</v>
      </c>
      <c r="U9" s="651">
        <f t="shared" si="0"/>
        <v>1831783</v>
      </c>
      <c r="V9" s="651">
        <f t="shared" si="0"/>
        <v>1955279</v>
      </c>
      <c r="W9" s="651">
        <f t="shared" si="0"/>
        <v>1993483</v>
      </c>
      <c r="X9" s="651">
        <f t="shared" si="0"/>
        <v>1742942.0553852729</v>
      </c>
      <c r="Y9" s="651">
        <f t="shared" si="0"/>
        <v>1821911.2945724502</v>
      </c>
      <c r="Z9" s="651">
        <f>SUM(Z7:Z8)</f>
        <v>1967896.6213962552</v>
      </c>
      <c r="AA9" s="651">
        <f>SUM(AA7:AA8)</f>
        <v>1985304.5531040998</v>
      </c>
      <c r="AB9" s="651">
        <f>SUM(AB7:AB8)</f>
        <v>1781917.3506329875</v>
      </c>
      <c r="AC9" s="651">
        <f t="shared" ref="AC9:BB9" si="1">SUM(AC7:AC8)</f>
        <v>1892663.6994823581</v>
      </c>
      <c r="AD9" s="651">
        <f t="shared" si="1"/>
        <v>2037565.6313393791</v>
      </c>
      <c r="AE9" s="651">
        <f t="shared" si="1"/>
        <v>2134146.6578774252</v>
      </c>
      <c r="AF9" s="651">
        <f t="shared" si="1"/>
        <v>1876660.0550048375</v>
      </c>
      <c r="AG9" s="651">
        <f t="shared" si="1"/>
        <v>1917923.1165691682</v>
      </c>
      <c r="AH9" s="651">
        <f t="shared" si="1"/>
        <v>2142169.4697546889</v>
      </c>
      <c r="AI9" s="651">
        <f t="shared" si="1"/>
        <v>2228794.5505047059</v>
      </c>
      <c r="AJ9" s="651">
        <f t="shared" si="1"/>
        <v>1987931.9795070002</v>
      </c>
      <c r="AK9" s="651">
        <f t="shared" si="1"/>
        <v>2118874.3498913296</v>
      </c>
      <c r="AL9" s="651">
        <f t="shared" si="1"/>
        <v>2245118.0272615887</v>
      </c>
      <c r="AM9" s="651">
        <f t="shared" si="1"/>
        <v>2262889.1289098202</v>
      </c>
      <c r="AN9" s="651">
        <f t="shared" si="1"/>
        <v>2018193.3188538146</v>
      </c>
      <c r="AO9" s="651">
        <f t="shared" si="1"/>
        <v>2156373.0836000806</v>
      </c>
      <c r="AP9" s="651">
        <f t="shared" si="1"/>
        <v>2345777.857588815</v>
      </c>
      <c r="AQ9" s="651">
        <f t="shared" si="1"/>
        <v>2400628.5643855194</v>
      </c>
      <c r="AR9" s="651">
        <f t="shared" si="1"/>
        <v>2152649.3553682771</v>
      </c>
      <c r="AS9" s="651">
        <f t="shared" si="1"/>
        <v>2373270.2062226431</v>
      </c>
      <c r="AT9" s="651">
        <f t="shared" si="1"/>
        <v>2596928.7265126863</v>
      </c>
      <c r="AU9" s="651">
        <f t="shared" si="1"/>
        <v>2726720.4920306099</v>
      </c>
      <c r="AV9" s="651">
        <f t="shared" si="1"/>
        <v>2456351.5013973801</v>
      </c>
      <c r="AW9" s="651">
        <f t="shared" si="1"/>
        <v>2596421.7454925701</v>
      </c>
      <c r="AX9" s="651">
        <f t="shared" si="1"/>
        <v>2737411.3936945</v>
      </c>
      <c r="AY9" s="651">
        <f t="shared" si="1"/>
        <v>2878471.7484549899</v>
      </c>
      <c r="AZ9" s="651">
        <f t="shared" si="1"/>
        <v>2464132.4238219201</v>
      </c>
      <c r="BA9" s="651">
        <f t="shared" si="1"/>
        <v>2723212.1916741501</v>
      </c>
      <c r="BB9" s="651">
        <f t="shared" si="1"/>
        <v>2897883.6181076099</v>
      </c>
    </row>
    <row r="10" spans="2:54" ht="15" customHeight="1">
      <c r="B10" s="200" t="s">
        <v>153</v>
      </c>
      <c r="C10" s="200" t="s">
        <v>154</v>
      </c>
      <c r="D10" s="211">
        <v>1237996.2379283668</v>
      </c>
      <c r="E10" s="211">
        <v>1251922.78168</v>
      </c>
      <c r="F10" s="211">
        <v>1363727.3566432905</v>
      </c>
      <c r="G10" s="211">
        <v>1442845.4009800002</v>
      </c>
      <c r="H10" s="211">
        <v>1335719.714414</v>
      </c>
      <c r="I10" s="211">
        <v>1354850.1634104759</v>
      </c>
      <c r="J10" s="211">
        <v>1490813.4507200001</v>
      </c>
      <c r="K10" s="211">
        <v>1531393.7356199999</v>
      </c>
      <c r="L10" s="211">
        <v>1413950.7979339999</v>
      </c>
      <c r="M10" s="211">
        <v>1425746.8517399998</v>
      </c>
      <c r="N10" s="211">
        <v>1520358.1663560942</v>
      </c>
      <c r="O10" s="211">
        <v>1600149.9113690017</v>
      </c>
      <c r="P10" s="211">
        <v>1461894.6266399999</v>
      </c>
      <c r="Q10" s="211">
        <v>1529112.276178</v>
      </c>
      <c r="R10" s="211">
        <v>1563196.3576740001</v>
      </c>
      <c r="S10" s="211">
        <v>1615903.5772998317</v>
      </c>
      <c r="T10" s="211">
        <v>1400107.8546250002</v>
      </c>
      <c r="U10" s="211">
        <v>1483749.4529328307</v>
      </c>
      <c r="V10" s="211">
        <v>1602158.1703430791</v>
      </c>
      <c r="W10" s="211">
        <v>1708083.6452422519</v>
      </c>
      <c r="X10" s="211">
        <v>1455239.4517215765</v>
      </c>
      <c r="Y10" s="201">
        <v>1523032.2242709999</v>
      </c>
      <c r="Z10" s="201">
        <v>1599619.1839255127</v>
      </c>
      <c r="AA10" s="201">
        <v>1642391.0072042223</v>
      </c>
      <c r="AB10" s="201">
        <v>1479418</v>
      </c>
      <c r="AC10" s="201">
        <v>1547976</v>
      </c>
      <c r="AD10" s="201">
        <v>1646034</v>
      </c>
      <c r="AE10" s="201">
        <v>1753016</v>
      </c>
      <c r="AF10" s="201">
        <v>1552148</v>
      </c>
      <c r="AG10" s="201">
        <v>1559643</v>
      </c>
      <c r="AH10" s="201">
        <v>1722150</v>
      </c>
      <c r="AI10" s="201">
        <v>1812937.8062106634</v>
      </c>
      <c r="AJ10" s="201">
        <v>1636005.7714216667</v>
      </c>
      <c r="AK10" s="201">
        <v>1672615.0499020268</v>
      </c>
      <c r="AL10" s="201">
        <v>1817358.0572750901</v>
      </c>
      <c r="AM10" s="201">
        <v>1882980.5877526107</v>
      </c>
      <c r="AN10" s="201">
        <v>1674400.3366751831</v>
      </c>
      <c r="AO10" s="201">
        <v>1759187.7990137029</v>
      </c>
      <c r="AP10" s="201">
        <v>1919981.30461916</v>
      </c>
      <c r="AQ10" s="201">
        <v>1990333.9562998377</v>
      </c>
      <c r="AR10" s="201">
        <v>1793543.2940435545</v>
      </c>
      <c r="AS10" s="201">
        <v>1938820.955984375</v>
      </c>
      <c r="AT10" s="201">
        <v>2100994.8576775403</v>
      </c>
      <c r="AU10" s="201">
        <v>2240726.8231000248</v>
      </c>
      <c r="AV10" s="201">
        <v>2017102.902767675</v>
      </c>
      <c r="AW10" s="201">
        <v>2153700.7991192248</v>
      </c>
      <c r="AX10" s="201">
        <v>2228495.9256448178</v>
      </c>
      <c r="AY10" s="201">
        <v>2353688.6500889929</v>
      </c>
      <c r="AZ10" s="201">
        <v>2040719.2830402001</v>
      </c>
      <c r="BA10" s="201">
        <v>2189629.3019576501</v>
      </c>
      <c r="BB10" s="201">
        <v>2342820.3766736751</v>
      </c>
    </row>
    <row r="11" spans="2:54" ht="15" customHeight="1">
      <c r="B11" s="200" t="s">
        <v>155</v>
      </c>
      <c r="C11" s="200" t="s">
        <v>156</v>
      </c>
      <c r="D11" s="211">
        <v>114.05799999999999</v>
      </c>
      <c r="E11" s="211">
        <v>116.54899999999999</v>
      </c>
      <c r="F11" s="211">
        <v>133.244</v>
      </c>
      <c r="G11" s="211">
        <v>131.40199999999999</v>
      </c>
      <c r="H11" s="211">
        <v>111.21970999999999</v>
      </c>
      <c r="I11" s="211">
        <v>120.422</v>
      </c>
      <c r="J11" s="211">
        <v>139.31900000000002</v>
      </c>
      <c r="K11" s="211">
        <v>136.40100000000001</v>
      </c>
      <c r="L11" s="211">
        <v>121.655</v>
      </c>
      <c r="M11" s="211">
        <v>132.41200000000001</v>
      </c>
      <c r="N11" s="211">
        <v>144.20000000000002</v>
      </c>
      <c r="O11" s="211">
        <v>158.22500000000002</v>
      </c>
      <c r="P11" s="211">
        <v>356.48955599999999</v>
      </c>
      <c r="Q11" s="211">
        <v>386.45155899999997</v>
      </c>
      <c r="R11" s="211">
        <v>1838.397666999999</v>
      </c>
      <c r="S11" s="211">
        <v>2691.0476666666677</v>
      </c>
      <c r="T11" s="211">
        <v>2454.0745663333337</v>
      </c>
      <c r="U11" s="211">
        <v>2722.0059999999994</v>
      </c>
      <c r="V11" s="211">
        <v>2343.048086666668</v>
      </c>
      <c r="W11" s="211">
        <v>1607.775408666666</v>
      </c>
      <c r="X11" s="211">
        <v>1715.7239705802467</v>
      </c>
      <c r="Y11" s="201">
        <v>1853.4546610660482</v>
      </c>
      <c r="Z11" s="201">
        <v>1264.3880833333335</v>
      </c>
      <c r="AA11" s="201">
        <v>1411.5641190555555</v>
      </c>
      <c r="AB11" s="201">
        <v>1329.1043958333339</v>
      </c>
      <c r="AC11" s="201">
        <v>3154.0878725358425</v>
      </c>
      <c r="AD11" s="201">
        <v>2436.8126108333322</v>
      </c>
      <c r="AE11" s="201">
        <v>1733.6872708333331</v>
      </c>
      <c r="AF11" s="201">
        <v>2475.8066706666668</v>
      </c>
      <c r="AG11" s="201">
        <v>1429.8231666666666</v>
      </c>
      <c r="AH11" s="201">
        <v>1504.3503333333333</v>
      </c>
      <c r="AI11" s="201">
        <v>1188.2680186666666</v>
      </c>
      <c r="AJ11" s="201">
        <v>1826.0140833333339</v>
      </c>
      <c r="AK11" s="201">
        <v>1393.1388333333332</v>
      </c>
      <c r="AL11" s="201">
        <v>1809.472500000001</v>
      </c>
      <c r="AM11" s="201">
        <v>1942.6497733292185</v>
      </c>
      <c r="AN11" s="201">
        <v>2223.7395833333335</v>
      </c>
      <c r="AO11" s="201">
        <v>1483.9377870370372</v>
      </c>
      <c r="AP11" s="201">
        <v>2092.5880000000002</v>
      </c>
      <c r="AQ11" s="201">
        <v>1191.0473299999999</v>
      </c>
      <c r="AR11" s="201">
        <v>2402.6529895833337</v>
      </c>
      <c r="AS11" s="201">
        <v>1999.8315564516126</v>
      </c>
      <c r="AT11" s="201">
        <v>5183.9675460322596</v>
      </c>
      <c r="AU11" s="201">
        <v>2297.2633919322602</v>
      </c>
      <c r="AV11" s="201">
        <v>2081.05441666667</v>
      </c>
      <c r="AW11" s="201">
        <v>1677.6105</v>
      </c>
      <c r="AX11" s="201">
        <v>2902.0733694444398</v>
      </c>
      <c r="AY11" s="201">
        <v>3039.4899666666702</v>
      </c>
      <c r="AZ11" s="201">
        <v>4108.5522030000002</v>
      </c>
      <c r="BA11" s="201">
        <v>4287.2326911111104</v>
      </c>
      <c r="BB11" s="201">
        <v>6003.8468560111096</v>
      </c>
    </row>
    <row r="12" spans="2:54" ht="15" customHeight="1">
      <c r="B12" s="200" t="s">
        <v>157</v>
      </c>
      <c r="C12" s="200" t="s">
        <v>158</v>
      </c>
      <c r="D12" s="215">
        <f t="shared" ref="D12:BB12" si="2">D9-D10-D11</f>
        <v>288505.19087161397</v>
      </c>
      <c r="E12" s="215">
        <f t="shared" si="2"/>
        <v>329773.83254614787</v>
      </c>
      <c r="F12" s="215">
        <f t="shared" si="2"/>
        <v>335142.31129516655</v>
      </c>
      <c r="G12" s="215">
        <f t="shared" si="2"/>
        <v>302412.31167986058</v>
      </c>
      <c r="H12" s="215">
        <f t="shared" si="2"/>
        <v>247388.48148276549</v>
      </c>
      <c r="I12" s="215">
        <f t="shared" si="2"/>
        <v>305936.21603198792</v>
      </c>
      <c r="J12" s="215">
        <f t="shared" si="2"/>
        <v>322564.82602178177</v>
      </c>
      <c r="K12" s="215">
        <f t="shared" si="2"/>
        <v>332535.87578964286</v>
      </c>
      <c r="L12" s="215">
        <f t="shared" si="2"/>
        <v>269700.89337661234</v>
      </c>
      <c r="M12" s="215">
        <f t="shared" si="2"/>
        <v>317747.97451569187</v>
      </c>
      <c r="N12" s="215">
        <f t="shared" si="2"/>
        <v>339508.98400444019</v>
      </c>
      <c r="O12" s="215">
        <f t="shared" si="2"/>
        <v>347969.4759458293</v>
      </c>
      <c r="P12" s="215">
        <f t="shared" si="2"/>
        <v>305725.4931724827</v>
      </c>
      <c r="Q12" s="215">
        <f t="shared" si="2"/>
        <v>316935.1508270257</v>
      </c>
      <c r="R12" s="215">
        <f t="shared" si="2"/>
        <v>369718.10635204526</v>
      </c>
      <c r="S12" s="215">
        <f t="shared" si="2"/>
        <v>362912.72352592449</v>
      </c>
      <c r="T12" s="215">
        <f t="shared" si="2"/>
        <v>306629.07080866653</v>
      </c>
      <c r="U12" s="215">
        <f t="shared" si="2"/>
        <v>345311.54106716934</v>
      </c>
      <c r="V12" s="215">
        <f t="shared" si="2"/>
        <v>350777.78157025418</v>
      </c>
      <c r="W12" s="215">
        <f t="shared" si="2"/>
        <v>283791.57934908144</v>
      </c>
      <c r="X12" s="215">
        <f t="shared" si="2"/>
        <v>285986.87969311618</v>
      </c>
      <c r="Y12" s="215">
        <f t="shared" si="2"/>
        <v>297025.61564038426</v>
      </c>
      <c r="Z12" s="215">
        <f t="shared" si="2"/>
        <v>367013.04938740918</v>
      </c>
      <c r="AA12" s="215">
        <f t="shared" si="2"/>
        <v>341501.98178082198</v>
      </c>
      <c r="AB12" s="215">
        <f t="shared" si="2"/>
        <v>301170.24623715412</v>
      </c>
      <c r="AC12" s="215">
        <f t="shared" si="2"/>
        <v>341533.6116098222</v>
      </c>
      <c r="AD12" s="215">
        <f t="shared" si="2"/>
        <v>389094.8187285458</v>
      </c>
      <c r="AE12" s="215">
        <f t="shared" si="2"/>
        <v>379396.97060659184</v>
      </c>
      <c r="AF12" s="215">
        <f t="shared" si="2"/>
        <v>322036.24833417078</v>
      </c>
      <c r="AG12" s="215">
        <f t="shared" si="2"/>
        <v>356850.2934025015</v>
      </c>
      <c r="AH12" s="215">
        <f t="shared" si="2"/>
        <v>418515.1194213556</v>
      </c>
      <c r="AI12" s="215">
        <f t="shared" si="2"/>
        <v>414668.47627537581</v>
      </c>
      <c r="AJ12" s="215">
        <f t="shared" si="2"/>
        <v>350100.19400200015</v>
      </c>
      <c r="AK12" s="215">
        <f t="shared" si="2"/>
        <v>444866.16115596954</v>
      </c>
      <c r="AL12" s="215">
        <f t="shared" si="2"/>
        <v>425950.49748649861</v>
      </c>
      <c r="AM12" s="215">
        <f t="shared" si="2"/>
        <v>377965.89138388034</v>
      </c>
      <c r="AN12" s="215">
        <f t="shared" si="2"/>
        <v>341569.24259529816</v>
      </c>
      <c r="AO12" s="215">
        <f t="shared" si="2"/>
        <v>395701.34679934062</v>
      </c>
      <c r="AP12" s="215">
        <f t="shared" si="2"/>
        <v>423703.96496965503</v>
      </c>
      <c r="AQ12" s="215">
        <f t="shared" si="2"/>
        <v>409103.56075568171</v>
      </c>
      <c r="AR12" s="215">
        <f t="shared" si="2"/>
        <v>356703.40833513928</v>
      </c>
      <c r="AS12" s="215">
        <f t="shared" si="2"/>
        <v>432449.41868181655</v>
      </c>
      <c r="AT12" s="215">
        <f t="shared" si="2"/>
        <v>490749.9012891138</v>
      </c>
      <c r="AU12" s="215">
        <f t="shared" si="2"/>
        <v>483696.40553865279</v>
      </c>
      <c r="AV12" s="215">
        <f t="shared" si="2"/>
        <v>437167.54421303846</v>
      </c>
      <c r="AW12" s="215">
        <f t="shared" si="2"/>
        <v>441043.33587334532</v>
      </c>
      <c r="AX12" s="215">
        <f t="shared" si="2"/>
        <v>506013.39468023775</v>
      </c>
      <c r="AY12" s="215">
        <f t="shared" si="2"/>
        <v>521743.60839933029</v>
      </c>
      <c r="AZ12" s="215">
        <f t="shared" si="2"/>
        <v>419304.58857871994</v>
      </c>
      <c r="BA12" s="215">
        <f t="shared" si="2"/>
        <v>529295.65702538879</v>
      </c>
      <c r="BB12" s="215">
        <f t="shared" si="2"/>
        <v>549059.3945779237</v>
      </c>
    </row>
    <row r="13" spans="2:54" ht="15" customHeight="1">
      <c r="B13" s="216" t="s">
        <v>159</v>
      </c>
      <c r="C13" s="664" t="s">
        <v>160</v>
      </c>
      <c r="D13" s="217"/>
      <c r="E13" s="217"/>
      <c r="F13" s="217"/>
      <c r="G13" s="217"/>
      <c r="H13" s="217"/>
      <c r="I13" s="217"/>
      <c r="J13" s="217"/>
      <c r="K13" s="217"/>
      <c r="L13" s="217"/>
      <c r="M13" s="217"/>
      <c r="N13" s="217"/>
      <c r="O13" s="217"/>
      <c r="P13" s="217"/>
      <c r="Q13" s="217"/>
      <c r="R13" s="217"/>
      <c r="S13" s="217"/>
      <c r="T13" s="217"/>
      <c r="U13" s="217"/>
      <c r="V13" s="217"/>
      <c r="W13" s="217"/>
      <c r="X13" s="217"/>
      <c r="Y13" s="218"/>
      <c r="Z13" s="218"/>
      <c r="AA13" s="218"/>
      <c r="AB13" s="218">
        <f>AB7-AB10-AB11+'Mercado Distribuição (Pré CP09)'!AB23</f>
        <v>300859.78423715406</v>
      </c>
      <c r="AC13" s="218">
        <f>AC7-AC10-AC11+'Mercado Distribuição (Pré CP09)'!AC23</f>
        <v>341046.57661157713</v>
      </c>
      <c r="AD13" s="218">
        <f>AD7-AD10-AD11+'Mercado Distribuição (Pré CP09)'!AD23</f>
        <v>387666.9567285456</v>
      </c>
      <c r="AE13" s="218">
        <f>AE7-AE10-AE11+'Mercado Distribuição (Pré CP09)'!AE23</f>
        <v>378125.22760659206</v>
      </c>
      <c r="AF13" s="218">
        <f>AF7-AF10-AF11+'Mercado Distribuição (Pré CP09)'!AF23</f>
        <v>319632.84433417092</v>
      </c>
      <c r="AG13" s="218">
        <f>AG7-AG10-AG11+'Mercado Distribuição (Pré CP09)'!AG23</f>
        <v>352588.00700782158</v>
      </c>
      <c r="AH13" s="218">
        <f>AH7-AH10-AH11+'Mercado Distribuição (Pré CP09)'!AH23</f>
        <v>412595.25076755573</v>
      </c>
      <c r="AI13" s="218">
        <f>AI7-AI10-AI11+'Mercado Distribuição (Pré CP09)'!AI23</f>
        <v>411601.68727537594</v>
      </c>
      <c r="AJ13" s="218">
        <f>AJ7-AJ10-AJ11+'Mercado Distribuição (Pré CP09)'!AJ23</f>
        <v>345655.76000200026</v>
      </c>
      <c r="AK13" s="218">
        <f>AK7-AK10-AK11+'Mercado Distribuição (Pré CP09)'!AK23</f>
        <v>438034.60415596975</v>
      </c>
      <c r="AL13" s="218">
        <f>AL7-AL10-AL11+'Mercado Distribuição (Pré CP09)'!AL23</f>
        <v>416501.90748649853</v>
      </c>
      <c r="AM13" s="218">
        <f>AM7-AM10-AM11+'Mercado Distribuição (Pré CP09)'!AM23</f>
        <v>371992.0053838804</v>
      </c>
      <c r="AN13" s="218">
        <f>AN7-AN10-AN11+'Mercado Distribuição (Pré CP09)'!AN23</f>
        <v>334347.73459529801</v>
      </c>
      <c r="AO13" s="218">
        <f>AO7-AO10-AO11+'Mercado Distribuição (Pré CP09)'!AO23</f>
        <v>383153.11079934059</v>
      </c>
      <c r="AP13" s="218">
        <f>AP7-AP10-AP11+'Mercado Distribuição (Pré CP09)'!AP23</f>
        <v>405257.21187850507</v>
      </c>
      <c r="AQ13" s="218">
        <f>AQ7-AQ10-AQ11+'Mercado Distribuição (Pré CP09)'!AQ23</f>
        <v>394336.56884579919</v>
      </c>
      <c r="AR13" s="218">
        <f>AR7-AR10-AR11+'Mercado Distribuição (Pré CP09)'!AR23</f>
        <v>339961.19972764933</v>
      </c>
      <c r="AS13" s="218">
        <f>AS7-AS10-AS11+'Mercado Distribuição (Pré CP09)'!AS23</f>
        <v>413359.75268181635</v>
      </c>
      <c r="AT13" s="218">
        <f>AT7-AT10-AT11+'Mercado Distribuição (Pré CP09)'!AT23</f>
        <v>470563.56928911386</v>
      </c>
      <c r="AU13" s="218">
        <f>AU7-AU10-AU11+'Mercado Distribuição (Pré CP09)'!AU23</f>
        <v>469615.00353865279</v>
      </c>
      <c r="AV13" s="218">
        <f>AV7-AV10-AV11+'Mercado Distribuição (Pré CP09)'!AV23</f>
        <v>417831.05821303895</v>
      </c>
      <c r="AW13" s="218">
        <f>AW7-AW10-AW11+'Mercado Distribuição (Pré CP09)'!AW23</f>
        <v>414240.40065334568</v>
      </c>
      <c r="AX13" s="218">
        <f>AX7-AX10-AX11+'Mercado Distribuição (Pré CP09)'!AX23</f>
        <v>453980.4543802379</v>
      </c>
      <c r="AY13" s="218">
        <f>AY7-AY10-AY11+'Mercado Distribuição (Pré CP09)'!AY23</f>
        <v>487425.68339933018</v>
      </c>
      <c r="AZ13" s="218">
        <f>AZ7-AZ10-AZ11+'Mercado Distribuição (Pré CP09)'!AZ23</f>
        <v>381842.71357871988</v>
      </c>
      <c r="BA13" s="218">
        <f>BA7-BA10-BA11+'Mercado Distribuição (Pré CP09)'!BA23</f>
        <v>485258.6670253888</v>
      </c>
      <c r="BB13" s="218">
        <f>BB7-BB10-BB11+'Mercado Distribuição (Pré CP09)'!BB23</f>
        <v>481257.7065779235</v>
      </c>
    </row>
    <row r="14" spans="2:54" ht="15" customHeight="1">
      <c r="B14" s="200" t="s">
        <v>161</v>
      </c>
      <c r="C14" s="200" t="s">
        <v>162</v>
      </c>
      <c r="D14" s="200"/>
      <c r="E14" s="200"/>
      <c r="F14" s="200"/>
      <c r="G14" s="200"/>
      <c r="H14" s="200"/>
      <c r="I14" s="200"/>
      <c r="J14" s="200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AB14" s="215"/>
      <c r="AC14" s="215"/>
      <c r="AD14" s="215"/>
      <c r="AE14" s="215"/>
      <c r="AF14" s="215"/>
      <c r="AG14" s="21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  <c r="AU14" s="215"/>
      <c r="AV14" s="215"/>
      <c r="AW14" s="215"/>
      <c r="AX14" s="215"/>
      <c r="AY14" s="215"/>
      <c r="AZ14" s="215"/>
      <c r="BA14" s="215"/>
      <c r="BB14" s="215"/>
    </row>
    <row r="15" spans="2:54" ht="15" customHeight="1">
      <c r="B15" s="200"/>
      <c r="C15" s="200"/>
      <c r="D15" s="657"/>
      <c r="E15" s="657"/>
      <c r="F15" s="657"/>
      <c r="G15" s="657"/>
      <c r="H15" s="657"/>
      <c r="I15" s="657"/>
      <c r="J15" s="657"/>
      <c r="K15" s="657"/>
      <c r="L15" s="657"/>
      <c r="M15" s="657"/>
      <c r="N15" s="657"/>
      <c r="O15" s="657"/>
      <c r="P15" s="657"/>
      <c r="Q15" s="657"/>
      <c r="R15" s="657"/>
      <c r="S15" s="657"/>
      <c r="T15" s="657"/>
      <c r="U15" s="657"/>
      <c r="V15" s="657"/>
      <c r="W15" s="657"/>
      <c r="X15" s="657"/>
      <c r="AB15" s="218"/>
      <c r="AC15" s="218"/>
      <c r="AD15" s="218"/>
      <c r="AE15" s="218"/>
      <c r="AF15" s="218"/>
      <c r="AG15" s="218"/>
      <c r="AH15" s="218"/>
      <c r="AI15" s="218"/>
      <c r="AJ15" s="218"/>
      <c r="AK15" s="218"/>
      <c r="AL15" s="218"/>
      <c r="AM15" s="218"/>
      <c r="AN15" s="218"/>
      <c r="AO15" s="218"/>
      <c r="AP15" s="218"/>
      <c r="AQ15" s="218"/>
      <c r="AR15" s="218"/>
      <c r="AS15" s="218"/>
      <c r="AT15" s="218"/>
      <c r="AU15" s="218"/>
      <c r="AV15" s="218"/>
      <c r="AW15" s="218"/>
      <c r="AX15" s="218"/>
      <c r="AY15" s="218"/>
      <c r="AZ15" s="218"/>
      <c r="BA15" s="218"/>
      <c r="BB15" s="218"/>
    </row>
    <row r="16" spans="2:54" ht="15" customHeight="1">
      <c r="B16" s="439" t="s">
        <v>163</v>
      </c>
      <c r="C16" s="439" t="s">
        <v>164</v>
      </c>
      <c r="D16" s="107" t="s">
        <v>39</v>
      </c>
      <c r="E16" s="107" t="s">
        <v>40</v>
      </c>
      <c r="F16" s="107" t="s">
        <v>41</v>
      </c>
      <c r="G16" s="107" t="s">
        <v>42</v>
      </c>
      <c r="H16" s="107" t="s">
        <v>43</v>
      </c>
      <c r="I16" s="107" t="s">
        <v>44</v>
      </c>
      <c r="J16" s="107" t="s">
        <v>45</v>
      </c>
      <c r="K16" s="107" t="s">
        <v>46</v>
      </c>
      <c r="L16" s="107" t="s">
        <v>47</v>
      </c>
      <c r="M16" s="107" t="s">
        <v>48</v>
      </c>
      <c r="N16" s="107" t="s">
        <v>49</v>
      </c>
      <c r="O16" s="107" t="s">
        <v>50</v>
      </c>
      <c r="P16" s="107" t="s">
        <v>51</v>
      </c>
      <c r="Q16" s="107" t="s">
        <v>52</v>
      </c>
      <c r="R16" s="107" t="s">
        <v>53</v>
      </c>
      <c r="S16" s="107" t="s">
        <v>54</v>
      </c>
      <c r="T16" s="107" t="s">
        <v>55</v>
      </c>
      <c r="U16" s="107" t="s">
        <v>56</v>
      </c>
      <c r="V16" s="107" t="s">
        <v>57</v>
      </c>
      <c r="W16" s="107" t="s">
        <v>58</v>
      </c>
      <c r="X16" s="107" t="s">
        <v>59</v>
      </c>
      <c r="Y16" s="107" t="s">
        <v>60</v>
      </c>
      <c r="Z16" s="107" t="s">
        <v>61</v>
      </c>
      <c r="AA16" s="107" t="s">
        <v>62</v>
      </c>
      <c r="AB16" s="107" t="str">
        <f>AB6</f>
        <v>1T19</v>
      </c>
      <c r="AC16" s="107" t="s">
        <v>64</v>
      </c>
      <c r="AD16" s="107" t="s">
        <v>65</v>
      </c>
      <c r="AE16" s="107" t="s">
        <v>66</v>
      </c>
      <c r="AF16" s="107" t="str">
        <f t="shared" ref="AF16:AR16" si="3">AF6</f>
        <v>1T20</v>
      </c>
      <c r="AG16" s="107" t="str">
        <f t="shared" si="3"/>
        <v>2T20</v>
      </c>
      <c r="AH16" s="107" t="str">
        <f t="shared" si="3"/>
        <v>3T20</v>
      </c>
      <c r="AI16" s="107" t="str">
        <f t="shared" si="3"/>
        <v>4T20</v>
      </c>
      <c r="AJ16" s="107" t="str">
        <f t="shared" si="3"/>
        <v>1T21</v>
      </c>
      <c r="AK16" s="107" t="str">
        <f t="shared" si="3"/>
        <v>2T21</v>
      </c>
      <c r="AL16" s="107" t="str">
        <f t="shared" si="3"/>
        <v>3T21</v>
      </c>
      <c r="AM16" s="107" t="str">
        <f t="shared" si="3"/>
        <v>4T21</v>
      </c>
      <c r="AN16" s="107" t="str">
        <f t="shared" si="3"/>
        <v>1T22</v>
      </c>
      <c r="AO16" s="107" t="str">
        <f t="shared" si="3"/>
        <v>2T22</v>
      </c>
      <c r="AP16" s="107" t="str">
        <f t="shared" si="3"/>
        <v>3T22</v>
      </c>
      <c r="AQ16" s="107" t="str">
        <f t="shared" si="3"/>
        <v>4T22</v>
      </c>
      <c r="AR16" s="107" t="str">
        <f t="shared" si="3"/>
        <v>1T23</v>
      </c>
      <c r="AS16" s="107" t="str">
        <f>$AS$6</f>
        <v>2T23</v>
      </c>
      <c r="AT16" s="107" t="str">
        <f>$AT$6</f>
        <v>3T23</v>
      </c>
      <c r="AU16" s="107" t="str">
        <f>$AU$6</f>
        <v>4T23</v>
      </c>
      <c r="AV16" s="107" t="str">
        <f>$AV$6</f>
        <v>1T24</v>
      </c>
      <c r="AW16" s="107" t="str">
        <f>$AW$6</f>
        <v>2T24</v>
      </c>
      <c r="AX16" s="107" t="str">
        <f>$AX$6</f>
        <v>3T24</v>
      </c>
      <c r="AY16" s="107" t="str">
        <f>$AY$6</f>
        <v>4T24</v>
      </c>
      <c r="AZ16" s="107" t="str">
        <f>$AZ$6</f>
        <v>1T25</v>
      </c>
      <c r="BA16" s="107" t="str">
        <f>$BA$6</f>
        <v>2T25</v>
      </c>
      <c r="BB16" s="107" t="str">
        <f>+BB6</f>
        <v>3T25</v>
      </c>
    </row>
    <row r="17" spans="2:54" ht="15" customHeight="1">
      <c r="B17" s="210" t="s">
        <v>147</v>
      </c>
      <c r="C17" s="210" t="s">
        <v>148</v>
      </c>
      <c r="D17" s="219">
        <v>2509501.7060000002</v>
      </c>
      <c r="E17" s="219">
        <v>2661205.0489999996</v>
      </c>
      <c r="F17" s="219">
        <v>2801315.7760000001</v>
      </c>
      <c r="G17" s="219">
        <v>2869545.4389999998</v>
      </c>
      <c r="H17" s="219">
        <v>2639580.992819</v>
      </c>
      <c r="I17" s="219">
        <v>2780922.677832</v>
      </c>
      <c r="J17" s="219">
        <v>2923297.7091629999</v>
      </c>
      <c r="K17" s="219">
        <v>3011242.8395789987</v>
      </c>
      <c r="L17" s="219">
        <v>2690125.5700970008</v>
      </c>
      <c r="M17" s="219">
        <v>2807034.459549</v>
      </c>
      <c r="N17" s="219">
        <v>2963488.6574300001</v>
      </c>
      <c r="O17" s="219">
        <v>3041036.7716290001</v>
      </c>
      <c r="P17" s="219">
        <v>2800561.9614049997</v>
      </c>
      <c r="Q17" s="219">
        <v>2929411.8209899995</v>
      </c>
      <c r="R17" s="219">
        <v>3008775.7994609997</v>
      </c>
      <c r="S17" s="219">
        <v>3015288.1430269992</v>
      </c>
      <c r="T17" s="219">
        <v>2672958.046451</v>
      </c>
      <c r="U17" s="219">
        <v>2897436.0124920001</v>
      </c>
      <c r="V17" s="219">
        <v>3076740.6430409993</v>
      </c>
      <c r="W17" s="219">
        <v>3065911.1293193242</v>
      </c>
      <c r="X17" s="219">
        <v>2746540.3066916177</v>
      </c>
      <c r="Y17" s="201">
        <v>2844799.911659</v>
      </c>
      <c r="Z17" s="201">
        <v>3024188.1343684308</v>
      </c>
      <c r="AA17" s="201">
        <v>3062118.9826388247</v>
      </c>
      <c r="AB17" s="201">
        <v>2788108.5060966332</v>
      </c>
      <c r="AC17" s="201">
        <v>2945799.5335277398</v>
      </c>
      <c r="AD17" s="201">
        <v>3132366.4374117199</v>
      </c>
      <c r="AE17" s="201">
        <v>3155890.6027908493</v>
      </c>
      <c r="AF17" s="201">
        <v>2873863.0822594259</v>
      </c>
      <c r="AG17" s="201">
        <v>2908296.3431524271</v>
      </c>
      <c r="AH17" s="201">
        <v>3322148.0637392174</v>
      </c>
      <c r="AI17" s="201">
        <v>3288021.8645551694</v>
      </c>
      <c r="AJ17" s="201">
        <v>2974698.1339864014</v>
      </c>
      <c r="AK17" s="201">
        <v>3161171.5250826865</v>
      </c>
      <c r="AL17" s="201">
        <v>3351573.4195166784</v>
      </c>
      <c r="AM17" s="201">
        <v>3365162.8518906841</v>
      </c>
      <c r="AN17" s="201">
        <v>3053230.030443382</v>
      </c>
      <c r="AO17" s="201">
        <v>3202961.2033871971</v>
      </c>
      <c r="AP17" s="201">
        <v>3500751.028924033</v>
      </c>
      <c r="AQ17" s="215">
        <v>3452999.8296258794</v>
      </c>
      <c r="AR17" s="215">
        <v>3105549.1199188172</v>
      </c>
      <c r="AS17" s="215">
        <v>3381109.3023034134</v>
      </c>
      <c r="AT17" s="215">
        <v>3699764.3017650107</v>
      </c>
      <c r="AU17" s="215">
        <v>3804598.4518197281</v>
      </c>
      <c r="AV17" s="215">
        <v>3471026.3829326923</v>
      </c>
      <c r="AW17" s="215">
        <v>3592063.5815576948</v>
      </c>
      <c r="AX17" s="215">
        <v>3856907.2713116575</v>
      </c>
      <c r="AY17" s="215">
        <v>3919024.354243774</v>
      </c>
      <c r="AZ17" s="215">
        <v>3366438.2863719594</v>
      </c>
      <c r="BA17" s="215">
        <v>3673228.5226351805</v>
      </c>
      <c r="BB17" s="215">
        <v>3876355.7086113715</v>
      </c>
    </row>
    <row r="18" spans="2:54" ht="15" customHeight="1">
      <c r="B18" s="210" t="s">
        <v>165</v>
      </c>
      <c r="C18" s="210" t="s">
        <v>166</v>
      </c>
      <c r="D18" s="219">
        <v>102632.63999</v>
      </c>
      <c r="E18" s="219">
        <v>110318.74709</v>
      </c>
      <c r="F18" s="219">
        <v>115621.07097</v>
      </c>
      <c r="G18" s="219">
        <v>120510.24145999999</v>
      </c>
      <c r="H18" s="219">
        <v>106758.75399</v>
      </c>
      <c r="I18" s="219">
        <v>113355.38521000001</v>
      </c>
      <c r="J18" s="219">
        <v>121301.49673999999</v>
      </c>
      <c r="K18" s="219">
        <v>127321.95121000003</v>
      </c>
      <c r="L18" s="219">
        <v>113601.188818</v>
      </c>
      <c r="M18" s="219">
        <v>102635.620307</v>
      </c>
      <c r="N18" s="219">
        <v>109496.67886100001</v>
      </c>
      <c r="O18" s="219">
        <v>115611.527485</v>
      </c>
      <c r="P18" s="219">
        <v>105948.222471</v>
      </c>
      <c r="Q18" s="219">
        <v>107084.155918</v>
      </c>
      <c r="R18" s="219">
        <v>110838.80999699999</v>
      </c>
      <c r="S18" s="219">
        <v>111177.11994666667</v>
      </c>
      <c r="T18" s="219">
        <v>92186.681693934632</v>
      </c>
      <c r="U18" s="219">
        <v>90874.765197050699</v>
      </c>
      <c r="V18" s="219">
        <v>97391.081392158085</v>
      </c>
      <c r="W18" s="219">
        <v>98703.485641807099</v>
      </c>
      <c r="X18" s="219">
        <v>87756.596782186461</v>
      </c>
      <c r="Y18" s="201">
        <v>91577.904120000021</v>
      </c>
      <c r="Z18" s="201">
        <v>100470.26348999998</v>
      </c>
      <c r="AA18" s="201">
        <v>98359.341780000017</v>
      </c>
      <c r="AB18" s="201">
        <v>70159.918357000017</v>
      </c>
      <c r="AC18" s="201">
        <v>72084.386335999981</v>
      </c>
      <c r="AD18" s="201">
        <v>78538.429994607824</v>
      </c>
      <c r="AE18" s="201">
        <v>78508.03360155056</v>
      </c>
      <c r="AF18" s="201">
        <v>74143.589719162919</v>
      </c>
      <c r="AG18" s="201">
        <v>73493.287170605472</v>
      </c>
      <c r="AH18" s="201">
        <v>88081.192773005067</v>
      </c>
      <c r="AI18" s="201">
        <v>82544.296225383412</v>
      </c>
      <c r="AJ18" s="201">
        <v>63467.153614719857</v>
      </c>
      <c r="AK18" s="201">
        <v>69073.112262955343</v>
      </c>
      <c r="AL18" s="201">
        <v>74564.931499295781</v>
      </c>
      <c r="AM18" s="201">
        <v>76330.624848383261</v>
      </c>
      <c r="AN18" s="201">
        <v>66148.448995060477</v>
      </c>
      <c r="AO18" s="201">
        <v>66732.063101269276</v>
      </c>
      <c r="AP18" s="201">
        <v>75864.288340524887</v>
      </c>
      <c r="AQ18" s="201">
        <v>75341.773573030718</v>
      </c>
      <c r="AR18" s="201">
        <v>74412.811360676031</v>
      </c>
      <c r="AS18" s="201">
        <v>62900.077876791482</v>
      </c>
      <c r="AT18" s="201">
        <v>64102.332257790935</v>
      </c>
      <c r="AU18" s="201">
        <v>68358.843953242103</v>
      </c>
      <c r="AV18" s="201">
        <v>61884.865593697505</v>
      </c>
      <c r="AW18" s="201">
        <v>70085.203300705296</v>
      </c>
      <c r="AX18" s="201">
        <v>70015.055142003126</v>
      </c>
      <c r="AY18" s="215">
        <v>74097.12102233569</v>
      </c>
      <c r="AZ18" s="215">
        <v>69439.611014700407</v>
      </c>
      <c r="BA18" s="215">
        <v>75749.275049739605</v>
      </c>
      <c r="BB18" s="215">
        <v>77757.233778397902</v>
      </c>
    </row>
    <row r="19" spans="2:54" ht="15" customHeight="1">
      <c r="B19" s="212" t="s">
        <v>149</v>
      </c>
      <c r="C19" s="212" t="s">
        <v>150</v>
      </c>
      <c r="D19" s="219"/>
      <c r="E19" s="219"/>
      <c r="F19" s="219"/>
      <c r="G19" s="219"/>
      <c r="H19" s="219"/>
      <c r="I19" s="219"/>
      <c r="J19" s="219"/>
      <c r="K19" s="219"/>
      <c r="L19" s="219"/>
      <c r="M19" s="219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01"/>
      <c r="Z19" s="201"/>
      <c r="AA19" s="201"/>
      <c r="AB19" s="201"/>
      <c r="AC19" s="201"/>
      <c r="AD19" s="201"/>
      <c r="AE19" s="201"/>
      <c r="AF19" s="201">
        <v>9860.2340000000004</v>
      </c>
      <c r="AG19" s="201">
        <v>15034.46</v>
      </c>
      <c r="AH19" s="201">
        <v>21873.008999999998</v>
      </c>
      <c r="AI19" s="201">
        <v>24756.544999999998</v>
      </c>
      <c r="AJ19" s="201">
        <v>28248.456296999993</v>
      </c>
      <c r="AK19" s="201">
        <v>39835.748999999996</v>
      </c>
      <c r="AL19" s="201">
        <v>50978.900999999998</v>
      </c>
      <c r="AM19" s="201">
        <v>56137.644</v>
      </c>
      <c r="AN19" s="201">
        <v>59292.176000000007</v>
      </c>
      <c r="AO19" s="201">
        <v>74153.45100000003</v>
      </c>
      <c r="AP19" s="201">
        <v>101168.64386274994</v>
      </c>
      <c r="AQ19" s="201">
        <v>109760.13221990003</v>
      </c>
      <c r="AR19" s="201">
        <v>123904.21995410029</v>
      </c>
      <c r="AS19" s="201">
        <v>151304.04263084999</v>
      </c>
      <c r="AT19" s="201">
        <v>187391.55399999995</v>
      </c>
      <c r="AU19" s="201">
        <v>205238.75613289999</v>
      </c>
      <c r="AV19" s="201">
        <v>197429.41483575001</v>
      </c>
      <c r="AW19" s="201">
        <v>232302.24210594999</v>
      </c>
      <c r="AX19" s="201">
        <v>311016.22467620001</v>
      </c>
      <c r="AY19" s="215">
        <v>318466.33955729997</v>
      </c>
      <c r="AZ19" s="215">
        <v>298932.31828604999</v>
      </c>
      <c r="BA19" s="215">
        <v>353929.46178252</v>
      </c>
      <c r="BB19" s="215">
        <v>413159.92165701999</v>
      </c>
    </row>
    <row r="20" spans="2:54" ht="15" customHeight="1">
      <c r="B20" s="656" t="s">
        <v>151</v>
      </c>
      <c r="C20" s="656" t="s">
        <v>152</v>
      </c>
      <c r="D20" s="651">
        <f>SUM(D17:D18)</f>
        <v>2612134.3459900003</v>
      </c>
      <c r="E20" s="651">
        <f>SUM(E17:E18)</f>
        <v>2771523.7960899998</v>
      </c>
      <c r="F20" s="651">
        <f t="shared" ref="F20:Y20" si="4">SUM(F17:F18)</f>
        <v>2916936.8469700003</v>
      </c>
      <c r="G20" s="651">
        <f t="shared" si="4"/>
        <v>2990055.6804599999</v>
      </c>
      <c r="H20" s="651">
        <f t="shared" si="4"/>
        <v>2746339.7468090001</v>
      </c>
      <c r="I20" s="651">
        <f t="shared" si="4"/>
        <v>2894278.0630419999</v>
      </c>
      <c r="J20" s="651">
        <f t="shared" si="4"/>
        <v>3044599.2059029997</v>
      </c>
      <c r="K20" s="651">
        <f t="shared" si="4"/>
        <v>3138564.7907889988</v>
      </c>
      <c r="L20" s="651">
        <f t="shared" si="4"/>
        <v>2803726.7589150006</v>
      </c>
      <c r="M20" s="651">
        <f t="shared" si="4"/>
        <v>2909670.0798559999</v>
      </c>
      <c r="N20" s="651">
        <f t="shared" si="4"/>
        <v>3072985.3362910002</v>
      </c>
      <c r="O20" s="651">
        <f t="shared" si="4"/>
        <v>3156648.2991140001</v>
      </c>
      <c r="P20" s="651">
        <f t="shared" si="4"/>
        <v>2906510.1838759999</v>
      </c>
      <c r="Q20" s="651">
        <f t="shared" si="4"/>
        <v>3036495.9769079993</v>
      </c>
      <c r="R20" s="651">
        <f t="shared" si="4"/>
        <v>3119614.6094579995</v>
      </c>
      <c r="S20" s="651">
        <f t="shared" si="4"/>
        <v>3126465.2629736657</v>
      </c>
      <c r="T20" s="651">
        <f t="shared" si="4"/>
        <v>2765144.7281449349</v>
      </c>
      <c r="U20" s="651">
        <f t="shared" si="4"/>
        <v>2988310.7776890509</v>
      </c>
      <c r="V20" s="651">
        <f t="shared" si="4"/>
        <v>3174131.7244331576</v>
      </c>
      <c r="W20" s="651">
        <f t="shared" si="4"/>
        <v>3164614.6149611315</v>
      </c>
      <c r="X20" s="651">
        <f t="shared" si="4"/>
        <v>2834296.9034738042</v>
      </c>
      <c r="Y20" s="651">
        <f t="shared" si="4"/>
        <v>2936377.8157790001</v>
      </c>
      <c r="Z20" s="651">
        <f t="shared" ref="Z20:AE20" si="5">+SUM(Z17:Z19)</f>
        <v>3124658.3978584306</v>
      </c>
      <c r="AA20" s="651">
        <f t="shared" si="5"/>
        <v>3160478.3244188246</v>
      </c>
      <c r="AB20" s="651">
        <f t="shared" si="5"/>
        <v>2858268.4244536334</v>
      </c>
      <c r="AC20" s="651">
        <f t="shared" si="5"/>
        <v>3017883.91986374</v>
      </c>
      <c r="AD20" s="651">
        <f t="shared" si="5"/>
        <v>3210904.8674063277</v>
      </c>
      <c r="AE20" s="651">
        <f t="shared" si="5"/>
        <v>3234398.6363923997</v>
      </c>
      <c r="AF20" s="651">
        <f>+SUM(AF17:AF19)</f>
        <v>2957866.9059785889</v>
      </c>
      <c r="AG20" s="651">
        <f t="shared" ref="AG20:BB20" si="6">+SUM(AG17:AG19)</f>
        <v>2996824.0903230323</v>
      </c>
      <c r="AH20" s="651">
        <f t="shared" si="6"/>
        <v>3432102.2655122224</v>
      </c>
      <c r="AI20" s="651">
        <f t="shared" si="6"/>
        <v>3395322.7057805527</v>
      </c>
      <c r="AJ20" s="651">
        <f t="shared" si="6"/>
        <v>3066413.7438981212</v>
      </c>
      <c r="AK20" s="651">
        <f t="shared" si="6"/>
        <v>3270080.3863456417</v>
      </c>
      <c r="AL20" s="651">
        <f t="shared" si="6"/>
        <v>3477117.2520159744</v>
      </c>
      <c r="AM20" s="651">
        <f t="shared" si="6"/>
        <v>3497631.1207390674</v>
      </c>
      <c r="AN20" s="651">
        <f t="shared" si="6"/>
        <v>3178670.6554384422</v>
      </c>
      <c r="AO20" s="651">
        <f t="shared" si="6"/>
        <v>3343846.7174884663</v>
      </c>
      <c r="AP20" s="651">
        <f t="shared" si="6"/>
        <v>3677783.9611273077</v>
      </c>
      <c r="AQ20" s="651">
        <f t="shared" si="6"/>
        <v>3638101.73541881</v>
      </c>
      <c r="AR20" s="651">
        <f t="shared" si="6"/>
        <v>3303866.1512335935</v>
      </c>
      <c r="AS20" s="651">
        <f t="shared" si="6"/>
        <v>3595313.4228110546</v>
      </c>
      <c r="AT20" s="651">
        <f t="shared" si="6"/>
        <v>3951258.1880228017</v>
      </c>
      <c r="AU20" s="651">
        <f t="shared" si="6"/>
        <v>4078196.05190587</v>
      </c>
      <c r="AV20" s="651">
        <f t="shared" si="6"/>
        <v>3730340.6633621398</v>
      </c>
      <c r="AW20" s="651">
        <f t="shared" si="6"/>
        <v>3894451.0269643501</v>
      </c>
      <c r="AX20" s="651">
        <f t="shared" si="6"/>
        <v>4237938.5511298608</v>
      </c>
      <c r="AY20" s="651">
        <f t="shared" si="6"/>
        <v>4311587.8148234095</v>
      </c>
      <c r="AZ20" s="651">
        <f t="shared" si="6"/>
        <v>3734810.21567271</v>
      </c>
      <c r="BA20" s="651">
        <f t="shared" si="6"/>
        <v>4102907.2594674402</v>
      </c>
      <c r="BB20" s="651">
        <f t="shared" si="6"/>
        <v>4367272.8640467897</v>
      </c>
    </row>
    <row r="21" spans="2:54" ht="15" customHeight="1">
      <c r="B21" s="200" t="s">
        <v>153</v>
      </c>
      <c r="C21" s="200" t="s">
        <v>154</v>
      </c>
      <c r="D21" s="211">
        <v>1656068.9679999999</v>
      </c>
      <c r="E21" s="211">
        <v>1765453.953</v>
      </c>
      <c r="F21" s="211">
        <v>1863187.0870000003</v>
      </c>
      <c r="G21" s="211">
        <v>1998072.773</v>
      </c>
      <c r="H21" s="211">
        <v>1887720.5249999999</v>
      </c>
      <c r="I21" s="211">
        <v>1987624.5270000002</v>
      </c>
      <c r="J21" s="211">
        <v>2095996.7169999999</v>
      </c>
      <c r="K21" s="211">
        <v>2159906.068</v>
      </c>
      <c r="L21" s="211">
        <v>1975730.5630000001</v>
      </c>
      <c r="M21" s="211">
        <v>1882863.4780000001</v>
      </c>
      <c r="N21" s="211">
        <v>2174548.4810000001</v>
      </c>
      <c r="O21" s="211">
        <v>2422326.3929999997</v>
      </c>
      <c r="P21" s="211">
        <v>2002101.5968240001</v>
      </c>
      <c r="Q21" s="211">
        <v>2088856.3543029986</v>
      </c>
      <c r="R21" s="211">
        <v>2316200.3490019985</v>
      </c>
      <c r="S21" s="211">
        <v>2332312.869022999</v>
      </c>
      <c r="T21" s="211">
        <v>1959174.3571019999</v>
      </c>
      <c r="U21" s="211">
        <v>2170178.2829780001</v>
      </c>
      <c r="V21" s="211">
        <v>2281048.9241780001</v>
      </c>
      <c r="W21" s="211">
        <v>2356630.7025609971</v>
      </c>
      <c r="X21" s="211">
        <v>2039607.702419</v>
      </c>
      <c r="Y21" s="219">
        <v>2140437.620017</v>
      </c>
      <c r="Z21" s="219">
        <v>2211013.2408540002</v>
      </c>
      <c r="AA21" s="219">
        <v>2249551.9877067497</v>
      </c>
      <c r="AB21" s="219">
        <v>1954385.15288206</v>
      </c>
      <c r="AC21" s="219">
        <v>2088654.6510695298</v>
      </c>
      <c r="AD21" s="219">
        <v>2247822.1727060704</v>
      </c>
      <c r="AE21" s="219">
        <v>2326094.32250077</v>
      </c>
      <c r="AF21" s="219">
        <v>2089310.3761811585</v>
      </c>
      <c r="AG21" s="201">
        <v>2036276.3400466195</v>
      </c>
      <c r="AH21" s="201">
        <v>2399142.7308608703</v>
      </c>
      <c r="AI21" s="201">
        <v>2325463.200335816</v>
      </c>
      <c r="AJ21" s="201">
        <v>2167144.9577237247</v>
      </c>
      <c r="AK21" s="201">
        <v>2305199.1051781327</v>
      </c>
      <c r="AL21" s="201">
        <v>2472009.2068795683</v>
      </c>
      <c r="AM21" s="201">
        <v>2506734.6470890949</v>
      </c>
      <c r="AN21" s="201">
        <v>2307446.9097290817</v>
      </c>
      <c r="AO21" s="201">
        <v>2440691.1773466393</v>
      </c>
      <c r="AP21" s="201">
        <v>2646778.149478646</v>
      </c>
      <c r="AQ21" s="201">
        <v>2637647.839518839</v>
      </c>
      <c r="AR21" s="201">
        <v>2427842.3332823822</v>
      </c>
      <c r="AS21" s="201">
        <v>2584484.9082702771</v>
      </c>
      <c r="AT21" s="201">
        <v>2834237.1093314504</v>
      </c>
      <c r="AU21" s="201">
        <v>3012332.990287039</v>
      </c>
      <c r="AV21" s="201">
        <v>2727518.4130807491</v>
      </c>
      <c r="AW21" s="201">
        <v>2769861.4096169998</v>
      </c>
      <c r="AX21" s="201">
        <v>2991125.9816347142</v>
      </c>
      <c r="AY21" s="201">
        <v>3096765.6001204201</v>
      </c>
      <c r="AZ21" s="201">
        <v>2681333.6394130001</v>
      </c>
      <c r="BA21" s="201">
        <v>2901475.479028</v>
      </c>
      <c r="BB21" s="201">
        <v>3061574.9171060002</v>
      </c>
    </row>
    <row r="22" spans="2:54" ht="15" customHeight="1">
      <c r="B22" s="200" t="s">
        <v>155</v>
      </c>
      <c r="C22" s="200" t="s">
        <v>156</v>
      </c>
      <c r="D22" s="211"/>
      <c r="E22" s="211"/>
      <c r="F22" s="211"/>
      <c r="G22" s="211"/>
      <c r="H22" s="211"/>
      <c r="I22" s="211"/>
      <c r="J22" s="211"/>
      <c r="K22" s="211"/>
      <c r="L22" s="211"/>
      <c r="M22" s="211"/>
      <c r="N22" s="211"/>
      <c r="O22" s="211"/>
      <c r="P22" s="211"/>
      <c r="Q22" s="211"/>
      <c r="R22" s="211"/>
      <c r="S22" s="211"/>
      <c r="T22" s="211"/>
      <c r="U22" s="211"/>
      <c r="V22" s="211"/>
      <c r="W22" s="211"/>
      <c r="X22" s="211"/>
      <c r="Y22" s="219"/>
      <c r="Z22" s="219"/>
      <c r="AA22" s="219"/>
      <c r="AB22" s="219"/>
      <c r="AC22" s="219"/>
      <c r="AD22" s="219"/>
      <c r="AE22" s="219"/>
      <c r="AF22" s="219"/>
      <c r="AG22" s="201"/>
      <c r="AH22" s="201"/>
      <c r="AI22" s="201"/>
      <c r="AJ22" s="201"/>
      <c r="AK22" s="201"/>
      <c r="AL22" s="201"/>
      <c r="AM22" s="201"/>
      <c r="AN22" s="201"/>
      <c r="AO22" s="201"/>
      <c r="AP22" s="201"/>
      <c r="AQ22" s="201"/>
      <c r="AR22" s="201"/>
      <c r="AS22" s="201"/>
      <c r="AT22" s="201">
        <v>10559.42288</v>
      </c>
      <c r="AU22" s="201">
        <v>4061.3919799999999</v>
      </c>
      <c r="AV22" s="201">
        <v>3551.7392640000003</v>
      </c>
      <c r="AW22" s="201">
        <v>3995.1038880000001</v>
      </c>
      <c r="AX22" s="201">
        <v>4736.7541440000005</v>
      </c>
      <c r="AY22" s="201">
        <v>12552.44891424</v>
      </c>
      <c r="AZ22" s="201">
        <v>7791.5838240000003</v>
      </c>
      <c r="BA22" s="201">
        <v>8356.6945680000008</v>
      </c>
      <c r="BB22" s="201">
        <v>8288.5351680000003</v>
      </c>
    </row>
    <row r="23" spans="2:54" ht="15" customHeight="1">
      <c r="B23" s="200" t="s">
        <v>157</v>
      </c>
      <c r="C23" s="200" t="s">
        <v>158</v>
      </c>
      <c r="D23" s="215">
        <f t="shared" ref="D23:BB23" si="7">D20-D21-D22</f>
        <v>956065.37799000042</v>
      </c>
      <c r="E23" s="215">
        <f t="shared" si="7"/>
        <v>1006069.8430899999</v>
      </c>
      <c r="F23" s="215">
        <f t="shared" si="7"/>
        <v>1053749.75997</v>
      </c>
      <c r="G23" s="215">
        <f t="shared" si="7"/>
        <v>991982.9074599999</v>
      </c>
      <c r="H23" s="215">
        <f t="shared" si="7"/>
        <v>858619.22180900024</v>
      </c>
      <c r="I23" s="215">
        <f t="shared" si="7"/>
        <v>906653.5360419997</v>
      </c>
      <c r="J23" s="215">
        <f t="shared" si="7"/>
        <v>948602.48890299979</v>
      </c>
      <c r="K23" s="215">
        <f t="shared" si="7"/>
        <v>978658.72278899886</v>
      </c>
      <c r="L23" s="215">
        <f t="shared" si="7"/>
        <v>827996.19591500051</v>
      </c>
      <c r="M23" s="215">
        <f t="shared" si="7"/>
        <v>1026806.6018559998</v>
      </c>
      <c r="N23" s="215">
        <f t="shared" si="7"/>
        <v>898436.8552910001</v>
      </c>
      <c r="O23" s="215">
        <f t="shared" si="7"/>
        <v>734321.90611400036</v>
      </c>
      <c r="P23" s="215">
        <f t="shared" si="7"/>
        <v>904408.58705199976</v>
      </c>
      <c r="Q23" s="215">
        <f t="shared" si="7"/>
        <v>947639.62260500062</v>
      </c>
      <c r="R23" s="215">
        <f t="shared" si="7"/>
        <v>803414.26045600092</v>
      </c>
      <c r="S23" s="215">
        <f t="shared" si="7"/>
        <v>794152.39395066677</v>
      </c>
      <c r="T23" s="215">
        <f t="shared" si="7"/>
        <v>805970.37104293494</v>
      </c>
      <c r="U23" s="215">
        <f t="shared" si="7"/>
        <v>818132.49471105076</v>
      </c>
      <c r="V23" s="215">
        <f t="shared" si="7"/>
        <v>893082.80025515752</v>
      </c>
      <c r="W23" s="215">
        <f t="shared" si="7"/>
        <v>807983.91240013437</v>
      </c>
      <c r="X23" s="215">
        <f t="shared" si="7"/>
        <v>794689.20105480426</v>
      </c>
      <c r="Y23" s="215">
        <f t="shared" si="7"/>
        <v>795940.19576200005</v>
      </c>
      <c r="Z23" s="215">
        <f t="shared" si="7"/>
        <v>913645.15700443042</v>
      </c>
      <c r="AA23" s="215">
        <f t="shared" si="7"/>
        <v>910926.33671207493</v>
      </c>
      <c r="AB23" s="215">
        <f t="shared" si="7"/>
        <v>903883.27157157334</v>
      </c>
      <c r="AC23" s="215">
        <f t="shared" si="7"/>
        <v>929229.26879421016</v>
      </c>
      <c r="AD23" s="215">
        <f t="shared" si="7"/>
        <v>963082.69470025739</v>
      </c>
      <c r="AE23" s="215">
        <f t="shared" si="7"/>
        <v>908304.31389162969</v>
      </c>
      <c r="AF23" s="215">
        <f t="shared" si="7"/>
        <v>868556.52979743038</v>
      </c>
      <c r="AG23" s="215">
        <f t="shared" si="7"/>
        <v>960547.75027641281</v>
      </c>
      <c r="AH23" s="215">
        <f t="shared" si="7"/>
        <v>1032959.5346513521</v>
      </c>
      <c r="AI23" s="215">
        <f t="shared" si="7"/>
        <v>1069859.5054447367</v>
      </c>
      <c r="AJ23" s="215">
        <f t="shared" si="7"/>
        <v>899268.78617439652</v>
      </c>
      <c r="AK23" s="215">
        <f t="shared" si="7"/>
        <v>964881.28116750903</v>
      </c>
      <c r="AL23" s="215">
        <f t="shared" si="7"/>
        <v>1005108.0451364061</v>
      </c>
      <c r="AM23" s="215">
        <f t="shared" si="7"/>
        <v>990896.47364997258</v>
      </c>
      <c r="AN23" s="215">
        <f t="shared" si="7"/>
        <v>871223.74570936058</v>
      </c>
      <c r="AO23" s="215">
        <f t="shared" si="7"/>
        <v>903155.54014182696</v>
      </c>
      <c r="AP23" s="215">
        <f t="shared" si="7"/>
        <v>1031005.8116486617</v>
      </c>
      <c r="AQ23" s="215">
        <f t="shared" si="7"/>
        <v>1000453.895899971</v>
      </c>
      <c r="AR23" s="215">
        <f t="shared" si="7"/>
        <v>876023.81795121124</v>
      </c>
      <c r="AS23" s="215">
        <f t="shared" si="7"/>
        <v>1010828.5145407775</v>
      </c>
      <c r="AT23" s="215">
        <f t="shared" si="7"/>
        <v>1106461.6558113513</v>
      </c>
      <c r="AU23" s="215">
        <f t="shared" si="7"/>
        <v>1061801.6696388309</v>
      </c>
      <c r="AV23" s="215">
        <f t="shared" si="7"/>
        <v>999270.51101739076</v>
      </c>
      <c r="AW23" s="215">
        <f t="shared" si="7"/>
        <v>1120594.5134593504</v>
      </c>
      <c r="AX23" s="215">
        <f t="shared" si="7"/>
        <v>1242075.8153511467</v>
      </c>
      <c r="AY23" s="215">
        <f t="shared" si="7"/>
        <v>1202269.7657887493</v>
      </c>
      <c r="AZ23" s="215">
        <f t="shared" si="7"/>
        <v>1045684.9924357099</v>
      </c>
      <c r="BA23" s="215">
        <f t="shared" si="7"/>
        <v>1193075.0858714401</v>
      </c>
      <c r="BB23" s="215">
        <f t="shared" si="7"/>
        <v>1297409.4117727894</v>
      </c>
    </row>
    <row r="24" spans="2:54" ht="15" customHeight="1">
      <c r="B24" s="220" t="s">
        <v>159</v>
      </c>
      <c r="C24" s="216" t="s">
        <v>160</v>
      </c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2"/>
      <c r="Z24" s="222"/>
      <c r="AA24" s="222"/>
      <c r="AB24" s="222"/>
      <c r="AC24" s="222"/>
      <c r="AD24" s="222"/>
      <c r="AE24" s="222"/>
      <c r="AF24" s="222"/>
      <c r="AG24" s="223">
        <f>AG17+AG18-AG21-AG22+'Mercado Distribuição (Pré CP09)'!AG42</f>
        <v>957170.88627641276</v>
      </c>
      <c r="AH24" s="223">
        <f>AH17+AH18-AH21-AH22+'Mercado Distribuição (Pré CP09)'!AH42</f>
        <v>1028127.4986513518</v>
      </c>
      <c r="AI24" s="223">
        <f>AI17+AI18-AI21-AI22+'Mercado Distribuição (Pré CP09)'!AI42</f>
        <v>1066625.3224447365</v>
      </c>
      <c r="AJ24" s="223">
        <f>AJ17+AJ18-AJ21-AJ22+'Mercado Distribuição (Pré CP09)'!AJ42</f>
        <v>893094.75887739658</v>
      </c>
      <c r="AK24" s="223">
        <f>AK17+AK18-AK21-AK22+'Mercado Distribuição (Pré CP09)'!AK42</f>
        <v>957273.63516750932</v>
      </c>
      <c r="AL24" s="223">
        <f>AL17+AL18-AL21-AL22+'Mercado Distribuição (Pré CP09)'!AL42</f>
        <v>994544.05813640612</v>
      </c>
      <c r="AM24" s="223">
        <f>AM17+AM18-AM21-AM22+'Mercado Distribuição (Pré CP09)'!AM42</f>
        <v>981844.75464997301</v>
      </c>
      <c r="AN24" s="223">
        <f>AN17+AN18-AN21-AN22+'Mercado Distribuição (Pré CP09)'!AN42</f>
        <v>858701.25370936026</v>
      </c>
      <c r="AO24" s="223">
        <f>AO17+AO18-AO21-AO22+'Mercado Distribuição (Pré CP09)'!AO42</f>
        <v>888566.67314182734</v>
      </c>
      <c r="AP24" s="223">
        <f>AP17+AP18-AP21-AP22+'Mercado Distribuição (Pré CP09)'!AP42</f>
        <v>1009867.1837859116</v>
      </c>
      <c r="AQ24" s="223">
        <f>AQ17+AQ18-AQ21-AQ22+'Mercado Distribuição (Pré CP09)'!AQ42</f>
        <v>983356.45968007145</v>
      </c>
      <c r="AR24" s="223">
        <f>AR17+AR18-AR21-AR22+'Mercado Distribuição (Pré CP09)'!AR42</f>
        <v>847506.22099711117</v>
      </c>
      <c r="AS24" s="223">
        <f>AS17+AS18-AS21-AS22+'Mercado Distribuição (Pré CP09)'!AS42</f>
        <v>977820.88590992778</v>
      </c>
      <c r="AT24" s="223">
        <f>AT17+AT18-AT21-AT22+'Mercado Distribuição (Pré CP09)'!AT42</f>
        <v>1072387.6038113516</v>
      </c>
      <c r="AU24" s="223">
        <f>AU17+AU18-AU21-AU22+'Mercado Distribuição (Pré CP09)'!AU42</f>
        <v>1034637.403505931</v>
      </c>
      <c r="AV24" s="223">
        <f>AV17+AV18-AV21-AV22+'Mercado Distribuição (Pré CP09)'!AV42</f>
        <v>969735.209181641</v>
      </c>
      <c r="AW24" s="223">
        <f>AW17+AW18-AW21-AW22+'Mercado Distribuição (Pré CP09)'!AW42</f>
        <v>1082238.9723534</v>
      </c>
      <c r="AX24" s="223">
        <f>AX17+AX18-AX21-AX22+'Mercado Distribuição (Pré CP09)'!AX42</f>
        <v>1175319.540674947</v>
      </c>
      <c r="AY24" s="223">
        <f>AY17+AY18-AY21-AY22+'Mercado Distribuição (Pré CP09)'!AY42</f>
        <v>1151946.8792314497</v>
      </c>
      <c r="AZ24" s="223">
        <f>AZ17+AZ18-AZ21-AZ22+'Mercado Distribuição (Pré CP09)'!AZ42</f>
        <v>982946.85714966012</v>
      </c>
      <c r="BA24" s="223">
        <f>BA17+BA18-BA21-BA22+'Mercado Distribuição (Pré CP09)'!BA42</f>
        <v>1120617.3730889198</v>
      </c>
      <c r="BB24" s="223">
        <f>BB17+BB18-BB21-BB22+'Mercado Distribuição (Pré CP09)'!BB42</f>
        <v>1202061.8041157695</v>
      </c>
    </row>
    <row r="25" spans="2:54" ht="15" customHeight="1">
      <c r="B25" s="200" t="s">
        <v>167</v>
      </c>
      <c r="C25" s="200" t="s">
        <v>162</v>
      </c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200"/>
      <c r="P25" s="200"/>
      <c r="Q25" s="200"/>
      <c r="R25" s="200"/>
      <c r="S25" s="658"/>
      <c r="T25" s="658"/>
      <c r="U25" s="658"/>
      <c r="V25" s="658"/>
      <c r="W25" s="658"/>
      <c r="X25" s="658"/>
      <c r="Y25" s="658"/>
      <c r="Z25" s="658"/>
      <c r="AA25" s="658"/>
      <c r="AB25" s="215"/>
      <c r="AC25" s="215"/>
      <c r="AD25" s="215"/>
      <c r="AE25" s="215"/>
      <c r="AF25" s="215"/>
      <c r="AG25" s="215"/>
      <c r="AH25" s="215"/>
      <c r="AI25" s="215"/>
      <c r="AJ25" s="215"/>
      <c r="AK25" s="215"/>
      <c r="AL25" s="215"/>
      <c r="AM25" s="215"/>
      <c r="AN25" s="215"/>
      <c r="AO25" s="215"/>
      <c r="AP25" s="215"/>
      <c r="AQ25" s="215"/>
      <c r="AR25" s="215"/>
      <c r="AS25" s="215"/>
      <c r="AT25" s="215"/>
      <c r="AU25" s="215"/>
      <c r="AV25" s="215"/>
      <c r="AW25" s="215"/>
      <c r="AX25" s="215"/>
      <c r="AY25" s="215"/>
      <c r="AZ25" s="215"/>
      <c r="BA25" s="215"/>
      <c r="BB25" s="215"/>
    </row>
    <row r="26" spans="2:54" ht="15" customHeight="1">
      <c r="AB26" s="218"/>
      <c r="AC26" s="218"/>
      <c r="AD26" s="218"/>
      <c r="AE26" s="218"/>
      <c r="AF26" s="218"/>
      <c r="AG26" s="218"/>
      <c r="AH26" s="218"/>
      <c r="AI26" s="218"/>
      <c r="AJ26" s="218"/>
      <c r="AK26" s="218"/>
      <c r="AL26" s="218"/>
      <c r="AM26" s="218"/>
      <c r="AN26" s="218"/>
      <c r="AO26" s="218"/>
      <c r="AP26" s="218"/>
      <c r="AQ26" s="218"/>
      <c r="AR26" s="218"/>
      <c r="AS26" s="218"/>
      <c r="AT26" s="218"/>
      <c r="AU26" s="218"/>
      <c r="AX26" s="218"/>
      <c r="AY26" s="218"/>
      <c r="AZ26" s="218"/>
      <c r="BA26" s="218"/>
      <c r="BB26" s="218"/>
    </row>
    <row r="27" spans="2:54" ht="15" customHeight="1">
      <c r="B27" s="439" t="s">
        <v>168</v>
      </c>
      <c r="C27" s="439" t="s">
        <v>169</v>
      </c>
      <c r="D27" s="107" t="s">
        <v>39</v>
      </c>
      <c r="E27" s="107" t="s">
        <v>40</v>
      </c>
      <c r="F27" s="107" t="s">
        <v>41</v>
      </c>
      <c r="G27" s="107" t="s">
        <v>42</v>
      </c>
      <c r="H27" s="107" t="s">
        <v>43</v>
      </c>
      <c r="I27" s="107" t="s">
        <v>44</v>
      </c>
      <c r="J27" s="107" t="s">
        <v>45</v>
      </c>
      <c r="K27" s="107" t="s">
        <v>46</v>
      </c>
      <c r="L27" s="107" t="s">
        <v>47</v>
      </c>
      <c r="M27" s="107" t="s">
        <v>48</v>
      </c>
      <c r="N27" s="107" t="s">
        <v>49</v>
      </c>
      <c r="O27" s="107" t="s">
        <v>50</v>
      </c>
      <c r="P27" s="107" t="s">
        <v>51</v>
      </c>
      <c r="Q27" s="107" t="s">
        <v>52</v>
      </c>
      <c r="R27" s="107" t="s">
        <v>53</v>
      </c>
      <c r="S27" s="107" t="s">
        <v>54</v>
      </c>
      <c r="T27" s="107" t="s">
        <v>55</v>
      </c>
      <c r="U27" s="107" t="s">
        <v>56</v>
      </c>
      <c r="V27" s="107" t="s">
        <v>57</v>
      </c>
      <c r="W27" s="107" t="s">
        <v>58</v>
      </c>
      <c r="X27" s="107" t="s">
        <v>59</v>
      </c>
      <c r="Y27" s="107" t="s">
        <v>60</v>
      </c>
      <c r="Z27" s="107" t="s">
        <v>61</v>
      </c>
      <c r="AA27" s="107" t="s">
        <v>62</v>
      </c>
      <c r="AB27" s="107" t="str">
        <f>AB16</f>
        <v>1T19</v>
      </c>
      <c r="AC27" s="107" t="s">
        <v>64</v>
      </c>
      <c r="AD27" s="107" t="s">
        <v>65</v>
      </c>
      <c r="AE27" s="107" t="s">
        <v>66</v>
      </c>
      <c r="AF27" s="107" t="str">
        <f>AF16</f>
        <v>1T20</v>
      </c>
      <c r="AG27" s="107" t="str">
        <f t="shared" ref="AG27:AL27" si="8">AG6</f>
        <v>2T20</v>
      </c>
      <c r="AH27" s="107" t="str">
        <f t="shared" si="8"/>
        <v>3T20</v>
      </c>
      <c r="AI27" s="107" t="str">
        <f t="shared" si="8"/>
        <v>4T20</v>
      </c>
      <c r="AJ27" s="107" t="str">
        <f t="shared" si="8"/>
        <v>1T21</v>
      </c>
      <c r="AK27" s="107" t="str">
        <f t="shared" si="8"/>
        <v>2T21</v>
      </c>
      <c r="AL27" s="107" t="str">
        <f t="shared" si="8"/>
        <v>3T21</v>
      </c>
      <c r="AM27" s="107" t="str">
        <f t="shared" ref="AM27:AR27" si="9">AM16</f>
        <v>4T21</v>
      </c>
      <c r="AN27" s="107" t="str">
        <f t="shared" si="9"/>
        <v>1T22</v>
      </c>
      <c r="AO27" s="107" t="str">
        <f t="shared" si="9"/>
        <v>2T22</v>
      </c>
      <c r="AP27" s="107" t="str">
        <f t="shared" si="9"/>
        <v>3T22</v>
      </c>
      <c r="AQ27" s="107" t="str">
        <f t="shared" si="9"/>
        <v>4T22</v>
      </c>
      <c r="AR27" s="107" t="str">
        <f t="shared" si="9"/>
        <v>1T23</v>
      </c>
      <c r="AS27" s="107" t="str">
        <f>$AS$6</f>
        <v>2T23</v>
      </c>
      <c r="AT27" s="107" t="str">
        <f>$AT$6</f>
        <v>3T23</v>
      </c>
      <c r="AU27" s="107" t="str">
        <f>$AU$6</f>
        <v>4T23</v>
      </c>
      <c r="AV27" s="107" t="str">
        <f>$AV$6</f>
        <v>1T24</v>
      </c>
      <c r="AW27" s="107" t="str">
        <f>$AW$6</f>
        <v>2T24</v>
      </c>
      <c r="AX27" s="107" t="str">
        <f>$AX$6</f>
        <v>3T24</v>
      </c>
      <c r="AY27" s="107" t="str">
        <f>$AY$6</f>
        <v>4T24</v>
      </c>
      <c r="AZ27" s="107" t="str">
        <f>$AZ$6</f>
        <v>1T25</v>
      </c>
      <c r="BA27" s="107" t="str">
        <f>$BA$6</f>
        <v>2T25</v>
      </c>
      <c r="BB27" s="107" t="str">
        <f>+BB16</f>
        <v>3T25</v>
      </c>
    </row>
    <row r="28" spans="2:54" ht="15" customHeight="1">
      <c r="B28" s="210" t="s">
        <v>147</v>
      </c>
      <c r="C28" s="210" t="s">
        <v>148</v>
      </c>
      <c r="D28" s="211">
        <v>982756.98611199996</v>
      </c>
      <c r="E28" s="211">
        <v>1008400.6968825001</v>
      </c>
      <c r="F28" s="211">
        <v>1116006.4541419996</v>
      </c>
      <c r="G28" s="211">
        <v>1163797.4270306695</v>
      </c>
      <c r="H28" s="211">
        <v>1012137.1069558323</v>
      </c>
      <c r="I28" s="211">
        <v>1078103.1968451715</v>
      </c>
      <c r="J28" s="211">
        <v>1195195.6312286668</v>
      </c>
      <c r="K28" s="211">
        <v>1269982.3915386898</v>
      </c>
      <c r="L28" s="211">
        <v>1090785.43099776</v>
      </c>
      <c r="M28" s="211">
        <v>1124015.9471939998</v>
      </c>
      <c r="N28" s="211">
        <v>1244463.4943397832</v>
      </c>
      <c r="O28" s="211">
        <v>1373201.1764449743</v>
      </c>
      <c r="P28" s="211">
        <v>1143053.4569721599</v>
      </c>
      <c r="Q28" s="211">
        <v>1233470.5446909992</v>
      </c>
      <c r="R28" s="211">
        <v>1305495.9945849995</v>
      </c>
      <c r="S28" s="211">
        <v>1389232.978935089</v>
      </c>
      <c r="T28" s="211">
        <v>1124865.0467790519</v>
      </c>
      <c r="U28" s="211">
        <v>1201841.8416649997</v>
      </c>
      <c r="V28" s="211">
        <v>1301018.0979124345</v>
      </c>
      <c r="W28" s="211">
        <v>1386665.239641377</v>
      </c>
      <c r="X28" s="211">
        <v>1106627.6490966196</v>
      </c>
      <c r="Y28" s="201">
        <v>1172507.0177652109</v>
      </c>
      <c r="Z28" s="201">
        <v>1302472.0533890065</v>
      </c>
      <c r="AA28" s="201">
        <v>1326162.796845854</v>
      </c>
      <c r="AB28" s="201">
        <v>1123918.6677301938</v>
      </c>
      <c r="AC28" s="201">
        <v>1179998.9287554589</v>
      </c>
      <c r="AD28" s="201">
        <v>1292329.8868828914</v>
      </c>
      <c r="AE28" s="201">
        <v>1392841.5450556441</v>
      </c>
      <c r="AF28" s="201">
        <v>1107184.0714686487</v>
      </c>
      <c r="AG28" s="201">
        <v>1109068.0430000001</v>
      </c>
      <c r="AH28" s="201">
        <v>1251751.0240392722</v>
      </c>
      <c r="AI28" s="201">
        <v>1348860.1825934746</v>
      </c>
      <c r="AJ28" s="201">
        <v>1138003.3341037231</v>
      </c>
      <c r="AK28" s="201">
        <v>1206119.5989999999</v>
      </c>
      <c r="AL28" s="201">
        <v>1312436.1302899285</v>
      </c>
      <c r="AM28" s="201">
        <v>1301914.1037059505</v>
      </c>
      <c r="AN28" s="201">
        <v>1083374.1508182979</v>
      </c>
      <c r="AO28" s="201">
        <v>1137134.499535789</v>
      </c>
      <c r="AP28" s="201">
        <v>1249301.9463274151</v>
      </c>
      <c r="AQ28" s="201">
        <v>1284093.334081606</v>
      </c>
      <c r="AR28" s="201">
        <v>1090164.0457566471</v>
      </c>
      <c r="AS28" s="201">
        <v>1176386.7871043095</v>
      </c>
      <c r="AT28" s="201">
        <v>1322804.8604703799</v>
      </c>
      <c r="AU28" s="201">
        <v>1430858.8696935601</v>
      </c>
      <c r="AV28" s="201">
        <v>1210942.03904284</v>
      </c>
      <c r="AW28" s="201">
        <v>1240835.4126381301</v>
      </c>
      <c r="AX28" s="201">
        <v>1270004.7751394198</v>
      </c>
      <c r="AY28" s="201">
        <v>1417296.4869451399</v>
      </c>
      <c r="AZ28" s="201">
        <v>1156540.49784844</v>
      </c>
      <c r="BA28" s="201">
        <v>1278220.21326187</v>
      </c>
      <c r="BB28" s="201">
        <v>1331568.8227455202</v>
      </c>
    </row>
    <row r="29" spans="2:54" ht="15" customHeight="1">
      <c r="B29" s="210" t="s">
        <v>149</v>
      </c>
      <c r="C29" s="210" t="s">
        <v>150</v>
      </c>
      <c r="D29" s="211"/>
      <c r="E29" s="211"/>
      <c r="F29" s="211"/>
      <c r="G29" s="211"/>
      <c r="H29" s="211"/>
      <c r="I29" s="211"/>
      <c r="J29" s="211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01"/>
      <c r="Z29" s="201"/>
      <c r="AA29" s="201"/>
      <c r="AB29" s="201">
        <v>2392.0199999999986</v>
      </c>
      <c r="AC29" s="201">
        <v>2644.0830000000078</v>
      </c>
      <c r="AD29" s="201">
        <v>5533.2700000000023</v>
      </c>
      <c r="AE29" s="201">
        <v>7919.707000000004</v>
      </c>
      <c r="AF29" s="201">
        <v>10276.014999999996</v>
      </c>
      <c r="AG29" s="201">
        <v>16733.957000000009</v>
      </c>
      <c r="AH29" s="201">
        <v>23393.055999999964</v>
      </c>
      <c r="AI29" s="201">
        <v>25778.708000000028</v>
      </c>
      <c r="AJ29" s="201">
        <v>26647.286000000062</v>
      </c>
      <c r="AK29" s="201">
        <v>36559.4010000001</v>
      </c>
      <c r="AL29" s="201">
        <v>46644.899999999965</v>
      </c>
      <c r="AM29" s="201">
        <v>51153.838999999964</v>
      </c>
      <c r="AN29" s="201">
        <v>55767.289999999892</v>
      </c>
      <c r="AO29" s="201">
        <v>68188.562999999951</v>
      </c>
      <c r="AP29" s="201">
        <v>91028.556000000041</v>
      </c>
      <c r="AQ29" s="201">
        <v>94766.582999999999</v>
      </c>
      <c r="AR29" s="201">
        <v>95718.903000000078</v>
      </c>
      <c r="AS29" s="201">
        <v>116814.97100000002</v>
      </c>
      <c r="AT29" s="201">
        <v>143432.97899999999</v>
      </c>
      <c r="AU29" s="201">
        <v>150856.85200000001</v>
      </c>
      <c r="AV29" s="201">
        <v>145993.72700000001</v>
      </c>
      <c r="AW29" s="201">
        <v>176543.201</v>
      </c>
      <c r="AX29" s="201">
        <v>221317.03899999999</v>
      </c>
      <c r="AY29" s="201">
        <v>236982.77</v>
      </c>
      <c r="AZ29" s="201">
        <v>216959.614</v>
      </c>
      <c r="BA29" s="201">
        <v>241600.29399999999</v>
      </c>
      <c r="BB29" s="201">
        <v>299982.701</v>
      </c>
    </row>
    <row r="30" spans="2:54" ht="15" customHeight="1">
      <c r="B30" s="656" t="s">
        <v>151</v>
      </c>
      <c r="C30" s="656" t="s">
        <v>152</v>
      </c>
      <c r="D30" s="651">
        <f>SUM(D28:D28)</f>
        <v>982756.98611199996</v>
      </c>
      <c r="E30" s="651">
        <f>SUM(E28:E28)</f>
        <v>1008400.6968825001</v>
      </c>
      <c r="F30" s="651">
        <f t="shared" ref="F30:Y30" si="10">SUM(F28:F28)</f>
        <v>1116006.4541419996</v>
      </c>
      <c r="G30" s="651">
        <f t="shared" si="10"/>
        <v>1163797.4270306695</v>
      </c>
      <c r="H30" s="651">
        <f t="shared" si="10"/>
        <v>1012137.1069558323</v>
      </c>
      <c r="I30" s="651">
        <f t="shared" si="10"/>
        <v>1078103.1968451715</v>
      </c>
      <c r="J30" s="651">
        <f t="shared" si="10"/>
        <v>1195195.6312286668</v>
      </c>
      <c r="K30" s="651">
        <f t="shared" si="10"/>
        <v>1269982.3915386898</v>
      </c>
      <c r="L30" s="651">
        <f t="shared" si="10"/>
        <v>1090785.43099776</v>
      </c>
      <c r="M30" s="651">
        <f t="shared" si="10"/>
        <v>1124015.9471939998</v>
      </c>
      <c r="N30" s="651">
        <f t="shared" si="10"/>
        <v>1244463.4943397832</v>
      </c>
      <c r="O30" s="651">
        <f t="shared" si="10"/>
        <v>1373201.1764449743</v>
      </c>
      <c r="P30" s="651">
        <f t="shared" si="10"/>
        <v>1143053.4569721599</v>
      </c>
      <c r="Q30" s="651">
        <f t="shared" si="10"/>
        <v>1233470.5446909992</v>
      </c>
      <c r="R30" s="651">
        <f t="shared" si="10"/>
        <v>1305495.9945849995</v>
      </c>
      <c r="S30" s="651">
        <f t="shared" si="10"/>
        <v>1389232.978935089</v>
      </c>
      <c r="T30" s="651">
        <f t="shared" si="10"/>
        <v>1124865.0467790519</v>
      </c>
      <c r="U30" s="651">
        <f t="shared" si="10"/>
        <v>1201841.8416649997</v>
      </c>
      <c r="V30" s="651">
        <f t="shared" si="10"/>
        <v>1301018.0979124345</v>
      </c>
      <c r="W30" s="651">
        <f t="shared" si="10"/>
        <v>1386665.239641377</v>
      </c>
      <c r="X30" s="651">
        <f t="shared" si="10"/>
        <v>1106627.6490966196</v>
      </c>
      <c r="Y30" s="651">
        <f t="shared" si="10"/>
        <v>1172507.0177652109</v>
      </c>
      <c r="Z30" s="651">
        <f>+SUM(Z28:Z29)</f>
        <v>1302472.0533890065</v>
      </c>
      <c r="AA30" s="651">
        <f>+SUM(AA28:AA29)</f>
        <v>1326162.796845854</v>
      </c>
      <c r="AB30" s="651">
        <f>+SUM(AB28:AB29)</f>
        <v>1126310.6877301938</v>
      </c>
      <c r="AC30" s="651">
        <f t="shared" ref="AC30:AU30" si="11">+SUM(AC28:AC29)</f>
        <v>1182643.011755459</v>
      </c>
      <c r="AD30" s="651">
        <f t="shared" si="11"/>
        <v>1297863.1568828914</v>
      </c>
      <c r="AE30" s="651">
        <f t="shared" si="11"/>
        <v>1400761.2520556441</v>
      </c>
      <c r="AF30" s="651">
        <f t="shared" si="11"/>
        <v>1117460.0864686486</v>
      </c>
      <c r="AG30" s="651">
        <f t="shared" si="11"/>
        <v>1125802</v>
      </c>
      <c r="AH30" s="651">
        <f t="shared" si="11"/>
        <v>1275144.0800392721</v>
      </c>
      <c r="AI30" s="651">
        <f t="shared" si="11"/>
        <v>1374638.8905934747</v>
      </c>
      <c r="AJ30" s="651">
        <f t="shared" si="11"/>
        <v>1164650.6201037231</v>
      </c>
      <c r="AK30" s="651">
        <f t="shared" si="11"/>
        <v>1242679</v>
      </c>
      <c r="AL30" s="651">
        <f t="shared" si="11"/>
        <v>1359081.0302899284</v>
      </c>
      <c r="AM30" s="651">
        <f t="shared" si="11"/>
        <v>1353067.9427059505</v>
      </c>
      <c r="AN30" s="651">
        <f t="shared" si="11"/>
        <v>1139141.4408182977</v>
      </c>
      <c r="AO30" s="651">
        <f t="shared" si="11"/>
        <v>1205323.0625357889</v>
      </c>
      <c r="AP30" s="651">
        <f t="shared" si="11"/>
        <v>1340330.5023274152</v>
      </c>
      <c r="AQ30" s="651">
        <f t="shared" si="11"/>
        <v>1378859.9170816061</v>
      </c>
      <c r="AR30" s="651">
        <f t="shared" si="11"/>
        <v>1185882.9487566473</v>
      </c>
      <c r="AS30" s="651">
        <f t="shared" si="11"/>
        <v>1293201.7581043094</v>
      </c>
      <c r="AT30" s="651">
        <f t="shared" si="11"/>
        <v>1466237.83947038</v>
      </c>
      <c r="AU30" s="651">
        <f t="shared" si="11"/>
        <v>1581715.72169356</v>
      </c>
      <c r="AV30" s="651">
        <f>+SUM(AV28:AV29)</f>
        <v>1356935.76604284</v>
      </c>
      <c r="AW30" s="651">
        <f>+SUM(AW28:AW29)</f>
        <v>1417378.61363813</v>
      </c>
      <c r="AX30" s="651">
        <f>SUM(AX28:AX29)</f>
        <v>1491321.8141394197</v>
      </c>
      <c r="AY30" s="651">
        <f>SUM(AY28:AY29)</f>
        <v>1654279.25694514</v>
      </c>
      <c r="AZ30" s="651">
        <f>SUM(AZ28:AZ29)</f>
        <v>1373500.11184844</v>
      </c>
      <c r="BA30" s="651">
        <f>SUM(BA28:BA29)</f>
        <v>1519820.50726187</v>
      </c>
      <c r="BB30" s="651">
        <f>SUM(BB28:BB29)</f>
        <v>1631551.52374552</v>
      </c>
    </row>
    <row r="31" spans="2:54" ht="15" customHeight="1">
      <c r="B31" s="200" t="s">
        <v>153</v>
      </c>
      <c r="C31" s="200" t="s">
        <v>154</v>
      </c>
      <c r="D31" s="211">
        <v>688043.28446800006</v>
      </c>
      <c r="E31" s="211">
        <v>716807.18229200016</v>
      </c>
      <c r="F31" s="211">
        <v>775250.76144479995</v>
      </c>
      <c r="G31" s="211">
        <v>811717.67531199998</v>
      </c>
      <c r="H31" s="211">
        <v>751174.473</v>
      </c>
      <c r="I31" s="211">
        <v>756630.83293675247</v>
      </c>
      <c r="J31" s="211">
        <v>841180.69144430524</v>
      </c>
      <c r="K31" s="211">
        <v>871819.65899999999</v>
      </c>
      <c r="L31" s="211">
        <v>792327.4926749916</v>
      </c>
      <c r="M31" s="211">
        <v>796065.24676184508</v>
      </c>
      <c r="N31" s="211">
        <v>852063.52971400251</v>
      </c>
      <c r="O31" s="211">
        <v>919045.72080637957</v>
      </c>
      <c r="P31" s="211">
        <v>806999.32263335795</v>
      </c>
      <c r="Q31" s="211">
        <v>856290.14455109264</v>
      </c>
      <c r="R31" s="211">
        <v>902430.73313999851</v>
      </c>
      <c r="S31" s="211">
        <v>950744.72488787957</v>
      </c>
      <c r="T31" s="211">
        <v>830279.71631956182</v>
      </c>
      <c r="U31" s="211">
        <v>867353.80320473842</v>
      </c>
      <c r="V31" s="211">
        <v>922231.25657458021</v>
      </c>
      <c r="W31" s="211">
        <v>989806.3030446918</v>
      </c>
      <c r="X31" s="211">
        <v>820254.50399999996</v>
      </c>
      <c r="Y31" s="201">
        <v>838606.68399999989</v>
      </c>
      <c r="Z31" s="201">
        <v>913685.88500000001</v>
      </c>
      <c r="AA31" s="201">
        <v>829384.95700000005</v>
      </c>
      <c r="AB31" s="201">
        <v>828839</v>
      </c>
      <c r="AC31" s="201">
        <v>864304</v>
      </c>
      <c r="AD31" s="201">
        <v>922615</v>
      </c>
      <c r="AE31" s="201">
        <v>1042042</v>
      </c>
      <c r="AF31" s="201">
        <v>872332</v>
      </c>
      <c r="AG31" s="201">
        <v>834697</v>
      </c>
      <c r="AH31" s="201">
        <v>921252</v>
      </c>
      <c r="AI31" s="201">
        <v>1065136.047</v>
      </c>
      <c r="AJ31" s="201">
        <v>917024.473</v>
      </c>
      <c r="AK31" s="201">
        <v>958824.098</v>
      </c>
      <c r="AL31" s="201">
        <v>1034797.9039999999</v>
      </c>
      <c r="AM31" s="201">
        <v>1044974.527</v>
      </c>
      <c r="AN31" s="201">
        <v>911521.20400000003</v>
      </c>
      <c r="AO31" s="201">
        <v>954317.0632548721</v>
      </c>
      <c r="AP31" s="665">
        <v>1043590.2458615267</v>
      </c>
      <c r="AQ31" s="201">
        <v>1080649.7973106224</v>
      </c>
      <c r="AR31" s="201">
        <v>949153.51699111774</v>
      </c>
      <c r="AS31" s="201">
        <v>1024562.6345297607</v>
      </c>
      <c r="AT31" s="201">
        <v>1150620.8855965938</v>
      </c>
      <c r="AU31" s="201">
        <v>1233976.6912537592</v>
      </c>
      <c r="AV31" s="201">
        <v>1087226.2707407</v>
      </c>
      <c r="AW31" s="201">
        <v>1140619.0392434169</v>
      </c>
      <c r="AX31" s="201">
        <v>1178728.9112326531</v>
      </c>
      <c r="AY31" s="201">
        <v>1299713.4156962899</v>
      </c>
      <c r="AZ31" s="201">
        <v>1121054.0527822149</v>
      </c>
      <c r="BA31" s="201">
        <v>1203544.8711654888</v>
      </c>
      <c r="BB31" s="201">
        <v>1287699.8872830779</v>
      </c>
    </row>
    <row r="32" spans="2:54" ht="15" customHeight="1">
      <c r="B32" s="200" t="s">
        <v>155</v>
      </c>
      <c r="C32" s="200" t="s">
        <v>156</v>
      </c>
      <c r="D32" s="211">
        <v>24720.379468000003</v>
      </c>
      <c r="E32" s="211">
        <v>25974.084292000003</v>
      </c>
      <c r="F32" s="211">
        <v>27535.693444800003</v>
      </c>
      <c r="G32" s="211">
        <v>29171.060312000001</v>
      </c>
      <c r="H32" s="211">
        <v>26864.347999999998</v>
      </c>
      <c r="I32" s="211">
        <v>28895.479936752505</v>
      </c>
      <c r="J32" s="211">
        <v>33391.927444305198</v>
      </c>
      <c r="K32" s="211">
        <v>33285.366000000002</v>
      </c>
      <c r="L32" s="211">
        <v>30467.275674991673</v>
      </c>
      <c r="M32" s="211">
        <v>31011.724761845093</v>
      </c>
      <c r="N32" s="211">
        <v>33290.018714002501</v>
      </c>
      <c r="O32" s="211">
        <v>35386.541806379697</v>
      </c>
      <c r="P32" s="211">
        <v>32248.860633357999</v>
      </c>
      <c r="Q32" s="211">
        <v>34403.665551092701</v>
      </c>
      <c r="R32" s="211">
        <v>36263.119139998402</v>
      </c>
      <c r="S32" s="211">
        <v>36213.923887879595</v>
      </c>
      <c r="T32" s="211">
        <v>31998.781319561731</v>
      </c>
      <c r="U32" s="211">
        <v>32825.451204738398</v>
      </c>
      <c r="V32" s="211">
        <v>35462.7305745802</v>
      </c>
      <c r="W32" s="211">
        <v>34864.7050446918</v>
      </c>
      <c r="X32" s="211">
        <v>29862.91472567321</v>
      </c>
      <c r="Y32" s="201">
        <v>31004.696208293906</v>
      </c>
      <c r="Z32" s="201">
        <v>33312.177684063499</v>
      </c>
      <c r="AA32" s="201">
        <v>34095.757067614599</v>
      </c>
      <c r="AB32" s="201">
        <v>30452.26299212774</v>
      </c>
      <c r="AC32" s="201">
        <v>32018.805685827298</v>
      </c>
      <c r="AD32" s="201">
        <v>35481</v>
      </c>
      <c r="AE32" s="201">
        <v>34983.775999999998</v>
      </c>
      <c r="AF32" s="201">
        <v>32416.33</v>
      </c>
      <c r="AG32" s="201">
        <v>34414.71</v>
      </c>
      <c r="AH32" s="201">
        <v>39505.686999999998</v>
      </c>
      <c r="AI32" s="201">
        <v>38860.991000000002</v>
      </c>
      <c r="AJ32" s="201">
        <v>36424.182000000001</v>
      </c>
      <c r="AK32" s="201">
        <v>37824.080000000002</v>
      </c>
      <c r="AL32" s="201">
        <v>41043.202000000005</v>
      </c>
      <c r="AM32" s="201">
        <v>40353.236000000004</v>
      </c>
      <c r="AN32" s="201">
        <v>37382.29</v>
      </c>
      <c r="AO32" s="201">
        <v>36591.605000000003</v>
      </c>
      <c r="AP32" s="665">
        <v>39880.811999999998</v>
      </c>
      <c r="AQ32" s="201">
        <v>40917.446000000004</v>
      </c>
      <c r="AR32" s="201">
        <v>35927.261779671499</v>
      </c>
      <c r="AS32" s="201">
        <v>38386.433417526699</v>
      </c>
      <c r="AT32" s="201">
        <v>43027.037722453802</v>
      </c>
      <c r="AU32" s="201">
        <v>45632.668140361697</v>
      </c>
      <c r="AV32" s="201">
        <v>42865.671298559901</v>
      </c>
      <c r="AW32" s="201">
        <v>44213.054976164298</v>
      </c>
      <c r="AX32" s="201">
        <v>45879.119870105496</v>
      </c>
      <c r="AY32" s="201">
        <v>48734.902925870301</v>
      </c>
      <c r="AZ32" s="201">
        <v>43652.959735488803</v>
      </c>
      <c r="BA32" s="201">
        <v>47920.312139932197</v>
      </c>
      <c r="BB32" s="201">
        <v>49816.522858688499</v>
      </c>
    </row>
    <row r="33" spans="2:54" ht="15" customHeight="1">
      <c r="B33" s="200" t="s">
        <v>157</v>
      </c>
      <c r="C33" s="200" t="s">
        <v>158</v>
      </c>
      <c r="D33" s="219">
        <f t="shared" ref="D33:BB33" si="12">D30-D31-D32</f>
        <v>269993.32217599987</v>
      </c>
      <c r="E33" s="219">
        <f t="shared" si="12"/>
        <v>265619.43029849994</v>
      </c>
      <c r="F33" s="219">
        <f t="shared" si="12"/>
        <v>313219.99925239966</v>
      </c>
      <c r="G33" s="219">
        <f t="shared" si="12"/>
        <v>322908.69140666956</v>
      </c>
      <c r="H33" s="219">
        <f t="shared" si="12"/>
        <v>234098.28595583234</v>
      </c>
      <c r="I33" s="219">
        <f t="shared" si="12"/>
        <v>292576.88397166651</v>
      </c>
      <c r="J33" s="219">
        <f t="shared" si="12"/>
        <v>320623.0123400563</v>
      </c>
      <c r="K33" s="219">
        <f t="shared" si="12"/>
        <v>364877.36653868988</v>
      </c>
      <c r="L33" s="219">
        <f t="shared" si="12"/>
        <v>267990.66264777677</v>
      </c>
      <c r="M33" s="219">
        <f t="shared" si="12"/>
        <v>296938.97567030962</v>
      </c>
      <c r="N33" s="219">
        <f t="shared" si="12"/>
        <v>359109.9459117782</v>
      </c>
      <c r="O33" s="219">
        <f t="shared" si="12"/>
        <v>418768.91383221501</v>
      </c>
      <c r="P33" s="219">
        <f t="shared" si="12"/>
        <v>303805.27370544395</v>
      </c>
      <c r="Q33" s="219">
        <f t="shared" si="12"/>
        <v>342776.73458881385</v>
      </c>
      <c r="R33" s="219">
        <f t="shared" si="12"/>
        <v>366802.14230500261</v>
      </c>
      <c r="S33" s="219">
        <f t="shared" si="12"/>
        <v>402274.33015932981</v>
      </c>
      <c r="T33" s="219">
        <f t="shared" si="12"/>
        <v>262586.54913992836</v>
      </c>
      <c r="U33" s="219">
        <f t="shared" si="12"/>
        <v>301662.5872555229</v>
      </c>
      <c r="V33" s="219">
        <f t="shared" si="12"/>
        <v>343324.11076327407</v>
      </c>
      <c r="W33" s="219">
        <f t="shared" si="12"/>
        <v>361994.23155199341</v>
      </c>
      <c r="X33" s="219">
        <f t="shared" si="12"/>
        <v>256510.2303709464</v>
      </c>
      <c r="Y33" s="219">
        <f t="shared" si="12"/>
        <v>302895.63755691715</v>
      </c>
      <c r="Z33" s="219">
        <f t="shared" si="12"/>
        <v>355473.99070494302</v>
      </c>
      <c r="AA33" s="219">
        <f t="shared" si="12"/>
        <v>462682.08277823939</v>
      </c>
      <c r="AB33" s="219">
        <f t="shared" si="12"/>
        <v>267019.4247380661</v>
      </c>
      <c r="AC33" s="219">
        <f t="shared" si="12"/>
        <v>286320.20606963173</v>
      </c>
      <c r="AD33" s="219">
        <f t="shared" si="12"/>
        <v>339767.15688289143</v>
      </c>
      <c r="AE33" s="219">
        <f t="shared" si="12"/>
        <v>323735.47605564405</v>
      </c>
      <c r="AF33" s="219">
        <f t="shared" si="12"/>
        <v>212711.75646864861</v>
      </c>
      <c r="AG33" s="219">
        <f t="shared" si="12"/>
        <v>256690.29</v>
      </c>
      <c r="AH33" s="219">
        <f t="shared" si="12"/>
        <v>314386.39303927211</v>
      </c>
      <c r="AI33" s="219">
        <f t="shared" si="12"/>
        <v>270641.85259347473</v>
      </c>
      <c r="AJ33" s="219">
        <f t="shared" si="12"/>
        <v>211201.96510372314</v>
      </c>
      <c r="AK33" s="219">
        <f t="shared" si="12"/>
        <v>246030.82199999999</v>
      </c>
      <c r="AL33" s="219">
        <f t="shared" si="12"/>
        <v>283239.92428992857</v>
      </c>
      <c r="AM33" s="219">
        <f t="shared" si="12"/>
        <v>267740.17970595043</v>
      </c>
      <c r="AN33" s="219">
        <f t="shared" si="12"/>
        <v>190237.94681829764</v>
      </c>
      <c r="AO33" s="219">
        <f t="shared" si="12"/>
        <v>214414.39428091675</v>
      </c>
      <c r="AP33" s="219">
        <f t="shared" si="12"/>
        <v>256859.44446588846</v>
      </c>
      <c r="AQ33" s="219">
        <f t="shared" si="12"/>
        <v>257292.6737709837</v>
      </c>
      <c r="AR33" s="219">
        <f t="shared" si="12"/>
        <v>200802.16998585805</v>
      </c>
      <c r="AS33" s="219">
        <f t="shared" si="12"/>
        <v>230252.69015702204</v>
      </c>
      <c r="AT33" s="219">
        <f t="shared" si="12"/>
        <v>272589.91615133232</v>
      </c>
      <c r="AU33" s="219">
        <f t="shared" si="12"/>
        <v>302106.36229943915</v>
      </c>
      <c r="AV33" s="219">
        <f t="shared" si="12"/>
        <v>226843.82400358011</v>
      </c>
      <c r="AW33" s="219">
        <f t="shared" si="12"/>
        <v>232546.51941854885</v>
      </c>
      <c r="AX33" s="219">
        <f t="shared" si="12"/>
        <v>266713.7830366611</v>
      </c>
      <c r="AY33" s="219">
        <f t="shared" si="12"/>
        <v>305830.93832297978</v>
      </c>
      <c r="AZ33" s="219">
        <f t="shared" si="12"/>
        <v>208793.09933073627</v>
      </c>
      <c r="BA33" s="219">
        <f t="shared" si="12"/>
        <v>268355.32395644893</v>
      </c>
      <c r="BB33" s="219">
        <f t="shared" si="12"/>
        <v>294035.11360375362</v>
      </c>
    </row>
    <row r="34" spans="2:54" ht="15" customHeight="1">
      <c r="B34" s="220" t="s">
        <v>159</v>
      </c>
      <c r="C34" s="664" t="s">
        <v>160</v>
      </c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2"/>
      <c r="Z34" s="222"/>
      <c r="AA34" s="222"/>
      <c r="AB34" s="222">
        <f>AB28-AB31-AB32+'Mercado Distribuição (Pré CP09)'!AB60</f>
        <v>269907.59473806614</v>
      </c>
      <c r="AC34" s="222">
        <f>AC28-AC31-AC32+'Mercado Distribuição (Pré CP09)'!AC60</f>
        <v>290202.41906963172</v>
      </c>
      <c r="AD34" s="222">
        <f>AD28-AD31-AD32+'Mercado Distribuição (Pré CP09)'!AD60</f>
        <v>342318.69488289149</v>
      </c>
      <c r="AE34" s="222">
        <f>AE28-AE31-AE32+'Mercado Distribuição (Pré CP09)'!AE60</f>
        <v>326606.55705564405</v>
      </c>
      <c r="AF34" s="222">
        <f>AF28-AF31-AF32+'Mercado Distribuição (Pré CP09)'!AF60</f>
        <v>212529.43946864881</v>
      </c>
      <c r="AG34" s="222">
        <f>AG28-AG31-AG32+'Mercado Distribuição (Pré CP09)'!AG60</f>
        <v>252207.92800000016</v>
      </c>
      <c r="AH34" s="222">
        <f>AH28-AH31-AH32+'Mercado Distribuição (Pré CP09)'!AH60</f>
        <v>309391.70903927222</v>
      </c>
      <c r="AI34" s="222">
        <f>AI28-AI31-AI32+'Mercado Distribuição (Pré CP09)'!AI60</f>
        <v>269918.83359347458</v>
      </c>
      <c r="AJ34" s="222">
        <f>AJ28-AJ31-AJ32+'Mercado Distribuição (Pré CP09)'!AJ60</f>
        <v>209681.30510372311</v>
      </c>
      <c r="AK34" s="222">
        <f>AK28-AK31-AK32+'Mercado Distribuição (Pré CP09)'!AK60</f>
        <v>238500.1069999999</v>
      </c>
      <c r="AL34" s="222">
        <f>AL28-AL31-AL32+'Mercado Distribuição (Pré CP09)'!AL60</f>
        <v>273424.91128992877</v>
      </c>
      <c r="AM34" s="222">
        <f>AM28-AM31-AM32+'Mercado Distribuição (Pré CP09)'!AM60</f>
        <v>260817.0087059506</v>
      </c>
      <c r="AN34" s="222">
        <f>AN28-AN31-AN32+'Mercado Distribuição (Pré CP09)'!AN60</f>
        <v>177608.97581829785</v>
      </c>
      <c r="AO34" s="222">
        <f>AO28-AO31-AO32+'Mercado Distribuição (Pré CP09)'!AO60</f>
        <v>198085.4912809167</v>
      </c>
      <c r="AP34" s="222">
        <f>AP28-AP31-AP32+'Mercado Distribuição (Pré CP09)'!AP60</f>
        <v>232678.92546588861</v>
      </c>
      <c r="AQ34" s="222">
        <f>AQ28-AQ31-AQ32+'Mercado Distribuição (Pré CP09)'!AQ60</f>
        <v>240353.76177098358</v>
      </c>
      <c r="AR34" s="222">
        <f>AR28-AR31-AR32+'Mercado Distribuição (Pré CP09)'!AR60</f>
        <v>178512.94698585779</v>
      </c>
      <c r="AS34" s="222">
        <f>AS28-AS31-AS32+'Mercado Distribuição (Pré CP09)'!AS60</f>
        <v>204108.32115702215</v>
      </c>
      <c r="AT34" s="222">
        <f>AT28-AT31-AT32+'Mercado Distribuição (Pré CP09)'!AT60</f>
        <v>247786.51515133231</v>
      </c>
      <c r="AU34" s="222">
        <f>AU28-AU31-AU32+'Mercado Distribuição (Pré CP09)'!AU60</f>
        <v>286337.37229943927</v>
      </c>
      <c r="AV34" s="222">
        <f>AV28-AV31-AV32+'Mercado Distribuição (Pré CP09)'!AV60</f>
        <v>201943.04000358033</v>
      </c>
      <c r="AW34" s="222">
        <f>AW28-AW31-AW32+'Mercado Distribuição (Pré CP09)'!AW60</f>
        <v>192831.89041854886</v>
      </c>
      <c r="AX34" s="222">
        <f>AX28-AX31-AX32+'Mercado Distribuição (Pré CP09)'!AX60</f>
        <v>206484.47303666134</v>
      </c>
      <c r="AY34" s="222">
        <f>AY28-AY31-AY32+'Mercado Distribuição (Pré CP09)'!AY60</f>
        <v>262756.80832297984</v>
      </c>
      <c r="AZ34" s="222">
        <f>AZ28-AZ31-AZ32+'Mercado Distribuição (Pré CP09)'!AZ60</f>
        <v>158465.63433073633</v>
      </c>
      <c r="BA34" s="222">
        <f>BA28-BA31-BA32+'Mercado Distribuição (Pré CP09)'!BA60</f>
        <v>213537.90295644879</v>
      </c>
      <c r="BB34" s="222">
        <f>BB28-BB31-BB32+'Mercado Distribuição (Pré CP09)'!BB60</f>
        <v>208581.08860375365</v>
      </c>
    </row>
    <row r="35" spans="2:54" ht="15" customHeight="1">
      <c r="B35" s="200" t="s">
        <v>161</v>
      </c>
      <c r="C35" s="200" t="s">
        <v>162</v>
      </c>
      <c r="D35" s="200"/>
      <c r="E35" s="200"/>
      <c r="F35" s="200"/>
      <c r="G35" s="200"/>
      <c r="H35" s="200"/>
      <c r="I35" s="200"/>
      <c r="J35" s="200"/>
      <c r="K35" s="200"/>
      <c r="L35" s="200"/>
      <c r="M35" s="200"/>
      <c r="N35" s="200"/>
      <c r="O35" s="200"/>
      <c r="P35" s="200"/>
      <c r="Q35" s="200"/>
      <c r="R35" s="200"/>
      <c r="S35" s="658"/>
      <c r="T35" s="658"/>
      <c r="U35" s="658"/>
      <c r="V35" s="658"/>
      <c r="W35" s="658"/>
      <c r="X35" s="658"/>
      <c r="Y35" s="658"/>
      <c r="Z35" s="658"/>
      <c r="AA35" s="658"/>
      <c r="AB35" s="215"/>
      <c r="AC35" s="215"/>
      <c r="AD35" s="215"/>
      <c r="AE35" s="215"/>
      <c r="AF35" s="215"/>
      <c r="AG35" s="215"/>
      <c r="AH35" s="215"/>
      <c r="AI35" s="215"/>
      <c r="AJ35" s="215"/>
      <c r="AK35" s="215"/>
      <c r="AL35" s="215"/>
      <c r="AM35" s="215"/>
      <c r="AN35" s="215"/>
      <c r="AO35" s="215"/>
      <c r="AP35" s="215"/>
      <c r="AQ35" s="215"/>
      <c r="AR35" s="215"/>
      <c r="AS35" s="215"/>
      <c r="AT35" s="215"/>
      <c r="AU35" s="215"/>
      <c r="AV35" s="215"/>
      <c r="AW35" s="215"/>
      <c r="AX35" s="215"/>
      <c r="AY35" s="215"/>
      <c r="AZ35" s="215"/>
      <c r="BA35" s="215"/>
      <c r="BB35" s="215"/>
    </row>
    <row r="36" spans="2:54" ht="15" customHeight="1">
      <c r="W36" s="658"/>
      <c r="X36" s="188"/>
      <c r="Y36" s="188"/>
      <c r="Z36" s="188"/>
      <c r="AA36" s="659"/>
      <c r="AB36" s="218"/>
      <c r="AC36" s="218"/>
      <c r="AD36" s="218"/>
      <c r="AE36" s="218"/>
      <c r="AF36" s="218"/>
      <c r="AG36" s="218"/>
      <c r="AH36" s="218"/>
      <c r="AI36" s="218"/>
      <c r="AJ36" s="218"/>
      <c r="AK36" s="218"/>
      <c r="AL36" s="218"/>
      <c r="AM36" s="218"/>
      <c r="AN36" s="218"/>
      <c r="AO36" s="218"/>
      <c r="AP36" s="218"/>
      <c r="AQ36" s="218"/>
      <c r="AR36" s="218"/>
      <c r="AS36" s="218"/>
      <c r="AT36" s="218"/>
      <c r="AU36" s="218"/>
      <c r="AV36" s="218"/>
      <c r="AW36" s="218"/>
      <c r="AX36" s="218"/>
      <c r="AY36" s="218"/>
      <c r="AZ36" s="218"/>
      <c r="BA36" s="218"/>
      <c r="BB36" s="218"/>
    </row>
    <row r="37" spans="2:54" ht="15" customHeight="1">
      <c r="B37" s="439" t="s">
        <v>170</v>
      </c>
      <c r="C37" s="439" t="s">
        <v>171</v>
      </c>
      <c r="D37" s="107" t="s">
        <v>39</v>
      </c>
      <c r="E37" s="107" t="s">
        <v>40</v>
      </c>
      <c r="F37" s="107" t="s">
        <v>41</v>
      </c>
      <c r="G37" s="107" t="s">
        <v>42</v>
      </c>
      <c r="H37" s="107" t="s">
        <v>43</v>
      </c>
      <c r="I37" s="107" t="s">
        <v>44</v>
      </c>
      <c r="J37" s="107" t="s">
        <v>45</v>
      </c>
      <c r="K37" s="107" t="s">
        <v>46</v>
      </c>
      <c r="L37" s="107" t="s">
        <v>47</v>
      </c>
      <c r="M37" s="107" t="s">
        <v>48</v>
      </c>
      <c r="N37" s="107" t="s">
        <v>49</v>
      </c>
      <c r="O37" s="107" t="s">
        <v>50</v>
      </c>
      <c r="P37" s="107" t="s">
        <v>51</v>
      </c>
      <c r="Q37" s="107" t="s">
        <v>52</v>
      </c>
      <c r="R37" s="107" t="s">
        <v>53</v>
      </c>
      <c r="S37" s="107" t="s">
        <v>54</v>
      </c>
      <c r="T37" s="107" t="s">
        <v>55</v>
      </c>
      <c r="U37" s="107" t="s">
        <v>56</v>
      </c>
      <c r="V37" s="107" t="s">
        <v>57</v>
      </c>
      <c r="W37" s="107" t="s">
        <v>58</v>
      </c>
      <c r="X37" s="107" t="s">
        <v>59</v>
      </c>
      <c r="Y37" s="107" t="s">
        <v>60</v>
      </c>
      <c r="Z37" s="107" t="s">
        <v>61</v>
      </c>
      <c r="AA37" s="107" t="s">
        <v>62</v>
      </c>
      <c r="AB37" s="107" t="str">
        <f>AB27</f>
        <v>1T19</v>
      </c>
      <c r="AC37" s="107" t="s">
        <v>64</v>
      </c>
      <c r="AD37" s="107" t="s">
        <v>65</v>
      </c>
      <c r="AE37" s="107" t="s">
        <v>66</v>
      </c>
      <c r="AF37" s="107" t="str">
        <f t="shared" ref="AF37:AR37" si="13">AF27</f>
        <v>1T20</v>
      </c>
      <c r="AG37" s="107" t="str">
        <f t="shared" si="13"/>
        <v>2T20</v>
      </c>
      <c r="AH37" s="107" t="str">
        <f t="shared" si="13"/>
        <v>3T20</v>
      </c>
      <c r="AI37" s="107" t="str">
        <f t="shared" si="13"/>
        <v>4T20</v>
      </c>
      <c r="AJ37" s="107" t="str">
        <f t="shared" si="13"/>
        <v>1T21</v>
      </c>
      <c r="AK37" s="107" t="str">
        <f t="shared" si="13"/>
        <v>2T21</v>
      </c>
      <c r="AL37" s="107" t="str">
        <f t="shared" si="13"/>
        <v>3T21</v>
      </c>
      <c r="AM37" s="107" t="str">
        <f t="shared" si="13"/>
        <v>4T21</v>
      </c>
      <c r="AN37" s="107" t="str">
        <f t="shared" si="13"/>
        <v>1T22</v>
      </c>
      <c r="AO37" s="107" t="str">
        <f t="shared" si="13"/>
        <v>2T22</v>
      </c>
      <c r="AP37" s="107" t="str">
        <f t="shared" si="13"/>
        <v>3T22</v>
      </c>
      <c r="AQ37" s="107" t="str">
        <f t="shared" si="13"/>
        <v>4T22</v>
      </c>
      <c r="AR37" s="107" t="str">
        <f t="shared" si="13"/>
        <v>1T23</v>
      </c>
      <c r="AS37" s="107" t="str">
        <f>$AS$6</f>
        <v>2T23</v>
      </c>
      <c r="AT37" s="107" t="str">
        <f>$AT$6</f>
        <v>3T23</v>
      </c>
      <c r="AU37" s="107" t="str">
        <f>$AU$6</f>
        <v>4T23</v>
      </c>
      <c r="AV37" s="107" t="str">
        <f>$AV$6</f>
        <v>1T24</v>
      </c>
      <c r="AW37" s="107" t="str">
        <f>$AW$6</f>
        <v>2T24</v>
      </c>
      <c r="AX37" s="107" t="str">
        <f>$AX$6</f>
        <v>3T24</v>
      </c>
      <c r="AY37" s="107" t="str">
        <f>$AY$6</f>
        <v>4T24</v>
      </c>
      <c r="AZ37" s="107" t="str">
        <f>$AZ$6</f>
        <v>1T25</v>
      </c>
      <c r="BA37" s="107" t="str">
        <f>$BA$6</f>
        <v>2T25</v>
      </c>
      <c r="BB37" s="107" t="str">
        <f>+BB27</f>
        <v>3T25</v>
      </c>
    </row>
    <row r="38" spans="2:54" ht="15" customHeight="1">
      <c r="B38" s="210" t="s">
        <v>147</v>
      </c>
      <c r="C38" s="210" t="s">
        <v>148</v>
      </c>
      <c r="D38" s="211"/>
      <c r="E38" s="211"/>
      <c r="F38" s="211"/>
      <c r="G38" s="211"/>
      <c r="H38" s="211"/>
      <c r="I38" s="211"/>
      <c r="J38" s="211"/>
      <c r="K38" s="211"/>
      <c r="L38" s="211"/>
      <c r="M38" s="211"/>
      <c r="N38" s="211"/>
      <c r="O38" s="211"/>
      <c r="P38" s="211"/>
      <c r="Q38" s="211"/>
      <c r="R38" s="211"/>
      <c r="S38" s="211"/>
      <c r="T38" s="211">
        <v>1313269</v>
      </c>
      <c r="U38" s="211">
        <v>1154152</v>
      </c>
      <c r="V38" s="211">
        <v>1024398</v>
      </c>
      <c r="W38" s="211">
        <v>1214749</v>
      </c>
      <c r="X38" s="211">
        <v>1257033.7940000002</v>
      </c>
      <c r="Y38" s="201">
        <v>1145603.2889999999</v>
      </c>
      <c r="Z38" s="201">
        <v>1119954.1199999999</v>
      </c>
      <c r="AA38" s="201">
        <v>1308972.7820000001</v>
      </c>
      <c r="AB38" s="201">
        <v>1315070.6939999999</v>
      </c>
      <c r="AC38" s="201">
        <v>1234017.3239999998</v>
      </c>
      <c r="AD38" s="201">
        <v>1127407.6284965009</v>
      </c>
      <c r="AE38" s="201">
        <v>1346161.4140663424</v>
      </c>
      <c r="AF38" s="201">
        <v>1381402.574425143</v>
      </c>
      <c r="AG38" s="201">
        <v>1157952.4580000001</v>
      </c>
      <c r="AH38" s="201">
        <v>1128447.6075612013</v>
      </c>
      <c r="AI38" s="201">
        <v>1352733.9671441042</v>
      </c>
      <c r="AJ38" s="201">
        <v>1360725.4006042525</v>
      </c>
      <c r="AK38" s="201">
        <v>1192912.3989474056</v>
      </c>
      <c r="AL38" s="201">
        <v>1137947.017234277</v>
      </c>
      <c r="AM38" s="201">
        <v>1362104.2093538081</v>
      </c>
      <c r="AN38" s="201">
        <v>1352186.8149191551</v>
      </c>
      <c r="AO38" s="201">
        <v>1203454.5205839172</v>
      </c>
      <c r="AP38" s="201">
        <v>1098933.7387875526</v>
      </c>
      <c r="AQ38" s="201">
        <v>1289049.2905312623</v>
      </c>
      <c r="AR38" s="201">
        <v>1346772.1086245542</v>
      </c>
      <c r="AS38" s="201">
        <v>1251548.4373576185</v>
      </c>
      <c r="AT38" s="201">
        <v>1170908.821</v>
      </c>
      <c r="AU38" s="201">
        <v>1344385.21622273</v>
      </c>
      <c r="AV38" s="201">
        <v>1463111.99428059</v>
      </c>
      <c r="AW38" s="201">
        <v>1294508.1605098872</v>
      </c>
      <c r="AX38" s="201">
        <v>1156860.83794357</v>
      </c>
      <c r="AY38" s="201">
        <v>1355715.22172358</v>
      </c>
      <c r="AZ38" s="201">
        <v>1374755.4414568001</v>
      </c>
      <c r="BA38" s="201">
        <v>1288248.9837475</v>
      </c>
      <c r="BB38" s="201">
        <v>1130082.3869769298</v>
      </c>
    </row>
    <row r="39" spans="2:54" ht="15" customHeight="1">
      <c r="B39" s="212" t="s">
        <v>149</v>
      </c>
      <c r="C39" s="212" t="s">
        <v>150</v>
      </c>
      <c r="D39" s="211"/>
      <c r="E39" s="211"/>
      <c r="F39" s="211"/>
      <c r="G39" s="211"/>
      <c r="H39" s="211"/>
      <c r="I39" s="211"/>
      <c r="J39" s="211"/>
      <c r="K39" s="211"/>
      <c r="L39" s="211"/>
      <c r="M39" s="211"/>
      <c r="N39" s="211"/>
      <c r="O39" s="211"/>
      <c r="P39" s="211"/>
      <c r="Q39" s="211"/>
      <c r="R39" s="211"/>
      <c r="S39" s="211"/>
      <c r="T39" s="211"/>
      <c r="U39" s="211"/>
      <c r="V39" s="211"/>
      <c r="W39" s="211"/>
      <c r="X39" s="211"/>
      <c r="Y39" s="201"/>
      <c r="Z39" s="201"/>
      <c r="AA39" s="201"/>
      <c r="AB39" s="201">
        <v>1133.2429999999999</v>
      </c>
      <c r="AC39" s="201">
        <v>1382.5160000000001</v>
      </c>
      <c r="AD39" s="201">
        <v>2072.1800000000003</v>
      </c>
      <c r="AE39" s="201">
        <v>3461.7330000000002</v>
      </c>
      <c r="AF39" s="201">
        <v>4110.7659999999996</v>
      </c>
      <c r="AG39" s="201">
        <v>4592.5419999999995</v>
      </c>
      <c r="AH39" s="201">
        <v>6872.2500039314655</v>
      </c>
      <c r="AI39" s="201">
        <v>9284.3970000000008</v>
      </c>
      <c r="AJ39" s="201">
        <v>10969.002999999999</v>
      </c>
      <c r="AK39" s="201">
        <v>11872.596652302167</v>
      </c>
      <c r="AL39" s="201">
        <v>18630.519112028371</v>
      </c>
      <c r="AM39" s="201">
        <v>30004.551928304885</v>
      </c>
      <c r="AN39" s="201">
        <v>33344.100001786595</v>
      </c>
      <c r="AO39" s="201">
        <v>29963.685999999943</v>
      </c>
      <c r="AP39" s="201">
        <v>40259.784999999996</v>
      </c>
      <c r="AQ39" s="201">
        <v>58190.132999999994</v>
      </c>
      <c r="AR39" s="201">
        <v>66704.812000000049</v>
      </c>
      <c r="AS39" s="201">
        <v>65005.746999999974</v>
      </c>
      <c r="AT39" s="201">
        <v>73220.27</v>
      </c>
      <c r="AU39" s="201">
        <v>105397.13400000001</v>
      </c>
      <c r="AV39" s="201">
        <v>111897.348</v>
      </c>
      <c r="AW39" s="201">
        <v>100106.65300000001</v>
      </c>
      <c r="AX39" s="201">
        <v>130452.068</v>
      </c>
      <c r="AY39" s="201">
        <v>179814.66099999999</v>
      </c>
      <c r="AZ39" s="201">
        <v>180329.45</v>
      </c>
      <c r="BA39" s="201">
        <v>174394.18100000001</v>
      </c>
      <c r="BB39" s="201">
        <v>180123.20800000001</v>
      </c>
    </row>
    <row r="40" spans="2:54" ht="15" customHeight="1">
      <c r="B40" s="656" t="s">
        <v>151</v>
      </c>
      <c r="C40" s="656" t="s">
        <v>152</v>
      </c>
      <c r="D40" s="651"/>
      <c r="E40" s="651"/>
      <c r="F40" s="651"/>
      <c r="G40" s="651"/>
      <c r="H40" s="651"/>
      <c r="I40" s="651"/>
      <c r="J40" s="651"/>
      <c r="K40" s="651"/>
      <c r="L40" s="651"/>
      <c r="M40" s="651"/>
      <c r="N40" s="651"/>
      <c r="O40" s="651"/>
      <c r="P40" s="651"/>
      <c r="Q40" s="651"/>
      <c r="R40" s="651"/>
      <c r="S40" s="651"/>
      <c r="T40" s="651">
        <v>1313269</v>
      </c>
      <c r="U40" s="651">
        <v>1154152</v>
      </c>
      <c r="V40" s="651">
        <v>1024398</v>
      </c>
      <c r="W40" s="651">
        <v>1214749</v>
      </c>
      <c r="X40" s="651">
        <v>1257033.7940000002</v>
      </c>
      <c r="Y40" s="651">
        <v>1145603.2889999999</v>
      </c>
      <c r="Z40" s="651">
        <f>+SUM(Z38:Z39)</f>
        <v>1119954.1199999999</v>
      </c>
      <c r="AA40" s="651">
        <f>+SUM(AA38:AA39)</f>
        <v>1308972.7820000001</v>
      </c>
      <c r="AB40" s="651">
        <f>+SUM(AB38:AB39)</f>
        <v>1316203.9369999999</v>
      </c>
      <c r="AC40" s="651">
        <f t="shared" ref="AC40:AU40" si="14">+SUM(AC38:AC39)</f>
        <v>1235399.8399999999</v>
      </c>
      <c r="AD40" s="651">
        <f t="shared" si="14"/>
        <v>1129479.8084965008</v>
      </c>
      <c r="AE40" s="651">
        <f t="shared" si="14"/>
        <v>1349623.1470663424</v>
      </c>
      <c r="AF40" s="651">
        <f t="shared" si="14"/>
        <v>1385513.340425143</v>
      </c>
      <c r="AG40" s="651">
        <f t="shared" si="14"/>
        <v>1162545</v>
      </c>
      <c r="AH40" s="651">
        <f t="shared" si="14"/>
        <v>1135319.8575651329</v>
      </c>
      <c r="AI40" s="651">
        <f t="shared" si="14"/>
        <v>1362018.3641441043</v>
      </c>
      <c r="AJ40" s="651">
        <f t="shared" si="14"/>
        <v>1371694.4036042525</v>
      </c>
      <c r="AK40" s="651">
        <f t="shared" si="14"/>
        <v>1204784.9955997078</v>
      </c>
      <c r="AL40" s="651">
        <f t="shared" si="14"/>
        <v>1156577.5363463054</v>
      </c>
      <c r="AM40" s="651">
        <f t="shared" si="14"/>
        <v>1392108.7612821129</v>
      </c>
      <c r="AN40" s="651">
        <f t="shared" si="14"/>
        <v>1385530.9149209417</v>
      </c>
      <c r="AO40" s="651">
        <f t="shared" si="14"/>
        <v>1233418.2065839171</v>
      </c>
      <c r="AP40" s="651">
        <f t="shared" si="14"/>
        <v>1139193.5237875525</v>
      </c>
      <c r="AQ40" s="651">
        <f t="shared" si="14"/>
        <v>1347239.4235312622</v>
      </c>
      <c r="AR40" s="651">
        <f t="shared" si="14"/>
        <v>1413476.9206245544</v>
      </c>
      <c r="AS40" s="651">
        <f t="shared" si="14"/>
        <v>1316554.1843576184</v>
      </c>
      <c r="AT40" s="651">
        <f t="shared" si="14"/>
        <v>1244129.091</v>
      </c>
      <c r="AU40" s="651">
        <f t="shared" si="14"/>
        <v>1449782.3502227301</v>
      </c>
      <c r="AV40" s="651">
        <f>+SUM(AV38:AV39)</f>
        <v>1575009.34228059</v>
      </c>
      <c r="AW40" s="651">
        <f>+SUM(AW38:AW39)</f>
        <v>1394614.8135098871</v>
      </c>
      <c r="AX40" s="651">
        <f>SUM(AX38:AX39)</f>
        <v>1287312.90594357</v>
      </c>
      <c r="AY40" s="651">
        <f>SUM(AY38:AY39)</f>
        <v>1535529.8827235801</v>
      </c>
      <c r="AZ40" s="651">
        <f>SUM(AZ38:AZ39)</f>
        <v>1555084.8914568</v>
      </c>
      <c r="BA40" s="651">
        <f>SUM(BA38:BA39)</f>
        <v>1462643.1647475001</v>
      </c>
      <c r="BB40" s="651">
        <f>SUM(BB38:BB39)</f>
        <v>1310205.5949769299</v>
      </c>
    </row>
    <row r="41" spans="2:54" ht="15" customHeight="1">
      <c r="B41" s="200" t="s">
        <v>153</v>
      </c>
      <c r="C41" s="200" t="s">
        <v>154</v>
      </c>
      <c r="D41" s="211"/>
      <c r="E41" s="211"/>
      <c r="F41" s="211"/>
      <c r="G41" s="211"/>
      <c r="H41" s="211"/>
      <c r="I41" s="211"/>
      <c r="J41" s="211"/>
      <c r="K41" s="211"/>
      <c r="L41" s="211"/>
      <c r="M41" s="211"/>
      <c r="N41" s="211"/>
      <c r="O41" s="211"/>
      <c r="P41" s="211"/>
      <c r="Q41" s="211"/>
      <c r="R41" s="211"/>
      <c r="S41" s="211"/>
      <c r="T41" s="211">
        <v>940849</v>
      </c>
      <c r="U41" s="211">
        <v>927662</v>
      </c>
      <c r="V41" s="211">
        <v>833017</v>
      </c>
      <c r="W41" s="211">
        <v>905384</v>
      </c>
      <c r="X41" s="211">
        <v>940526.86499999999</v>
      </c>
      <c r="Y41" s="211">
        <v>880385.35799999989</v>
      </c>
      <c r="Z41" s="211">
        <v>866763.60999999987</v>
      </c>
      <c r="AA41" s="211">
        <v>970090.95700000005</v>
      </c>
      <c r="AB41" s="211">
        <v>957757</v>
      </c>
      <c r="AC41" s="211">
        <v>639739</v>
      </c>
      <c r="AD41" s="211">
        <v>859589</v>
      </c>
      <c r="AE41" s="211">
        <v>1037183</v>
      </c>
      <c r="AF41" s="211">
        <v>1027293</v>
      </c>
      <c r="AG41" s="211">
        <v>877922</v>
      </c>
      <c r="AH41" s="211">
        <v>873660</v>
      </c>
      <c r="AI41" s="211">
        <v>1058517.5874110798</v>
      </c>
      <c r="AJ41" s="211">
        <v>1041145.72143116</v>
      </c>
      <c r="AK41" s="211">
        <v>941421.36611194699</v>
      </c>
      <c r="AL41" s="211">
        <v>903553.16715221398</v>
      </c>
      <c r="AM41" s="211">
        <v>1081197.11829966</v>
      </c>
      <c r="AN41" s="211">
        <v>1065999.0652054227</v>
      </c>
      <c r="AO41" s="211">
        <v>977078.55183720496</v>
      </c>
      <c r="AP41" s="211">
        <v>942785.08735791594</v>
      </c>
      <c r="AQ41" s="211">
        <v>1078055.1888036232</v>
      </c>
      <c r="AR41" s="219">
        <v>1131534.2159510783</v>
      </c>
      <c r="AS41" s="219">
        <v>1090514.934169458</v>
      </c>
      <c r="AT41" s="219">
        <v>1011938.0856047045</v>
      </c>
      <c r="AU41" s="219">
        <v>1169554.9535748463</v>
      </c>
      <c r="AV41" s="219">
        <v>1254043.2651997881</v>
      </c>
      <c r="AW41" s="219">
        <v>1180831.6939834929</v>
      </c>
      <c r="AX41" s="219">
        <v>1087681.987101391</v>
      </c>
      <c r="AY41" s="219">
        <v>1272889.9549409579</v>
      </c>
      <c r="AZ41" s="219">
        <v>1278719.8279762061</v>
      </c>
      <c r="BA41" s="219">
        <v>1242348.3317723789</v>
      </c>
      <c r="BB41" s="219">
        <v>1120484.8593875482</v>
      </c>
    </row>
    <row r="42" spans="2:54" ht="15" customHeight="1">
      <c r="B42" s="200" t="s">
        <v>155</v>
      </c>
      <c r="C42" s="200" t="s">
        <v>156</v>
      </c>
      <c r="D42" s="211"/>
      <c r="E42" s="211"/>
      <c r="F42" s="211"/>
      <c r="G42" s="211"/>
      <c r="H42" s="211"/>
      <c r="I42" s="211"/>
      <c r="J42" s="211"/>
      <c r="K42" s="211"/>
      <c r="L42" s="211"/>
      <c r="M42" s="211"/>
      <c r="N42" s="211"/>
      <c r="O42" s="211"/>
      <c r="P42" s="211"/>
      <c r="Q42" s="211"/>
      <c r="R42" s="211"/>
      <c r="S42" s="211"/>
      <c r="T42" s="211">
        <v>5175</v>
      </c>
      <c r="U42" s="211">
        <v>4882</v>
      </c>
      <c r="V42" s="211">
        <v>4713</v>
      </c>
      <c r="W42" s="211">
        <v>5409</v>
      </c>
      <c r="X42" s="211">
        <v>5474</v>
      </c>
      <c r="Y42" s="211">
        <v>4831</v>
      </c>
      <c r="Z42" s="211">
        <v>4230</v>
      </c>
      <c r="AA42" s="211">
        <v>4422</v>
      </c>
      <c r="AB42" s="211">
        <v>4008</v>
      </c>
      <c r="AC42" s="211">
        <v>4123.0590000000002</v>
      </c>
      <c r="AD42" s="211">
        <v>3952.0550000000003</v>
      </c>
      <c r="AE42" s="211">
        <v>4699.951</v>
      </c>
      <c r="AF42" s="211">
        <v>4618.2070000000003</v>
      </c>
      <c r="AG42" s="211">
        <v>4252.6400000000003</v>
      </c>
      <c r="AH42" s="211">
        <v>4188.42</v>
      </c>
      <c r="AI42" s="211">
        <v>4821.4679999999998</v>
      </c>
      <c r="AJ42" s="211">
        <v>4591.29</v>
      </c>
      <c r="AK42" s="211">
        <v>4219.7640000000001</v>
      </c>
      <c r="AL42" s="211">
        <v>4111.5019999999995</v>
      </c>
      <c r="AM42" s="211">
        <v>4791.6580000000004</v>
      </c>
      <c r="AN42" s="211">
        <v>4525.6329999999998</v>
      </c>
      <c r="AO42" s="211">
        <v>4384.375</v>
      </c>
      <c r="AP42" s="211">
        <v>4320.366</v>
      </c>
      <c r="AQ42" s="211">
        <v>4856.5889999999999</v>
      </c>
      <c r="AR42" s="219">
        <v>4802.6409999999996</v>
      </c>
      <c r="AS42" s="219">
        <v>4473.2950000000001</v>
      </c>
      <c r="AT42" s="219">
        <v>4161.357</v>
      </c>
      <c r="AU42" s="219">
        <v>4799.2849999999999</v>
      </c>
      <c r="AV42" s="219">
        <v>4844.5029999999997</v>
      </c>
      <c r="AW42" s="219">
        <v>4365.5450000000001</v>
      </c>
      <c r="AX42" s="219">
        <v>4844.5460000000003</v>
      </c>
      <c r="AY42" s="219">
        <v>3317.875</v>
      </c>
      <c r="AZ42" s="219">
        <v>3339.9439729999999</v>
      </c>
      <c r="BA42" s="219">
        <v>3507.4070000000002</v>
      </c>
      <c r="BB42" s="219">
        <v>3677.5740500000002</v>
      </c>
    </row>
    <row r="43" spans="2:54" ht="15" customHeight="1">
      <c r="B43" s="200" t="s">
        <v>157</v>
      </c>
      <c r="C43" s="200" t="s">
        <v>158</v>
      </c>
      <c r="D43" s="211"/>
      <c r="E43" s="211"/>
      <c r="F43" s="211"/>
      <c r="G43" s="211"/>
      <c r="H43" s="211"/>
      <c r="I43" s="211"/>
      <c r="J43" s="211"/>
      <c r="K43" s="211"/>
      <c r="L43" s="211"/>
      <c r="M43" s="211"/>
      <c r="N43" s="211"/>
      <c r="O43" s="211"/>
      <c r="P43" s="211"/>
      <c r="Q43" s="211"/>
      <c r="R43" s="211"/>
      <c r="S43" s="211"/>
      <c r="T43" s="219">
        <f t="shared" ref="T43:BB43" si="15">T40-T41-T42</f>
        <v>367245</v>
      </c>
      <c r="U43" s="219">
        <f t="shared" si="15"/>
        <v>221608</v>
      </c>
      <c r="V43" s="219">
        <f t="shared" si="15"/>
        <v>186668</v>
      </c>
      <c r="W43" s="219">
        <f t="shared" si="15"/>
        <v>303956</v>
      </c>
      <c r="X43" s="219">
        <f t="shared" si="15"/>
        <v>311032.92900000024</v>
      </c>
      <c r="Y43" s="219">
        <f t="shared" si="15"/>
        <v>260386.93099999998</v>
      </c>
      <c r="Z43" s="219">
        <f t="shared" si="15"/>
        <v>248960.51</v>
      </c>
      <c r="AA43" s="219">
        <f t="shared" si="15"/>
        <v>334459.82500000007</v>
      </c>
      <c r="AB43" s="219">
        <f t="shared" si="15"/>
        <v>354438.93699999992</v>
      </c>
      <c r="AC43" s="219">
        <f t="shared" si="15"/>
        <v>591537.78099999984</v>
      </c>
      <c r="AD43" s="219">
        <f t="shared" si="15"/>
        <v>265938.75349650084</v>
      </c>
      <c r="AE43" s="219">
        <f t="shared" si="15"/>
        <v>307740.19606634241</v>
      </c>
      <c r="AF43" s="219">
        <f t="shared" si="15"/>
        <v>353602.13342514302</v>
      </c>
      <c r="AG43" s="219">
        <f t="shared" si="15"/>
        <v>280370.36</v>
      </c>
      <c r="AH43" s="219">
        <f t="shared" si="15"/>
        <v>257471.43756513289</v>
      </c>
      <c r="AI43" s="219">
        <f t="shared" si="15"/>
        <v>298679.30873302452</v>
      </c>
      <c r="AJ43" s="219">
        <f t="shared" si="15"/>
        <v>325957.39217309252</v>
      </c>
      <c r="AK43" s="219">
        <f t="shared" si="15"/>
        <v>259143.86548776084</v>
      </c>
      <c r="AL43" s="219">
        <f t="shared" si="15"/>
        <v>248912.86719409141</v>
      </c>
      <c r="AM43" s="219">
        <f t="shared" si="15"/>
        <v>306119.98498245288</v>
      </c>
      <c r="AN43" s="219">
        <f t="shared" si="15"/>
        <v>315006.21671551903</v>
      </c>
      <c r="AO43" s="219">
        <f t="shared" si="15"/>
        <v>251955.27974671219</v>
      </c>
      <c r="AP43" s="219">
        <f t="shared" si="15"/>
        <v>192088.07042963654</v>
      </c>
      <c r="AQ43" s="219">
        <f t="shared" si="15"/>
        <v>264327.64572763903</v>
      </c>
      <c r="AR43" s="219">
        <f t="shared" si="15"/>
        <v>277140.06367347605</v>
      </c>
      <c r="AS43" s="219">
        <f t="shared" si="15"/>
        <v>221565.95518816044</v>
      </c>
      <c r="AT43" s="219">
        <f t="shared" si="15"/>
        <v>228029.64839529558</v>
      </c>
      <c r="AU43" s="219">
        <f t="shared" si="15"/>
        <v>275428.11164788384</v>
      </c>
      <c r="AV43" s="219">
        <f t="shared" si="15"/>
        <v>316121.5740808018</v>
      </c>
      <c r="AW43" s="219">
        <f t="shared" si="15"/>
        <v>209417.57452639416</v>
      </c>
      <c r="AX43" s="219">
        <f t="shared" si="15"/>
        <v>194786.372842179</v>
      </c>
      <c r="AY43" s="219">
        <f t="shared" si="15"/>
        <v>259322.05278262217</v>
      </c>
      <c r="AZ43" s="219">
        <f t="shared" si="15"/>
        <v>273025.11950759398</v>
      </c>
      <c r="BA43" s="219">
        <f t="shared" si="15"/>
        <v>216787.42597512121</v>
      </c>
      <c r="BB43" s="219">
        <f t="shared" si="15"/>
        <v>186043.16153938178</v>
      </c>
    </row>
    <row r="44" spans="2:54" ht="15" customHeight="1">
      <c r="B44" s="220" t="s">
        <v>159</v>
      </c>
      <c r="C44" s="216" t="s">
        <v>160</v>
      </c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221"/>
      <c r="O44" s="221"/>
      <c r="P44" s="221"/>
      <c r="Q44" s="221"/>
      <c r="R44" s="221"/>
      <c r="S44" s="221"/>
      <c r="T44" s="221"/>
      <c r="U44" s="221"/>
      <c r="V44" s="221"/>
      <c r="W44" s="221"/>
      <c r="X44" s="221"/>
      <c r="Y44" s="222"/>
      <c r="Z44" s="222"/>
      <c r="AA44" s="222"/>
      <c r="AB44" s="222">
        <f>AB38-AB41-AB42+'Mercado Distribuição (Pré CP09)'!AB78</f>
        <v>354495.15500000003</v>
      </c>
      <c r="AC44" s="222">
        <f>AC38-AC41-AC42+'Mercado Distribuição (Pré CP09)'!AC78</f>
        <v>591651.00799999991</v>
      </c>
      <c r="AD44" s="222">
        <f>AD38-AD41-AD42+'Mercado Distribuição (Pré CP09)'!AD78</f>
        <v>265688.36949650099</v>
      </c>
      <c r="AE44" s="222">
        <f>AE38-AE41-AE42+'Mercado Distribuição (Pré CP09)'!AE78</f>
        <v>306965.64306634245</v>
      </c>
      <c r="AF44" s="222">
        <f>AF38-AF41-AF42+'Mercado Distribuição (Pré CP09)'!AF78</f>
        <v>353795.36742514296</v>
      </c>
      <c r="AG44" s="222">
        <f>AG38-AG41-AG42+'Mercado Distribuição (Pré CP09)'!AG78</f>
        <v>279661.49200000009</v>
      </c>
      <c r="AH44" s="222">
        <f>AH38-AH41-AH42+'Mercado Distribuição (Pré CP09)'!AH78</f>
        <v>255504.01056120128</v>
      </c>
      <c r="AI44" s="222">
        <f>AI38-AI41-AI42+'Mercado Distribuição (Pré CP09)'!AI78</f>
        <v>328805.62773302477</v>
      </c>
      <c r="AJ44" s="222">
        <f>AJ38-AJ41-AJ42+'Mercado Distribuição (Pré CP09)'!AJ78</f>
        <v>325129.69917309255</v>
      </c>
      <c r="AK44" s="222">
        <f>AK38-AK41-AK42+'Mercado Distribuição (Pré CP09)'!AK78</f>
        <v>255345.01561715323</v>
      </c>
      <c r="AL44" s="222">
        <f>AL38-AL41-AL42+'Mercado Distribuição (Pré CP09)'!AL78</f>
        <v>241954.92408206299</v>
      </c>
      <c r="AM44" s="222">
        <f>AM38-AM41-AM42+'Mercado Distribuição (Pré CP09)'!AM78</f>
        <v>296974.38005414786</v>
      </c>
      <c r="AN44" s="222">
        <f>AN38-AN41-AN42+'Mercado Distribuição (Pré CP09)'!AN78</f>
        <v>308220.24171373219</v>
      </c>
      <c r="AO44" s="222">
        <f>AO38-AO41-AO42+'Mercado Distribuição (Pré CP09)'!AO78</f>
        <v>248504.28174671193</v>
      </c>
      <c r="AP44" s="222">
        <f>AP38-AP41-AP42+'Mercado Distribuição (Pré CP09)'!AP78</f>
        <v>178595.0054296366</v>
      </c>
      <c r="AQ44" s="222">
        <f>AQ38-AQ41-AQ42+'Mercado Distribuição (Pré CP09)'!AQ78</f>
        <v>246972.29672763907</v>
      </c>
      <c r="AR44" s="222">
        <f>AR38-AR41-AR42+'Mercado Distribuição (Pré CP09)'!AR78</f>
        <v>261944.45167347597</v>
      </c>
      <c r="AS44" s="222">
        <f>AS38-AS41-AS42+'Mercado Distribuição (Pré CP09)'!AS78</f>
        <v>211598.04618816046</v>
      </c>
      <c r="AT44" s="222">
        <f>AT38-AT41-AT42+'Mercado Distribuição (Pré CP09)'!AT78</f>
        <v>209929.9283952956</v>
      </c>
      <c r="AU44" s="222">
        <f>AU38-AU41-AU42+'Mercado Distribuição (Pré CP09)'!AU78</f>
        <v>246580.8296478838</v>
      </c>
      <c r="AV44" s="222">
        <f>AV38-AV41-AV42+'Mercado Distribuição (Pré CP09)'!AV78</f>
        <v>292606.69508080173</v>
      </c>
      <c r="AW44" s="222">
        <f>AW38-AW41-AW42+'Mercado Distribuição (Pré CP09)'!AW78</f>
        <v>193406.28952639404</v>
      </c>
      <c r="AX44" s="222">
        <f>AX38-AX41-AX42+'Mercado Distribuição (Pré CP09)'!AX78</f>
        <v>147368.11684217915</v>
      </c>
      <c r="AY44" s="222">
        <f>AY38-AY41-AY42+'Mercado Distribuição (Pré CP09)'!AY78</f>
        <v>192062.47178262207</v>
      </c>
      <c r="AZ44" s="222">
        <f>AZ38-AZ41-AZ42+'Mercado Distribuição (Pré CP09)'!AZ78</f>
        <v>220475.15850759402</v>
      </c>
      <c r="BA44" s="222">
        <f>BA38-BA41-BA42+'Mercado Distribuição (Pré CP09)'!BA78</f>
        <v>171022.81232512076</v>
      </c>
      <c r="BB44" s="222">
        <f>BB38-BB41-BB42+'Mercado Distribuição (Pré CP09)'!BB78</f>
        <v>119428.93153938174</v>
      </c>
    </row>
    <row r="45" spans="2:54" ht="15" customHeight="1">
      <c r="B45" s="200" t="s">
        <v>161</v>
      </c>
      <c r="C45" s="200" t="s">
        <v>162</v>
      </c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200"/>
      <c r="W45" s="200"/>
      <c r="X45" s="200"/>
      <c r="Y45" s="200"/>
      <c r="Z45" s="200"/>
      <c r="AA45" s="200"/>
      <c r="AB45" s="215"/>
      <c r="AC45" s="215"/>
      <c r="AD45" s="215"/>
      <c r="AE45" s="215"/>
      <c r="AF45" s="215"/>
      <c r="AG45" s="215"/>
      <c r="AH45" s="215"/>
      <c r="AI45" s="215"/>
      <c r="AJ45" s="215"/>
      <c r="AK45" s="215"/>
      <c r="AL45" s="215"/>
      <c r="AM45" s="215"/>
      <c r="AN45" s="215"/>
      <c r="AO45" s="215"/>
      <c r="AP45" s="215"/>
      <c r="AQ45" s="215"/>
      <c r="AR45" s="215"/>
      <c r="AS45" s="215"/>
      <c r="AT45" s="215"/>
      <c r="AU45" s="215"/>
      <c r="AV45" s="215"/>
      <c r="AW45" s="215"/>
      <c r="AX45" s="215"/>
      <c r="AY45" s="215"/>
      <c r="AZ45" s="215"/>
      <c r="BA45" s="215"/>
      <c r="BB45" s="215"/>
    </row>
    <row r="46" spans="2:54" ht="15" customHeight="1">
      <c r="AB46" s="218"/>
      <c r="AC46" s="218"/>
      <c r="AD46" s="218"/>
      <c r="AE46" s="218"/>
      <c r="AF46" s="218"/>
      <c r="AG46" s="218"/>
      <c r="AH46" s="218"/>
      <c r="AI46" s="218"/>
      <c r="AJ46" s="218"/>
      <c r="AK46" s="218"/>
      <c r="AL46" s="218"/>
      <c r="AM46" s="218"/>
      <c r="AN46" s="218"/>
      <c r="AO46" s="218"/>
      <c r="AP46" s="218"/>
      <c r="AQ46" s="218"/>
      <c r="AR46" s="218"/>
      <c r="AS46" s="218"/>
      <c r="AT46" s="218"/>
      <c r="AU46" s="218"/>
      <c r="AV46" s="218"/>
      <c r="AW46" s="218"/>
      <c r="AX46" s="218"/>
      <c r="AY46" s="218"/>
      <c r="AZ46" s="218"/>
      <c r="BA46" s="218"/>
      <c r="BB46" s="218"/>
    </row>
    <row r="47" spans="2:54" ht="15" customHeight="1">
      <c r="B47" s="439" t="s">
        <v>172</v>
      </c>
      <c r="C47" s="439" t="s">
        <v>173</v>
      </c>
      <c r="D47" s="107" t="s">
        <v>39</v>
      </c>
      <c r="E47" s="107" t="s">
        <v>40</v>
      </c>
      <c r="F47" s="107" t="s">
        <v>41</v>
      </c>
      <c r="G47" s="107" t="s">
        <v>42</v>
      </c>
      <c r="H47" s="107" t="s">
        <v>43</v>
      </c>
      <c r="I47" s="107" t="s">
        <v>44</v>
      </c>
      <c r="J47" s="107" t="s">
        <v>45</v>
      </c>
      <c r="K47" s="107" t="s">
        <v>46</v>
      </c>
      <c r="L47" s="107" t="s">
        <v>47</v>
      </c>
      <c r="M47" s="107" t="s">
        <v>48</v>
      </c>
      <c r="N47" s="107" t="s">
        <v>49</v>
      </c>
      <c r="O47" s="107" t="s">
        <v>50</v>
      </c>
      <c r="P47" s="107" t="s">
        <v>51</v>
      </c>
      <c r="Q47" s="107" t="s">
        <v>52</v>
      </c>
      <c r="R47" s="107" t="s">
        <v>53</v>
      </c>
      <c r="S47" s="107" t="s">
        <v>54</v>
      </c>
      <c r="T47" s="107" t="s">
        <v>55</v>
      </c>
      <c r="U47" s="107" t="s">
        <v>56</v>
      </c>
      <c r="V47" s="107" t="s">
        <v>57</v>
      </c>
      <c r="W47" s="107" t="s">
        <v>58</v>
      </c>
      <c r="X47" s="107" t="s">
        <v>59</v>
      </c>
      <c r="Y47" s="107" t="s">
        <v>60</v>
      </c>
      <c r="Z47" s="107" t="s">
        <v>61</v>
      </c>
      <c r="AA47" s="107" t="s">
        <v>62</v>
      </c>
      <c r="AB47" s="107" t="str">
        <f>AB37</f>
        <v>1T19</v>
      </c>
      <c r="AC47" s="107" t="s">
        <v>64</v>
      </c>
      <c r="AD47" s="107" t="s">
        <v>65</v>
      </c>
      <c r="AE47" s="107" t="s">
        <v>66</v>
      </c>
      <c r="AF47" s="107" t="str">
        <f t="shared" ref="AF47:AR47" si="16">AF37</f>
        <v>1T20</v>
      </c>
      <c r="AG47" s="107" t="str">
        <f t="shared" si="16"/>
        <v>2T20</v>
      </c>
      <c r="AH47" s="107" t="str">
        <f t="shared" si="16"/>
        <v>3T20</v>
      </c>
      <c r="AI47" s="107" t="str">
        <f t="shared" si="16"/>
        <v>4T20</v>
      </c>
      <c r="AJ47" s="107" t="str">
        <f t="shared" si="16"/>
        <v>1T21</v>
      </c>
      <c r="AK47" s="107" t="str">
        <f t="shared" si="16"/>
        <v>2T21</v>
      </c>
      <c r="AL47" s="107" t="str">
        <f t="shared" si="16"/>
        <v>3T21</v>
      </c>
      <c r="AM47" s="107" t="str">
        <f t="shared" si="16"/>
        <v>4T21</v>
      </c>
      <c r="AN47" s="107" t="str">
        <f t="shared" si="16"/>
        <v>1T22</v>
      </c>
      <c r="AO47" s="107" t="str">
        <f t="shared" si="16"/>
        <v>2T22</v>
      </c>
      <c r="AP47" s="107" t="str">
        <f t="shared" si="16"/>
        <v>3T22</v>
      </c>
      <c r="AQ47" s="107" t="str">
        <f t="shared" si="16"/>
        <v>4T22</v>
      </c>
      <c r="AR47" s="107" t="str">
        <f t="shared" si="16"/>
        <v>1T23</v>
      </c>
      <c r="AS47" s="107" t="str">
        <f>$AS$6</f>
        <v>2T23</v>
      </c>
      <c r="AT47" s="107" t="str">
        <f>$AT$6</f>
        <v>3T23</v>
      </c>
      <c r="AU47" s="107" t="str">
        <f>$AU$6</f>
        <v>4T23</v>
      </c>
      <c r="AV47" s="107" t="str">
        <f>$AV$6</f>
        <v>1T24</v>
      </c>
      <c r="AW47" s="107" t="str">
        <f>$AW$6</f>
        <v>2T24</v>
      </c>
      <c r="AX47" s="107" t="str">
        <f>$AX$6</f>
        <v>3T24</v>
      </c>
      <c r="AY47" s="107" t="str">
        <f>$AY$6</f>
        <v>4T24</v>
      </c>
      <c r="AZ47" s="107" t="str">
        <f>$AZ$6</f>
        <v>1T25</v>
      </c>
      <c r="BA47" s="107" t="str">
        <f>$BA$6</f>
        <v>2T25</v>
      </c>
      <c r="BB47" s="107" t="str">
        <f>+BB37</f>
        <v>3T25</v>
      </c>
    </row>
    <row r="48" spans="2:54" ht="15" customHeight="1">
      <c r="B48" s="210" t="s">
        <v>147</v>
      </c>
      <c r="C48" s="210" t="s">
        <v>148</v>
      </c>
      <c r="D48" s="211"/>
      <c r="E48" s="211"/>
      <c r="F48" s="211"/>
      <c r="G48" s="211"/>
      <c r="H48" s="211"/>
      <c r="I48" s="211"/>
      <c r="J48" s="211"/>
      <c r="K48" s="211"/>
      <c r="L48" s="211"/>
      <c r="M48" s="211"/>
      <c r="N48" s="211"/>
      <c r="O48" s="211"/>
      <c r="P48" s="211"/>
      <c r="Q48" s="211"/>
      <c r="R48" s="211"/>
      <c r="S48" s="211"/>
      <c r="T48" s="211"/>
      <c r="U48" s="211"/>
      <c r="V48" s="211"/>
      <c r="W48" s="211"/>
      <c r="X48" s="21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>
        <v>2189848.8214456076</v>
      </c>
      <c r="AI48" s="201">
        <v>2421298.2024441473</v>
      </c>
      <c r="AJ48" s="201">
        <v>2702008.8241919307</v>
      </c>
      <c r="AK48" s="201">
        <v>2263144.9930928042</v>
      </c>
      <c r="AL48" s="201">
        <v>2185183.4387885449</v>
      </c>
      <c r="AM48" s="201">
        <v>2374408.5180929508</v>
      </c>
      <c r="AN48" s="201">
        <v>2775113.4988698876</v>
      </c>
      <c r="AO48" s="201">
        <v>2219409.670670602</v>
      </c>
      <c r="AP48" s="201">
        <v>2148246.7044669744</v>
      </c>
      <c r="AQ48" s="201">
        <v>2347448.6335789193</v>
      </c>
      <c r="AR48" s="201">
        <v>2859278.6680733743</v>
      </c>
      <c r="AS48" s="201">
        <v>2171364.7187439031</v>
      </c>
      <c r="AT48" s="201">
        <v>2134828.3901629276</v>
      </c>
      <c r="AU48" s="201">
        <v>2331645.1571236905</v>
      </c>
      <c r="AV48" s="201">
        <v>2833859.5320312302</v>
      </c>
      <c r="AW48" s="201">
        <v>2224156.6767055001</v>
      </c>
      <c r="AX48" s="201">
        <v>2262419.0456047799</v>
      </c>
      <c r="AY48" s="201">
        <v>2384048.0568259303</v>
      </c>
      <c r="AZ48" s="201">
        <v>3036532.7486063801</v>
      </c>
      <c r="BA48" s="201">
        <v>2322098.86743668</v>
      </c>
      <c r="BB48" s="201">
        <v>2274951.2137007602</v>
      </c>
    </row>
    <row r="49" spans="2:54" ht="15" customHeight="1">
      <c r="B49" s="212" t="s">
        <v>149</v>
      </c>
      <c r="C49" s="212" t="s">
        <v>150</v>
      </c>
      <c r="D49" s="211"/>
      <c r="E49" s="211"/>
      <c r="F49" s="211"/>
      <c r="G49" s="211"/>
      <c r="H49" s="211"/>
      <c r="I49" s="211"/>
      <c r="J49" s="211"/>
      <c r="K49" s="211"/>
      <c r="L49" s="211"/>
      <c r="M49" s="211"/>
      <c r="N49" s="211"/>
      <c r="O49" s="211"/>
      <c r="P49" s="211"/>
      <c r="Q49" s="211"/>
      <c r="R49" s="211"/>
      <c r="S49" s="211"/>
      <c r="T49" s="211"/>
      <c r="U49" s="211"/>
      <c r="V49" s="211"/>
      <c r="W49" s="211"/>
      <c r="X49" s="211"/>
      <c r="Y49" s="201"/>
      <c r="Z49" s="201"/>
      <c r="AA49" s="201"/>
      <c r="AB49" s="201"/>
      <c r="AC49" s="201"/>
      <c r="AD49" s="201"/>
      <c r="AE49" s="201"/>
      <c r="AF49" s="201"/>
      <c r="AG49" s="201"/>
      <c r="AH49" s="201"/>
      <c r="AI49" s="201"/>
      <c r="AJ49" s="201">
        <v>31881.957999999999</v>
      </c>
      <c r="AK49" s="201">
        <v>23967.942999999999</v>
      </c>
      <c r="AL49" s="201">
        <v>24653.397999999997</v>
      </c>
      <c r="AM49" s="201">
        <v>51859.155000000013</v>
      </c>
      <c r="AN49" s="201">
        <v>57663.393000000025</v>
      </c>
      <c r="AO49" s="201">
        <v>47811.458000127015</v>
      </c>
      <c r="AP49" s="201">
        <v>55259.724000225004</v>
      </c>
      <c r="AQ49" s="201">
        <v>88782.78899999999</v>
      </c>
      <c r="AR49" s="201">
        <v>111353.386</v>
      </c>
      <c r="AS49" s="201">
        <v>82067.633998953999</v>
      </c>
      <c r="AT49" s="201">
        <v>70854.74900016599</v>
      </c>
      <c r="AU49" s="201">
        <v>99157.168999999994</v>
      </c>
      <c r="AV49" s="201">
        <v>120563.122</v>
      </c>
      <c r="AW49" s="201">
        <v>66379.745999999999</v>
      </c>
      <c r="AX49" s="201">
        <v>73346.046000000002</v>
      </c>
      <c r="AY49" s="201">
        <v>133888.61499999999</v>
      </c>
      <c r="AZ49" s="201">
        <v>160698.12400000001</v>
      </c>
      <c r="BA49" s="201">
        <v>114142.14</v>
      </c>
      <c r="BB49" s="201">
        <v>111378.53</v>
      </c>
    </row>
    <row r="50" spans="2:54" ht="15" customHeight="1">
      <c r="B50" s="656" t="s">
        <v>151</v>
      </c>
      <c r="C50" s="656" t="s">
        <v>152</v>
      </c>
      <c r="D50" s="651"/>
      <c r="E50" s="651"/>
      <c r="F50" s="651"/>
      <c r="G50" s="651"/>
      <c r="H50" s="651"/>
      <c r="I50" s="651"/>
      <c r="J50" s="651"/>
      <c r="K50" s="651"/>
      <c r="L50" s="651"/>
      <c r="M50" s="651"/>
      <c r="N50" s="651"/>
      <c r="O50" s="651"/>
      <c r="P50" s="651"/>
      <c r="Q50" s="651"/>
      <c r="R50" s="651"/>
      <c r="S50" s="651"/>
      <c r="T50" s="651"/>
      <c r="U50" s="651"/>
      <c r="V50" s="651"/>
      <c r="W50" s="651"/>
      <c r="X50" s="651"/>
      <c r="Y50" s="651"/>
      <c r="Z50" s="651"/>
      <c r="AA50" s="651"/>
      <c r="AB50" s="651"/>
      <c r="AC50" s="651"/>
      <c r="AD50" s="651"/>
      <c r="AE50" s="651"/>
      <c r="AF50" s="651"/>
      <c r="AG50" s="651"/>
      <c r="AH50" s="651">
        <f>+SUM(AH48:AH49)</f>
        <v>2189848.8214456076</v>
      </c>
      <c r="AI50" s="651">
        <f t="shared" ref="AI50:AU50" si="17">+SUM(AI48:AI49)</f>
        <v>2421298.2024441473</v>
      </c>
      <c r="AJ50" s="651">
        <f t="shared" si="17"/>
        <v>2733890.7821919308</v>
      </c>
      <c r="AK50" s="651">
        <f t="shared" si="17"/>
        <v>2287112.9360928042</v>
      </c>
      <c r="AL50" s="651">
        <f t="shared" si="17"/>
        <v>2209836.8367885449</v>
      </c>
      <c r="AM50" s="651">
        <f t="shared" si="17"/>
        <v>2426267.6730929506</v>
      </c>
      <c r="AN50" s="651">
        <f t="shared" si="17"/>
        <v>2832776.8918698877</v>
      </c>
      <c r="AO50" s="651">
        <f t="shared" si="17"/>
        <v>2267221.1286707292</v>
      </c>
      <c r="AP50" s="651">
        <f t="shared" si="17"/>
        <v>2203506.4284671992</v>
      </c>
      <c r="AQ50" s="651">
        <f t="shared" si="17"/>
        <v>2436231.4225789192</v>
      </c>
      <c r="AR50" s="651">
        <f t="shared" si="17"/>
        <v>2970632.0540733743</v>
      </c>
      <c r="AS50" s="651">
        <f t="shared" si="17"/>
        <v>2253432.3527428573</v>
      </c>
      <c r="AT50" s="651">
        <f t="shared" si="17"/>
        <v>2205683.1391630936</v>
      </c>
      <c r="AU50" s="651">
        <f t="shared" si="17"/>
        <v>2430802.3261236902</v>
      </c>
      <c r="AV50" s="651">
        <f>+SUM(AV48:AV49)</f>
        <v>2954422.6540312301</v>
      </c>
      <c r="AW50" s="651">
        <f>+SUM(AW48:AW49)</f>
        <v>2290536.4227054999</v>
      </c>
      <c r="AX50" s="651">
        <f>SUM(AX48:AX49)</f>
        <v>2335765.0916047799</v>
      </c>
      <c r="AY50" s="651">
        <f>SUM(AY48:AY49)</f>
        <v>2517936.6718259305</v>
      </c>
      <c r="AZ50" s="651">
        <f>SUM(AZ48:AZ49)</f>
        <v>3197230.8726063799</v>
      </c>
      <c r="BA50" s="651">
        <f>SUM(BA48:BA49)</f>
        <v>2436241.0074366801</v>
      </c>
      <c r="BB50" s="651">
        <f>SUM(BB48:BB49)</f>
        <v>2386329.74370076</v>
      </c>
    </row>
    <row r="51" spans="2:54" ht="15" customHeight="1">
      <c r="B51" s="200" t="s">
        <v>153</v>
      </c>
      <c r="C51" s="200" t="s">
        <v>154</v>
      </c>
      <c r="D51" s="211"/>
      <c r="E51" s="211"/>
      <c r="F51" s="211"/>
      <c r="G51" s="211"/>
      <c r="H51" s="211"/>
      <c r="I51" s="211"/>
      <c r="J51" s="211"/>
      <c r="K51" s="211"/>
      <c r="L51" s="211"/>
      <c r="M51" s="211"/>
      <c r="N51" s="211"/>
      <c r="O51" s="211"/>
      <c r="P51" s="211"/>
      <c r="Q51" s="211"/>
      <c r="R51" s="211"/>
      <c r="S51" s="211"/>
      <c r="T51" s="211"/>
      <c r="U51" s="211"/>
      <c r="V51" s="211"/>
      <c r="W51" s="211"/>
      <c r="X51" s="211"/>
      <c r="Y51" s="211"/>
      <c r="Z51" s="211"/>
      <c r="AA51" s="211"/>
      <c r="AB51" s="211"/>
      <c r="AC51" s="211"/>
      <c r="AD51" s="211"/>
      <c r="AE51" s="211"/>
      <c r="AF51" s="211"/>
      <c r="AG51" s="211"/>
      <c r="AH51" s="211">
        <v>1808736.343793706</v>
      </c>
      <c r="AI51" s="211">
        <v>1799105.964667337</v>
      </c>
      <c r="AJ51" s="211">
        <f>2261190.34564946-AJ52</f>
        <v>2246039.1588852038</v>
      </c>
      <c r="AK51" s="211">
        <v>1953472.5474314401</v>
      </c>
      <c r="AL51" s="211">
        <v>1748304.8569045584</v>
      </c>
      <c r="AM51" s="211">
        <v>1856238.0154797977</v>
      </c>
      <c r="AN51" s="211">
        <v>2378499.5677081533</v>
      </c>
      <c r="AO51" s="211">
        <v>1900914.6863652267</v>
      </c>
      <c r="AP51" s="211">
        <v>1887046.4880491626</v>
      </c>
      <c r="AQ51" s="211">
        <v>1967632.5864333091</v>
      </c>
      <c r="AR51" s="219">
        <v>2513408.372180324</v>
      </c>
      <c r="AS51" s="219">
        <v>2055105.345245915</v>
      </c>
      <c r="AT51" s="219">
        <v>1947139.7398957319</v>
      </c>
      <c r="AU51" s="219">
        <v>2018439.8072361602</v>
      </c>
      <c r="AV51" s="219">
        <v>2539477.1864494337</v>
      </c>
      <c r="AW51" s="219">
        <v>1995395.2058053634</v>
      </c>
      <c r="AX51" s="219">
        <v>2104922.6480048681</v>
      </c>
      <c r="AY51" s="219">
        <v>2150773.1256211093</v>
      </c>
      <c r="AZ51" s="219">
        <v>2718191.0898655746</v>
      </c>
      <c r="BA51" s="219">
        <v>2174828.4793509939</v>
      </c>
      <c r="BB51" s="219">
        <v>2183891.7284091171</v>
      </c>
    </row>
    <row r="52" spans="2:54" ht="15" customHeight="1">
      <c r="B52" s="200" t="s">
        <v>155</v>
      </c>
      <c r="C52" s="200" t="s">
        <v>156</v>
      </c>
      <c r="D52" s="211"/>
      <c r="E52" s="211"/>
      <c r="F52" s="211"/>
      <c r="G52" s="211"/>
      <c r="H52" s="211"/>
      <c r="I52" s="211"/>
      <c r="J52" s="211"/>
      <c r="K52" s="211"/>
      <c r="L52" s="211"/>
      <c r="M52" s="211"/>
      <c r="N52" s="211"/>
      <c r="O52" s="211"/>
      <c r="P52" s="211"/>
      <c r="Q52" s="211"/>
      <c r="R52" s="211"/>
      <c r="S52" s="211"/>
      <c r="T52" s="211"/>
      <c r="U52" s="211"/>
      <c r="V52" s="211"/>
      <c r="W52" s="211"/>
      <c r="X52" s="211"/>
      <c r="Y52" s="211"/>
      <c r="Z52" s="211"/>
      <c r="AA52" s="211"/>
      <c r="AB52" s="211"/>
      <c r="AC52" s="211"/>
      <c r="AD52" s="211"/>
      <c r="AE52" s="211"/>
      <c r="AF52" s="211"/>
      <c r="AG52" s="211"/>
      <c r="AH52" s="211">
        <v>11439.867</v>
      </c>
      <c r="AI52" s="211">
        <v>12420.375</v>
      </c>
      <c r="AJ52" s="211">
        <v>15151.186764256006</v>
      </c>
      <c r="AK52" s="211">
        <v>14632.198761490028</v>
      </c>
      <c r="AL52" s="211">
        <v>12600.839453161738</v>
      </c>
      <c r="AM52" s="211">
        <v>12959.749186542269</v>
      </c>
      <c r="AN52" s="211">
        <v>16404.885351480421</v>
      </c>
      <c r="AO52" s="211">
        <v>13604.669417033212</v>
      </c>
      <c r="AP52" s="211">
        <v>13238.516325097564</v>
      </c>
      <c r="AQ52" s="211">
        <v>14056.917965504097</v>
      </c>
      <c r="AR52" s="219">
        <v>19552.020650945477</v>
      </c>
      <c r="AS52" s="219">
        <v>15750.640402166944</v>
      </c>
      <c r="AT52" s="219">
        <v>13309.000136122293</v>
      </c>
      <c r="AU52" s="219">
        <v>12394.38499049705</v>
      </c>
      <c r="AV52" s="219">
        <v>17445</v>
      </c>
      <c r="AW52" s="219">
        <v>16091.996294917386</v>
      </c>
      <c r="AX52" s="219">
        <v>15891.206804563029</v>
      </c>
      <c r="AY52" s="219">
        <v>18441.471599770801</v>
      </c>
      <c r="AZ52" s="219">
        <v>23027.350145999997</v>
      </c>
      <c r="BA52" s="219">
        <v>17104.82617</v>
      </c>
      <c r="BB52" s="219">
        <v>15315.49772999999</v>
      </c>
    </row>
    <row r="53" spans="2:54" ht="15" customHeight="1">
      <c r="B53" s="200" t="s">
        <v>157</v>
      </c>
      <c r="C53" s="200" t="s">
        <v>158</v>
      </c>
      <c r="D53" s="211"/>
      <c r="E53" s="211"/>
      <c r="F53" s="211"/>
      <c r="G53" s="211"/>
      <c r="H53" s="211"/>
      <c r="I53" s="211"/>
      <c r="J53" s="211"/>
      <c r="K53" s="211"/>
      <c r="L53" s="211"/>
      <c r="M53" s="211"/>
      <c r="N53" s="211"/>
      <c r="O53" s="211"/>
      <c r="P53" s="211"/>
      <c r="Q53" s="211"/>
      <c r="R53" s="211"/>
      <c r="S53" s="211"/>
      <c r="T53" s="211"/>
      <c r="U53" s="211"/>
      <c r="V53" s="211"/>
      <c r="W53" s="211"/>
      <c r="X53" s="211"/>
      <c r="Y53" s="219"/>
      <c r="Z53" s="219"/>
      <c r="AA53" s="219"/>
      <c r="AB53" s="219"/>
      <c r="AC53" s="219"/>
      <c r="AD53" s="219"/>
      <c r="AE53" s="219"/>
      <c r="AF53" s="219"/>
      <c r="AG53" s="219"/>
      <c r="AH53" s="219">
        <f t="shared" ref="AH53:BB53" si="18">AH50-AH51-AH52</f>
        <v>369672.61065190152</v>
      </c>
      <c r="AI53" s="219">
        <f t="shared" si="18"/>
        <v>609771.8627768103</v>
      </c>
      <c r="AJ53" s="219">
        <f t="shared" si="18"/>
        <v>472700.43654247106</v>
      </c>
      <c r="AK53" s="219">
        <f t="shared" si="18"/>
        <v>319008.18989987404</v>
      </c>
      <c r="AL53" s="219">
        <f t="shared" si="18"/>
        <v>448931.14043082477</v>
      </c>
      <c r="AM53" s="219">
        <f t="shared" si="18"/>
        <v>557069.90842661064</v>
      </c>
      <c r="AN53" s="219">
        <f t="shared" si="18"/>
        <v>437872.43881025398</v>
      </c>
      <c r="AO53" s="219">
        <f t="shared" si="18"/>
        <v>352701.77288846928</v>
      </c>
      <c r="AP53" s="219">
        <f t="shared" si="18"/>
        <v>303221.42409293907</v>
      </c>
      <c r="AQ53" s="219">
        <f t="shared" si="18"/>
        <v>454541.91818010597</v>
      </c>
      <c r="AR53" s="219">
        <f t="shared" si="18"/>
        <v>437671.66124210472</v>
      </c>
      <c r="AS53" s="219">
        <f t="shared" si="18"/>
        <v>182576.36709477537</v>
      </c>
      <c r="AT53" s="219">
        <f t="shared" si="18"/>
        <v>245234.39913123945</v>
      </c>
      <c r="AU53" s="219">
        <f t="shared" si="18"/>
        <v>399968.13389703305</v>
      </c>
      <c r="AV53" s="219">
        <f t="shared" si="18"/>
        <v>397500.46758179646</v>
      </c>
      <c r="AW53" s="219">
        <f t="shared" si="18"/>
        <v>279049.22060521919</v>
      </c>
      <c r="AX53" s="219">
        <f t="shared" si="18"/>
        <v>214951.23679534884</v>
      </c>
      <c r="AY53" s="219">
        <f t="shared" si="18"/>
        <v>348722.07460505038</v>
      </c>
      <c r="AZ53" s="219">
        <f t="shared" si="18"/>
        <v>456012.43259480532</v>
      </c>
      <c r="BA53" s="219">
        <f t="shared" si="18"/>
        <v>244307.70191568625</v>
      </c>
      <c r="BB53" s="219">
        <f t="shared" si="18"/>
        <v>187122.51756164286</v>
      </c>
    </row>
    <row r="54" spans="2:54" ht="15" customHeight="1">
      <c r="B54" s="220" t="s">
        <v>159</v>
      </c>
      <c r="C54" s="216" t="s">
        <v>160</v>
      </c>
      <c r="D54" s="221"/>
      <c r="E54" s="221"/>
      <c r="F54" s="221"/>
      <c r="G54" s="221"/>
      <c r="H54" s="221"/>
      <c r="I54" s="221"/>
      <c r="J54" s="221"/>
      <c r="K54" s="221"/>
      <c r="L54" s="221"/>
      <c r="M54" s="221"/>
      <c r="N54" s="221"/>
      <c r="O54" s="221"/>
      <c r="P54" s="221"/>
      <c r="Q54" s="221"/>
      <c r="R54" s="221"/>
      <c r="S54" s="221"/>
      <c r="T54" s="221"/>
      <c r="U54" s="221"/>
      <c r="V54" s="221"/>
      <c r="W54" s="221"/>
      <c r="X54" s="221"/>
      <c r="Y54" s="222"/>
      <c r="Z54" s="222"/>
      <c r="AA54" s="222"/>
      <c r="AB54" s="222"/>
      <c r="AC54" s="222"/>
      <c r="AD54" s="222"/>
      <c r="AE54" s="222"/>
      <c r="AF54" s="222"/>
      <c r="AG54" s="222"/>
      <c r="AH54" s="222"/>
      <c r="AI54" s="222"/>
      <c r="AJ54" s="222">
        <f>AJ48-AJ51-AJ52+'Mercado Distribuição (Pré CP09)'!AJ96</f>
        <v>459603.63154247089</v>
      </c>
      <c r="AK54" s="222">
        <f>AK48-AK51-AK52+'Mercado Distribuição (Pré CP09)'!AK96</f>
        <v>314598.84989987395</v>
      </c>
      <c r="AL54" s="222">
        <f>AL48-AL51-AL52+'Mercado Distribuição (Pré CP09)'!AL96</f>
        <v>443170.24343082466</v>
      </c>
      <c r="AM54" s="222">
        <f>AM48-AM51-AM52+'Mercado Distribuição (Pré CP09)'!AM96</f>
        <v>528182.44342661067</v>
      </c>
      <c r="AN54" s="222">
        <f>AN48-AN51-AN52+'Mercado Distribuição (Pré CP09)'!AN96</f>
        <v>421000.89581025392</v>
      </c>
      <c r="AO54" s="222">
        <f>AO48-AO51-AO52+'Mercado Distribuição (Pré CP09)'!AO96</f>
        <v>340461.44988834229</v>
      </c>
      <c r="AP54" s="222">
        <f>AP48-AP51-AP52+'Mercado Distribuição (Pré CP09)'!AP96</f>
        <v>276281.69309271406</v>
      </c>
      <c r="AQ54" s="222">
        <f>AQ48-AQ51-AQ52+'Mercado Distribuição (Pré CP09)'!AQ96</f>
        <v>406580.58118010615</v>
      </c>
      <c r="AR54" s="222">
        <f>AR48-AR51-AR52+'Mercado Distribuição (Pré CP09)'!AR96</f>
        <v>402962.36624210479</v>
      </c>
      <c r="AS54" s="222">
        <f>AS48-AS51-AS52+'Mercado Distribuição (Pré CP09)'!AS96</f>
        <v>170988.67009582109</v>
      </c>
      <c r="AT54" s="222">
        <f>AT48-AT51-AT52+'Mercado Distribuição (Pré CP09)'!AT96</f>
        <v>240790.13613107317</v>
      </c>
      <c r="AU54" s="222">
        <f>AU48-AU51-AU52+'Mercado Distribuição (Pré CP09)'!AU96</f>
        <v>376470.77589703328</v>
      </c>
      <c r="AV54" s="222">
        <f>AV48-AV51-AV52+'Mercado Distribuição (Pré CP09)'!AV96</f>
        <v>380593.5905817966</v>
      </c>
      <c r="AW54" s="222">
        <f>AW48-AW51-AW52+'Mercado Distribuição (Pré CP09)'!AW96</f>
        <v>293440.35360521928</v>
      </c>
      <c r="AX54" s="222">
        <f>AX48-AX51-AX52+'Mercado Distribuição (Pré CP09)'!AX96</f>
        <v>218102.29279534903</v>
      </c>
      <c r="AY54" s="222">
        <f>AY48-AY51-AY52+'Mercado Distribuição (Pré CP09)'!AY96</f>
        <v>308053.75360505015</v>
      </c>
      <c r="AZ54" s="222">
        <f>AZ48-AZ51-AZ52+'Mercado Distribuição (Pré CP09)'!AZ96</f>
        <v>423613.18859480484</v>
      </c>
      <c r="BA54" s="222">
        <f>BA48-BA51-BA52+'Mercado Distribuição (Pré CP09)'!BA96</f>
        <v>241475.4109156859</v>
      </c>
      <c r="BB54" s="222">
        <f>BB48-BB51-BB52+'Mercado Distribuição (Pré CP09)'!BB96</f>
        <v>185943.85256164311</v>
      </c>
    </row>
    <row r="55" spans="2:54" ht="15" customHeight="1">
      <c r="B55" s="200" t="s">
        <v>161</v>
      </c>
      <c r="C55" s="200" t="s">
        <v>162</v>
      </c>
      <c r="D55" s="200"/>
      <c r="E55" s="200"/>
      <c r="F55" s="200"/>
      <c r="G55" s="200"/>
      <c r="H55" s="200"/>
      <c r="I55" s="200"/>
      <c r="J55" s="200"/>
      <c r="K55" s="200"/>
      <c r="L55" s="200"/>
      <c r="M55" s="200"/>
      <c r="N55" s="200"/>
      <c r="O55" s="200"/>
      <c r="P55" s="200"/>
      <c r="Q55" s="200"/>
      <c r="R55" s="200"/>
      <c r="S55" s="200"/>
      <c r="T55" s="200"/>
      <c r="U55" s="200"/>
      <c r="V55" s="200"/>
      <c r="W55" s="200"/>
      <c r="X55" s="200"/>
      <c r="Y55" s="200"/>
      <c r="Z55" s="200"/>
      <c r="AA55" s="200"/>
      <c r="AB55" s="215"/>
      <c r="AC55" s="215"/>
      <c r="AD55" s="215"/>
      <c r="AE55" s="215"/>
      <c r="AF55" s="215"/>
      <c r="AG55" s="215"/>
      <c r="AH55" s="215"/>
      <c r="AI55" s="215"/>
      <c r="AJ55" s="215"/>
      <c r="AK55" s="215"/>
      <c r="AL55" s="215"/>
      <c r="AM55" s="215"/>
      <c r="AN55" s="215"/>
      <c r="AO55" s="215"/>
      <c r="AP55" s="215"/>
      <c r="AQ55" s="215"/>
      <c r="AR55" s="215"/>
      <c r="AS55" s="215"/>
      <c r="AT55" s="215"/>
      <c r="AU55" s="215"/>
      <c r="AV55" s="215"/>
      <c r="AW55" s="215"/>
      <c r="AX55" s="215"/>
      <c r="AY55" s="215"/>
      <c r="AZ55" s="215"/>
      <c r="BA55" s="215"/>
      <c r="BB55" s="215"/>
    </row>
    <row r="56" spans="2:54" ht="15" customHeight="1">
      <c r="AB56" s="218"/>
      <c r="AC56" s="218"/>
      <c r="AD56" s="218"/>
      <c r="AE56" s="218"/>
      <c r="AF56" s="218"/>
      <c r="AG56" s="218"/>
      <c r="AH56" s="218"/>
      <c r="AI56" s="218"/>
      <c r="AJ56" s="218"/>
      <c r="AK56" s="218"/>
      <c r="AL56" s="218"/>
      <c r="AM56" s="218"/>
      <c r="AN56" s="218"/>
      <c r="AO56" s="218"/>
      <c r="AP56" s="218"/>
      <c r="AQ56" s="218"/>
      <c r="AR56" s="218"/>
      <c r="AS56" s="218"/>
      <c r="AT56" s="218"/>
      <c r="AU56" s="218"/>
      <c r="AV56" s="218"/>
      <c r="AW56" s="218"/>
      <c r="AX56" s="218"/>
      <c r="AY56" s="218"/>
      <c r="AZ56" s="218"/>
      <c r="BA56" s="218"/>
      <c r="BB56" s="218"/>
    </row>
    <row r="57" spans="2:54" ht="15" customHeight="1">
      <c r="B57" s="439" t="s">
        <v>174</v>
      </c>
      <c r="C57" s="439" t="s">
        <v>175</v>
      </c>
      <c r="D57" s="107" t="s">
        <v>39</v>
      </c>
      <c r="E57" s="107" t="s">
        <v>40</v>
      </c>
      <c r="F57" s="107" t="s">
        <v>41</v>
      </c>
      <c r="G57" s="107" t="s">
        <v>42</v>
      </c>
      <c r="H57" s="107" t="s">
        <v>43</v>
      </c>
      <c r="I57" s="107" t="s">
        <v>44</v>
      </c>
      <c r="J57" s="107" t="s">
        <v>45</v>
      </c>
      <c r="K57" s="107" t="s">
        <v>46</v>
      </c>
      <c r="L57" s="107" t="s">
        <v>47</v>
      </c>
      <c r="M57" s="107" t="s">
        <v>48</v>
      </c>
      <c r="N57" s="107" t="s">
        <v>49</v>
      </c>
      <c r="O57" s="107" t="s">
        <v>50</v>
      </c>
      <c r="P57" s="107" t="s">
        <v>51</v>
      </c>
      <c r="Q57" s="107" t="s">
        <v>52</v>
      </c>
      <c r="R57" s="107" t="s">
        <v>53</v>
      </c>
      <c r="S57" s="107" t="s">
        <v>54</v>
      </c>
      <c r="T57" s="107" t="s">
        <v>55</v>
      </c>
      <c r="U57" s="107" t="s">
        <v>56</v>
      </c>
      <c r="V57" s="107" t="s">
        <v>57</v>
      </c>
      <c r="W57" s="107" t="s">
        <v>58</v>
      </c>
      <c r="X57" s="107" t="s">
        <v>59</v>
      </c>
      <c r="Y57" s="107" t="s">
        <v>60</v>
      </c>
      <c r="Z57" s="107" t="s">
        <v>61</v>
      </c>
      <c r="AA57" s="107" t="s">
        <v>62</v>
      </c>
      <c r="AB57" s="107" t="str">
        <f>AB47</f>
        <v>1T19</v>
      </c>
      <c r="AC57" s="107" t="s">
        <v>64</v>
      </c>
      <c r="AD57" s="107" t="s">
        <v>65</v>
      </c>
      <c r="AE57" s="107" t="s">
        <v>66</v>
      </c>
      <c r="AF57" s="107" t="str">
        <f t="shared" ref="AF57:AR57" si="19">AF47</f>
        <v>1T20</v>
      </c>
      <c r="AG57" s="107" t="str">
        <f t="shared" si="19"/>
        <v>2T20</v>
      </c>
      <c r="AH57" s="107" t="str">
        <f t="shared" si="19"/>
        <v>3T20</v>
      </c>
      <c r="AI57" s="107" t="str">
        <f t="shared" si="19"/>
        <v>4T20</v>
      </c>
      <c r="AJ57" s="107" t="str">
        <f t="shared" si="19"/>
        <v>1T21</v>
      </c>
      <c r="AK57" s="107" t="str">
        <f t="shared" si="19"/>
        <v>2T21</v>
      </c>
      <c r="AL57" s="107" t="str">
        <f t="shared" si="19"/>
        <v>3T21</v>
      </c>
      <c r="AM57" s="107" t="str">
        <f t="shared" si="19"/>
        <v>4T21</v>
      </c>
      <c r="AN57" s="107" t="str">
        <f t="shared" si="19"/>
        <v>1T22</v>
      </c>
      <c r="AO57" s="107" t="str">
        <f t="shared" si="19"/>
        <v>2T22</v>
      </c>
      <c r="AP57" s="107" t="str">
        <f t="shared" si="19"/>
        <v>3T22</v>
      </c>
      <c r="AQ57" s="107" t="str">
        <f t="shared" si="19"/>
        <v>4T22</v>
      </c>
      <c r="AR57" s="107" t="str">
        <f t="shared" si="19"/>
        <v>1T23</v>
      </c>
      <c r="AS57" s="107" t="str">
        <f>$AS$6</f>
        <v>2T23</v>
      </c>
      <c r="AT57" s="107" t="str">
        <f>$AT$6</f>
        <v>3T23</v>
      </c>
      <c r="AU57" s="107" t="str">
        <f>$AU$6</f>
        <v>4T23</v>
      </c>
      <c r="AV57" s="107" t="str">
        <f>$AV$6</f>
        <v>1T24</v>
      </c>
      <c r="AW57" s="107" t="str">
        <f>$AW$6</f>
        <v>2T24</v>
      </c>
      <c r="AX57" s="107" t="str">
        <f>$AX$6</f>
        <v>3T24</v>
      </c>
      <c r="AY57" s="107" t="str">
        <f>$AY$6</f>
        <v>4T24</v>
      </c>
      <c r="AZ57" s="107" t="str">
        <f>$AZ$6</f>
        <v>1T25</v>
      </c>
      <c r="BA57" s="107" t="str">
        <f>$BA$6</f>
        <v>2T25</v>
      </c>
      <c r="BB57" s="107" t="str">
        <f>+BB47</f>
        <v>3T25</v>
      </c>
    </row>
    <row r="58" spans="2:54" ht="15" customHeight="1">
      <c r="B58" s="210" t="s">
        <v>147</v>
      </c>
      <c r="C58" s="210" t="s">
        <v>148</v>
      </c>
      <c r="D58" s="211"/>
      <c r="E58" s="211"/>
      <c r="F58" s="211"/>
      <c r="G58" s="211"/>
      <c r="H58" s="211"/>
      <c r="I58" s="211"/>
      <c r="J58" s="211"/>
      <c r="K58" s="211"/>
      <c r="L58" s="211"/>
      <c r="M58" s="211"/>
      <c r="N58" s="211"/>
      <c r="O58" s="211"/>
      <c r="P58" s="211"/>
      <c r="Q58" s="211"/>
      <c r="R58" s="211"/>
      <c r="S58" s="211"/>
      <c r="T58" s="211"/>
      <c r="U58" s="211"/>
      <c r="V58" s="211"/>
      <c r="W58" s="211"/>
      <c r="X58" s="211"/>
      <c r="Y58" s="201"/>
      <c r="Z58" s="201"/>
      <c r="AA58" s="201"/>
      <c r="AB58" s="201"/>
      <c r="AC58" s="201"/>
      <c r="AD58" s="201"/>
      <c r="AE58" s="201"/>
      <c r="AF58" s="201"/>
      <c r="AG58" s="201"/>
      <c r="AH58" s="201"/>
      <c r="AI58" s="201">
        <v>510284.96499999997</v>
      </c>
      <c r="AJ58" s="201">
        <v>473061.04100000003</v>
      </c>
      <c r="AK58" s="201">
        <v>483023.13500000001</v>
      </c>
      <c r="AL58" s="201">
        <v>534239.48695962958</v>
      </c>
      <c r="AM58" s="201">
        <v>544448.75003182911</v>
      </c>
      <c r="AN58" s="201">
        <v>457319.00521899993</v>
      </c>
      <c r="AO58" s="201">
        <v>479145.93446600001</v>
      </c>
      <c r="AP58" s="201">
        <v>532881.16737300018</v>
      </c>
      <c r="AQ58" s="201">
        <v>540262.86248576839</v>
      </c>
      <c r="AR58" s="201">
        <v>433050.23555333313</v>
      </c>
      <c r="AS58" s="201">
        <v>475209.20853403036</v>
      </c>
      <c r="AT58" s="201">
        <v>522421.70107795758</v>
      </c>
      <c r="AU58" s="201">
        <v>537681.34191111499</v>
      </c>
      <c r="AV58" s="201">
        <v>467790.35602585046</v>
      </c>
      <c r="AW58" s="201">
        <v>482312.95258152409</v>
      </c>
      <c r="AX58" s="215">
        <v>518987.60643409187</v>
      </c>
      <c r="AY58" s="215">
        <v>515634.03125185455</v>
      </c>
      <c r="AZ58" s="215">
        <v>418364.00201761606</v>
      </c>
      <c r="BA58" s="215">
        <v>440603.9042452607</v>
      </c>
      <c r="BB58" s="215">
        <v>473955.35236207914</v>
      </c>
    </row>
    <row r="59" spans="2:54" ht="15" customHeight="1">
      <c r="B59" s="210" t="s">
        <v>165</v>
      </c>
      <c r="C59" s="210" t="s">
        <v>176</v>
      </c>
      <c r="D59" s="211"/>
      <c r="E59" s="211"/>
      <c r="F59" s="211"/>
      <c r="G59" s="211"/>
      <c r="H59" s="211"/>
      <c r="I59" s="211"/>
      <c r="J59" s="211"/>
      <c r="K59" s="211"/>
      <c r="L59" s="211"/>
      <c r="M59" s="211"/>
      <c r="N59" s="211"/>
      <c r="O59" s="211"/>
      <c r="P59" s="211"/>
      <c r="Q59" s="211"/>
      <c r="R59" s="211"/>
      <c r="S59" s="211"/>
      <c r="T59" s="211"/>
      <c r="U59" s="211"/>
      <c r="V59" s="211"/>
      <c r="W59" s="211"/>
      <c r="X59" s="211"/>
      <c r="Y59" s="201"/>
      <c r="Z59" s="201"/>
      <c r="AA59" s="201"/>
      <c r="AB59" s="201"/>
      <c r="AC59" s="201"/>
      <c r="AD59" s="201"/>
      <c r="AE59" s="201"/>
      <c r="AF59" s="201"/>
      <c r="AG59" s="201"/>
      <c r="AH59" s="201"/>
      <c r="AI59" s="201">
        <v>12277.400758344285</v>
      </c>
      <c r="AJ59" s="201">
        <v>11069.567344000001</v>
      </c>
      <c r="AK59" s="201">
        <v>11571.026358000001</v>
      </c>
      <c r="AL59" s="201">
        <v>12685.557930705767</v>
      </c>
      <c r="AM59" s="201">
        <v>12751.702142252097</v>
      </c>
      <c r="AN59" s="201">
        <v>10965.17473713282</v>
      </c>
      <c r="AO59" s="201">
        <v>11847.797597377908</v>
      </c>
      <c r="AP59" s="201">
        <v>13094.480783325234</v>
      </c>
      <c r="AQ59" s="201">
        <v>13201.550968962383</v>
      </c>
      <c r="AR59" s="201">
        <v>11175.098559355483</v>
      </c>
      <c r="AS59" s="201">
        <v>12422.681189345079</v>
      </c>
      <c r="AT59" s="201">
        <v>13943.84689519418</v>
      </c>
      <c r="AU59" s="201">
        <v>14390.461936641001</v>
      </c>
      <c r="AV59" s="201">
        <v>12791.449000238499</v>
      </c>
      <c r="AW59" s="201">
        <v>13903.2032825529</v>
      </c>
      <c r="AX59" s="201">
        <v>15504.943268995101</v>
      </c>
      <c r="AY59" s="215">
        <v>15605.762045191401</v>
      </c>
      <c r="AZ59" s="215">
        <v>12646.920847579629</v>
      </c>
      <c r="BA59" s="215">
        <v>13987.0548171423</v>
      </c>
      <c r="BB59" s="215">
        <v>15678.438866410799</v>
      </c>
    </row>
    <row r="60" spans="2:54" ht="15" customHeight="1">
      <c r="B60" s="226" t="s">
        <v>149</v>
      </c>
      <c r="C60" s="212" t="s">
        <v>150</v>
      </c>
      <c r="D60" s="211"/>
      <c r="E60" s="211"/>
      <c r="F60" s="211"/>
      <c r="G60" s="211"/>
      <c r="H60" s="211"/>
      <c r="I60" s="211"/>
      <c r="J60" s="211"/>
      <c r="K60" s="211"/>
      <c r="L60" s="211"/>
      <c r="M60" s="211"/>
      <c r="N60" s="211"/>
      <c r="O60" s="211"/>
      <c r="P60" s="211"/>
      <c r="Q60" s="211"/>
      <c r="R60" s="211"/>
      <c r="S60" s="211"/>
      <c r="T60" s="211"/>
      <c r="U60" s="211"/>
      <c r="V60" s="211"/>
      <c r="W60" s="211"/>
      <c r="X60" s="211"/>
      <c r="Y60" s="201"/>
      <c r="Z60" s="201"/>
      <c r="AA60" s="201"/>
      <c r="AB60" s="201"/>
      <c r="AC60" s="201"/>
      <c r="AD60" s="201"/>
      <c r="AE60" s="201"/>
      <c r="AF60" s="201"/>
      <c r="AG60" s="201"/>
      <c r="AH60" s="201"/>
      <c r="AI60" s="201"/>
      <c r="AJ60" s="201">
        <v>1362.318</v>
      </c>
      <c r="AK60" s="201">
        <v>1546.547</v>
      </c>
      <c r="AL60" s="201">
        <v>2545.3689999999997</v>
      </c>
      <c r="AM60" s="201">
        <v>3023.0060000000003</v>
      </c>
      <c r="AN60" s="201">
        <v>2760.058</v>
      </c>
      <c r="AO60" s="201">
        <v>3337.116</v>
      </c>
      <c r="AP60" s="201">
        <v>4619.2739999999994</v>
      </c>
      <c r="AQ60" s="201">
        <v>5307.5810000000001</v>
      </c>
      <c r="AR60" s="201">
        <v>5408.7340000000004</v>
      </c>
      <c r="AS60" s="201">
        <v>7641.8810000000003</v>
      </c>
      <c r="AT60" s="201">
        <v>10060.393999999997</v>
      </c>
      <c r="AU60" s="201">
        <v>12448.287</v>
      </c>
      <c r="AV60" s="201">
        <v>12737.775</v>
      </c>
      <c r="AW60" s="201">
        <v>16475.109</v>
      </c>
      <c r="AX60" s="201">
        <v>23815.79</v>
      </c>
      <c r="AY60" s="215">
        <v>28584.998</v>
      </c>
      <c r="AZ60" s="215">
        <v>24234.057999999975</v>
      </c>
      <c r="BA60" s="215">
        <v>30996.723000000002</v>
      </c>
      <c r="BB60" s="215">
        <v>43307.02</v>
      </c>
    </row>
    <row r="61" spans="2:54" ht="15" customHeight="1">
      <c r="B61" s="656" t="s">
        <v>151</v>
      </c>
      <c r="C61" s="656" t="s">
        <v>152</v>
      </c>
      <c r="D61" s="651"/>
      <c r="E61" s="651"/>
      <c r="F61" s="651"/>
      <c r="G61" s="651"/>
      <c r="H61" s="651"/>
      <c r="I61" s="651"/>
      <c r="J61" s="651"/>
      <c r="K61" s="651"/>
      <c r="L61" s="651"/>
      <c r="M61" s="651"/>
      <c r="N61" s="651"/>
      <c r="O61" s="651"/>
      <c r="P61" s="651"/>
      <c r="Q61" s="651"/>
      <c r="R61" s="651"/>
      <c r="S61" s="651"/>
      <c r="T61" s="651"/>
      <c r="U61" s="651"/>
      <c r="V61" s="651"/>
      <c r="W61" s="651"/>
      <c r="X61" s="651"/>
      <c r="Y61" s="651"/>
      <c r="Z61" s="651"/>
      <c r="AA61" s="651"/>
      <c r="AB61" s="651"/>
      <c r="AC61" s="651"/>
      <c r="AD61" s="651"/>
      <c r="AE61" s="651"/>
      <c r="AF61" s="651"/>
      <c r="AG61" s="651"/>
      <c r="AH61" s="651"/>
      <c r="AI61" s="651">
        <f>+SUM(AI58:AI60)</f>
        <v>522562.36575834424</v>
      </c>
      <c r="AJ61" s="651">
        <f>+SUM(AJ58:AJ60)</f>
        <v>485492.92634400004</v>
      </c>
      <c r="AK61" s="651">
        <f t="shared" ref="AK61:BB61" si="20">+SUM(AK58:AK60)</f>
        <v>496140.70835800003</v>
      </c>
      <c r="AL61" s="651">
        <f t="shared" si="20"/>
        <v>549470.41389033524</v>
      </c>
      <c r="AM61" s="651">
        <f t="shared" si="20"/>
        <v>560223.45817408129</v>
      </c>
      <c r="AN61" s="651">
        <f t="shared" si="20"/>
        <v>471044.23795613274</v>
      </c>
      <c r="AO61" s="651">
        <f t="shared" si="20"/>
        <v>494330.8480633779</v>
      </c>
      <c r="AP61" s="651">
        <f t="shared" si="20"/>
        <v>550594.92215632543</v>
      </c>
      <c r="AQ61" s="651">
        <f t="shared" si="20"/>
        <v>558771.99445473077</v>
      </c>
      <c r="AR61" s="651">
        <f t="shared" si="20"/>
        <v>449634.0681126886</v>
      </c>
      <c r="AS61" s="651">
        <f t="shared" si="20"/>
        <v>495273.77072337543</v>
      </c>
      <c r="AT61" s="651">
        <f t="shared" si="20"/>
        <v>546425.94197315176</v>
      </c>
      <c r="AU61" s="651">
        <f t="shared" si="20"/>
        <v>564520.09084775602</v>
      </c>
      <c r="AV61" s="651">
        <f t="shared" si="20"/>
        <v>493319.58002608898</v>
      </c>
      <c r="AW61" s="651">
        <f t="shared" si="20"/>
        <v>512691.26486407698</v>
      </c>
      <c r="AX61" s="651">
        <f t="shared" si="20"/>
        <v>558308.339703087</v>
      </c>
      <c r="AY61" s="651">
        <f t="shared" si="20"/>
        <v>559824.791297046</v>
      </c>
      <c r="AZ61" s="651">
        <f t="shared" si="20"/>
        <v>455244.98086519563</v>
      </c>
      <c r="BA61" s="651">
        <f t="shared" si="20"/>
        <v>485587.68206240301</v>
      </c>
      <c r="BB61" s="651">
        <f t="shared" si="20"/>
        <v>532940.81122848997</v>
      </c>
    </row>
    <row r="62" spans="2:54" ht="15" customHeight="1">
      <c r="B62" s="200" t="s">
        <v>153</v>
      </c>
      <c r="C62" s="200" t="s">
        <v>154</v>
      </c>
      <c r="D62" s="211"/>
      <c r="E62" s="211"/>
      <c r="F62" s="211"/>
      <c r="G62" s="211"/>
      <c r="H62" s="211"/>
      <c r="I62" s="211"/>
      <c r="J62" s="211"/>
      <c r="K62" s="211"/>
      <c r="L62" s="211"/>
      <c r="M62" s="211"/>
      <c r="N62" s="211"/>
      <c r="O62" s="211"/>
      <c r="P62" s="211"/>
      <c r="Q62" s="211"/>
      <c r="R62" s="211"/>
      <c r="S62" s="211"/>
      <c r="T62" s="211"/>
      <c r="U62" s="211"/>
      <c r="V62" s="211"/>
      <c r="W62" s="211"/>
      <c r="X62" s="211"/>
      <c r="Y62" s="211"/>
      <c r="Z62" s="211"/>
      <c r="AA62" s="211"/>
      <c r="AB62" s="211"/>
      <c r="AC62" s="211"/>
      <c r="AD62" s="211"/>
      <c r="AE62" s="211"/>
      <c r="AF62" s="211"/>
      <c r="AG62" s="211"/>
      <c r="AH62" s="211"/>
      <c r="AI62" s="211">
        <v>256186.28099999999</v>
      </c>
      <c r="AJ62" s="211">
        <v>273294.28700000007</v>
      </c>
      <c r="AK62" s="211">
        <v>275240.83500000002</v>
      </c>
      <c r="AL62" s="211">
        <v>294418.20599999995</v>
      </c>
      <c r="AM62" s="211">
        <v>285506.50200000021</v>
      </c>
      <c r="AN62" s="211">
        <v>234186.527</v>
      </c>
      <c r="AO62" s="211">
        <v>265025.32499999995</v>
      </c>
      <c r="AP62" s="211">
        <v>286756.58100000001</v>
      </c>
      <c r="AQ62" s="211">
        <v>335263.87099999993</v>
      </c>
      <c r="AR62" s="219">
        <v>251814.98700000002</v>
      </c>
      <c r="AS62" s="219">
        <v>283128.99300000002</v>
      </c>
      <c r="AT62" s="219">
        <v>328801.95799999998</v>
      </c>
      <c r="AU62" s="219">
        <v>341051.72999199998</v>
      </c>
      <c r="AV62" s="219">
        <v>322692.42</v>
      </c>
      <c r="AW62" s="219">
        <v>335212.43489899999</v>
      </c>
      <c r="AX62" s="219">
        <v>371704.74437900004</v>
      </c>
      <c r="AY62" s="219">
        <v>382593.83635200001</v>
      </c>
      <c r="AZ62" s="219">
        <v>322531.25032699999</v>
      </c>
      <c r="BA62" s="219">
        <v>336569.26296999998</v>
      </c>
      <c r="BB62" s="219">
        <v>362627.83031799999</v>
      </c>
    </row>
    <row r="63" spans="2:54" ht="15" customHeight="1">
      <c r="B63" s="200" t="s">
        <v>157</v>
      </c>
      <c r="C63" s="200" t="s">
        <v>158</v>
      </c>
      <c r="D63" s="211"/>
      <c r="E63" s="211"/>
      <c r="F63" s="211"/>
      <c r="G63" s="211"/>
      <c r="H63" s="211"/>
      <c r="I63" s="211"/>
      <c r="J63" s="211"/>
      <c r="K63" s="211"/>
      <c r="L63" s="211"/>
      <c r="M63" s="211"/>
      <c r="N63" s="211"/>
      <c r="O63" s="211"/>
      <c r="P63" s="211"/>
      <c r="Q63" s="211"/>
      <c r="R63" s="211"/>
      <c r="S63" s="211"/>
      <c r="T63" s="211"/>
      <c r="U63" s="211"/>
      <c r="V63" s="211"/>
      <c r="W63" s="211"/>
      <c r="X63" s="211"/>
      <c r="Y63" s="219"/>
      <c r="Z63" s="219"/>
      <c r="AA63" s="219"/>
      <c r="AB63" s="219"/>
      <c r="AC63" s="219"/>
      <c r="AD63" s="219"/>
      <c r="AE63" s="219"/>
      <c r="AF63" s="219"/>
      <c r="AG63" s="219"/>
      <c r="AH63" s="219"/>
      <c r="AI63" s="219">
        <f t="shared" ref="AI63:BB63" si="21">AI61-AI62</f>
        <v>266376.08475834422</v>
      </c>
      <c r="AJ63" s="219">
        <f t="shared" si="21"/>
        <v>212198.63934399997</v>
      </c>
      <c r="AK63" s="219">
        <f t="shared" si="21"/>
        <v>220899.87335800001</v>
      </c>
      <c r="AL63" s="219">
        <f t="shared" si="21"/>
        <v>255052.2078903353</v>
      </c>
      <c r="AM63" s="219">
        <f t="shared" si="21"/>
        <v>274716.95617408108</v>
      </c>
      <c r="AN63" s="219">
        <f t="shared" si="21"/>
        <v>236857.71095613274</v>
      </c>
      <c r="AO63" s="219">
        <f t="shared" si="21"/>
        <v>229305.52306337794</v>
      </c>
      <c r="AP63" s="219">
        <f t="shared" si="21"/>
        <v>263838.34115632542</v>
      </c>
      <c r="AQ63" s="219">
        <f t="shared" si="21"/>
        <v>223508.12345473084</v>
      </c>
      <c r="AR63" s="219">
        <f t="shared" si="21"/>
        <v>197819.08111268858</v>
      </c>
      <c r="AS63" s="219">
        <f t="shared" si="21"/>
        <v>212144.77772337542</v>
      </c>
      <c r="AT63" s="219">
        <f t="shared" si="21"/>
        <v>217623.98397315177</v>
      </c>
      <c r="AU63" s="219">
        <f t="shared" si="21"/>
        <v>223468.36085575604</v>
      </c>
      <c r="AV63" s="219">
        <f t="shared" si="21"/>
        <v>170627.160026089</v>
      </c>
      <c r="AW63" s="219">
        <f t="shared" si="21"/>
        <v>177478.82996507699</v>
      </c>
      <c r="AX63" s="219">
        <f t="shared" si="21"/>
        <v>186603.59532408696</v>
      </c>
      <c r="AY63" s="219">
        <f t="shared" si="21"/>
        <v>177230.95494504599</v>
      </c>
      <c r="AZ63" s="219">
        <f t="shared" si="21"/>
        <v>132713.73053819564</v>
      </c>
      <c r="BA63" s="219">
        <f t="shared" si="21"/>
        <v>149018.41909240303</v>
      </c>
      <c r="BB63" s="219">
        <f t="shared" si="21"/>
        <v>170312.98091048998</v>
      </c>
    </row>
    <row r="64" spans="2:54" ht="15" customHeight="1">
      <c r="B64" s="220" t="s">
        <v>159</v>
      </c>
      <c r="C64" s="216" t="s">
        <v>160</v>
      </c>
      <c r="D64" s="221"/>
      <c r="E64" s="221"/>
      <c r="F64" s="221"/>
      <c r="G64" s="221"/>
      <c r="H64" s="221"/>
      <c r="I64" s="221"/>
      <c r="J64" s="221"/>
      <c r="K64" s="221"/>
      <c r="L64" s="221"/>
      <c r="M64" s="221"/>
      <c r="N64" s="221"/>
      <c r="O64" s="221"/>
      <c r="P64" s="221"/>
      <c r="Q64" s="221"/>
      <c r="R64" s="221"/>
      <c r="S64" s="221"/>
      <c r="T64" s="221"/>
      <c r="U64" s="221"/>
      <c r="V64" s="221"/>
      <c r="W64" s="221"/>
      <c r="X64" s="221"/>
      <c r="Y64" s="222"/>
      <c r="Z64" s="222"/>
      <c r="AA64" s="222"/>
      <c r="AB64" s="222"/>
      <c r="AC64" s="222"/>
      <c r="AD64" s="222"/>
      <c r="AE64" s="222"/>
      <c r="AF64" s="222"/>
      <c r="AG64" s="222"/>
      <c r="AH64" s="222"/>
      <c r="AI64" s="222"/>
      <c r="AJ64" s="222">
        <f>AJ58+AJ59-AJ62+'Mercado Distribuição (Pré CP09)'!AJ114</f>
        <v>211995.49734399992</v>
      </c>
      <c r="AK64" s="222">
        <f>AK58+AK59-AK62+'Mercado Distribuição (Pré CP09)'!AK114</f>
        <v>220722.510358</v>
      </c>
      <c r="AL64" s="222">
        <f>AL58+AL59-AL62+'Mercado Distribuição (Pré CP09)'!AL114</f>
        <v>254592.945525294</v>
      </c>
      <c r="AM64" s="222">
        <f>AM58+AM59-AM62+'Mercado Distribuição (Pré CP09)'!AM114</f>
        <v>274566.90979909507</v>
      </c>
      <c r="AN64" s="222">
        <f>AN58+AN59-AN62+'Mercado Distribuição (Pré CP09)'!AN114</f>
        <v>236485.85795613274</v>
      </c>
      <c r="AO64" s="222">
        <f>AO58+AO59-AO62+'Mercado Distribuição (Pré CP09)'!AO114</f>
        <v>229099.37306337798</v>
      </c>
      <c r="AP64" s="222">
        <f>AP58+AP59-AP62+'Mercado Distribuição (Pré CP09)'!AP114</f>
        <v>263267.88915632549</v>
      </c>
      <c r="AQ64" s="222">
        <f>AQ58+AQ59-AQ62+'Mercado Distribuição (Pré CP09)'!AQ114</f>
        <v>223035.56345473079</v>
      </c>
      <c r="AR64" s="222">
        <f>AR58+AR59-AR62+'Mercado Distribuição (Pré CP09)'!AR114</f>
        <v>196869.01711268863</v>
      </c>
      <c r="AS64" s="222">
        <f>AS58+AS59-AS62+'Mercado Distribuição (Pré CP09)'!AS114</f>
        <v>210713.04872337542</v>
      </c>
      <c r="AT64" s="222">
        <f>AT58+AT59-AT62+'Mercado Distribuição (Pré CP09)'!AT114</f>
        <v>215316.35197315179</v>
      </c>
      <c r="AU64" s="222">
        <f>AU58+AU59-AU62+'Mercado Distribuição (Pré CP09)'!AU114</f>
        <v>221105.73985575599</v>
      </c>
      <c r="AV64" s="222">
        <f>AV58+AV59-AV62+'Mercado Distribuição (Pré CP09)'!AV114</f>
        <v>168569.38502608897</v>
      </c>
      <c r="AW64" s="222">
        <f>AW58+AW59-AW62+'Mercado Distribuição (Pré CP09)'!AW114</f>
        <v>174524.59096507693</v>
      </c>
      <c r="AX64" s="222">
        <f>AX58+AX59-AX62+'Mercado Distribuição (Pré CP09)'!AX114</f>
        <v>181169.55932408699</v>
      </c>
      <c r="AY64" s="222">
        <f>AY58+AY59-AY62+'Mercado Distribuição (Pré CP09)'!AY114</f>
        <v>171407.07094504597</v>
      </c>
      <c r="AZ64" s="222">
        <f>AZ58+AZ59-AZ62+'Mercado Distribuição (Pré CP09)'!AZ114</f>
        <v>129050.80553819571</v>
      </c>
      <c r="BA64" s="222">
        <f>BA58+BA59-BA62+'Mercado Distribuição (Pré CP09)'!BA114</f>
        <v>143148.75409240299</v>
      </c>
      <c r="BB64" s="222">
        <f>BB58+BB59-BB62+'Mercado Distribuição (Pré CP09)'!BB114</f>
        <v>159960.56991048995</v>
      </c>
    </row>
    <row r="65" spans="2:54" ht="15" customHeight="1">
      <c r="B65" s="200" t="s">
        <v>161</v>
      </c>
      <c r="C65" s="200" t="s">
        <v>162</v>
      </c>
      <c r="D65" s="200"/>
      <c r="E65" s="200"/>
      <c r="F65" s="200"/>
      <c r="G65" s="200"/>
      <c r="H65" s="200"/>
      <c r="I65" s="200"/>
      <c r="J65" s="200"/>
      <c r="K65" s="200"/>
      <c r="L65" s="200"/>
      <c r="M65" s="200"/>
      <c r="N65" s="200"/>
      <c r="O65" s="200"/>
      <c r="P65" s="200"/>
      <c r="Q65" s="200"/>
      <c r="R65" s="200"/>
      <c r="S65" s="200"/>
      <c r="T65" s="200"/>
      <c r="U65" s="200"/>
      <c r="V65" s="200"/>
      <c r="W65" s="200"/>
      <c r="X65" s="200"/>
      <c r="Y65" s="200"/>
      <c r="Z65" s="200"/>
      <c r="AA65" s="200"/>
      <c r="AB65" s="215"/>
      <c r="AC65" s="215"/>
      <c r="AD65" s="215"/>
      <c r="AE65" s="215"/>
      <c r="AF65" s="215"/>
      <c r="AG65" s="215"/>
      <c r="AH65" s="215"/>
      <c r="AI65" s="215"/>
      <c r="AJ65" s="215"/>
      <c r="AK65" s="215"/>
      <c r="AL65" s="215"/>
      <c r="AM65" s="215"/>
      <c r="AN65" s="215"/>
      <c r="AO65" s="215"/>
      <c r="AP65" s="215"/>
      <c r="AQ65" s="215"/>
      <c r="AR65" s="215"/>
      <c r="AS65" s="215"/>
      <c r="AT65" s="215"/>
      <c r="AU65" s="215"/>
      <c r="AV65" s="215"/>
      <c r="AW65" s="215"/>
      <c r="AX65" s="215"/>
      <c r="AY65" s="215"/>
      <c r="AZ65" s="215"/>
      <c r="BA65" s="215"/>
      <c r="BB65" s="215"/>
    </row>
    <row r="66" spans="2:54" ht="15" customHeight="1">
      <c r="AB66" s="218"/>
      <c r="AC66" s="218"/>
      <c r="AD66" s="218"/>
      <c r="AE66" s="218"/>
      <c r="AF66" s="218"/>
      <c r="AG66" s="218"/>
      <c r="AH66" s="218"/>
      <c r="AI66" s="218"/>
      <c r="AJ66" s="218"/>
      <c r="AK66" s="218"/>
      <c r="AL66" s="218"/>
      <c r="AM66" s="218"/>
      <c r="AN66" s="218"/>
      <c r="AO66" s="218"/>
      <c r="AP66" s="218"/>
      <c r="AQ66" s="218"/>
      <c r="AR66" s="218"/>
      <c r="AS66" s="218"/>
      <c r="AT66" s="218"/>
      <c r="AU66" s="218"/>
      <c r="AV66" s="218"/>
      <c r="AW66" s="218"/>
      <c r="AX66" s="218"/>
      <c r="AY66" s="218"/>
      <c r="AZ66" s="218"/>
      <c r="BA66" s="218"/>
      <c r="BB66" s="218"/>
    </row>
    <row r="67" spans="2:54" ht="15" customHeight="1">
      <c r="B67" s="439" t="s">
        <v>178</v>
      </c>
      <c r="C67" s="439" t="s">
        <v>179</v>
      </c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  <c r="AA67" s="107"/>
      <c r="AB67" s="107" t="str">
        <f>AB57</f>
        <v>1T19</v>
      </c>
      <c r="AC67" s="107" t="s">
        <v>64</v>
      </c>
      <c r="AD67" s="107" t="s">
        <v>65</v>
      </c>
      <c r="AE67" s="107" t="s">
        <v>66</v>
      </c>
      <c r="AF67" s="107" t="str">
        <f t="shared" ref="AF67:BB67" si="22">AF57</f>
        <v>1T20</v>
      </c>
      <c r="AG67" s="107" t="str">
        <f t="shared" si="22"/>
        <v>2T20</v>
      </c>
      <c r="AH67" s="107" t="str">
        <f t="shared" si="22"/>
        <v>3T20</v>
      </c>
      <c r="AI67" s="107" t="str">
        <f t="shared" si="22"/>
        <v>4T20</v>
      </c>
      <c r="AJ67" s="107" t="str">
        <f t="shared" si="22"/>
        <v>1T21</v>
      </c>
      <c r="AK67" s="107" t="str">
        <f t="shared" si="22"/>
        <v>2T21</v>
      </c>
      <c r="AL67" s="107" t="str">
        <f t="shared" si="22"/>
        <v>3T21</v>
      </c>
      <c r="AM67" s="107" t="str">
        <f t="shared" si="22"/>
        <v>4T21</v>
      </c>
      <c r="AN67" s="107" t="str">
        <f t="shared" si="22"/>
        <v>1T22</v>
      </c>
      <c r="AO67" s="107" t="str">
        <f t="shared" si="22"/>
        <v>2T22</v>
      </c>
      <c r="AP67" s="107" t="str">
        <f t="shared" si="22"/>
        <v>3T22</v>
      </c>
      <c r="AQ67" s="107" t="str">
        <f t="shared" si="22"/>
        <v>4T22</v>
      </c>
      <c r="AR67" s="107" t="str">
        <f t="shared" si="22"/>
        <v>1T23</v>
      </c>
      <c r="AS67" s="107" t="str">
        <f t="shared" si="22"/>
        <v>2T23</v>
      </c>
      <c r="AT67" s="107" t="str">
        <f t="shared" si="22"/>
        <v>3T23</v>
      </c>
      <c r="AU67" s="107" t="str">
        <f t="shared" si="22"/>
        <v>4T23</v>
      </c>
      <c r="AV67" s="107" t="str">
        <f t="shared" si="22"/>
        <v>1T24</v>
      </c>
      <c r="AW67" s="107" t="str">
        <f t="shared" si="22"/>
        <v>2T24</v>
      </c>
      <c r="AX67" s="107" t="str">
        <f t="shared" si="22"/>
        <v>3T24</v>
      </c>
      <c r="AY67" s="107" t="str">
        <f t="shared" si="22"/>
        <v>4T24</v>
      </c>
      <c r="AZ67" s="107" t="str">
        <f t="shared" si="22"/>
        <v>1T25</v>
      </c>
      <c r="BA67" s="107" t="str">
        <f t="shared" si="22"/>
        <v>2T25</v>
      </c>
      <c r="BB67" s="107" t="str">
        <f t="shared" si="22"/>
        <v>3T25</v>
      </c>
    </row>
    <row r="68" spans="2:54" ht="15" customHeight="1">
      <c r="B68" s="210" t="s">
        <v>147</v>
      </c>
      <c r="C68" s="210" t="s">
        <v>148</v>
      </c>
      <c r="D68" s="211"/>
      <c r="E68" s="211"/>
      <c r="F68" s="211"/>
      <c r="G68" s="211"/>
      <c r="H68" s="211"/>
      <c r="I68" s="211"/>
      <c r="J68" s="211"/>
      <c r="K68" s="211"/>
      <c r="L68" s="211"/>
      <c r="M68" s="211"/>
      <c r="N68" s="211"/>
      <c r="O68" s="211"/>
      <c r="P68" s="211"/>
      <c r="Q68" s="211"/>
      <c r="R68" s="211"/>
      <c r="S68" s="211"/>
      <c r="T68" s="211"/>
      <c r="U68" s="211"/>
      <c r="V68" s="211"/>
      <c r="W68" s="211"/>
      <c r="X68" s="211"/>
      <c r="Y68" s="201"/>
      <c r="Z68" s="201"/>
      <c r="AA68" s="201"/>
      <c r="AB68" s="201"/>
      <c r="AC68" s="201"/>
      <c r="AD68" s="201"/>
      <c r="AE68" s="201"/>
      <c r="AF68" s="201"/>
      <c r="AG68" s="201"/>
      <c r="AH68" s="201"/>
      <c r="AI68" s="201"/>
      <c r="AJ68" s="201"/>
      <c r="AK68" s="201"/>
      <c r="AL68" s="201"/>
      <c r="AM68" s="201">
        <v>4189336.1358500007</v>
      </c>
      <c r="AN68" s="201">
        <v>4063382.9286895012</v>
      </c>
      <c r="AO68" s="201">
        <v>4277441.3129559988</v>
      </c>
      <c r="AP68" s="201">
        <v>4385573.7333819997</v>
      </c>
      <c r="AQ68" s="201">
        <v>4252782.758032999</v>
      </c>
      <c r="AR68" s="201">
        <v>4125068.2600139999</v>
      </c>
      <c r="AS68" s="201">
        <v>4242406.0453049997</v>
      </c>
      <c r="AT68" s="201">
        <v>4568159</v>
      </c>
      <c r="AU68" s="201">
        <v>4898084.2577809999</v>
      </c>
      <c r="AV68" s="201">
        <v>4476285.9821620006</v>
      </c>
      <c r="AW68" s="201">
        <v>4606501.4476450002</v>
      </c>
      <c r="AX68" s="201">
        <v>4654395.3658360001</v>
      </c>
      <c r="AY68" s="201">
        <v>4477164.8357770005</v>
      </c>
      <c r="AZ68" s="201">
        <v>4370475.2528481996</v>
      </c>
      <c r="BA68" s="201">
        <v>4337577.6549453</v>
      </c>
      <c r="BB68" s="201">
        <v>4352262.0201890003</v>
      </c>
    </row>
    <row r="69" spans="2:54" ht="15" customHeight="1">
      <c r="B69" s="226" t="s">
        <v>149</v>
      </c>
      <c r="C69" s="212" t="s">
        <v>150</v>
      </c>
      <c r="D69" s="211"/>
      <c r="E69" s="211"/>
      <c r="F69" s="211"/>
      <c r="G69" s="211"/>
      <c r="H69" s="211"/>
      <c r="I69" s="211"/>
      <c r="J69" s="211"/>
      <c r="K69" s="211"/>
      <c r="L69" s="211"/>
      <c r="M69" s="211"/>
      <c r="N69" s="211"/>
      <c r="O69" s="211"/>
      <c r="P69" s="211"/>
      <c r="Q69" s="211"/>
      <c r="R69" s="211"/>
      <c r="S69" s="211"/>
      <c r="T69" s="211"/>
      <c r="U69" s="211"/>
      <c r="V69" s="211"/>
      <c r="W69" s="211"/>
      <c r="X69" s="211"/>
      <c r="Y69" s="201"/>
      <c r="Z69" s="201"/>
      <c r="AA69" s="201"/>
      <c r="AB69" s="201"/>
      <c r="AC69" s="201"/>
      <c r="AD69" s="201"/>
      <c r="AE69" s="201"/>
      <c r="AF69" s="201"/>
      <c r="AG69" s="201"/>
      <c r="AH69" s="201"/>
      <c r="AI69" s="201"/>
      <c r="AJ69" s="201"/>
      <c r="AK69" s="201"/>
      <c r="AL69" s="201"/>
      <c r="AM69" s="201">
        <v>121906.37914999999</v>
      </c>
      <c r="AN69" s="201">
        <v>148198.93817000001</v>
      </c>
      <c r="AO69" s="201">
        <v>159419.00109000003</v>
      </c>
      <c r="AP69" s="201">
        <v>180345</v>
      </c>
      <c r="AQ69" s="201">
        <v>226081.27370999998</v>
      </c>
      <c r="AR69" s="201">
        <v>247189.91177000001</v>
      </c>
      <c r="AS69" s="201">
        <v>292279.41599999997</v>
      </c>
      <c r="AT69" s="201">
        <v>313884</v>
      </c>
      <c r="AU69" s="201">
        <v>379290.17700000003</v>
      </c>
      <c r="AV69" s="201">
        <v>382567.13500000001</v>
      </c>
      <c r="AW69" s="201">
        <v>401769.34700000001</v>
      </c>
      <c r="AX69" s="201">
        <v>474131.22477999999</v>
      </c>
      <c r="AY69" s="201">
        <f>543.24403523*1000</f>
        <v>543244.03523000004</v>
      </c>
      <c r="AZ69" s="201">
        <v>550210.64900059998</v>
      </c>
      <c r="BA69" s="201">
        <v>718155.66799999995</v>
      </c>
      <c r="BB69" s="201">
        <v>849378.38098000002</v>
      </c>
    </row>
    <row r="70" spans="2:54" ht="15" customHeight="1">
      <c r="B70" s="656" t="s">
        <v>151</v>
      </c>
      <c r="C70" s="656" t="s">
        <v>152</v>
      </c>
      <c r="D70" s="651"/>
      <c r="E70" s="651"/>
      <c r="F70" s="651"/>
      <c r="G70" s="651"/>
      <c r="H70" s="651"/>
      <c r="I70" s="651"/>
      <c r="J70" s="651"/>
      <c r="K70" s="651"/>
      <c r="L70" s="651"/>
      <c r="M70" s="651"/>
      <c r="N70" s="651"/>
      <c r="O70" s="651"/>
      <c r="P70" s="651"/>
      <c r="Q70" s="651"/>
      <c r="R70" s="651"/>
      <c r="S70" s="651"/>
      <c r="T70" s="651"/>
      <c r="U70" s="651"/>
      <c r="V70" s="651"/>
      <c r="W70" s="651"/>
      <c r="X70" s="651"/>
      <c r="Y70" s="651"/>
      <c r="Z70" s="651"/>
      <c r="AA70" s="651"/>
      <c r="AB70" s="651"/>
      <c r="AC70" s="651"/>
      <c r="AD70" s="651"/>
      <c r="AE70" s="651"/>
      <c r="AF70" s="651"/>
      <c r="AG70" s="651"/>
      <c r="AH70" s="651"/>
      <c r="AI70" s="651"/>
      <c r="AJ70" s="651"/>
      <c r="AK70" s="651"/>
      <c r="AL70" s="651"/>
      <c r="AM70" s="651">
        <f t="shared" ref="AM70:AU70" si="23">+SUM(AM68:AM69)</f>
        <v>4311242.5150000006</v>
      </c>
      <c r="AN70" s="651">
        <f t="shared" si="23"/>
        <v>4211581.8668595012</v>
      </c>
      <c r="AO70" s="651">
        <f t="shared" si="23"/>
        <v>4436860.3140459992</v>
      </c>
      <c r="AP70" s="651">
        <f t="shared" si="23"/>
        <v>4565918.7333819997</v>
      </c>
      <c r="AQ70" s="651">
        <f t="shared" si="23"/>
        <v>4478864.0317429993</v>
      </c>
      <c r="AR70" s="651">
        <f t="shared" si="23"/>
        <v>4372258.1717839995</v>
      </c>
      <c r="AS70" s="651">
        <f t="shared" si="23"/>
        <v>4534685.4613049999</v>
      </c>
      <c r="AT70" s="651">
        <f t="shared" si="23"/>
        <v>4882043</v>
      </c>
      <c r="AU70" s="651">
        <f t="shared" si="23"/>
        <v>5277374.434781</v>
      </c>
      <c r="AV70" s="651">
        <f>+SUM(AV68:AV69)</f>
        <v>4858853.1171620004</v>
      </c>
      <c r="AW70" s="651">
        <f>+SUM(AW68:AW69)</f>
        <v>5008270.7946450002</v>
      </c>
      <c r="AX70" s="651">
        <f>SUM(AX68:AX69)</f>
        <v>5128526.5906159999</v>
      </c>
      <c r="AY70" s="651">
        <f>SUM(AY68:AY69)</f>
        <v>5020408.871007001</v>
      </c>
      <c r="AZ70" s="651">
        <f>SUM(AZ68:AZ69)</f>
        <v>4920685.9018487995</v>
      </c>
      <c r="BA70" s="651">
        <f>SUM(BA68:BA69)</f>
        <v>5055733.3229452996</v>
      </c>
      <c r="BB70" s="651">
        <f>SUM(BB68:BB69)</f>
        <v>5201640.4011690002</v>
      </c>
    </row>
    <row r="71" spans="2:54" ht="15" customHeight="1">
      <c r="B71" s="200" t="s">
        <v>153</v>
      </c>
      <c r="C71" s="200" t="s">
        <v>154</v>
      </c>
      <c r="D71" s="211"/>
      <c r="E71" s="211"/>
      <c r="F71" s="211"/>
      <c r="G71" s="211"/>
      <c r="H71" s="211"/>
      <c r="I71" s="211"/>
      <c r="J71" s="211"/>
      <c r="K71" s="211"/>
      <c r="L71" s="211"/>
      <c r="M71" s="211"/>
      <c r="N71" s="211"/>
      <c r="O71" s="211"/>
      <c r="P71" s="211"/>
      <c r="Q71" s="211"/>
      <c r="R71" s="211"/>
      <c r="S71" s="211"/>
      <c r="T71" s="211"/>
      <c r="U71" s="211"/>
      <c r="V71" s="211"/>
      <c r="W71" s="211"/>
      <c r="X71" s="211"/>
      <c r="Y71" s="211"/>
      <c r="Z71" s="211"/>
      <c r="AA71" s="211"/>
      <c r="AB71" s="211"/>
      <c r="AC71" s="211"/>
      <c r="AD71" s="211"/>
      <c r="AE71" s="211"/>
      <c r="AF71" s="211"/>
      <c r="AG71" s="211"/>
      <c r="AH71" s="211"/>
      <c r="AI71" s="211"/>
      <c r="AJ71" s="211"/>
      <c r="AK71" s="211"/>
      <c r="AL71" s="211"/>
      <c r="AM71" s="211">
        <v>3969455.4773200005</v>
      </c>
      <c r="AN71" s="219">
        <v>3646657.2260999996</v>
      </c>
      <c r="AO71" s="219">
        <v>3880833.4598580003</v>
      </c>
      <c r="AP71" s="211">
        <v>3957529.707043</v>
      </c>
      <c r="AQ71" s="211">
        <v>4055387.0291590006</v>
      </c>
      <c r="AR71" s="219">
        <v>3769668.0268650004</v>
      </c>
      <c r="AS71" s="219">
        <v>4030556.8471339997</v>
      </c>
      <c r="AT71" s="219">
        <v>4155894.6289340006</v>
      </c>
      <c r="AU71" s="219">
        <v>4743608.9314401792</v>
      </c>
      <c r="AV71" s="219">
        <v>4328400.7415645905</v>
      </c>
      <c r="AW71" s="219">
        <v>4470757.6079561012</v>
      </c>
      <c r="AX71" s="219">
        <v>4493413.0380689492</v>
      </c>
      <c r="AY71" s="219">
        <v>4719155.3828410003</v>
      </c>
      <c r="AZ71" s="219">
        <v>4451037.4316739999</v>
      </c>
      <c r="BA71" s="219">
        <v>4595773.7351890001</v>
      </c>
      <c r="BB71" s="219">
        <v>4562950.4480590001</v>
      </c>
    </row>
    <row r="72" spans="2:54" ht="15" customHeight="1">
      <c r="B72" s="200" t="s">
        <v>155</v>
      </c>
      <c r="C72" s="200" t="s">
        <v>156</v>
      </c>
      <c r="D72" s="211"/>
      <c r="E72" s="211"/>
      <c r="F72" s="211"/>
      <c r="G72" s="211"/>
      <c r="H72" s="211"/>
      <c r="I72" s="211"/>
      <c r="J72" s="211"/>
      <c r="K72" s="211"/>
      <c r="L72" s="211"/>
      <c r="M72" s="211"/>
      <c r="N72" s="211"/>
      <c r="O72" s="211"/>
      <c r="P72" s="211"/>
      <c r="Q72" s="211"/>
      <c r="R72" s="211"/>
      <c r="S72" s="211"/>
      <c r="T72" s="211"/>
      <c r="U72" s="211"/>
      <c r="V72" s="211"/>
      <c r="W72" s="211"/>
      <c r="X72" s="211"/>
      <c r="Y72" s="211"/>
      <c r="Z72" s="211"/>
      <c r="AA72" s="211"/>
      <c r="AB72" s="211"/>
      <c r="AC72" s="211"/>
      <c r="AD72" s="211"/>
      <c r="AE72" s="211"/>
      <c r="AF72" s="211"/>
      <c r="AG72" s="211"/>
      <c r="AH72" s="211"/>
      <c r="AI72" s="211"/>
      <c r="AJ72" s="211"/>
      <c r="AK72" s="211"/>
      <c r="AL72" s="211"/>
      <c r="AM72" s="219">
        <v>1864.0644800000002</v>
      </c>
      <c r="AN72" s="219">
        <v>2140.9533569999999</v>
      </c>
      <c r="AO72" s="219">
        <v>2536.526237</v>
      </c>
      <c r="AP72" s="219">
        <v>2649.0252799999998</v>
      </c>
      <c r="AQ72" s="219">
        <v>2533.7059949999998</v>
      </c>
      <c r="AR72" s="219">
        <v>2544.739075</v>
      </c>
      <c r="AS72" s="219">
        <v>2790.492949</v>
      </c>
      <c r="AT72" s="219">
        <v>3064.3879999999999</v>
      </c>
      <c r="AU72" s="219">
        <v>2926.55</v>
      </c>
      <c r="AV72" s="219">
        <v>5759.33</v>
      </c>
      <c r="AW72" s="219">
        <v>2898.64</v>
      </c>
      <c r="AX72" s="219">
        <v>3347.69</v>
      </c>
      <c r="AY72" s="219">
        <v>3266.5562369999998</v>
      </c>
      <c r="AZ72" s="219">
        <v>3212.4917049999999</v>
      </c>
      <c r="BA72" s="219">
        <v>1285.336609</v>
      </c>
      <c r="BB72" s="219">
        <v>1912.300117</v>
      </c>
    </row>
    <row r="73" spans="2:54" ht="15" customHeight="1">
      <c r="B73" s="200" t="s">
        <v>157</v>
      </c>
      <c r="C73" s="200" t="s">
        <v>158</v>
      </c>
      <c r="D73" s="211"/>
      <c r="E73" s="211"/>
      <c r="F73" s="211"/>
      <c r="G73" s="211"/>
      <c r="H73" s="211"/>
      <c r="I73" s="211"/>
      <c r="J73" s="211"/>
      <c r="K73" s="211"/>
      <c r="L73" s="211"/>
      <c r="M73" s="211"/>
      <c r="N73" s="211"/>
      <c r="O73" s="211"/>
      <c r="P73" s="211"/>
      <c r="Q73" s="211"/>
      <c r="R73" s="211"/>
      <c r="S73" s="211"/>
      <c r="T73" s="211"/>
      <c r="U73" s="211"/>
      <c r="V73" s="211"/>
      <c r="W73" s="211"/>
      <c r="X73" s="211"/>
      <c r="Y73" s="219"/>
      <c r="Z73" s="219"/>
      <c r="AA73" s="219"/>
      <c r="AB73" s="219"/>
      <c r="AC73" s="219"/>
      <c r="AD73" s="219"/>
      <c r="AE73" s="219"/>
      <c r="AF73" s="219"/>
      <c r="AG73" s="219"/>
      <c r="AH73" s="219"/>
      <c r="AI73" s="219"/>
      <c r="AJ73" s="219"/>
      <c r="AK73" s="219"/>
      <c r="AL73" s="219"/>
      <c r="AM73" s="219">
        <f t="shared" ref="AM73:BA73" si="24">+AM70-AM71-AM72</f>
        <v>339922.97320000007</v>
      </c>
      <c r="AN73" s="219">
        <f t="shared" si="24"/>
        <v>562783.68740250159</v>
      </c>
      <c r="AO73" s="219">
        <f t="shared" si="24"/>
        <v>553490.32795099891</v>
      </c>
      <c r="AP73" s="219">
        <f t="shared" si="24"/>
        <v>605740.00105899968</v>
      </c>
      <c r="AQ73" s="219">
        <f t="shared" si="24"/>
        <v>420943.2965889987</v>
      </c>
      <c r="AR73" s="219">
        <f t="shared" si="24"/>
        <v>600045.40584399912</v>
      </c>
      <c r="AS73" s="219">
        <f t="shared" si="24"/>
        <v>501338.12122200022</v>
      </c>
      <c r="AT73" s="219">
        <f t="shared" si="24"/>
        <v>723083.98306599935</v>
      </c>
      <c r="AU73" s="219">
        <f t="shared" si="24"/>
        <v>530838.95334082074</v>
      </c>
      <c r="AV73" s="219">
        <f t="shared" si="24"/>
        <v>524693.04559740995</v>
      </c>
      <c r="AW73" s="219">
        <f t="shared" si="24"/>
        <v>534614.54668889905</v>
      </c>
      <c r="AX73" s="219">
        <f t="shared" si="24"/>
        <v>631765.8625470507</v>
      </c>
      <c r="AY73" s="219">
        <f t="shared" si="24"/>
        <v>297986.93192900071</v>
      </c>
      <c r="AZ73" s="219">
        <f t="shared" si="24"/>
        <v>466435.97846979968</v>
      </c>
      <c r="BA73" s="219">
        <f t="shared" si="24"/>
        <v>458674.25114729942</v>
      </c>
      <c r="BB73" s="219">
        <f>+BB70-BB71-BB72</f>
        <v>636777.65299300011</v>
      </c>
    </row>
    <row r="74" spans="2:54" ht="15" customHeight="1">
      <c r="B74" s="220" t="s">
        <v>159</v>
      </c>
      <c r="C74" s="216" t="s">
        <v>160</v>
      </c>
      <c r="D74" s="221"/>
      <c r="E74" s="221"/>
      <c r="F74" s="221"/>
      <c r="G74" s="221"/>
      <c r="H74" s="221"/>
      <c r="I74" s="221"/>
      <c r="J74" s="221"/>
      <c r="K74" s="221"/>
      <c r="L74" s="221"/>
      <c r="M74" s="221"/>
      <c r="N74" s="221"/>
      <c r="O74" s="221"/>
      <c r="P74" s="221"/>
      <c r="Q74" s="221"/>
      <c r="R74" s="221"/>
      <c r="S74" s="221"/>
      <c r="T74" s="221"/>
      <c r="U74" s="221"/>
      <c r="V74" s="221"/>
      <c r="W74" s="221"/>
      <c r="X74" s="221"/>
      <c r="Y74" s="222"/>
      <c r="Z74" s="222"/>
      <c r="AA74" s="222"/>
      <c r="AB74" s="222"/>
      <c r="AC74" s="222"/>
      <c r="AD74" s="222"/>
      <c r="AE74" s="222"/>
      <c r="AF74" s="222"/>
      <c r="AG74" s="222"/>
      <c r="AH74" s="222"/>
      <c r="AI74" s="222"/>
      <c r="AJ74" s="222"/>
      <c r="AK74" s="222"/>
      <c r="AL74" s="222"/>
      <c r="AM74" s="222">
        <f>AM68-AM71-AM72+'Mercado Distribuição (Pré CP09)'!AM132</f>
        <v>322342.02205000044</v>
      </c>
      <c r="AN74" s="222">
        <f>AN68-AN71-AN72+'Mercado Distribuição (Pré CP09)'!AN132</f>
        <v>535310.85823250178</v>
      </c>
      <c r="AO74" s="222">
        <f>AO68-AO71-AO72+'Mercado Distribuição (Pré CP09)'!AO132</f>
        <v>529723.29486099887</v>
      </c>
      <c r="AP74" s="222">
        <f>AP68-AP71-AP72+'Mercado Distribuição (Pré CP09)'!AP132</f>
        <v>569617.0330589998</v>
      </c>
      <c r="AQ74" s="222">
        <f>AQ68-AQ71-AQ72+'Mercado Distribuição (Pré CP09)'!AQ132</f>
        <v>382934.73387899855</v>
      </c>
      <c r="AR74" s="222">
        <f>AR68-AR71-AR72+'Mercado Distribuição (Pré CP09)'!AR132</f>
        <v>550517.64407399949</v>
      </c>
      <c r="AS74" s="222">
        <f>AS68-AS71-AS72+'Mercado Distribuição (Pré CP09)'!AS132</f>
        <v>440154.02122200013</v>
      </c>
      <c r="AT74" s="222">
        <f>AT68-AT71-AT72+'Mercado Distribuição (Pré CP09)'!AT132</f>
        <v>669662.63506600005</v>
      </c>
      <c r="AU74" s="222">
        <f>AU68-AU71-AU72+'Mercado Distribuição (Pré CP09)'!AU132</f>
        <v>487137.73234082042</v>
      </c>
      <c r="AV74" s="222">
        <f>AV68-AV71-AV72+'Mercado Distribuição (Pré CP09)'!AV132</f>
        <v>462039.8675974115</v>
      </c>
      <c r="AW74" s="222">
        <f>AW68-AW71-AW72+'Mercado Distribuição (Pré CP09)'!AW132</f>
        <v>462575.86168889893</v>
      </c>
      <c r="AX74" s="222">
        <f>AX68-AX71-AX72+'Mercado Distribuição (Pré CP09)'!AX132</f>
        <v>507401.86476705107</v>
      </c>
      <c r="AY74" s="222">
        <f>AY68-AY71-AY72+'Mercado Distribuição (Pré CP09)'!AY132</f>
        <v>175381.99669900016</v>
      </c>
      <c r="AZ74" s="222">
        <f>AZ68-AZ71-AZ72+'Mercado Distribuição (Pré CP09)'!AZ132</f>
        <v>343070.4964692003</v>
      </c>
      <c r="BA74" s="222">
        <f>BA68-BA71-BA72+'Mercado Distribuição (Pré CP09)'!BA132</f>
        <v>246137.36114730051</v>
      </c>
      <c r="BB74" s="222">
        <f>BB68-BB71-BB72+'Mercado Distribuição (Pré CP09)'!BB132</f>
        <v>311072.84501300025</v>
      </c>
    </row>
    <row r="75" spans="2:54" ht="15" customHeight="1">
      <c r="B75" s="200" t="s">
        <v>161</v>
      </c>
      <c r="C75" s="200" t="s">
        <v>162</v>
      </c>
      <c r="D75" s="200"/>
      <c r="E75" s="200"/>
      <c r="F75" s="200"/>
      <c r="G75" s="200"/>
      <c r="H75" s="200"/>
      <c r="I75" s="200"/>
      <c r="J75" s="200"/>
      <c r="K75" s="200"/>
      <c r="L75" s="200"/>
      <c r="M75" s="200"/>
      <c r="N75" s="200"/>
      <c r="O75" s="200"/>
      <c r="P75" s="200"/>
      <c r="Q75" s="200"/>
      <c r="R75" s="200"/>
      <c r="S75" s="200"/>
      <c r="T75" s="200"/>
      <c r="U75" s="200"/>
      <c r="V75" s="200"/>
      <c r="W75" s="200"/>
      <c r="X75" s="200"/>
      <c r="Y75" s="200"/>
      <c r="Z75" s="200"/>
      <c r="AA75" s="200"/>
      <c r="AB75" s="215"/>
      <c r="AC75" s="215"/>
      <c r="AD75" s="215"/>
      <c r="AE75" s="215"/>
      <c r="AF75" s="215"/>
      <c r="AG75" s="215"/>
      <c r="AH75" s="215"/>
      <c r="AI75" s="215"/>
      <c r="AJ75" s="215"/>
      <c r="AK75" s="215"/>
      <c r="AL75" s="215"/>
      <c r="AM75" s="215"/>
      <c r="AN75" s="215"/>
      <c r="AO75" s="215"/>
      <c r="AP75" s="215"/>
      <c r="AQ75" s="215"/>
      <c r="AR75" s="215"/>
      <c r="AS75" s="215"/>
      <c r="AT75" s="215"/>
      <c r="AU75" s="215"/>
      <c r="AV75" s="215"/>
      <c r="AW75" s="215"/>
      <c r="AX75" s="215"/>
      <c r="AY75" s="215"/>
      <c r="AZ75" s="215"/>
      <c r="BA75" s="215"/>
      <c r="BB75" s="215"/>
    </row>
    <row r="76" spans="2:54" ht="15" customHeight="1">
      <c r="AB76" s="218"/>
      <c r="AC76" s="218"/>
      <c r="AD76" s="218"/>
      <c r="AE76" s="218"/>
      <c r="AF76" s="218"/>
      <c r="AG76" s="218"/>
      <c r="AH76" s="218"/>
      <c r="AI76" s="218"/>
      <c r="AJ76" s="218"/>
      <c r="AK76" s="218"/>
      <c r="AL76" s="218"/>
      <c r="AM76" s="218"/>
      <c r="AN76" s="218"/>
      <c r="AO76" s="218"/>
      <c r="AP76" s="218"/>
      <c r="AQ76" s="218"/>
      <c r="AR76" s="218"/>
      <c r="AS76" s="218"/>
      <c r="AT76" s="218"/>
      <c r="AU76" s="218"/>
      <c r="AV76" s="218"/>
      <c r="AW76" s="218"/>
      <c r="AX76" s="218"/>
      <c r="AY76" s="218"/>
      <c r="AZ76" s="218"/>
      <c r="BA76" s="218"/>
      <c r="BB76" s="218"/>
    </row>
    <row r="77" spans="2:54" ht="15" customHeight="1">
      <c r="B77" s="439" t="s">
        <v>180</v>
      </c>
      <c r="C77" s="439" t="s">
        <v>181</v>
      </c>
      <c r="D77" s="107" t="s">
        <v>39</v>
      </c>
      <c r="E77" s="107" t="s">
        <v>40</v>
      </c>
      <c r="F77" s="107" t="s">
        <v>41</v>
      </c>
      <c r="G77" s="107" t="s">
        <v>42</v>
      </c>
      <c r="H77" s="107" t="s">
        <v>43</v>
      </c>
      <c r="I77" s="107" t="s">
        <v>44</v>
      </c>
      <c r="J77" s="107" t="s">
        <v>45</v>
      </c>
      <c r="K77" s="107" t="s">
        <v>46</v>
      </c>
      <c r="L77" s="107" t="s">
        <v>47</v>
      </c>
      <c r="M77" s="107" t="s">
        <v>48</v>
      </c>
      <c r="N77" s="107" t="s">
        <v>49</v>
      </c>
      <c r="O77" s="107" t="s">
        <v>50</v>
      </c>
      <c r="P77" s="107" t="s">
        <v>51</v>
      </c>
      <c r="Q77" s="107" t="s">
        <v>52</v>
      </c>
      <c r="R77" s="107" t="s">
        <v>53</v>
      </c>
      <c r="S77" s="107" t="s">
        <v>54</v>
      </c>
      <c r="T77" s="107" t="s">
        <v>55</v>
      </c>
      <c r="U77" s="107" t="s">
        <v>56</v>
      </c>
      <c r="V77" s="107" t="s">
        <v>57</v>
      </c>
      <c r="W77" s="107" t="s">
        <v>58</v>
      </c>
      <c r="X77" s="107" t="s">
        <v>59</v>
      </c>
      <c r="Y77" s="107" t="s">
        <v>60</v>
      </c>
      <c r="Z77" s="107" t="s">
        <v>61</v>
      </c>
      <c r="AA77" s="107" t="s">
        <v>62</v>
      </c>
      <c r="AB77" s="107" t="str">
        <f>AB57</f>
        <v>1T19</v>
      </c>
      <c r="AC77" s="107" t="s">
        <v>64</v>
      </c>
      <c r="AD77" s="107" t="s">
        <v>65</v>
      </c>
      <c r="AE77" s="107" t="s">
        <v>66</v>
      </c>
      <c r="AF77" s="107" t="str">
        <f t="shared" ref="AF77:AM77" si="25">AF57</f>
        <v>1T20</v>
      </c>
      <c r="AG77" s="107" t="str">
        <f t="shared" si="25"/>
        <v>2T20</v>
      </c>
      <c r="AH77" s="107" t="str">
        <f t="shared" si="25"/>
        <v>3T20</v>
      </c>
      <c r="AI77" s="107" t="str">
        <f t="shared" si="25"/>
        <v>4T20</v>
      </c>
      <c r="AJ77" s="107" t="str">
        <f t="shared" si="25"/>
        <v>1T21</v>
      </c>
      <c r="AK77" s="107" t="str">
        <f t="shared" si="25"/>
        <v>2T21</v>
      </c>
      <c r="AL77" s="107" t="str">
        <f t="shared" si="25"/>
        <v>3T21</v>
      </c>
      <c r="AM77" s="107" t="str">
        <f t="shared" si="25"/>
        <v>4T21</v>
      </c>
      <c r="AN77" s="107" t="str">
        <f>AN57</f>
        <v>1T22</v>
      </c>
      <c r="AO77" s="107" t="str">
        <f>AO57</f>
        <v>2T22</v>
      </c>
      <c r="AP77" s="107" t="str">
        <f>AP57</f>
        <v>3T22</v>
      </c>
      <c r="AQ77" s="107" t="str">
        <f>AQ57</f>
        <v>4T22</v>
      </c>
      <c r="AR77" s="107" t="str">
        <f>AR57</f>
        <v>1T23</v>
      </c>
      <c r="AS77" s="107" t="str">
        <f>$AS$6</f>
        <v>2T23</v>
      </c>
      <c r="AT77" s="107" t="str">
        <f>$AT$6</f>
        <v>3T23</v>
      </c>
      <c r="AU77" s="107" t="str">
        <f>$AU$6</f>
        <v>4T23</v>
      </c>
      <c r="AV77" s="107" t="str">
        <f>$AV$6</f>
        <v>1T24</v>
      </c>
      <c r="AW77" s="107" t="str">
        <f>$AW$6</f>
        <v>2T24</v>
      </c>
      <c r="AX77" s="107" t="str">
        <f>$AX$6</f>
        <v>3T24</v>
      </c>
      <c r="AY77" s="107" t="str">
        <f>$AY$6</f>
        <v>4T24</v>
      </c>
      <c r="AZ77" s="107" t="str">
        <f>$AZ$6</f>
        <v>1T25</v>
      </c>
      <c r="BA77" s="107" t="str">
        <f>$BA$6</f>
        <v>2T25</v>
      </c>
      <c r="BB77" s="107" t="s">
        <v>2074</v>
      </c>
    </row>
    <row r="78" spans="2:54" ht="15" customHeight="1">
      <c r="B78" s="210" t="s">
        <v>147</v>
      </c>
      <c r="C78" s="210" t="s">
        <v>148</v>
      </c>
      <c r="D78" s="211"/>
      <c r="E78" s="211"/>
      <c r="F78" s="211"/>
      <c r="G78" s="211"/>
      <c r="H78" s="211"/>
      <c r="I78" s="211"/>
      <c r="J78" s="211"/>
      <c r="K78" s="211"/>
      <c r="L78" s="211"/>
      <c r="M78" s="211"/>
      <c r="N78" s="211"/>
      <c r="O78" s="211"/>
      <c r="P78" s="211"/>
      <c r="Q78" s="211"/>
      <c r="R78" s="211"/>
      <c r="S78" s="211"/>
      <c r="T78" s="211"/>
      <c r="U78" s="211"/>
      <c r="V78" s="211"/>
      <c r="W78" s="211"/>
      <c r="X78" s="211"/>
      <c r="Y78" s="201"/>
      <c r="Z78" s="201"/>
      <c r="AA78" s="201"/>
      <c r="AB78" s="201">
        <f t="shared" ref="AB78:AP78" si="26">AB58+AB48+AB38+AB28+AB17+AB7+AB68</f>
        <v>7006848.719459814</v>
      </c>
      <c r="AC78" s="201">
        <f t="shared" si="26"/>
        <v>7249284.4277673122</v>
      </c>
      <c r="AD78" s="201">
        <f t="shared" si="26"/>
        <v>7583922.5641304916</v>
      </c>
      <c r="AE78" s="201">
        <f t="shared" si="26"/>
        <v>8020201.4367902614</v>
      </c>
      <c r="AF78" s="201">
        <f t="shared" si="26"/>
        <v>7227783.7951580547</v>
      </c>
      <c r="AG78" s="201">
        <f t="shared" si="26"/>
        <v>7077081.4373269156</v>
      </c>
      <c r="AH78" s="201">
        <f t="shared" si="26"/>
        <v>10009478.315886188</v>
      </c>
      <c r="AI78" s="201">
        <f t="shared" si="26"/>
        <v>11122909.403241601</v>
      </c>
      <c r="AJ78" s="201">
        <f t="shared" si="26"/>
        <v>10608218.897393309</v>
      </c>
      <c r="AK78" s="201">
        <f t="shared" si="26"/>
        <v>10389369.069014225</v>
      </c>
      <c r="AL78" s="201">
        <f t="shared" si="26"/>
        <v>10717990.112050647</v>
      </c>
      <c r="AM78" s="201">
        <f t="shared" si="26"/>
        <v>15347344.855835045</v>
      </c>
      <c r="AN78" s="201">
        <f t="shared" si="26"/>
        <v>14751032.368813038</v>
      </c>
      <c r="AO78" s="201">
        <f t="shared" si="26"/>
        <v>14607600.776199583</v>
      </c>
      <c r="AP78" s="201">
        <f t="shared" si="26"/>
        <v>15171582.004758639</v>
      </c>
      <c r="AQ78" s="201">
        <f>AQ58+AQ48+AQ38+AQ28+AQ17+AQ7+AQ68</f>
        <v>15469240.986467335</v>
      </c>
      <c r="AR78" s="201">
        <f>AR58+AR48+AR38+AR28+AR17+AR7+AR68</f>
        <v>15013620.546701513</v>
      </c>
      <c r="AS78" s="201">
        <f>AS58+AS48+AS38+AS28+AS17+AS7+AS68</f>
        <v>14952382.600570917</v>
      </c>
      <c r="AT78" s="201">
        <f>AT58+AT48+AT38+AT28+AT17+AT7+AT68</f>
        <v>15876794.993988961</v>
      </c>
      <c r="AU78" s="201">
        <v>16928702.463582434</v>
      </c>
      <c r="AV78" s="201">
        <v>16239499.785872584</v>
      </c>
      <c r="AW78" s="201">
        <f t="shared" ref="AW78:BB78" si="27">AW58+AW48+AW38+AW28+AW17+AW7+AW68</f>
        <v>15870624.975910306</v>
      </c>
      <c r="AX78" s="201">
        <f t="shared" si="27"/>
        <v>16242848.630664019</v>
      </c>
      <c r="AY78" s="201">
        <f t="shared" si="27"/>
        <v>16729708.402222268</v>
      </c>
      <c r="AZ78" s="201">
        <f t="shared" si="27"/>
        <v>15982526.911971316</v>
      </c>
      <c r="BA78" s="201">
        <f t="shared" si="27"/>
        <v>15831250.740945943</v>
      </c>
      <c r="BB78" s="201">
        <f t="shared" si="27"/>
        <v>16062302.207693271</v>
      </c>
    </row>
    <row r="79" spans="2:54" ht="15" customHeight="1">
      <c r="B79" s="210" t="s">
        <v>165</v>
      </c>
      <c r="C79" s="210" t="s">
        <v>176</v>
      </c>
      <c r="D79" s="211"/>
      <c r="E79" s="211"/>
      <c r="F79" s="211"/>
      <c r="G79" s="211"/>
      <c r="H79" s="211"/>
      <c r="I79" s="211"/>
      <c r="J79" s="211"/>
      <c r="K79" s="211"/>
      <c r="L79" s="211"/>
      <c r="M79" s="211"/>
      <c r="N79" s="211"/>
      <c r="O79" s="211"/>
      <c r="P79" s="211"/>
      <c r="Q79" s="211"/>
      <c r="R79" s="211"/>
      <c r="S79" s="211"/>
      <c r="T79" s="211"/>
      <c r="U79" s="211"/>
      <c r="V79" s="211"/>
      <c r="W79" s="211"/>
      <c r="X79" s="211"/>
      <c r="Y79" s="201"/>
      <c r="Z79" s="201"/>
      <c r="AA79" s="201"/>
      <c r="AB79" s="201">
        <f>AB59+AB18</f>
        <v>70159.918357000017</v>
      </c>
      <c r="AC79" s="201">
        <f t="shared" ref="AC79:AP79" si="28">AC59+AC18</f>
        <v>72084.386335999981</v>
      </c>
      <c r="AD79" s="201">
        <f t="shared" si="28"/>
        <v>78538.429994607824</v>
      </c>
      <c r="AE79" s="201">
        <f t="shared" si="28"/>
        <v>78508.03360155056</v>
      </c>
      <c r="AF79" s="201">
        <f t="shared" si="28"/>
        <v>74143.589719162919</v>
      </c>
      <c r="AG79" s="201">
        <f t="shared" si="28"/>
        <v>73493.287170605472</v>
      </c>
      <c r="AH79" s="201">
        <f t="shared" si="28"/>
        <v>88081.192773005067</v>
      </c>
      <c r="AI79" s="201">
        <f t="shared" si="28"/>
        <v>94821.696983727699</v>
      </c>
      <c r="AJ79" s="201">
        <f t="shared" si="28"/>
        <v>74536.720958719859</v>
      </c>
      <c r="AK79" s="201">
        <f t="shared" si="28"/>
        <v>80644.138620955346</v>
      </c>
      <c r="AL79" s="201">
        <f t="shared" si="28"/>
        <v>87250.489430001544</v>
      </c>
      <c r="AM79" s="201">
        <f t="shared" si="28"/>
        <v>89082.326990635353</v>
      </c>
      <c r="AN79" s="201">
        <f t="shared" si="28"/>
        <v>77113.6237321933</v>
      </c>
      <c r="AO79" s="201">
        <f t="shared" si="28"/>
        <v>78579.860698647186</v>
      </c>
      <c r="AP79" s="201">
        <f t="shared" si="28"/>
        <v>88958.769123850128</v>
      </c>
      <c r="AQ79" s="201">
        <f>AQ59+AQ18</f>
        <v>88543.324541993105</v>
      </c>
      <c r="AR79" s="201">
        <f>AR59+AR18</f>
        <v>85587.90992003151</v>
      </c>
      <c r="AS79" s="201">
        <f>AS59+AS18</f>
        <v>75322.759066136554</v>
      </c>
      <c r="AT79" s="201">
        <f>AT59+AT18</f>
        <v>78046.179152985118</v>
      </c>
      <c r="AU79" s="201">
        <v>82749.305889883108</v>
      </c>
      <c r="AV79" s="201">
        <v>74676.314593935997</v>
      </c>
      <c r="AW79" s="201">
        <f t="shared" ref="AW79:BB79" si="29">AW59+AW18</f>
        <v>83988.406583258198</v>
      </c>
      <c r="AX79" s="201">
        <f t="shared" si="29"/>
        <v>85519.998410998232</v>
      </c>
      <c r="AY79" s="201">
        <f t="shared" si="29"/>
        <v>89702.883067527087</v>
      </c>
      <c r="AZ79" s="201">
        <f t="shared" si="29"/>
        <v>82086.531862280041</v>
      </c>
      <c r="BA79" s="201">
        <f t="shared" si="29"/>
        <v>89736.329866881904</v>
      </c>
      <c r="BB79" s="201">
        <f t="shared" si="29"/>
        <v>93435.672644808699</v>
      </c>
    </row>
    <row r="80" spans="2:54" ht="15" customHeight="1">
      <c r="B80" s="226" t="s">
        <v>149</v>
      </c>
      <c r="C80" s="212" t="s">
        <v>150</v>
      </c>
      <c r="D80" s="211"/>
      <c r="E80" s="211"/>
      <c r="F80" s="211"/>
      <c r="G80" s="211"/>
      <c r="H80" s="211"/>
      <c r="I80" s="211"/>
      <c r="J80" s="211"/>
      <c r="K80" s="211"/>
      <c r="L80" s="211"/>
      <c r="M80" s="211"/>
      <c r="N80" s="211"/>
      <c r="O80" s="211"/>
      <c r="P80" s="211"/>
      <c r="Q80" s="211"/>
      <c r="R80" s="211"/>
      <c r="S80" s="211"/>
      <c r="T80" s="211"/>
      <c r="U80" s="211"/>
      <c r="V80" s="211"/>
      <c r="W80" s="211"/>
      <c r="X80" s="211"/>
      <c r="Y80" s="201"/>
      <c r="Z80" s="201"/>
      <c r="AA80" s="201"/>
      <c r="AB80" s="201">
        <f t="shared" ref="AB80:AU82" si="30">AB60+AB49+AB39+AB29+AB19+AB8+AB69</f>
        <v>5691.7619999999988</v>
      </c>
      <c r="AC80" s="201">
        <f t="shared" si="30"/>
        <v>7221.6569982450083</v>
      </c>
      <c r="AD80" s="201">
        <f t="shared" si="30"/>
        <v>13352.470000000005</v>
      </c>
      <c r="AE80" s="201">
        <f t="shared" si="30"/>
        <v>20220.223000000005</v>
      </c>
      <c r="AF80" s="201">
        <f t="shared" si="30"/>
        <v>35573.002999999997</v>
      </c>
      <c r="AG80" s="201">
        <f t="shared" si="30"/>
        <v>52519.482394680017</v>
      </c>
      <c r="AH80" s="201">
        <f t="shared" si="30"/>
        <v>77024.98565773142</v>
      </c>
      <c r="AI80" s="201">
        <f t="shared" si="30"/>
        <v>86903.979000000021</v>
      </c>
      <c r="AJ80" s="201">
        <f t="shared" si="30"/>
        <v>127318.83729700005</v>
      </c>
      <c r="AK80" s="201">
        <f t="shared" si="30"/>
        <v>149659.16865230227</v>
      </c>
      <c r="AL80" s="201">
        <f t="shared" si="30"/>
        <v>191960.49511202832</v>
      </c>
      <c r="AM80" s="201">
        <f t="shared" si="30"/>
        <v>367003.41707830486</v>
      </c>
      <c r="AN80" s="201">
        <f t="shared" si="30"/>
        <v>408793.33417178656</v>
      </c>
      <c r="AO80" s="201">
        <f t="shared" si="30"/>
        <v>451192.72409012704</v>
      </c>
      <c r="AP80" s="201">
        <f t="shared" si="30"/>
        <v>562565.15495412494</v>
      </c>
      <c r="AQ80" s="201">
        <f t="shared" si="30"/>
        <v>680912.77818452008</v>
      </c>
      <c r="AR80" s="201">
        <f t="shared" si="30"/>
        <v>749191.21333159041</v>
      </c>
      <c r="AS80" s="201">
        <f t="shared" si="30"/>
        <v>834025.79662980395</v>
      </c>
      <c r="AT80" s="201">
        <f t="shared" si="30"/>
        <v>937864.75300016592</v>
      </c>
      <c r="AU80" s="201">
        <v>1097659.6981329001</v>
      </c>
      <c r="AV80" s="201">
        <v>1111056.5238357498</v>
      </c>
      <c r="AW80" s="201">
        <f t="shared" ref="AW80:BB82" si="31">AW60+AW49+AW39+AW29+AW19+AW8+AW69</f>
        <v>1159751.29932595</v>
      </c>
      <c r="AX80" s="201">
        <f t="shared" si="31"/>
        <v>1448216.0577562</v>
      </c>
      <c r="AY80" s="201">
        <f t="shared" si="31"/>
        <v>1658627.7517873</v>
      </c>
      <c r="AZ80" s="201">
        <f t="shared" si="31"/>
        <v>1636075.9542866501</v>
      </c>
      <c r="BA80" s="201">
        <f t="shared" si="31"/>
        <v>1865158.0647825198</v>
      </c>
      <c r="BB80" s="201">
        <f t="shared" si="31"/>
        <v>2172086.67663702</v>
      </c>
    </row>
    <row r="81" spans="2:54" ht="15" customHeight="1">
      <c r="B81" s="656" t="s">
        <v>151</v>
      </c>
      <c r="C81" s="656" t="s">
        <v>152</v>
      </c>
      <c r="D81" s="651">
        <f t="shared" ref="D81:AA81" si="32">D61+D50+D40+D30+D20+D9</f>
        <v>5121506.8189019812</v>
      </c>
      <c r="E81" s="651">
        <f t="shared" si="32"/>
        <v>5361737.6561986478</v>
      </c>
      <c r="F81" s="651">
        <f t="shared" si="32"/>
        <v>5731946.2130504567</v>
      </c>
      <c r="G81" s="651">
        <f t="shared" si="32"/>
        <v>5899242.2221505307</v>
      </c>
      <c r="H81" s="651">
        <f t="shared" si="32"/>
        <v>5341696.269371598</v>
      </c>
      <c r="I81" s="651">
        <f t="shared" si="32"/>
        <v>5633288.0613296349</v>
      </c>
      <c r="J81" s="651">
        <f t="shared" si="32"/>
        <v>6053312.4328734484</v>
      </c>
      <c r="K81" s="651">
        <f t="shared" si="32"/>
        <v>6272613.1947373319</v>
      </c>
      <c r="L81" s="651">
        <f t="shared" si="32"/>
        <v>5578285.5362233724</v>
      </c>
      <c r="M81" s="651">
        <f t="shared" si="32"/>
        <v>5777313.2653056914</v>
      </c>
      <c r="N81" s="651">
        <f t="shared" si="32"/>
        <v>6177460.1809913171</v>
      </c>
      <c r="O81" s="651">
        <f t="shared" si="32"/>
        <v>6478127.0878738053</v>
      </c>
      <c r="P81" s="651">
        <f t="shared" si="32"/>
        <v>5817540.2502166424</v>
      </c>
      <c r="Q81" s="651">
        <f t="shared" si="32"/>
        <v>6116400.4001630247</v>
      </c>
      <c r="R81" s="651">
        <f t="shared" si="32"/>
        <v>6359863.4657360446</v>
      </c>
      <c r="S81" s="651">
        <f t="shared" si="32"/>
        <v>6497205.5904011782</v>
      </c>
      <c r="T81" s="651">
        <f t="shared" si="32"/>
        <v>6912469.7749239868</v>
      </c>
      <c r="U81" s="651">
        <f t="shared" si="32"/>
        <v>7176087.6193540506</v>
      </c>
      <c r="V81" s="651">
        <f t="shared" si="32"/>
        <v>7454826.8223455921</v>
      </c>
      <c r="W81" s="651">
        <f t="shared" si="32"/>
        <v>7759511.8546025082</v>
      </c>
      <c r="X81" s="651">
        <f t="shared" si="32"/>
        <v>6940900.4019556977</v>
      </c>
      <c r="Y81" s="651">
        <f t="shared" si="32"/>
        <v>7076399.4171166606</v>
      </c>
      <c r="Z81" s="651">
        <f t="shared" si="32"/>
        <v>7514981.1926436927</v>
      </c>
      <c r="AA81" s="651">
        <f t="shared" si="32"/>
        <v>7780918.4563687788</v>
      </c>
      <c r="AB81" s="652">
        <f t="shared" si="30"/>
        <v>7082700.3998168148</v>
      </c>
      <c r="AC81" s="652">
        <f t="shared" si="30"/>
        <v>7328590.4711015569</v>
      </c>
      <c r="AD81" s="652">
        <f t="shared" si="30"/>
        <v>7675813.4641250987</v>
      </c>
      <c r="AE81" s="652">
        <f t="shared" si="30"/>
        <v>8118929.6933918111</v>
      </c>
      <c r="AF81" s="652">
        <f t="shared" si="30"/>
        <v>7337500.3878772184</v>
      </c>
      <c r="AG81" s="652">
        <f t="shared" si="30"/>
        <v>7203094.2068922007</v>
      </c>
      <c r="AH81" s="652">
        <f t="shared" si="30"/>
        <v>10174584.494316924</v>
      </c>
      <c r="AI81" s="652">
        <f t="shared" si="30"/>
        <v>11304635.079225328</v>
      </c>
      <c r="AJ81" s="652">
        <f t="shared" si="30"/>
        <v>10810074.455649029</v>
      </c>
      <c r="AK81" s="652">
        <f t="shared" si="30"/>
        <v>10619672.376287483</v>
      </c>
      <c r="AL81" s="652">
        <f t="shared" si="30"/>
        <v>10997201.096592676</v>
      </c>
      <c r="AM81" s="652">
        <f t="shared" si="30"/>
        <v>15803430.599903984</v>
      </c>
      <c r="AN81" s="652">
        <f t="shared" si="30"/>
        <v>15236939.326717017</v>
      </c>
      <c r="AO81" s="652">
        <f t="shared" si="30"/>
        <v>15137373.36098836</v>
      </c>
      <c r="AP81" s="652">
        <f t="shared" si="30"/>
        <v>15823105.928836614</v>
      </c>
      <c r="AQ81" s="652">
        <f t="shared" si="30"/>
        <v>16238697.089193845</v>
      </c>
      <c r="AR81" s="652">
        <f t="shared" si="30"/>
        <v>15848399.669953134</v>
      </c>
      <c r="AS81" s="652">
        <f t="shared" si="30"/>
        <v>15861731.156266857</v>
      </c>
      <c r="AT81" s="652">
        <f t="shared" si="30"/>
        <v>16892705.926142111</v>
      </c>
      <c r="AU81" s="652">
        <f t="shared" si="30"/>
        <v>18109111.467605218</v>
      </c>
      <c r="AV81" s="652">
        <f>AV61+AV50+AV40+AV30+AV20+AV9+AV70</f>
        <v>17425232.624302268</v>
      </c>
      <c r="AW81" s="652">
        <f t="shared" si="31"/>
        <v>17114364.681819513</v>
      </c>
      <c r="AX81" s="652">
        <f t="shared" si="31"/>
        <v>17776584.686831217</v>
      </c>
      <c r="AY81" s="652">
        <f t="shared" si="31"/>
        <v>18478039.037077095</v>
      </c>
      <c r="AZ81" s="652">
        <f t="shared" si="31"/>
        <v>17700689.398120243</v>
      </c>
      <c r="BA81" s="652">
        <f t="shared" si="31"/>
        <v>17786145.135595344</v>
      </c>
      <c r="BB81" s="652">
        <f t="shared" si="31"/>
        <v>18327824.556975096</v>
      </c>
    </row>
    <row r="82" spans="2:54" ht="15" customHeight="1">
      <c r="B82" s="200" t="s">
        <v>153</v>
      </c>
      <c r="C82" s="200" t="s">
        <v>154</v>
      </c>
      <c r="AB82" s="229">
        <f t="shared" si="30"/>
        <v>5220399.15288206</v>
      </c>
      <c r="AC82" s="229">
        <f t="shared" si="30"/>
        <v>5140673.6510695294</v>
      </c>
      <c r="AD82" s="229">
        <f t="shared" si="30"/>
        <v>5676060.1727060704</v>
      </c>
      <c r="AE82" s="229">
        <f t="shared" si="30"/>
        <v>6158335.32250077</v>
      </c>
      <c r="AF82" s="229">
        <f t="shared" si="30"/>
        <v>5541083.3761811582</v>
      </c>
      <c r="AG82" s="229">
        <f t="shared" si="30"/>
        <v>5308538.34004662</v>
      </c>
      <c r="AH82" s="229">
        <f t="shared" si="30"/>
        <v>7724941.0746545764</v>
      </c>
      <c r="AI82" s="229">
        <f t="shared" si="30"/>
        <v>8317346.8866248969</v>
      </c>
      <c r="AJ82" s="229">
        <f t="shared" si="30"/>
        <v>8280654.3694617543</v>
      </c>
      <c r="AK82" s="229">
        <f t="shared" si="30"/>
        <v>8106773.0016235467</v>
      </c>
      <c r="AL82" s="229">
        <f t="shared" si="30"/>
        <v>8270441.3982114308</v>
      </c>
      <c r="AM82" s="229">
        <f t="shared" si="30"/>
        <v>12627086.874941165</v>
      </c>
      <c r="AN82" s="229">
        <f t="shared" si="30"/>
        <v>12218710.836417841</v>
      </c>
      <c r="AO82" s="229">
        <f t="shared" si="30"/>
        <v>12178048.062675647</v>
      </c>
      <c r="AP82" s="229">
        <f t="shared" si="30"/>
        <v>12684467.56340941</v>
      </c>
      <c r="AQ82" s="229">
        <f t="shared" si="30"/>
        <v>13144970.268525232</v>
      </c>
      <c r="AR82" s="229">
        <f t="shared" si="30"/>
        <v>12836964.746313456</v>
      </c>
      <c r="AS82" s="229">
        <f t="shared" si="30"/>
        <v>13007174.618333787</v>
      </c>
      <c r="AT82" s="229">
        <f t="shared" si="30"/>
        <v>13529627.265040021</v>
      </c>
      <c r="AU82" s="229">
        <v>14759691.92688401</v>
      </c>
      <c r="AV82" s="229">
        <v>14276604.997802936</v>
      </c>
      <c r="AW82" s="229">
        <f t="shared" si="31"/>
        <v>14046378.1906236</v>
      </c>
      <c r="AX82" s="229">
        <f t="shared" si="31"/>
        <v>14456073.236066394</v>
      </c>
      <c r="AY82" s="229">
        <f t="shared" si="31"/>
        <v>15275579.965660771</v>
      </c>
      <c r="AZ82" s="557">
        <f t="shared" si="31"/>
        <v>14613586.575078195</v>
      </c>
      <c r="BA82" s="557">
        <f t="shared" si="31"/>
        <v>14644169.461433511</v>
      </c>
      <c r="BB82" s="557">
        <f t="shared" si="31"/>
        <v>14922050.04723642</v>
      </c>
    </row>
    <row r="83" spans="2:54" ht="15" customHeight="1">
      <c r="B83" s="200" t="s">
        <v>155</v>
      </c>
      <c r="C83" s="200" t="s">
        <v>156</v>
      </c>
      <c r="AB83" s="229">
        <f t="shared" ref="AB83:AT83" si="33">+AB11+AB22+AB32+AB42+AB52+AB72</f>
        <v>35789.367387961072</v>
      </c>
      <c r="AC83" s="229">
        <f t="shared" si="33"/>
        <v>39295.95255836314</v>
      </c>
      <c r="AD83" s="229">
        <f t="shared" si="33"/>
        <v>41869.867610833331</v>
      </c>
      <c r="AE83" s="229">
        <f t="shared" si="33"/>
        <v>41417.414270833331</v>
      </c>
      <c r="AF83" s="229">
        <f t="shared" si="33"/>
        <v>39510.343670666669</v>
      </c>
      <c r="AG83" s="229">
        <f t="shared" si="33"/>
        <v>40097.173166666667</v>
      </c>
      <c r="AH83" s="229">
        <f t="shared" si="33"/>
        <v>56638.32433333333</v>
      </c>
      <c r="AI83" s="229">
        <f t="shared" si="33"/>
        <v>57291.102018666672</v>
      </c>
      <c r="AJ83" s="229">
        <f t="shared" si="33"/>
        <v>57992.672847589347</v>
      </c>
      <c r="AK83" s="229">
        <f t="shared" si="33"/>
        <v>58069.181594823363</v>
      </c>
      <c r="AL83" s="229">
        <f t="shared" si="33"/>
        <v>59565.015953161746</v>
      </c>
      <c r="AM83" s="229">
        <f t="shared" si="33"/>
        <v>61911.357439871499</v>
      </c>
      <c r="AN83" s="229">
        <f t="shared" si="33"/>
        <v>62677.501291813758</v>
      </c>
      <c r="AO83" s="229">
        <f t="shared" si="33"/>
        <v>58601.113441070251</v>
      </c>
      <c r="AP83" s="229">
        <f t="shared" si="33"/>
        <v>62181.307605097565</v>
      </c>
      <c r="AQ83" s="229">
        <f t="shared" si="33"/>
        <v>63555.706290504095</v>
      </c>
      <c r="AR83" s="229">
        <f t="shared" si="33"/>
        <v>65229.315495200302</v>
      </c>
      <c r="AS83" s="229">
        <f t="shared" si="33"/>
        <v>63400.693325145257</v>
      </c>
      <c r="AT83" s="229">
        <f t="shared" si="33"/>
        <v>79305.173284608361</v>
      </c>
      <c r="AU83" s="229">
        <f>+AU11+AU22+AU32+AU42+AU52+AU72</f>
        <v>72111.543502791013</v>
      </c>
      <c r="AV83" s="229">
        <v>76547.297979226583</v>
      </c>
      <c r="AW83" s="229">
        <f t="shared" ref="AW83:BB83" si="34">+AW11+AW22+AW32+AW42+AW52+AW72</f>
        <v>73241.950659081675</v>
      </c>
      <c r="AX83" s="229">
        <f t="shared" si="34"/>
        <v>77601.390188112971</v>
      </c>
      <c r="AY83" s="229">
        <f t="shared" si="34"/>
        <v>89352.744643547761</v>
      </c>
      <c r="AZ83" s="557">
        <f t="shared" si="34"/>
        <v>85132.881586488802</v>
      </c>
      <c r="BA83" s="557">
        <f t="shared" si="34"/>
        <v>82461.809178043317</v>
      </c>
      <c r="BB83" s="557">
        <f t="shared" si="34"/>
        <v>85014.276779699605</v>
      </c>
    </row>
    <row r="84" spans="2:54" ht="15" customHeight="1">
      <c r="B84" s="200" t="s">
        <v>157</v>
      </c>
      <c r="C84" s="200" t="s">
        <v>158</v>
      </c>
      <c r="AB84" s="229">
        <f t="shared" ref="AB84:AT84" si="35">AB81-AB82-AB83</f>
        <v>1826511.8795467936</v>
      </c>
      <c r="AC84" s="229">
        <f t="shared" si="35"/>
        <v>2148620.8674736642</v>
      </c>
      <c r="AD84" s="229">
        <f t="shared" si="35"/>
        <v>1957883.4238081949</v>
      </c>
      <c r="AE84" s="229">
        <f t="shared" si="35"/>
        <v>1919176.9566202078</v>
      </c>
      <c r="AF84" s="229">
        <f t="shared" si="35"/>
        <v>1756906.6680253935</v>
      </c>
      <c r="AG84" s="229">
        <f t="shared" si="35"/>
        <v>1854458.6936789141</v>
      </c>
      <c r="AH84" s="229">
        <f t="shared" si="35"/>
        <v>2393005.0953290146</v>
      </c>
      <c r="AI84" s="229">
        <f t="shared" si="35"/>
        <v>2929997.0905817645</v>
      </c>
      <c r="AJ84" s="229">
        <f t="shared" si="35"/>
        <v>2471427.4133396856</v>
      </c>
      <c r="AK84" s="229">
        <f t="shared" si="35"/>
        <v>2454830.1930691125</v>
      </c>
      <c r="AL84" s="229">
        <f t="shared" si="35"/>
        <v>2667194.6824280834</v>
      </c>
      <c r="AM84" s="229">
        <f t="shared" si="35"/>
        <v>3114432.367522948</v>
      </c>
      <c r="AN84" s="229">
        <f t="shared" si="35"/>
        <v>2955550.9890073626</v>
      </c>
      <c r="AO84" s="229">
        <f t="shared" si="35"/>
        <v>2900724.1848716424</v>
      </c>
      <c r="AP84" s="229">
        <f t="shared" si="35"/>
        <v>3076457.0578221059</v>
      </c>
      <c r="AQ84" s="229">
        <f t="shared" si="35"/>
        <v>3030171.1143781096</v>
      </c>
      <c r="AR84" s="229">
        <f t="shared" si="35"/>
        <v>2946205.608144477</v>
      </c>
      <c r="AS84" s="229">
        <f t="shared" si="35"/>
        <v>2791155.844607925</v>
      </c>
      <c r="AT84" s="229">
        <f t="shared" si="35"/>
        <v>3283773.4878174816</v>
      </c>
      <c r="AU84" s="229">
        <f>AU81-AU82-AU83</f>
        <v>3277307.997218417</v>
      </c>
      <c r="AV84" s="229">
        <v>3072080.3285201057</v>
      </c>
      <c r="AW84" s="229">
        <f t="shared" ref="AW84:BB84" si="36">AW81-AW82-AW83</f>
        <v>2994744.5405368316</v>
      </c>
      <c r="AX84" s="229">
        <f t="shared" si="36"/>
        <v>3242910.0605767109</v>
      </c>
      <c r="AY84" s="229">
        <f t="shared" si="36"/>
        <v>3113106.3267727764</v>
      </c>
      <c r="AZ84" s="557">
        <f t="shared" si="36"/>
        <v>3001969.9414555593</v>
      </c>
      <c r="BA84" s="557">
        <f t="shared" si="36"/>
        <v>3059513.8649837896</v>
      </c>
      <c r="BB84" s="557">
        <f t="shared" si="36"/>
        <v>3320760.2329589766</v>
      </c>
    </row>
    <row r="85" spans="2:54" ht="15" customHeight="1">
      <c r="B85" s="220" t="s">
        <v>159</v>
      </c>
      <c r="C85" s="216" t="s">
        <v>160</v>
      </c>
      <c r="AB85" s="230">
        <f>AB64+AB54+AB44+AB34+AB24+AB13+AB74</f>
        <v>925262.53397522029</v>
      </c>
      <c r="AC85" s="230">
        <f t="shared" ref="AC85:AQ85" si="37">AC64+AC54+AC44+AC34+AC24+AC13+AC74</f>
        <v>1222900.0036812087</v>
      </c>
      <c r="AD85" s="230">
        <f t="shared" si="37"/>
        <v>995674.02110793802</v>
      </c>
      <c r="AE85" s="230">
        <f t="shared" si="37"/>
        <v>1011697.4277285784</v>
      </c>
      <c r="AF85" s="230">
        <f t="shared" si="37"/>
        <v>885957.65122796269</v>
      </c>
      <c r="AG85" s="230">
        <f t="shared" si="37"/>
        <v>1841628.3132842346</v>
      </c>
      <c r="AH85" s="230">
        <f t="shared" si="37"/>
        <v>2005618.4690193811</v>
      </c>
      <c r="AI85" s="230">
        <f t="shared" si="37"/>
        <v>2076951.4710466119</v>
      </c>
      <c r="AJ85" s="230">
        <f t="shared" si="37"/>
        <v>2445160.6520426832</v>
      </c>
      <c r="AK85" s="230">
        <f t="shared" si="37"/>
        <v>2424474.7221985064</v>
      </c>
      <c r="AL85" s="230">
        <f t="shared" si="37"/>
        <v>2624188.989951015</v>
      </c>
      <c r="AM85" s="230">
        <f t="shared" si="37"/>
        <v>3036719.5240696575</v>
      </c>
      <c r="AN85" s="230">
        <f>AN64+AN54+AN44+AN34+AN24+AN13+AN74</f>
        <v>2871675.8178355768</v>
      </c>
      <c r="AO85" s="230">
        <f t="shared" si="37"/>
        <v>2817593.6747815162</v>
      </c>
      <c r="AP85" s="230">
        <f t="shared" si="37"/>
        <v>2935564.9418679811</v>
      </c>
      <c r="AQ85" s="230">
        <f t="shared" si="37"/>
        <v>2877569.965538329</v>
      </c>
      <c r="AR85" s="230">
        <f>AR64+AR54+AR44+AR34+AR24+AR13+AR74</f>
        <v>2778273.8468128871</v>
      </c>
      <c r="AS85" s="230">
        <f>AS64+AS54+AS44+AS34+AS24+AS13+AS74</f>
        <v>2628742.7459781235</v>
      </c>
      <c r="AT85" s="230">
        <f>AT64+AT54+AT44+AT34+AT24+AT13+AT74</f>
        <v>3126436.7398173185</v>
      </c>
      <c r="AU85" s="230">
        <f>AU64+AU54+AU44+AU34+AU24+AU13+AU74</f>
        <v>3121884.8570855167</v>
      </c>
      <c r="AV85" s="230">
        <v>3054485.21664281</v>
      </c>
      <c r="AW85" s="230">
        <v>2959742.2885277551</v>
      </c>
      <c r="AX85" s="230">
        <f>AX64+AX54+AX44+AX34+AX24+AX13+AX74</f>
        <v>2889826.3018205119</v>
      </c>
      <c r="AY85" s="230">
        <f>AY64+AY54+AY44+AY34+AY24+AY13+AY74</f>
        <v>2749034.6639854782</v>
      </c>
      <c r="AZ85" s="558">
        <f>AZ64+AZ54+AZ44+AZ34+AZ24+AZ13+AZ74</f>
        <v>2639464.854168911</v>
      </c>
      <c r="BA85" s="558">
        <f t="shared" ref="BA85:BB85" si="38">BA64+BA54+BA44+BA34+BA24+BA13+BA74</f>
        <v>2621198.2815512675</v>
      </c>
      <c r="BB85" s="558">
        <f t="shared" si="38"/>
        <v>2668306.7983219614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0B59C-0D4A-45F8-B163-DBBFC2FCDA05}">
  <sheetPr>
    <tabColor theme="9" tint="0.79998168889431442"/>
  </sheetPr>
  <dimension ref="B6:J85"/>
  <sheetViews>
    <sheetView showGridLines="0" zoomScale="85" zoomScaleNormal="115" workbookViewId="0">
      <pane xSplit="3" topLeftCell="D1" activePane="topRight" state="frozen"/>
      <selection pane="topRight" activeCell="J9" sqref="J9"/>
    </sheetView>
  </sheetViews>
  <sheetFormatPr defaultColWidth="9.21875" defaultRowHeight="15" customHeight="1"/>
  <cols>
    <col min="1" max="1" width="8.5546875" style="57" customWidth="1"/>
    <col min="2" max="2" width="36.44140625" style="57" customWidth="1"/>
    <col min="3" max="3" width="33.5546875" style="57" customWidth="1"/>
    <col min="4" max="7" width="12.44140625" style="57" customWidth="1"/>
    <col min="8" max="10" width="12.44140625" style="57" bestFit="1" customWidth="1"/>
    <col min="11" max="16384" width="9.21875" style="57"/>
  </cols>
  <sheetData>
    <row r="6" spans="2:10" ht="15" customHeight="1">
      <c r="B6" s="439" t="s">
        <v>145</v>
      </c>
      <c r="C6" s="439" t="s">
        <v>146</v>
      </c>
      <c r="D6" s="107" t="s">
        <v>86</v>
      </c>
      <c r="E6" s="107" t="s">
        <v>87</v>
      </c>
      <c r="F6" s="107" t="s">
        <v>88</v>
      </c>
      <c r="G6" s="107" t="s">
        <v>2074</v>
      </c>
      <c r="H6" s="107" t="s">
        <v>2127</v>
      </c>
      <c r="I6" s="107" t="s">
        <v>2360</v>
      </c>
      <c r="J6" s="107" t="s">
        <v>2494</v>
      </c>
    </row>
    <row r="7" spans="2:10" ht="15" customHeight="1">
      <c r="B7" s="210" t="s">
        <v>147</v>
      </c>
      <c r="C7" s="210" t="s">
        <v>148</v>
      </c>
      <c r="D7" s="201">
        <v>2662320.2453084649</v>
      </c>
      <c r="E7" s="201">
        <v>2261584.1041005673</v>
      </c>
      <c r="F7" s="201">
        <v>2494407.3122734511</v>
      </c>
      <c r="G7" s="201">
        <v>2628149.0947263623</v>
      </c>
      <c r="H7" s="201">
        <v>2718892.1594909281</v>
      </c>
      <c r="I7" s="201">
        <v>2417572.5393746798</v>
      </c>
      <c r="J7" s="201">
        <v>2536820.0539814383</v>
      </c>
    </row>
    <row r="8" spans="2:10" ht="15" customHeight="1">
      <c r="B8" s="212" t="s">
        <v>149</v>
      </c>
      <c r="C8" s="212" t="s">
        <v>150</v>
      </c>
      <c r="D8" s="201">
        <v>217646.33300000001</v>
      </c>
      <c r="E8" s="201">
        <v>204711.74100000001</v>
      </c>
      <c r="F8" s="201">
        <v>231939.59700000001</v>
      </c>
      <c r="G8" s="201">
        <v>274761.22600000002</v>
      </c>
      <c r="H8" s="201">
        <v>286673.37599999999</v>
      </c>
      <c r="I8" s="201">
        <v>266050.73700000002</v>
      </c>
      <c r="J8" s="201">
        <v>289896.37400000001</v>
      </c>
    </row>
    <row r="9" spans="2:10" ht="15" customHeight="1">
      <c r="B9" s="213" t="s">
        <v>2128</v>
      </c>
      <c r="C9" s="213" t="s">
        <v>2132</v>
      </c>
      <c r="D9" s="214">
        <f>SUM(D7:D8)</f>
        <v>2879966.578308465</v>
      </c>
      <c r="E9" s="651">
        <v>2466295.8451005672</v>
      </c>
      <c r="F9" s="651">
        <v>2726346.9092734512</v>
      </c>
      <c r="G9" s="651">
        <v>2902910.3207263625</v>
      </c>
      <c r="H9" s="214">
        <f>H8+H7</f>
        <v>3005565.5354909282</v>
      </c>
      <c r="I9" s="214">
        <f>I8+I7</f>
        <v>2683623.27637468</v>
      </c>
      <c r="J9" s="214">
        <f>J8+J7</f>
        <v>2826716.4279814381</v>
      </c>
    </row>
    <row r="10" spans="2:10" ht="15" customHeight="1">
      <c r="B10" s="200" t="s">
        <v>2129</v>
      </c>
      <c r="C10" s="200" t="s">
        <v>2133</v>
      </c>
      <c r="D10" s="201">
        <v>2332570.997</v>
      </c>
      <c r="E10" s="201">
        <v>2009624.4445254724</v>
      </c>
      <c r="F10" s="201">
        <v>2159604.4038218269</v>
      </c>
      <c r="G10" s="201">
        <v>2318952.1639123396</v>
      </c>
      <c r="H10" s="201">
        <v>2442621.9513816498</v>
      </c>
      <c r="I10" s="201">
        <v>2176716.6624337528</v>
      </c>
      <c r="J10" s="201">
        <v>2294996.41189925</v>
      </c>
    </row>
    <row r="11" spans="2:10" ht="15" customHeight="1">
      <c r="B11" s="200" t="s">
        <v>155</v>
      </c>
      <c r="C11" s="200" t="s">
        <v>156</v>
      </c>
      <c r="D11" s="201">
        <v>3039.4899666666693</v>
      </c>
      <c r="E11" s="201">
        <v>4108.5522030000038</v>
      </c>
      <c r="F11" s="201">
        <v>4287.2326911111104</v>
      </c>
      <c r="G11" s="201">
        <v>6003.8468560111096</v>
      </c>
      <c r="H11" s="201">
        <v>4145.0786418757498</v>
      </c>
      <c r="I11" s="201">
        <v>4072.8187500000004</v>
      </c>
      <c r="J11" s="201">
        <v>4443.2177194444503</v>
      </c>
    </row>
    <row r="12" spans="2:10" ht="15" customHeight="1">
      <c r="B12" s="200" t="s">
        <v>2130</v>
      </c>
      <c r="C12" s="200" t="s">
        <v>2134</v>
      </c>
      <c r="D12" s="219">
        <v>1494.829853475168</v>
      </c>
      <c r="E12" s="219">
        <v>2163.4212786498156</v>
      </c>
      <c r="F12" s="219">
        <v>3134.7175993023425</v>
      </c>
      <c r="G12" s="219">
        <v>4996.7426187491146</v>
      </c>
      <c r="H12" s="219">
        <v>11185.495126422182</v>
      </c>
      <c r="I12" s="219">
        <v>8755.5849739277292</v>
      </c>
      <c r="J12" s="219">
        <v>9714.4110288572992</v>
      </c>
    </row>
    <row r="13" spans="2:10" ht="15" customHeight="1">
      <c r="B13" s="216" t="s">
        <v>2131</v>
      </c>
      <c r="C13" s="216" t="s">
        <v>158</v>
      </c>
      <c r="D13" s="222">
        <f>D9-D10-D11-D12</f>
        <v>542861.2614883231</v>
      </c>
      <c r="E13" s="222">
        <v>450399.42709344503</v>
      </c>
      <c r="F13" s="222">
        <v>559320.55516121082</v>
      </c>
      <c r="G13" s="222">
        <v>572957.56733926269</v>
      </c>
      <c r="H13" s="222">
        <f>H9-H10-H11-H12</f>
        <v>547613.01034098049</v>
      </c>
      <c r="I13" s="222">
        <f>I9-I10-I11-I12</f>
        <v>494078.21021699952</v>
      </c>
      <c r="J13" s="222">
        <v>517562.38733388641</v>
      </c>
    </row>
    <row r="14" spans="2:10" ht="15" customHeight="1">
      <c r="B14" s="200"/>
      <c r="C14" s="200"/>
      <c r="I14" s="718"/>
      <c r="J14" s="718"/>
    </row>
    <row r="15" spans="2:10" ht="15" customHeight="1">
      <c r="B15" s="200"/>
      <c r="C15" s="200"/>
    </row>
    <row r="16" spans="2:10" ht="15" customHeight="1">
      <c r="B16" s="439" t="s">
        <v>163</v>
      </c>
      <c r="C16" s="439" t="s">
        <v>164</v>
      </c>
      <c r="D16" s="107" t="str">
        <f>D$6</f>
        <v>4T24</v>
      </c>
      <c r="E16" s="107" t="s">
        <v>87</v>
      </c>
      <c r="F16" s="107" t="s">
        <v>88</v>
      </c>
      <c r="G16" s="107" t="str">
        <f t="shared" ref="G16:J16" si="0">G$6</f>
        <v>3T25</v>
      </c>
      <c r="H16" s="107" t="str">
        <f t="shared" si="0"/>
        <v>4T25</v>
      </c>
      <c r="I16" s="107" t="str">
        <f t="shared" si="0"/>
        <v>1T26</v>
      </c>
      <c r="J16" s="107" t="str">
        <f t="shared" si="0"/>
        <v>2T26</v>
      </c>
    </row>
    <row r="17" spans="2:10" ht="15" customHeight="1">
      <c r="B17" s="210" t="s">
        <v>147</v>
      </c>
      <c r="C17" s="210" t="s">
        <v>148</v>
      </c>
      <c r="D17" s="201">
        <f>D20-D19-D18</f>
        <v>3945705.2545988355</v>
      </c>
      <c r="E17" s="201">
        <v>3426064.3085317924</v>
      </c>
      <c r="F17" s="201">
        <v>3709821.9237183211</v>
      </c>
      <c r="G17" s="201">
        <v>3884188.8071441436</v>
      </c>
      <c r="H17" s="201">
        <f>H20-H19-H18</f>
        <v>4054942.0501697497</v>
      </c>
      <c r="I17" s="201">
        <v>3667108.8952862085</v>
      </c>
      <c r="J17" s="201">
        <v>3865844.2677916838</v>
      </c>
    </row>
    <row r="18" spans="2:10" ht="15" customHeight="1">
      <c r="B18" s="210" t="s">
        <v>165</v>
      </c>
      <c r="C18" s="210" t="s">
        <v>166</v>
      </c>
      <c r="D18" s="201">
        <v>74097.12102233569</v>
      </c>
      <c r="E18" s="201">
        <v>68444.798014288899</v>
      </c>
      <c r="F18" s="201">
        <v>74734.803049739596</v>
      </c>
      <c r="G18" s="201">
        <v>76791.434203843586</v>
      </c>
      <c r="H18" s="201">
        <v>76494.323666946002</v>
      </c>
      <c r="I18" s="201">
        <v>66950.725198678701</v>
      </c>
      <c r="J18" s="201">
        <v>67470.792497835428</v>
      </c>
    </row>
    <row r="19" spans="2:10" ht="15" customHeight="1">
      <c r="B19" s="212" t="s">
        <v>149</v>
      </c>
      <c r="C19" s="212" t="s">
        <v>150</v>
      </c>
      <c r="D19" s="201">
        <v>318466.33955729997</v>
      </c>
      <c r="E19" s="201">
        <v>298932.31653239008</v>
      </c>
      <c r="F19" s="201">
        <v>353929.46178252005</v>
      </c>
      <c r="G19" s="201">
        <v>413215.16899230983</v>
      </c>
      <c r="H19" s="201">
        <v>426624.97097455</v>
      </c>
      <c r="I19" s="201">
        <v>384497.592</v>
      </c>
      <c r="J19" s="201">
        <v>429390.34800000006</v>
      </c>
    </row>
    <row r="20" spans="2:10" ht="15" customHeight="1">
      <c r="B20" s="213" t="s">
        <v>2128</v>
      </c>
      <c r="C20" s="213" t="s">
        <v>2132</v>
      </c>
      <c r="D20" s="228">
        <v>4338268.7151784711</v>
      </c>
      <c r="E20" s="652">
        <v>3793441.4230784713</v>
      </c>
      <c r="F20" s="652">
        <v>4138486.1885505808</v>
      </c>
      <c r="G20" s="652">
        <v>4374195.410340297</v>
      </c>
      <c r="H20" s="228">
        <v>4558061.3448112458</v>
      </c>
      <c r="I20" s="228">
        <f>SUM(I17:I19)</f>
        <v>4118557.2124848873</v>
      </c>
      <c r="J20" s="228">
        <v>4362705.4082895191</v>
      </c>
    </row>
    <row r="21" spans="2:10" ht="15" customHeight="1">
      <c r="B21" s="200" t="s">
        <v>2129</v>
      </c>
      <c r="C21" s="200" t="s">
        <v>2133</v>
      </c>
      <c r="D21" s="229">
        <v>3055298.0861204201</v>
      </c>
      <c r="E21" s="229">
        <v>2636513.88416821</v>
      </c>
      <c r="F21" s="229">
        <v>2857387.2453359403</v>
      </c>
      <c r="G21" s="229">
        <v>3020257.1714367727</v>
      </c>
      <c r="H21" s="557">
        <v>3201134.1064364891</v>
      </c>
      <c r="I21" s="557">
        <v>2852040.5488611464</v>
      </c>
      <c r="J21" s="557">
        <v>3060831.6488287007</v>
      </c>
    </row>
    <row r="22" spans="2:10" ht="15" customHeight="1">
      <c r="B22" s="200" t="s">
        <v>155</v>
      </c>
      <c r="C22" s="200" t="s">
        <v>156</v>
      </c>
      <c r="D22" s="229">
        <v>12552.44891424</v>
      </c>
      <c r="E22" s="229">
        <v>7791.5838240000003</v>
      </c>
      <c r="F22" s="229">
        <v>8356.694567999999</v>
      </c>
      <c r="G22" s="229">
        <v>8288.5351680000003</v>
      </c>
      <c r="H22" s="557">
        <v>8184.7673519999989</v>
      </c>
      <c r="I22" s="557">
        <v>7297.1956430400005</v>
      </c>
      <c r="J22" s="557">
        <v>8319.3725284800003</v>
      </c>
    </row>
    <row r="23" spans="2:10" ht="15" customHeight="1">
      <c r="B23" s="200" t="s">
        <v>2130</v>
      </c>
      <c r="C23" s="200" t="s">
        <v>2134</v>
      </c>
      <c r="D23" s="229">
        <v>26681.284629488793</v>
      </c>
      <c r="E23" s="229">
        <v>59139.345511789368</v>
      </c>
      <c r="F23" s="229">
        <v>35746.914980625013</v>
      </c>
      <c r="G23" s="229">
        <v>7469.7495558034334</v>
      </c>
      <c r="H23" s="557">
        <v>20446.519438658139</v>
      </c>
      <c r="I23" s="557">
        <v>50984.570091872578</v>
      </c>
      <c r="J23" s="557">
        <v>30807.418996561806</v>
      </c>
    </row>
    <row r="24" spans="2:10" ht="15" customHeight="1">
      <c r="B24" s="216" t="s">
        <v>2131</v>
      </c>
      <c r="C24" s="216" t="s">
        <v>158</v>
      </c>
      <c r="D24" s="230">
        <f>D20-D21-D22-D23</f>
        <v>1243736.895514322</v>
      </c>
      <c r="E24" s="230">
        <v>1089996.6095744718</v>
      </c>
      <c r="F24" s="230">
        <v>1236995.3336660154</v>
      </c>
      <c r="G24" s="230">
        <v>1338179.954179721</v>
      </c>
      <c r="H24" s="558">
        <f>H20-H21-H22-H23</f>
        <v>1328295.9515840984</v>
      </c>
      <c r="I24" s="558">
        <f>I20-I21-I22-I23</f>
        <v>1208234.8978888285</v>
      </c>
      <c r="J24" s="558">
        <v>1262746.9679357768</v>
      </c>
    </row>
    <row r="25" spans="2:10" ht="15" customHeight="1">
      <c r="B25" s="200"/>
      <c r="C25" s="200"/>
      <c r="D25" s="224"/>
      <c r="E25" s="224"/>
      <c r="F25" s="224"/>
      <c r="G25" s="224"/>
      <c r="H25" s="224"/>
      <c r="I25" s="224"/>
      <c r="J25" s="224"/>
    </row>
    <row r="27" spans="2:10" ht="15" customHeight="1">
      <c r="B27" s="439" t="s">
        <v>168</v>
      </c>
      <c r="C27" s="439" t="s">
        <v>169</v>
      </c>
      <c r="D27" s="107" t="str">
        <f>D$6</f>
        <v>4T24</v>
      </c>
      <c r="E27" s="107" t="s">
        <v>87</v>
      </c>
      <c r="F27" s="107" t="s">
        <v>88</v>
      </c>
      <c r="G27" s="107" t="str">
        <f t="shared" ref="G27:J27" si="1">G$6</f>
        <v>3T25</v>
      </c>
      <c r="H27" s="107" t="str">
        <f t="shared" si="1"/>
        <v>4T25</v>
      </c>
      <c r="I27" s="107" t="str">
        <f t="shared" si="1"/>
        <v>1T26</v>
      </c>
      <c r="J27" s="107" t="str">
        <f t="shared" si="1"/>
        <v>2T26</v>
      </c>
    </row>
    <row r="28" spans="2:10" ht="15" customHeight="1">
      <c r="B28" s="210" t="s">
        <v>147</v>
      </c>
      <c r="C28" s="210" t="s">
        <v>148</v>
      </c>
      <c r="D28" s="201">
        <f>D30-D29</f>
        <v>1578379.8943502544</v>
      </c>
      <c r="E28" s="201">
        <v>1218140.0443498215</v>
      </c>
      <c r="F28" s="201">
        <v>1340454.7192014041</v>
      </c>
      <c r="G28" s="201">
        <v>1472759.0100360271</v>
      </c>
      <c r="H28" s="201">
        <f>H30-H29</f>
        <v>1608680.6229394851</v>
      </c>
      <c r="I28" s="201">
        <v>1272122.8881085368</v>
      </c>
      <c r="J28" s="201">
        <v>1309490.3602569194</v>
      </c>
    </row>
    <row r="29" spans="2:10" ht="15" customHeight="1">
      <c r="B29" s="212" t="s">
        <v>149</v>
      </c>
      <c r="C29" s="212" t="s">
        <v>150</v>
      </c>
      <c r="D29" s="201">
        <v>236982.77</v>
      </c>
      <c r="E29" s="201">
        <v>216959.61499999999</v>
      </c>
      <c r="F29" s="201">
        <v>241600.29500000001</v>
      </c>
      <c r="G29" s="201">
        <v>300040.93300000002</v>
      </c>
      <c r="H29" s="201">
        <v>308461.64</v>
      </c>
      <c r="I29" s="201">
        <v>276585.77200000011</v>
      </c>
      <c r="J29" s="201">
        <v>293010.25599999988</v>
      </c>
    </row>
    <row r="30" spans="2:10" ht="15" customHeight="1">
      <c r="B30" s="213" t="s">
        <v>2128</v>
      </c>
      <c r="C30" s="213" t="s">
        <v>2132</v>
      </c>
      <c r="D30" s="214">
        <v>1815362.6643502545</v>
      </c>
      <c r="E30" s="651">
        <v>1435099.6593498215</v>
      </c>
      <c r="F30" s="651">
        <v>1582055.0142014041</v>
      </c>
      <c r="G30" s="651">
        <v>1772799.943036027</v>
      </c>
      <c r="H30" s="214">
        <v>1917142.262939485</v>
      </c>
      <c r="I30" s="214">
        <f>SUM(I28:I29)</f>
        <v>1548708.6601085369</v>
      </c>
      <c r="J30" s="214">
        <f>SUM(J28:J29)</f>
        <v>1602500.6162569192</v>
      </c>
    </row>
    <row r="31" spans="2:10" ht="15" customHeight="1">
      <c r="B31" s="200" t="s">
        <v>2129</v>
      </c>
      <c r="C31" s="200" t="s">
        <v>2133</v>
      </c>
      <c r="D31" s="201">
        <v>1274040.7241030445</v>
      </c>
      <c r="E31" s="201">
        <v>1103235.6225064853</v>
      </c>
      <c r="F31" s="201">
        <v>1188181.9053919567</v>
      </c>
      <c r="G31" s="201">
        <v>1271886.2944482148</v>
      </c>
      <c r="H31" s="201">
        <v>1364847.5931555401</v>
      </c>
      <c r="I31" s="201">
        <v>1171840.5930649252</v>
      </c>
      <c r="J31" s="201">
        <v>1224454.2111907727</v>
      </c>
    </row>
    <row r="32" spans="2:10" ht="15" customHeight="1">
      <c r="B32" s="200" t="s">
        <v>155</v>
      </c>
      <c r="C32" s="200" t="s">
        <v>156</v>
      </c>
      <c r="D32" s="201">
        <v>48734.902925870301</v>
      </c>
      <c r="E32" s="201">
        <v>43652.959735488796</v>
      </c>
      <c r="F32" s="201">
        <v>47920.312139932197</v>
      </c>
      <c r="G32" s="201">
        <v>49816.522858688491</v>
      </c>
      <c r="H32" s="201">
        <v>52019.677559411895</v>
      </c>
      <c r="I32" s="201">
        <v>46761.867670590196</v>
      </c>
      <c r="J32" s="201">
        <v>48480.130512203905</v>
      </c>
    </row>
    <row r="33" spans="2:10" ht="15" customHeight="1">
      <c r="B33" s="200" t="s">
        <v>2130</v>
      </c>
      <c r="C33" s="200" t="s">
        <v>2134</v>
      </c>
      <c r="D33" s="219">
        <v>160976.87740511773</v>
      </c>
      <c r="E33" s="219">
        <v>61264.538569663258</v>
      </c>
      <c r="F33" s="219">
        <v>62211.106939534468</v>
      </c>
      <c r="G33" s="219">
        <v>141144.3006205546</v>
      </c>
      <c r="H33" s="219">
        <v>172670.59444538664</v>
      </c>
      <c r="I33" s="219">
        <v>84524.37857621735</v>
      </c>
      <c r="J33" s="219">
        <v>54032.093431612615</v>
      </c>
    </row>
    <row r="34" spans="2:10" ht="15" customHeight="1">
      <c r="B34" s="216" t="s">
        <v>2131</v>
      </c>
      <c r="C34" s="216" t="s">
        <v>158</v>
      </c>
      <c r="D34" s="222">
        <f>D30-D31-D32-D33</f>
        <v>331610.15991622192</v>
      </c>
      <c r="E34" s="222">
        <v>226946.53853818413</v>
      </c>
      <c r="F34" s="222">
        <v>283741.68972998072</v>
      </c>
      <c r="G34" s="222">
        <v>309952.82510856912</v>
      </c>
      <c r="H34" s="222">
        <f>H30-H31-H32-H33</f>
        <v>327604.39777914644</v>
      </c>
      <c r="I34" s="222">
        <f>I30-I31-I32-I33</f>
        <v>245581.82079680427</v>
      </c>
      <c r="J34" s="222">
        <v>275534.18112233002</v>
      </c>
    </row>
    <row r="35" spans="2:10" ht="15" customHeight="1">
      <c r="B35" s="200"/>
      <c r="C35" s="200"/>
      <c r="D35" s="224"/>
      <c r="E35" s="224"/>
      <c r="F35" s="224"/>
      <c r="G35" s="224"/>
      <c r="H35" s="224"/>
      <c r="I35" s="224"/>
      <c r="J35" s="224"/>
    </row>
    <row r="36" spans="2:10" ht="15" customHeight="1">
      <c r="D36" s="225"/>
      <c r="E36" s="225"/>
      <c r="F36" s="225"/>
      <c r="G36" s="225"/>
      <c r="H36" s="225"/>
      <c r="I36" s="225"/>
      <c r="J36" s="225"/>
    </row>
    <row r="37" spans="2:10" ht="15" customHeight="1">
      <c r="B37" s="439" t="s">
        <v>170</v>
      </c>
      <c r="C37" s="439" t="s">
        <v>171</v>
      </c>
      <c r="D37" s="107" t="str">
        <f>D$6</f>
        <v>4T24</v>
      </c>
      <c r="E37" s="107" t="s">
        <v>87</v>
      </c>
      <c r="F37" s="107" t="s">
        <v>88</v>
      </c>
      <c r="G37" s="107" t="str">
        <f t="shared" ref="G37:J37" si="2">G$6</f>
        <v>3T25</v>
      </c>
      <c r="H37" s="107" t="str">
        <f t="shared" si="2"/>
        <v>4T25</v>
      </c>
      <c r="I37" s="107" t="str">
        <f t="shared" si="2"/>
        <v>1T26</v>
      </c>
      <c r="J37" s="107" t="str">
        <f t="shared" si="2"/>
        <v>2T26</v>
      </c>
    </row>
    <row r="38" spans="2:10" ht="15" customHeight="1">
      <c r="B38" s="210" t="s">
        <v>147</v>
      </c>
      <c r="C38" s="210" t="s">
        <v>148</v>
      </c>
      <c r="D38" s="201">
        <v>1371161.3739709249</v>
      </c>
      <c r="E38" s="201">
        <v>1384160.8153602602</v>
      </c>
      <c r="F38" s="201">
        <v>1290022.7130322019</v>
      </c>
      <c r="G38" s="201">
        <v>1135482.9280403466</v>
      </c>
      <c r="H38" s="201">
        <f>H40-H39</f>
        <v>1331303.8204714579</v>
      </c>
      <c r="I38" s="201">
        <v>1429618.1407492531</v>
      </c>
      <c r="J38" s="201">
        <v>1294009.769339747</v>
      </c>
    </row>
    <row r="39" spans="2:10" ht="15" customHeight="1">
      <c r="B39" s="212" t="s">
        <v>149</v>
      </c>
      <c r="C39" s="212" t="s">
        <v>150</v>
      </c>
      <c r="D39" s="201">
        <v>179814.66099999999</v>
      </c>
      <c r="E39" s="201">
        <v>180329.45</v>
      </c>
      <c r="F39" s="201">
        <v>174394.18100000001</v>
      </c>
      <c r="G39" s="201">
        <v>180144.15100000001</v>
      </c>
      <c r="H39" s="201">
        <v>249194.93893922001</v>
      </c>
      <c r="I39" s="201">
        <v>236305.74499999991</v>
      </c>
      <c r="J39" s="201">
        <v>201423.45599999986</v>
      </c>
    </row>
    <row r="40" spans="2:10" ht="15" customHeight="1">
      <c r="B40" s="213" t="s">
        <v>2128</v>
      </c>
      <c r="C40" s="213" t="s">
        <v>2132</v>
      </c>
      <c r="D40" s="214">
        <v>1550976.034970925</v>
      </c>
      <c r="E40" s="651">
        <v>1564490.2653602601</v>
      </c>
      <c r="F40" s="651">
        <v>1464416.894032202</v>
      </c>
      <c r="G40" s="651">
        <v>1315627.0790403467</v>
      </c>
      <c r="H40" s="214">
        <v>1580498.7594106779</v>
      </c>
      <c r="I40" s="214">
        <f>SUM(I38:I39)</f>
        <v>1665923.885749253</v>
      </c>
      <c r="J40" s="214">
        <f>SUM(J38:J39)</f>
        <v>1495433.2253397468</v>
      </c>
    </row>
    <row r="41" spans="2:10" ht="15" customHeight="1">
      <c r="B41" s="200" t="s">
        <v>2129</v>
      </c>
      <c r="C41" s="200" t="s">
        <v>2133</v>
      </c>
      <c r="D41" s="201">
        <v>1262310.8417785177</v>
      </c>
      <c r="E41" s="201">
        <v>1268390.3574790205</v>
      </c>
      <c r="F41" s="201">
        <v>1228489.1912483557</v>
      </c>
      <c r="G41" s="201">
        <v>1106986.0548603388</v>
      </c>
      <c r="H41" s="201">
        <v>1288716.323661644</v>
      </c>
      <c r="I41" s="201">
        <v>1355213.5556241572</v>
      </c>
      <c r="J41" s="201">
        <v>1271673.1973895067</v>
      </c>
    </row>
    <row r="42" spans="2:10" ht="15" customHeight="1">
      <c r="B42" s="200" t="s">
        <v>155</v>
      </c>
      <c r="C42" s="200" t="s">
        <v>156</v>
      </c>
      <c r="D42" s="201">
        <v>3317.875</v>
      </c>
      <c r="E42" s="201">
        <v>3339.9439730000004</v>
      </c>
      <c r="F42" s="201">
        <v>3507.4070000000002</v>
      </c>
      <c r="G42" s="201">
        <v>3677.5740500000002</v>
      </c>
      <c r="H42" s="201">
        <v>3724.26692</v>
      </c>
      <c r="I42" s="201">
        <v>3960.6618500000004</v>
      </c>
      <c r="J42" s="201">
        <v>4015.9200229999997</v>
      </c>
    </row>
    <row r="43" spans="2:10" ht="15" customHeight="1">
      <c r="B43" s="200" t="s">
        <v>2130</v>
      </c>
      <c r="C43" s="200" t="s">
        <v>2134</v>
      </c>
      <c r="D43" s="219">
        <v>15443.572247340766</v>
      </c>
      <c r="E43" s="219">
        <v>9397.6339034612138</v>
      </c>
      <c r="F43" s="219">
        <v>1773.72928469923</v>
      </c>
      <c r="G43" s="219">
        <v>5400.5400223501865</v>
      </c>
      <c r="H43" s="219">
        <v>21510.70902804238</v>
      </c>
      <c r="I43" s="219">
        <v>13493.323007845815</v>
      </c>
      <c r="J43" s="219">
        <v>4254.3134025368336</v>
      </c>
    </row>
    <row r="44" spans="2:10" ht="15" customHeight="1">
      <c r="B44" s="216" t="s">
        <v>2131</v>
      </c>
      <c r="C44" s="216" t="s">
        <v>158</v>
      </c>
      <c r="D44" s="222">
        <f>D40-D41-D42-D43</f>
        <v>269903.7459450665</v>
      </c>
      <c r="E44" s="222">
        <v>283362.33000477846</v>
      </c>
      <c r="F44" s="222">
        <v>230646.56649914707</v>
      </c>
      <c r="G44" s="222">
        <v>199562.91010765769</v>
      </c>
      <c r="H44" s="222">
        <f>H40-H41-H42-H43</f>
        <v>266547.45980099152</v>
      </c>
      <c r="I44" s="222">
        <f>I40-I41-I42-I43</f>
        <v>293256.34526724997</v>
      </c>
      <c r="J44" s="222">
        <v>215489.79452470323</v>
      </c>
    </row>
    <row r="45" spans="2:10" ht="15" customHeight="1">
      <c r="B45" s="200"/>
      <c r="C45" s="200"/>
      <c r="D45" s="200"/>
      <c r="E45" s="200"/>
      <c r="F45" s="200"/>
      <c r="G45" s="200"/>
      <c r="H45" s="200"/>
      <c r="I45" s="200"/>
      <c r="J45" s="200"/>
    </row>
    <row r="47" spans="2:10" ht="15" customHeight="1">
      <c r="B47" s="439" t="s">
        <v>172</v>
      </c>
      <c r="C47" s="439" t="s">
        <v>173</v>
      </c>
      <c r="D47" s="107" t="str">
        <f>D$6</f>
        <v>4T24</v>
      </c>
      <c r="E47" s="107" t="s">
        <v>87</v>
      </c>
      <c r="F47" s="107" t="s">
        <v>88</v>
      </c>
      <c r="G47" s="107" t="str">
        <f t="shared" ref="G47:J47" si="3">G$6</f>
        <v>3T25</v>
      </c>
      <c r="H47" s="107" t="str">
        <f t="shared" si="3"/>
        <v>4T25</v>
      </c>
      <c r="I47" s="107" t="str">
        <f t="shared" si="3"/>
        <v>1T26</v>
      </c>
      <c r="J47" s="107" t="str">
        <f t="shared" si="3"/>
        <v>2T26</v>
      </c>
    </row>
    <row r="48" spans="2:10" ht="15" customHeight="1">
      <c r="B48" s="210" t="s">
        <v>147</v>
      </c>
      <c r="C48" s="210" t="s">
        <v>148</v>
      </c>
      <c r="D48" s="201">
        <f>D50-D49</f>
        <v>2417909.9827278713</v>
      </c>
      <c r="E48" s="201">
        <v>3042860.3944381229</v>
      </c>
      <c r="F48" s="201">
        <v>2340687.300299638</v>
      </c>
      <c r="G48" s="201">
        <v>2311942.6400118652</v>
      </c>
      <c r="H48" s="201">
        <f>H50-H49</f>
        <v>2459476.1875486039</v>
      </c>
      <c r="I48" s="201">
        <v>2911030.6570844753</v>
      </c>
      <c r="J48" s="201">
        <v>2407090.1856230376</v>
      </c>
    </row>
    <row r="49" spans="2:10" ht="15" customHeight="1">
      <c r="B49" s="212" t="s">
        <v>149</v>
      </c>
      <c r="C49" s="212" t="s">
        <v>150</v>
      </c>
      <c r="D49" s="201">
        <v>133888.61499999999</v>
      </c>
      <c r="E49" s="201">
        <v>160698.12400000001</v>
      </c>
      <c r="F49" s="201">
        <v>114142.14</v>
      </c>
      <c r="G49" s="201">
        <v>111378.53</v>
      </c>
      <c r="H49" s="201">
        <v>209242.13099999999</v>
      </c>
      <c r="I49" s="201">
        <v>214693.60699999999</v>
      </c>
      <c r="J49" s="201">
        <v>158048.67200000002</v>
      </c>
    </row>
    <row r="50" spans="2:10" ht="15" customHeight="1">
      <c r="B50" s="213" t="s">
        <v>2128</v>
      </c>
      <c r="C50" s="213" t="s">
        <v>2132</v>
      </c>
      <c r="D50" s="214">
        <v>2551798.5977278715</v>
      </c>
      <c r="E50" s="651">
        <v>3203558.5184381227</v>
      </c>
      <c r="F50" s="651">
        <v>2454829.4402996381</v>
      </c>
      <c r="G50" s="651">
        <v>2423321.170011865</v>
      </c>
      <c r="H50" s="214">
        <v>2668718.3185486039</v>
      </c>
      <c r="I50" s="214">
        <f>SUM(I48:I49)</f>
        <v>3125724.2640844751</v>
      </c>
      <c r="J50" s="214">
        <f>SUM(J48:J49)</f>
        <v>2565138.8576230379</v>
      </c>
    </row>
    <row r="51" spans="2:10" ht="15" customHeight="1">
      <c r="B51" s="200" t="s">
        <v>2129</v>
      </c>
      <c r="C51" s="200" t="s">
        <v>2133</v>
      </c>
      <c r="D51" s="201">
        <v>2120939.3865475203</v>
      </c>
      <c r="E51" s="201">
        <v>2694227.0628655753</v>
      </c>
      <c r="F51" s="201">
        <v>2144677.1721509937</v>
      </c>
      <c r="G51" s="201">
        <v>2151634.8564091176</v>
      </c>
      <c r="H51" s="201">
        <v>2126912.017272478</v>
      </c>
      <c r="I51" s="201">
        <v>2695365.53061313</v>
      </c>
      <c r="J51" s="201">
        <v>2260286.7414916819</v>
      </c>
    </row>
    <row r="52" spans="2:10" ht="15" customHeight="1">
      <c r="B52" s="200" t="s">
        <v>155</v>
      </c>
      <c r="C52" s="200" t="s">
        <v>156</v>
      </c>
      <c r="D52" s="201">
        <v>18441.471599770768</v>
      </c>
      <c r="E52" s="201">
        <v>23027.350146000012</v>
      </c>
      <c r="F52" s="201">
        <v>17104.82617</v>
      </c>
      <c r="G52" s="201">
        <v>15315.497729999992</v>
      </c>
      <c r="H52" s="201">
        <v>13414.97854</v>
      </c>
      <c r="I52" s="201">
        <v>20328.221475999999</v>
      </c>
      <c r="J52" s="201">
        <v>16666.083015</v>
      </c>
    </row>
    <row r="53" spans="2:10" ht="15" customHeight="1">
      <c r="B53" s="200" t="s">
        <v>2130</v>
      </c>
      <c r="C53" s="200" t="s">
        <v>2134</v>
      </c>
      <c r="D53" s="219">
        <v>33861.926102993551</v>
      </c>
      <c r="E53" s="219">
        <v>6327.6462205400876</v>
      </c>
      <c r="F53" s="219">
        <v>18588.432862960806</v>
      </c>
      <c r="G53" s="219">
        <v>36991.426311105504</v>
      </c>
      <c r="H53" s="219">
        <v>31138.041962576477</v>
      </c>
      <c r="I53" s="219">
        <v>7627.8367444750293</v>
      </c>
      <c r="J53" s="219">
        <v>17085.507310909459</v>
      </c>
    </row>
    <row r="54" spans="2:10" ht="15" customHeight="1">
      <c r="B54" s="216" t="s">
        <v>2131</v>
      </c>
      <c r="C54" s="216" t="s">
        <v>158</v>
      </c>
      <c r="D54" s="222">
        <f>D50-D51-D52-D53</f>
        <v>378555.8134775869</v>
      </c>
      <c r="E54" s="222">
        <v>479976.45920600725</v>
      </c>
      <c r="F54" s="222">
        <v>274459.00911568356</v>
      </c>
      <c r="G54" s="222">
        <v>219379.3895616419</v>
      </c>
      <c r="H54" s="222">
        <f>H50-H51-H52-H53</f>
        <v>497253.28077354946</v>
      </c>
      <c r="I54" s="222">
        <f>I50-I51-I52-I53</f>
        <v>402402.67525087018</v>
      </c>
      <c r="J54" s="222">
        <v>271100.52580544655</v>
      </c>
    </row>
    <row r="55" spans="2:10" ht="15" customHeight="1">
      <c r="B55" s="200"/>
      <c r="C55" s="200"/>
      <c r="D55" s="200"/>
      <c r="E55" s="718"/>
      <c r="F55" s="718"/>
      <c r="G55" s="718"/>
      <c r="H55" s="718"/>
      <c r="I55" s="718"/>
      <c r="J55" s="718"/>
    </row>
    <row r="57" spans="2:10" ht="15" customHeight="1">
      <c r="B57" s="439" t="s">
        <v>174</v>
      </c>
      <c r="C57" s="439" t="s">
        <v>175</v>
      </c>
      <c r="D57" s="107" t="str">
        <f>D$6</f>
        <v>4T24</v>
      </c>
      <c r="E57" s="107" t="s">
        <v>87</v>
      </c>
      <c r="F57" s="107" t="s">
        <v>88</v>
      </c>
      <c r="G57" s="107" t="str">
        <f t="shared" ref="G57:J57" si="4">G$6</f>
        <v>3T25</v>
      </c>
      <c r="H57" s="107" t="str">
        <f t="shared" si="4"/>
        <v>4T25</v>
      </c>
      <c r="I57" s="107" t="str">
        <f t="shared" si="4"/>
        <v>1T26</v>
      </c>
      <c r="J57" s="107" t="str">
        <f t="shared" si="4"/>
        <v>2T26</v>
      </c>
    </row>
    <row r="58" spans="2:10" ht="15" customHeight="1">
      <c r="B58" s="210" t="s">
        <v>147</v>
      </c>
      <c r="C58" s="210" t="s">
        <v>148</v>
      </c>
      <c r="D58" s="215">
        <f>D61-D60-D59</f>
        <v>515634.15380922641</v>
      </c>
      <c r="E58" s="215">
        <v>423975.49773079104</v>
      </c>
      <c r="F58" s="215">
        <v>449115.77105701942</v>
      </c>
      <c r="G58" s="215">
        <v>479697.33669353044</v>
      </c>
      <c r="H58" s="215">
        <f>H61-H60-H59</f>
        <v>500269.46966730949</v>
      </c>
      <c r="I58" s="215">
        <v>425497.57256487041</v>
      </c>
      <c r="J58" s="215">
        <v>443238.31488148269</v>
      </c>
    </row>
    <row r="59" spans="2:10" ht="15" customHeight="1">
      <c r="B59" s="210" t="s">
        <v>165</v>
      </c>
      <c r="C59" s="210" t="s">
        <v>176</v>
      </c>
      <c r="D59" s="215">
        <v>15605.762045191401</v>
      </c>
      <c r="E59" s="215">
        <v>13230.080847579631</v>
      </c>
      <c r="F59" s="215">
        <v>13987.054817142349</v>
      </c>
      <c r="G59" s="215">
        <v>15681.67886641417</v>
      </c>
      <c r="H59" s="215">
        <v>16513.220450720601</v>
      </c>
      <c r="I59" s="215">
        <v>14410.421859314887</v>
      </c>
      <c r="J59" s="215">
        <v>15806.990604792778</v>
      </c>
    </row>
    <row r="60" spans="2:10" ht="15" customHeight="1">
      <c r="B60" s="226" t="s">
        <v>149</v>
      </c>
      <c r="C60" s="212" t="s">
        <v>150</v>
      </c>
      <c r="D60" s="215">
        <v>28584.998</v>
      </c>
      <c r="E60" s="215">
        <v>24234.058000000001</v>
      </c>
      <c r="F60" s="215">
        <v>30996.723000000002</v>
      </c>
      <c r="G60" s="215">
        <v>43310.390273459998</v>
      </c>
      <c r="H60" s="215">
        <v>49984.948428889998</v>
      </c>
      <c r="I60" s="215">
        <v>39494.534999999996</v>
      </c>
      <c r="J60" s="215">
        <v>40313.956000000006</v>
      </c>
    </row>
    <row r="61" spans="2:10" ht="15" customHeight="1">
      <c r="B61" s="213" t="s">
        <v>2128</v>
      </c>
      <c r="C61" s="213" t="s">
        <v>2132</v>
      </c>
      <c r="D61" s="214">
        <v>559824.91385441786</v>
      </c>
      <c r="E61" s="651">
        <v>461439.6365783707</v>
      </c>
      <c r="F61" s="651">
        <v>494099.54887416179</v>
      </c>
      <c r="G61" s="651">
        <v>538689.40583340463</v>
      </c>
      <c r="H61" s="214">
        <v>566767.63854692003</v>
      </c>
      <c r="I61" s="214">
        <f>SUM(I58:I60)</f>
        <v>479402.52942418528</v>
      </c>
      <c r="J61" s="214">
        <f>SUM(J58:J60)</f>
        <v>499359.26148627547</v>
      </c>
    </row>
    <row r="62" spans="2:10" ht="15" customHeight="1">
      <c r="B62" s="200" t="s">
        <v>2129</v>
      </c>
      <c r="C62" s="200" t="s">
        <v>2133</v>
      </c>
      <c r="D62" s="219">
        <v>378671.55135199998</v>
      </c>
      <c r="E62" s="219">
        <v>318576.83317434002</v>
      </c>
      <c r="F62" s="219">
        <v>333388.57840276003</v>
      </c>
      <c r="G62" s="219">
        <v>359528.53774270997</v>
      </c>
      <c r="H62" s="219">
        <v>383581.43289030012</v>
      </c>
      <c r="I62" s="219">
        <v>340283.98462970008</v>
      </c>
      <c r="J62" s="219">
        <v>353085.33789263602</v>
      </c>
    </row>
    <row r="63" spans="2:10" ht="15" customHeight="1">
      <c r="B63" s="200" t="s">
        <v>2130</v>
      </c>
      <c r="C63" s="200" t="s">
        <v>2134</v>
      </c>
      <c r="D63" s="219">
        <v>0</v>
      </c>
      <c r="E63" s="219">
        <v>6194.6557131749742</v>
      </c>
      <c r="F63" s="219">
        <v>8512.0068180144244</v>
      </c>
      <c r="G63" s="219">
        <v>5748.6158515018633</v>
      </c>
      <c r="H63" s="219">
        <v>11387.153303054098</v>
      </c>
      <c r="I63" s="219">
        <v>8791.6677418340987</v>
      </c>
      <c r="J63" s="219">
        <v>7741.4922855882196</v>
      </c>
    </row>
    <row r="64" spans="2:10" ht="15" customHeight="1">
      <c r="B64" s="216" t="s">
        <v>2131</v>
      </c>
      <c r="C64" s="216" t="s">
        <v>158</v>
      </c>
      <c r="D64" s="222">
        <f>D61-D62-D63</f>
        <v>181153.36250241788</v>
      </c>
      <c r="E64" s="222">
        <v>136668.14769085569</v>
      </c>
      <c r="F64" s="222">
        <v>152198.96365338733</v>
      </c>
      <c r="G64" s="222">
        <v>173412.25223919278</v>
      </c>
      <c r="H64" s="222">
        <f>H61-H62-H63</f>
        <v>171799.05235356581</v>
      </c>
      <c r="I64" s="222">
        <f>I61-I62-I63</f>
        <v>130326.87705265111</v>
      </c>
      <c r="J64" s="222">
        <v>138532.43130805122</v>
      </c>
    </row>
    <row r="67" spans="2:10" ht="15" customHeight="1">
      <c r="B67" s="439" t="s">
        <v>178</v>
      </c>
      <c r="C67" s="439" t="s">
        <v>179</v>
      </c>
      <c r="D67" s="107" t="str">
        <f>D$6</f>
        <v>4T24</v>
      </c>
      <c r="E67" s="107" t="s">
        <v>87</v>
      </c>
      <c r="F67" s="107" t="s">
        <v>88</v>
      </c>
      <c r="G67" s="107" t="str">
        <f t="shared" ref="G67:J67" si="5">G$6</f>
        <v>3T25</v>
      </c>
      <c r="H67" s="107" t="str">
        <f t="shared" si="5"/>
        <v>4T25</v>
      </c>
      <c r="I67" s="107" t="str">
        <f t="shared" si="5"/>
        <v>1T26</v>
      </c>
      <c r="J67" s="107" t="str">
        <f t="shared" si="5"/>
        <v>2T26</v>
      </c>
    </row>
    <row r="68" spans="2:10" ht="15" customHeight="1">
      <c r="B68" s="210" t="s">
        <v>147</v>
      </c>
      <c r="C68" s="210" t="s">
        <v>148</v>
      </c>
      <c r="D68" s="201">
        <f>D70-D69</f>
        <v>4637367.2401379999</v>
      </c>
      <c r="E68" s="201">
        <v>4596247.3900211994</v>
      </c>
      <c r="F68" s="201">
        <v>4575248.1337395441</v>
      </c>
      <c r="G68" s="201">
        <v>4559901.3799460009</v>
      </c>
      <c r="H68" s="201">
        <f>H70-H69</f>
        <v>4717763.4014267493</v>
      </c>
      <c r="I68" s="201">
        <v>4402438.3761199992</v>
      </c>
      <c r="J68" s="201">
        <v>4677429.8905030014</v>
      </c>
    </row>
    <row r="69" spans="2:10" ht="15" customHeight="1">
      <c r="B69" s="212" t="s">
        <v>149</v>
      </c>
      <c r="C69" s="212" t="s">
        <v>150</v>
      </c>
      <c r="D69" s="201">
        <v>539048.45799999998</v>
      </c>
      <c r="E69" s="201">
        <v>650360.77300000004</v>
      </c>
      <c r="F69" s="201">
        <v>707875.83799999999</v>
      </c>
      <c r="G69" s="201">
        <v>811323.90500000003</v>
      </c>
      <c r="H69" s="201">
        <v>937326.43500000006</v>
      </c>
      <c r="I69" s="201">
        <v>912524.06499999994</v>
      </c>
      <c r="J69" s="201">
        <v>964562.32299999963</v>
      </c>
    </row>
    <row r="70" spans="2:10" ht="15" customHeight="1">
      <c r="B70" s="213" t="s">
        <v>2128</v>
      </c>
      <c r="C70" s="213" t="s">
        <v>2132</v>
      </c>
      <c r="D70" s="214">
        <v>5176415.6981379995</v>
      </c>
      <c r="E70" s="651">
        <v>5246608.1630211994</v>
      </c>
      <c r="F70" s="651">
        <v>5283123.9717395445</v>
      </c>
      <c r="G70" s="651">
        <v>5371225.2849460011</v>
      </c>
      <c r="H70" s="214">
        <v>5655089.8364267498</v>
      </c>
      <c r="I70" s="214">
        <f>SUM(I68:I69)</f>
        <v>5314962.4411199987</v>
      </c>
      <c r="J70" s="214">
        <f>SUM(J68:J69)</f>
        <v>5641992.2135030013</v>
      </c>
    </row>
    <row r="71" spans="2:10" ht="15" customHeight="1">
      <c r="B71" s="200" t="s">
        <v>2129</v>
      </c>
      <c r="C71" s="200" t="s">
        <v>2133</v>
      </c>
      <c r="D71" s="201">
        <v>4652270.2511709994</v>
      </c>
      <c r="E71" s="201">
        <v>4402822.6974839978</v>
      </c>
      <c r="F71" s="201">
        <v>4543605.4945889991</v>
      </c>
      <c r="G71" s="201">
        <v>4526228.238398998</v>
      </c>
      <c r="H71" s="201">
        <v>5000558.3470619991</v>
      </c>
      <c r="I71" s="201">
        <v>4476627.3002959862</v>
      </c>
      <c r="J71" s="201">
        <v>4795679.4001519987</v>
      </c>
    </row>
    <row r="72" spans="2:10" ht="15" customHeight="1">
      <c r="B72" s="200" t="s">
        <v>155</v>
      </c>
      <c r="C72" s="200" t="s">
        <v>156</v>
      </c>
      <c r="D72" s="201">
        <v>3266.5562369999998</v>
      </c>
      <c r="E72" s="201">
        <v>3212.4917049999999</v>
      </c>
      <c r="F72" s="201">
        <v>1285.336609</v>
      </c>
      <c r="G72" s="201">
        <v>1912.300117</v>
      </c>
      <c r="H72" s="201">
        <v>1082.0827839999999</v>
      </c>
      <c r="I72" s="201">
        <v>710.57900000000006</v>
      </c>
      <c r="J72" s="201">
        <v>513.32900000000006</v>
      </c>
    </row>
    <row r="73" spans="2:10" ht="15" customHeight="1">
      <c r="B73" s="200" t="s">
        <v>2130</v>
      </c>
      <c r="C73" s="200" t="s">
        <v>2134</v>
      </c>
      <c r="D73" s="219">
        <v>160202.400161</v>
      </c>
      <c r="E73" s="219">
        <v>225772.13746199996</v>
      </c>
      <c r="F73" s="219">
        <v>237850.89749400015</v>
      </c>
      <c r="G73" s="219">
        <v>207639.359757</v>
      </c>
      <c r="H73" s="219">
        <v>176780.62816800005</v>
      </c>
      <c r="I73" s="219">
        <v>282413.7109399999</v>
      </c>
      <c r="J73" s="219">
        <v>246545.44713200006</v>
      </c>
    </row>
    <row r="74" spans="2:10" ht="15" customHeight="1">
      <c r="B74" s="216" t="s">
        <v>2131</v>
      </c>
      <c r="C74" s="216" t="s">
        <v>158</v>
      </c>
      <c r="D74" s="222">
        <f>D70-D71-D72-D73</f>
        <v>360676.49056900013</v>
      </c>
      <c r="E74" s="222">
        <v>614800.83637020155</v>
      </c>
      <c r="F74" s="222">
        <v>500382.24304754531</v>
      </c>
      <c r="G74" s="222">
        <v>635445.38667300309</v>
      </c>
      <c r="H74" s="222">
        <f>H70-H71-H72-H73</f>
        <v>476668.77841275069</v>
      </c>
      <c r="I74" s="222">
        <f>I70-I71-I72-I73</f>
        <v>555210.85088401253</v>
      </c>
      <c r="J74" s="222">
        <v>599254.03721900238</v>
      </c>
    </row>
    <row r="75" spans="2:10" ht="15" customHeight="1">
      <c r="B75" s="200"/>
      <c r="C75" s="200"/>
      <c r="D75" s="227"/>
      <c r="E75" s="718"/>
      <c r="F75" s="227"/>
      <c r="G75" s="227"/>
      <c r="H75" s="227"/>
      <c r="I75" s="718"/>
      <c r="J75" s="718"/>
    </row>
    <row r="77" spans="2:10" ht="15" customHeight="1">
      <c r="B77" s="439" t="s">
        <v>180</v>
      </c>
      <c r="C77" s="439" t="s">
        <v>181</v>
      </c>
      <c r="D77" s="107" t="str">
        <f>D$6</f>
        <v>4T24</v>
      </c>
      <c r="E77" s="107" t="s">
        <v>87</v>
      </c>
      <c r="F77" s="107" t="s">
        <v>88</v>
      </c>
      <c r="G77" s="107" t="str">
        <f t="shared" ref="G77:J77" si="6">G$6</f>
        <v>3T25</v>
      </c>
      <c r="H77" s="107" t="str">
        <f t="shared" si="6"/>
        <v>4T25</v>
      </c>
      <c r="I77" s="107" t="str">
        <f t="shared" si="6"/>
        <v>1T26</v>
      </c>
      <c r="J77" s="107" t="str">
        <f t="shared" si="6"/>
        <v>2T26</v>
      </c>
    </row>
    <row r="78" spans="2:10" ht="15" customHeight="1">
      <c r="B78" s="210" t="s">
        <v>147</v>
      </c>
      <c r="C78" s="210" t="s">
        <v>148</v>
      </c>
      <c r="D78" s="201">
        <f t="shared" ref="D78:H78" si="7">D58+D48+D38+D28+D17+D7+D68</f>
        <v>17128478.144903578</v>
      </c>
      <c r="E78" s="201">
        <v>16353032.554532556</v>
      </c>
      <c r="F78" s="201">
        <v>16199757.87332158</v>
      </c>
      <c r="G78" s="201">
        <f t="shared" ref="G78" si="8">G58+G48+G38+G28+G17+G7+G68</f>
        <v>16472121.196598276</v>
      </c>
      <c r="H78" s="201">
        <f t="shared" si="7"/>
        <v>17391327.711714283</v>
      </c>
      <c r="I78" s="201">
        <f t="shared" ref="I78:J78" si="9">I58+I48+I38+I28+I17+I7+I68</f>
        <v>16525389.069288023</v>
      </c>
      <c r="J78" s="201">
        <f t="shared" si="9"/>
        <v>16533922.842377309</v>
      </c>
    </row>
    <row r="79" spans="2:10" ht="15" customHeight="1">
      <c r="B79" s="210" t="s">
        <v>165</v>
      </c>
      <c r="C79" s="210" t="s">
        <v>176</v>
      </c>
      <c r="D79" s="201">
        <f t="shared" ref="D79:H79" si="10">D59+D18</f>
        <v>89702.883067527087</v>
      </c>
      <c r="E79" s="201">
        <v>81674.878861868536</v>
      </c>
      <c r="F79" s="201">
        <v>88721.857866881939</v>
      </c>
      <c r="G79" s="201">
        <f t="shared" ref="G79" si="11">G59+G18</f>
        <v>92473.11307025775</v>
      </c>
      <c r="H79" s="201">
        <f t="shared" si="10"/>
        <v>93007.544117666606</v>
      </c>
      <c r="I79" s="201">
        <f t="shared" ref="I79:J79" si="12">I59+I18</f>
        <v>81361.147057993585</v>
      </c>
      <c r="J79" s="201">
        <f t="shared" si="12"/>
        <v>83277.783102628207</v>
      </c>
    </row>
    <row r="80" spans="2:10" ht="15" customHeight="1">
      <c r="B80" s="226" t="s">
        <v>149</v>
      </c>
      <c r="C80" s="212" t="s">
        <v>150</v>
      </c>
      <c r="D80" s="201">
        <f t="shared" ref="D80:H82" si="13">D60+D49+D39+D29+D19+D8+D69</f>
        <v>1654432.1745572998</v>
      </c>
      <c r="E80" s="201">
        <v>1736226.0775323901</v>
      </c>
      <c r="F80" s="201">
        <v>1854878.2357825201</v>
      </c>
      <c r="G80" s="201">
        <f t="shared" ref="G80" si="14">G60+G49+G39+G29+G19+G8+G69</f>
        <v>2134174.3042657701</v>
      </c>
      <c r="H80" s="201">
        <f t="shared" si="13"/>
        <v>2467508.4403426601</v>
      </c>
      <c r="I80" s="201">
        <f t="shared" ref="I80:J80" si="15">I60+I49+I39+I29+I19+I8+I69</f>
        <v>2330152.0529999998</v>
      </c>
      <c r="J80" s="201">
        <f t="shared" si="15"/>
        <v>2376645.3849999998</v>
      </c>
    </row>
    <row r="81" spans="2:10" ht="15" customHeight="1">
      <c r="B81" s="213" t="s">
        <v>2128</v>
      </c>
      <c r="C81" s="213" t="s">
        <v>2132</v>
      </c>
      <c r="D81" s="228">
        <f t="shared" si="13"/>
        <v>18872613.202528406</v>
      </c>
      <c r="E81" s="228">
        <v>18170933.510926813</v>
      </c>
      <c r="F81" s="228">
        <v>18143357.96697098</v>
      </c>
      <c r="G81" s="228">
        <f t="shared" ref="G81" si="16">G61+G50+G40+G30+G20+G9+G70</f>
        <v>18698768.613934305</v>
      </c>
      <c r="H81" s="228">
        <f t="shared" si="13"/>
        <v>19951843.69617461</v>
      </c>
      <c r="I81" s="228">
        <f t="shared" ref="I81:J81" si="17">I61+I50+I40+I30+I20+I9+I70</f>
        <v>18936902.269346017</v>
      </c>
      <c r="J81" s="228">
        <f t="shared" si="17"/>
        <v>18993846.010479938</v>
      </c>
    </row>
    <row r="82" spans="2:10" ht="15" customHeight="1">
      <c r="B82" s="200" t="s">
        <v>2129</v>
      </c>
      <c r="C82" s="200" t="s">
        <v>2133</v>
      </c>
      <c r="D82" s="229">
        <f t="shared" si="13"/>
        <v>15076101.838072501</v>
      </c>
      <c r="E82" s="229">
        <v>14433390.902203102</v>
      </c>
      <c r="F82" s="229">
        <v>14455333.990940833</v>
      </c>
      <c r="G82" s="229">
        <f t="shared" ref="G82" si="18">G62+G51+G41+G31+G21+G10+G71</f>
        <v>14755473.317208491</v>
      </c>
      <c r="H82" s="229">
        <f t="shared" si="13"/>
        <v>15808371.7718601</v>
      </c>
      <c r="I82" s="229">
        <f t="shared" ref="I82:J82" si="19">I62+I51+I41+I31+I21+I10+I71</f>
        <v>15068088.175522797</v>
      </c>
      <c r="J82" s="229">
        <f t="shared" si="19"/>
        <v>15261006.948844548</v>
      </c>
    </row>
    <row r="83" spans="2:10" ht="15" customHeight="1">
      <c r="B83" s="200" t="s">
        <v>155</v>
      </c>
      <c r="C83" s="200" t="s">
        <v>156</v>
      </c>
      <c r="D83" s="229">
        <f t="shared" ref="D83:H83" si="20">+D11+D22+D32+D42+D52+D72</f>
        <v>89352.744643547732</v>
      </c>
      <c r="E83" s="229">
        <v>85132.881586488802</v>
      </c>
      <c r="F83" s="229">
        <v>82461.809178043317</v>
      </c>
      <c r="G83" s="229">
        <f t="shared" ref="G83" si="21">+G11+G22+G32+G42+G52+G72</f>
        <v>85014.27677969959</v>
      </c>
      <c r="H83" s="229">
        <f t="shared" si="20"/>
        <v>82570.851797287629</v>
      </c>
      <c r="I83" s="229">
        <f t="shared" ref="I83:J83" si="22">+I11+I22+I32+I42+I52+I72</f>
        <v>83131.344389630191</v>
      </c>
      <c r="J83" s="229">
        <f t="shared" si="22"/>
        <v>82438.052798128352</v>
      </c>
    </row>
    <row r="84" spans="2:10" ht="15" customHeight="1">
      <c r="B84" s="200" t="s">
        <v>2130</v>
      </c>
      <c r="C84" s="200" t="s">
        <v>2134</v>
      </c>
      <c r="D84" s="229">
        <f>+D12+D23+D33+D43+D53+D63+D73</f>
        <v>398660.89039941598</v>
      </c>
      <c r="E84" s="229">
        <v>370259.37865927868</v>
      </c>
      <c r="F84" s="229">
        <v>367817.80597913644</v>
      </c>
      <c r="G84" s="229">
        <f t="shared" ref="G84" si="23">+G12+G23+G33+G43+G53+G63+G73</f>
        <v>409390.73473706469</v>
      </c>
      <c r="H84" s="229">
        <f>+H12+H23+H33+H43+H53+H63+H73</f>
        <v>445119.14147213998</v>
      </c>
      <c r="I84" s="229">
        <f>+I12+I23+I33+I43+I53+I63+I73</f>
        <v>456591.07207617251</v>
      </c>
      <c r="J84" s="229">
        <f>+J12+J23+J33+J43+J53+J63+J73</f>
        <v>370180.68358806631</v>
      </c>
    </row>
    <row r="85" spans="2:10" ht="15" customHeight="1">
      <c r="B85" s="216" t="s">
        <v>2131</v>
      </c>
      <c r="C85" s="216" t="s">
        <v>158</v>
      </c>
      <c r="D85" s="230">
        <f>D81-D82-D83-D84</f>
        <v>3308497.7294129413</v>
      </c>
      <c r="E85" s="230">
        <v>3282150.3484779438</v>
      </c>
      <c r="F85" s="230">
        <v>3237744.3608729672</v>
      </c>
      <c r="G85" s="230">
        <f t="shared" ref="G85" si="24">G81-G82-G83-G84</f>
        <v>3448890.285209049</v>
      </c>
      <c r="H85" s="230">
        <f>H81-H82-H83-H84</f>
        <v>3615781.9310450824</v>
      </c>
      <c r="I85" s="230">
        <f>I81-I82-I83-I84</f>
        <v>3329091.677357418</v>
      </c>
      <c r="J85" s="230">
        <f>J81-J82-J83-J84</f>
        <v>3280220.3252491956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79998168889431442"/>
  </sheetPr>
  <dimension ref="B6:BB50"/>
  <sheetViews>
    <sheetView showGridLines="0" zoomScale="90" zoomScaleNormal="90" workbookViewId="0">
      <pane xSplit="3" topLeftCell="AM1" activePane="topRight" state="frozen"/>
      <selection pane="topRight" activeCell="AM31" sqref="AM31"/>
    </sheetView>
  </sheetViews>
  <sheetFormatPr defaultColWidth="9.21875" defaultRowHeight="15" customHeight="1" outlineLevelCol="1"/>
  <cols>
    <col min="1" max="1" width="8.5546875" style="35" customWidth="1"/>
    <col min="2" max="3" width="33.5546875" style="35" customWidth="1"/>
    <col min="4" max="27" width="9.21875" style="35" hidden="1" customWidth="1" outlineLevel="1"/>
    <col min="28" max="28" width="9.21875" style="35" collapsed="1"/>
    <col min="29" max="41" width="9.21875" style="35"/>
    <col min="42" max="42" width="9.21875" style="35" customWidth="1"/>
    <col min="43" max="16384" width="9.21875" style="35"/>
  </cols>
  <sheetData>
    <row r="6" spans="2:54" ht="15" customHeight="1">
      <c r="B6" s="439" t="s">
        <v>182</v>
      </c>
      <c r="C6" s="439" t="s">
        <v>183</v>
      </c>
      <c r="D6" s="107" t="s">
        <v>39</v>
      </c>
      <c r="E6" s="107" t="s">
        <v>40</v>
      </c>
      <c r="F6" s="107" t="s">
        <v>41</v>
      </c>
      <c r="G6" s="107" t="s">
        <v>42</v>
      </c>
      <c r="H6" s="107" t="s">
        <v>43</v>
      </c>
      <c r="I6" s="107" t="s">
        <v>44</v>
      </c>
      <c r="J6" s="107" t="s">
        <v>45</v>
      </c>
      <c r="K6" s="107" t="s">
        <v>46</v>
      </c>
      <c r="L6" s="107" t="s">
        <v>47</v>
      </c>
      <c r="M6" s="107" t="s">
        <v>48</v>
      </c>
      <c r="N6" s="107" t="s">
        <v>49</v>
      </c>
      <c r="O6" s="107" t="s">
        <v>50</v>
      </c>
      <c r="P6" s="107" t="s">
        <v>51</v>
      </c>
      <c r="Q6" s="107" t="s">
        <v>52</v>
      </c>
      <c r="R6" s="107" t="s">
        <v>53</v>
      </c>
      <c r="S6" s="107" t="s">
        <v>54</v>
      </c>
      <c r="T6" s="107" t="s">
        <v>55</v>
      </c>
      <c r="U6" s="107" t="s">
        <v>56</v>
      </c>
      <c r="V6" s="107" t="s">
        <v>57</v>
      </c>
      <c r="W6" s="107" t="s">
        <v>58</v>
      </c>
      <c r="X6" s="107" t="s">
        <v>59</v>
      </c>
      <c r="Y6" s="107" t="s">
        <v>60</v>
      </c>
      <c r="Z6" s="107" t="s">
        <v>61</v>
      </c>
      <c r="AA6" s="107" t="s">
        <v>62</v>
      </c>
      <c r="AB6" s="107" t="s">
        <v>63</v>
      </c>
      <c r="AC6" s="107" t="s">
        <v>64</v>
      </c>
      <c r="AD6" s="107" t="s">
        <v>65</v>
      </c>
      <c r="AE6" s="107" t="s">
        <v>66</v>
      </c>
      <c r="AF6" s="107" t="s">
        <v>67</v>
      </c>
      <c r="AG6" s="107" t="s">
        <v>68</v>
      </c>
      <c r="AH6" s="107" t="s">
        <v>69</v>
      </c>
      <c r="AI6" s="107" t="s">
        <v>70</v>
      </c>
      <c r="AJ6" s="107" t="s">
        <v>71</v>
      </c>
      <c r="AK6" s="107" t="s">
        <v>72</v>
      </c>
      <c r="AL6" s="107" t="s">
        <v>73</v>
      </c>
      <c r="AM6" s="107" t="s">
        <v>74</v>
      </c>
      <c r="AN6" s="107" t="s">
        <v>75</v>
      </c>
      <c r="AO6" s="107" t="s">
        <v>76</v>
      </c>
      <c r="AP6" s="107" t="s">
        <v>77</v>
      </c>
      <c r="AQ6" s="107" t="s">
        <v>78</v>
      </c>
      <c r="AR6" s="107" t="s">
        <v>79</v>
      </c>
      <c r="AS6" s="107" t="s">
        <v>80</v>
      </c>
      <c r="AT6" s="107" t="s">
        <v>81</v>
      </c>
      <c r="AU6" s="107" t="s">
        <v>82</v>
      </c>
      <c r="AV6" s="107" t="s">
        <v>83</v>
      </c>
      <c r="AW6" s="107" t="s">
        <v>84</v>
      </c>
      <c r="AX6" s="107" t="s">
        <v>85</v>
      </c>
      <c r="AY6" s="107" t="s">
        <v>86</v>
      </c>
      <c r="AZ6" s="107" t="s">
        <v>87</v>
      </c>
      <c r="BA6" s="107" t="s">
        <v>88</v>
      </c>
      <c r="BB6" s="107" t="s">
        <v>2074</v>
      </c>
    </row>
    <row r="7" spans="2:54" ht="15" customHeight="1">
      <c r="B7" s="35" t="s">
        <v>184</v>
      </c>
      <c r="C7" s="549" t="s">
        <v>185</v>
      </c>
      <c r="D7" s="231">
        <v>0.20399999999999999</v>
      </c>
      <c r="E7" s="231">
        <v>0.21099999999999999</v>
      </c>
      <c r="F7" s="231">
        <v>0.20300000000000001</v>
      </c>
      <c r="G7" s="231">
        <v>0.192</v>
      </c>
      <c r="H7" s="231">
        <v>0.184</v>
      </c>
      <c r="I7" s="231">
        <v>0.17800000000000002</v>
      </c>
      <c r="J7" s="231">
        <v>0.17300000000000001</v>
      </c>
      <c r="K7" s="231">
        <v>0.17499999999999999</v>
      </c>
      <c r="L7" s="231">
        <v>0.17499999999999999</v>
      </c>
      <c r="M7" s="231">
        <v>0.17499999999999999</v>
      </c>
      <c r="N7" s="231">
        <v>0.17599999999999999</v>
      </c>
      <c r="O7" s="231">
        <v>0.176199838248808</v>
      </c>
      <c r="P7" s="231">
        <v>0.17909437086152299</v>
      </c>
      <c r="Q7" s="231">
        <v>0.17649999999999999</v>
      </c>
      <c r="R7" s="231">
        <v>0.17879999999999999</v>
      </c>
      <c r="S7" s="231">
        <v>0.18</v>
      </c>
      <c r="T7" s="231">
        <v>0.182</v>
      </c>
      <c r="U7" s="231">
        <v>0.18566853180816301</v>
      </c>
      <c r="V7" s="231">
        <v>0.18262627354739236</v>
      </c>
      <c r="W7" s="231">
        <v>0.17169999999999999</v>
      </c>
      <c r="X7" s="231">
        <v>0.16824362535968129</v>
      </c>
      <c r="Y7" s="231">
        <v>0.16205050385974984</v>
      </c>
      <c r="Z7" s="231">
        <v>0.16393569989413093</v>
      </c>
      <c r="AA7" s="231">
        <v>0.17179012499843882</v>
      </c>
      <c r="AB7" s="231">
        <v>0.17291314590934259</v>
      </c>
      <c r="AC7" s="231">
        <v>0.17713369649527966</v>
      </c>
      <c r="AD7" s="231">
        <v>0.17840109874919027</v>
      </c>
      <c r="AE7" s="231">
        <v>0.17979999999999999</v>
      </c>
      <c r="AF7" s="231">
        <v>0.17979999999999999</v>
      </c>
      <c r="AG7" s="232">
        <v>0.18168769806578233</v>
      </c>
      <c r="AH7" s="232">
        <v>0.18297100873058453</v>
      </c>
      <c r="AI7" s="232">
        <v>0.18517686272279757</v>
      </c>
      <c r="AJ7" s="232">
        <v>0.18607808429425879</v>
      </c>
      <c r="AK7" s="232">
        <v>0.19204933947059077</v>
      </c>
      <c r="AL7" s="232">
        <v>0.19061168960495567</v>
      </c>
      <c r="AM7" s="232">
        <v>0.18559690778059945</v>
      </c>
      <c r="AN7" s="232">
        <v>0.18396044277580881</v>
      </c>
      <c r="AO7" s="232">
        <v>0.17750347496152219</v>
      </c>
      <c r="AP7" s="232">
        <v>0.17521342967885201</v>
      </c>
      <c r="AQ7" s="232">
        <v>0.17599853133764087</v>
      </c>
      <c r="AR7" s="232">
        <v>0.17505656609810605</v>
      </c>
      <c r="AS7" s="232">
        <v>0.17492486304942734</v>
      </c>
      <c r="AT7" s="232">
        <v>0.1773518553195087</v>
      </c>
      <c r="AU7" s="232">
        <v>0.17905343603870516</v>
      </c>
      <c r="AV7" s="232">
        <v>0.18161869053220414</v>
      </c>
      <c r="AW7" s="232">
        <v>0.17854108133998203</v>
      </c>
      <c r="AX7" s="232">
        <v>0.17758750711022253</v>
      </c>
      <c r="AY7" s="232">
        <v>0.17865037695522745</v>
      </c>
      <c r="AZ7" s="232">
        <v>0.17684786077674242</v>
      </c>
      <c r="BA7" s="232">
        <v>0.18294138228563994</v>
      </c>
      <c r="BB7" s="232">
        <v>0.18418994061183513</v>
      </c>
    </row>
    <row r="8" spans="2:54" ht="15" customHeight="1">
      <c r="B8" s="35" t="s">
        <v>186</v>
      </c>
      <c r="C8" s="549" t="s">
        <v>187</v>
      </c>
      <c r="D8" s="231">
        <v>0.221</v>
      </c>
      <c r="E8" s="231">
        <v>0.221</v>
      </c>
      <c r="F8" s="231">
        <v>0.19600000000000001</v>
      </c>
      <c r="G8" s="231">
        <v>0.19600000000000001</v>
      </c>
      <c r="H8" s="231">
        <v>0.19600000000000001</v>
      </c>
      <c r="I8" s="231">
        <v>0.19600000000000001</v>
      </c>
      <c r="J8" s="231">
        <v>0.192</v>
      </c>
      <c r="K8" s="231">
        <v>0.19400000000000001</v>
      </c>
      <c r="L8" s="231">
        <v>0.19400000000000001</v>
      </c>
      <c r="M8" s="231">
        <v>0.19400000000000001</v>
      </c>
      <c r="N8" s="231">
        <v>0.193</v>
      </c>
      <c r="O8" s="231">
        <v>0.193</v>
      </c>
      <c r="P8" s="231">
        <v>0.193</v>
      </c>
      <c r="Q8" s="231">
        <v>0.193</v>
      </c>
      <c r="R8" s="231">
        <v>0.19700000000000001</v>
      </c>
      <c r="S8" s="231">
        <v>0.19700000000000001</v>
      </c>
      <c r="T8" s="231">
        <v>0.19700000000000001</v>
      </c>
      <c r="U8" s="231">
        <v>0.19700000000000001</v>
      </c>
      <c r="V8" s="231">
        <v>0.18609999999999999</v>
      </c>
      <c r="W8" s="231">
        <v>0.18609999999999999</v>
      </c>
      <c r="X8" s="231">
        <v>0.18609999999999999</v>
      </c>
      <c r="Y8" s="231">
        <v>0.18609999999999999</v>
      </c>
      <c r="Z8" s="231">
        <v>0.18327149017897226</v>
      </c>
      <c r="AA8" s="231">
        <v>0.18327149017897226</v>
      </c>
      <c r="AB8" s="231">
        <v>0.18327149017897226</v>
      </c>
      <c r="AC8" s="231">
        <v>0.18327149017897226</v>
      </c>
      <c r="AD8" s="231">
        <v>0.18</v>
      </c>
      <c r="AE8" s="231">
        <v>0.18</v>
      </c>
      <c r="AF8" s="231">
        <v>0.18</v>
      </c>
      <c r="AG8" s="231">
        <v>0.18</v>
      </c>
      <c r="AH8" s="231">
        <v>0.17672663134438332</v>
      </c>
      <c r="AI8" s="233">
        <v>0.17672663134438332</v>
      </c>
      <c r="AJ8" s="231">
        <v>0.17672663134438332</v>
      </c>
      <c r="AK8" s="231">
        <v>0.17672663134438332</v>
      </c>
      <c r="AL8" s="231">
        <v>0.17672663134438332</v>
      </c>
      <c r="AM8" s="231">
        <v>0.16873440963319131</v>
      </c>
      <c r="AN8" s="231">
        <v>0.16873440963319131</v>
      </c>
      <c r="AO8" s="231">
        <v>0.16873440963319131</v>
      </c>
      <c r="AP8" s="231">
        <v>0.16873440963319131</v>
      </c>
      <c r="AQ8" s="231">
        <v>0.16865795815283147</v>
      </c>
      <c r="AR8" s="231">
        <v>0.16865795815283147</v>
      </c>
      <c r="AS8" s="231">
        <v>0.16865795815283147</v>
      </c>
      <c r="AT8" s="231">
        <v>0.17254580292624228</v>
      </c>
      <c r="AU8" s="231">
        <v>0.17254580292624228</v>
      </c>
      <c r="AV8" s="231">
        <v>0.17254580292624228</v>
      </c>
      <c r="AW8" s="231">
        <v>0.17254580292624228</v>
      </c>
      <c r="AX8" s="231">
        <v>0.17523433474891539</v>
      </c>
      <c r="AY8" s="231">
        <v>0.175234334748915</v>
      </c>
      <c r="AZ8" s="231">
        <v>0.17523433474891539</v>
      </c>
      <c r="BA8" s="231">
        <v>0.17502837976770971</v>
      </c>
      <c r="BB8" s="231">
        <v>0.18735663745933434</v>
      </c>
    </row>
    <row r="9" spans="2:54" ht="15" customHeight="1">
      <c r="B9" s="35" t="s">
        <v>188</v>
      </c>
      <c r="C9" s="549" t="s">
        <v>189</v>
      </c>
      <c r="D9" s="231">
        <v>0.13400000000000001</v>
      </c>
      <c r="E9" s="231">
        <v>0.14400000000000002</v>
      </c>
      <c r="F9" s="231">
        <v>0.1717700063748393</v>
      </c>
      <c r="G9" s="231">
        <v>0.151</v>
      </c>
      <c r="H9" s="231">
        <v>0.13699999999999998</v>
      </c>
      <c r="I9" s="231">
        <v>0.127</v>
      </c>
      <c r="J9" s="231">
        <v>0.11900000000000001</v>
      </c>
      <c r="K9" s="231">
        <v>0.12</v>
      </c>
      <c r="L9" s="231">
        <v>0.121</v>
      </c>
      <c r="M9" s="231">
        <v>0.123</v>
      </c>
      <c r="N9" s="231">
        <v>0.12479999999999999</v>
      </c>
      <c r="O9" s="231">
        <v>0.12447999999999999</v>
      </c>
      <c r="P9" s="231">
        <v>0.126</v>
      </c>
      <c r="Q9" s="231">
        <v>0.12139999999999999</v>
      </c>
      <c r="R9" s="231">
        <v>0.124</v>
      </c>
      <c r="S9" s="231">
        <v>0.126</v>
      </c>
      <c r="T9" s="231">
        <v>0.129</v>
      </c>
      <c r="U9" s="231">
        <v>0.13589999999999999</v>
      </c>
      <c r="V9" s="231">
        <v>9.6964563192851558E-2</v>
      </c>
      <c r="W9" s="231">
        <v>7.8895291742047791E-2</v>
      </c>
      <c r="X9" s="231">
        <v>7.3008851798598118E-2</v>
      </c>
      <c r="Y9" s="231">
        <v>6.3077347410219586E-2</v>
      </c>
      <c r="Z9" s="231">
        <v>6.6130938726216476E-2</v>
      </c>
      <c r="AA9" s="231">
        <v>7.8921601126283325E-2</v>
      </c>
      <c r="AB9" s="231">
        <v>8.0904583212362269E-2</v>
      </c>
      <c r="AC9" s="231">
        <v>8.807883414882979E-2</v>
      </c>
      <c r="AD9" s="231">
        <v>9.0454246915269626E-2</v>
      </c>
      <c r="AE9" s="231">
        <v>9.3270604794756393E-2</v>
      </c>
      <c r="AF9" s="231">
        <v>9.4323917598623588E-2</v>
      </c>
      <c r="AG9" s="232">
        <v>9.6377583997914573E-2</v>
      </c>
      <c r="AH9" s="232">
        <v>9.8536125212530884E-2</v>
      </c>
      <c r="AI9" s="232">
        <v>0.10200357077375576</v>
      </c>
      <c r="AJ9" s="232">
        <v>0.1036660668341369</v>
      </c>
      <c r="AK9" s="232">
        <v>0.11471081951278143</v>
      </c>
      <c r="AL9" s="232">
        <v>0.13235862892714054</v>
      </c>
      <c r="AM9" s="232">
        <v>0.12343732255701434</v>
      </c>
      <c r="AN9" s="232">
        <v>0.12064913827033218</v>
      </c>
      <c r="AO9" s="232">
        <v>0.10934786193060655</v>
      </c>
      <c r="AP9" s="232">
        <v>0.10559168894264709</v>
      </c>
      <c r="AQ9" s="232">
        <v>0.10695880964962552</v>
      </c>
      <c r="AR9" s="232">
        <v>0.1054180738615413</v>
      </c>
      <c r="AS9" s="232">
        <v>0.10499501867384084</v>
      </c>
      <c r="AT9" s="232">
        <v>0.10889751032307839</v>
      </c>
      <c r="AU9" s="232">
        <v>0.11158597187299998</v>
      </c>
      <c r="AV9" s="232">
        <v>0.11560289756054763</v>
      </c>
      <c r="AW9" s="232">
        <v>0.10970054718443183</v>
      </c>
      <c r="AX9" s="232">
        <v>0.10792708574656383</v>
      </c>
      <c r="AY9" s="232">
        <v>0.10954535504185216</v>
      </c>
      <c r="AZ9" s="232">
        <v>0.10636734522285261</v>
      </c>
      <c r="BA9" s="232">
        <v>0.11704128728498787</v>
      </c>
      <c r="BB9" s="232">
        <v>0.1083492882685413</v>
      </c>
    </row>
    <row r="10" spans="2:54" ht="15" customHeight="1">
      <c r="B10" s="35" t="s">
        <v>190</v>
      </c>
      <c r="C10" s="549" t="s">
        <v>191</v>
      </c>
      <c r="D10" s="231">
        <v>0.16220000000000001</v>
      </c>
      <c r="E10" s="231">
        <v>0.16220000000000001</v>
      </c>
      <c r="F10" s="231">
        <v>0.1593</v>
      </c>
      <c r="G10" s="231">
        <v>0.1593</v>
      </c>
      <c r="H10" s="231">
        <v>0.1593</v>
      </c>
      <c r="I10" s="231">
        <v>0.1593</v>
      </c>
      <c r="J10" s="231">
        <v>0.15640000000000001</v>
      </c>
      <c r="K10" s="231">
        <v>0.15640000000000001</v>
      </c>
      <c r="L10" s="231">
        <v>0.15640000000000001</v>
      </c>
      <c r="M10" s="231">
        <v>0.15640000000000001</v>
      </c>
      <c r="N10" s="231">
        <v>0.1535</v>
      </c>
      <c r="O10" s="231">
        <v>0.1535</v>
      </c>
      <c r="P10" s="231">
        <v>0.1535</v>
      </c>
      <c r="Q10" s="231">
        <v>0.1535</v>
      </c>
      <c r="R10" s="231">
        <v>0.1507</v>
      </c>
      <c r="S10" s="231">
        <v>0.1507</v>
      </c>
      <c r="T10" s="231">
        <v>0.1507</v>
      </c>
      <c r="U10" s="231">
        <v>0.1507</v>
      </c>
      <c r="V10" s="231">
        <v>0.1031</v>
      </c>
      <c r="W10" s="231">
        <v>0.1031</v>
      </c>
      <c r="X10" s="231">
        <v>0.1031</v>
      </c>
      <c r="Y10" s="231">
        <v>0.1031</v>
      </c>
      <c r="Z10" s="231">
        <v>9.8299999999999998E-2</v>
      </c>
      <c r="AA10" s="231">
        <v>9.8299999999999998E-2</v>
      </c>
      <c r="AB10" s="231">
        <v>9.8299999999999998E-2</v>
      </c>
      <c r="AC10" s="231">
        <v>9.8299999999999998E-2</v>
      </c>
      <c r="AD10" s="231">
        <v>9.3399999999999997E-2</v>
      </c>
      <c r="AE10" s="231">
        <v>9.3399999999999997E-2</v>
      </c>
      <c r="AF10" s="231">
        <v>9.3399999999999997E-2</v>
      </c>
      <c r="AG10" s="231">
        <v>9.3399999999999997E-2</v>
      </c>
      <c r="AH10" s="231">
        <v>8.8599999999999998E-2</v>
      </c>
      <c r="AI10" s="233">
        <v>8.8599999999999998E-2</v>
      </c>
      <c r="AJ10" s="231">
        <v>8.8599999999999998E-2</v>
      </c>
      <c r="AK10" s="231">
        <v>8.8599999999999998E-2</v>
      </c>
      <c r="AL10" s="231">
        <v>8.8599999999999998E-2</v>
      </c>
      <c r="AM10" s="231">
        <v>8.8599999999999998E-2</v>
      </c>
      <c r="AN10" s="231">
        <v>9.5100000000000004E-2</v>
      </c>
      <c r="AO10" s="231">
        <v>9.5100000000000004E-2</v>
      </c>
      <c r="AP10" s="231">
        <v>9.5100000000000004E-2</v>
      </c>
      <c r="AQ10" s="231">
        <v>9.5113000000000003E-2</v>
      </c>
      <c r="AR10" s="231">
        <v>9.5113000000000003E-2</v>
      </c>
      <c r="AS10" s="231">
        <v>9.5113000000000003E-2</v>
      </c>
      <c r="AT10" s="231">
        <v>9.5113000000000003E-2</v>
      </c>
      <c r="AU10" s="231">
        <v>9.5113000000000003E-2</v>
      </c>
      <c r="AV10" s="231">
        <v>9.5113000000000003E-2</v>
      </c>
      <c r="AW10" s="231">
        <v>9.5113000000000003E-2</v>
      </c>
      <c r="AX10" s="231">
        <v>9.5113000000000003E-2</v>
      </c>
      <c r="AY10" s="231">
        <v>9.5113000000000003E-2</v>
      </c>
      <c r="AZ10" s="231">
        <v>9.5113000000000003E-2</v>
      </c>
      <c r="BA10" s="231">
        <v>9.5112999999999948E-2</v>
      </c>
      <c r="BB10" s="231">
        <v>9.5833600294599863E-2</v>
      </c>
    </row>
    <row r="12" spans="2:54" ht="15" customHeight="1">
      <c r="B12" s="439" t="s">
        <v>192</v>
      </c>
      <c r="C12" s="439" t="s">
        <v>193</v>
      </c>
      <c r="D12" s="107" t="s">
        <v>39</v>
      </c>
      <c r="E12" s="107" t="s">
        <v>40</v>
      </c>
      <c r="F12" s="107" t="s">
        <v>41</v>
      </c>
      <c r="G12" s="107" t="s">
        <v>42</v>
      </c>
      <c r="H12" s="107" t="s">
        <v>43</v>
      </c>
      <c r="I12" s="107" t="s">
        <v>44</v>
      </c>
      <c r="J12" s="107" t="s">
        <v>45</v>
      </c>
      <c r="K12" s="107" t="s">
        <v>46</v>
      </c>
      <c r="L12" s="107" t="s">
        <v>47</v>
      </c>
      <c r="M12" s="107" t="s">
        <v>48</v>
      </c>
      <c r="N12" s="107" t="s">
        <v>49</v>
      </c>
      <c r="O12" s="107" t="s">
        <v>50</v>
      </c>
      <c r="P12" s="107" t="s">
        <v>51</v>
      </c>
      <c r="Q12" s="107" t="s">
        <v>52</v>
      </c>
      <c r="R12" s="107" t="s">
        <v>53</v>
      </c>
      <c r="S12" s="107" t="s">
        <v>54</v>
      </c>
      <c r="T12" s="107" t="s">
        <v>55</v>
      </c>
      <c r="U12" s="107" t="s">
        <v>56</v>
      </c>
      <c r="V12" s="107" t="s">
        <v>57</v>
      </c>
      <c r="W12" s="107" t="s">
        <v>58</v>
      </c>
      <c r="X12" s="107" t="s">
        <v>59</v>
      </c>
      <c r="Y12" s="107" t="s">
        <v>60</v>
      </c>
      <c r="Z12" s="107" t="s">
        <v>61</v>
      </c>
      <c r="AA12" s="107" t="s">
        <v>62</v>
      </c>
      <c r="AB12" s="107" t="str">
        <f t="shared" ref="AB12:AP12" si="0">AB6</f>
        <v>1T19</v>
      </c>
      <c r="AC12" s="107" t="str">
        <f t="shared" si="0"/>
        <v>2T19</v>
      </c>
      <c r="AD12" s="107" t="str">
        <f t="shared" si="0"/>
        <v>3T19</v>
      </c>
      <c r="AE12" s="107" t="str">
        <f t="shared" si="0"/>
        <v>4T19</v>
      </c>
      <c r="AF12" s="107" t="str">
        <f t="shared" si="0"/>
        <v>1T20</v>
      </c>
      <c r="AG12" s="107" t="str">
        <f t="shared" si="0"/>
        <v>2T20</v>
      </c>
      <c r="AH12" s="107" t="str">
        <f t="shared" si="0"/>
        <v>3T20</v>
      </c>
      <c r="AI12" s="107" t="str">
        <f t="shared" si="0"/>
        <v>4T20</v>
      </c>
      <c r="AJ12" s="107" t="str">
        <f t="shared" si="0"/>
        <v>1T21</v>
      </c>
      <c r="AK12" s="107" t="str">
        <f t="shared" si="0"/>
        <v>2T21</v>
      </c>
      <c r="AL12" s="107" t="str">
        <f t="shared" si="0"/>
        <v>3T21</v>
      </c>
      <c r="AM12" s="107" t="str">
        <f t="shared" si="0"/>
        <v>4T21</v>
      </c>
      <c r="AN12" s="107" t="str">
        <f t="shared" si="0"/>
        <v>1T22</v>
      </c>
      <c r="AO12" s="107" t="str">
        <f t="shared" si="0"/>
        <v>2T22</v>
      </c>
      <c r="AP12" s="107" t="str">
        <f t="shared" si="0"/>
        <v>3T22</v>
      </c>
      <c r="AQ12" s="107" t="str">
        <f t="shared" ref="AQ12:AV12" si="1">AQ6</f>
        <v>4T22</v>
      </c>
      <c r="AR12" s="107" t="str">
        <f t="shared" si="1"/>
        <v>1T23</v>
      </c>
      <c r="AS12" s="107" t="str">
        <f t="shared" si="1"/>
        <v>2T23</v>
      </c>
      <c r="AT12" s="107" t="str">
        <f t="shared" si="1"/>
        <v>3T23</v>
      </c>
      <c r="AU12" s="107" t="str">
        <f t="shared" si="1"/>
        <v>4T23</v>
      </c>
      <c r="AV12" s="107" t="str">
        <f t="shared" si="1"/>
        <v>1T24</v>
      </c>
      <c r="AW12" s="107" t="str">
        <f>AW6</f>
        <v>2T24</v>
      </c>
      <c r="AX12" s="107" t="s">
        <v>85</v>
      </c>
      <c r="AY12" s="107" t="str">
        <f>AY6</f>
        <v>4T24</v>
      </c>
      <c r="AZ12" s="107" t="str">
        <f>AZ6</f>
        <v>1T25</v>
      </c>
      <c r="BA12" s="107" t="str">
        <f>BA6</f>
        <v>2T25</v>
      </c>
      <c r="BB12" s="107" t="str">
        <f>BB6</f>
        <v>3T25</v>
      </c>
    </row>
    <row r="13" spans="2:54" ht="15" customHeight="1">
      <c r="B13" s="35" t="s">
        <v>184</v>
      </c>
      <c r="C13" s="549" t="s">
        <v>185</v>
      </c>
      <c r="D13" s="231">
        <v>0.35899999999999999</v>
      </c>
      <c r="E13" s="231">
        <v>0.36399999999999999</v>
      </c>
      <c r="F13" s="231">
        <v>0.36499999999999999</v>
      </c>
      <c r="G13" s="231">
        <v>0.35499999999999998</v>
      </c>
      <c r="H13" s="231">
        <v>0.34229999999999999</v>
      </c>
      <c r="I13" s="231">
        <v>0.33</v>
      </c>
      <c r="J13" s="231">
        <v>0.31739999999999996</v>
      </c>
      <c r="K13" s="231">
        <v>0.31230000000000002</v>
      </c>
      <c r="L13" s="231">
        <v>0.30819999999999997</v>
      </c>
      <c r="M13" s="231">
        <v>0.31790000000000002</v>
      </c>
      <c r="N13" s="231">
        <v>0.313</v>
      </c>
      <c r="O13" s="231">
        <v>0.29199999999999998</v>
      </c>
      <c r="P13" s="231">
        <v>0.29899999999999999</v>
      </c>
      <c r="Q13" s="231">
        <v>0.28599999999999998</v>
      </c>
      <c r="R13" s="231">
        <v>0.27740833395485837</v>
      </c>
      <c r="S13" s="231">
        <v>0.28299999999999997</v>
      </c>
      <c r="T13" s="231">
        <v>0.27500000000000002</v>
      </c>
      <c r="U13" s="231">
        <v>0.26848285526087551</v>
      </c>
      <c r="V13" s="231">
        <v>0.2747</v>
      </c>
      <c r="W13" s="231">
        <v>0.27498462406192092</v>
      </c>
      <c r="X13" s="231">
        <v>0.27247976178614941</v>
      </c>
      <c r="Y13" s="231">
        <v>0.27179999999999999</v>
      </c>
      <c r="Z13" s="231">
        <v>0.27464948770005304</v>
      </c>
      <c r="AA13" s="231">
        <v>0.28328254029990624</v>
      </c>
      <c r="AB13" s="231">
        <v>0.29175970669242846</v>
      </c>
      <c r="AC13" s="231">
        <v>0.30076450070818872</v>
      </c>
      <c r="AD13" s="231">
        <v>0.30268722922097668</v>
      </c>
      <c r="AE13" s="231">
        <v>0.30070000000000002</v>
      </c>
      <c r="AF13" s="231">
        <v>0.29539914843159332</v>
      </c>
      <c r="AG13" s="232">
        <v>0.29844823505088053</v>
      </c>
      <c r="AH13" s="232">
        <v>0.29873302822854936</v>
      </c>
      <c r="AI13" s="232">
        <v>0.30760986850439564</v>
      </c>
      <c r="AJ13" s="232">
        <v>0.30740335941120434</v>
      </c>
      <c r="AK13" s="232">
        <v>0.30134556585218542</v>
      </c>
      <c r="AL13" s="232">
        <v>0.29821148130602593</v>
      </c>
      <c r="AM13" s="232">
        <v>0.28988648787978799</v>
      </c>
      <c r="AN13" s="232">
        <v>0.28537363443686103</v>
      </c>
      <c r="AO13" s="232">
        <v>0.27924078115361051</v>
      </c>
      <c r="AP13" s="232">
        <v>0.27714206858934387</v>
      </c>
      <c r="AQ13" s="232">
        <v>0.27502009038693154</v>
      </c>
      <c r="AR13" s="232">
        <v>0.27289805826383517</v>
      </c>
      <c r="AS13" s="232">
        <v>0.27564501710991074</v>
      </c>
      <c r="AT13" s="232">
        <v>0.27565012709042713</v>
      </c>
      <c r="AU13" s="232">
        <v>0.27163340654044987</v>
      </c>
      <c r="AV13" s="232">
        <v>0.27211546076232207</v>
      </c>
      <c r="AW13" s="232">
        <v>0.27392749502380997</v>
      </c>
      <c r="AX13" s="232">
        <v>0.27750849933237365</v>
      </c>
      <c r="AY13" s="232">
        <v>0.28218875217803574</v>
      </c>
      <c r="AZ13" s="232">
        <v>0.28497910977380714</v>
      </c>
      <c r="BA13" s="232">
        <v>0.28577698112056871</v>
      </c>
      <c r="BB13" s="232">
        <v>0.2868893689361075</v>
      </c>
    </row>
    <row r="14" spans="2:54" ht="15" customHeight="1">
      <c r="B14" s="35" t="s">
        <v>186</v>
      </c>
      <c r="C14" s="549" t="s">
        <v>187</v>
      </c>
      <c r="D14" s="231">
        <v>0.29799999999999999</v>
      </c>
      <c r="E14" s="231">
        <v>0.29799999999999999</v>
      </c>
      <c r="F14" s="231">
        <v>0.28499999999999998</v>
      </c>
      <c r="G14" s="231">
        <v>0.28499999999999998</v>
      </c>
      <c r="H14" s="231">
        <v>0.28499999999999998</v>
      </c>
      <c r="I14" s="231">
        <v>0.28499999999999998</v>
      </c>
      <c r="J14" s="231">
        <v>0.27100000000000002</v>
      </c>
      <c r="K14" s="231">
        <v>0.27100000000000002</v>
      </c>
      <c r="L14" s="231">
        <v>0.27100000000000002</v>
      </c>
      <c r="M14" s="231">
        <v>0.27100000000000002</v>
      </c>
      <c r="N14" s="231">
        <v>0.26</v>
      </c>
      <c r="O14" s="231">
        <v>0.26</v>
      </c>
      <c r="P14" s="231">
        <v>0.26</v>
      </c>
      <c r="Q14" s="231">
        <v>0.26</v>
      </c>
      <c r="R14" s="231">
        <v>0.26800000000000002</v>
      </c>
      <c r="S14" s="231">
        <v>0.26800000000000002</v>
      </c>
      <c r="T14" s="231">
        <v>0.26800000000000002</v>
      </c>
      <c r="U14" s="231">
        <v>0.26800000000000002</v>
      </c>
      <c r="V14" s="231">
        <v>0.26860000000000001</v>
      </c>
      <c r="W14" s="231">
        <v>0.26860000000000001</v>
      </c>
      <c r="X14" s="231">
        <v>0.26860000000000001</v>
      </c>
      <c r="Y14" s="231">
        <v>0.26860000000000001</v>
      </c>
      <c r="Z14" s="231">
        <v>0.26836495921154813</v>
      </c>
      <c r="AA14" s="231">
        <v>0.26836495921154813</v>
      </c>
      <c r="AB14" s="231">
        <v>0.26836495921154813</v>
      </c>
      <c r="AC14" s="231">
        <v>0.26836495921154813</v>
      </c>
      <c r="AD14" s="231">
        <v>0.27479999999999999</v>
      </c>
      <c r="AE14" s="231">
        <v>0.27479999999999999</v>
      </c>
      <c r="AF14" s="231">
        <v>0.27479999999999999</v>
      </c>
      <c r="AG14" s="231">
        <v>0.27479999999999999</v>
      </c>
      <c r="AH14" s="231">
        <v>0.27595900380149785</v>
      </c>
      <c r="AI14" s="233">
        <v>0.27595900380149785</v>
      </c>
      <c r="AJ14" s="231">
        <v>0.27595900380149785</v>
      </c>
      <c r="AK14" s="231">
        <v>0.27595900380149785</v>
      </c>
      <c r="AL14" s="231">
        <v>0.27595900380149785</v>
      </c>
      <c r="AM14" s="231">
        <v>0.2728880804436844</v>
      </c>
      <c r="AN14" s="231">
        <v>0.2728880804436844</v>
      </c>
      <c r="AO14" s="231">
        <v>0.2728880804436844</v>
      </c>
      <c r="AP14" s="231">
        <v>0.2728880804436844</v>
      </c>
      <c r="AQ14" s="231">
        <v>0.27009571838486929</v>
      </c>
      <c r="AR14" s="231">
        <v>0.27009571838486929</v>
      </c>
      <c r="AS14" s="231">
        <v>0.27009571838486929</v>
      </c>
      <c r="AT14" s="231">
        <v>0.28240744381582511</v>
      </c>
      <c r="AU14" s="231">
        <v>0.28240744381582511</v>
      </c>
      <c r="AV14" s="231">
        <v>0.28240744381582511</v>
      </c>
      <c r="AW14" s="231">
        <v>0.28240744381582511</v>
      </c>
      <c r="AX14" s="231">
        <v>0.28499140834718606</v>
      </c>
      <c r="AY14" s="231">
        <v>0.28499140834718606</v>
      </c>
      <c r="AZ14" s="231">
        <v>0.28499140834718606</v>
      </c>
      <c r="BA14" s="231">
        <v>0.28479006568345011</v>
      </c>
      <c r="BB14" s="231">
        <v>0.28562216056070477</v>
      </c>
    </row>
    <row r="15" spans="2:54" ht="15" customHeight="1">
      <c r="B15" s="35" t="s">
        <v>188</v>
      </c>
      <c r="C15" s="549" t="s">
        <v>189</v>
      </c>
      <c r="D15" s="231">
        <v>0.61099999999999999</v>
      </c>
      <c r="E15" s="231">
        <v>0.628</v>
      </c>
      <c r="F15" s="231">
        <v>0.63180000000000003</v>
      </c>
      <c r="G15" s="231">
        <v>0.59499999999999997</v>
      </c>
      <c r="H15" s="231">
        <v>0.54659999999999997</v>
      </c>
      <c r="I15" s="231">
        <v>0.50159999999999993</v>
      </c>
      <c r="J15" s="231">
        <v>0.45659999999999995</v>
      </c>
      <c r="K15" s="231">
        <v>0.43719999999999998</v>
      </c>
      <c r="L15" s="231">
        <v>0.4244</v>
      </c>
      <c r="M15" s="231">
        <v>0.45240000000000002</v>
      </c>
      <c r="N15" s="231">
        <v>0.442</v>
      </c>
      <c r="O15" s="231">
        <v>0.38600000000000001</v>
      </c>
      <c r="P15" s="231">
        <v>0.41200000000000003</v>
      </c>
      <c r="Q15" s="231">
        <v>0.38500000000000001</v>
      </c>
      <c r="R15" s="231">
        <v>0.362061612128598</v>
      </c>
      <c r="S15" s="231">
        <v>0.37769999999999998</v>
      </c>
      <c r="T15" s="231">
        <v>0.35699999999999998</v>
      </c>
      <c r="U15" s="231">
        <v>0.33961892297739954</v>
      </c>
      <c r="V15" s="231">
        <v>0.35670000000000002</v>
      </c>
      <c r="W15" s="231">
        <v>0.35738618006315037</v>
      </c>
      <c r="X15" s="231">
        <v>0.35096542621079702</v>
      </c>
      <c r="Y15" s="231">
        <v>0.34910000000000002</v>
      </c>
      <c r="Z15" s="231">
        <v>0.35783788546236373</v>
      </c>
      <c r="AA15" s="231">
        <v>0.38392683755609003</v>
      </c>
      <c r="AB15" s="231">
        <v>0.40903256472089217</v>
      </c>
      <c r="AC15" s="231">
        <v>0.43718656821452112</v>
      </c>
      <c r="AD15" s="231">
        <v>0.40978253647210638</v>
      </c>
      <c r="AE15" s="231">
        <v>0.4022003276311964</v>
      </c>
      <c r="AF15" s="231">
        <v>0.38570735170145692</v>
      </c>
      <c r="AG15" s="232">
        <v>0.38924982343854164</v>
      </c>
      <c r="AH15" s="232">
        <v>0.39119293024327861</v>
      </c>
      <c r="AI15" s="232">
        <v>0.4152481588264153</v>
      </c>
      <c r="AJ15" s="232">
        <v>0.41320376856704605</v>
      </c>
      <c r="AK15" s="232">
        <v>0.39869572031993111</v>
      </c>
      <c r="AL15" s="232">
        <v>0.38805744988467866</v>
      </c>
      <c r="AM15" s="232">
        <v>0.36567636070062398</v>
      </c>
      <c r="AN15" s="232">
        <v>0.3548789850342251</v>
      </c>
      <c r="AO15" s="232">
        <v>0.33999218820319432</v>
      </c>
      <c r="AP15" s="232">
        <v>0.33413962610353648</v>
      </c>
      <c r="AQ15" s="232">
        <v>0.32772237022536799</v>
      </c>
      <c r="AR15" s="232">
        <v>0.32134998398581949</v>
      </c>
      <c r="AS15" s="232">
        <v>0.32700780837132087</v>
      </c>
      <c r="AT15" s="232">
        <v>0.32152644364816119</v>
      </c>
      <c r="AU15" s="232">
        <v>0.30922577950181707</v>
      </c>
      <c r="AV15" s="232">
        <v>0.30929684275649133</v>
      </c>
      <c r="AW15" s="232">
        <v>0.31124997893602074</v>
      </c>
      <c r="AX15" s="232">
        <v>0.31854703430298986</v>
      </c>
      <c r="AY15" s="232">
        <v>0.33055129724652649</v>
      </c>
      <c r="AZ15" s="232">
        <v>0.33739827997379324</v>
      </c>
      <c r="BA15" s="232">
        <v>0.34129054561296607</v>
      </c>
      <c r="BB15" s="232">
        <v>0.34547957266381013</v>
      </c>
    </row>
    <row r="16" spans="2:54" ht="15" customHeight="1">
      <c r="B16" s="35" t="s">
        <v>190</v>
      </c>
      <c r="C16" s="549" t="s">
        <v>191</v>
      </c>
      <c r="D16" s="231">
        <v>0.378</v>
      </c>
      <c r="E16" s="231">
        <v>0.378</v>
      </c>
      <c r="F16" s="231">
        <v>0.378</v>
      </c>
      <c r="G16" s="231">
        <v>0.378</v>
      </c>
      <c r="H16" s="231">
        <v>0.378</v>
      </c>
      <c r="I16" s="231">
        <v>0.378</v>
      </c>
      <c r="J16" s="231">
        <v>0.378</v>
      </c>
      <c r="K16" s="231">
        <v>0.378</v>
      </c>
      <c r="L16" s="231">
        <v>0.378</v>
      </c>
      <c r="M16" s="231">
        <v>0.378</v>
      </c>
      <c r="N16" s="231">
        <v>0.34</v>
      </c>
      <c r="O16" s="231">
        <v>0.34</v>
      </c>
      <c r="P16" s="231">
        <v>0.34</v>
      </c>
      <c r="Q16" s="231">
        <v>0.34</v>
      </c>
      <c r="R16" s="231">
        <v>0.34</v>
      </c>
      <c r="S16" s="231">
        <v>0.34</v>
      </c>
      <c r="T16" s="231">
        <v>0.34</v>
      </c>
      <c r="U16" s="231">
        <v>0.34</v>
      </c>
      <c r="V16" s="231">
        <v>0.34</v>
      </c>
      <c r="W16" s="231">
        <v>0.34</v>
      </c>
      <c r="X16" s="231">
        <v>0.34</v>
      </c>
      <c r="Y16" s="231">
        <v>0.34</v>
      </c>
      <c r="Z16" s="231">
        <v>0.34</v>
      </c>
      <c r="AA16" s="231">
        <v>0.34</v>
      </c>
      <c r="AB16" s="231">
        <v>0.34</v>
      </c>
      <c r="AC16" s="231">
        <v>0.34</v>
      </c>
      <c r="AD16" s="231">
        <v>0.33500000000000002</v>
      </c>
      <c r="AE16" s="231">
        <v>0.33500000000000002</v>
      </c>
      <c r="AF16" s="231">
        <v>0.33500000000000002</v>
      </c>
      <c r="AG16" s="231">
        <v>0.33500000000000002</v>
      </c>
      <c r="AH16" s="231">
        <v>0.33</v>
      </c>
      <c r="AI16" s="233">
        <v>0.33</v>
      </c>
      <c r="AJ16" s="231">
        <v>0.33</v>
      </c>
      <c r="AK16" s="231">
        <v>0.33</v>
      </c>
      <c r="AL16" s="231">
        <v>0.33</v>
      </c>
      <c r="AM16" s="231">
        <v>0.33</v>
      </c>
      <c r="AN16" s="231">
        <v>0.32500000000000001</v>
      </c>
      <c r="AO16" s="231">
        <v>0.32500000000000001</v>
      </c>
      <c r="AP16" s="231">
        <v>0.32500000000000001</v>
      </c>
      <c r="AQ16" s="231">
        <v>0.32</v>
      </c>
      <c r="AR16" s="231">
        <v>0.32</v>
      </c>
      <c r="AS16" s="231">
        <v>0.32</v>
      </c>
      <c r="AT16" s="231">
        <v>0.33734199999999998</v>
      </c>
      <c r="AU16" s="231">
        <v>0.33734199999999998</v>
      </c>
      <c r="AV16" s="231">
        <v>0.33734199999999998</v>
      </c>
      <c r="AW16" s="231">
        <v>0.33734199999999998</v>
      </c>
      <c r="AX16" s="231">
        <v>0.33156099999999999</v>
      </c>
      <c r="AY16" s="231">
        <v>0.33156099999999999</v>
      </c>
      <c r="AZ16" s="231">
        <v>0.33156099999999999</v>
      </c>
      <c r="BA16" s="231">
        <v>0.33200304553871157</v>
      </c>
      <c r="BB16" s="231">
        <v>0.33057385694135277</v>
      </c>
    </row>
    <row r="18" spans="2:54" ht="15" customHeight="1">
      <c r="B18" s="439" t="s">
        <v>194</v>
      </c>
      <c r="C18" s="439" t="s">
        <v>195</v>
      </c>
      <c r="D18" s="107" t="s">
        <v>39</v>
      </c>
      <c r="E18" s="107" t="s">
        <v>40</v>
      </c>
      <c r="F18" s="107" t="s">
        <v>41</v>
      </c>
      <c r="G18" s="107" t="s">
        <v>42</v>
      </c>
      <c r="H18" s="107" t="s">
        <v>43</v>
      </c>
      <c r="I18" s="107" t="s">
        <v>44</v>
      </c>
      <c r="J18" s="107" t="s">
        <v>45</v>
      </c>
      <c r="K18" s="107" t="s">
        <v>46</v>
      </c>
      <c r="L18" s="107" t="s">
        <v>47</v>
      </c>
      <c r="M18" s="107" t="s">
        <v>48</v>
      </c>
      <c r="N18" s="107" t="s">
        <v>49</v>
      </c>
      <c r="O18" s="107" t="s">
        <v>50</v>
      </c>
      <c r="P18" s="107" t="s">
        <v>51</v>
      </c>
      <c r="Q18" s="107" t="s">
        <v>52</v>
      </c>
      <c r="R18" s="107" t="s">
        <v>53</v>
      </c>
      <c r="S18" s="107" t="s">
        <v>54</v>
      </c>
      <c r="T18" s="107" t="s">
        <v>55</v>
      </c>
      <c r="U18" s="107" t="s">
        <v>56</v>
      </c>
      <c r="V18" s="107" t="s">
        <v>57</v>
      </c>
      <c r="W18" s="107" t="s">
        <v>58</v>
      </c>
      <c r="X18" s="107" t="s">
        <v>59</v>
      </c>
      <c r="Y18" s="107" t="s">
        <v>60</v>
      </c>
      <c r="Z18" s="107" t="s">
        <v>61</v>
      </c>
      <c r="AA18" s="107" t="s">
        <v>62</v>
      </c>
      <c r="AB18" s="107" t="str">
        <f t="shared" ref="AB18:AP18" si="2">AB12</f>
        <v>1T19</v>
      </c>
      <c r="AC18" s="107" t="str">
        <f t="shared" si="2"/>
        <v>2T19</v>
      </c>
      <c r="AD18" s="107" t="str">
        <f t="shared" si="2"/>
        <v>3T19</v>
      </c>
      <c r="AE18" s="107" t="str">
        <f t="shared" si="2"/>
        <v>4T19</v>
      </c>
      <c r="AF18" s="107" t="str">
        <f t="shared" si="2"/>
        <v>1T20</v>
      </c>
      <c r="AG18" s="107" t="str">
        <f t="shared" si="2"/>
        <v>2T20</v>
      </c>
      <c r="AH18" s="107" t="str">
        <f t="shared" si="2"/>
        <v>3T20</v>
      </c>
      <c r="AI18" s="107" t="str">
        <f t="shared" si="2"/>
        <v>4T20</v>
      </c>
      <c r="AJ18" s="107" t="str">
        <f t="shared" si="2"/>
        <v>1T21</v>
      </c>
      <c r="AK18" s="107" t="str">
        <f t="shared" si="2"/>
        <v>2T21</v>
      </c>
      <c r="AL18" s="107" t="str">
        <f t="shared" si="2"/>
        <v>3T21</v>
      </c>
      <c r="AM18" s="107" t="str">
        <f t="shared" si="2"/>
        <v>4T21</v>
      </c>
      <c r="AN18" s="107" t="str">
        <f t="shared" si="2"/>
        <v>1T22</v>
      </c>
      <c r="AO18" s="107" t="str">
        <f t="shared" si="2"/>
        <v>2T22</v>
      </c>
      <c r="AP18" s="107" t="str">
        <f t="shared" si="2"/>
        <v>3T22</v>
      </c>
      <c r="AQ18" s="107" t="str">
        <f t="shared" ref="AQ18:AV18" si="3">AQ12</f>
        <v>4T22</v>
      </c>
      <c r="AR18" s="107" t="str">
        <f t="shared" si="3"/>
        <v>1T23</v>
      </c>
      <c r="AS18" s="107" t="str">
        <f t="shared" si="3"/>
        <v>2T23</v>
      </c>
      <c r="AT18" s="107" t="str">
        <f t="shared" si="3"/>
        <v>3T23</v>
      </c>
      <c r="AU18" s="107" t="str">
        <f t="shared" si="3"/>
        <v>4T23</v>
      </c>
      <c r="AV18" s="107" t="str">
        <f t="shared" si="3"/>
        <v>1T24</v>
      </c>
      <c r="AW18" s="107" t="str">
        <f>AW12</f>
        <v>2T24</v>
      </c>
      <c r="AX18" s="107" t="s">
        <v>85</v>
      </c>
      <c r="AY18" s="107" t="str">
        <f>AY12</f>
        <v>4T24</v>
      </c>
      <c r="AZ18" s="107" t="str">
        <f>AZ12</f>
        <v>1T25</v>
      </c>
      <c r="BA18" s="107" t="str">
        <f>BA12</f>
        <v>2T25</v>
      </c>
      <c r="BB18" s="107" t="str">
        <f>BB12</f>
        <v>3T25</v>
      </c>
    </row>
    <row r="19" spans="2:54" ht="15" customHeight="1">
      <c r="B19" s="35" t="s">
        <v>184</v>
      </c>
      <c r="C19" s="549" t="s">
        <v>185</v>
      </c>
      <c r="D19" s="231"/>
      <c r="E19" s="231"/>
      <c r="F19" s="231">
        <v>0.30141007230531625</v>
      </c>
      <c r="G19" s="231">
        <v>0.29949758185187503</v>
      </c>
      <c r="H19" s="231">
        <v>0.28960293952991201</v>
      </c>
      <c r="I19" s="231">
        <v>0.29182094924008273</v>
      </c>
      <c r="J19" s="231">
        <v>0.2896071265568757</v>
      </c>
      <c r="K19" s="231">
        <v>0.29297258221127598</v>
      </c>
      <c r="L19" s="231">
        <v>0.29609154938967863</v>
      </c>
      <c r="M19" s="231">
        <v>0.2945710211449748</v>
      </c>
      <c r="N19" s="231">
        <v>0.29961878852996893</v>
      </c>
      <c r="O19" s="231">
        <v>0.30483985584789891</v>
      </c>
      <c r="P19" s="231">
        <v>0.30929247612883248</v>
      </c>
      <c r="Q19" s="231">
        <v>0.31239668236310164</v>
      </c>
      <c r="R19" s="231">
        <v>0.31076671194462818</v>
      </c>
      <c r="S19" s="231">
        <v>0.30672511503235733</v>
      </c>
      <c r="T19" s="231">
        <v>0.29964618364199114</v>
      </c>
      <c r="U19" s="231">
        <v>0.29303535952935117</v>
      </c>
      <c r="V19" s="231">
        <v>0.28846690741001885</v>
      </c>
      <c r="W19" s="231">
        <v>0.28030713388356315</v>
      </c>
      <c r="X19" s="231">
        <v>0.2736683101408976</v>
      </c>
      <c r="Y19" s="231">
        <v>0.26889417345754468</v>
      </c>
      <c r="Z19" s="231">
        <v>0.26406811468501867</v>
      </c>
      <c r="AA19" s="231">
        <v>0.28069007450577588</v>
      </c>
      <c r="AB19" s="231">
        <v>0.28170191454485716</v>
      </c>
      <c r="AC19" s="231">
        <v>0.27776649521931346</v>
      </c>
      <c r="AD19" s="231">
        <v>0.27484187119753822</v>
      </c>
      <c r="AE19" s="231">
        <v>0.24299999999999999</v>
      </c>
      <c r="AF19" s="231">
        <v>0.23256545235711668</v>
      </c>
      <c r="AG19" s="232">
        <v>0.22922413424990606</v>
      </c>
      <c r="AH19" s="232">
        <v>0.22514454512024679</v>
      </c>
      <c r="AI19" s="232">
        <v>0.21549019482196458</v>
      </c>
      <c r="AJ19" s="232">
        <v>0.21313403874320311</v>
      </c>
      <c r="AK19" s="232">
        <v>0.20609160491894551</v>
      </c>
      <c r="AL19" s="232">
        <v>0.19667770311760169</v>
      </c>
      <c r="AM19" s="232">
        <v>0.19693734444602462</v>
      </c>
      <c r="AN19" s="232">
        <v>0.19380809634378604</v>
      </c>
      <c r="AO19" s="232">
        <v>0.18930587565017043</v>
      </c>
      <c r="AP19" s="232">
        <v>0.18477400066131688</v>
      </c>
      <c r="AQ19" s="232">
        <v>0.18177181227493033</v>
      </c>
      <c r="AR19" s="232">
        <v>0.18185813573096332</v>
      </c>
      <c r="AS19" s="232">
        <v>0.18183104402854067</v>
      </c>
      <c r="AT19" s="232">
        <v>0.18049072329469829</v>
      </c>
      <c r="AU19" s="232">
        <v>0.18197447340868145</v>
      </c>
      <c r="AV19" s="232">
        <v>0.18108196532889664</v>
      </c>
      <c r="AW19" s="232">
        <v>0.17761358841330277</v>
      </c>
      <c r="AX19" s="232">
        <v>0.17584207409255714</v>
      </c>
      <c r="AY19" s="232">
        <v>0.17431584511030818</v>
      </c>
      <c r="AZ19" s="232">
        <v>0.17078881337969631</v>
      </c>
      <c r="BA19" s="232">
        <v>0.17382128772280081</v>
      </c>
      <c r="BB19" s="232">
        <v>0.17429812049088311</v>
      </c>
    </row>
    <row r="20" spans="2:54" ht="15" customHeight="1">
      <c r="B20" s="35" t="s">
        <v>186</v>
      </c>
      <c r="C20" s="549" t="s">
        <v>187</v>
      </c>
      <c r="D20" s="231"/>
      <c r="E20" s="231"/>
      <c r="F20" s="231">
        <v>0.2213</v>
      </c>
      <c r="G20" s="231">
        <v>0.2213</v>
      </c>
      <c r="H20" s="231">
        <v>0.2213</v>
      </c>
      <c r="I20" s="231">
        <v>0.2213</v>
      </c>
      <c r="J20" s="231">
        <v>0.21529999999999999</v>
      </c>
      <c r="K20" s="231">
        <v>0.21529999999999999</v>
      </c>
      <c r="L20" s="231">
        <v>0.21529999999999999</v>
      </c>
      <c r="M20" s="231">
        <v>0.21529999999999999</v>
      </c>
      <c r="N20" s="231">
        <v>0.21010000000000001</v>
      </c>
      <c r="O20" s="231">
        <v>0.21010000000000001</v>
      </c>
      <c r="P20" s="231">
        <v>0.21010000000000001</v>
      </c>
      <c r="Q20" s="231">
        <v>0.21010000000000001</v>
      </c>
      <c r="R20" s="231">
        <v>0.2019</v>
      </c>
      <c r="S20" s="231">
        <v>0.2019</v>
      </c>
      <c r="T20" s="231">
        <v>0.2019</v>
      </c>
      <c r="U20" s="231">
        <v>0.2019</v>
      </c>
      <c r="V20" s="231">
        <v>0.25981223788808383</v>
      </c>
      <c r="W20" s="231">
        <v>0.25981223788808383</v>
      </c>
      <c r="X20" s="231">
        <v>0.25981223788808383</v>
      </c>
      <c r="Y20" s="231">
        <v>0.25981223788808383</v>
      </c>
      <c r="Z20" s="231">
        <v>0.25981223788808383</v>
      </c>
      <c r="AA20" s="231">
        <v>0.20288126851930299</v>
      </c>
      <c r="AB20" s="231">
        <v>0.20288126851930299</v>
      </c>
      <c r="AC20" s="231">
        <v>0.20288126851930299</v>
      </c>
      <c r="AD20" s="231">
        <v>0.20288126851930299</v>
      </c>
      <c r="AE20" s="231">
        <v>0.20288126851930299</v>
      </c>
      <c r="AF20" s="231">
        <v>0.20288126851930299</v>
      </c>
      <c r="AG20" s="231">
        <v>0.20288126851930299</v>
      </c>
      <c r="AH20" s="231">
        <v>0.20288126851930299</v>
      </c>
      <c r="AI20" s="233">
        <v>0.20485603270165514</v>
      </c>
      <c r="AJ20" s="231">
        <v>0.20485603270165514</v>
      </c>
      <c r="AK20" s="231">
        <v>0.20485603270165501</v>
      </c>
      <c r="AL20" s="231">
        <v>0.20485603270165514</v>
      </c>
      <c r="AM20" s="231">
        <v>0.20421353004874881</v>
      </c>
      <c r="AN20" s="231">
        <v>0.20421353004874881</v>
      </c>
      <c r="AO20" s="231">
        <v>0.20421353004874881</v>
      </c>
      <c r="AP20" s="231">
        <v>0.20421353004874881</v>
      </c>
      <c r="AQ20" s="231">
        <v>0.2034914622664506</v>
      </c>
      <c r="AR20" s="231">
        <v>0.2034914622664506</v>
      </c>
      <c r="AS20" s="231">
        <v>0.2034914622664506</v>
      </c>
      <c r="AT20" s="231">
        <v>0.2034914622664506</v>
      </c>
      <c r="AU20" s="231">
        <v>0.19598378853520299</v>
      </c>
      <c r="AV20" s="231">
        <v>0.19598378853520299</v>
      </c>
      <c r="AW20" s="231">
        <v>0.19598378853520299</v>
      </c>
      <c r="AX20" s="231">
        <v>0.19598378853520299</v>
      </c>
      <c r="AY20" s="231">
        <v>0.19492170976379339</v>
      </c>
      <c r="AZ20" s="231">
        <v>0.19492170976379339</v>
      </c>
      <c r="BA20" s="231">
        <v>0.19535508372652413</v>
      </c>
      <c r="BB20" s="231">
        <v>0.19509353527253226</v>
      </c>
    </row>
    <row r="21" spans="2:54" ht="15" customHeight="1">
      <c r="B21" s="35" t="s">
        <v>188</v>
      </c>
      <c r="C21" s="549" t="s">
        <v>189</v>
      </c>
      <c r="D21" s="231"/>
      <c r="E21" s="231"/>
      <c r="F21" s="231">
        <v>0.36222984019600052</v>
      </c>
      <c r="G21" s="231">
        <v>0.35587286403632534</v>
      </c>
      <c r="H21" s="231">
        <v>0.3312273407908024</v>
      </c>
      <c r="I21" s="231">
        <v>0.33644764559293949</v>
      </c>
      <c r="J21" s="231">
        <v>0.33233217911324825</v>
      </c>
      <c r="K21" s="231">
        <v>0.34166104802148706</v>
      </c>
      <c r="L21" s="231">
        <v>0.34945774346871417</v>
      </c>
      <c r="M21" s="231">
        <v>0.3452573331718265</v>
      </c>
      <c r="N21" s="231">
        <v>0.35614685255363576</v>
      </c>
      <c r="O21" s="231">
        <v>0.36865351548488096</v>
      </c>
      <c r="P21" s="231">
        <v>0.38023244231472936</v>
      </c>
      <c r="Q21" s="231">
        <v>0.38760313319825312</v>
      </c>
      <c r="R21" s="231">
        <v>0.38214862850597858</v>
      </c>
      <c r="S21" s="231">
        <v>0.37038021476451594</v>
      </c>
      <c r="T21" s="231">
        <v>0.350994788660003</v>
      </c>
      <c r="U21" s="231">
        <v>0.33344571498695841</v>
      </c>
      <c r="V21" s="231">
        <v>0.32163292347238576</v>
      </c>
      <c r="W21" s="231">
        <v>0.30179421042624655</v>
      </c>
      <c r="X21" s="231">
        <v>0.28604813280676855</v>
      </c>
      <c r="Y21" s="231">
        <v>0.2758255824619591</v>
      </c>
      <c r="Z21" s="231">
        <v>0.26514482384042448</v>
      </c>
      <c r="AA21" s="231">
        <v>0.30575711362897223</v>
      </c>
      <c r="AB21" s="231">
        <v>0.307937780859737</v>
      </c>
      <c r="AC21" s="231">
        <v>0.29813752328027887</v>
      </c>
      <c r="AD21" s="231">
        <v>0.29164794502299618</v>
      </c>
      <c r="AE21" s="231">
        <v>0.21779999999999999</v>
      </c>
      <c r="AF21" s="231">
        <v>0.19547693190668683</v>
      </c>
      <c r="AG21" s="232">
        <v>0.1865433542143746</v>
      </c>
      <c r="AH21" s="232">
        <v>0.1772711078043466</v>
      </c>
      <c r="AI21" s="232">
        <v>0.15786214256812206</v>
      </c>
      <c r="AJ21" s="232">
        <v>0.15321182950483353</v>
      </c>
      <c r="AK21" s="232">
        <v>0.14115483488669595</v>
      </c>
      <c r="AL21" s="232">
        <v>0.12417220814704709</v>
      </c>
      <c r="AM21" s="232">
        <v>0.12525654869529193</v>
      </c>
      <c r="AN21" s="232">
        <v>0.11993877109796591</v>
      </c>
      <c r="AO21" s="232">
        <v>0.11200635047447172</v>
      </c>
      <c r="AP21" s="232">
        <v>0.10398306697273095</v>
      </c>
      <c r="AQ21" s="232">
        <v>9.8543297796486601E-2</v>
      </c>
      <c r="AR21" s="232">
        <v>9.8611056086851473E-2</v>
      </c>
      <c r="AS21" s="232">
        <v>9.8345697497714629E-2</v>
      </c>
      <c r="AT21" s="232">
        <v>9.5581019010923585E-2</v>
      </c>
      <c r="AU21" s="232">
        <v>9.7933847456764839E-2</v>
      </c>
      <c r="AV21" s="232">
        <v>0.11244075849275344</v>
      </c>
      <c r="AW21" s="232">
        <v>0.1063578668177721</v>
      </c>
      <c r="AX21" s="232">
        <v>0.10346575944672953</v>
      </c>
      <c r="AY21" s="232">
        <v>0.10094067386219475</v>
      </c>
      <c r="AZ21" s="232">
        <v>9.4848432638301797E-2</v>
      </c>
      <c r="BA21" s="232">
        <v>0.10028488798888024</v>
      </c>
      <c r="BB21" s="232">
        <v>0.1009847735176483</v>
      </c>
    </row>
    <row r="22" spans="2:54" ht="15" customHeight="1">
      <c r="B22" s="35" t="s">
        <v>190</v>
      </c>
      <c r="C22" s="549" t="s">
        <v>191</v>
      </c>
      <c r="D22" s="231"/>
      <c r="E22" s="231"/>
      <c r="F22" s="231">
        <v>0.18129999999999999</v>
      </c>
      <c r="G22" s="231">
        <v>0.18129999999999999</v>
      </c>
      <c r="H22" s="231">
        <v>0.18129999999999999</v>
      </c>
      <c r="I22" s="231">
        <v>0.18129999999999999</v>
      </c>
      <c r="J22" s="231">
        <v>0.1673</v>
      </c>
      <c r="K22" s="231">
        <v>0.1673</v>
      </c>
      <c r="L22" s="231">
        <v>0.1673</v>
      </c>
      <c r="M22" s="231">
        <v>0.1673</v>
      </c>
      <c r="N22" s="231">
        <v>0.15329999999999999</v>
      </c>
      <c r="O22" s="231">
        <v>0.15329999999999999</v>
      </c>
      <c r="P22" s="231">
        <v>0.15329999999999999</v>
      </c>
      <c r="Q22" s="231">
        <v>0.15329999999999999</v>
      </c>
      <c r="R22" s="231">
        <v>0.13930000000000001</v>
      </c>
      <c r="S22" s="231">
        <v>0.13930000000000001</v>
      </c>
      <c r="T22" s="231">
        <v>0.13930000000000001</v>
      </c>
      <c r="U22" s="231">
        <v>0.13930000000000001</v>
      </c>
      <c r="V22" s="231">
        <v>0.25409999999999999</v>
      </c>
      <c r="W22" s="231">
        <v>0.25409999999999999</v>
      </c>
      <c r="X22" s="231">
        <v>0.25409999999999999</v>
      </c>
      <c r="Y22" s="231">
        <v>0.25409999999999999</v>
      </c>
      <c r="Z22" s="231">
        <v>0.25409999999999999</v>
      </c>
      <c r="AA22" s="231">
        <v>0.13930000000000001</v>
      </c>
      <c r="AB22" s="231">
        <v>0.13930000000000001</v>
      </c>
      <c r="AC22" s="231">
        <v>0.13930000000000001</v>
      </c>
      <c r="AD22" s="231">
        <v>0.13930000000000001</v>
      </c>
      <c r="AE22" s="231">
        <v>0.13930000000000001</v>
      </c>
      <c r="AF22" s="231">
        <v>0.13930000000000001</v>
      </c>
      <c r="AG22" s="231">
        <v>0.13930000000000001</v>
      </c>
      <c r="AH22" s="231">
        <v>0.13930000000000001</v>
      </c>
      <c r="AI22" s="233">
        <v>0.13930000000000001</v>
      </c>
      <c r="AJ22" s="231">
        <v>0.13930000000000001</v>
      </c>
      <c r="AK22" s="231">
        <v>0.13930000000000001</v>
      </c>
      <c r="AL22" s="231">
        <v>0.13930000000000001</v>
      </c>
      <c r="AM22" s="231">
        <v>0.13930000000000001</v>
      </c>
      <c r="AN22" s="231">
        <v>0.13930000000000001</v>
      </c>
      <c r="AO22" s="231">
        <v>0.13930000000000001</v>
      </c>
      <c r="AP22" s="231">
        <v>0.13930000000000001</v>
      </c>
      <c r="AQ22" s="231">
        <v>0.13930000000000001</v>
      </c>
      <c r="AR22" s="231">
        <v>0.13930000000000001</v>
      </c>
      <c r="AS22" s="231">
        <v>0.13930000000000001</v>
      </c>
      <c r="AT22" s="231">
        <v>0.13930000000000001</v>
      </c>
      <c r="AU22" s="231">
        <v>0.12709999999999999</v>
      </c>
      <c r="AV22" s="231">
        <v>0.12709999999999999</v>
      </c>
      <c r="AW22" s="231">
        <v>0.12710973781793578</v>
      </c>
      <c r="AX22" s="231">
        <v>0.12710973781793578</v>
      </c>
      <c r="AY22" s="231">
        <v>0.11569699999999999</v>
      </c>
      <c r="AZ22" s="231">
        <v>0.11569699999999999</v>
      </c>
      <c r="BA22" s="231">
        <v>0.11569699999999999</v>
      </c>
      <c r="BB22" s="231">
        <v>0.11749648724093921</v>
      </c>
    </row>
    <row r="24" spans="2:54" ht="15" customHeight="1">
      <c r="B24" s="439" t="s">
        <v>196</v>
      </c>
      <c r="C24" s="439" t="s">
        <v>197</v>
      </c>
      <c r="D24" s="107" t="s">
        <v>39</v>
      </c>
      <c r="E24" s="107" t="s">
        <v>40</v>
      </c>
      <c r="F24" s="107" t="s">
        <v>41</v>
      </c>
      <c r="G24" s="107" t="s">
        <v>42</v>
      </c>
      <c r="H24" s="107" t="s">
        <v>43</v>
      </c>
      <c r="I24" s="107" t="s">
        <v>44</v>
      </c>
      <c r="J24" s="107" t="s">
        <v>45</v>
      </c>
      <c r="K24" s="107" t="s">
        <v>46</v>
      </c>
      <c r="L24" s="107" t="s">
        <v>47</v>
      </c>
      <c r="M24" s="107" t="s">
        <v>48</v>
      </c>
      <c r="N24" s="107" t="s">
        <v>49</v>
      </c>
      <c r="O24" s="107" t="s">
        <v>50</v>
      </c>
      <c r="P24" s="107" t="s">
        <v>51</v>
      </c>
      <c r="Q24" s="107" t="s">
        <v>52</v>
      </c>
      <c r="R24" s="107" t="s">
        <v>53</v>
      </c>
      <c r="S24" s="107" t="s">
        <v>54</v>
      </c>
      <c r="T24" s="107" t="s">
        <v>55</v>
      </c>
      <c r="U24" s="107" t="s">
        <v>56</v>
      </c>
      <c r="V24" s="107" t="s">
        <v>57</v>
      </c>
      <c r="W24" s="107" t="s">
        <v>58</v>
      </c>
      <c r="X24" s="107" t="s">
        <v>59</v>
      </c>
      <c r="Y24" s="107" t="s">
        <v>60</v>
      </c>
      <c r="Z24" s="107" t="s">
        <v>61</v>
      </c>
      <c r="AA24" s="107" t="s">
        <v>62</v>
      </c>
      <c r="AB24" s="107" t="str">
        <f t="shared" ref="AB24:AP24" si="4">AB18</f>
        <v>1T19</v>
      </c>
      <c r="AC24" s="107" t="str">
        <f t="shared" si="4"/>
        <v>2T19</v>
      </c>
      <c r="AD24" s="107" t="str">
        <f t="shared" si="4"/>
        <v>3T19</v>
      </c>
      <c r="AE24" s="107" t="str">
        <f t="shared" si="4"/>
        <v>4T19</v>
      </c>
      <c r="AF24" s="107" t="str">
        <f t="shared" si="4"/>
        <v>1T20</v>
      </c>
      <c r="AG24" s="107" t="str">
        <f t="shared" si="4"/>
        <v>2T20</v>
      </c>
      <c r="AH24" s="107" t="str">
        <f t="shared" si="4"/>
        <v>3T20</v>
      </c>
      <c r="AI24" s="107" t="str">
        <f t="shared" si="4"/>
        <v>4T20</v>
      </c>
      <c r="AJ24" s="107" t="str">
        <f t="shared" si="4"/>
        <v>1T21</v>
      </c>
      <c r="AK24" s="107" t="str">
        <f t="shared" si="4"/>
        <v>2T21</v>
      </c>
      <c r="AL24" s="107" t="str">
        <f t="shared" si="4"/>
        <v>3T21</v>
      </c>
      <c r="AM24" s="107" t="str">
        <f t="shared" si="4"/>
        <v>4T21</v>
      </c>
      <c r="AN24" s="107" t="str">
        <f t="shared" si="4"/>
        <v>1T22</v>
      </c>
      <c r="AO24" s="107" t="str">
        <f t="shared" si="4"/>
        <v>2T22</v>
      </c>
      <c r="AP24" s="107" t="str">
        <f t="shared" si="4"/>
        <v>3T22</v>
      </c>
      <c r="AQ24" s="107" t="str">
        <f t="shared" ref="AQ24:AV24" si="5">AQ18</f>
        <v>4T22</v>
      </c>
      <c r="AR24" s="107" t="str">
        <f t="shared" si="5"/>
        <v>1T23</v>
      </c>
      <c r="AS24" s="107" t="str">
        <f t="shared" si="5"/>
        <v>2T23</v>
      </c>
      <c r="AT24" s="107" t="str">
        <f t="shared" si="5"/>
        <v>3T23</v>
      </c>
      <c r="AU24" s="107" t="str">
        <f t="shared" si="5"/>
        <v>4T23</v>
      </c>
      <c r="AV24" s="107" t="str">
        <f t="shared" si="5"/>
        <v>1T24</v>
      </c>
      <c r="AW24" s="107" t="str">
        <f>AW18</f>
        <v>2T24</v>
      </c>
      <c r="AX24" s="107" t="s">
        <v>85</v>
      </c>
      <c r="AY24" s="107" t="str">
        <f>AY18</f>
        <v>4T24</v>
      </c>
      <c r="AZ24" s="107" t="str">
        <f>AZ18</f>
        <v>1T25</v>
      </c>
      <c r="BA24" s="107" t="str">
        <f>BA18</f>
        <v>2T25</v>
      </c>
      <c r="BB24" s="107" t="str">
        <f>BB18</f>
        <v>3T25</v>
      </c>
    </row>
    <row r="25" spans="2:54" ht="15" customHeight="1">
      <c r="B25" s="35" t="s">
        <v>184</v>
      </c>
      <c r="C25" s="549" t="s">
        <v>185</v>
      </c>
      <c r="D25" s="231"/>
      <c r="E25" s="231"/>
      <c r="F25" s="231"/>
      <c r="G25" s="231"/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>
        <v>0.23014268551924277</v>
      </c>
      <c r="Y25" s="231">
        <v>0.23890404936264131</v>
      </c>
      <c r="Z25" s="231">
        <v>0.2373466098374799</v>
      </c>
      <c r="AA25" s="231">
        <v>0.239021564980889</v>
      </c>
      <c r="AB25" s="231">
        <v>0.24500393941676157</v>
      </c>
      <c r="AC25" s="231">
        <v>0.30693163811751312</v>
      </c>
      <c r="AD25" s="231">
        <v>0.3098664645463306</v>
      </c>
      <c r="AE25" s="231">
        <v>0.30209999999999998</v>
      </c>
      <c r="AF25" s="231">
        <v>0.29779601594002059</v>
      </c>
      <c r="AG25" s="232">
        <v>0.24021571791976315</v>
      </c>
      <c r="AH25" s="232">
        <v>0.23758871733555367</v>
      </c>
      <c r="AI25" s="232">
        <v>0.2358830790055868</v>
      </c>
      <c r="AJ25" s="232">
        <v>0.23103655178375798</v>
      </c>
      <c r="AK25" s="232">
        <v>0.22503811046633138</v>
      </c>
      <c r="AL25" s="232">
        <v>0.2224545244126156</v>
      </c>
      <c r="AM25" s="232">
        <v>0.22253362560295464</v>
      </c>
      <c r="AN25" s="232">
        <v>0.21973697987147145</v>
      </c>
      <c r="AO25" s="232">
        <v>0.21712836684038728</v>
      </c>
      <c r="AP25" s="232">
        <v>0.20681894015329527</v>
      </c>
      <c r="AQ25" s="232">
        <v>0.20045066144389501</v>
      </c>
      <c r="AR25" s="232">
        <v>0.19198287061911901</v>
      </c>
      <c r="AS25" s="232">
        <v>0.18309753991261701</v>
      </c>
      <c r="AT25" s="232">
        <v>0.18624141570651731</v>
      </c>
      <c r="AU25" s="232">
        <v>0.1847667616409614</v>
      </c>
      <c r="AV25" s="232">
        <v>0.18640237668960469</v>
      </c>
      <c r="AW25" s="232">
        <v>0.18168817228714607</v>
      </c>
      <c r="AX25" s="232">
        <v>0.17448792576185634</v>
      </c>
      <c r="AY25" s="232">
        <v>0.16912441341928564</v>
      </c>
      <c r="AZ25" s="232">
        <v>0.16224239504371829</v>
      </c>
      <c r="BA25" s="232">
        <v>0.16161450587255055</v>
      </c>
      <c r="BB25" s="232">
        <v>0.15949238097877894</v>
      </c>
    </row>
    <row r="26" spans="2:54" ht="15" customHeight="1">
      <c r="B26" s="35" t="s">
        <v>186</v>
      </c>
      <c r="C26" s="549" t="s">
        <v>187</v>
      </c>
      <c r="D26" s="231"/>
      <c r="E26" s="231"/>
      <c r="F26" s="231"/>
      <c r="G26" s="231"/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>
        <v>0.22879762612814314</v>
      </c>
      <c r="Y26" s="231">
        <v>0.22879762612814314</v>
      </c>
      <c r="Z26" s="231">
        <v>0.23119999999999999</v>
      </c>
      <c r="AA26" s="231">
        <v>0.23119999999999999</v>
      </c>
      <c r="AB26" s="231">
        <v>0.23119999999999999</v>
      </c>
      <c r="AC26" s="231">
        <v>0.20803092413260313</v>
      </c>
      <c r="AD26" s="231">
        <v>0.20803092413260313</v>
      </c>
      <c r="AE26" s="231">
        <v>0.20803092413260313</v>
      </c>
      <c r="AF26" s="231">
        <v>0.20803092413260313</v>
      </c>
      <c r="AG26" s="231">
        <v>0.20803092413260313</v>
      </c>
      <c r="AH26" s="231">
        <v>0.20793517770619671</v>
      </c>
      <c r="AI26" s="233">
        <v>0.20793517770619671</v>
      </c>
      <c r="AJ26" s="231">
        <v>0.20793517770619671</v>
      </c>
      <c r="AK26" s="231">
        <v>0.20793517770619671</v>
      </c>
      <c r="AL26" s="231">
        <v>0.20793517770619671</v>
      </c>
      <c r="AM26" s="231">
        <v>0.20978821101463971</v>
      </c>
      <c r="AN26" s="231">
        <v>0.20978821101463971</v>
      </c>
      <c r="AO26" s="231">
        <v>0.20899999999999999</v>
      </c>
      <c r="AP26" s="231">
        <v>0.20910720621126058</v>
      </c>
      <c r="AQ26" s="231">
        <v>0.21049999999999999</v>
      </c>
      <c r="AR26" s="231">
        <v>0.21049999999999999</v>
      </c>
      <c r="AS26" s="231">
        <v>0.21049999999999999</v>
      </c>
      <c r="AT26" s="231">
        <v>0.21282947839319807</v>
      </c>
      <c r="AU26" s="231">
        <v>0.21282947839319807</v>
      </c>
      <c r="AV26" s="231">
        <v>0.21282947839319807</v>
      </c>
      <c r="AW26" s="231">
        <v>0.17766102804848535</v>
      </c>
      <c r="AX26" s="231">
        <v>0.17766102804848535</v>
      </c>
      <c r="AY26" s="231">
        <v>0.17766102804848535</v>
      </c>
      <c r="AZ26" s="231">
        <v>0.17766102804848535</v>
      </c>
      <c r="BA26" s="231">
        <v>0.17615238228131275</v>
      </c>
      <c r="BB26" s="231">
        <v>0.17702307527351055</v>
      </c>
    </row>
    <row r="27" spans="2:54" ht="15" customHeight="1">
      <c r="B27" s="35" t="s">
        <v>188</v>
      </c>
      <c r="C27" s="549" t="s">
        <v>189</v>
      </c>
      <c r="D27" s="231"/>
      <c r="E27" s="231"/>
      <c r="F27" s="231"/>
      <c r="G27" s="231"/>
      <c r="H27" s="231"/>
      <c r="I27" s="231"/>
      <c r="J27" s="231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  <c r="W27" s="231"/>
      <c r="X27" s="231">
        <v>0.2654743151742231</v>
      </c>
      <c r="Y27" s="231">
        <v>0.28888651252247011</v>
      </c>
      <c r="Z27" s="231">
        <v>0.29010607263450727</v>
      </c>
      <c r="AA27" s="231">
        <v>0.29707136355665453</v>
      </c>
      <c r="AB27" s="231">
        <v>0.31278489929233805</v>
      </c>
      <c r="AC27" s="231">
        <v>0.51611976292249429</v>
      </c>
      <c r="AD27" s="231">
        <v>0.52626836787395448</v>
      </c>
      <c r="AE27" s="231">
        <v>0.49880000000000002</v>
      </c>
      <c r="AF27" s="231">
        <v>0.48519774646050379</v>
      </c>
      <c r="AG27" s="232">
        <v>0.29606881353602432</v>
      </c>
      <c r="AH27" s="232">
        <v>0.28920285882609059</v>
      </c>
      <c r="AI27" s="232">
        <v>0.28235279016604176</v>
      </c>
      <c r="AJ27" s="232">
        <v>0.26989041170202666</v>
      </c>
      <c r="AK27" s="232">
        <v>0.25600257123989317</v>
      </c>
      <c r="AL27" s="232">
        <v>0.24887388103237681</v>
      </c>
      <c r="AM27" s="232">
        <v>0.24912648911861243</v>
      </c>
      <c r="AN27" s="232">
        <v>0.24085629800696248</v>
      </c>
      <c r="AO27" s="232">
        <v>0.23494081034876238</v>
      </c>
      <c r="AP27" s="232">
        <v>0.21022972988988226</v>
      </c>
      <c r="AQ27" s="232">
        <v>0.19469015910808904</v>
      </c>
      <c r="AR27" s="232">
        <v>0.17516993581605925</v>
      </c>
      <c r="AS27" s="232">
        <v>0.15495700592232278</v>
      </c>
      <c r="AT27" s="232">
        <v>0.16211699917882164</v>
      </c>
      <c r="AU27" s="232">
        <v>0.15898874749018335</v>
      </c>
      <c r="AV27" s="232">
        <v>0.16221469532010052</v>
      </c>
      <c r="AW27" s="232">
        <v>0.17486858179107365</v>
      </c>
      <c r="AX27" s="232">
        <v>0.15856743532152504</v>
      </c>
      <c r="AY27" s="232">
        <v>0.14753319122073111</v>
      </c>
      <c r="AZ27" s="232">
        <v>0.13281687177842039</v>
      </c>
      <c r="BA27" s="232">
        <v>0.13177543257079127</v>
      </c>
      <c r="BB27" s="232">
        <v>0.12763505842441814</v>
      </c>
    </row>
    <row r="28" spans="2:54" ht="15" customHeight="1">
      <c r="B28" s="35" t="s">
        <v>190</v>
      </c>
      <c r="C28" s="549" t="s">
        <v>191</v>
      </c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>
        <v>0.27200000000000002</v>
      </c>
      <c r="Y28" s="231">
        <v>0.27200000000000002</v>
      </c>
      <c r="Z28" s="231">
        <v>0.27200000000000002</v>
      </c>
      <c r="AA28" s="231">
        <v>0.27200000000000002</v>
      </c>
      <c r="AB28" s="231">
        <v>0.27200000000000002</v>
      </c>
      <c r="AC28" s="231">
        <v>0.2195</v>
      </c>
      <c r="AD28" s="231">
        <v>0.2195</v>
      </c>
      <c r="AE28" s="231">
        <v>0.2195</v>
      </c>
      <c r="AF28" s="231">
        <v>0.2195</v>
      </c>
      <c r="AG28" s="231">
        <v>0.2195</v>
      </c>
      <c r="AH28" s="231">
        <v>0.2195</v>
      </c>
      <c r="AI28" s="233">
        <v>0.2195</v>
      </c>
      <c r="AJ28" s="231">
        <v>0.2195</v>
      </c>
      <c r="AK28" s="231">
        <v>0.2195</v>
      </c>
      <c r="AL28" s="231">
        <v>0.2195</v>
      </c>
      <c r="AM28" s="231">
        <v>0.2195</v>
      </c>
      <c r="AN28" s="231">
        <v>0.2195</v>
      </c>
      <c r="AO28" s="231">
        <v>0.2195</v>
      </c>
      <c r="AP28" s="231">
        <v>0.2195</v>
      </c>
      <c r="AQ28" s="231">
        <v>0.2195</v>
      </c>
      <c r="AR28" s="231">
        <v>0.2195</v>
      </c>
      <c r="AS28" s="231">
        <v>0.2195</v>
      </c>
      <c r="AT28" s="231">
        <v>0.2195</v>
      </c>
      <c r="AU28" s="231">
        <v>0.2195</v>
      </c>
      <c r="AV28" s="231">
        <v>0.2195</v>
      </c>
      <c r="AW28" s="231">
        <v>0.15862844224816589</v>
      </c>
      <c r="AX28" s="231">
        <v>0.15862844224816589</v>
      </c>
      <c r="AY28" s="231">
        <v>0.15862844224816589</v>
      </c>
      <c r="AZ28" s="231">
        <v>0.15862844224816589</v>
      </c>
      <c r="BA28" s="231">
        <v>0.146286</v>
      </c>
      <c r="BB28" s="231">
        <v>0.15331038037812014</v>
      </c>
    </row>
    <row r="30" spans="2:54" ht="15" customHeight="1">
      <c r="B30" s="439" t="s">
        <v>198</v>
      </c>
      <c r="C30" s="439" t="s">
        <v>199</v>
      </c>
      <c r="D30" s="107" t="s">
        <v>39</v>
      </c>
      <c r="E30" s="107" t="s">
        <v>40</v>
      </c>
      <c r="F30" s="107" t="s">
        <v>41</v>
      </c>
      <c r="G30" s="107" t="s">
        <v>42</v>
      </c>
      <c r="H30" s="107" t="s">
        <v>43</v>
      </c>
      <c r="I30" s="107" t="s">
        <v>44</v>
      </c>
      <c r="J30" s="107" t="s">
        <v>45</v>
      </c>
      <c r="K30" s="107" t="s">
        <v>46</v>
      </c>
      <c r="L30" s="107" t="s">
        <v>47</v>
      </c>
      <c r="M30" s="107" t="s">
        <v>48</v>
      </c>
      <c r="N30" s="107" t="s">
        <v>49</v>
      </c>
      <c r="O30" s="107" t="s">
        <v>50</v>
      </c>
      <c r="P30" s="107" t="s">
        <v>51</v>
      </c>
      <c r="Q30" s="107" t="s">
        <v>52</v>
      </c>
      <c r="R30" s="107" t="s">
        <v>53</v>
      </c>
      <c r="S30" s="107" t="s">
        <v>54</v>
      </c>
      <c r="T30" s="107" t="s">
        <v>55</v>
      </c>
      <c r="U30" s="107" t="s">
        <v>56</v>
      </c>
      <c r="V30" s="107" t="s">
        <v>57</v>
      </c>
      <c r="W30" s="107" t="s">
        <v>58</v>
      </c>
      <c r="X30" s="107" t="s">
        <v>59</v>
      </c>
      <c r="Y30" s="107" t="s">
        <v>60</v>
      </c>
      <c r="Z30" s="107" t="s">
        <v>61</v>
      </c>
      <c r="AA30" s="107" t="s">
        <v>62</v>
      </c>
      <c r="AB30" s="107" t="str">
        <f t="shared" ref="AB30:AP30" si="6">AB24</f>
        <v>1T19</v>
      </c>
      <c r="AC30" s="107" t="str">
        <f t="shared" si="6"/>
        <v>2T19</v>
      </c>
      <c r="AD30" s="107" t="str">
        <f t="shared" si="6"/>
        <v>3T19</v>
      </c>
      <c r="AE30" s="107" t="str">
        <f t="shared" si="6"/>
        <v>4T19</v>
      </c>
      <c r="AF30" s="107" t="str">
        <f t="shared" si="6"/>
        <v>1T20</v>
      </c>
      <c r="AG30" s="107" t="str">
        <f t="shared" si="6"/>
        <v>2T20</v>
      </c>
      <c r="AH30" s="107" t="str">
        <f t="shared" si="6"/>
        <v>3T20</v>
      </c>
      <c r="AI30" s="107" t="str">
        <f t="shared" si="6"/>
        <v>4T20</v>
      </c>
      <c r="AJ30" s="107" t="str">
        <f t="shared" si="6"/>
        <v>1T21</v>
      </c>
      <c r="AK30" s="107" t="str">
        <f t="shared" si="6"/>
        <v>2T21</v>
      </c>
      <c r="AL30" s="107" t="str">
        <f t="shared" si="6"/>
        <v>3T21</v>
      </c>
      <c r="AM30" s="107" t="str">
        <f t="shared" si="6"/>
        <v>4T21</v>
      </c>
      <c r="AN30" s="107" t="str">
        <f t="shared" si="6"/>
        <v>1T22</v>
      </c>
      <c r="AO30" s="107" t="str">
        <f t="shared" si="6"/>
        <v>2T22</v>
      </c>
      <c r="AP30" s="107" t="str">
        <f t="shared" si="6"/>
        <v>3T22</v>
      </c>
      <c r="AQ30" s="107" t="str">
        <f t="shared" ref="AQ30:AV30" si="7">AQ24</f>
        <v>4T22</v>
      </c>
      <c r="AR30" s="107" t="str">
        <f t="shared" si="7"/>
        <v>1T23</v>
      </c>
      <c r="AS30" s="107" t="str">
        <f t="shared" si="7"/>
        <v>2T23</v>
      </c>
      <c r="AT30" s="107" t="str">
        <f t="shared" si="7"/>
        <v>3T23</v>
      </c>
      <c r="AU30" s="107" t="str">
        <f t="shared" si="7"/>
        <v>4T23</v>
      </c>
      <c r="AV30" s="107" t="str">
        <f t="shared" si="7"/>
        <v>1T24</v>
      </c>
      <c r="AW30" s="107" t="str">
        <f>AW24</f>
        <v>2T24</v>
      </c>
      <c r="AX30" s="107" t="s">
        <v>85</v>
      </c>
      <c r="AY30" s="107" t="str">
        <f>AY24</f>
        <v>4T24</v>
      </c>
      <c r="AZ30" s="107" t="str">
        <f>AZ24</f>
        <v>1T25</v>
      </c>
      <c r="BA30" s="107" t="str">
        <f>BA24</f>
        <v>2T25</v>
      </c>
      <c r="BB30" s="107" t="str">
        <f>BB24</f>
        <v>3T25</v>
      </c>
    </row>
    <row r="31" spans="2:54" ht="15" customHeight="1">
      <c r="B31" s="35" t="s">
        <v>184</v>
      </c>
      <c r="C31" s="549" t="s">
        <v>185</v>
      </c>
      <c r="D31" s="231"/>
      <c r="E31" s="231"/>
      <c r="F31" s="231"/>
      <c r="G31" s="231"/>
      <c r="H31" s="231"/>
      <c r="I31" s="231"/>
      <c r="J31" s="231"/>
      <c r="K31" s="231"/>
      <c r="L31" s="231"/>
      <c r="M31" s="231"/>
      <c r="N31" s="231"/>
      <c r="O31" s="231"/>
      <c r="P31" s="231"/>
      <c r="Q31" s="231"/>
      <c r="R31" s="231"/>
      <c r="S31" s="231"/>
      <c r="T31" s="231"/>
      <c r="U31" s="231"/>
      <c r="V31" s="231"/>
      <c r="W31" s="231"/>
      <c r="X31" s="231"/>
      <c r="Y31" s="231"/>
      <c r="Z31" s="231"/>
      <c r="AA31" s="231"/>
      <c r="AB31" s="231"/>
      <c r="AC31" s="231"/>
      <c r="AD31" s="231"/>
      <c r="AE31" s="231"/>
      <c r="AF31" s="231"/>
      <c r="AG31" s="232"/>
      <c r="AH31" s="232"/>
      <c r="AI31" s="232">
        <v>0.1826976218266908</v>
      </c>
      <c r="AJ31" s="232">
        <v>0.1854495904319633</v>
      </c>
      <c r="AK31" s="232">
        <v>0.18387929460049746</v>
      </c>
      <c r="AL31" s="232">
        <v>0.19171001123547027</v>
      </c>
      <c r="AM31" s="232">
        <v>0.18615400565560747</v>
      </c>
      <c r="AN31" s="232">
        <v>0.18069692900858147</v>
      </c>
      <c r="AO31" s="232">
        <v>0.18452679550385975</v>
      </c>
      <c r="AP31" s="232">
        <v>0.1696711966377682</v>
      </c>
      <c r="AQ31" s="232">
        <v>0.15897120562464717</v>
      </c>
      <c r="AR31" s="232">
        <v>0.1567322205492816</v>
      </c>
      <c r="AS31" s="232">
        <v>0.13967377635858003</v>
      </c>
      <c r="AT31" s="232">
        <v>0.13379557671031084</v>
      </c>
      <c r="AU31" s="232">
        <v>0.12831799696181478</v>
      </c>
      <c r="AV31" s="232">
        <v>0.1244485714835154</v>
      </c>
      <c r="AW31" s="232">
        <v>0.13374448560460039</v>
      </c>
      <c r="AX31" s="232">
        <v>0.12898179476808014</v>
      </c>
      <c r="AY31" s="232">
        <v>0.12281064229706751</v>
      </c>
      <c r="AZ31" s="232">
        <v>0.12558515209262688</v>
      </c>
      <c r="BA31" s="232">
        <v>0.12052755955847549</v>
      </c>
      <c r="BB31" s="232">
        <v>0.11730835327319633</v>
      </c>
    </row>
    <row r="32" spans="2:54" ht="15" customHeight="1">
      <c r="B32" s="35" t="s">
        <v>186</v>
      </c>
      <c r="C32" s="549" t="s">
        <v>187</v>
      </c>
      <c r="D32" s="231"/>
      <c r="E32" s="231"/>
      <c r="F32" s="231"/>
      <c r="G32" s="231"/>
      <c r="H32" s="231"/>
      <c r="I32" s="231"/>
      <c r="J32" s="231"/>
      <c r="K32" s="231"/>
      <c r="L32" s="231"/>
      <c r="M32" s="231"/>
      <c r="N32" s="231"/>
      <c r="O32" s="231"/>
      <c r="P32" s="231"/>
      <c r="Q32" s="231"/>
      <c r="R32" s="231"/>
      <c r="S32" s="231"/>
      <c r="T32" s="231"/>
      <c r="U32" s="231"/>
      <c r="V32" s="231"/>
      <c r="W32" s="231"/>
      <c r="X32" s="231"/>
      <c r="Y32" s="231"/>
      <c r="Z32" s="231"/>
      <c r="AA32" s="231"/>
      <c r="AB32" s="231"/>
      <c r="AC32" s="231"/>
      <c r="AD32" s="231"/>
      <c r="AE32" s="231"/>
      <c r="AF32" s="231"/>
      <c r="AG32" s="231"/>
      <c r="AH32" s="231"/>
      <c r="AI32" s="233">
        <v>9.9400000000000002E-2</v>
      </c>
      <c r="AJ32" s="231">
        <v>9.9400000000000002E-2</v>
      </c>
      <c r="AK32" s="231">
        <v>9.9400000000000002E-2</v>
      </c>
      <c r="AL32" s="231">
        <v>9.9400000000000002E-2</v>
      </c>
      <c r="AM32" s="231">
        <v>0.11077899086572175</v>
      </c>
      <c r="AN32" s="231">
        <v>0.11077899086572175</v>
      </c>
      <c r="AO32" s="231">
        <v>0.11077899086572175</v>
      </c>
      <c r="AP32" s="231">
        <v>0.11019476206587468</v>
      </c>
      <c r="AQ32" s="231">
        <v>0.11021060778668797</v>
      </c>
      <c r="AR32" s="231">
        <v>0.11021060778668797</v>
      </c>
      <c r="AS32" s="231">
        <v>0.11021060778668797</v>
      </c>
      <c r="AT32" s="231">
        <v>0.11021060778668797</v>
      </c>
      <c r="AU32" s="231">
        <v>0.11269999999999999</v>
      </c>
      <c r="AV32" s="231">
        <v>0.11269999999999999</v>
      </c>
      <c r="AW32" s="231">
        <v>0.11266670844216434</v>
      </c>
      <c r="AX32" s="231">
        <v>0.11266670844216434</v>
      </c>
      <c r="AY32" s="231">
        <v>0.11378976039548387</v>
      </c>
      <c r="AZ32" s="231">
        <v>0.11378976039548387</v>
      </c>
      <c r="BA32" s="231">
        <v>0.11378976039548387</v>
      </c>
      <c r="BB32" s="231">
        <v>0.11369717917126773</v>
      </c>
    </row>
    <row r="33" spans="2:54" ht="15" customHeight="1">
      <c r="B33" s="35" t="s">
        <v>188</v>
      </c>
      <c r="C33" s="549" t="s">
        <v>189</v>
      </c>
      <c r="D33" s="231"/>
      <c r="E33" s="231"/>
      <c r="F33" s="231"/>
      <c r="G33" s="231"/>
      <c r="H33" s="231"/>
      <c r="I33" s="231"/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231"/>
      <c r="AB33" s="231"/>
      <c r="AC33" s="231"/>
      <c r="AD33" s="231"/>
      <c r="AE33" s="231"/>
      <c r="AF33" s="231"/>
      <c r="AG33" s="232"/>
      <c r="AH33" s="232"/>
      <c r="AI33" s="232">
        <v>0.24085126684510341</v>
      </c>
      <c r="AJ33" s="232">
        <v>0.24654502244648471</v>
      </c>
      <c r="AK33" s="232">
        <v>0.24399999999999999</v>
      </c>
      <c r="AL33" s="232">
        <v>0.27170257028324729</v>
      </c>
      <c r="AM33" s="232">
        <v>0.24708463639142639</v>
      </c>
      <c r="AN33" s="232">
        <v>0.23426003668350748</v>
      </c>
      <c r="AO33" s="232">
        <v>0.24468424578190245</v>
      </c>
      <c r="AP33" s="232">
        <v>0.20435771334940092</v>
      </c>
      <c r="AQ33" s="232">
        <v>0.17938772953736451</v>
      </c>
      <c r="AR33" s="232">
        <v>0.17301921922646588</v>
      </c>
      <c r="AS33" s="232">
        <v>0.13652270006511497</v>
      </c>
      <c r="AT33" s="232">
        <v>0.12432294031853258</v>
      </c>
      <c r="AU33" s="232">
        <v>0.11322579617036907</v>
      </c>
      <c r="AV33" s="232">
        <v>0.10561354632028941</v>
      </c>
      <c r="AW33" s="232">
        <v>0.12417897544424672</v>
      </c>
      <c r="AX33" s="232">
        <v>0.11343499710422285</v>
      </c>
      <c r="AY33" s="232">
        <v>0.10126229874835872</v>
      </c>
      <c r="AZ33" s="232">
        <v>0.10645296295345553</v>
      </c>
      <c r="BA33" s="232">
        <v>9.6630703791026076E-2</v>
      </c>
      <c r="BB33" s="232">
        <v>9.0760502606044804E-2</v>
      </c>
    </row>
    <row r="34" spans="2:54" ht="15" customHeight="1">
      <c r="B34" s="35" t="s">
        <v>190</v>
      </c>
      <c r="C34" s="549" t="s">
        <v>191</v>
      </c>
      <c r="D34" s="231"/>
      <c r="E34" s="231"/>
      <c r="F34" s="231"/>
      <c r="G34" s="231"/>
      <c r="H34" s="231"/>
      <c r="I34" s="231"/>
      <c r="J34" s="231"/>
      <c r="K34" s="231"/>
      <c r="L34" s="231"/>
      <c r="M34" s="231"/>
      <c r="N34" s="231"/>
      <c r="O34" s="231"/>
      <c r="P34" s="231"/>
      <c r="Q34" s="231"/>
      <c r="R34" s="231"/>
      <c r="S34" s="231"/>
      <c r="T34" s="231"/>
      <c r="U34" s="231"/>
      <c r="V34" s="231"/>
      <c r="W34" s="231"/>
      <c r="X34" s="231"/>
      <c r="Y34" s="231"/>
      <c r="Z34" s="231"/>
      <c r="AA34" s="231"/>
      <c r="AB34" s="231"/>
      <c r="AC34" s="231"/>
      <c r="AD34" s="231"/>
      <c r="AE34" s="231"/>
      <c r="AF34" s="231"/>
      <c r="AG34" s="231"/>
      <c r="AH34" s="231"/>
      <c r="AI34" s="233">
        <v>7.0400000000000004E-2</v>
      </c>
      <c r="AJ34" s="231">
        <v>7.0400000000000004E-2</v>
      </c>
      <c r="AK34" s="231">
        <v>7.0400000000000004E-2</v>
      </c>
      <c r="AL34" s="231">
        <v>7.0400000000000004E-2</v>
      </c>
      <c r="AM34" s="231">
        <v>7.0400000000000004E-2</v>
      </c>
      <c r="AN34" s="231">
        <v>8.0349000000000004E-2</v>
      </c>
      <c r="AO34" s="231">
        <v>8.0349000000000004E-2</v>
      </c>
      <c r="AP34" s="231">
        <v>8.0349000000000004E-2</v>
      </c>
      <c r="AQ34" s="231">
        <v>8.0349000000000004E-2</v>
      </c>
      <c r="AR34" s="231">
        <v>8.0349000000000004E-2</v>
      </c>
      <c r="AS34" s="231">
        <v>8.0349000000000004E-2</v>
      </c>
      <c r="AT34" s="231">
        <v>8.0349000000000004E-2</v>
      </c>
      <c r="AU34" s="231">
        <v>8.0349000000000004E-2</v>
      </c>
      <c r="AV34" s="231">
        <v>8.0349000000000004E-2</v>
      </c>
      <c r="AW34" s="231">
        <v>8.0349000000000004E-2</v>
      </c>
      <c r="AX34" s="231">
        <v>8.0349000000000004E-2</v>
      </c>
      <c r="AY34" s="231">
        <v>8.0349000000000004E-2</v>
      </c>
      <c r="AZ34" s="231">
        <v>8.0349000000000004E-2</v>
      </c>
      <c r="BA34" s="231">
        <v>8.0349000000000004E-2</v>
      </c>
      <c r="BB34" s="231">
        <v>8.0349000000000004E-2</v>
      </c>
    </row>
    <row r="36" spans="2:54" ht="15" customHeight="1">
      <c r="B36" s="439" t="s">
        <v>200</v>
      </c>
      <c r="C36" s="439" t="s">
        <v>201</v>
      </c>
      <c r="D36" s="107" t="s">
        <v>39</v>
      </c>
      <c r="E36" s="107" t="s">
        <v>40</v>
      </c>
      <c r="F36" s="107" t="s">
        <v>41</v>
      </c>
      <c r="G36" s="107" t="s">
        <v>42</v>
      </c>
      <c r="H36" s="107" t="s">
        <v>43</v>
      </c>
      <c r="I36" s="107" t="s">
        <v>44</v>
      </c>
      <c r="J36" s="107" t="s">
        <v>45</v>
      </c>
      <c r="K36" s="107" t="s">
        <v>46</v>
      </c>
      <c r="L36" s="107" t="s">
        <v>47</v>
      </c>
      <c r="M36" s="107" t="s">
        <v>48</v>
      </c>
      <c r="N36" s="107" t="s">
        <v>49</v>
      </c>
      <c r="O36" s="107" t="s">
        <v>50</v>
      </c>
      <c r="P36" s="107" t="s">
        <v>51</v>
      </c>
      <c r="Q36" s="107" t="s">
        <v>52</v>
      </c>
      <c r="R36" s="107" t="s">
        <v>53</v>
      </c>
      <c r="S36" s="107" t="s">
        <v>54</v>
      </c>
      <c r="T36" s="107" t="s">
        <v>55</v>
      </c>
      <c r="U36" s="107" t="s">
        <v>56</v>
      </c>
      <c r="V36" s="107" t="s">
        <v>57</v>
      </c>
      <c r="W36" s="107" t="s">
        <v>58</v>
      </c>
      <c r="X36" s="107" t="s">
        <v>59</v>
      </c>
      <c r="Y36" s="107" t="s">
        <v>60</v>
      </c>
      <c r="Z36" s="107" t="s">
        <v>61</v>
      </c>
      <c r="AA36" s="107" t="s">
        <v>62</v>
      </c>
      <c r="AB36" s="107" t="str">
        <f t="shared" ref="AB36:AP36" si="8">AB30</f>
        <v>1T19</v>
      </c>
      <c r="AC36" s="107" t="str">
        <f t="shared" si="8"/>
        <v>2T19</v>
      </c>
      <c r="AD36" s="107" t="str">
        <f t="shared" si="8"/>
        <v>3T19</v>
      </c>
      <c r="AE36" s="107" t="str">
        <f t="shared" si="8"/>
        <v>4T19</v>
      </c>
      <c r="AF36" s="107" t="str">
        <f t="shared" si="8"/>
        <v>1T20</v>
      </c>
      <c r="AG36" s="107" t="str">
        <f t="shared" si="8"/>
        <v>2T20</v>
      </c>
      <c r="AH36" s="107" t="str">
        <f t="shared" si="8"/>
        <v>3T20</v>
      </c>
      <c r="AI36" s="107" t="str">
        <f t="shared" si="8"/>
        <v>4T20</v>
      </c>
      <c r="AJ36" s="107" t="str">
        <f t="shared" si="8"/>
        <v>1T21</v>
      </c>
      <c r="AK36" s="107" t="str">
        <f t="shared" si="8"/>
        <v>2T21</v>
      </c>
      <c r="AL36" s="107" t="str">
        <f t="shared" si="8"/>
        <v>3T21</v>
      </c>
      <c r="AM36" s="107" t="str">
        <f t="shared" si="8"/>
        <v>4T21</v>
      </c>
      <c r="AN36" s="107" t="str">
        <f t="shared" si="8"/>
        <v>1T22</v>
      </c>
      <c r="AO36" s="107" t="str">
        <f t="shared" si="8"/>
        <v>2T22</v>
      </c>
      <c r="AP36" s="107" t="str">
        <f t="shared" si="8"/>
        <v>3T22</v>
      </c>
      <c r="AQ36" s="107" t="str">
        <f t="shared" ref="AQ36:AV36" si="9">AQ30</f>
        <v>4T22</v>
      </c>
      <c r="AR36" s="107" t="str">
        <f t="shared" si="9"/>
        <v>1T23</v>
      </c>
      <c r="AS36" s="107" t="str">
        <f t="shared" si="9"/>
        <v>2T23</v>
      </c>
      <c r="AT36" s="107" t="str">
        <f t="shared" si="9"/>
        <v>3T23</v>
      </c>
      <c r="AU36" s="107" t="str">
        <f t="shared" si="9"/>
        <v>4T23</v>
      </c>
      <c r="AV36" s="107" t="str">
        <f t="shared" si="9"/>
        <v>1T24</v>
      </c>
      <c r="AW36" s="107" t="str">
        <f>AW30</f>
        <v>2T24</v>
      </c>
      <c r="AX36" s="107" t="s">
        <v>85</v>
      </c>
      <c r="AY36" s="107" t="str">
        <f>AY30</f>
        <v>4T24</v>
      </c>
      <c r="AZ36" s="107" t="str">
        <f>AZ30</f>
        <v>1T25</v>
      </c>
      <c r="BA36" s="107" t="str">
        <f>BA30</f>
        <v>2T25</v>
      </c>
      <c r="BB36" s="107" t="str">
        <f>BB30</f>
        <v>3T25</v>
      </c>
    </row>
    <row r="37" spans="2:54" ht="15" customHeight="1">
      <c r="B37" s="35" t="s">
        <v>184</v>
      </c>
      <c r="C37" s="549" t="s">
        <v>185</v>
      </c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31"/>
      <c r="AB37" s="231"/>
      <c r="AC37" s="231"/>
      <c r="AD37" s="231"/>
      <c r="AE37" s="231"/>
      <c r="AF37" s="231"/>
      <c r="AG37" s="232"/>
      <c r="AH37" s="232"/>
      <c r="AI37" s="232">
        <v>0.49450187917494492</v>
      </c>
      <c r="AJ37" s="232">
        <v>0.49001205323559038</v>
      </c>
      <c r="AK37" s="232">
        <v>0.48229849092505594</v>
      </c>
      <c r="AL37" s="232">
        <v>0.46088898692222047</v>
      </c>
      <c r="AM37" s="232">
        <v>0.45654664179538618</v>
      </c>
      <c r="AN37" s="232">
        <v>0.47288049190873949</v>
      </c>
      <c r="AO37" s="232">
        <v>0.47995637337634089</v>
      </c>
      <c r="AP37" s="232">
        <v>0.48393058509914788</v>
      </c>
      <c r="AQ37" s="232">
        <v>0.4595884718171066</v>
      </c>
      <c r="AR37" s="232">
        <v>0.44539090507764145</v>
      </c>
      <c r="AS37" s="232">
        <v>0.43680151404665313</v>
      </c>
      <c r="AT37" s="232">
        <v>0.41514734338737702</v>
      </c>
      <c r="AU37" s="232">
        <v>0.41396726459893762</v>
      </c>
      <c r="AV37" s="232">
        <v>0.39246112988090331</v>
      </c>
      <c r="AW37" s="232">
        <v>0.37273749529006328</v>
      </c>
      <c r="AX37" s="232">
        <v>0.35608390266092071</v>
      </c>
      <c r="AY37" s="232">
        <v>0.33522939926811468</v>
      </c>
      <c r="AZ37" s="232">
        <v>0.32310867428060486</v>
      </c>
      <c r="BA37" s="232">
        <v>0.3135393029858129</v>
      </c>
      <c r="BB37" s="232">
        <v>0.3094397237528701</v>
      </c>
    </row>
    <row r="38" spans="2:54" ht="15" customHeight="1">
      <c r="B38" s="35" t="s">
        <v>186</v>
      </c>
      <c r="C38" s="549" t="s">
        <v>187</v>
      </c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31"/>
      <c r="AB38" s="231"/>
      <c r="AC38" s="231"/>
      <c r="AD38" s="231"/>
      <c r="AE38" s="231"/>
      <c r="AF38" s="231"/>
      <c r="AG38" s="231"/>
      <c r="AH38" s="231"/>
      <c r="AI38" s="233">
        <v>0.35097088949945721</v>
      </c>
      <c r="AJ38" s="231">
        <v>0.35097088949945721</v>
      </c>
      <c r="AK38" s="231">
        <v>0.35097088949945721</v>
      </c>
      <c r="AL38" s="231">
        <v>0.35097088949945721</v>
      </c>
      <c r="AM38" s="231">
        <v>0.35097088949945721</v>
      </c>
      <c r="AN38" s="231">
        <v>0.35097088949945721</v>
      </c>
      <c r="AO38" s="231">
        <v>0.35097088949945721</v>
      </c>
      <c r="AP38" s="231">
        <v>0.35097088949945721</v>
      </c>
      <c r="AQ38" s="231">
        <v>0.33452154881707558</v>
      </c>
      <c r="AR38" s="231">
        <v>0.33452154881707558</v>
      </c>
      <c r="AS38" s="231">
        <v>0.33452154881707558</v>
      </c>
      <c r="AT38" s="231">
        <v>0.33452154881707558</v>
      </c>
      <c r="AU38" s="231">
        <v>0.33452154881707558</v>
      </c>
      <c r="AV38" s="231">
        <v>0.3357488414219354</v>
      </c>
      <c r="AW38" s="231">
        <v>0.3357488414219354</v>
      </c>
      <c r="AX38" s="231">
        <v>0.3357488414219354</v>
      </c>
      <c r="AY38" s="231">
        <v>0.33718756998971822</v>
      </c>
      <c r="AZ38" s="231">
        <v>0.33718756998971822</v>
      </c>
      <c r="BA38" s="231">
        <v>0.33665026230687906</v>
      </c>
      <c r="BB38" s="231">
        <v>0.33698179191302169</v>
      </c>
    </row>
    <row r="39" spans="2:54" ht="15" customHeight="1">
      <c r="B39" s="35" t="s">
        <v>188</v>
      </c>
      <c r="C39" s="549" t="s">
        <v>189</v>
      </c>
      <c r="D39" s="231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231"/>
      <c r="AD39" s="231"/>
      <c r="AE39" s="231"/>
      <c r="AF39" s="231"/>
      <c r="AG39" s="232"/>
      <c r="AH39" s="232"/>
      <c r="AI39" s="232">
        <v>1.0351711360561044</v>
      </c>
      <c r="AJ39" s="232">
        <v>1.0057518255399225</v>
      </c>
      <c r="AK39" s="232">
        <v>0.97197302498629612</v>
      </c>
      <c r="AL39" s="232">
        <v>0.87265336340473676</v>
      </c>
      <c r="AM39" s="232">
        <v>0.85510012954222903</v>
      </c>
      <c r="AN39" s="232">
        <v>0.93362408603990921</v>
      </c>
      <c r="AO39" s="232">
        <v>0.9889887803028341</v>
      </c>
      <c r="AP39" s="232">
        <v>1.0089699169933939</v>
      </c>
      <c r="AQ39" s="232">
        <v>0.88480953086955394</v>
      </c>
      <c r="AR39" s="232">
        <v>0.81368528864360323</v>
      </c>
      <c r="AS39" s="232">
        <v>0.75942887884842858</v>
      </c>
      <c r="AT39" s="232">
        <v>0.66946303350478598</v>
      </c>
      <c r="AU39" s="232">
        <v>0.65726762743028022</v>
      </c>
      <c r="AV39" s="232">
        <v>0.58120268158251642</v>
      </c>
      <c r="AW39" s="232">
        <v>0.52177593686833945</v>
      </c>
      <c r="AX39" s="232">
        <v>0.4732041048636455</v>
      </c>
      <c r="AY39" s="232">
        <v>0.41726224327207467</v>
      </c>
      <c r="AZ39" s="232">
        <v>0.38700497960998975</v>
      </c>
      <c r="BA39" s="232">
        <v>0.36371239371449005</v>
      </c>
      <c r="BB39" s="232">
        <v>0.35424510716456686</v>
      </c>
    </row>
    <row r="40" spans="2:54" ht="15" customHeight="1">
      <c r="B40" s="35" t="s">
        <v>190</v>
      </c>
      <c r="C40" s="549" t="s">
        <v>191</v>
      </c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3">
        <v>0.49490000000000001</v>
      </c>
      <c r="AJ40" s="231">
        <v>0.49490000000000001</v>
      </c>
      <c r="AK40" s="231">
        <v>0.49490000000000001</v>
      </c>
      <c r="AL40" s="231">
        <v>0.49490000000000001</v>
      </c>
      <c r="AM40" s="231">
        <v>0.49490000000000001</v>
      </c>
      <c r="AN40" s="231">
        <v>0.49490000000000001</v>
      </c>
      <c r="AO40" s="231">
        <v>0.49490000000000001</v>
      </c>
      <c r="AP40" s="231">
        <v>0.49490000000000001</v>
      </c>
      <c r="AQ40" s="231">
        <v>0.46389999999999998</v>
      </c>
      <c r="AR40" s="231">
        <v>0.46389999999999998</v>
      </c>
      <c r="AS40" s="231">
        <v>0.46389999999999998</v>
      </c>
      <c r="AT40" s="231">
        <v>0.46389999999999998</v>
      </c>
      <c r="AU40" s="231">
        <v>0.46389999999999998</v>
      </c>
      <c r="AV40" s="231">
        <v>0.43290000000000001</v>
      </c>
      <c r="AW40" s="231">
        <v>0.43290000000000001</v>
      </c>
      <c r="AX40" s="231">
        <v>0.43290000000000001</v>
      </c>
      <c r="AY40" s="231">
        <v>0.40200000000000002</v>
      </c>
      <c r="AZ40" s="231">
        <v>0.40200000000000002</v>
      </c>
      <c r="BA40" s="231">
        <v>0.40200000000000002</v>
      </c>
      <c r="BB40" s="231">
        <v>0.40615038468010445</v>
      </c>
    </row>
    <row r="41" spans="2:54" ht="15" customHeight="1">
      <c r="AI41" s="234"/>
      <c r="AJ41" s="234"/>
      <c r="AK41" s="234"/>
      <c r="AL41" s="234"/>
      <c r="AM41" s="234"/>
    </row>
    <row r="42" spans="2:54" ht="15" customHeight="1">
      <c r="B42" s="439" t="s">
        <v>202</v>
      </c>
      <c r="C42" s="439" t="s">
        <v>203</v>
      </c>
      <c r="D42" s="107" t="s">
        <v>39</v>
      </c>
      <c r="E42" s="107" t="s">
        <v>40</v>
      </c>
      <c r="F42" s="107" t="s">
        <v>41</v>
      </c>
      <c r="G42" s="107" t="s">
        <v>42</v>
      </c>
      <c r="H42" s="107" t="s">
        <v>43</v>
      </c>
      <c r="I42" s="107" t="s">
        <v>44</v>
      </c>
      <c r="J42" s="107" t="s">
        <v>45</v>
      </c>
      <c r="K42" s="107" t="s">
        <v>46</v>
      </c>
      <c r="L42" s="107" t="s">
        <v>47</v>
      </c>
      <c r="M42" s="107" t="s">
        <v>48</v>
      </c>
      <c r="N42" s="107" t="s">
        <v>49</v>
      </c>
      <c r="O42" s="107" t="s">
        <v>50</v>
      </c>
      <c r="P42" s="107" t="s">
        <v>51</v>
      </c>
      <c r="Q42" s="107" t="s">
        <v>52</v>
      </c>
      <c r="R42" s="107" t="s">
        <v>53</v>
      </c>
      <c r="S42" s="107" t="s">
        <v>54</v>
      </c>
      <c r="T42" s="107" t="s">
        <v>55</v>
      </c>
      <c r="U42" s="107" t="s">
        <v>56</v>
      </c>
      <c r="V42" s="107" t="s">
        <v>57</v>
      </c>
      <c r="W42" s="107" t="s">
        <v>58</v>
      </c>
      <c r="X42" s="107" t="s">
        <v>59</v>
      </c>
      <c r="Y42" s="107" t="s">
        <v>60</v>
      </c>
      <c r="Z42" s="107" t="s">
        <v>61</v>
      </c>
      <c r="AA42" s="107" t="s">
        <v>62</v>
      </c>
      <c r="AB42" s="107" t="str">
        <f t="shared" ref="AB42:AP42" si="10">AB36</f>
        <v>1T19</v>
      </c>
      <c r="AC42" s="107" t="str">
        <f t="shared" si="10"/>
        <v>2T19</v>
      </c>
      <c r="AD42" s="107" t="str">
        <f t="shared" si="10"/>
        <v>3T19</v>
      </c>
      <c r="AE42" s="107" t="str">
        <f t="shared" si="10"/>
        <v>4T19</v>
      </c>
      <c r="AF42" s="107" t="str">
        <f t="shared" si="10"/>
        <v>1T20</v>
      </c>
      <c r="AG42" s="107" t="str">
        <f t="shared" si="10"/>
        <v>2T20</v>
      </c>
      <c r="AH42" s="107" t="str">
        <f t="shared" si="10"/>
        <v>3T20</v>
      </c>
      <c r="AI42" s="107" t="str">
        <f t="shared" si="10"/>
        <v>4T20</v>
      </c>
      <c r="AJ42" s="107" t="str">
        <f t="shared" si="10"/>
        <v>1T21</v>
      </c>
      <c r="AK42" s="107" t="str">
        <f t="shared" si="10"/>
        <v>2T21</v>
      </c>
      <c r="AL42" s="107" t="str">
        <f t="shared" si="10"/>
        <v>3T21</v>
      </c>
      <c r="AM42" s="107" t="str">
        <f t="shared" si="10"/>
        <v>4T21</v>
      </c>
      <c r="AN42" s="107" t="str">
        <f t="shared" si="10"/>
        <v>1T22</v>
      </c>
      <c r="AO42" s="107" t="str">
        <f t="shared" si="10"/>
        <v>2T22</v>
      </c>
      <c r="AP42" s="107" t="str">
        <f t="shared" si="10"/>
        <v>3T22</v>
      </c>
      <c r="AQ42" s="107" t="str">
        <f t="shared" ref="AQ42:AV42" si="11">AQ36</f>
        <v>4T22</v>
      </c>
      <c r="AR42" s="107" t="str">
        <f t="shared" si="11"/>
        <v>1T23</v>
      </c>
      <c r="AS42" s="107" t="str">
        <f t="shared" si="11"/>
        <v>2T23</v>
      </c>
      <c r="AT42" s="107" t="str">
        <f t="shared" si="11"/>
        <v>3T23</v>
      </c>
      <c r="AU42" s="107" t="str">
        <f t="shared" si="11"/>
        <v>4T23</v>
      </c>
      <c r="AV42" s="107" t="str">
        <f t="shared" si="11"/>
        <v>1T24</v>
      </c>
      <c r="AW42" s="107" t="str">
        <f>AW36</f>
        <v>2T24</v>
      </c>
      <c r="AX42" s="107" t="s">
        <v>85</v>
      </c>
      <c r="AY42" s="107" t="str">
        <f>AY36</f>
        <v>4T24</v>
      </c>
      <c r="AZ42" s="107" t="str">
        <f>AZ36</f>
        <v>1T25</v>
      </c>
      <c r="BA42" s="107" t="str">
        <f>BA36</f>
        <v>2T25</v>
      </c>
      <c r="BB42" s="107" t="str">
        <f>BB36</f>
        <v>3T25</v>
      </c>
    </row>
    <row r="43" spans="2:54" ht="15" customHeight="1">
      <c r="B43" s="35" t="s">
        <v>184</v>
      </c>
      <c r="C43" s="549" t="s">
        <v>185</v>
      </c>
      <c r="AM43" s="235">
        <v>0.14151525685897259</v>
      </c>
      <c r="AN43" s="235">
        <v>0.12201453490503344</v>
      </c>
      <c r="AO43" s="235">
        <v>0.12292060419354101</v>
      </c>
      <c r="AP43" s="235">
        <v>0.11843975997717215</v>
      </c>
      <c r="AQ43" s="232">
        <v>0.12105387637693921</v>
      </c>
      <c r="AR43" s="232">
        <v>0.12205155776253696</v>
      </c>
      <c r="AS43" s="232">
        <v>0.1184810663439293</v>
      </c>
      <c r="AT43" s="232">
        <v>0.12299172749924281</v>
      </c>
      <c r="AU43" s="232">
        <v>0.12366334566929738</v>
      </c>
      <c r="AV43" s="232">
        <v>0.11672573747430959</v>
      </c>
      <c r="AW43" s="232">
        <v>0.11547615037973868</v>
      </c>
      <c r="AX43" s="232">
        <v>0.10989025302735278</v>
      </c>
      <c r="AY43" s="232">
        <v>9.9138793939993031E-2</v>
      </c>
      <c r="AZ43" s="232">
        <v>9.5938262998533919E-2</v>
      </c>
      <c r="BA43" s="232">
        <v>9.69053447082312E-2</v>
      </c>
      <c r="BB43" s="232">
        <v>9.6803231422891156E-2</v>
      </c>
    </row>
    <row r="44" spans="2:54" ht="15" customHeight="1">
      <c r="B44" s="35" t="s">
        <v>186</v>
      </c>
      <c r="C44" s="549" t="s">
        <v>187</v>
      </c>
      <c r="AI44" s="234"/>
      <c r="AJ44" s="234"/>
      <c r="AK44" s="234"/>
      <c r="AL44" s="234"/>
      <c r="AM44" s="234"/>
      <c r="AQ44" s="231">
        <v>0.11741409801256514</v>
      </c>
      <c r="AR44" s="231">
        <v>0.11741409801256514</v>
      </c>
      <c r="AS44" s="231">
        <v>0.11741409801256514</v>
      </c>
      <c r="AT44" s="231">
        <v>0.11741409801256514</v>
      </c>
      <c r="AU44" s="231">
        <v>0.12292107944922606</v>
      </c>
      <c r="AV44" s="231">
        <v>0.12292107944922606</v>
      </c>
      <c r="AW44" s="231">
        <v>0.12292107944922606</v>
      </c>
      <c r="AX44" s="231">
        <v>0.12292107944922606</v>
      </c>
      <c r="AY44" s="231">
        <v>0.12543216725845624</v>
      </c>
      <c r="AZ44" s="231">
        <v>0.12543216725845624</v>
      </c>
      <c r="BA44" s="231">
        <v>0.124851609354992</v>
      </c>
      <c r="BB44" s="231">
        <v>0.12543216725845621</v>
      </c>
    </row>
    <row r="45" spans="2:54" ht="15" customHeight="1">
      <c r="B45" s="35" t="s">
        <v>188</v>
      </c>
      <c r="C45" s="549" t="s">
        <v>189</v>
      </c>
      <c r="AI45" s="234"/>
      <c r="AJ45" s="234"/>
      <c r="AK45" s="234"/>
      <c r="AL45" s="234"/>
      <c r="AM45" s="235">
        <v>9.2766263968743115E-2</v>
      </c>
      <c r="AN45" s="235">
        <v>5.2889208037597196E-2</v>
      </c>
      <c r="AO45" s="235">
        <v>5.4921029700901042E-2</v>
      </c>
      <c r="AP45" s="235">
        <v>4.5981692656401452E-2</v>
      </c>
      <c r="AQ45" s="232">
        <v>5.1209099839584431E-2</v>
      </c>
      <c r="AR45" s="232">
        <v>5.3173009449074722E-2</v>
      </c>
      <c r="AS45" s="232">
        <v>4.5808913495679449E-2</v>
      </c>
      <c r="AT45" s="232">
        <v>5.4559748177171657E-2</v>
      </c>
      <c r="AU45" s="232">
        <v>5.5189495751780948E-2</v>
      </c>
      <c r="AV45" s="232">
        <v>4.1518233920027167E-2</v>
      </c>
      <c r="AW45" s="232">
        <v>3.9016712634058454E-2</v>
      </c>
      <c r="AX45" s="232">
        <v>2.8384763478136666E-2</v>
      </c>
      <c r="AY45" s="232">
        <v>8.455244912980428E-3</v>
      </c>
      <c r="AZ45" s="232">
        <v>2.5910276451441188E-3</v>
      </c>
      <c r="BA45" s="232">
        <v>4.3569020975046573E-3</v>
      </c>
      <c r="BB45" s="232">
        <v>4.1588149850588802E-3</v>
      </c>
    </row>
    <row r="46" spans="2:54" ht="15" customHeight="1">
      <c r="B46" s="35" t="s">
        <v>190</v>
      </c>
      <c r="C46" s="549" t="s">
        <v>191</v>
      </c>
      <c r="AI46" s="234"/>
      <c r="AJ46" s="234"/>
      <c r="AK46" s="234"/>
      <c r="AL46" s="234"/>
      <c r="AM46" s="234"/>
      <c r="AQ46" s="231">
        <v>4.3999999999999997E-2</v>
      </c>
      <c r="AR46" s="231">
        <v>4.3999999999999997E-2</v>
      </c>
      <c r="AS46" s="231">
        <v>4.3999999999999997E-2</v>
      </c>
      <c r="AT46" s="231">
        <v>4.3999999999999997E-2</v>
      </c>
      <c r="AU46" s="231">
        <v>4.4594080221691083E-2</v>
      </c>
      <c r="AV46" s="231">
        <v>4.4594080221691083E-2</v>
      </c>
      <c r="AW46" s="231">
        <v>4.4594080221691083E-2</v>
      </c>
      <c r="AX46" s="231">
        <v>4.4594080221691083E-2</v>
      </c>
      <c r="AY46" s="231">
        <v>4.4226000000000001E-2</v>
      </c>
      <c r="AZ46" s="231">
        <v>4.4226000000000001E-2</v>
      </c>
      <c r="BA46" s="231">
        <v>4.4309034932774473E-2</v>
      </c>
      <c r="BB46" s="231">
        <v>4.4225999999999988E-2</v>
      </c>
    </row>
    <row r="48" spans="2:54" ht="15" customHeight="1">
      <c r="B48" s="807" t="s">
        <v>204</v>
      </c>
      <c r="C48" s="807"/>
      <c r="D48" s="807"/>
      <c r="E48" s="807"/>
      <c r="F48" s="807"/>
      <c r="G48" s="807"/>
      <c r="H48" s="807"/>
      <c r="I48" s="807"/>
      <c r="J48" s="807"/>
      <c r="K48" s="807"/>
      <c r="L48" s="807"/>
      <c r="M48" s="807"/>
      <c r="N48" s="807"/>
      <c r="O48" s="807"/>
      <c r="P48" s="807"/>
      <c r="Q48" s="807"/>
      <c r="R48" s="807"/>
      <c r="S48" s="807"/>
      <c r="T48" s="807"/>
      <c r="U48" s="807"/>
      <c r="V48" s="807"/>
      <c r="W48" s="807"/>
      <c r="X48" s="807"/>
      <c r="Y48" s="807"/>
      <c r="Z48" s="807"/>
      <c r="AA48" s="807"/>
      <c r="AB48" s="807"/>
      <c r="AC48" s="807"/>
      <c r="AD48" s="807"/>
      <c r="AE48" s="807"/>
      <c r="AF48" s="807"/>
      <c r="AG48" s="807"/>
      <c r="AH48" s="807"/>
      <c r="AI48" s="807"/>
      <c r="AJ48" s="807"/>
      <c r="AK48" s="807"/>
      <c r="AL48" s="807"/>
      <c r="AM48" s="807"/>
      <c r="AN48" s="807"/>
      <c r="AO48" s="807"/>
      <c r="AP48" s="807"/>
      <c r="AQ48" s="807"/>
    </row>
    <row r="49" spans="2:43" ht="15" customHeight="1">
      <c r="B49" s="807"/>
      <c r="C49" s="807"/>
      <c r="D49" s="807"/>
      <c r="E49" s="807"/>
      <c r="F49" s="807"/>
      <c r="G49" s="807"/>
      <c r="H49" s="807"/>
      <c r="I49" s="807"/>
      <c r="J49" s="807"/>
      <c r="K49" s="807"/>
      <c r="L49" s="807"/>
      <c r="M49" s="807"/>
      <c r="N49" s="807"/>
      <c r="O49" s="807"/>
      <c r="P49" s="807"/>
      <c r="Q49" s="807"/>
      <c r="R49" s="807"/>
      <c r="S49" s="807"/>
      <c r="T49" s="807"/>
      <c r="U49" s="807"/>
      <c r="V49" s="807"/>
      <c r="W49" s="807"/>
      <c r="X49" s="807"/>
      <c r="Y49" s="807"/>
      <c r="Z49" s="807"/>
      <c r="AA49" s="807"/>
      <c r="AB49" s="807"/>
      <c r="AC49" s="807"/>
      <c r="AD49" s="807"/>
      <c r="AE49" s="807"/>
      <c r="AF49" s="807"/>
      <c r="AG49" s="807"/>
      <c r="AH49" s="807"/>
      <c r="AI49" s="807"/>
      <c r="AJ49" s="807"/>
      <c r="AK49" s="807"/>
      <c r="AL49" s="807"/>
      <c r="AM49" s="807"/>
      <c r="AN49" s="807"/>
      <c r="AO49" s="807"/>
      <c r="AP49" s="807"/>
      <c r="AQ49" s="807"/>
    </row>
    <row r="50" spans="2:43" ht="15" customHeight="1">
      <c r="B50" s="807"/>
      <c r="C50" s="807"/>
      <c r="D50" s="807"/>
      <c r="E50" s="807"/>
      <c r="F50" s="807"/>
      <c r="G50" s="807"/>
      <c r="H50" s="807"/>
      <c r="I50" s="807"/>
      <c r="J50" s="807"/>
      <c r="K50" s="807"/>
      <c r="L50" s="807"/>
      <c r="M50" s="807"/>
      <c r="N50" s="807"/>
      <c r="O50" s="807"/>
      <c r="P50" s="807"/>
      <c r="Q50" s="807"/>
      <c r="R50" s="807"/>
      <c r="S50" s="807"/>
      <c r="T50" s="807"/>
      <c r="U50" s="807"/>
      <c r="V50" s="807"/>
      <c r="W50" s="807"/>
      <c r="X50" s="807"/>
      <c r="Y50" s="807"/>
      <c r="Z50" s="807"/>
      <c r="AA50" s="807"/>
      <c r="AB50" s="807"/>
      <c r="AC50" s="807"/>
      <c r="AD50" s="807"/>
      <c r="AE50" s="807"/>
      <c r="AF50" s="807"/>
      <c r="AG50" s="807"/>
      <c r="AH50" s="807"/>
      <c r="AI50" s="807"/>
      <c r="AJ50" s="807"/>
      <c r="AK50" s="807"/>
      <c r="AL50" s="807"/>
      <c r="AM50" s="807"/>
      <c r="AN50" s="807"/>
      <c r="AO50" s="807"/>
      <c r="AP50" s="807"/>
      <c r="AQ50" s="807"/>
    </row>
  </sheetData>
  <mergeCells count="1">
    <mergeCell ref="B48:AQ5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61AF3-64A6-489A-974F-0EA9700AB731}">
  <sheetPr>
    <tabColor theme="9" tint="0.79998168889431442"/>
  </sheetPr>
  <dimension ref="B6:J53"/>
  <sheetViews>
    <sheetView showGridLines="0" zoomScale="90" zoomScaleNormal="90" workbookViewId="0">
      <pane xSplit="3" topLeftCell="D1" activePane="topRight" state="frozen"/>
      <selection pane="topRight" activeCell="J31" sqref="J31"/>
    </sheetView>
  </sheetViews>
  <sheetFormatPr defaultColWidth="9.21875" defaultRowHeight="15" customHeight="1"/>
  <cols>
    <col min="1" max="1" width="8.5546875" style="35" customWidth="1"/>
    <col min="2" max="3" width="33.5546875" style="35" customWidth="1"/>
    <col min="4" max="16384" width="9.21875" style="35"/>
  </cols>
  <sheetData>
    <row r="6" spans="2:10" ht="15" customHeight="1">
      <c r="B6" s="439" t="s">
        <v>182</v>
      </c>
      <c r="C6" s="439" t="s">
        <v>183</v>
      </c>
      <c r="D6" s="107" t="s">
        <v>86</v>
      </c>
      <c r="E6" s="107" t="s">
        <v>87</v>
      </c>
      <c r="F6" s="107" t="s">
        <v>88</v>
      </c>
      <c r="G6" s="107" t="s">
        <v>2074</v>
      </c>
      <c r="H6" s="107" t="s">
        <v>2127</v>
      </c>
      <c r="I6" s="107" t="s">
        <v>2360</v>
      </c>
      <c r="J6" s="107" t="s">
        <v>2494</v>
      </c>
    </row>
    <row r="7" spans="2:10" ht="15" customHeight="1">
      <c r="B7" s="35" t="s">
        <v>184</v>
      </c>
      <c r="C7" s="549" t="s">
        <v>185</v>
      </c>
      <c r="D7" s="232">
        <v>0.18767829768618172</v>
      </c>
      <c r="E7" s="232">
        <v>0.18600675686420776</v>
      </c>
      <c r="F7" s="232">
        <v>0.19201431689072113</v>
      </c>
      <c r="G7" s="232">
        <v>0.19366179253195956</v>
      </c>
      <c r="H7" s="232">
        <v>0.19189872972823116</v>
      </c>
      <c r="I7" s="232">
        <v>0.19207312862003229</v>
      </c>
      <c r="J7" s="232">
        <v>0.18672787592726972</v>
      </c>
    </row>
    <row r="8" spans="2:10" ht="15" customHeight="1">
      <c r="B8" s="35" t="s">
        <v>186</v>
      </c>
      <c r="C8" s="549" t="s">
        <v>187</v>
      </c>
      <c r="D8" s="231"/>
      <c r="E8" s="231"/>
      <c r="F8" s="231"/>
      <c r="G8" s="231">
        <v>0.19074995201186731</v>
      </c>
      <c r="H8" s="231">
        <v>0.19074995201186731</v>
      </c>
      <c r="I8" s="231">
        <v>0.19074995201186731</v>
      </c>
      <c r="J8" s="231">
        <v>0.19074995201186731</v>
      </c>
    </row>
    <row r="9" spans="2:10" ht="15" customHeight="1">
      <c r="B9" s="35" t="s">
        <v>188</v>
      </c>
      <c r="C9" s="549" t="s">
        <v>189</v>
      </c>
      <c r="D9" s="232">
        <v>0.12550194020447794</v>
      </c>
      <c r="E9" s="232">
        <v>0.12249032848797664</v>
      </c>
      <c r="F9" s="232">
        <v>0.13348914580252488</v>
      </c>
      <c r="G9" s="232">
        <v>0.12540387944865936</v>
      </c>
      <c r="H9" s="232">
        <v>0.12225983345110281</v>
      </c>
      <c r="I9" s="232">
        <v>0.12257280085892273</v>
      </c>
      <c r="J9" s="232">
        <v>0.11306434451704649</v>
      </c>
    </row>
    <row r="10" spans="2:10" ht="15" customHeight="1">
      <c r="B10" s="35" t="s">
        <v>190</v>
      </c>
      <c r="C10" s="549" t="s">
        <v>191</v>
      </c>
      <c r="D10" s="231"/>
      <c r="E10" s="231"/>
      <c r="F10" s="231"/>
      <c r="G10" s="231">
        <v>0.12034593769488033</v>
      </c>
      <c r="H10" s="231">
        <v>0.12034593769488033</v>
      </c>
      <c r="I10" s="231">
        <v>0.12034593769488033</v>
      </c>
      <c r="J10" s="231">
        <v>0.12034593769488033</v>
      </c>
    </row>
    <row r="12" spans="2:10" ht="15" customHeight="1">
      <c r="B12" s="439" t="s">
        <v>192</v>
      </c>
      <c r="C12" s="439" t="s">
        <v>193</v>
      </c>
      <c r="D12" s="107" t="str">
        <f>D6</f>
        <v>4T24</v>
      </c>
      <c r="E12" s="107" t="str">
        <f>E6</f>
        <v>1T25</v>
      </c>
      <c r="F12" s="107" t="str">
        <f>F6</f>
        <v>2T25</v>
      </c>
      <c r="G12" s="107" t="str">
        <f>G6</f>
        <v>3T25</v>
      </c>
      <c r="H12" s="107" t="str">
        <f>H6</f>
        <v>4T25</v>
      </c>
      <c r="I12" s="107" t="s">
        <v>2360</v>
      </c>
      <c r="J12" s="107" t="s">
        <v>2494</v>
      </c>
    </row>
    <row r="13" spans="2:10" ht="15" customHeight="1">
      <c r="B13" s="35" t="s">
        <v>184</v>
      </c>
      <c r="C13" s="549" t="s">
        <v>185</v>
      </c>
      <c r="D13" s="232">
        <v>0.29051859091861737</v>
      </c>
      <c r="E13" s="232">
        <v>0.29323766688665392</v>
      </c>
      <c r="F13" s="232">
        <v>0.29352915802508522</v>
      </c>
      <c r="G13" s="232">
        <v>0.29492869856294068</v>
      </c>
      <c r="H13" s="232">
        <v>0.29609898356190528</v>
      </c>
      <c r="I13" s="232">
        <v>0.29737721097640651</v>
      </c>
      <c r="J13" s="232">
        <v>0.2950269650200017</v>
      </c>
    </row>
    <row r="14" spans="2:10" ht="15" customHeight="1">
      <c r="B14" s="35" t="s">
        <v>186</v>
      </c>
      <c r="C14" s="549" t="s">
        <v>187</v>
      </c>
      <c r="D14" s="231"/>
      <c r="E14" s="231"/>
      <c r="F14" s="231"/>
      <c r="G14" s="231">
        <v>0.28931460995022618</v>
      </c>
      <c r="H14" s="231">
        <v>0.28931460995022618</v>
      </c>
      <c r="I14" s="231">
        <v>0.28931460995022618</v>
      </c>
      <c r="J14" s="231">
        <v>0.28931460995022618</v>
      </c>
    </row>
    <row r="15" spans="2:10" ht="15" customHeight="1">
      <c r="B15" s="35" t="s">
        <v>188</v>
      </c>
      <c r="C15" s="549" t="s">
        <v>189</v>
      </c>
      <c r="D15" s="232">
        <v>0.35755674830297846</v>
      </c>
      <c r="E15" s="232">
        <v>0.36498351929210521</v>
      </c>
      <c r="F15" s="232">
        <v>0.36822077679448989</v>
      </c>
      <c r="G15" s="232">
        <v>0.37354631725234677</v>
      </c>
      <c r="H15" s="232">
        <v>0.37647096607992669</v>
      </c>
      <c r="I15" s="232">
        <v>0.37942354590632399</v>
      </c>
      <c r="J15" s="232">
        <v>0.37152464382001732</v>
      </c>
    </row>
    <row r="16" spans="2:10" ht="15" customHeight="1">
      <c r="B16" s="35" t="s">
        <v>190</v>
      </c>
      <c r="C16" s="549" t="s">
        <v>191</v>
      </c>
      <c r="D16" s="231"/>
      <c r="E16" s="231"/>
      <c r="F16" s="231"/>
      <c r="G16" s="231">
        <v>0.35369800000000001</v>
      </c>
      <c r="H16" s="231">
        <v>0.35369800000000001</v>
      </c>
      <c r="I16" s="231">
        <v>0.35369800000000001</v>
      </c>
      <c r="J16" s="231">
        <v>0.35369800000000001</v>
      </c>
    </row>
    <row r="18" spans="2:10" ht="15" customHeight="1">
      <c r="B18" s="439" t="s">
        <v>194</v>
      </c>
      <c r="C18" s="439" t="s">
        <v>195</v>
      </c>
      <c r="D18" s="107" t="str">
        <f>D12</f>
        <v>4T24</v>
      </c>
      <c r="E18" s="107" t="str">
        <f>E12</f>
        <v>1T25</v>
      </c>
      <c r="F18" s="107" t="str">
        <f>F12</f>
        <v>2T25</v>
      </c>
      <c r="G18" s="107" t="str">
        <f>G12</f>
        <v>3T25</v>
      </c>
      <c r="H18" s="107" t="str">
        <f>H12</f>
        <v>4T25</v>
      </c>
      <c r="I18" s="107" t="s">
        <v>2360</v>
      </c>
      <c r="J18" s="107" t="s">
        <v>2494</v>
      </c>
    </row>
    <row r="19" spans="2:10" ht="15" customHeight="1">
      <c r="B19" s="35" t="s">
        <v>184</v>
      </c>
      <c r="C19" s="549" t="s">
        <v>185</v>
      </c>
      <c r="D19" s="232">
        <v>0.17889134845168125</v>
      </c>
      <c r="E19" s="232">
        <v>0.17480671117187319</v>
      </c>
      <c r="F19" s="232">
        <v>0.17550016971055918</v>
      </c>
      <c r="G19" s="232">
        <v>0.17444297742036918</v>
      </c>
      <c r="H19" s="232">
        <v>0.17119857842830241</v>
      </c>
      <c r="I19" s="232">
        <v>0.17107927593456376</v>
      </c>
      <c r="J19" s="232">
        <v>0.16936815794793128</v>
      </c>
    </row>
    <row r="20" spans="2:10" ht="15" customHeight="1">
      <c r="B20" s="35" t="s">
        <v>186</v>
      </c>
      <c r="C20" s="549" t="s">
        <v>187</v>
      </c>
      <c r="D20" s="231"/>
      <c r="E20" s="231"/>
      <c r="F20" s="231"/>
      <c r="G20" s="231"/>
      <c r="H20" s="231">
        <v>0.19334139541417145</v>
      </c>
      <c r="I20" s="231">
        <v>0.19334139541417145</v>
      </c>
      <c r="J20" s="231">
        <v>0.19334139541417145</v>
      </c>
    </row>
    <row r="21" spans="2:10" ht="15" customHeight="1">
      <c r="B21" s="35" t="s">
        <v>188</v>
      </c>
      <c r="C21" s="549" t="s">
        <v>189</v>
      </c>
      <c r="D21" s="232">
        <v>0.11829057805808599</v>
      </c>
      <c r="E21" s="232">
        <v>0.11045176788314894</v>
      </c>
      <c r="F21" s="232">
        <v>0.11241155009406797</v>
      </c>
      <c r="G21" s="232">
        <v>0.11026911043996572</v>
      </c>
      <c r="H21" s="232">
        <v>0.10424170789975384</v>
      </c>
      <c r="I21" s="232">
        <v>0.10434767748405356</v>
      </c>
      <c r="J21" s="232">
        <v>0.10091460540103617</v>
      </c>
    </row>
    <row r="22" spans="2:10" ht="15" customHeight="1">
      <c r="B22" s="35" t="s">
        <v>190</v>
      </c>
      <c r="C22" s="549" t="s">
        <v>191</v>
      </c>
      <c r="D22" s="231"/>
      <c r="E22" s="231"/>
      <c r="F22" s="231"/>
      <c r="G22" s="231"/>
      <c r="H22" s="231">
        <v>0.13561200000000001</v>
      </c>
      <c r="I22" s="231">
        <v>0.13561200000000001</v>
      </c>
      <c r="J22" s="231">
        <v>0.13561200000000001</v>
      </c>
    </row>
    <row r="24" spans="2:10" ht="15" customHeight="1">
      <c r="B24" s="439" t="s">
        <v>196</v>
      </c>
      <c r="C24" s="439" t="s">
        <v>197</v>
      </c>
      <c r="D24" s="107" t="str">
        <f>D18</f>
        <v>4T24</v>
      </c>
      <c r="E24" s="107" t="str">
        <f>E18</f>
        <v>1T25</v>
      </c>
      <c r="F24" s="107" t="str">
        <f>F18</f>
        <v>2T25</v>
      </c>
      <c r="G24" s="107" t="str">
        <f>G18</f>
        <v>3T25</v>
      </c>
      <c r="H24" s="107" t="str">
        <f>H18</f>
        <v>4T25</v>
      </c>
      <c r="I24" s="107" t="s">
        <v>2360</v>
      </c>
      <c r="J24" s="107" t="s">
        <v>2494</v>
      </c>
    </row>
    <row r="25" spans="2:10" ht="15" customHeight="1">
      <c r="B25" s="35" t="s">
        <v>184</v>
      </c>
      <c r="C25" s="549" t="s">
        <v>185</v>
      </c>
      <c r="D25" s="232">
        <v>0.17867627418712925</v>
      </c>
      <c r="E25" s="232">
        <v>0.16969861499229719</v>
      </c>
      <c r="F25" s="232">
        <v>0.16883978075984549</v>
      </c>
      <c r="G25" s="232">
        <v>0.166817715065883</v>
      </c>
      <c r="H25" s="232">
        <v>0.16542005210929722</v>
      </c>
      <c r="I25" s="232">
        <v>0.16427756833164228</v>
      </c>
      <c r="J25" s="232">
        <v>0.16093425580580936</v>
      </c>
    </row>
    <row r="26" spans="2:10" ht="15" customHeight="1">
      <c r="B26" s="35" t="s">
        <v>186</v>
      </c>
      <c r="C26" s="549" t="s">
        <v>187</v>
      </c>
      <c r="D26" s="231"/>
      <c r="E26" s="231"/>
      <c r="F26" s="231">
        <v>0.18586158075429743</v>
      </c>
      <c r="G26" s="231">
        <v>0.18586158075429743</v>
      </c>
      <c r="H26" s="231">
        <v>0.18586158075429743</v>
      </c>
      <c r="I26" s="231">
        <v>0.18586158075429743</v>
      </c>
      <c r="J26" s="231">
        <v>0.18034964790098712</v>
      </c>
    </row>
    <row r="27" spans="2:10" ht="15" customHeight="1">
      <c r="B27" s="35" t="s">
        <v>188</v>
      </c>
      <c r="C27" s="549" t="s">
        <v>189</v>
      </c>
      <c r="D27" s="232">
        <v>0.16963828426304592</v>
      </c>
      <c r="E27" s="232">
        <v>0.15011413413608468</v>
      </c>
      <c r="F27" s="232">
        <v>0.14868592771616593</v>
      </c>
      <c r="G27" s="232">
        <v>0.14458516327588836</v>
      </c>
      <c r="H27" s="232">
        <v>0.14096443080547527</v>
      </c>
      <c r="I27" s="232">
        <v>0.13851421284071025</v>
      </c>
      <c r="J27" s="232">
        <v>0.1314646393419891</v>
      </c>
    </row>
    <row r="28" spans="2:10" ht="15" customHeight="1">
      <c r="B28" s="35" t="s">
        <v>190</v>
      </c>
      <c r="C28" s="549" t="s">
        <v>191</v>
      </c>
      <c r="D28" s="231"/>
      <c r="E28" s="231"/>
      <c r="F28" s="231">
        <v>0.183228</v>
      </c>
      <c r="G28" s="231">
        <v>0.183228</v>
      </c>
      <c r="H28" s="231">
        <v>0.183228</v>
      </c>
      <c r="I28" s="231">
        <v>0.183228</v>
      </c>
      <c r="J28" s="231">
        <v>0.1708180471196325</v>
      </c>
    </row>
    <row r="30" spans="2:10" ht="15" customHeight="1">
      <c r="B30" s="439" t="s">
        <v>198</v>
      </c>
      <c r="C30" s="439" t="s">
        <v>199</v>
      </c>
      <c r="D30" s="107" t="str">
        <f>D24</f>
        <v>4T24</v>
      </c>
      <c r="E30" s="107" t="str">
        <f>E24</f>
        <v>1T25</v>
      </c>
      <c r="F30" s="107" t="str">
        <f>F24</f>
        <v>2T25</v>
      </c>
      <c r="G30" s="107" t="str">
        <f>G24</f>
        <v>3T25</v>
      </c>
      <c r="H30" s="107" t="str">
        <f>H24</f>
        <v>4T25</v>
      </c>
      <c r="I30" s="107" t="s">
        <v>2360</v>
      </c>
      <c r="J30" s="107" t="s">
        <v>2494</v>
      </c>
    </row>
    <row r="31" spans="2:10" ht="15" customHeight="1">
      <c r="B31" s="35" t="s">
        <v>184</v>
      </c>
      <c r="C31" s="549" t="s">
        <v>185</v>
      </c>
      <c r="D31" s="232">
        <v>0.13197759955502392</v>
      </c>
      <c r="E31" s="232">
        <v>0.13486604008407965</v>
      </c>
      <c r="F31" s="232">
        <v>0.13025296609740711</v>
      </c>
      <c r="G31" s="232">
        <v>0.12718010901384022</v>
      </c>
      <c r="H31" s="232">
        <v>0.13683810677710195</v>
      </c>
      <c r="I31" s="232">
        <v>0.13056755087629032</v>
      </c>
      <c r="J31" s="232">
        <v>0.12892037715964874</v>
      </c>
    </row>
    <row r="32" spans="2:10" ht="15" customHeight="1">
      <c r="B32" s="35" t="s">
        <v>186</v>
      </c>
      <c r="C32" s="549" t="s">
        <v>187</v>
      </c>
      <c r="D32" s="231"/>
      <c r="E32" s="231"/>
      <c r="F32" s="231"/>
      <c r="G32" s="231"/>
      <c r="H32" s="231">
        <v>0.12548689157838158</v>
      </c>
      <c r="I32" s="231">
        <v>0.12548689157838158</v>
      </c>
      <c r="J32" s="231">
        <v>0.12548689157838158</v>
      </c>
    </row>
    <row r="33" spans="2:10" ht="15" customHeight="1">
      <c r="B33" s="35" t="s">
        <v>188</v>
      </c>
      <c r="C33" s="549" t="s">
        <v>189</v>
      </c>
      <c r="D33" s="232">
        <v>0.12126823281829402</v>
      </c>
      <c r="E33" s="232">
        <v>0.12672047723756003</v>
      </c>
      <c r="F33" s="232">
        <v>0.11715555441000605</v>
      </c>
      <c r="G33" s="232">
        <v>0.11140239488098283</v>
      </c>
      <c r="H33" s="232">
        <v>0.13145862933090183</v>
      </c>
      <c r="I33" s="232">
        <v>0.11942852304799022</v>
      </c>
      <c r="J33" s="232">
        <v>0.11539312090807036</v>
      </c>
    </row>
    <row r="34" spans="2:10" ht="15" customHeight="1">
      <c r="B34" s="35" t="s">
        <v>190</v>
      </c>
      <c r="C34" s="549" t="s">
        <v>191</v>
      </c>
      <c r="D34" s="231"/>
      <c r="E34" s="231"/>
      <c r="F34" s="231"/>
      <c r="G34" s="231"/>
      <c r="H34" s="231">
        <v>0.10628384153104915</v>
      </c>
      <c r="I34" s="231">
        <v>0.10628384153104915</v>
      </c>
      <c r="J34" s="231">
        <v>0.10628384153104915</v>
      </c>
    </row>
    <row r="36" spans="2:10" ht="15" customHeight="1">
      <c r="B36" s="439" t="s">
        <v>200</v>
      </c>
      <c r="C36" s="439" t="s">
        <v>201</v>
      </c>
      <c r="D36" s="107" t="str">
        <f>D30</f>
        <v>4T24</v>
      </c>
      <c r="E36" s="107" t="str">
        <f>E30</f>
        <v>1T25</v>
      </c>
      <c r="F36" s="107" t="str">
        <f>F30</f>
        <v>2T25</v>
      </c>
      <c r="G36" s="107" t="str">
        <f>G30</f>
        <v>3T25</v>
      </c>
      <c r="H36" s="107" t="str">
        <f>H30</f>
        <v>4T25</v>
      </c>
      <c r="I36" s="107" t="s">
        <v>2360</v>
      </c>
      <c r="J36" s="107" t="s">
        <v>2494</v>
      </c>
    </row>
    <row r="37" spans="2:10" ht="15" customHeight="1">
      <c r="B37" s="35" t="s">
        <v>184</v>
      </c>
      <c r="C37" s="549" t="s">
        <v>185</v>
      </c>
      <c r="D37" s="232">
        <v>0.33114092338163764</v>
      </c>
      <c r="E37" s="232">
        <v>0.32008348337168652</v>
      </c>
      <c r="F37" s="232">
        <v>0.31275444287384385</v>
      </c>
      <c r="G37" s="232">
        <v>0.31325022667405517</v>
      </c>
      <c r="H37" s="232">
        <v>0.30765627164122683</v>
      </c>
      <c r="I37" s="232">
        <v>0.30194780342905303</v>
      </c>
      <c r="J37" s="232">
        <v>0.29462866497307488</v>
      </c>
    </row>
    <row r="38" spans="2:10" ht="15" customHeight="1">
      <c r="B38" s="35" t="s">
        <v>186</v>
      </c>
      <c r="C38" s="549" t="s">
        <v>187</v>
      </c>
      <c r="D38" s="231"/>
      <c r="E38" s="231"/>
      <c r="F38" s="231"/>
      <c r="G38" s="231"/>
      <c r="H38" s="231">
        <v>0.33182554260143221</v>
      </c>
      <c r="I38" s="231">
        <v>0.33182554260143221</v>
      </c>
      <c r="J38" s="231">
        <v>0.33182554260143221</v>
      </c>
    </row>
    <row r="39" spans="2:10" ht="15" customHeight="1">
      <c r="B39" s="35" t="s">
        <v>188</v>
      </c>
      <c r="C39" s="549" t="s">
        <v>189</v>
      </c>
      <c r="D39" s="232">
        <v>0.40766308107201743</v>
      </c>
      <c r="E39" s="232">
        <v>0.38187259481668046</v>
      </c>
      <c r="F39" s="232">
        <v>0.36580736423514948</v>
      </c>
      <c r="G39" s="232">
        <v>0.36919688696430181</v>
      </c>
      <c r="H39" s="232">
        <v>0.35924236468174287</v>
      </c>
      <c r="I39" s="232">
        <v>0.3455644497679885</v>
      </c>
      <c r="J39" s="232">
        <v>0.32725520862026464</v>
      </c>
    </row>
    <row r="40" spans="2:10" ht="15" customHeight="1">
      <c r="B40" s="35" t="s">
        <v>190</v>
      </c>
      <c r="C40" s="549" t="s">
        <v>191</v>
      </c>
      <c r="D40" s="231"/>
      <c r="E40" s="231"/>
      <c r="F40" s="231"/>
      <c r="G40" s="231"/>
      <c r="H40" s="231">
        <v>0.41039900000000001</v>
      </c>
      <c r="I40" s="231">
        <v>0.41039900000000001</v>
      </c>
      <c r="J40" s="231">
        <v>0.41039900000000001</v>
      </c>
    </row>
    <row r="42" spans="2:10" ht="15" customHeight="1">
      <c r="B42" s="439" t="s">
        <v>202</v>
      </c>
      <c r="C42" s="439" t="s">
        <v>203</v>
      </c>
      <c r="D42" s="107" t="str">
        <f>D36</f>
        <v>4T24</v>
      </c>
      <c r="E42" s="107" t="str">
        <f>E36</f>
        <v>1T25</v>
      </c>
      <c r="F42" s="107" t="str">
        <f>F36</f>
        <v>2T25</v>
      </c>
      <c r="G42" s="107" t="str">
        <f>G36</f>
        <v>3T25</v>
      </c>
      <c r="H42" s="107" t="str">
        <f>H36</f>
        <v>4T25</v>
      </c>
      <c r="I42" s="107" t="s">
        <v>2360</v>
      </c>
      <c r="J42" s="107" t="s">
        <v>2494</v>
      </c>
    </row>
    <row r="43" spans="2:10" ht="15" customHeight="1">
      <c r="B43" s="35" t="s">
        <v>184</v>
      </c>
      <c r="C43" s="549" t="s">
        <v>185</v>
      </c>
      <c r="D43" s="232">
        <v>0.10777640961799596</v>
      </c>
      <c r="E43" s="232">
        <v>0.10812294987972466</v>
      </c>
      <c r="F43" s="232">
        <v>0.10323487086101024</v>
      </c>
      <c r="G43" s="232">
        <v>0.10016926420789389</v>
      </c>
      <c r="H43" s="232">
        <v>0.10332586573170331</v>
      </c>
      <c r="I43" s="232">
        <v>0.1002435722938621</v>
      </c>
      <c r="J43" s="232">
        <v>0.10310472810845094</v>
      </c>
    </row>
    <row r="44" spans="2:10" ht="15" customHeight="1">
      <c r="B44" s="35" t="s">
        <v>186</v>
      </c>
      <c r="C44" s="549" t="s">
        <v>187</v>
      </c>
      <c r="D44" s="231"/>
      <c r="E44" s="231"/>
      <c r="F44" s="231"/>
      <c r="G44" s="231"/>
      <c r="H44" s="231">
        <v>0.12775173258928432</v>
      </c>
      <c r="I44" s="231">
        <v>0.12775173258928432</v>
      </c>
      <c r="J44" s="231">
        <v>0.12775173258928432</v>
      </c>
    </row>
    <row r="45" spans="2:10" ht="15" customHeight="1">
      <c r="B45" s="35" t="s">
        <v>188</v>
      </c>
      <c r="C45" s="549" t="s">
        <v>189</v>
      </c>
      <c r="D45" s="232">
        <v>2.5369279104306332E-2</v>
      </c>
      <c r="E45" s="232">
        <v>2.6207350490995186E-2</v>
      </c>
      <c r="F45" s="232">
        <v>1.6788481068687643E-2</v>
      </c>
      <c r="G45" s="232">
        <v>1.0855198031357951E-2</v>
      </c>
      <c r="H45" s="232">
        <v>1.6964403297970065E-2</v>
      </c>
      <c r="I45" s="232">
        <v>1.1026461045147332E-2</v>
      </c>
      <c r="J45" s="232">
        <v>1.6565211946582857E-2</v>
      </c>
    </row>
    <row r="46" spans="2:10" ht="15" customHeight="1">
      <c r="B46" s="35" t="s">
        <v>190</v>
      </c>
      <c r="C46" s="549" t="s">
        <v>191</v>
      </c>
      <c r="D46" s="231"/>
      <c r="E46" s="231"/>
      <c r="F46" s="231"/>
      <c r="G46" s="231"/>
      <c r="H46" s="231">
        <v>6.2080999999999997E-2</v>
      </c>
      <c r="I46" s="231">
        <v>6.2080999999999997E-2</v>
      </c>
      <c r="J46" s="231">
        <v>6.2080999999999997E-2</v>
      </c>
    </row>
    <row r="48" spans="2:10" ht="15" customHeight="1">
      <c r="B48" s="808" t="s">
        <v>2361</v>
      </c>
      <c r="C48" s="808"/>
    </row>
    <row r="49" spans="2:3" ht="15" customHeight="1">
      <c r="B49" s="808"/>
      <c r="C49" s="808"/>
    </row>
    <row r="50" spans="2:3" ht="15" customHeight="1">
      <c r="B50" s="808"/>
      <c r="C50" s="808"/>
    </row>
    <row r="51" spans="2:3" ht="15" customHeight="1">
      <c r="B51" s="808"/>
      <c r="C51" s="808"/>
    </row>
    <row r="53" spans="2:3" ht="15" customHeight="1">
      <c r="B53" s="35" t="s">
        <v>2354</v>
      </c>
    </row>
  </sheetData>
  <mergeCells count="1">
    <mergeCell ref="B48:C5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79998168889431442"/>
  </sheetPr>
  <dimension ref="B6:T24"/>
  <sheetViews>
    <sheetView showGridLines="0" zoomScale="85" zoomScaleNormal="85" workbookViewId="0">
      <selection activeCell="T1" sqref="T1:T1048576"/>
    </sheetView>
  </sheetViews>
  <sheetFormatPr defaultColWidth="8.77734375" defaultRowHeight="13.8"/>
  <cols>
    <col min="1" max="1" width="8.5546875" style="104" customWidth="1"/>
    <col min="2" max="2" width="37.109375" style="104" customWidth="1"/>
    <col min="3" max="3" width="34.44140625" style="104" customWidth="1"/>
    <col min="4" max="4" width="2.44140625" style="104" customWidth="1"/>
    <col min="5" max="17" width="9.77734375" style="104" customWidth="1"/>
    <col min="18" max="16384" width="8.77734375" style="104"/>
  </cols>
  <sheetData>
    <row r="6" spans="2:20" ht="15" customHeight="1">
      <c r="B6" s="38" t="s">
        <v>554</v>
      </c>
      <c r="C6" s="38" t="s">
        <v>554</v>
      </c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</row>
    <row r="7" spans="2:20" ht="15" customHeight="1">
      <c r="B7" s="662" t="s">
        <v>555</v>
      </c>
      <c r="C7" s="662" t="s">
        <v>556</v>
      </c>
      <c r="D7"/>
      <c r="E7" s="663" t="s">
        <v>77</v>
      </c>
      <c r="F7" s="663" t="s">
        <v>78</v>
      </c>
      <c r="G7" s="663" t="s">
        <v>79</v>
      </c>
      <c r="H7" s="663" t="s">
        <v>80</v>
      </c>
      <c r="I7" s="663" t="s">
        <v>81</v>
      </c>
      <c r="J7" s="663" t="s">
        <v>82</v>
      </c>
      <c r="K7" s="663" t="s">
        <v>83</v>
      </c>
      <c r="L7" s="663" t="s">
        <v>84</v>
      </c>
      <c r="M7" s="663" t="s">
        <v>85</v>
      </c>
      <c r="N7" s="663" t="s">
        <v>86</v>
      </c>
      <c r="O7" s="663" t="s">
        <v>87</v>
      </c>
      <c r="P7" s="663" t="s">
        <v>88</v>
      </c>
      <c r="Q7" s="663" t="s">
        <v>2074</v>
      </c>
      <c r="R7" s="663" t="s">
        <v>2127</v>
      </c>
      <c r="S7" s="663" t="s">
        <v>2360</v>
      </c>
      <c r="T7" s="663" t="s">
        <v>2494</v>
      </c>
    </row>
    <row r="8" spans="2:20" hidden="1">
      <c r="B8" s="151" t="s">
        <v>557</v>
      </c>
      <c r="C8" s="151" t="s">
        <v>558</v>
      </c>
      <c r="E8" s="403">
        <v>66.56</v>
      </c>
      <c r="F8" s="403">
        <v>78.173000000000002</v>
      </c>
      <c r="G8" s="403">
        <v>76.549000000000007</v>
      </c>
      <c r="H8" s="403">
        <v>71.712999999999994</v>
      </c>
      <c r="I8" s="403">
        <v>75.471000000000004</v>
      </c>
      <c r="J8" s="403">
        <v>75.37</v>
      </c>
      <c r="K8" s="403">
        <v>75.165999999999997</v>
      </c>
      <c r="L8" s="403"/>
      <c r="M8" s="403"/>
      <c r="N8" s="403"/>
      <c r="O8" s="403"/>
      <c r="P8" s="403"/>
      <c r="Q8" s="403"/>
      <c r="R8" s="403"/>
      <c r="S8" s="403"/>
      <c r="T8" s="403"/>
    </row>
    <row r="9" spans="2:20">
      <c r="B9" s="200" t="s">
        <v>559</v>
      </c>
      <c r="C9" s="200" t="s">
        <v>560</v>
      </c>
      <c r="E9" s="349">
        <v>71.567999999999998</v>
      </c>
      <c r="F9" s="349">
        <v>88.777000000000001</v>
      </c>
      <c r="G9" s="349">
        <v>85.67</v>
      </c>
      <c r="H9" s="349">
        <v>79.828000000000003</v>
      </c>
      <c r="I9" s="349">
        <v>82.596999999999994</v>
      </c>
      <c r="J9" s="349">
        <v>81.486000000000004</v>
      </c>
      <c r="K9" s="349">
        <v>80.747</v>
      </c>
      <c r="L9" s="349">
        <v>82.272000000000006</v>
      </c>
      <c r="M9" s="349">
        <v>89.796000000000006</v>
      </c>
      <c r="N9" s="349">
        <v>95.430999999999997</v>
      </c>
      <c r="O9" s="349">
        <v>99.066999999999993</v>
      </c>
      <c r="P9" s="349">
        <v>99.57</v>
      </c>
      <c r="Q9" s="349">
        <v>98.447000000000003</v>
      </c>
      <c r="R9" s="349">
        <v>96.415000000000006</v>
      </c>
      <c r="S9" s="349">
        <v>94.653999999999996</v>
      </c>
      <c r="T9" s="349">
        <v>93.412000000000006</v>
      </c>
    </row>
    <row r="10" spans="2:20" hidden="1">
      <c r="B10" s="200" t="s">
        <v>561</v>
      </c>
      <c r="C10" s="200" t="s">
        <v>562</v>
      </c>
      <c r="E10" s="369">
        <f>E9/E8</f>
        <v>1.0752403846153846</v>
      </c>
      <c r="F10" s="369">
        <f>F9/F8</f>
        <v>1.1356478579560718</v>
      </c>
      <c r="G10" s="369">
        <f>G9/G8</f>
        <v>1.1191524383074893</v>
      </c>
      <c r="H10" s="369">
        <f>H9/H8</f>
        <v>1.1131593992720987</v>
      </c>
      <c r="I10" s="369">
        <f>I9/I8</f>
        <v>1.0944203733884537</v>
      </c>
      <c r="J10" s="369">
        <v>1.0811463446994825</v>
      </c>
      <c r="K10" s="369">
        <v>1.0742489955565016</v>
      </c>
      <c r="L10" s="369"/>
      <c r="M10" s="369"/>
      <c r="N10" s="369"/>
      <c r="O10" s="369">
        <v>5405.4859999999999</v>
      </c>
      <c r="P10" s="369"/>
      <c r="Q10" s="369"/>
      <c r="R10" s="369"/>
      <c r="S10" s="369">
        <v>5258.7709999999997</v>
      </c>
      <c r="T10" s="369">
        <v>5200.7860000000001</v>
      </c>
    </row>
    <row r="11" spans="2:20" ht="15">
      <c r="B11" s="200" t="s">
        <v>2142</v>
      </c>
      <c r="C11" s="200" t="s">
        <v>2143</v>
      </c>
      <c r="E11" s="660">
        <v>3772.9479999999999</v>
      </c>
      <c r="F11" s="660">
        <v>5264.6120000000001</v>
      </c>
      <c r="G11" s="660">
        <v>5787.6639999999998</v>
      </c>
      <c r="H11" s="660">
        <v>5515.3509999999997</v>
      </c>
      <c r="I11" s="660">
        <v>5507.5420000000004</v>
      </c>
      <c r="J11" s="660">
        <v>5450.4080000000004</v>
      </c>
      <c r="K11" s="660">
        <v>4964.6899999999996</v>
      </c>
      <c r="L11" s="660">
        <v>5047.4189999999999</v>
      </c>
      <c r="M11" s="660">
        <v>5363.56</v>
      </c>
      <c r="N11" s="660">
        <v>5484.7809999999999</v>
      </c>
      <c r="O11" s="349">
        <v>5405.4859999999999</v>
      </c>
      <c r="P11" s="349">
        <v>5532.5209999999997</v>
      </c>
      <c r="Q11" s="349">
        <v>5450.5140000000001</v>
      </c>
      <c r="R11" s="349">
        <v>5391.1490000000003</v>
      </c>
      <c r="S11" s="349">
        <v>5258.7709999999997</v>
      </c>
      <c r="T11" s="349">
        <v>5200.7860000000001</v>
      </c>
    </row>
    <row r="12" spans="2:20">
      <c r="B12" s="200" t="s">
        <v>563</v>
      </c>
      <c r="C12" s="200" t="s">
        <v>564</v>
      </c>
      <c r="E12" s="661">
        <v>0.35</v>
      </c>
      <c r="F12" s="661">
        <v>0.40579999999999999</v>
      </c>
      <c r="G12" s="661">
        <v>0.40579999999999999</v>
      </c>
      <c r="H12" s="661">
        <v>0.42</v>
      </c>
      <c r="I12" s="661">
        <v>0.42</v>
      </c>
      <c r="J12" s="661">
        <v>0.42</v>
      </c>
      <c r="K12" s="661">
        <v>0.42</v>
      </c>
      <c r="L12" s="661">
        <v>0.55979999999999996</v>
      </c>
      <c r="M12" s="661">
        <v>0.58899999999999997</v>
      </c>
      <c r="N12" s="661">
        <v>0.63449999999999995</v>
      </c>
      <c r="O12" s="661">
        <v>0.63240415110817094</v>
      </c>
      <c r="P12" s="661">
        <v>0.69989999999999997</v>
      </c>
      <c r="Q12" s="661">
        <v>0.69989999999999997</v>
      </c>
      <c r="R12" s="661">
        <v>0.71560000000000001</v>
      </c>
      <c r="S12" s="661">
        <v>0.71560000000000001</v>
      </c>
      <c r="T12" s="661">
        <v>0.71660000000000001</v>
      </c>
    </row>
    <row r="13" spans="2:20">
      <c r="B13" s="200" t="s">
        <v>565</v>
      </c>
      <c r="C13" s="200" t="s">
        <v>566</v>
      </c>
      <c r="E13" s="661">
        <v>0.70199999999999996</v>
      </c>
      <c r="F13" s="661">
        <v>0.65300000000000002</v>
      </c>
      <c r="G13" s="661">
        <v>0.64009688666296194</v>
      </c>
      <c r="H13" s="661">
        <v>0.61550000000000005</v>
      </c>
      <c r="I13" s="661">
        <v>0.59389999999999998</v>
      </c>
      <c r="J13" s="661">
        <v>0.58489999999999998</v>
      </c>
      <c r="K13" s="661">
        <v>0.60240000000000005</v>
      </c>
      <c r="L13" s="661">
        <v>0.61223381372548524</v>
      </c>
      <c r="M13" s="661">
        <v>0.61175763280427575</v>
      </c>
      <c r="N13" s="661">
        <v>0.63208444978019429</v>
      </c>
      <c r="O13" s="661">
        <v>0.63240415110817094</v>
      </c>
      <c r="P13" s="661">
        <v>0.64543714495282578</v>
      </c>
      <c r="Q13" s="661">
        <v>0.62890000000000001</v>
      </c>
      <c r="R13" s="661">
        <v>0.64513953481482722</v>
      </c>
      <c r="S13" s="661">
        <v>0.66082747381381335</v>
      </c>
      <c r="T13" s="661">
        <v>0.67253294717397982</v>
      </c>
    </row>
    <row r="14" spans="2:20" hidden="1">
      <c r="B14" s="151" t="s">
        <v>567</v>
      </c>
      <c r="C14" s="151" t="s">
        <v>568</v>
      </c>
      <c r="E14" s="402">
        <v>873</v>
      </c>
      <c r="F14" s="402">
        <v>873</v>
      </c>
      <c r="G14" s="402">
        <v>873</v>
      </c>
      <c r="H14" s="402">
        <v>873</v>
      </c>
      <c r="I14" s="402">
        <v>873</v>
      </c>
      <c r="J14" s="402">
        <v>873</v>
      </c>
      <c r="K14" s="402">
        <v>873</v>
      </c>
      <c r="L14" s="402">
        <v>1163.21</v>
      </c>
      <c r="M14" s="402"/>
      <c r="N14" s="402"/>
      <c r="O14" s="402"/>
      <c r="P14" s="402"/>
      <c r="Q14" s="402"/>
      <c r="R14" s="402"/>
      <c r="S14" s="402"/>
      <c r="T14" s="402"/>
    </row>
    <row r="15" spans="2:20" ht="14.4">
      <c r="B15"/>
      <c r="C15"/>
      <c r="E15" s="402"/>
      <c r="F15" s="402"/>
      <c r="G15" s="402"/>
      <c r="H15" s="402"/>
      <c r="I15" s="402"/>
      <c r="J15" s="402"/>
      <c r="K15" s="402"/>
      <c r="L15" s="402"/>
      <c r="M15" s="402"/>
      <c r="N15" s="402"/>
      <c r="O15" s="402"/>
      <c r="P15" s="402"/>
      <c r="Q15" s="402"/>
      <c r="R15" s="402"/>
      <c r="S15" s="402"/>
      <c r="T15" s="402"/>
    </row>
    <row r="16" spans="2:20" ht="14.4">
      <c r="B16" s="662" t="s">
        <v>569</v>
      </c>
      <c r="C16" s="662" t="s">
        <v>570</v>
      </c>
      <c r="D16"/>
      <c r="E16" s="663" t="s">
        <v>77</v>
      </c>
      <c r="F16" s="663" t="s">
        <v>78</v>
      </c>
      <c r="G16" s="663" t="s">
        <v>79</v>
      </c>
      <c r="H16" s="663" t="s">
        <v>80</v>
      </c>
      <c r="I16" s="663" t="s">
        <v>81</v>
      </c>
      <c r="J16" s="663" t="s">
        <v>82</v>
      </c>
      <c r="K16" s="663" t="s">
        <v>83</v>
      </c>
      <c r="L16" s="663" t="s">
        <v>84</v>
      </c>
      <c r="M16" s="663" t="s">
        <v>85</v>
      </c>
      <c r="N16" s="663" t="s">
        <v>86</v>
      </c>
      <c r="O16" s="663" t="s">
        <v>87</v>
      </c>
      <c r="P16" s="663" t="s">
        <v>88</v>
      </c>
      <c r="Q16" s="663" t="s">
        <v>2074</v>
      </c>
      <c r="R16" s="663" t="s">
        <v>2127</v>
      </c>
      <c r="S16" s="663" t="str">
        <f>S7</f>
        <v>1T26</v>
      </c>
      <c r="T16" s="663" t="str">
        <f>T7</f>
        <v>2T26</v>
      </c>
    </row>
    <row r="17" spans="2:20" hidden="1">
      <c r="B17" s="151" t="s">
        <v>557</v>
      </c>
      <c r="C17" s="151" t="s">
        <v>558</v>
      </c>
      <c r="E17" s="403">
        <v>8.27</v>
      </c>
      <c r="F17" s="403">
        <v>9.8260000000000005</v>
      </c>
      <c r="G17" s="403">
        <v>9.6539999999999999</v>
      </c>
      <c r="H17" s="403">
        <v>8.7240000000000002</v>
      </c>
      <c r="I17" s="403">
        <v>8.0660000000000007</v>
      </c>
      <c r="J17" s="403">
        <v>8.0739999999999998</v>
      </c>
      <c r="K17" s="403">
        <v>8.8889999999999993</v>
      </c>
      <c r="L17" s="403"/>
      <c r="M17" s="403"/>
      <c r="N17" s="403"/>
      <c r="O17" s="403"/>
      <c r="P17" s="403"/>
      <c r="Q17" s="403"/>
      <c r="R17" s="403"/>
      <c r="S17" s="403"/>
      <c r="T17" s="403"/>
    </row>
    <row r="18" spans="2:20">
      <c r="B18" s="200" t="s">
        <v>559</v>
      </c>
      <c r="C18" s="200" t="s">
        <v>560</v>
      </c>
      <c r="E18" s="349">
        <v>10.462999999999999</v>
      </c>
      <c r="F18" s="349">
        <v>12.137</v>
      </c>
      <c r="G18" s="349">
        <v>11.827999999999999</v>
      </c>
      <c r="H18" s="349">
        <v>10.84</v>
      </c>
      <c r="I18" s="349">
        <v>10.092000000000001</v>
      </c>
      <c r="J18" s="349">
        <v>9.734</v>
      </c>
      <c r="K18" s="349">
        <v>10.927</v>
      </c>
      <c r="L18" s="349">
        <v>13.691000000000001</v>
      </c>
      <c r="M18" s="349">
        <v>18.148</v>
      </c>
      <c r="N18" s="349">
        <v>18.872</v>
      </c>
      <c r="O18" s="349">
        <v>18.696000000000002</v>
      </c>
      <c r="P18" s="349">
        <v>18.573</v>
      </c>
      <c r="Q18" s="349">
        <v>19.234999999999999</v>
      </c>
      <c r="R18" s="349">
        <v>19.016999999999999</v>
      </c>
      <c r="S18" s="349">
        <v>18.859000000000002</v>
      </c>
      <c r="T18" s="349">
        <v>18.942</v>
      </c>
    </row>
    <row r="19" spans="2:20" ht="15">
      <c r="B19" s="200" t="s">
        <v>2142</v>
      </c>
      <c r="C19" s="200" t="s">
        <v>2143</v>
      </c>
      <c r="E19" s="660">
        <v>525.32650000000001</v>
      </c>
      <c r="F19" s="660">
        <v>786.09199999999998</v>
      </c>
      <c r="G19" s="660">
        <v>745.9353000000001</v>
      </c>
      <c r="H19" s="660">
        <v>701.95600000000002</v>
      </c>
      <c r="I19" s="660">
        <v>764.11199999999997</v>
      </c>
      <c r="J19" s="660">
        <v>638.73099999999999</v>
      </c>
      <c r="K19" s="660">
        <v>589.15599999999995</v>
      </c>
      <c r="L19" s="660">
        <v>813.65800000000002</v>
      </c>
      <c r="M19" s="660">
        <v>981.5</v>
      </c>
      <c r="N19" s="660">
        <v>1013.653</v>
      </c>
      <c r="O19" s="660">
        <v>1008.547</v>
      </c>
      <c r="P19" s="660">
        <v>1019.03</v>
      </c>
      <c r="Q19" s="660">
        <v>1061.3030000000001</v>
      </c>
      <c r="R19" s="660">
        <v>1068.538</v>
      </c>
      <c r="S19" s="660">
        <v>1103.4739999999999</v>
      </c>
      <c r="T19" s="660">
        <v>1139.575</v>
      </c>
    </row>
    <row r="20" spans="2:20">
      <c r="B20" s="200" t="s">
        <v>571</v>
      </c>
      <c r="C20" s="200" t="s">
        <v>564</v>
      </c>
      <c r="E20" s="661">
        <v>7.0000000000000007E-2</v>
      </c>
      <c r="F20" s="661">
        <v>7.0000000000000007E-2</v>
      </c>
      <c r="G20" s="661">
        <v>7.0000000000000007E-2</v>
      </c>
      <c r="H20" s="661">
        <v>7.0000000000000007E-2</v>
      </c>
      <c r="I20" s="661">
        <v>0.08</v>
      </c>
      <c r="J20" s="661">
        <v>0.08</v>
      </c>
      <c r="K20" s="661">
        <v>0.08</v>
      </c>
      <c r="L20" s="661">
        <v>0.14810000000000001</v>
      </c>
      <c r="M20" s="661">
        <v>0.13830000000000001</v>
      </c>
      <c r="N20" s="661">
        <v>0.14729999999999999</v>
      </c>
      <c r="O20" s="661">
        <v>0.14990000000000001</v>
      </c>
      <c r="P20" s="661">
        <v>0.15010000000000001</v>
      </c>
      <c r="Q20" s="661">
        <v>0.15329999999999999</v>
      </c>
      <c r="R20" s="661">
        <v>0.156</v>
      </c>
      <c r="S20" s="661">
        <v>0.156</v>
      </c>
      <c r="T20" s="661">
        <v>0.156</v>
      </c>
    </row>
    <row r="21" spans="2:20" hidden="1">
      <c r="B21" s="151" t="s">
        <v>567</v>
      </c>
      <c r="C21" s="151" t="s">
        <v>568</v>
      </c>
      <c r="E21" s="402">
        <v>372</v>
      </c>
      <c r="F21" s="402">
        <v>372</v>
      </c>
      <c r="G21" s="402">
        <v>372</v>
      </c>
      <c r="H21" s="402">
        <v>372</v>
      </c>
      <c r="I21" s="402">
        <v>372</v>
      </c>
      <c r="J21" s="402">
        <v>372</v>
      </c>
      <c r="K21" s="402">
        <v>372</v>
      </c>
      <c r="L21" s="402">
        <v>82.87</v>
      </c>
      <c r="M21" s="402"/>
      <c r="N21" s="402"/>
      <c r="O21" s="402"/>
      <c r="P21" s="402"/>
      <c r="Q21" s="402"/>
      <c r="R21" s="402"/>
      <c r="S21" s="402"/>
      <c r="T21" s="402"/>
    </row>
    <row r="22" spans="2:20" ht="14.4">
      <c r="B22"/>
      <c r="C22"/>
      <c r="E22" s="402"/>
      <c r="F22" s="402"/>
      <c r="G22" s="402"/>
      <c r="H22" s="402"/>
      <c r="I22" s="402"/>
      <c r="J22" s="402"/>
      <c r="K22" s="402"/>
      <c r="L22" s="402"/>
      <c r="M22" s="402"/>
      <c r="N22" s="402"/>
      <c r="O22" s="402"/>
      <c r="P22" s="402"/>
      <c r="Q22" s="402"/>
      <c r="R22" s="402"/>
      <c r="S22" s="402"/>
      <c r="T22" s="402"/>
    </row>
    <row r="23" spans="2:20" ht="14.4">
      <c r="B23" s="662" t="s">
        <v>572</v>
      </c>
      <c r="C23" s="662" t="s">
        <v>573</v>
      </c>
      <c r="D23"/>
      <c r="E23" s="663" t="s">
        <v>77</v>
      </c>
      <c r="F23" s="663" t="s">
        <v>78</v>
      </c>
      <c r="G23" s="663" t="s">
        <v>79</v>
      </c>
      <c r="H23" s="663" t="s">
        <v>80</v>
      </c>
      <c r="I23" s="663" t="s">
        <v>81</v>
      </c>
      <c r="J23" s="663" t="s">
        <v>82</v>
      </c>
      <c r="K23" s="663" t="s">
        <v>83</v>
      </c>
      <c r="L23" s="663" t="s">
        <v>84</v>
      </c>
      <c r="M23" s="663" t="s">
        <v>85</v>
      </c>
      <c r="N23" s="663" t="s">
        <v>86</v>
      </c>
      <c r="O23" s="663" t="s">
        <v>87</v>
      </c>
      <c r="P23" s="663" t="s">
        <v>88</v>
      </c>
      <c r="Q23" s="663" t="s">
        <v>2074</v>
      </c>
      <c r="R23" s="663" t="s">
        <v>2127</v>
      </c>
      <c r="S23" s="663" t="str">
        <f>S7</f>
        <v>1T26</v>
      </c>
      <c r="T23" s="663" t="str">
        <f>T7</f>
        <v>2T26</v>
      </c>
    </row>
    <row r="24" spans="2:20">
      <c r="B24" s="200" t="s">
        <v>574</v>
      </c>
      <c r="C24" s="200" t="s">
        <v>575</v>
      </c>
      <c r="E24" s="349">
        <v>3.1</v>
      </c>
      <c r="F24" s="349">
        <v>2.5219999999999998</v>
      </c>
      <c r="G24" s="349">
        <v>3.2610000000000001</v>
      </c>
      <c r="H24" s="349">
        <v>4.0540000000000003</v>
      </c>
      <c r="I24" s="349">
        <v>5.9610000000000003</v>
      </c>
      <c r="J24" s="349">
        <v>5.6470000000000002</v>
      </c>
      <c r="K24" s="349">
        <v>5.8979999999999997</v>
      </c>
      <c r="L24" s="349">
        <v>5.391</v>
      </c>
      <c r="M24" s="349">
        <v>6.3310000000000004</v>
      </c>
      <c r="N24" s="349">
        <v>7.3250000000000002</v>
      </c>
      <c r="O24" s="349">
        <v>12.76</v>
      </c>
      <c r="P24" s="349">
        <v>9.8840000000000003</v>
      </c>
      <c r="Q24" s="349">
        <v>4.1840000000000002</v>
      </c>
      <c r="R24" s="349">
        <v>2.8410000000000002</v>
      </c>
      <c r="S24" s="349">
        <v>1.1000000000000001</v>
      </c>
      <c r="T24" s="349">
        <v>1.3049999999999999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79998168889431442"/>
  </sheetPr>
  <dimension ref="C6:AJ89"/>
  <sheetViews>
    <sheetView showGridLines="0" zoomScale="85" zoomScaleNormal="85" workbookViewId="0">
      <pane xSplit="5" ySplit="7" topLeftCell="X62" activePane="bottomRight" state="frozen"/>
      <selection pane="topRight" activeCell="E1" sqref="E1"/>
      <selection pane="bottomLeft" activeCell="A8" sqref="A8"/>
      <selection pane="bottomRight" activeCell="AI49" sqref="AI49"/>
    </sheetView>
  </sheetViews>
  <sheetFormatPr defaultColWidth="8.77734375" defaultRowHeight="15" customHeight="1"/>
  <cols>
    <col min="1" max="2" width="4.5546875" style="104" customWidth="1"/>
    <col min="3" max="3" width="36.6640625" style="104" customWidth="1"/>
    <col min="4" max="4" width="33.5546875" style="104" customWidth="1"/>
    <col min="5" max="5" width="2.44140625" style="104" customWidth="1"/>
    <col min="6" max="6" width="25.6640625" style="104" bestFit="1" customWidth="1"/>
    <col min="7" max="10" width="9.77734375" style="104" customWidth="1"/>
    <col min="11" max="11" width="11" style="104" bestFit="1" customWidth="1"/>
    <col min="12" max="14" width="13.88671875" style="104" customWidth="1"/>
    <col min="15" max="31" width="9.77734375" style="104" customWidth="1"/>
    <col min="32" max="16384" width="8.77734375" style="104"/>
  </cols>
  <sheetData>
    <row r="6" spans="3:35" ht="15" customHeight="1">
      <c r="C6" s="38" t="s">
        <v>205</v>
      </c>
      <c r="D6" s="38" t="s">
        <v>205</v>
      </c>
    </row>
    <row r="7" spans="3:35" ht="15" customHeight="1">
      <c r="C7" s="411" t="s">
        <v>2559</v>
      </c>
      <c r="D7" s="411" t="s">
        <v>2560</v>
      </c>
      <c r="F7" s="412" t="s">
        <v>63</v>
      </c>
      <c r="G7" s="412" t="s">
        <v>64</v>
      </c>
      <c r="H7" s="412" t="s">
        <v>65</v>
      </c>
      <c r="I7" s="412" t="s">
        <v>66</v>
      </c>
      <c r="J7" s="412" t="s">
        <v>67</v>
      </c>
      <c r="K7" s="412" t="s">
        <v>68</v>
      </c>
      <c r="L7" s="412" t="s">
        <v>69</v>
      </c>
      <c r="M7" s="412" t="s">
        <v>70</v>
      </c>
      <c r="N7" s="412" t="s">
        <v>71</v>
      </c>
      <c r="O7" s="412" t="s">
        <v>72</v>
      </c>
      <c r="P7" s="412" t="s">
        <v>73</v>
      </c>
      <c r="Q7" s="412" t="s">
        <v>74</v>
      </c>
      <c r="R7" s="412" t="s">
        <v>75</v>
      </c>
      <c r="S7" s="412" t="s">
        <v>76</v>
      </c>
      <c r="T7" s="412" t="s">
        <v>77</v>
      </c>
      <c r="U7" s="412" t="s">
        <v>78</v>
      </c>
      <c r="V7" s="412" t="s">
        <v>79</v>
      </c>
      <c r="W7" s="412" t="s">
        <v>80</v>
      </c>
      <c r="X7" s="412" t="s">
        <v>81</v>
      </c>
      <c r="Y7" s="412" t="s">
        <v>82</v>
      </c>
      <c r="Z7" s="412" t="s">
        <v>83</v>
      </c>
      <c r="AA7" s="412" t="s">
        <v>84</v>
      </c>
      <c r="AB7" s="412" t="s">
        <v>85</v>
      </c>
      <c r="AC7" s="412" t="s">
        <v>86</v>
      </c>
      <c r="AD7" s="412" t="s">
        <v>87</v>
      </c>
      <c r="AE7" s="412" t="s">
        <v>88</v>
      </c>
      <c r="AF7" s="412" t="s">
        <v>2074</v>
      </c>
      <c r="AG7" s="412" t="s">
        <v>2127</v>
      </c>
      <c r="AH7" s="412" t="s">
        <v>2360</v>
      </c>
      <c r="AI7" s="412" t="s">
        <v>2494</v>
      </c>
    </row>
    <row r="8" spans="3:35" ht="15" customHeight="1">
      <c r="C8" s="345" t="s">
        <v>206</v>
      </c>
      <c r="D8" s="345" t="s">
        <v>206</v>
      </c>
      <c r="F8" s="346">
        <v>201.87714366699998</v>
      </c>
      <c r="G8" s="346">
        <v>188.82038950200001</v>
      </c>
      <c r="H8" s="346">
        <v>244.23123098299996</v>
      </c>
      <c r="I8" s="346">
        <v>282.64080788599995</v>
      </c>
      <c r="J8" s="346">
        <v>155.12741399999999</v>
      </c>
      <c r="K8" s="346">
        <v>151.29882499999999</v>
      </c>
      <c r="L8" s="346">
        <v>243.08228699999995</v>
      </c>
      <c r="M8" s="346">
        <v>281.563039</v>
      </c>
      <c r="N8" s="346">
        <v>228.74878487899997</v>
      </c>
      <c r="O8" s="346">
        <v>159.81665565200001</v>
      </c>
      <c r="P8" s="346">
        <v>225.06946478399999</v>
      </c>
      <c r="Q8" s="346">
        <v>290.61093512599996</v>
      </c>
      <c r="R8" s="346">
        <v>209.01520913800005</v>
      </c>
      <c r="S8" s="346">
        <v>144.23232558500001</v>
      </c>
      <c r="T8" s="346">
        <v>213.45372564036427</v>
      </c>
      <c r="U8" s="346">
        <v>252.55219191800001</v>
      </c>
      <c r="V8" s="346">
        <v>237.86983500000002</v>
      </c>
      <c r="W8" s="346">
        <v>157.54038002201582</v>
      </c>
      <c r="X8" s="346">
        <v>202.2599015011115</v>
      </c>
      <c r="Y8" s="346">
        <v>245.51468738861669</v>
      </c>
      <c r="Z8" s="346">
        <v>193.28151447775943</v>
      </c>
      <c r="AA8" s="346">
        <v>142.59186364068557</v>
      </c>
      <c r="AB8" s="346">
        <v>211.18305176390254</v>
      </c>
      <c r="AC8" s="346">
        <v>264.49666100000002</v>
      </c>
      <c r="AD8" s="346">
        <v>179.11230334135576</v>
      </c>
      <c r="AE8" s="346">
        <v>155.46369588040747</v>
      </c>
      <c r="AF8" s="346">
        <v>175.67990318076261</v>
      </c>
      <c r="AG8" s="346">
        <v>258.08717100000001</v>
      </c>
      <c r="AH8" s="346">
        <v>186.01587201299989</v>
      </c>
      <c r="AI8" s="346">
        <v>139.723043741</v>
      </c>
    </row>
    <row r="9" spans="3:35" ht="15" customHeight="1">
      <c r="C9" s="345" t="s">
        <v>207</v>
      </c>
      <c r="D9" s="345" t="s">
        <v>207</v>
      </c>
      <c r="F9" s="346">
        <v>101.20091520299999</v>
      </c>
      <c r="G9" s="346">
        <v>97.706699273000012</v>
      </c>
      <c r="H9" s="346">
        <v>143.77174223700001</v>
      </c>
      <c r="I9" s="346">
        <v>170.501088337</v>
      </c>
      <c r="J9" s="346">
        <v>76.794325999999998</v>
      </c>
      <c r="K9" s="346">
        <v>83.850566999999998</v>
      </c>
      <c r="L9" s="346">
        <v>138.114642</v>
      </c>
      <c r="M9" s="346">
        <v>174.01467999999997</v>
      </c>
      <c r="N9" s="346">
        <v>122.886442385</v>
      </c>
      <c r="O9" s="346">
        <v>96.420537369000002</v>
      </c>
      <c r="P9" s="346">
        <v>137.69402424429524</v>
      </c>
      <c r="Q9" s="346">
        <v>170.00501246599998</v>
      </c>
      <c r="R9" s="346">
        <v>117.18859971400001</v>
      </c>
      <c r="S9" s="346">
        <v>98.053742521000004</v>
      </c>
      <c r="T9" s="346">
        <v>133.62787284000834</v>
      </c>
      <c r="U9" s="346">
        <v>165.23558026500001</v>
      </c>
      <c r="V9" s="346">
        <v>118.05207300000001</v>
      </c>
      <c r="W9" s="346">
        <v>92.054836361945718</v>
      </c>
      <c r="X9" s="346">
        <v>121.01517822881263</v>
      </c>
      <c r="Y9" s="346">
        <v>177.81704470261874</v>
      </c>
      <c r="Z9" s="346">
        <v>116.93681041568156</v>
      </c>
      <c r="AA9" s="346">
        <v>98.029959784351533</v>
      </c>
      <c r="AB9" s="346">
        <v>137.26766290632111</v>
      </c>
      <c r="AC9" s="346">
        <v>184.31703099999999</v>
      </c>
      <c r="AD9" s="346">
        <v>101.41664548083294</v>
      </c>
      <c r="AE9" s="346">
        <v>113.8051310575989</v>
      </c>
      <c r="AF9" s="346">
        <v>141.80244845165674</v>
      </c>
      <c r="AG9" s="346">
        <v>163.96059199999999</v>
      </c>
      <c r="AH9" s="346">
        <v>114.8818317749998</v>
      </c>
      <c r="AI9" s="346">
        <v>86.857170554220062</v>
      </c>
    </row>
    <row r="10" spans="3:35" ht="15" customHeight="1">
      <c r="C10" s="345" t="s">
        <v>208</v>
      </c>
      <c r="D10" s="345" t="s">
        <v>208</v>
      </c>
      <c r="F10" s="346">
        <v>60.819446167999999</v>
      </c>
      <c r="G10" s="346">
        <v>81.114531814999992</v>
      </c>
      <c r="H10" s="346">
        <v>120.79036020599999</v>
      </c>
      <c r="I10" s="346">
        <v>101.658782125</v>
      </c>
      <c r="J10" s="346">
        <v>41.493310999999999</v>
      </c>
      <c r="K10" s="346">
        <v>72.255135999999993</v>
      </c>
      <c r="L10" s="346">
        <v>130.16256100000001</v>
      </c>
      <c r="M10" s="346">
        <v>90.949714999999998</v>
      </c>
      <c r="N10" s="346">
        <v>68.154442758000002</v>
      </c>
      <c r="O10" s="346">
        <v>87.662750530000011</v>
      </c>
      <c r="P10" s="346">
        <v>123.87118291200001</v>
      </c>
      <c r="Q10" s="346">
        <v>77.745364314</v>
      </c>
      <c r="R10" s="346">
        <v>53.203544633000007</v>
      </c>
      <c r="S10" s="346">
        <v>71.092545029000007</v>
      </c>
      <c r="T10" s="346">
        <v>116.79366545586973</v>
      </c>
      <c r="U10" s="346">
        <v>73.452434303000004</v>
      </c>
      <c r="V10" s="346">
        <v>62.891977000000004</v>
      </c>
      <c r="W10" s="346">
        <v>71.731901442963391</v>
      </c>
      <c r="X10" s="346">
        <v>107.62269195062171</v>
      </c>
      <c r="Y10" s="346">
        <v>78.7921018765214</v>
      </c>
      <c r="Z10" s="346">
        <v>43.80397924373321</v>
      </c>
      <c r="AA10" s="346">
        <v>71.326015308826825</v>
      </c>
      <c r="AB10" s="346">
        <v>119.68355668109656</v>
      </c>
      <c r="AC10" s="346">
        <v>82.817433999999992</v>
      </c>
      <c r="AD10" s="346">
        <v>63.000002863796624</v>
      </c>
      <c r="AE10" s="346">
        <v>79.620736840271007</v>
      </c>
      <c r="AF10" s="346">
        <v>117.54284364933267</v>
      </c>
      <c r="AG10" s="346">
        <v>91.938670999999999</v>
      </c>
      <c r="AH10" s="346">
        <v>50.885364231999993</v>
      </c>
      <c r="AI10" s="346">
        <v>79.457187221999973</v>
      </c>
    </row>
    <row r="11" spans="3:35" ht="15" customHeight="1">
      <c r="C11" s="345" t="s">
        <v>209</v>
      </c>
      <c r="D11" s="345" t="s">
        <v>209</v>
      </c>
      <c r="F11" s="346">
        <v>91.699483444999998</v>
      </c>
      <c r="G11" s="346">
        <v>124.11815526399999</v>
      </c>
      <c r="H11" s="346">
        <v>175.23220532799999</v>
      </c>
      <c r="I11" s="346">
        <v>151.038575982</v>
      </c>
      <c r="J11" s="346">
        <v>69.591480000000004</v>
      </c>
      <c r="K11" s="346">
        <v>116.384232</v>
      </c>
      <c r="L11" s="346">
        <v>181.26310500000002</v>
      </c>
      <c r="M11" s="346">
        <v>154.44148200000001</v>
      </c>
      <c r="N11" s="346">
        <v>107.90518601599999</v>
      </c>
      <c r="O11" s="346">
        <v>123.135739061</v>
      </c>
      <c r="P11" s="346">
        <v>178.57805124199999</v>
      </c>
      <c r="Q11" s="346">
        <v>125.77362729399999</v>
      </c>
      <c r="R11" s="346">
        <v>84.631164462000001</v>
      </c>
      <c r="S11" s="346">
        <v>97.801474381999995</v>
      </c>
      <c r="T11" s="346">
        <v>171.47923554042549</v>
      </c>
      <c r="U11" s="346">
        <v>118.48444862300001</v>
      </c>
      <c r="V11" s="346">
        <v>97.903109999999984</v>
      </c>
      <c r="W11" s="346">
        <v>99.466080238682864</v>
      </c>
      <c r="X11" s="346">
        <v>137.32878695964402</v>
      </c>
      <c r="Y11" s="346">
        <v>121.13951241551406</v>
      </c>
      <c r="Z11" s="346">
        <v>72.202521703433391</v>
      </c>
      <c r="AA11" s="346">
        <v>105.64304554436239</v>
      </c>
      <c r="AB11" s="346">
        <v>143.56299136593412</v>
      </c>
      <c r="AC11" s="346">
        <v>82.835740000000001</v>
      </c>
      <c r="AD11" s="346">
        <v>73.894886620413502</v>
      </c>
      <c r="AE11" s="346">
        <v>92.132962683736622</v>
      </c>
      <c r="AF11" s="346">
        <v>124.44196927162231</v>
      </c>
      <c r="AG11" s="346">
        <v>102.308031</v>
      </c>
      <c r="AH11" s="346">
        <v>71.546412496000059</v>
      </c>
      <c r="AI11" s="346">
        <v>93.395651626999964</v>
      </c>
    </row>
    <row r="12" spans="3:35" s="348" customFormat="1" ht="15" customHeight="1">
      <c r="C12" s="345" t="s">
        <v>212</v>
      </c>
      <c r="D12" s="345" t="s">
        <v>212</v>
      </c>
      <c r="E12" s="347"/>
      <c r="F12" s="346">
        <v>0</v>
      </c>
      <c r="G12" s="346">
        <v>0</v>
      </c>
      <c r="H12" s="346">
        <v>0</v>
      </c>
      <c r="I12" s="346">
        <v>0</v>
      </c>
      <c r="J12" s="346">
        <v>4.7982629999999995</v>
      </c>
      <c r="K12" s="346">
        <v>49.976081000000008</v>
      </c>
      <c r="L12" s="346">
        <v>130.63263800000001</v>
      </c>
      <c r="M12" s="346">
        <v>146.22707</v>
      </c>
      <c r="N12" s="346">
        <v>99.941535972000011</v>
      </c>
      <c r="O12" s="346">
        <v>80.948000180999998</v>
      </c>
      <c r="P12" s="346">
        <v>132.03808256000002</v>
      </c>
      <c r="Q12" s="346">
        <v>132.12631276400001</v>
      </c>
      <c r="R12" s="346">
        <v>77.873257803999991</v>
      </c>
      <c r="S12" s="346">
        <v>63.080461819000007</v>
      </c>
      <c r="T12" s="346">
        <v>127.44425361698735</v>
      </c>
      <c r="U12" s="346">
        <v>128.84539296200001</v>
      </c>
      <c r="V12" s="346">
        <v>92.836230999999998</v>
      </c>
      <c r="W12" s="346">
        <v>73.030804377664623</v>
      </c>
      <c r="X12" s="346">
        <v>93.701271967149609</v>
      </c>
      <c r="Y12" s="346">
        <v>87.048310719804647</v>
      </c>
      <c r="Z12" s="346">
        <v>32.535512525219403</v>
      </c>
      <c r="AA12" s="346">
        <v>44.684760922313913</v>
      </c>
      <c r="AB12" s="346">
        <v>59.027830489361669</v>
      </c>
      <c r="AC12" s="346">
        <v>118.70238999999999</v>
      </c>
      <c r="AD12" s="346">
        <v>79.572372565663557</v>
      </c>
      <c r="AE12" s="346">
        <v>53.83185336069117</v>
      </c>
      <c r="AF12" s="346">
        <v>86.678144305957019</v>
      </c>
      <c r="AG12" s="346">
        <v>94.507528000000008</v>
      </c>
      <c r="AH12" s="346">
        <v>75.879211621000067</v>
      </c>
      <c r="AI12" s="346">
        <v>58.305062779999993</v>
      </c>
    </row>
    <row r="13" spans="3:35" ht="15" customHeight="1">
      <c r="C13" s="345" t="s">
        <v>210</v>
      </c>
      <c r="D13" s="345" t="s">
        <v>210</v>
      </c>
      <c r="F13" s="346">
        <v>69.531853335999998</v>
      </c>
      <c r="G13" s="346">
        <v>90.110231651999996</v>
      </c>
      <c r="H13" s="346">
        <v>128.11187148299999</v>
      </c>
      <c r="I13" s="346">
        <v>124.363180034</v>
      </c>
      <c r="J13" s="346">
        <v>55.434576999999997</v>
      </c>
      <c r="K13" s="346">
        <v>81.373724999999993</v>
      </c>
      <c r="L13" s="346">
        <v>139.50799799999999</v>
      </c>
      <c r="M13" s="346">
        <v>124.978488</v>
      </c>
      <c r="N13" s="346">
        <v>94.669079983000003</v>
      </c>
      <c r="O13" s="346">
        <v>99.033268811999989</v>
      </c>
      <c r="P13" s="346">
        <v>136.820976978</v>
      </c>
      <c r="Q13" s="346">
        <v>107.73987378700001</v>
      </c>
      <c r="R13" s="346">
        <v>73.713391643999984</v>
      </c>
      <c r="S13" s="346">
        <v>76.909449844999997</v>
      </c>
      <c r="T13" s="346">
        <v>129.83958665949834</v>
      </c>
      <c r="U13" s="346">
        <v>104.44755523499998</v>
      </c>
      <c r="V13" s="346">
        <v>87.032077000000001</v>
      </c>
      <c r="W13" s="346">
        <v>80.789121267709078</v>
      </c>
      <c r="X13" s="346">
        <v>113.19478673328345</v>
      </c>
      <c r="Y13" s="346">
        <v>119.06872342314365</v>
      </c>
      <c r="Z13" s="346">
        <v>63.367925311551161</v>
      </c>
      <c r="AA13" s="346">
        <v>50.216592021682942</v>
      </c>
      <c r="AB13" s="346">
        <v>116.83084587424898</v>
      </c>
      <c r="AC13" s="346">
        <v>102.31229499999999</v>
      </c>
      <c r="AD13" s="346">
        <v>77.656600407215365</v>
      </c>
      <c r="AE13" s="346">
        <v>78.294354926342791</v>
      </c>
      <c r="AF13" s="346">
        <v>100.7801565295117</v>
      </c>
      <c r="AG13" s="346">
        <v>86.83878</v>
      </c>
      <c r="AH13" s="346">
        <v>61.063406483000016</v>
      </c>
      <c r="AI13" s="346">
        <v>67.110388390999987</v>
      </c>
    </row>
    <row r="14" spans="3:35" ht="15" customHeight="1">
      <c r="C14" s="345" t="s">
        <v>211</v>
      </c>
      <c r="D14" s="345" t="s">
        <v>211</v>
      </c>
      <c r="F14" s="346">
        <v>42.344220390999993</v>
      </c>
      <c r="G14" s="346">
        <v>54.012313474999999</v>
      </c>
      <c r="H14" s="346">
        <v>77.452317634000011</v>
      </c>
      <c r="I14" s="346">
        <v>69.195040392999999</v>
      </c>
      <c r="J14" s="346">
        <v>29.355343000000001</v>
      </c>
      <c r="K14" s="346">
        <v>45.427639999999997</v>
      </c>
      <c r="L14" s="346">
        <v>81.370247999999989</v>
      </c>
      <c r="M14" s="346">
        <v>64.636077999999998</v>
      </c>
      <c r="N14" s="346">
        <v>48.378539460999995</v>
      </c>
      <c r="O14" s="346">
        <v>57.226038236999997</v>
      </c>
      <c r="P14" s="346">
        <v>80.575045634000006</v>
      </c>
      <c r="Q14" s="346">
        <v>54.943318134999991</v>
      </c>
      <c r="R14" s="346">
        <v>39.707810432999999</v>
      </c>
      <c r="S14" s="346">
        <v>48.003488181999998</v>
      </c>
      <c r="T14" s="346">
        <v>75.705846297433922</v>
      </c>
      <c r="U14" s="346">
        <v>51.566467481999993</v>
      </c>
      <c r="V14" s="346">
        <v>45.111910999999999</v>
      </c>
      <c r="W14" s="346">
        <v>45.111498354276776</v>
      </c>
      <c r="X14" s="346">
        <v>64.401689207718789</v>
      </c>
      <c r="Y14" s="346">
        <v>50.894217555050936</v>
      </c>
      <c r="Z14" s="346">
        <v>58.989166459368569</v>
      </c>
      <c r="AA14" s="346">
        <v>73.416854948652045</v>
      </c>
      <c r="AB14" s="346">
        <v>69.706672656345006</v>
      </c>
      <c r="AC14" s="346">
        <v>54.844158999999998</v>
      </c>
      <c r="AD14" s="346">
        <v>41.433520165180781</v>
      </c>
      <c r="AE14" s="346">
        <v>88.316558619193003</v>
      </c>
      <c r="AF14" s="346">
        <v>60.785749882919106</v>
      </c>
      <c r="AG14" s="346">
        <v>46.254455999999998</v>
      </c>
      <c r="AH14" s="346">
        <v>30.805731789000042</v>
      </c>
      <c r="AI14" s="346">
        <v>40.931193184000001</v>
      </c>
    </row>
    <row r="15" spans="3:35" ht="15" customHeight="1">
      <c r="C15" s="345" t="s">
        <v>213</v>
      </c>
      <c r="D15" s="345" t="s">
        <v>213</v>
      </c>
      <c r="E15" s="349"/>
      <c r="F15" s="346">
        <v>0</v>
      </c>
      <c r="G15" s="346">
        <v>0</v>
      </c>
      <c r="H15" s="346">
        <v>0</v>
      </c>
      <c r="I15" s="346">
        <v>0</v>
      </c>
      <c r="J15" s="346">
        <v>0</v>
      </c>
      <c r="K15" s="346">
        <v>29.780095000000003</v>
      </c>
      <c r="L15" s="346">
        <v>119.106587</v>
      </c>
      <c r="M15" s="346">
        <v>135.34201199999998</v>
      </c>
      <c r="N15" s="346">
        <v>93.614675519000002</v>
      </c>
      <c r="O15" s="346">
        <v>78.427336979999993</v>
      </c>
      <c r="P15" s="346">
        <v>130.005950697</v>
      </c>
      <c r="Q15" s="346">
        <v>132.02526848700001</v>
      </c>
      <c r="R15" s="346">
        <v>77.97973608400001</v>
      </c>
      <c r="S15" s="346">
        <v>64.589967716999993</v>
      </c>
      <c r="T15" s="346">
        <v>123.57791234782003</v>
      </c>
      <c r="U15" s="346">
        <v>124.10079888300001</v>
      </c>
      <c r="V15" s="346">
        <v>92.278616999999997</v>
      </c>
      <c r="W15" s="346">
        <v>72.43831363572076</v>
      </c>
      <c r="X15" s="346">
        <v>91.128756302007488</v>
      </c>
      <c r="Y15" s="346">
        <v>86.340950913095469</v>
      </c>
      <c r="Z15" s="346">
        <v>56.128571273734252</v>
      </c>
      <c r="AA15" s="346">
        <v>48.471741751385046</v>
      </c>
      <c r="AB15" s="346">
        <v>54.037227540825995</v>
      </c>
      <c r="AC15" s="346">
        <v>114.12732399999999</v>
      </c>
      <c r="AD15" s="346">
        <v>80.237634287153369</v>
      </c>
      <c r="AE15" s="346">
        <v>79.72749874228235</v>
      </c>
      <c r="AF15" s="346">
        <v>83.577532714741892</v>
      </c>
      <c r="AG15" s="346">
        <v>90.996325999999996</v>
      </c>
      <c r="AH15" s="346">
        <v>75.115461646000057</v>
      </c>
      <c r="AI15" s="346">
        <v>57.873501429000001</v>
      </c>
    </row>
    <row r="16" spans="3:35" ht="15" customHeight="1">
      <c r="C16" s="345" t="s">
        <v>214</v>
      </c>
      <c r="D16" s="345" t="s">
        <v>214</v>
      </c>
      <c r="E16" s="349"/>
      <c r="F16" s="346">
        <v>0</v>
      </c>
      <c r="G16" s="346">
        <v>0</v>
      </c>
      <c r="H16" s="346">
        <v>0</v>
      </c>
      <c r="I16" s="346">
        <v>0</v>
      </c>
      <c r="J16" s="346">
        <v>0</v>
      </c>
      <c r="K16" s="346">
        <v>1.6682529999999998</v>
      </c>
      <c r="L16" s="346">
        <v>74.451420000000013</v>
      </c>
      <c r="M16" s="346">
        <v>82.831688</v>
      </c>
      <c r="N16" s="346">
        <v>48.191187925000001</v>
      </c>
      <c r="O16" s="346">
        <v>58.839831134999997</v>
      </c>
      <c r="P16" s="346">
        <v>93.226692341999993</v>
      </c>
      <c r="Q16" s="346">
        <v>91.303229377000008</v>
      </c>
      <c r="R16" s="346">
        <v>55.238483793</v>
      </c>
      <c r="S16" s="346">
        <v>44.355250646000002</v>
      </c>
      <c r="T16" s="346">
        <v>88.453641974824748</v>
      </c>
      <c r="U16" s="346">
        <v>91.919252063000002</v>
      </c>
      <c r="V16" s="346">
        <v>65.612779000000003</v>
      </c>
      <c r="W16" s="346">
        <v>50.561897638623478</v>
      </c>
      <c r="X16" s="346">
        <v>67.594896632558502</v>
      </c>
      <c r="Y16" s="346">
        <v>67.085396478952006</v>
      </c>
      <c r="Z16" s="346">
        <v>45.891878046924219</v>
      </c>
      <c r="AA16" s="346">
        <v>33.829450641310181</v>
      </c>
      <c r="AB16" s="346">
        <v>38.746821138989688</v>
      </c>
      <c r="AC16" s="346">
        <v>83.179919999999996</v>
      </c>
      <c r="AD16" s="346">
        <v>57.589577176904861</v>
      </c>
      <c r="AE16" s="346">
        <v>57.531186873048163</v>
      </c>
      <c r="AF16" s="346">
        <v>59.929492490633955</v>
      </c>
      <c r="AG16" s="346">
        <v>64.138089999999991</v>
      </c>
      <c r="AH16" s="346">
        <v>52.015460941999912</v>
      </c>
      <c r="AI16" s="346">
        <v>41.827417966000006</v>
      </c>
    </row>
    <row r="17" spans="3:35" ht="15" customHeight="1">
      <c r="C17" s="345" t="s">
        <v>215</v>
      </c>
      <c r="D17" s="345" t="s">
        <v>215</v>
      </c>
      <c r="E17" s="349"/>
      <c r="F17" s="346">
        <v>0</v>
      </c>
      <c r="G17" s="346">
        <v>0</v>
      </c>
      <c r="H17" s="346">
        <v>0</v>
      </c>
      <c r="I17" s="346">
        <v>0</v>
      </c>
      <c r="J17" s="346">
        <v>0</v>
      </c>
      <c r="K17" s="346">
        <v>0</v>
      </c>
      <c r="L17" s="346">
        <v>0</v>
      </c>
      <c r="M17" s="346">
        <v>0</v>
      </c>
      <c r="N17" s="346">
        <v>0</v>
      </c>
      <c r="O17" s="346">
        <v>6.5474399999999996E-4</v>
      </c>
      <c r="P17" s="346">
        <v>27.798001478</v>
      </c>
      <c r="Q17" s="346">
        <v>54.272761709000008</v>
      </c>
      <c r="R17" s="346">
        <v>66.541959839</v>
      </c>
      <c r="S17" s="346">
        <v>60.413473746000001</v>
      </c>
      <c r="T17" s="346">
        <v>113.45110668366375</v>
      </c>
      <c r="U17" s="346">
        <v>110.962196937</v>
      </c>
      <c r="V17" s="346">
        <v>79.677869999999999</v>
      </c>
      <c r="W17" s="346">
        <v>68.93467209658175</v>
      </c>
      <c r="X17" s="346">
        <v>84.181262906039265</v>
      </c>
      <c r="Y17" s="346">
        <v>84.249590544026191</v>
      </c>
      <c r="Z17" s="346">
        <v>59.018976206556545</v>
      </c>
      <c r="AA17" s="346">
        <v>47.489658218501241</v>
      </c>
      <c r="AB17" s="346">
        <v>49.229942862956548</v>
      </c>
      <c r="AC17" s="346">
        <v>97.831539000000006</v>
      </c>
      <c r="AD17" s="346">
        <v>74.741449094946063</v>
      </c>
      <c r="AE17" s="346">
        <v>72.536793551610273</v>
      </c>
      <c r="AF17" s="346">
        <v>75.846480267571593</v>
      </c>
      <c r="AG17" s="346">
        <v>78.844220000000007</v>
      </c>
      <c r="AH17" s="346">
        <v>67.921221075999966</v>
      </c>
      <c r="AI17" s="346">
        <v>55.696058494599988</v>
      </c>
    </row>
    <row r="18" spans="3:35" ht="15" customHeight="1">
      <c r="C18" s="345" t="s">
        <v>216</v>
      </c>
      <c r="D18" s="345" t="s">
        <v>216</v>
      </c>
      <c r="E18" s="350"/>
      <c r="F18" s="346">
        <v>0</v>
      </c>
      <c r="G18" s="346">
        <v>0</v>
      </c>
      <c r="H18" s="346">
        <v>0</v>
      </c>
      <c r="I18" s="346">
        <v>0</v>
      </c>
      <c r="J18" s="346">
        <v>0</v>
      </c>
      <c r="K18" s="346">
        <v>0</v>
      </c>
      <c r="L18" s="346">
        <v>0</v>
      </c>
      <c r="M18" s="346">
        <v>0</v>
      </c>
      <c r="N18" s="346">
        <v>0</v>
      </c>
      <c r="O18" s="346">
        <v>0</v>
      </c>
      <c r="P18" s="346">
        <v>2.8318475140000001</v>
      </c>
      <c r="Q18" s="346">
        <v>35.522916408</v>
      </c>
      <c r="R18" s="346">
        <v>46.013436210000002</v>
      </c>
      <c r="S18" s="346">
        <v>46.809012256999999</v>
      </c>
      <c r="T18" s="346">
        <v>89.190074804646713</v>
      </c>
      <c r="U18" s="346">
        <v>87.365859350999997</v>
      </c>
      <c r="V18" s="346">
        <v>61.557016000000004</v>
      </c>
      <c r="W18" s="346">
        <v>54.197639628960729</v>
      </c>
      <c r="X18" s="346">
        <v>66.653028294899286</v>
      </c>
      <c r="Y18" s="346">
        <v>65.637126688258974</v>
      </c>
      <c r="Z18" s="346">
        <v>47.468387561787267</v>
      </c>
      <c r="AA18" s="346">
        <v>36.708294630402357</v>
      </c>
      <c r="AB18" s="346">
        <v>37.488782097854504</v>
      </c>
      <c r="AC18" s="346">
        <v>74.975205000000003</v>
      </c>
      <c r="AD18" s="346">
        <v>58.905138734853523</v>
      </c>
      <c r="AE18" s="346">
        <v>58.079647436917796</v>
      </c>
      <c r="AF18" s="346">
        <v>59.528583646881145</v>
      </c>
      <c r="AG18" s="346">
        <v>60.980378999999999</v>
      </c>
      <c r="AH18" s="346">
        <v>53.517751468999975</v>
      </c>
      <c r="AI18" s="346">
        <v>43.174670242400005</v>
      </c>
    </row>
    <row r="19" spans="3:35" ht="15" customHeight="1">
      <c r="C19" s="345" t="s">
        <v>217</v>
      </c>
      <c r="D19" s="345" t="s">
        <v>217</v>
      </c>
      <c r="E19" s="349"/>
      <c r="F19" s="346">
        <v>0</v>
      </c>
      <c r="G19" s="346">
        <v>0</v>
      </c>
      <c r="H19" s="346">
        <v>0</v>
      </c>
      <c r="I19" s="346">
        <v>0</v>
      </c>
      <c r="J19" s="346">
        <v>0</v>
      </c>
      <c r="K19" s="346">
        <v>0</v>
      </c>
      <c r="L19" s="346">
        <v>0</v>
      </c>
      <c r="M19" s="346">
        <v>0</v>
      </c>
      <c r="N19" s="346">
        <v>0</v>
      </c>
      <c r="O19" s="346">
        <v>0</v>
      </c>
      <c r="P19" s="346">
        <v>0.10355126799999999</v>
      </c>
      <c r="Q19" s="346">
        <v>35.849052211999997</v>
      </c>
      <c r="R19" s="346">
        <v>32.755545601999998</v>
      </c>
      <c r="S19" s="346">
        <v>27.514221524</v>
      </c>
      <c r="T19" s="346">
        <v>49.374956786193152</v>
      </c>
      <c r="U19" s="346">
        <v>50.935585898999996</v>
      </c>
      <c r="V19" s="346">
        <v>37.988968</v>
      </c>
      <c r="W19" s="346">
        <v>30.721724010703483</v>
      </c>
      <c r="X19" s="346">
        <v>36.789958992486874</v>
      </c>
      <c r="Y19" s="346">
        <v>32.469673867633553</v>
      </c>
      <c r="Z19" s="346">
        <v>27.511411832878366</v>
      </c>
      <c r="AA19" s="346">
        <v>21.151472569541834</v>
      </c>
      <c r="AB19" s="547">
        <v>20.809940287366715</v>
      </c>
      <c r="AC19" s="346">
        <v>44.363416000000001</v>
      </c>
      <c r="AD19" s="346">
        <v>33.775332142606452</v>
      </c>
      <c r="AE19" s="346">
        <v>32.633133224694156</v>
      </c>
      <c r="AF19" s="346">
        <v>33.288193193306206</v>
      </c>
      <c r="AG19" s="346">
        <v>36.121389999999998</v>
      </c>
      <c r="AH19" s="346">
        <v>32.05153857499996</v>
      </c>
      <c r="AI19" s="346">
        <v>24.405924935999987</v>
      </c>
    </row>
    <row r="20" spans="3:35" ht="15" customHeight="1">
      <c r="C20" s="345" t="s">
        <v>218</v>
      </c>
      <c r="D20" s="345" t="s">
        <v>218</v>
      </c>
      <c r="E20" s="349"/>
      <c r="F20" s="346">
        <v>0</v>
      </c>
      <c r="G20" s="346">
        <v>0</v>
      </c>
      <c r="H20" s="346">
        <v>0</v>
      </c>
      <c r="I20" s="346">
        <v>0</v>
      </c>
      <c r="J20" s="346">
        <v>0</v>
      </c>
      <c r="K20" s="346">
        <v>0</v>
      </c>
      <c r="L20" s="346">
        <v>0</v>
      </c>
      <c r="M20" s="346">
        <v>0</v>
      </c>
      <c r="N20" s="346">
        <v>0</v>
      </c>
      <c r="O20" s="346">
        <v>0</v>
      </c>
      <c r="P20" s="346">
        <v>0</v>
      </c>
      <c r="Q20" s="346">
        <v>0</v>
      </c>
      <c r="R20" s="346">
        <v>0</v>
      </c>
      <c r="S20" s="346">
        <v>0</v>
      </c>
      <c r="T20" s="346">
        <v>0</v>
      </c>
      <c r="U20" s="346">
        <v>0</v>
      </c>
      <c r="V20" s="346">
        <v>0</v>
      </c>
      <c r="W20" s="346">
        <v>0</v>
      </c>
      <c r="X20" s="346">
        <v>0</v>
      </c>
      <c r="Y20" s="346">
        <v>0</v>
      </c>
      <c r="Z20" s="346">
        <v>0</v>
      </c>
      <c r="AA20" s="346">
        <v>88.799941186033479</v>
      </c>
      <c r="AB20" s="547">
        <v>100.18201231928295</v>
      </c>
      <c r="AC20" s="346">
        <v>94.748628999999994</v>
      </c>
      <c r="AD20" s="346">
        <v>71.669458930198289</v>
      </c>
      <c r="AE20" s="346">
        <v>90.391975681858383</v>
      </c>
      <c r="AF20" s="346">
        <v>94.896339296910753</v>
      </c>
      <c r="AG20" s="346">
        <v>77.560505000000006</v>
      </c>
      <c r="AH20" s="346">
        <v>83.67042057800009</v>
      </c>
      <c r="AI20" s="586">
        <v>104.884494445</v>
      </c>
    </row>
    <row r="21" spans="3:35" ht="15" customHeight="1">
      <c r="C21" s="345" t="s">
        <v>219</v>
      </c>
      <c r="D21" s="345" t="s">
        <v>219</v>
      </c>
      <c r="E21" s="349"/>
      <c r="F21" s="346">
        <v>0</v>
      </c>
      <c r="G21" s="346">
        <v>0</v>
      </c>
      <c r="H21" s="346">
        <v>0</v>
      </c>
      <c r="I21" s="346">
        <v>0</v>
      </c>
      <c r="J21" s="346">
        <v>0</v>
      </c>
      <c r="K21" s="346">
        <v>0</v>
      </c>
      <c r="L21" s="346">
        <v>0</v>
      </c>
      <c r="M21" s="346">
        <v>0</v>
      </c>
      <c r="N21" s="346">
        <v>0</v>
      </c>
      <c r="O21" s="346">
        <v>0</v>
      </c>
      <c r="P21" s="346">
        <v>0</v>
      </c>
      <c r="Q21" s="346">
        <v>0</v>
      </c>
      <c r="R21" s="346">
        <v>0</v>
      </c>
      <c r="S21" s="346">
        <v>0</v>
      </c>
      <c r="T21" s="346">
        <v>0</v>
      </c>
      <c r="U21" s="346">
        <v>0</v>
      </c>
      <c r="V21" s="346">
        <v>0</v>
      </c>
      <c r="W21" s="346">
        <v>0</v>
      </c>
      <c r="X21" s="346">
        <v>0</v>
      </c>
      <c r="Y21" s="346">
        <v>0</v>
      </c>
      <c r="Z21" s="346">
        <v>0</v>
      </c>
      <c r="AA21" s="346">
        <v>15.240796986768421</v>
      </c>
      <c r="AB21" s="547">
        <v>126.81981146413898</v>
      </c>
      <c r="AC21" s="346">
        <v>164.061577</v>
      </c>
      <c r="AD21" s="346">
        <v>176.02025617814309</v>
      </c>
      <c r="AE21" s="346">
        <v>133.72832955035719</v>
      </c>
      <c r="AF21" s="346">
        <v>100.36246645418997</v>
      </c>
      <c r="AG21" s="346">
        <v>135.767258</v>
      </c>
      <c r="AH21" s="346">
        <v>151.7260586940001</v>
      </c>
      <c r="AI21" s="586">
        <v>120.571119099</v>
      </c>
    </row>
    <row r="22" spans="3:35" ht="15" customHeight="1">
      <c r="C22" s="351" t="s">
        <v>220</v>
      </c>
      <c r="D22" s="351" t="s">
        <v>220</v>
      </c>
      <c r="F22" s="352">
        <f t="shared" ref="F22:AG22" si="0">SUM(F8:F21)</f>
        <v>567.47306220999997</v>
      </c>
      <c r="G22" s="352">
        <f t="shared" si="0"/>
        <v>635.88232098100002</v>
      </c>
      <c r="H22" s="352">
        <f t="shared" si="0"/>
        <v>889.58972787099992</v>
      </c>
      <c r="I22" s="352">
        <f t="shared" si="0"/>
        <v>899.39747475699994</v>
      </c>
      <c r="J22" s="352">
        <f t="shared" si="0"/>
        <v>432.59471400000001</v>
      </c>
      <c r="K22" s="352">
        <f t="shared" si="0"/>
        <v>632.01455399999998</v>
      </c>
      <c r="L22" s="352">
        <f t="shared" si="0"/>
        <v>1237.6914859999999</v>
      </c>
      <c r="M22" s="352">
        <f t="shared" si="0"/>
        <v>1254.984252</v>
      </c>
      <c r="N22" s="352">
        <f t="shared" si="0"/>
        <v>912.48987489799993</v>
      </c>
      <c r="O22" s="352">
        <f t="shared" si="0"/>
        <v>841.51081270099985</v>
      </c>
      <c r="P22" s="352">
        <f t="shared" si="0"/>
        <v>1268.6128716532953</v>
      </c>
      <c r="Q22" s="352">
        <f t="shared" si="0"/>
        <v>1307.9176720789999</v>
      </c>
      <c r="R22" s="352">
        <f t="shared" si="0"/>
        <v>933.86213935600006</v>
      </c>
      <c r="S22" s="352">
        <f t="shared" si="0"/>
        <v>842.85541325299994</v>
      </c>
      <c r="T22" s="352">
        <f t="shared" si="0"/>
        <v>1432.3918786477357</v>
      </c>
      <c r="U22" s="352">
        <f t="shared" si="0"/>
        <v>1359.867763921</v>
      </c>
      <c r="V22" s="352">
        <f t="shared" si="0"/>
        <v>1078.8124640000001</v>
      </c>
      <c r="W22" s="352">
        <f t="shared" si="0"/>
        <v>896.5788690758485</v>
      </c>
      <c r="X22" s="352">
        <f t="shared" si="0"/>
        <v>1185.8722096763331</v>
      </c>
      <c r="Y22" s="352">
        <f t="shared" si="0"/>
        <v>1216.0573365732362</v>
      </c>
      <c r="Z22" s="352">
        <f t="shared" si="0"/>
        <v>817.1366550586273</v>
      </c>
      <c r="AA22" s="352">
        <f t="shared" si="0"/>
        <v>877.60044815481774</v>
      </c>
      <c r="AB22" s="352">
        <f t="shared" si="0"/>
        <v>1284.5771494486253</v>
      </c>
      <c r="AC22" s="352">
        <f t="shared" si="0"/>
        <v>1563.6133199999997</v>
      </c>
      <c r="AD22" s="352">
        <f t="shared" si="0"/>
        <v>1169.0251779892642</v>
      </c>
      <c r="AE22" s="352">
        <f t="shared" si="0"/>
        <v>1186.0938584290091</v>
      </c>
      <c r="AF22" s="352">
        <f t="shared" si="0"/>
        <v>1315.1403033359977</v>
      </c>
      <c r="AG22" s="352">
        <f t="shared" si="0"/>
        <v>1388.3033970000001</v>
      </c>
      <c r="AH22" s="352">
        <v>1107.0957433890001</v>
      </c>
      <c r="AI22" s="352">
        <f>SUM(AI8:AI21)</f>
        <v>1014.2128841112201</v>
      </c>
    </row>
    <row r="23" spans="3:35" ht="15" customHeight="1">
      <c r="C23" s="353"/>
      <c r="D23" s="353"/>
    </row>
    <row r="24" spans="3:35" ht="15" customHeight="1">
      <c r="C24" s="353"/>
      <c r="D24" s="353"/>
    </row>
    <row r="25" spans="3:35" ht="15" customHeight="1">
      <c r="C25" s="411" t="s">
        <v>221</v>
      </c>
      <c r="D25" s="411" t="s">
        <v>222</v>
      </c>
      <c r="F25" s="412" t="s">
        <v>63</v>
      </c>
      <c r="G25" s="412" t="s">
        <v>64</v>
      </c>
      <c r="H25" s="412" t="s">
        <v>65</v>
      </c>
      <c r="I25" s="412" t="s">
        <v>66</v>
      </c>
      <c r="J25" s="412" t="s">
        <v>67</v>
      </c>
      <c r="K25" s="412" t="s">
        <v>68</v>
      </c>
      <c r="L25" s="412" t="s">
        <v>69</v>
      </c>
      <c r="M25" s="412" t="s">
        <v>70</v>
      </c>
      <c r="N25" s="412" t="s">
        <v>71</v>
      </c>
      <c r="O25" s="412" t="s">
        <v>72</v>
      </c>
      <c r="P25" s="412" t="s">
        <v>73</v>
      </c>
      <c r="Q25" s="412" t="s">
        <v>74</v>
      </c>
      <c r="R25" s="412" t="s">
        <v>75</v>
      </c>
      <c r="S25" s="412" t="s">
        <v>76</v>
      </c>
      <c r="T25" s="412" t="s">
        <v>77</v>
      </c>
      <c r="U25" s="412" t="s">
        <v>78</v>
      </c>
      <c r="V25" s="412" t="s">
        <v>79</v>
      </c>
      <c r="W25" s="412" t="s">
        <v>80</v>
      </c>
      <c r="X25" s="412" t="s">
        <v>81</v>
      </c>
      <c r="Y25" s="412" t="s">
        <v>82</v>
      </c>
      <c r="Z25" s="412" t="s">
        <v>83</v>
      </c>
      <c r="AA25" s="412" t="s">
        <v>84</v>
      </c>
      <c r="AB25" s="412" t="s">
        <v>85</v>
      </c>
      <c r="AC25" s="412" t="s">
        <v>86</v>
      </c>
      <c r="AD25" s="412" t="str">
        <f t="shared" ref="AD25:AI25" si="1">AD7</f>
        <v>1T25</v>
      </c>
      <c r="AE25" s="412" t="str">
        <f t="shared" si="1"/>
        <v>2T25</v>
      </c>
      <c r="AF25" s="412" t="str">
        <f t="shared" si="1"/>
        <v>3T25</v>
      </c>
      <c r="AG25" s="412" t="str">
        <f t="shared" si="1"/>
        <v>4T25</v>
      </c>
      <c r="AH25" s="412" t="str">
        <f t="shared" si="1"/>
        <v>1T26</v>
      </c>
      <c r="AI25" s="412" t="str">
        <f t="shared" si="1"/>
        <v>2T26</v>
      </c>
    </row>
    <row r="26" spans="3:35" ht="15" customHeight="1">
      <c r="C26" s="345" t="s">
        <v>206</v>
      </c>
      <c r="D26" s="345" t="s">
        <v>206</v>
      </c>
      <c r="F26" s="354">
        <v>6.9168174589332034</v>
      </c>
      <c r="G26" s="354">
        <v>6.6250582829250328</v>
      </c>
      <c r="H26" s="354">
        <v>7.4087674577866371</v>
      </c>
      <c r="I26" s="354">
        <v>8.1072117963933064</v>
      </c>
      <c r="J26" s="354">
        <v>6.0426713597310799</v>
      </c>
      <c r="K26" s="354">
        <v>6.1089143539710165</v>
      </c>
      <c r="L26" s="354">
        <v>7.4635017709208817</v>
      </c>
      <c r="M26" s="354">
        <v>8.1115075977528157</v>
      </c>
      <c r="N26" s="354">
        <v>7.1989182986910389</v>
      </c>
      <c r="O26" s="354">
        <v>6.1860275556752971</v>
      </c>
      <c r="P26" s="354">
        <v>7.114709972101215</v>
      </c>
      <c r="Q26" s="354">
        <v>8.2791083616746395</v>
      </c>
      <c r="R26" s="354">
        <v>7.0543520914393971</v>
      </c>
      <c r="S26" s="354">
        <v>6.0558486074214404</v>
      </c>
      <c r="T26" s="354">
        <v>7.0818562559459517</v>
      </c>
      <c r="U26" s="355">
        <v>7.5528264177347406</v>
      </c>
      <c r="V26" s="355">
        <v>7.5556422751206354</v>
      </c>
      <c r="W26" s="355">
        <v>6.2284135002127572</v>
      </c>
      <c r="X26" s="355">
        <v>6.9854896946805685</v>
      </c>
      <c r="Y26" s="355">
        <v>7.7201516895643021</v>
      </c>
      <c r="Z26" s="355">
        <v>6.7814664350802749</v>
      </c>
      <c r="AA26" s="355">
        <v>6.0153927971259185</v>
      </c>
      <c r="AB26" s="355">
        <v>7.4992348269975295</v>
      </c>
      <c r="AC26" s="553">
        <v>8.1452405449437464</v>
      </c>
      <c r="AD26" s="553">
        <v>7.1929967755363098</v>
      </c>
      <c r="AE26" s="553">
        <v>6.3563354843764452</v>
      </c>
      <c r="AF26" s="553">
        <v>7.1179607534425022</v>
      </c>
      <c r="AG26" s="553">
        <v>8.32</v>
      </c>
      <c r="AH26" s="553">
        <v>6.84</v>
      </c>
      <c r="AI26" s="553">
        <v>6.25</v>
      </c>
    </row>
    <row r="27" spans="3:35" ht="15" customHeight="1">
      <c r="C27" s="345" t="s">
        <v>207</v>
      </c>
      <c r="D27" s="345" t="s">
        <v>207</v>
      </c>
      <c r="F27" s="354">
        <v>6.6721790648814059</v>
      </c>
      <c r="G27" s="354">
        <v>6.5287033418318128</v>
      </c>
      <c r="H27" s="354">
        <v>8.0859393990692752</v>
      </c>
      <c r="I27" s="354">
        <v>9.3670128952103902</v>
      </c>
      <c r="J27" s="354">
        <v>5.876140892139869</v>
      </c>
      <c r="K27" s="354">
        <v>6.0774629221878493</v>
      </c>
      <c r="L27" s="354">
        <v>7.5015450429943309</v>
      </c>
      <c r="M27" s="354">
        <v>8.9892778672585045</v>
      </c>
      <c r="N27" s="354">
        <v>7.1697535342124281</v>
      </c>
      <c r="O27" s="354">
        <v>6.0681710103719428</v>
      </c>
      <c r="P27" s="354">
        <v>7.5977779867822743</v>
      </c>
      <c r="Q27" s="354">
        <v>8.7442639486591816</v>
      </c>
      <c r="R27" s="354">
        <v>7.0294458629420999</v>
      </c>
      <c r="S27" s="354">
        <v>6.3881422474021257</v>
      </c>
      <c r="T27" s="354">
        <v>7.3152210896194214</v>
      </c>
      <c r="U27" s="355">
        <v>8.2239592559993238</v>
      </c>
      <c r="V27" s="355">
        <v>6.9511997412121485</v>
      </c>
      <c r="W27" s="355">
        <v>6.2113052246760105</v>
      </c>
      <c r="X27" s="355">
        <v>8.1785197521858066</v>
      </c>
      <c r="Y27" s="355">
        <v>9.2153988462057175</v>
      </c>
      <c r="Z27" s="355">
        <v>6.788327847966273</v>
      </c>
      <c r="AA27" s="355">
        <v>6.4774461312513925</v>
      </c>
      <c r="AB27" s="355">
        <v>8.1807710165899152</v>
      </c>
      <c r="AC27" s="553">
        <v>9.3600425717491191</v>
      </c>
      <c r="AD27" s="553">
        <v>7.3460441295018644</v>
      </c>
      <c r="AE27" s="553">
        <v>7.2469739051840891</v>
      </c>
      <c r="AF27" s="553">
        <v>8.2891868441597776</v>
      </c>
      <c r="AG27" s="553">
        <v>9.34</v>
      </c>
      <c r="AH27" s="553">
        <v>7.26</v>
      </c>
      <c r="AI27" s="553">
        <v>6.3</v>
      </c>
    </row>
    <row r="28" spans="3:35" ht="15" customHeight="1">
      <c r="C28" s="345" t="s">
        <v>208</v>
      </c>
      <c r="D28" s="345" t="s">
        <v>208</v>
      </c>
      <c r="F28" s="354">
        <v>7.1005379377052806</v>
      </c>
      <c r="G28" s="354">
        <v>8.1605560791981997</v>
      </c>
      <c r="H28" s="354">
        <v>9.9911842277993852</v>
      </c>
      <c r="I28" s="354">
        <v>9.1063862756678926</v>
      </c>
      <c r="J28" s="354">
        <v>5.9944645336696079</v>
      </c>
      <c r="K28" s="354">
        <v>7.6944303209206639</v>
      </c>
      <c r="L28" s="354">
        <v>10.337091136306046</v>
      </c>
      <c r="M28" s="354">
        <v>8.5665446339810192</v>
      </c>
      <c r="N28" s="354">
        <v>7.4910793257038497</v>
      </c>
      <c r="O28" s="354">
        <v>8.5036762068215097</v>
      </c>
      <c r="P28" s="354">
        <v>10.388078397144168</v>
      </c>
      <c r="Q28" s="354">
        <v>7.978595815888804</v>
      </c>
      <c r="R28" s="354">
        <v>6.9710204166278498</v>
      </c>
      <c r="S28" s="354">
        <v>7.925234842741677</v>
      </c>
      <c r="T28" s="354">
        <v>10.10677442697966</v>
      </c>
      <c r="U28" s="355">
        <v>7.8953308273507465</v>
      </c>
      <c r="V28" s="355">
        <v>7.5862270318973835</v>
      </c>
      <c r="W28" s="355">
        <v>7.9317188762115416</v>
      </c>
      <c r="X28" s="355">
        <v>9.6799013764689104</v>
      </c>
      <c r="Y28" s="355">
        <v>8.4026476076593113</v>
      </c>
      <c r="Z28" s="355">
        <v>6.6336485010242106</v>
      </c>
      <c r="AA28" s="355">
        <v>8.2396057161951486</v>
      </c>
      <c r="AB28" s="355">
        <v>10.574642988975627</v>
      </c>
      <c r="AC28" s="553">
        <v>8.6857415312924093</v>
      </c>
      <c r="AD28" s="553">
        <v>7.7545216749456394</v>
      </c>
      <c r="AE28" s="553">
        <v>8.7283722881035093</v>
      </c>
      <c r="AF28" s="553">
        <v>10.373800299789488</v>
      </c>
      <c r="AG28" s="553">
        <v>9.16</v>
      </c>
      <c r="AH28" s="553">
        <v>6.95</v>
      </c>
      <c r="AI28" s="553">
        <v>8.64</v>
      </c>
    </row>
    <row r="29" spans="3:35" ht="15" customHeight="1">
      <c r="C29" s="345" t="s">
        <v>209</v>
      </c>
      <c r="D29" s="345" t="s">
        <v>209</v>
      </c>
      <c r="F29" s="354">
        <v>6.9815190179480444</v>
      </c>
      <c r="G29" s="354">
        <v>7.9754800676153259</v>
      </c>
      <c r="H29" s="354">
        <v>9.919975239135649</v>
      </c>
      <c r="I29" s="354">
        <v>8.9540246965606567</v>
      </c>
      <c r="J29" s="354">
        <v>6.0912032417216144</v>
      </c>
      <c r="K29" s="354">
        <v>7.7342465182582103</v>
      </c>
      <c r="L29" s="354">
        <v>9.752005291373834</v>
      </c>
      <c r="M29" s="354">
        <v>8.9542023427784443</v>
      </c>
      <c r="N29" s="354">
        <v>7.5704338373409374</v>
      </c>
      <c r="O29" s="354">
        <v>7.9267299058181901</v>
      </c>
      <c r="P29" s="354">
        <v>10.101790976265203</v>
      </c>
      <c r="Q29" s="354">
        <v>8.4022280615956895</v>
      </c>
      <c r="R29" s="354">
        <v>6.9888627203802267</v>
      </c>
      <c r="S29" s="354">
        <v>7.5428720086321723</v>
      </c>
      <c r="T29" s="354">
        <v>9.9147909607576281</v>
      </c>
      <c r="U29" s="355">
        <v>8.12745001256142</v>
      </c>
      <c r="V29" s="355">
        <v>7.728062460902664</v>
      </c>
      <c r="W29" s="355">
        <v>7.698396272056705</v>
      </c>
      <c r="X29" s="355">
        <v>9.3121190059768111</v>
      </c>
      <c r="Y29" s="355">
        <v>8.436771262113167</v>
      </c>
      <c r="Z29" s="355">
        <v>6.6140615556102533</v>
      </c>
      <c r="AA29" s="355">
        <v>7.975016863054627</v>
      </c>
      <c r="AB29" s="355">
        <v>10.287945761952711</v>
      </c>
      <c r="AC29" s="553">
        <v>8.7566684857010841</v>
      </c>
      <c r="AD29" s="553">
        <v>7.4967160016298298</v>
      </c>
      <c r="AE29" s="553">
        <v>8.115091149214205</v>
      </c>
      <c r="AF29" s="553">
        <v>9.9001656134977285</v>
      </c>
      <c r="AG29" s="553">
        <v>9.2200000000000006</v>
      </c>
      <c r="AH29" s="553">
        <v>7.12</v>
      </c>
      <c r="AI29" s="553">
        <v>8.07</v>
      </c>
    </row>
    <row r="30" spans="3:35" ht="15" customHeight="1">
      <c r="C30" s="345" t="s">
        <v>212</v>
      </c>
      <c r="D30" s="345" t="s">
        <v>212</v>
      </c>
      <c r="F30" s="354" t="s">
        <v>223</v>
      </c>
      <c r="G30" s="354">
        <v>7.5355471470316902</v>
      </c>
      <c r="H30" s="354">
        <v>8.6349818810172696</v>
      </c>
      <c r="I30" s="354">
        <v>9.4144546609857809</v>
      </c>
      <c r="J30" s="354">
        <v>6.7805938019857299</v>
      </c>
      <c r="K30" s="354">
        <v>6.4216551400802944</v>
      </c>
      <c r="L30" s="354">
        <v>8.3647288155296575</v>
      </c>
      <c r="M30" s="354">
        <v>8.9442320647446998</v>
      </c>
      <c r="N30" s="354">
        <v>7.7675959507624306</v>
      </c>
      <c r="O30" s="354">
        <v>6.619659286933941</v>
      </c>
      <c r="P30" s="354">
        <v>8.4937763486219495</v>
      </c>
      <c r="Q30" s="354">
        <v>8.7334578503733091</v>
      </c>
      <c r="R30" s="354">
        <v>6.8084085709518858</v>
      </c>
      <c r="S30" s="354">
        <v>6.1014571294679749</v>
      </c>
      <c r="T30" s="354">
        <v>8.1853353666222617</v>
      </c>
      <c r="U30" s="355">
        <v>8.4227553346882704</v>
      </c>
      <c r="V30" s="355">
        <v>7.1567168103324041</v>
      </c>
      <c r="W30" s="355">
        <v>7.1412965002514071</v>
      </c>
      <c r="X30" s="355">
        <v>8.2953321681074481</v>
      </c>
      <c r="Y30" s="355">
        <v>8.620997564948123</v>
      </c>
      <c r="Z30" s="355">
        <v>6.1381946363291906</v>
      </c>
      <c r="AA30" s="355">
        <v>6.5776090906871545</v>
      </c>
      <c r="AB30" s="355">
        <v>9.3069515986287072</v>
      </c>
      <c r="AC30" s="553">
        <v>8.8276347343040555</v>
      </c>
      <c r="AD30" s="553">
        <v>6.8875052001741199</v>
      </c>
      <c r="AE30" s="553">
        <v>7.2749573418072293</v>
      </c>
      <c r="AF30" s="553">
        <v>8.5910318409619126</v>
      </c>
      <c r="AG30" s="553">
        <v>9.25</v>
      </c>
      <c r="AH30" s="553">
        <v>6.91</v>
      </c>
      <c r="AI30" s="553">
        <v>6.1</v>
      </c>
    </row>
    <row r="31" spans="3:35" ht="15" customHeight="1">
      <c r="C31" s="345" t="s">
        <v>210</v>
      </c>
      <c r="D31" s="345" t="s">
        <v>210</v>
      </c>
      <c r="F31" s="354">
        <v>6.2540619909601798</v>
      </c>
      <c r="G31" s="354">
        <v>7.1829312999840873</v>
      </c>
      <c r="H31" s="354">
        <v>8.8044272170719147</v>
      </c>
      <c r="I31" s="354">
        <v>8.6040631013103663</v>
      </c>
      <c r="J31" s="354">
        <v>5.7072416835673465</v>
      </c>
      <c r="K31" s="354">
        <v>6.7532086458004237</v>
      </c>
      <c r="L31" s="354">
        <v>8.9733873857293887</v>
      </c>
      <c r="M31" s="354">
        <v>8.4274614946966082</v>
      </c>
      <c r="N31" s="354">
        <v>7.239692901078925</v>
      </c>
      <c r="O31" s="354">
        <v>7.4061315754277235</v>
      </c>
      <c r="P31" s="354">
        <v>9.1420411454278607</v>
      </c>
      <c r="Q31" s="354">
        <v>7.8862188003980975</v>
      </c>
      <c r="R31" s="354">
        <v>6.5869056047785888</v>
      </c>
      <c r="S31" s="354">
        <v>6.5617155912445799</v>
      </c>
      <c r="T31" s="354">
        <v>8.7544919792187432</v>
      </c>
      <c r="U31" s="355">
        <v>7.7853668344109339</v>
      </c>
      <c r="V31" s="355">
        <v>7.1539405303272776</v>
      </c>
      <c r="W31" s="355">
        <v>6.3372478563706958</v>
      </c>
      <c r="X31" s="355">
        <v>8.9095870869536427</v>
      </c>
      <c r="Y31" s="355">
        <v>8.3907897150023487</v>
      </c>
      <c r="Z31" s="355">
        <v>6.2557392193377286</v>
      </c>
      <c r="AA31" s="355">
        <v>7.1476553009864334</v>
      </c>
      <c r="AB31" s="355">
        <v>9.5761549741548642</v>
      </c>
      <c r="AC31" s="553">
        <v>8.6334679952622828</v>
      </c>
      <c r="AD31" s="553">
        <v>7.2859217252143189</v>
      </c>
      <c r="AE31" s="553">
        <v>7.6262198461876247</v>
      </c>
      <c r="AF31" s="553">
        <v>9.1613532205109145</v>
      </c>
      <c r="AG31" s="553">
        <v>9.0500000000000007</v>
      </c>
      <c r="AH31" s="553">
        <v>6.78</v>
      </c>
      <c r="AI31" s="553">
        <v>7.27</v>
      </c>
    </row>
    <row r="32" spans="3:35" ht="15" customHeight="1">
      <c r="C32" s="345" t="s">
        <v>211</v>
      </c>
      <c r="D32" s="345" t="s">
        <v>211</v>
      </c>
      <c r="F32" s="354">
        <v>6.3565262993176779</v>
      </c>
      <c r="G32" s="354">
        <v>7.5569823054603615</v>
      </c>
      <c r="H32" s="354">
        <v>9.1016090957150944</v>
      </c>
      <c r="I32" s="354">
        <v>8.5634599090486319</v>
      </c>
      <c r="J32" s="354">
        <v>5.6017557779947911</v>
      </c>
      <c r="K32" s="354">
        <v>6.8610176529203146</v>
      </c>
      <c r="L32" s="354">
        <v>9.2263015197670981</v>
      </c>
      <c r="M32" s="354">
        <v>8.1540749513584636</v>
      </c>
      <c r="N32" s="354">
        <v>7.1139027860429556</v>
      </c>
      <c r="O32" s="354">
        <v>7.6589247228461756</v>
      </c>
      <c r="P32" s="354">
        <v>9.3476009982219654</v>
      </c>
      <c r="Q32" s="354">
        <v>7.6791307489941092</v>
      </c>
      <c r="R32" s="354">
        <v>6.6360322462187877</v>
      </c>
      <c r="S32" s="354">
        <v>7.0607892873086326</v>
      </c>
      <c r="T32" s="354">
        <v>9.0156767990278155</v>
      </c>
      <c r="U32" s="355">
        <v>7.5829899138298575</v>
      </c>
      <c r="V32" s="355">
        <v>7.2286291656670754</v>
      </c>
      <c r="W32" s="355">
        <v>6.8949620553105868</v>
      </c>
      <c r="X32" s="355">
        <v>8.8650531829267294</v>
      </c>
      <c r="Y32" s="355">
        <v>8.004500786463419</v>
      </c>
      <c r="Z32" s="355">
        <v>6.0356224351750187</v>
      </c>
      <c r="AA32" s="355">
        <v>7.090171130148919</v>
      </c>
      <c r="AB32" s="355">
        <v>9.391394029060999</v>
      </c>
      <c r="AC32" s="553">
        <v>8.2328535426354055</v>
      </c>
      <c r="AD32" s="553">
        <v>7.1065975780840276</v>
      </c>
      <c r="AE32" s="553">
        <v>7.7088079605347071</v>
      </c>
      <c r="AF32" s="553">
        <v>9.1065679857696313</v>
      </c>
      <c r="AG32" s="553">
        <v>8.61</v>
      </c>
      <c r="AH32" s="553">
        <v>6.45</v>
      </c>
      <c r="AI32" s="553">
        <v>7.42</v>
      </c>
    </row>
    <row r="33" spans="3:35" ht="15" customHeight="1">
      <c r="C33" s="345" t="s">
        <v>213</v>
      </c>
      <c r="D33" s="345" t="s">
        <v>213</v>
      </c>
      <c r="F33" s="354" t="s">
        <v>223</v>
      </c>
      <c r="G33" s="354" t="s">
        <v>223</v>
      </c>
      <c r="H33" s="354" t="s">
        <v>223</v>
      </c>
      <c r="I33" s="354">
        <v>10.031581034425828</v>
      </c>
      <c r="J33" s="354">
        <v>6.8243514501587139</v>
      </c>
      <c r="K33" s="354">
        <v>6.5753876906630531</v>
      </c>
      <c r="L33" s="354">
        <v>8.4920686832673162</v>
      </c>
      <c r="M33" s="354">
        <v>9.0783756522915979</v>
      </c>
      <c r="N33" s="354">
        <v>7.8006112635423595</v>
      </c>
      <c r="O33" s="354">
        <v>6.5364672719606407</v>
      </c>
      <c r="P33" s="354">
        <v>8.4574543627538841</v>
      </c>
      <c r="Q33" s="354">
        <v>8.6979048536044665</v>
      </c>
      <c r="R33" s="354">
        <v>6.81683301580125</v>
      </c>
      <c r="S33" s="354">
        <v>6.1858394308860261</v>
      </c>
      <c r="T33" s="354">
        <v>8.2266334543156034</v>
      </c>
      <c r="U33" s="355">
        <v>8.4924140003543265</v>
      </c>
      <c r="V33" s="355">
        <v>7.2685801568238633</v>
      </c>
      <c r="W33" s="355">
        <v>6.466936585097808</v>
      </c>
      <c r="X33" s="355">
        <v>8.588709409385638</v>
      </c>
      <c r="Y33" s="355">
        <v>8.851300223788602</v>
      </c>
      <c r="Z33" s="355">
        <v>6.2071852781985619</v>
      </c>
      <c r="AA33" s="355">
        <v>6.7613975901496621</v>
      </c>
      <c r="AB33" s="355">
        <v>9.5871005723066283</v>
      </c>
      <c r="AC33" s="553">
        <v>8.9338194125090737</v>
      </c>
      <c r="AD33" s="553">
        <v>6.9883506307279433</v>
      </c>
      <c r="AE33" s="553">
        <v>7.3531419651051539</v>
      </c>
      <c r="AF33" s="553">
        <v>8.8285291958846752</v>
      </c>
      <c r="AG33" s="553">
        <v>9.5</v>
      </c>
      <c r="AH33" s="553">
        <v>7.01</v>
      </c>
      <c r="AI33" s="553">
        <v>6.25</v>
      </c>
    </row>
    <row r="34" spans="3:35" ht="15" customHeight="1">
      <c r="C34" s="345" t="s">
        <v>214</v>
      </c>
      <c r="D34" s="345" t="s">
        <v>214</v>
      </c>
      <c r="F34" s="354" t="s">
        <v>223</v>
      </c>
      <c r="G34" s="354" t="s">
        <v>223</v>
      </c>
      <c r="H34" s="354" t="s">
        <v>223</v>
      </c>
      <c r="I34" s="354">
        <v>9.5332421787449579</v>
      </c>
      <c r="J34" s="354">
        <v>6.9069895901522793</v>
      </c>
      <c r="K34" s="354">
        <v>6.7271192859817335</v>
      </c>
      <c r="L34" s="354">
        <v>8.7312345038289614</v>
      </c>
      <c r="M34" s="354">
        <v>9.0030912679174673</v>
      </c>
      <c r="N34" s="354">
        <v>7.6327083799574114</v>
      </c>
      <c r="O34" s="354">
        <v>6.5341919018672066</v>
      </c>
      <c r="P34" s="354">
        <v>8.4772450690684114</v>
      </c>
      <c r="Q34" s="354">
        <v>8.4680996355803124</v>
      </c>
      <c r="R34" s="354">
        <v>6.5393402973810835</v>
      </c>
      <c r="S34" s="354">
        <v>5.7915608201708109</v>
      </c>
      <c r="T34" s="354">
        <v>8.3383715904277302</v>
      </c>
      <c r="U34" s="355">
        <v>8.2938762203506808</v>
      </c>
      <c r="V34" s="355">
        <v>6.9282275358835852</v>
      </c>
      <c r="W34" s="355">
        <v>6.1269670213971823</v>
      </c>
      <c r="X34" s="355">
        <v>8.5256044372268338</v>
      </c>
      <c r="Y34" s="355">
        <v>8.7214479912882261</v>
      </c>
      <c r="Z34" s="355">
        <v>5.9945871436988902</v>
      </c>
      <c r="AA34" s="355">
        <v>6.5650176058758749</v>
      </c>
      <c r="AB34" s="355">
        <v>9.735317284646241</v>
      </c>
      <c r="AC34" s="553">
        <v>8.8152738343114443</v>
      </c>
      <c r="AD34" s="553">
        <v>6.8187873866822981</v>
      </c>
      <c r="AE34" s="553">
        <v>7.3070341361747992</v>
      </c>
      <c r="AF34" s="553">
        <v>8.8820044942524117</v>
      </c>
      <c r="AG34" s="553">
        <v>9.32</v>
      </c>
      <c r="AH34" s="553">
        <v>6.73</v>
      </c>
      <c r="AI34" s="553">
        <v>5.94</v>
      </c>
    </row>
    <row r="35" spans="3:35" ht="15" customHeight="1">
      <c r="C35" s="345" t="s">
        <v>215</v>
      </c>
      <c r="D35" s="345" t="s">
        <v>215</v>
      </c>
      <c r="F35" s="354" t="s">
        <v>223</v>
      </c>
      <c r="G35" s="354" t="s">
        <v>223</v>
      </c>
      <c r="H35" s="354" t="s">
        <v>223</v>
      </c>
      <c r="I35" s="354">
        <v>9.4830869342104691</v>
      </c>
      <c r="J35" s="354">
        <v>6.6278035090519829</v>
      </c>
      <c r="K35" s="354">
        <v>6.4117342299157443</v>
      </c>
      <c r="L35" s="354">
        <v>8.4102871342609991</v>
      </c>
      <c r="M35" s="354">
        <v>9.1399884845899493</v>
      </c>
      <c r="N35" s="354">
        <v>7.8978575441572403</v>
      </c>
      <c r="O35" s="354">
        <v>7.0704861866248834</v>
      </c>
      <c r="P35" s="354">
        <v>8.9696653143690508</v>
      </c>
      <c r="Q35" s="354">
        <v>8.7609314268285576</v>
      </c>
      <c r="R35" s="354">
        <v>6.8492213868131531</v>
      </c>
      <c r="S35" s="354">
        <v>6.3095610522842795</v>
      </c>
      <c r="T35" s="354">
        <v>8.4319538363354951</v>
      </c>
      <c r="U35" s="355">
        <v>8.4898343399579339</v>
      </c>
      <c r="V35" s="355">
        <v>7.2711623943213262</v>
      </c>
      <c r="W35" s="355">
        <v>6.5869923259590299</v>
      </c>
      <c r="X35" s="355">
        <v>8.6945259114027973</v>
      </c>
      <c r="Y35" s="355">
        <v>8.8650682382432837</v>
      </c>
      <c r="Z35" s="355">
        <v>6.2993331427102559</v>
      </c>
      <c r="AA35" s="355">
        <v>6.9299853204132678</v>
      </c>
      <c r="AB35" s="355">
        <v>9.8100786779237836</v>
      </c>
      <c r="AC35" s="553">
        <v>8.9928107921313867</v>
      </c>
      <c r="AD35" s="553">
        <v>7.0699719982917859</v>
      </c>
      <c r="AE35" s="553">
        <v>7.5792248775432638</v>
      </c>
      <c r="AF35" s="553">
        <v>9.0276943560645506</v>
      </c>
      <c r="AG35" s="553">
        <v>9.43</v>
      </c>
      <c r="AH35" s="553">
        <v>7.03</v>
      </c>
      <c r="AI35" s="553">
        <v>6.34</v>
      </c>
    </row>
    <row r="36" spans="3:35" ht="15" customHeight="1">
      <c r="C36" s="345" t="s">
        <v>216</v>
      </c>
      <c r="D36" s="345" t="s">
        <v>216</v>
      </c>
      <c r="F36" s="354" t="s">
        <v>223</v>
      </c>
      <c r="G36" s="354" t="s">
        <v>223</v>
      </c>
      <c r="H36" s="354" t="s">
        <v>223</v>
      </c>
      <c r="I36" s="354">
        <v>9.5461890267544103</v>
      </c>
      <c r="J36" s="354">
        <v>6.6278035090519829</v>
      </c>
      <c r="K36" s="354">
        <v>6.4117342299157443</v>
      </c>
      <c r="L36" s="354">
        <v>8.41302814690963</v>
      </c>
      <c r="M36" s="354">
        <v>9.1399884845899493</v>
      </c>
      <c r="N36" s="354">
        <v>7.8978575441572403</v>
      </c>
      <c r="O36" s="354">
        <v>6.9497613435263164</v>
      </c>
      <c r="P36" s="354">
        <v>8.8752375322839487</v>
      </c>
      <c r="Q36" s="354">
        <v>8.6515811059785932</v>
      </c>
      <c r="R36" s="354">
        <v>6.5617094596227012</v>
      </c>
      <c r="S36" s="354">
        <v>6.0136416639600485</v>
      </c>
      <c r="T36" s="354">
        <v>8.3658202160959654</v>
      </c>
      <c r="U36" s="355">
        <v>8.1748726730761323</v>
      </c>
      <c r="V36" s="355">
        <v>7.0787170065773859</v>
      </c>
      <c r="W36" s="355">
        <v>6.4026291579990593</v>
      </c>
      <c r="X36" s="355">
        <v>8.5211335602013953</v>
      </c>
      <c r="Y36" s="355">
        <v>8.5405369375063032</v>
      </c>
      <c r="Z36" s="355">
        <v>6.0476927783463017</v>
      </c>
      <c r="AA36" s="355">
        <v>6.6430710907820814</v>
      </c>
      <c r="AB36" s="355">
        <v>9.7595326952312309</v>
      </c>
      <c r="AC36" s="553">
        <v>8.7504294825636819</v>
      </c>
      <c r="AD36" s="553">
        <v>6.9132545550664268</v>
      </c>
      <c r="AE36" s="553">
        <v>7.5118331594781562</v>
      </c>
      <c r="AF36" s="553">
        <v>8.8152345859486125</v>
      </c>
      <c r="AG36" s="553">
        <v>9.31</v>
      </c>
      <c r="AH36" s="553">
        <v>6.9</v>
      </c>
      <c r="AI36" s="553">
        <v>6.17</v>
      </c>
    </row>
    <row r="37" spans="3:35" ht="15" customHeight="1">
      <c r="C37" s="345" t="s">
        <v>217</v>
      </c>
      <c r="D37" s="345" t="s">
        <v>217</v>
      </c>
      <c r="F37" s="354" t="s">
        <v>223</v>
      </c>
      <c r="G37" s="354" t="s">
        <v>223</v>
      </c>
      <c r="H37" s="354" t="s">
        <v>223</v>
      </c>
      <c r="I37" s="354">
        <v>9.5461890267544103</v>
      </c>
      <c r="J37" s="354">
        <v>6.6278035090519829</v>
      </c>
      <c r="K37" s="354">
        <v>6.4117342299157443</v>
      </c>
      <c r="L37" s="354">
        <v>8.41302814690963</v>
      </c>
      <c r="M37" s="354">
        <v>9.1399884845899493</v>
      </c>
      <c r="N37" s="354">
        <v>7.8978575441572403</v>
      </c>
      <c r="O37" s="354">
        <v>6.6477417474264628</v>
      </c>
      <c r="P37" s="354">
        <v>8.5495146357494853</v>
      </c>
      <c r="Q37" s="354">
        <v>8.9750790596008301</v>
      </c>
      <c r="R37" s="354">
        <v>7.3169631905025909</v>
      </c>
      <c r="S37" s="354">
        <v>6.5388276760394755</v>
      </c>
      <c r="T37" s="354">
        <v>8.5457387903462294</v>
      </c>
      <c r="U37" s="355">
        <v>8.9575328308603037</v>
      </c>
      <c r="V37" s="355">
        <v>7.7437673568725582</v>
      </c>
      <c r="W37" s="355">
        <v>6.8461676639514968</v>
      </c>
      <c r="X37" s="355">
        <v>8.8413053595501445</v>
      </c>
      <c r="Y37" s="355">
        <v>9.2151844916136376</v>
      </c>
      <c r="Z37" s="355">
        <v>6.692845093024955</v>
      </c>
      <c r="AA37" s="355">
        <v>7.0412643951374099</v>
      </c>
      <c r="AB37" s="355">
        <v>9.7323623584664389</v>
      </c>
      <c r="AC37" s="553">
        <v>9.4172253038572222</v>
      </c>
      <c r="AD37" s="553">
        <v>7.4080179850260413</v>
      </c>
      <c r="AE37" s="553">
        <v>7.8065073044745477</v>
      </c>
      <c r="AF37" s="553">
        <v>8.901140783144081</v>
      </c>
      <c r="AG37" s="553">
        <v>9.75</v>
      </c>
      <c r="AH37" s="553">
        <v>7.48</v>
      </c>
      <c r="AI37" s="553">
        <v>6.52</v>
      </c>
    </row>
    <row r="38" spans="3:35" ht="15" customHeight="1">
      <c r="C38" s="351" t="s">
        <v>220</v>
      </c>
      <c r="D38" s="351" t="s">
        <v>220</v>
      </c>
      <c r="F38" s="356">
        <v>6.7861827551781593</v>
      </c>
      <c r="G38" s="356">
        <v>7.1185597700997638</v>
      </c>
      <c r="H38" s="356">
        <v>8.5137448204530255</v>
      </c>
      <c r="I38" s="356">
        <v>8.7031312521700279</v>
      </c>
      <c r="J38" s="356">
        <v>5.94568958775311</v>
      </c>
      <c r="K38" s="356">
        <v>6.6665242192438612</v>
      </c>
      <c r="L38" s="356">
        <v>8.4440489528742297</v>
      </c>
      <c r="M38" s="356">
        <v>8.5244478898378997</v>
      </c>
      <c r="N38" s="356">
        <v>7.3542291868144076</v>
      </c>
      <c r="O38" s="356">
        <v>6.8768520964626951</v>
      </c>
      <c r="P38" s="356">
        <v>8.4433852135926593</v>
      </c>
      <c r="Q38" s="356">
        <v>8.3382067053750522</v>
      </c>
      <c r="R38" s="356">
        <v>6.9094483234008814</v>
      </c>
      <c r="S38" s="356">
        <v>6.5623524943485902</v>
      </c>
      <c r="T38" s="356">
        <v>8.2608493398065157</v>
      </c>
      <c r="U38" s="356">
        <v>7.9908583529167716</v>
      </c>
      <c r="V38" s="356">
        <v>7.3505116133759936</v>
      </c>
      <c r="W38" s="356">
        <v>6.7027549663104073</v>
      </c>
      <c r="X38" s="356">
        <v>8.3183984065758327</v>
      </c>
      <c r="Y38" s="356">
        <v>8.4232994384081117</v>
      </c>
      <c r="Z38" s="356">
        <v>6.4499297771190527</v>
      </c>
      <c r="AA38" s="356">
        <v>6.8416432931861433</v>
      </c>
      <c r="AB38" s="356">
        <v>9.1789542667140083</v>
      </c>
      <c r="AC38" s="356">
        <v>8.7345113928356355</v>
      </c>
      <c r="AD38" s="356">
        <v>7.2023453048128143</v>
      </c>
      <c r="AE38" s="356">
        <v>7.3987856691829093</v>
      </c>
      <c r="AF38" s="356">
        <v>8.7017537708805328</v>
      </c>
      <c r="AG38" s="356">
        <v>9.09</v>
      </c>
      <c r="AH38" s="356">
        <v>6.95</v>
      </c>
      <c r="AI38" s="356">
        <v>6.73</v>
      </c>
    </row>
    <row r="39" spans="3:35" ht="15" customHeight="1">
      <c r="C39" s="411" t="s">
        <v>224</v>
      </c>
      <c r="D39" s="411" t="s">
        <v>225</v>
      </c>
      <c r="F39" s="412"/>
      <c r="G39" s="412"/>
      <c r="H39" s="412"/>
      <c r="I39" s="412"/>
      <c r="J39" s="412"/>
      <c r="K39" s="412"/>
      <c r="L39" s="412"/>
      <c r="M39" s="412"/>
      <c r="N39" s="412"/>
      <c r="O39" s="412"/>
      <c r="P39" s="412"/>
      <c r="Q39" s="412"/>
      <c r="R39" s="412"/>
      <c r="S39" s="412"/>
      <c r="T39" s="412"/>
      <c r="U39" s="412"/>
      <c r="V39" s="412"/>
      <c r="W39" s="412"/>
      <c r="X39" s="412"/>
      <c r="Y39" s="412"/>
      <c r="Z39" s="412"/>
      <c r="AA39" s="412"/>
      <c r="AB39" s="412"/>
      <c r="AC39" s="412"/>
      <c r="AD39" s="412"/>
      <c r="AE39" s="412"/>
      <c r="AF39" s="412"/>
      <c r="AG39" s="412"/>
      <c r="AH39" s="412"/>
      <c r="AI39" s="412"/>
    </row>
    <row r="40" spans="3:35" ht="15" customHeight="1">
      <c r="C40" s="345" t="s">
        <v>218</v>
      </c>
      <c r="D40" s="345" t="s">
        <v>218</v>
      </c>
      <c r="F40" s="584"/>
      <c r="G40" s="584"/>
      <c r="H40" s="584"/>
      <c r="I40" s="584"/>
      <c r="J40" s="584"/>
      <c r="K40" s="584"/>
      <c r="L40" s="584"/>
      <c r="M40" s="584"/>
      <c r="N40" s="584"/>
      <c r="O40" s="584"/>
      <c r="P40" s="584"/>
      <c r="Q40" s="584"/>
      <c r="R40" s="584"/>
      <c r="S40" s="584"/>
      <c r="T40" s="584"/>
      <c r="U40" s="584"/>
      <c r="V40" s="584"/>
      <c r="W40" s="584"/>
      <c r="X40" s="584"/>
      <c r="Y40" s="584"/>
      <c r="Z40" s="584"/>
      <c r="AA40" s="586">
        <v>306.21170608577654</v>
      </c>
      <c r="AB40" s="586">
        <v>335.49952739078242</v>
      </c>
      <c r="AC40" s="586">
        <v>260.09950497025795</v>
      </c>
      <c r="AD40" s="586">
        <v>227.5467810255758</v>
      </c>
      <c r="AE40" s="586">
        <v>276.91913074357285</v>
      </c>
      <c r="AF40" s="586">
        <v>328.08469299496704</v>
      </c>
      <c r="AG40" s="586">
        <v>262.95</v>
      </c>
      <c r="AH40" s="586">
        <v>238.32</v>
      </c>
      <c r="AI40" s="586">
        <v>295.87</v>
      </c>
    </row>
    <row r="41" spans="3:35" ht="15" customHeight="1">
      <c r="C41" s="345" t="s">
        <v>219</v>
      </c>
      <c r="D41" s="345" t="s">
        <v>219</v>
      </c>
      <c r="F41" s="584"/>
      <c r="G41" s="584"/>
      <c r="H41" s="584"/>
      <c r="I41" s="584"/>
      <c r="J41" s="584"/>
      <c r="K41" s="584"/>
      <c r="L41" s="584"/>
      <c r="M41" s="584"/>
      <c r="N41" s="584"/>
      <c r="O41" s="584"/>
      <c r="P41" s="584"/>
      <c r="Q41" s="584"/>
      <c r="R41" s="584"/>
      <c r="S41" s="584"/>
      <c r="T41" s="584"/>
      <c r="U41" s="584"/>
      <c r="V41" s="584"/>
      <c r="W41" s="584"/>
      <c r="X41" s="584"/>
      <c r="Y41" s="584"/>
      <c r="Z41" s="584"/>
      <c r="AA41" s="586"/>
      <c r="AB41" s="586">
        <v>350.35802526597854</v>
      </c>
      <c r="AC41" s="586">
        <v>315.56254443766909</v>
      </c>
      <c r="AD41" s="586">
        <v>296.3911679949079</v>
      </c>
      <c r="AE41" s="586">
        <v>296.51575509495041</v>
      </c>
      <c r="AF41" s="586">
        <v>341.32643655812518</v>
      </c>
      <c r="AG41" s="586">
        <v>285.88</v>
      </c>
      <c r="AH41" s="586">
        <v>298.14</v>
      </c>
      <c r="AI41" s="586">
        <v>311.93</v>
      </c>
    </row>
    <row r="42" spans="3:35" ht="15" customHeight="1">
      <c r="C42" s="351" t="s">
        <v>220</v>
      </c>
      <c r="D42" s="351" t="s">
        <v>220</v>
      </c>
      <c r="F42" s="356"/>
      <c r="G42" s="356"/>
      <c r="H42" s="356"/>
      <c r="I42" s="356"/>
      <c r="J42" s="356"/>
      <c r="K42" s="356"/>
      <c r="L42" s="356"/>
      <c r="M42" s="356"/>
      <c r="N42" s="356"/>
      <c r="O42" s="356"/>
      <c r="P42" s="356"/>
      <c r="Q42" s="356"/>
      <c r="R42" s="356"/>
      <c r="S42" s="356"/>
      <c r="T42" s="356"/>
      <c r="U42" s="356"/>
      <c r="V42" s="356"/>
      <c r="W42" s="356"/>
      <c r="X42" s="356"/>
      <c r="Y42" s="356"/>
      <c r="Z42" s="356"/>
      <c r="AA42" s="587">
        <v>306.21170608577654</v>
      </c>
      <c r="AB42" s="587">
        <v>344.4256388508183</v>
      </c>
      <c r="AC42" s="587">
        <v>294.00704001583682</v>
      </c>
      <c r="AD42" s="587">
        <v>269.63505253521117</v>
      </c>
      <c r="AE42" s="587">
        <v>288.8995997793495</v>
      </c>
      <c r="AF42" s="587">
        <v>288.8995997793495</v>
      </c>
      <c r="AG42" s="587">
        <v>276.97000000000003</v>
      </c>
      <c r="AH42" s="587">
        <v>274.89</v>
      </c>
      <c r="AI42" s="587">
        <v>305.69</v>
      </c>
    </row>
    <row r="43" spans="3:35" ht="15" customHeight="1">
      <c r="C43" s="353"/>
      <c r="D43" s="353"/>
    </row>
    <row r="44" spans="3:35" ht="15" customHeight="1">
      <c r="C44" s="353"/>
      <c r="D44" s="353"/>
    </row>
    <row r="45" spans="3:35" ht="15" customHeight="1">
      <c r="C45" s="411" t="s">
        <v>226</v>
      </c>
      <c r="D45" s="411" t="s">
        <v>227</v>
      </c>
      <c r="F45" s="412" t="s">
        <v>63</v>
      </c>
      <c r="G45" s="412" t="s">
        <v>64</v>
      </c>
      <c r="H45" s="412" t="s">
        <v>65</v>
      </c>
      <c r="I45" s="412" t="s">
        <v>66</v>
      </c>
      <c r="J45" s="412" t="s">
        <v>67</v>
      </c>
      <c r="K45" s="412" t="s">
        <v>68</v>
      </c>
      <c r="L45" s="412" t="s">
        <v>69</v>
      </c>
      <c r="M45" s="412" t="s">
        <v>70</v>
      </c>
      <c r="N45" s="412" t="s">
        <v>71</v>
      </c>
      <c r="O45" s="412" t="s">
        <v>72</v>
      </c>
      <c r="P45" s="412" t="s">
        <v>73</v>
      </c>
      <c r="Q45" s="412" t="s">
        <v>74</v>
      </c>
      <c r="R45" s="412" t="s">
        <v>75</v>
      </c>
      <c r="S45" s="412" t="s">
        <v>76</v>
      </c>
      <c r="T45" s="412" t="s">
        <v>77</v>
      </c>
      <c r="U45" s="412" t="s">
        <v>78</v>
      </c>
      <c r="V45" s="412" t="s">
        <v>79</v>
      </c>
      <c r="W45" s="412" t="s">
        <v>80</v>
      </c>
      <c r="X45" s="412" t="s">
        <v>81</v>
      </c>
      <c r="Y45" s="412" t="s">
        <v>82</v>
      </c>
      <c r="Z45" s="412" t="s">
        <v>83</v>
      </c>
      <c r="AA45" s="412" t="s">
        <v>84</v>
      </c>
      <c r="AB45" s="412" t="s">
        <v>85</v>
      </c>
      <c r="AC45" s="412" t="s">
        <v>86</v>
      </c>
      <c r="AD45" s="412" t="str">
        <f t="shared" ref="AD45:AH45" si="2">AD7</f>
        <v>1T25</v>
      </c>
      <c r="AE45" s="412" t="str">
        <f t="shared" si="2"/>
        <v>2T25</v>
      </c>
      <c r="AF45" s="412" t="str">
        <f t="shared" si="2"/>
        <v>3T25</v>
      </c>
      <c r="AG45" s="412" t="str">
        <f t="shared" si="2"/>
        <v>4T25</v>
      </c>
      <c r="AH45" s="412" t="str">
        <f t="shared" si="2"/>
        <v>1T26</v>
      </c>
      <c r="AI45" s="412" t="s">
        <v>2494</v>
      </c>
    </row>
    <row r="46" spans="3:35" ht="15" customHeight="1">
      <c r="C46" s="345" t="s">
        <v>206</v>
      </c>
      <c r="D46" s="345" t="s">
        <v>206</v>
      </c>
      <c r="F46" s="357">
        <v>0.97799158592869084</v>
      </c>
      <c r="G46" s="357">
        <v>0.9672329032328878</v>
      </c>
      <c r="H46" s="357">
        <v>0.98198504354841876</v>
      </c>
      <c r="I46" s="357">
        <v>0.98143455887831754</v>
      </c>
      <c r="J46" s="357">
        <v>0.96821421197713653</v>
      </c>
      <c r="K46" s="357">
        <v>0.97187947342947867</v>
      </c>
      <c r="L46" s="357">
        <v>0.97202867678559035</v>
      </c>
      <c r="M46" s="357">
        <v>0.97221995002069028</v>
      </c>
      <c r="N46" s="357">
        <v>0.96411114135716713</v>
      </c>
      <c r="O46" s="357">
        <v>0.97817726314590325</v>
      </c>
      <c r="P46" s="357">
        <v>0.97557513750232483</v>
      </c>
      <c r="Q46" s="357">
        <v>0.9765732394591119</v>
      </c>
      <c r="R46" s="357">
        <v>0.97777466048817974</v>
      </c>
      <c r="S46" s="357">
        <v>0.96803008742825836</v>
      </c>
      <c r="T46" s="357">
        <v>0.97467162395295515</v>
      </c>
      <c r="U46" s="357">
        <v>0.9768677462520291</v>
      </c>
      <c r="V46" s="357">
        <v>0.96583333802188109</v>
      </c>
      <c r="W46" s="357">
        <v>0.97504256388429877</v>
      </c>
      <c r="X46" s="357">
        <v>0.97705767868288995</v>
      </c>
      <c r="Y46" s="357">
        <v>0.97382540410846408</v>
      </c>
      <c r="Z46" s="357">
        <v>0.96732190181322864</v>
      </c>
      <c r="AA46" s="357">
        <v>0.97304681879775889</v>
      </c>
      <c r="AB46" s="357">
        <v>0.97243420858670959</v>
      </c>
      <c r="AC46" s="357">
        <v>0.97399999999999998</v>
      </c>
      <c r="AD46" s="357">
        <v>0.95575815439224199</v>
      </c>
      <c r="AE46" s="357">
        <v>0.95471137762069702</v>
      </c>
      <c r="AF46" s="357">
        <v>0.97399999999999998</v>
      </c>
      <c r="AG46" s="357">
        <v>0.95336741209030151</v>
      </c>
      <c r="AH46" s="357">
        <v>0.96568793058395386</v>
      </c>
      <c r="AI46" s="357">
        <v>0.98095226287841797</v>
      </c>
    </row>
    <row r="47" spans="3:35" ht="15" customHeight="1">
      <c r="C47" s="345" t="s">
        <v>207</v>
      </c>
      <c r="D47" s="345" t="s">
        <v>207</v>
      </c>
      <c r="F47" s="357">
        <v>0.9790995485799826</v>
      </c>
      <c r="G47" s="357">
        <v>0.96625948356301228</v>
      </c>
      <c r="H47" s="357">
        <v>0.97553125404486618</v>
      </c>
      <c r="I47" s="357">
        <v>0.97708643773755333</v>
      </c>
      <c r="J47" s="357">
        <v>0.96920254096599245</v>
      </c>
      <c r="K47" s="357">
        <v>0.96277838220674472</v>
      </c>
      <c r="L47" s="357">
        <v>0.96787157638422117</v>
      </c>
      <c r="M47" s="357">
        <v>0.97414806391322251</v>
      </c>
      <c r="N47" s="357">
        <v>0.96598985437593643</v>
      </c>
      <c r="O47" s="357">
        <v>0.96316018432982486</v>
      </c>
      <c r="P47" s="357">
        <v>0.95334492313782215</v>
      </c>
      <c r="Q47" s="357">
        <v>0.96637513296693178</v>
      </c>
      <c r="R47" s="357">
        <v>0.97531115452316197</v>
      </c>
      <c r="S47" s="357">
        <v>0.94339365527788488</v>
      </c>
      <c r="T47" s="357">
        <v>0.97427569114590584</v>
      </c>
      <c r="U47" s="357">
        <v>0.97644418506103381</v>
      </c>
      <c r="V47" s="357">
        <v>0.96683167431837647</v>
      </c>
      <c r="W47" s="357">
        <v>0.95760378098385235</v>
      </c>
      <c r="X47" s="357">
        <v>0.96734604964724846</v>
      </c>
      <c r="Y47" s="357">
        <v>0.97807036793912272</v>
      </c>
      <c r="Z47" s="357">
        <v>0.96976031683713793</v>
      </c>
      <c r="AA47" s="357">
        <v>0.96763086225996353</v>
      </c>
      <c r="AB47" s="357">
        <v>0.97005234617022595</v>
      </c>
      <c r="AC47" s="357">
        <v>0.96799999999999997</v>
      </c>
      <c r="AD47" s="357">
        <v>0.969496309757233</v>
      </c>
      <c r="AE47" s="357">
        <v>0.97272074222564697</v>
      </c>
      <c r="AF47" s="357">
        <v>0.97599999999999998</v>
      </c>
      <c r="AG47" s="357">
        <v>0.974373459815979</v>
      </c>
      <c r="AH47" s="357">
        <v>0.9772956371307373</v>
      </c>
      <c r="AI47" s="357">
        <v>0.97735202312469482</v>
      </c>
    </row>
    <row r="48" spans="3:35" ht="15" customHeight="1">
      <c r="C48" s="345" t="s">
        <v>208</v>
      </c>
      <c r="D48" s="345" t="s">
        <v>208</v>
      </c>
      <c r="F48" s="357">
        <v>0.96965028281772536</v>
      </c>
      <c r="G48" s="357">
        <v>0.97925470087734112</v>
      </c>
      <c r="H48" s="357">
        <v>0.97846185220430537</v>
      </c>
      <c r="I48" s="357">
        <v>0.97679118632067863</v>
      </c>
      <c r="J48" s="357">
        <v>0.98439867405000869</v>
      </c>
      <c r="K48" s="357">
        <v>0.97685336621549601</v>
      </c>
      <c r="L48" s="357">
        <v>0.98526991923647456</v>
      </c>
      <c r="M48" s="357">
        <v>0.97057398085558222</v>
      </c>
      <c r="N48" s="357">
        <v>0.96223212490158938</v>
      </c>
      <c r="O48" s="357">
        <v>0.96633076129100992</v>
      </c>
      <c r="P48" s="357">
        <v>0.96226232076191598</v>
      </c>
      <c r="Q48" s="357">
        <v>0.95469245488043541</v>
      </c>
      <c r="R48" s="357">
        <v>0.9483021819021703</v>
      </c>
      <c r="S48" s="357">
        <v>0.95926710363571333</v>
      </c>
      <c r="T48" s="357">
        <v>0.95929850544371797</v>
      </c>
      <c r="U48" s="357">
        <v>0.96711217095731372</v>
      </c>
      <c r="V48" s="357">
        <v>0.96378138770516464</v>
      </c>
      <c r="W48" s="357">
        <v>0.95640689537559975</v>
      </c>
      <c r="X48" s="357">
        <v>0.94832723089361526</v>
      </c>
      <c r="Y48" s="357">
        <v>0.9558988370995295</v>
      </c>
      <c r="Z48" s="357">
        <v>0.93884994317048531</v>
      </c>
      <c r="AA48" s="357">
        <v>0.96595494482366706</v>
      </c>
      <c r="AB48" s="357">
        <v>0.96693310963997903</v>
      </c>
      <c r="AC48" s="357">
        <v>0.96699999999999997</v>
      </c>
      <c r="AD48" s="357">
        <v>0.96618956327438399</v>
      </c>
      <c r="AE48" s="357">
        <v>0.96295201778411899</v>
      </c>
      <c r="AF48" s="357">
        <v>0.96581429243087802</v>
      </c>
      <c r="AG48" s="357">
        <v>0.96282577514648438</v>
      </c>
      <c r="AH48" s="357">
        <v>0.96146643161773682</v>
      </c>
      <c r="AI48" s="357">
        <v>0.96745449304580688</v>
      </c>
    </row>
    <row r="49" spans="3:35" ht="15" customHeight="1">
      <c r="C49" s="345" t="s">
        <v>209</v>
      </c>
      <c r="D49" s="345" t="s">
        <v>209</v>
      </c>
      <c r="F49" s="357">
        <v>0.96418949373375318</v>
      </c>
      <c r="G49" s="357">
        <v>0.97763626115557256</v>
      </c>
      <c r="H49" s="357">
        <v>0.97822410151973727</v>
      </c>
      <c r="I49" s="357">
        <v>0.97848726780682471</v>
      </c>
      <c r="J49" s="357">
        <v>0.96812276122849916</v>
      </c>
      <c r="K49" s="357">
        <v>0.97848509100920966</v>
      </c>
      <c r="L49" s="357">
        <v>0.98053835653842747</v>
      </c>
      <c r="M49" s="357">
        <v>0.97923269890687703</v>
      </c>
      <c r="N49" s="357">
        <v>0.96656366619234391</v>
      </c>
      <c r="O49" s="357">
        <v>0.97260434442899357</v>
      </c>
      <c r="P49" s="357">
        <v>0.97448622011884656</v>
      </c>
      <c r="Q49" s="357">
        <v>0.90942371108554021</v>
      </c>
      <c r="R49" s="357">
        <v>0.89119186069790157</v>
      </c>
      <c r="S49" s="357">
        <v>0.86897629398502241</v>
      </c>
      <c r="T49" s="357">
        <v>0.92626011695212629</v>
      </c>
      <c r="U49" s="357">
        <v>0.91177994572480758</v>
      </c>
      <c r="V49" s="357">
        <v>0.86106495802443528</v>
      </c>
      <c r="W49" s="357">
        <v>0.8554649584620011</v>
      </c>
      <c r="X49" s="357">
        <v>0.86038894756424056</v>
      </c>
      <c r="Y49" s="357">
        <v>0.90212666430071309</v>
      </c>
      <c r="Z49" s="357">
        <v>0.87582340688891669</v>
      </c>
      <c r="AA49" s="357">
        <v>0.88490542775575187</v>
      </c>
      <c r="AB49" s="357">
        <v>0.88760228965908794</v>
      </c>
      <c r="AC49" s="357">
        <v>0.82699999999999996</v>
      </c>
      <c r="AD49" s="357">
        <v>0.79791313409805298</v>
      </c>
      <c r="AE49" s="357">
        <v>0.76419681310653698</v>
      </c>
      <c r="AF49" s="357">
        <v>0.81862783432006803</v>
      </c>
      <c r="AG49" s="357">
        <v>0.78925526142120361</v>
      </c>
      <c r="AH49" s="357">
        <v>0.86012518405914307</v>
      </c>
      <c r="AI49" s="357">
        <v>0.89376664161682129</v>
      </c>
    </row>
    <row r="50" spans="3:35" ht="15" customHeight="1">
      <c r="C50" s="345" t="s">
        <v>212</v>
      </c>
      <c r="D50" s="345" t="s">
        <v>212</v>
      </c>
      <c r="F50" s="357" t="s">
        <v>223</v>
      </c>
      <c r="G50" s="357" t="s">
        <v>223</v>
      </c>
      <c r="H50" s="357" t="s">
        <v>223</v>
      </c>
      <c r="I50" s="357" t="s">
        <v>223</v>
      </c>
      <c r="J50" s="357" t="s">
        <v>223</v>
      </c>
      <c r="K50" s="357">
        <v>0.95999997854232599</v>
      </c>
      <c r="L50" s="357">
        <v>0.96319943751326098</v>
      </c>
      <c r="M50" s="357">
        <v>0.97710164139417832</v>
      </c>
      <c r="N50" s="357">
        <v>0.93098150362685328</v>
      </c>
      <c r="O50" s="357">
        <v>0.98430100444563162</v>
      </c>
      <c r="P50" s="357">
        <v>0.95905175323204539</v>
      </c>
      <c r="Q50" s="357">
        <v>0.96934373152118991</v>
      </c>
      <c r="R50" s="357">
        <v>0.96037239741857949</v>
      </c>
      <c r="S50" s="357">
        <v>0.96627237815940636</v>
      </c>
      <c r="T50" s="357">
        <v>0.97042306378860155</v>
      </c>
      <c r="U50" s="357">
        <v>0.97250002622604703</v>
      </c>
      <c r="V50" s="357">
        <v>0.96466466814448071</v>
      </c>
      <c r="W50" s="357">
        <v>0.97250002622603449</v>
      </c>
      <c r="X50" s="357">
        <v>0.9673314978697497</v>
      </c>
      <c r="Y50" s="357">
        <v>0.97135829649720695</v>
      </c>
      <c r="Z50" s="357">
        <v>0.97160154360626216</v>
      </c>
      <c r="AA50" s="357">
        <v>0.96956398841869074</v>
      </c>
      <c r="AB50" s="357">
        <v>0.97070461510573636</v>
      </c>
      <c r="AC50" s="357">
        <v>0.97099999999999997</v>
      </c>
      <c r="AD50" s="357">
        <v>0.97137951850891102</v>
      </c>
      <c r="AE50" s="357">
        <v>0.96878957748413097</v>
      </c>
      <c r="AF50" s="357">
        <v>0.97236365079879805</v>
      </c>
      <c r="AG50" s="357">
        <v>0.97346562147140503</v>
      </c>
      <c r="AH50" s="357">
        <v>0.98427540063858032</v>
      </c>
      <c r="AI50" s="357">
        <v>0.9705653190612793</v>
      </c>
    </row>
    <row r="51" spans="3:35" ht="15" customHeight="1">
      <c r="C51" s="345" t="s">
        <v>210</v>
      </c>
      <c r="D51" s="345" t="s">
        <v>210</v>
      </c>
      <c r="F51" s="357">
        <v>0.98130253094771491</v>
      </c>
      <c r="G51" s="357">
        <v>0.97980329630598306</v>
      </c>
      <c r="H51" s="357">
        <v>0.98387636075787932</v>
      </c>
      <c r="I51" s="357">
        <v>0.99227141387455631</v>
      </c>
      <c r="J51" s="357">
        <v>0.9641960550998574</v>
      </c>
      <c r="K51" s="357">
        <v>0.98322159155924516</v>
      </c>
      <c r="L51" s="357">
        <v>0.98157002482576328</v>
      </c>
      <c r="M51" s="357">
        <v>0.98966197762616759</v>
      </c>
      <c r="N51" s="357">
        <v>0.97927663121792752</v>
      </c>
      <c r="O51" s="357">
        <v>0.98264232590501033</v>
      </c>
      <c r="P51" s="357">
        <v>0.96912052121253045</v>
      </c>
      <c r="Q51" s="357">
        <v>0.97706109001867159</v>
      </c>
      <c r="R51" s="357">
        <v>0.97193704214580268</v>
      </c>
      <c r="S51" s="357">
        <v>0.97289094862731351</v>
      </c>
      <c r="T51" s="357">
        <v>0.97566762980504562</v>
      </c>
      <c r="U51" s="357">
        <v>0.98042468274148753</v>
      </c>
      <c r="V51" s="357">
        <v>0.9665694025771504</v>
      </c>
      <c r="W51" s="357">
        <v>0.96912114523438753</v>
      </c>
      <c r="X51" s="357">
        <v>0.96894283731419872</v>
      </c>
      <c r="Y51" s="357">
        <v>0.97955959771525014</v>
      </c>
      <c r="Z51" s="357">
        <v>0.97548069157313888</v>
      </c>
      <c r="AA51" s="357">
        <v>0.97495614420938104</v>
      </c>
      <c r="AB51" s="357">
        <v>0.97446813593273718</v>
      </c>
      <c r="AC51" s="357">
        <v>0.97199999999999998</v>
      </c>
      <c r="AD51" s="357">
        <v>0.97257488965988204</v>
      </c>
      <c r="AE51" s="357">
        <v>0.97279345989227295</v>
      </c>
      <c r="AF51" s="357">
        <v>0.95411980152130105</v>
      </c>
      <c r="AG51" s="357">
        <v>0.97292417287826538</v>
      </c>
      <c r="AH51" s="357">
        <v>0.98201900720596313</v>
      </c>
      <c r="AI51" s="357">
        <v>0.98889094591140747</v>
      </c>
    </row>
    <row r="52" spans="3:35" ht="15" customHeight="1">
      <c r="C52" s="345" t="s">
        <v>211</v>
      </c>
      <c r="D52" s="345" t="s">
        <v>211</v>
      </c>
      <c r="F52" s="357">
        <v>0.97647142460610725</v>
      </c>
      <c r="G52" s="357">
        <v>0.97780863053078926</v>
      </c>
      <c r="H52" s="357">
        <v>0.98239579956364764</v>
      </c>
      <c r="I52" s="357">
        <v>0.97862464692437956</v>
      </c>
      <c r="J52" s="357">
        <v>0.96848611740617052</v>
      </c>
      <c r="K52" s="357">
        <v>0.97902056961892592</v>
      </c>
      <c r="L52" s="357">
        <v>0.98568881674313213</v>
      </c>
      <c r="M52" s="357">
        <v>0.98518529815718825</v>
      </c>
      <c r="N52" s="357">
        <v>0.9716110093109116</v>
      </c>
      <c r="O52" s="357">
        <v>0.96992871233139288</v>
      </c>
      <c r="P52" s="357">
        <v>0.96173712201805783</v>
      </c>
      <c r="Q52" s="357">
        <v>0.95436106039036628</v>
      </c>
      <c r="R52" s="357">
        <v>0.95973844823453491</v>
      </c>
      <c r="S52" s="357">
        <v>0.96877526666670621</v>
      </c>
      <c r="T52" s="357">
        <v>0.97224629728822221</v>
      </c>
      <c r="U52" s="357">
        <v>0.97118834593145864</v>
      </c>
      <c r="V52" s="357">
        <v>0.96869532452276419</v>
      </c>
      <c r="W52" s="357">
        <v>0.97006867611849301</v>
      </c>
      <c r="X52" s="357">
        <v>0.97026873889232101</v>
      </c>
      <c r="Y52" s="357">
        <v>0.97165535917414536</v>
      </c>
      <c r="Z52" s="357">
        <v>0.97106095789143698</v>
      </c>
      <c r="AA52" s="357">
        <v>0.97084851165280961</v>
      </c>
      <c r="AB52" s="357">
        <v>0.97150985249907496</v>
      </c>
      <c r="AC52" s="357">
        <v>0.97099999999999997</v>
      </c>
      <c r="AD52" s="357">
        <v>0.96830177307128895</v>
      </c>
      <c r="AE52" s="357">
        <v>0.96840929985046398</v>
      </c>
      <c r="AF52" s="357">
        <v>0.97177934646606401</v>
      </c>
      <c r="AG52" s="357">
        <v>0.96785426139831543</v>
      </c>
      <c r="AH52" s="357">
        <v>0.96862494945526123</v>
      </c>
      <c r="AI52" s="357">
        <v>0.96908038854598999</v>
      </c>
    </row>
    <row r="53" spans="3:35" ht="15" customHeight="1">
      <c r="C53" s="345" t="s">
        <v>213</v>
      </c>
      <c r="D53" s="345" t="s">
        <v>213</v>
      </c>
      <c r="F53" s="357" t="s">
        <v>223</v>
      </c>
      <c r="G53" s="357" t="s">
        <v>223</v>
      </c>
      <c r="H53" s="357" t="s">
        <v>223</v>
      </c>
      <c r="I53" s="357" t="s">
        <v>223</v>
      </c>
      <c r="J53" s="357" t="s">
        <v>223</v>
      </c>
      <c r="K53" s="357"/>
      <c r="L53" s="357">
        <v>0.93221710920877887</v>
      </c>
      <c r="M53" s="357">
        <v>0.95008515672580851</v>
      </c>
      <c r="N53" s="357">
        <v>0.92738995904652888</v>
      </c>
      <c r="O53" s="357">
        <v>0.95883570579448085</v>
      </c>
      <c r="P53" s="357">
        <v>0.95138657772794077</v>
      </c>
      <c r="Q53" s="357">
        <v>0.96935938514777165</v>
      </c>
      <c r="R53" s="357">
        <v>0.96112690424258584</v>
      </c>
      <c r="S53" s="357">
        <v>0.96746907775687341</v>
      </c>
      <c r="T53" s="357">
        <v>0.9725000262260437</v>
      </c>
      <c r="U53" s="357">
        <v>0.97245205457467243</v>
      </c>
      <c r="V53" s="357">
        <v>0.95917897747610814</v>
      </c>
      <c r="W53" s="357">
        <v>0.97021793491692876</v>
      </c>
      <c r="X53" s="357">
        <v>0.96713374185669676</v>
      </c>
      <c r="Y53" s="357">
        <v>0.97147893865163915</v>
      </c>
      <c r="Z53" s="357">
        <v>0.97160592268811985</v>
      </c>
      <c r="AA53" s="357">
        <v>0.96941087237085188</v>
      </c>
      <c r="AB53" s="357">
        <v>0.97071441183818497</v>
      </c>
      <c r="AC53" s="357">
        <v>0.97099999999999997</v>
      </c>
      <c r="AD53" s="357">
        <v>0.97138750553131104</v>
      </c>
      <c r="AE53" s="357">
        <v>0.97081083059310902</v>
      </c>
      <c r="AF53" s="357">
        <v>0.97515356540679898</v>
      </c>
      <c r="AG53" s="357">
        <v>0.97746622562408447</v>
      </c>
      <c r="AH53" s="357">
        <v>0.98963189125061035</v>
      </c>
      <c r="AI53" s="357">
        <v>0.95728641748428345</v>
      </c>
    </row>
    <row r="54" spans="3:35" ht="15" customHeight="1">
      <c r="C54" s="345" t="s">
        <v>214</v>
      </c>
      <c r="D54" s="345" t="s">
        <v>214</v>
      </c>
      <c r="F54" s="357" t="s">
        <v>223</v>
      </c>
      <c r="G54" s="357" t="s">
        <v>223</v>
      </c>
      <c r="H54" s="357" t="s">
        <v>223</v>
      </c>
      <c r="I54" s="357" t="s">
        <v>223</v>
      </c>
      <c r="J54" s="357" t="s">
        <v>223</v>
      </c>
      <c r="K54" s="357" t="s">
        <v>223</v>
      </c>
      <c r="L54" s="357">
        <v>0.93699865149103589</v>
      </c>
      <c r="M54" s="357">
        <v>0.94714590987718872</v>
      </c>
      <c r="N54" s="357">
        <v>0.93899722627161419</v>
      </c>
      <c r="O54" s="357">
        <v>0.95977117081653174</v>
      </c>
      <c r="P54" s="357">
        <v>0.9511092551063135</v>
      </c>
      <c r="Q54" s="357">
        <v>0.96930386520815803</v>
      </c>
      <c r="R54" s="357">
        <v>0.96170475541184886</v>
      </c>
      <c r="S54" s="357">
        <v>0.9658466169044142</v>
      </c>
      <c r="T54" s="357">
        <v>0.97182872296398326</v>
      </c>
      <c r="U54" s="357">
        <v>0.97641948909212628</v>
      </c>
      <c r="V54" s="357">
        <v>0.95749649666873116</v>
      </c>
      <c r="W54" s="357">
        <v>0.97128669788737609</v>
      </c>
      <c r="X54" s="357">
        <v>0.96710463022698989</v>
      </c>
      <c r="Y54" s="357">
        <v>0.97132161227425629</v>
      </c>
      <c r="Z54" s="357">
        <v>0.97155305777279799</v>
      </c>
      <c r="AA54" s="357">
        <v>0.96935084878354361</v>
      </c>
      <c r="AB54" s="357">
        <v>0.97011827032188891</v>
      </c>
      <c r="AC54" s="357">
        <v>0.97099999999999997</v>
      </c>
      <c r="AD54" s="357">
        <v>0.97084867954254195</v>
      </c>
      <c r="AE54" s="357">
        <v>0.96859639883041404</v>
      </c>
      <c r="AF54" s="357">
        <v>0.97164720296859697</v>
      </c>
      <c r="AG54" s="357">
        <v>0.97340214252471924</v>
      </c>
      <c r="AH54" s="357">
        <v>0.96840536594390869</v>
      </c>
      <c r="AI54" s="357">
        <v>0.97543329000473022</v>
      </c>
    </row>
    <row r="55" spans="3:35" ht="15" customHeight="1">
      <c r="C55" s="345" t="s">
        <v>215</v>
      </c>
      <c r="D55" s="345" t="s">
        <v>215</v>
      </c>
      <c r="F55" s="357" t="s">
        <v>223</v>
      </c>
      <c r="G55" s="357" t="s">
        <v>223</v>
      </c>
      <c r="H55" s="357" t="s">
        <v>223</v>
      </c>
      <c r="I55" s="357" t="s">
        <v>223</v>
      </c>
      <c r="J55" s="357" t="s">
        <v>223</v>
      </c>
      <c r="K55" s="357" t="s">
        <v>223</v>
      </c>
      <c r="L55" s="357" t="s">
        <v>223</v>
      </c>
      <c r="M55" s="357" t="s">
        <v>223</v>
      </c>
      <c r="N55" s="357" t="s">
        <v>223</v>
      </c>
      <c r="O55" s="357" t="s">
        <v>223</v>
      </c>
      <c r="P55" s="357" t="s">
        <v>223</v>
      </c>
      <c r="Q55" s="357" t="s">
        <v>223</v>
      </c>
      <c r="R55" s="357">
        <v>0.91216339979985905</v>
      </c>
      <c r="S55" s="357">
        <v>0.97452758600113998</v>
      </c>
      <c r="T55" s="357">
        <v>0.98293987131847826</v>
      </c>
      <c r="U55" s="357">
        <v>0.98318349048883225</v>
      </c>
      <c r="V55" s="357">
        <v>0.94820735637028819</v>
      </c>
      <c r="W55" s="357">
        <v>0.98829927893344882</v>
      </c>
      <c r="X55" s="357">
        <v>0.97877875520254654</v>
      </c>
      <c r="Y55" s="357">
        <v>0.99148620040479751</v>
      </c>
      <c r="Z55" s="357">
        <v>0.98575181822622659</v>
      </c>
      <c r="AA55" s="357">
        <v>0.98349681748069262</v>
      </c>
      <c r="AB55" s="357">
        <v>0.98237664450625906</v>
      </c>
      <c r="AC55" s="357">
        <v>0.98399999999999999</v>
      </c>
      <c r="AD55" s="357">
        <v>0.98610538244247403</v>
      </c>
      <c r="AE55" s="357">
        <v>0.98674964904785201</v>
      </c>
      <c r="AF55" s="357">
        <v>0.98594307899475098</v>
      </c>
      <c r="AG55" s="357">
        <v>0.98940807580947876</v>
      </c>
      <c r="AH55" s="357">
        <v>0.99471014738082886</v>
      </c>
      <c r="AI55" s="357">
        <v>0.97837811708450317</v>
      </c>
    </row>
    <row r="56" spans="3:35" ht="15" customHeight="1">
      <c r="C56" s="345" t="s">
        <v>216</v>
      </c>
      <c r="D56" s="345" t="s">
        <v>216</v>
      </c>
      <c r="F56" s="357" t="s">
        <v>223</v>
      </c>
      <c r="G56" s="357" t="s">
        <v>223</v>
      </c>
      <c r="H56" s="357" t="s">
        <v>223</v>
      </c>
      <c r="I56" s="357" t="s">
        <v>223</v>
      </c>
      <c r="J56" s="357" t="s">
        <v>223</v>
      </c>
      <c r="K56" s="357" t="s">
        <v>223</v>
      </c>
      <c r="L56" s="357" t="s">
        <v>223</v>
      </c>
      <c r="M56" s="357" t="s">
        <v>223</v>
      </c>
      <c r="N56" s="357" t="s">
        <v>223</v>
      </c>
      <c r="O56" s="357" t="s">
        <v>223</v>
      </c>
      <c r="P56" s="357" t="s">
        <v>223</v>
      </c>
      <c r="Q56" s="357" t="s">
        <v>223</v>
      </c>
      <c r="R56" s="357">
        <v>0.92482285549640897</v>
      </c>
      <c r="S56" s="357">
        <v>0.97397740683310541</v>
      </c>
      <c r="T56" s="357">
        <v>0.97972293629372664</v>
      </c>
      <c r="U56" s="357">
        <v>0.99102960081930247</v>
      </c>
      <c r="V56" s="357">
        <v>0.92762144127080037</v>
      </c>
      <c r="W56" s="357">
        <v>0.98539738243673092</v>
      </c>
      <c r="X56" s="357">
        <v>0.97541919819927336</v>
      </c>
      <c r="Y56" s="357">
        <v>0.98659707491262105</v>
      </c>
      <c r="Z56" s="357">
        <v>0.99056809732166062</v>
      </c>
      <c r="AA56" s="357">
        <v>0.98209197742615484</v>
      </c>
      <c r="AB56" s="357">
        <v>0.98422166061744831</v>
      </c>
      <c r="AC56" s="357">
        <v>0.98299999999999998</v>
      </c>
      <c r="AD56" s="357">
        <v>0.98236578702926602</v>
      </c>
      <c r="AE56" s="357">
        <v>0.98348498344421398</v>
      </c>
      <c r="AF56" s="357">
        <v>0.97209733724594105</v>
      </c>
      <c r="AG56" s="357">
        <v>0.98390853404998779</v>
      </c>
      <c r="AH56" s="357">
        <v>0.99407327175140381</v>
      </c>
      <c r="AI56" s="357">
        <v>0.96818834543228149</v>
      </c>
    </row>
    <row r="57" spans="3:35" ht="15" customHeight="1">
      <c r="C57" s="345" t="s">
        <v>217</v>
      </c>
      <c r="D57" s="345" t="s">
        <v>217</v>
      </c>
      <c r="F57" s="357" t="s">
        <v>223</v>
      </c>
      <c r="G57" s="357" t="s">
        <v>223</v>
      </c>
      <c r="H57" s="357" t="s">
        <v>223</v>
      </c>
      <c r="I57" s="357" t="s">
        <v>223</v>
      </c>
      <c r="J57" s="357" t="s">
        <v>223</v>
      </c>
      <c r="K57" s="357" t="s">
        <v>223</v>
      </c>
      <c r="L57" s="357" t="s">
        <v>223</v>
      </c>
      <c r="M57" s="357" t="s">
        <v>223</v>
      </c>
      <c r="N57" s="357" t="s">
        <v>223</v>
      </c>
      <c r="O57" s="357" t="s">
        <v>223</v>
      </c>
      <c r="P57" s="357" t="s">
        <v>223</v>
      </c>
      <c r="Q57" s="357" t="s">
        <v>223</v>
      </c>
      <c r="R57" s="357">
        <v>0.92279154105358996</v>
      </c>
      <c r="S57" s="357">
        <v>0.98111897523902292</v>
      </c>
      <c r="T57" s="357">
        <v>0.9825868283110295</v>
      </c>
      <c r="U57" s="357">
        <v>0.98581978294786754</v>
      </c>
      <c r="V57" s="357">
        <v>0.96922557662139641</v>
      </c>
      <c r="W57" s="357">
        <v>0.98574310411753596</v>
      </c>
      <c r="X57" s="357">
        <v>0.9703140880713147</v>
      </c>
      <c r="Y57" s="357">
        <v>0.94276790967981183</v>
      </c>
      <c r="Z57" s="357">
        <v>0.97895750128363113</v>
      </c>
      <c r="AA57" s="357">
        <v>0.96519030067569678</v>
      </c>
      <c r="AB57" s="357">
        <v>0.96555513764459855</v>
      </c>
      <c r="AC57" s="357">
        <v>0.98299999999999998</v>
      </c>
      <c r="AD57" s="357">
        <v>0.98586833477020297</v>
      </c>
      <c r="AE57" s="357">
        <v>0.986472487449646</v>
      </c>
      <c r="AF57" s="357">
        <v>0.98413217067718495</v>
      </c>
      <c r="AG57" s="357">
        <v>0.98802798986434937</v>
      </c>
      <c r="AH57" s="357">
        <v>0.99391478300094604</v>
      </c>
      <c r="AI57" s="357">
        <v>0.97635692358016968</v>
      </c>
    </row>
    <row r="58" spans="3:35" ht="15" customHeight="1">
      <c r="C58" s="351" t="s">
        <v>220</v>
      </c>
      <c r="D58" s="351" t="s">
        <v>220</v>
      </c>
      <c r="F58" s="358">
        <v>0.97550773045111328</v>
      </c>
      <c r="G58" s="358">
        <v>0.97405229150790618</v>
      </c>
      <c r="H58" s="358">
        <v>0.97997612194881001</v>
      </c>
      <c r="I58" s="358">
        <v>0.98075175302209572</v>
      </c>
      <c r="J58" s="358">
        <v>0.96961589390540137</v>
      </c>
      <c r="K58" s="358">
        <v>0.97431594594005455</v>
      </c>
      <c r="L58" s="358">
        <v>0.9696561886258358</v>
      </c>
      <c r="M58" s="358">
        <v>0.97171611208963005</v>
      </c>
      <c r="N58" s="358">
        <v>0.95685722604914303</v>
      </c>
      <c r="O58" s="358">
        <v>0.97201183311077355</v>
      </c>
      <c r="P58" s="358">
        <v>0.96379438048465538</v>
      </c>
      <c r="Q58" s="358">
        <v>0.96326806687238509</v>
      </c>
      <c r="R58" s="358">
        <v>0.95820907555034607</v>
      </c>
      <c r="S58" s="358">
        <v>0.95343989796805384</v>
      </c>
      <c r="T58" s="358">
        <v>0.96756304020045236</v>
      </c>
      <c r="U58" s="358">
        <v>0.9713040153262108</v>
      </c>
      <c r="V58" s="358">
        <v>0.95085861744637301</v>
      </c>
      <c r="W58" s="358">
        <v>0.95758232392234843</v>
      </c>
      <c r="X58" s="358">
        <v>0.95523794343693003</v>
      </c>
      <c r="Y58" s="358">
        <v>0.96646864088632534</v>
      </c>
      <c r="Z58" s="358">
        <v>0.96123098217912206</v>
      </c>
      <c r="AA58" s="358">
        <v>0.96178425068514151</v>
      </c>
      <c r="AB58" s="358">
        <v>0.96209907939638339</v>
      </c>
      <c r="AC58" s="358">
        <v>0.95899999999999996</v>
      </c>
      <c r="AD58" s="358">
        <v>0.94906806945800803</v>
      </c>
      <c r="AE58" s="358">
        <v>0.94599014520645097</v>
      </c>
      <c r="AF58" s="358">
        <v>0.94599014520645097</v>
      </c>
      <c r="AG58" s="358">
        <v>0.95030820369720459</v>
      </c>
      <c r="AH58" s="358">
        <v>0.96675753593444824</v>
      </c>
      <c r="AI58" s="358">
        <f>AVERAGE(AI46:AI57)</f>
        <v>0.96697543064753211</v>
      </c>
    </row>
    <row r="59" spans="3:35" ht="15" customHeight="1">
      <c r="C59" s="345" t="s">
        <v>218</v>
      </c>
      <c r="D59" s="345" t="s">
        <v>218</v>
      </c>
      <c r="F59" s="583"/>
      <c r="G59" s="583"/>
      <c r="H59" s="583"/>
      <c r="I59" s="583"/>
      <c r="J59" s="583"/>
      <c r="K59" s="583"/>
      <c r="L59" s="583"/>
      <c r="M59" s="583"/>
      <c r="N59" s="583"/>
      <c r="O59" s="583"/>
      <c r="P59" s="583"/>
      <c r="Q59" s="583"/>
      <c r="R59" s="583"/>
      <c r="S59" s="583"/>
      <c r="T59" s="583"/>
      <c r="U59" s="583"/>
      <c r="V59" s="583"/>
      <c r="W59" s="583"/>
      <c r="X59" s="583"/>
      <c r="Y59" s="583"/>
      <c r="Z59" s="583"/>
      <c r="AA59" s="585">
        <v>0.99256289005279597</v>
      </c>
      <c r="AB59" s="585">
        <v>0.99204182624816895</v>
      </c>
      <c r="AC59" s="585">
        <v>0.99305784702301003</v>
      </c>
      <c r="AD59" s="585">
        <v>0.99408328533172596</v>
      </c>
      <c r="AE59" s="585">
        <v>0.99401515722274802</v>
      </c>
      <c r="AF59" s="585">
        <v>0.97399999999999998</v>
      </c>
      <c r="AG59" s="585">
        <v>0.98992681503295898</v>
      </c>
      <c r="AH59" s="585">
        <v>0.99851596355438232</v>
      </c>
      <c r="AI59" s="585">
        <v>0.99829638004302979</v>
      </c>
    </row>
    <row r="60" spans="3:35" ht="15" customHeight="1">
      <c r="C60" s="345" t="s">
        <v>219</v>
      </c>
      <c r="D60" s="345" t="s">
        <v>219</v>
      </c>
      <c r="F60" s="583"/>
      <c r="G60" s="583"/>
      <c r="H60" s="583"/>
      <c r="I60" s="583"/>
      <c r="J60" s="583"/>
      <c r="K60" s="583"/>
      <c r="L60" s="583"/>
      <c r="M60" s="583"/>
      <c r="N60" s="583"/>
      <c r="O60" s="583"/>
      <c r="P60" s="583"/>
      <c r="Q60" s="583"/>
      <c r="R60" s="583"/>
      <c r="S60" s="583"/>
      <c r="T60" s="583"/>
      <c r="U60" s="583"/>
      <c r="V60" s="583"/>
      <c r="W60" s="583"/>
      <c r="X60" s="583"/>
      <c r="Y60" s="583"/>
      <c r="Z60" s="583"/>
      <c r="AA60" s="585"/>
      <c r="AB60" s="585">
        <v>0.99137401580810602</v>
      </c>
      <c r="AC60" s="585">
        <v>0.99595993757247903</v>
      </c>
      <c r="AD60" s="585">
        <v>0.997342169284821</v>
      </c>
      <c r="AE60" s="585">
        <v>0.99726039171218905</v>
      </c>
      <c r="AF60" s="585">
        <v>0.99399999999999999</v>
      </c>
      <c r="AG60" s="585">
        <v>0.99749380350112915</v>
      </c>
      <c r="AH60" s="585">
        <v>0.99852257966995239</v>
      </c>
      <c r="AI60" s="585">
        <v>0.99929249286651611</v>
      </c>
    </row>
    <row r="61" spans="3:35" ht="15" customHeight="1">
      <c r="C61" s="351" t="s">
        <v>220</v>
      </c>
      <c r="D61" s="351" t="s">
        <v>220</v>
      </c>
      <c r="F61" s="358"/>
      <c r="G61" s="358"/>
      <c r="H61" s="358"/>
      <c r="I61" s="358"/>
      <c r="J61" s="358"/>
      <c r="K61" s="358"/>
      <c r="L61" s="358"/>
      <c r="M61" s="358"/>
      <c r="N61" s="358"/>
      <c r="O61" s="358"/>
      <c r="P61" s="358"/>
      <c r="Q61" s="358"/>
      <c r="R61" s="358"/>
      <c r="S61" s="358"/>
      <c r="T61" s="358"/>
      <c r="U61" s="358"/>
      <c r="V61" s="358"/>
      <c r="W61" s="358"/>
      <c r="X61" s="358"/>
      <c r="Y61" s="358"/>
      <c r="Z61" s="358"/>
      <c r="AA61" s="358">
        <v>0.99256289005279597</v>
      </c>
      <c r="AB61" s="358">
        <v>0.99182325601577803</v>
      </c>
      <c r="AC61" s="358">
        <v>0.99438536167144798</v>
      </c>
      <c r="AD61" s="358">
        <v>0.99581849575042702</v>
      </c>
      <c r="AE61" s="358">
        <v>0.99589294195175204</v>
      </c>
      <c r="AF61" s="358">
        <v>0.99589294195175204</v>
      </c>
      <c r="AG61" s="358">
        <v>0.99466234445571899</v>
      </c>
      <c r="AH61" s="358">
        <v>0.99852025508880615</v>
      </c>
      <c r="AI61" s="358">
        <f>AVERAGE(AI59:AI60)</f>
        <v>0.99879443645477295</v>
      </c>
    </row>
    <row r="62" spans="3:35" ht="15" customHeight="1">
      <c r="C62" s="353"/>
      <c r="D62" s="353"/>
    </row>
    <row r="63" spans="3:35" ht="15" customHeight="1">
      <c r="C63" s="353"/>
      <c r="D63" s="353"/>
    </row>
    <row r="64" spans="3:35" ht="15" customHeight="1">
      <c r="C64" s="411" t="s">
        <v>228</v>
      </c>
      <c r="D64" s="411" t="s">
        <v>229</v>
      </c>
      <c r="F64" s="494">
        <v>44562</v>
      </c>
      <c r="G64" s="494">
        <v>44593</v>
      </c>
      <c r="H64" s="494">
        <v>44621</v>
      </c>
      <c r="I64" s="494">
        <v>44652</v>
      </c>
      <c r="J64" s="494">
        <v>44682</v>
      </c>
      <c r="K64" s="494">
        <v>44713</v>
      </c>
      <c r="L64" s="494">
        <v>44743</v>
      </c>
      <c r="M64" s="494">
        <v>44774</v>
      </c>
      <c r="N64" s="494">
        <v>44805</v>
      </c>
      <c r="O64" s="494">
        <v>44835</v>
      </c>
      <c r="P64" s="494">
        <v>44866</v>
      </c>
      <c r="Q64" s="494">
        <v>44896</v>
      </c>
      <c r="R64" s="494">
        <v>44927</v>
      </c>
      <c r="S64" s="494">
        <v>44958</v>
      </c>
      <c r="T64" s="494">
        <v>44986</v>
      </c>
      <c r="U64" s="494">
        <v>45017</v>
      </c>
      <c r="V64" s="494">
        <v>45047</v>
      </c>
      <c r="W64" s="494">
        <v>45078</v>
      </c>
      <c r="X64" s="494">
        <v>45108</v>
      </c>
      <c r="Y64" s="494">
        <v>45139</v>
      </c>
      <c r="Z64" s="494">
        <v>45170</v>
      </c>
      <c r="AA64" s="494">
        <v>45200</v>
      </c>
      <c r="AB64" s="494">
        <v>45231</v>
      </c>
      <c r="AC64" s="494">
        <v>45261</v>
      </c>
      <c r="AD64" s="494" t="s">
        <v>230</v>
      </c>
      <c r="AG64" s="347"/>
      <c r="AH64" s="347"/>
      <c r="AI64" s="347"/>
    </row>
    <row r="65" spans="3:36" ht="15" customHeight="1">
      <c r="C65" s="345" t="s">
        <v>231</v>
      </c>
      <c r="D65" s="345" t="s">
        <v>232</v>
      </c>
      <c r="F65" s="138">
        <v>414.7539220927419</v>
      </c>
      <c r="G65" s="138">
        <v>495.34211916964279</v>
      </c>
      <c r="H65" s="138">
        <v>393.03134037231177</v>
      </c>
      <c r="I65" s="138">
        <v>376.40433306388894</v>
      </c>
      <c r="J65" s="138">
        <v>411.24216129569891</v>
      </c>
      <c r="K65" s="138">
        <v>369.36195413749988</v>
      </c>
      <c r="L65" s="138">
        <v>588.500619701613</v>
      </c>
      <c r="M65" s="138">
        <v>646.32427091129034</v>
      </c>
      <c r="N65" s="138">
        <v>717.96463445972233</v>
      </c>
      <c r="O65" s="138">
        <v>734.2143398548385</v>
      </c>
      <c r="P65" s="138">
        <v>525.43207133888893</v>
      </c>
      <c r="Q65" s="138">
        <v>585.08226263037636</v>
      </c>
      <c r="R65" s="138">
        <v>539.59135449218752</v>
      </c>
      <c r="S65" s="138">
        <v>552.36503580729152</v>
      </c>
      <c r="T65" s="138">
        <v>412.98926236979156</v>
      </c>
      <c r="U65" s="138">
        <v>317.50675520833323</v>
      </c>
      <c r="V65" s="138">
        <v>420.29784309895814</v>
      </c>
      <c r="W65" s="138">
        <v>494.36635253906258</v>
      </c>
      <c r="X65" s="138">
        <v>595.29569270833326</v>
      </c>
      <c r="Y65" s="138">
        <v>540.80752148437523</v>
      </c>
      <c r="Z65" s="138">
        <v>477.23738671875009</v>
      </c>
      <c r="AA65" s="138">
        <v>591.81878515624999</v>
      </c>
      <c r="AB65" s="138">
        <v>548.21140885416651</v>
      </c>
      <c r="AC65" s="138">
        <v>524.11032617187504</v>
      </c>
      <c r="AD65" s="138">
        <f>AVERAGE(R65:AC65)</f>
        <v>501.21647705078129</v>
      </c>
    </row>
    <row r="66" spans="3:36" ht="15" customHeight="1">
      <c r="C66" s="345" t="s">
        <v>233</v>
      </c>
      <c r="D66" s="345" t="s">
        <v>233</v>
      </c>
      <c r="F66" s="138">
        <v>529.04114555090473</v>
      </c>
      <c r="G66" s="138">
        <v>472.8400620181452</v>
      </c>
      <c r="H66" s="138">
        <v>417.08037486428225</v>
      </c>
      <c r="I66" s="138">
        <v>401.03392701342932</v>
      </c>
      <c r="J66" s="138">
        <v>454.47165206558435</v>
      </c>
      <c r="K66" s="138">
        <v>524.65775939984098</v>
      </c>
      <c r="L66" s="138">
        <v>583.74242593653264</v>
      </c>
      <c r="M66" s="138">
        <v>655.91080936519722</v>
      </c>
      <c r="N66" s="138">
        <v>704.55954062381488</v>
      </c>
      <c r="O66" s="138">
        <v>699.21241560125043</v>
      </c>
      <c r="P66" s="138">
        <v>680.47023759154365</v>
      </c>
      <c r="Q66" s="138">
        <v>609.72282644812105</v>
      </c>
      <c r="R66" s="138">
        <v>494.67610800120929</v>
      </c>
      <c r="S66" s="138">
        <v>451.18907406068598</v>
      </c>
      <c r="T66" s="138">
        <v>386.48104396763625</v>
      </c>
      <c r="U66" s="138">
        <v>373.06840639718433</v>
      </c>
      <c r="V66" s="138">
        <v>431.35845050313873</v>
      </c>
      <c r="W66" s="138">
        <v>500.37980020736586</v>
      </c>
      <c r="X66" s="138">
        <v>578.85323299826075</v>
      </c>
      <c r="Y66" s="138">
        <v>649.90114419231816</v>
      </c>
      <c r="Z66" s="138">
        <v>692.37480094530417</v>
      </c>
      <c r="AA66" s="138">
        <v>682.2804312236791</v>
      </c>
      <c r="AB66" s="138">
        <v>645.03018740895243</v>
      </c>
      <c r="AC66" s="138">
        <v>591.57624730402779</v>
      </c>
      <c r="AD66" s="138">
        <f>AVERAGE(R66:AC66)</f>
        <v>539.76407726748027</v>
      </c>
    </row>
    <row r="67" spans="3:36" ht="15" customHeight="1">
      <c r="C67" s="345" t="s">
        <v>234</v>
      </c>
      <c r="D67" s="345" t="s">
        <v>234</v>
      </c>
      <c r="F67" s="138">
        <v>598.61234073421372</v>
      </c>
      <c r="G67" s="138">
        <v>534.9461742354199</v>
      </c>
      <c r="H67" s="138">
        <v>471.54135952509984</v>
      </c>
      <c r="I67" s="138">
        <v>453.52376698428583</v>
      </c>
      <c r="J67" s="138">
        <v>514.48737355578726</v>
      </c>
      <c r="K67" s="138">
        <v>593.97587938167521</v>
      </c>
      <c r="L67" s="138">
        <v>661.36566409584123</v>
      </c>
      <c r="M67" s="138">
        <v>743.44596902938997</v>
      </c>
      <c r="N67" s="138">
        <v>798.19206893365674</v>
      </c>
      <c r="O67" s="138">
        <v>792.008254184968</v>
      </c>
      <c r="P67" s="138">
        <v>770.46573202932632</v>
      </c>
      <c r="Q67" s="138">
        <v>690.38524667567242</v>
      </c>
      <c r="R67" s="138">
        <v>563.04569884358727</v>
      </c>
      <c r="S67" s="138">
        <v>513.40349412027979</v>
      </c>
      <c r="T67" s="138">
        <v>439.59080065755217</v>
      </c>
      <c r="U67" s="138">
        <v>424.29071098673506</v>
      </c>
      <c r="V67" s="138">
        <v>490.90837516967775</v>
      </c>
      <c r="W67" s="138">
        <v>569.50472101399725</v>
      </c>
      <c r="X67" s="138">
        <v>659.06783940673813</v>
      </c>
      <c r="Y67" s="138">
        <v>740.24586444824229</v>
      </c>
      <c r="Z67" s="138">
        <v>788.58945178222632</v>
      </c>
      <c r="AA67" s="138">
        <v>776.93684624023444</v>
      </c>
      <c r="AB67" s="138">
        <v>734.41345168050145</v>
      </c>
      <c r="AC67" s="138">
        <v>673.54085755126948</v>
      </c>
      <c r="AD67" s="138">
        <f>AVERAGE(R67:AC67)</f>
        <v>614.46150932508681</v>
      </c>
    </row>
    <row r="68" spans="3:36" ht="15" customHeight="1">
      <c r="C68" s="345" t="s">
        <v>235</v>
      </c>
      <c r="D68" s="345" t="s">
        <v>235</v>
      </c>
      <c r="F68" s="138">
        <f t="shared" ref="F68:AC68" si="3">+F67+(F67-F66)</f>
        <v>668.1835359175227</v>
      </c>
      <c r="G68" s="138">
        <f t="shared" si="3"/>
        <v>597.0522864526946</v>
      </c>
      <c r="H68" s="138">
        <f t="shared" si="3"/>
        <v>526.00234418591742</v>
      </c>
      <c r="I68" s="138">
        <f t="shared" si="3"/>
        <v>506.01360695514234</v>
      </c>
      <c r="J68" s="138">
        <f t="shared" si="3"/>
        <v>574.50309504599022</v>
      </c>
      <c r="K68" s="138">
        <f t="shared" si="3"/>
        <v>663.29399936350944</v>
      </c>
      <c r="L68" s="138">
        <f t="shared" si="3"/>
        <v>738.98890225514981</v>
      </c>
      <c r="M68" s="138">
        <f t="shared" si="3"/>
        <v>830.98112869358272</v>
      </c>
      <c r="N68" s="138">
        <f t="shared" si="3"/>
        <v>891.8245972434986</v>
      </c>
      <c r="O68" s="138">
        <f t="shared" si="3"/>
        <v>884.80409276868556</v>
      </c>
      <c r="P68" s="138">
        <f t="shared" si="3"/>
        <v>860.46122646710899</v>
      </c>
      <c r="Q68" s="138">
        <f t="shared" si="3"/>
        <v>771.04766690322379</v>
      </c>
      <c r="R68" s="138">
        <f t="shared" si="3"/>
        <v>631.41528968596526</v>
      </c>
      <c r="S68" s="138">
        <f t="shared" si="3"/>
        <v>575.61791417987365</v>
      </c>
      <c r="T68" s="138">
        <f t="shared" si="3"/>
        <v>492.70055734746808</v>
      </c>
      <c r="U68" s="138">
        <f t="shared" si="3"/>
        <v>475.5130155762858</v>
      </c>
      <c r="V68" s="138">
        <f t="shared" si="3"/>
        <v>550.45829983621684</v>
      </c>
      <c r="W68" s="138">
        <f t="shared" si="3"/>
        <v>638.62964182062865</v>
      </c>
      <c r="X68" s="138">
        <f t="shared" si="3"/>
        <v>739.28244581521551</v>
      </c>
      <c r="Y68" s="138">
        <f t="shared" si="3"/>
        <v>830.59058470416642</v>
      </c>
      <c r="Z68" s="138">
        <f>+Z67+(Z67-Z66)</f>
        <v>884.80410261914847</v>
      </c>
      <c r="AA68" s="138">
        <f t="shared" si="3"/>
        <v>871.59326125678979</v>
      </c>
      <c r="AB68" s="138">
        <f t="shared" si="3"/>
        <v>823.79671595205048</v>
      </c>
      <c r="AC68" s="138">
        <f t="shared" si="3"/>
        <v>755.50546779851118</v>
      </c>
      <c r="AD68" s="138">
        <f>AVERAGE(R68:AC68)</f>
        <v>689.15894138269334</v>
      </c>
    </row>
    <row r="69" spans="3:36" ht="15" customHeight="1">
      <c r="C69" s="345"/>
      <c r="D69" s="345"/>
      <c r="F69" s="138"/>
      <c r="G69" s="138"/>
      <c r="H69" s="138"/>
      <c r="I69" s="138"/>
      <c r="J69" s="138"/>
      <c r="K69" s="138"/>
      <c r="L69" s="138"/>
      <c r="M69" s="138"/>
      <c r="N69" s="138"/>
      <c r="O69" s="138"/>
      <c r="P69" s="138"/>
      <c r="Q69" s="138"/>
      <c r="R69" s="138"/>
      <c r="S69" s="138"/>
      <c r="T69" s="138"/>
    </row>
    <row r="70" spans="3:36" ht="15" customHeight="1">
      <c r="C70" s="411" t="s">
        <v>228</v>
      </c>
      <c r="D70" s="411" t="s">
        <v>229</v>
      </c>
      <c r="F70" s="494">
        <v>45292</v>
      </c>
      <c r="G70" s="494">
        <v>45323</v>
      </c>
      <c r="H70" s="494">
        <v>45352</v>
      </c>
      <c r="I70" s="494">
        <v>45383</v>
      </c>
      <c r="J70" s="494">
        <v>45413</v>
      </c>
      <c r="K70" s="494">
        <v>45444</v>
      </c>
      <c r="L70" s="494">
        <v>45474</v>
      </c>
      <c r="M70" s="494">
        <v>45505</v>
      </c>
      <c r="N70" s="494">
        <v>45536</v>
      </c>
      <c r="O70" s="494">
        <v>45566</v>
      </c>
      <c r="P70" s="494">
        <v>45597</v>
      </c>
      <c r="Q70" s="494">
        <v>45627</v>
      </c>
      <c r="R70" s="494">
        <v>45658</v>
      </c>
      <c r="S70" s="494">
        <v>45689</v>
      </c>
      <c r="T70" s="494">
        <v>45717</v>
      </c>
      <c r="U70" s="494">
        <v>45748</v>
      </c>
      <c r="V70" s="494">
        <v>45778</v>
      </c>
      <c r="W70" s="494">
        <v>45809</v>
      </c>
      <c r="X70" s="494">
        <v>45839</v>
      </c>
      <c r="Y70" s="494">
        <v>45870</v>
      </c>
      <c r="Z70" s="494">
        <v>45901</v>
      </c>
      <c r="AA70" s="494">
        <v>45931</v>
      </c>
      <c r="AB70" s="494">
        <v>45962</v>
      </c>
      <c r="AC70" s="494">
        <v>45992</v>
      </c>
      <c r="AD70" s="494">
        <v>46023</v>
      </c>
      <c r="AE70" s="494">
        <v>46054</v>
      </c>
      <c r="AF70" s="494">
        <v>46082</v>
      </c>
      <c r="AG70" s="494">
        <v>46113</v>
      </c>
      <c r="AH70" s="494">
        <v>46143</v>
      </c>
      <c r="AI70" s="494">
        <v>46174</v>
      </c>
      <c r="AJ70" s="494" t="s">
        <v>230</v>
      </c>
    </row>
    <row r="71" spans="3:36" ht="15" customHeight="1">
      <c r="C71" s="345" t="s">
        <v>231</v>
      </c>
      <c r="D71" s="345" t="s">
        <v>232</v>
      </c>
      <c r="F71" s="498">
        <v>433.59417350260406</v>
      </c>
      <c r="G71" s="498">
        <v>383.04737532552093</v>
      </c>
      <c r="H71" s="498">
        <v>308.22919368489579</v>
      </c>
      <c r="I71" s="498">
        <v>268.54544726562494</v>
      </c>
      <c r="J71" s="498">
        <v>391.87575520833343</v>
      </c>
      <c r="K71" s="498">
        <v>404.5381923828125</v>
      </c>
      <c r="L71" s="498">
        <v>460.63155826822913</v>
      </c>
      <c r="M71" s="498">
        <v>474.14677864583336</v>
      </c>
      <c r="N71" s="498">
        <v>537.46061653645836</v>
      </c>
      <c r="O71" s="498">
        <v>602.94605273437492</v>
      </c>
      <c r="P71" s="498">
        <v>585.48633821614578</v>
      </c>
      <c r="Q71" s="498">
        <v>584.22189160156245</v>
      </c>
      <c r="R71" s="498">
        <v>388.687123046875</v>
      </c>
      <c r="S71" s="498">
        <v>454.31386686197925</v>
      </c>
      <c r="T71" s="498">
        <v>439.88682942708334</v>
      </c>
      <c r="U71" s="498">
        <v>391.98015332031258</v>
      </c>
      <c r="V71" s="498">
        <v>456.08412044270818</v>
      </c>
      <c r="W71" s="498">
        <v>472.8073016622136</v>
      </c>
      <c r="X71" s="498">
        <v>463.19803895618082</v>
      </c>
      <c r="Y71" s="498">
        <v>515.27523240612413</v>
      </c>
      <c r="Z71" s="498">
        <v>544.30192179353105</v>
      </c>
      <c r="AA71" s="712">
        <v>522.80933064516125</v>
      </c>
      <c r="AB71" s="712">
        <v>532.98857777777778</v>
      </c>
      <c r="AC71" s="712">
        <v>540.66359811827954</v>
      </c>
      <c r="AD71" s="712">
        <v>535.9391267150537</v>
      </c>
      <c r="AE71" s="783">
        <v>338.43459680357142</v>
      </c>
      <c r="AF71" s="783">
        <v>329.25984719086023</v>
      </c>
      <c r="AG71" s="712">
        <v>277.46060433780559</v>
      </c>
      <c r="AH71" s="712">
        <v>360.92691377956993</v>
      </c>
      <c r="AI71" s="712">
        <v>445.07779387777782</v>
      </c>
      <c r="AJ71" s="138">
        <f>AVERAGE(X71:AI71)</f>
        <v>450.52796520014107</v>
      </c>
    </row>
    <row r="72" spans="3:36" ht="15" customHeight="1">
      <c r="C72" s="345" t="s">
        <v>233</v>
      </c>
      <c r="D72" s="345" t="s">
        <v>233</v>
      </c>
      <c r="F72" s="498">
        <v>494.67610800120929</v>
      </c>
      <c r="G72" s="498">
        <v>435.63082941623611</v>
      </c>
      <c r="H72" s="498">
        <v>386.48104396763625</v>
      </c>
      <c r="I72" s="498">
        <v>373.06840639718433</v>
      </c>
      <c r="J72" s="498">
        <v>431.35845050313873</v>
      </c>
      <c r="K72" s="498">
        <v>500.37980020736586</v>
      </c>
      <c r="L72" s="498">
        <v>578.85323299826075</v>
      </c>
      <c r="M72" s="498">
        <v>649.90114419231816</v>
      </c>
      <c r="N72" s="498">
        <v>692.37480094530417</v>
      </c>
      <c r="O72" s="498">
        <v>682.2804312236791</v>
      </c>
      <c r="P72" s="498">
        <v>645.03018740895243</v>
      </c>
      <c r="Q72" s="498">
        <v>591.57624730402779</v>
      </c>
      <c r="R72" s="498">
        <v>494.67610800120929</v>
      </c>
      <c r="S72" s="498">
        <v>451.18907332395878</v>
      </c>
      <c r="T72" s="498">
        <v>386.48104396763625</v>
      </c>
      <c r="U72" s="498">
        <v>373.06840639718433</v>
      </c>
      <c r="V72" s="498">
        <v>431.35845050313873</v>
      </c>
      <c r="W72" s="498">
        <v>500.37980020736586</v>
      </c>
      <c r="X72" s="498">
        <v>578.85323299826075</v>
      </c>
      <c r="Y72" s="498">
        <v>649.90114419231816</v>
      </c>
      <c r="Z72" s="498">
        <v>692.37480094530417</v>
      </c>
      <c r="AA72" s="712">
        <v>682.2804312236791</v>
      </c>
      <c r="AB72" s="712">
        <v>645.03018740895243</v>
      </c>
      <c r="AC72" s="712">
        <v>591.57624730402779</v>
      </c>
      <c r="AD72" s="712">
        <v>494.67610800120929</v>
      </c>
      <c r="AE72" s="712">
        <v>451.18907332395878</v>
      </c>
      <c r="AF72" s="712">
        <v>386.48104396763625</v>
      </c>
      <c r="AG72" s="712">
        <v>373.06840639718433</v>
      </c>
      <c r="AH72" s="712">
        <v>431.35845050313873</v>
      </c>
      <c r="AI72" s="712">
        <v>500.37980020736586</v>
      </c>
      <c r="AJ72" s="138">
        <f>AVERAGE(X72:AI72)</f>
        <v>539.76407720608631</v>
      </c>
    </row>
    <row r="73" spans="3:36" ht="15" customHeight="1">
      <c r="C73" s="345" t="s">
        <v>234</v>
      </c>
      <c r="D73" s="345" t="s">
        <v>234</v>
      </c>
      <c r="F73" s="498">
        <v>563.04569884358727</v>
      </c>
      <c r="G73" s="498">
        <v>495.69992458943688</v>
      </c>
      <c r="H73" s="498">
        <v>439.59080065755217</v>
      </c>
      <c r="I73" s="498">
        <v>424.29071098673506</v>
      </c>
      <c r="J73" s="498">
        <v>490.90837516967775</v>
      </c>
      <c r="K73" s="498">
        <v>569.50472101399725</v>
      </c>
      <c r="L73" s="498">
        <v>659.06783940673813</v>
      </c>
      <c r="M73" s="498">
        <v>740.24586444824229</v>
      </c>
      <c r="N73" s="498">
        <v>788.58945178222632</v>
      </c>
      <c r="O73" s="498">
        <v>776.93684624023444</v>
      </c>
      <c r="P73" s="498">
        <v>734.41345168050145</v>
      </c>
      <c r="Q73" s="498">
        <v>673.54085755126948</v>
      </c>
      <c r="R73" s="498">
        <v>563.04569884358727</v>
      </c>
      <c r="S73" s="498">
        <v>513.40349332477388</v>
      </c>
      <c r="T73" s="498">
        <v>439.59080065755217</v>
      </c>
      <c r="U73" s="498">
        <v>424.29071098673506</v>
      </c>
      <c r="V73" s="498">
        <v>490.90837516967775</v>
      </c>
      <c r="W73" s="498">
        <v>569.50472101399725</v>
      </c>
      <c r="X73" s="498">
        <v>659.06783940673813</v>
      </c>
      <c r="Y73" s="498">
        <v>740.24586444824229</v>
      </c>
      <c r="Z73" s="498">
        <v>788.58945178222632</v>
      </c>
      <c r="AA73" s="712">
        <v>776.93684624023444</v>
      </c>
      <c r="AB73" s="712">
        <v>734.41345168050145</v>
      </c>
      <c r="AC73" s="712">
        <v>673.54085755126948</v>
      </c>
      <c r="AD73" s="712">
        <v>563.04569884358727</v>
      </c>
      <c r="AE73" s="712">
        <v>513.40349332477388</v>
      </c>
      <c r="AF73" s="712">
        <v>439.59080065755217</v>
      </c>
      <c r="AG73" s="712">
        <v>424.29071098673506</v>
      </c>
      <c r="AH73" s="712">
        <v>490.90837516967775</v>
      </c>
      <c r="AI73" s="712">
        <v>569.50472101399725</v>
      </c>
      <c r="AJ73" s="138">
        <f>AVERAGE(X73:AI73)</f>
        <v>614.46150925879454</v>
      </c>
    </row>
    <row r="74" spans="3:36" ht="15" customHeight="1">
      <c r="C74" s="345" t="s">
        <v>235</v>
      </c>
      <c r="D74" s="345" t="s">
        <v>235</v>
      </c>
      <c r="F74" s="498">
        <f t="shared" ref="F74:V74" si="4">+F73+(F73-F72)</f>
        <v>631.41528968596526</v>
      </c>
      <c r="G74" s="498">
        <f t="shared" si="4"/>
        <v>555.76901976263764</v>
      </c>
      <c r="H74" s="498">
        <f t="shared" si="4"/>
        <v>492.70055734746808</v>
      </c>
      <c r="I74" s="498">
        <f t="shared" si="4"/>
        <v>475.5130155762858</v>
      </c>
      <c r="J74" s="498">
        <f t="shared" si="4"/>
        <v>550.45829983621684</v>
      </c>
      <c r="K74" s="498">
        <f t="shared" si="4"/>
        <v>638.62964182062865</v>
      </c>
      <c r="L74" s="498">
        <f t="shared" si="4"/>
        <v>739.28244581521551</v>
      </c>
      <c r="M74" s="498">
        <f t="shared" si="4"/>
        <v>830.59058470416642</v>
      </c>
      <c r="N74" s="498">
        <f t="shared" si="4"/>
        <v>884.80410261914847</v>
      </c>
      <c r="O74" s="498">
        <f t="shared" si="4"/>
        <v>871.59326125678979</v>
      </c>
      <c r="P74" s="498">
        <f t="shared" si="4"/>
        <v>823.79671595205048</v>
      </c>
      <c r="Q74" s="498">
        <f t="shared" si="4"/>
        <v>755.50546779851118</v>
      </c>
      <c r="R74" s="498">
        <f t="shared" si="4"/>
        <v>631.41528968596526</v>
      </c>
      <c r="S74" s="498">
        <f t="shared" si="4"/>
        <v>575.61791332558892</v>
      </c>
      <c r="T74" s="498">
        <f t="shared" si="4"/>
        <v>492.70055734746808</v>
      </c>
      <c r="U74" s="498">
        <f t="shared" si="4"/>
        <v>475.5130155762858</v>
      </c>
      <c r="V74" s="498">
        <f t="shared" si="4"/>
        <v>550.45829983621684</v>
      </c>
      <c r="W74" s="498">
        <f>+W73+(W73-W72)</f>
        <v>638.62964182062865</v>
      </c>
      <c r="X74" s="498">
        <f>+X73+(X73-X72)</f>
        <v>739.28244581521551</v>
      </c>
      <c r="Y74" s="498">
        <f t="shared" ref="Y74:AF74" si="5">+Y73+(Y73-Y72)</f>
        <v>830.59058470416642</v>
      </c>
      <c r="Z74" s="498">
        <f t="shared" si="5"/>
        <v>884.80410261914847</v>
      </c>
      <c r="AA74" s="498">
        <f t="shared" si="5"/>
        <v>871.59326125678979</v>
      </c>
      <c r="AB74" s="498">
        <f t="shared" si="5"/>
        <v>823.79671595205048</v>
      </c>
      <c r="AC74" s="498">
        <f t="shared" si="5"/>
        <v>755.50546779851118</v>
      </c>
      <c r="AD74" s="498">
        <f t="shared" si="5"/>
        <v>631.41528968596526</v>
      </c>
      <c r="AE74" s="498">
        <f t="shared" si="5"/>
        <v>575.61791332558892</v>
      </c>
      <c r="AF74" s="498">
        <f t="shared" si="5"/>
        <v>492.70055734746808</v>
      </c>
      <c r="AG74" s="498">
        <f>+AG73+(AG73-AG72)</f>
        <v>475.5130155762858</v>
      </c>
      <c r="AH74" s="498">
        <f>+AH73+(AH73-AH72)</f>
        <v>550.45829983621684</v>
      </c>
      <c r="AI74" s="498">
        <f>+AI73+(AI73-AI72)</f>
        <v>638.62964182062865</v>
      </c>
      <c r="AJ74" s="138">
        <f>AVERAGE(X74:AI74)</f>
        <v>689.15894131150287</v>
      </c>
    </row>
    <row r="75" spans="3:36" ht="15" customHeight="1">
      <c r="C75" s="345"/>
      <c r="D75" s="345"/>
      <c r="F75" s="138"/>
      <c r="G75" s="138"/>
      <c r="H75" s="138"/>
      <c r="I75" s="138"/>
      <c r="J75" s="138"/>
      <c r="K75" s="138"/>
      <c r="L75" s="138"/>
      <c r="M75" s="138"/>
      <c r="N75" s="138"/>
      <c r="P75" s="138"/>
      <c r="Q75" s="138"/>
      <c r="S75" s="138"/>
      <c r="T75" s="138"/>
      <c r="AJ75" s="138"/>
    </row>
    <row r="76" spans="3:36" ht="15" customHeight="1">
      <c r="C76" s="411" t="s">
        <v>236</v>
      </c>
      <c r="D76" s="411" t="s">
        <v>237</v>
      </c>
      <c r="F76" s="494">
        <v>45292</v>
      </c>
      <c r="G76" s="494">
        <v>45323</v>
      </c>
      <c r="H76" s="494">
        <v>45352</v>
      </c>
      <c r="I76" s="494">
        <v>45383</v>
      </c>
      <c r="J76" s="494">
        <v>45413</v>
      </c>
      <c r="K76" s="494">
        <v>45444</v>
      </c>
      <c r="L76" s="494">
        <v>45474</v>
      </c>
      <c r="M76" s="494">
        <v>45505</v>
      </c>
      <c r="N76" s="494">
        <v>45536</v>
      </c>
      <c r="O76" s="494">
        <v>45566</v>
      </c>
      <c r="P76" s="494">
        <v>45597</v>
      </c>
      <c r="Q76" s="494">
        <v>45627</v>
      </c>
      <c r="R76" s="494">
        <v>45658</v>
      </c>
      <c r="S76" s="494">
        <v>45689</v>
      </c>
      <c r="T76" s="494">
        <v>45717</v>
      </c>
      <c r="U76" s="494">
        <v>45748</v>
      </c>
      <c r="V76" s="494">
        <v>45778</v>
      </c>
      <c r="W76" s="494">
        <v>45809</v>
      </c>
      <c r="X76" s="494">
        <v>45839</v>
      </c>
      <c r="Y76" s="494">
        <v>45870</v>
      </c>
      <c r="Z76" s="494">
        <v>45901</v>
      </c>
      <c r="AA76" s="494">
        <v>45931</v>
      </c>
      <c r="AB76" s="494">
        <v>45962</v>
      </c>
      <c r="AC76" s="494">
        <v>45992</v>
      </c>
      <c r="AD76" s="494">
        <v>46023</v>
      </c>
      <c r="AE76" s="494">
        <v>46054</v>
      </c>
      <c r="AF76" s="494">
        <v>46082</v>
      </c>
      <c r="AG76" s="494">
        <v>46113</v>
      </c>
      <c r="AH76" s="494">
        <v>46143</v>
      </c>
      <c r="AI76" s="494">
        <v>46174</v>
      </c>
      <c r="AJ76" s="494" t="s">
        <v>230</v>
      </c>
    </row>
    <row r="77" spans="3:36" ht="15" customHeight="1">
      <c r="C77" s="345" t="s">
        <v>231</v>
      </c>
      <c r="D77" s="345" t="s">
        <v>232</v>
      </c>
      <c r="F77" s="548"/>
      <c r="G77" s="548"/>
      <c r="H77" s="498"/>
      <c r="I77" s="498">
        <v>12.915759033203125</v>
      </c>
      <c r="J77" s="498">
        <v>55.708093098958336</v>
      </c>
      <c r="K77" s="498">
        <v>53.2578994140625</v>
      </c>
      <c r="L77" s="498">
        <v>100.18034586588544</v>
      </c>
      <c r="M77" s="498">
        <v>114.56207682291665</v>
      </c>
      <c r="N77" s="498">
        <v>101.43712646484376</v>
      </c>
      <c r="O77" s="498">
        <v>120.42317513020835</v>
      </c>
      <c r="P77" s="498">
        <v>110.44940169270832</v>
      </c>
      <c r="Q77" s="498">
        <v>120.55348763020834</v>
      </c>
      <c r="R77" s="498">
        <v>115.16376041666668</v>
      </c>
      <c r="S77" s="498">
        <v>116.27212858072916</v>
      </c>
      <c r="T77" s="498">
        <v>113.1919236653646</v>
      </c>
      <c r="U77" s="498">
        <v>126.97510351562499</v>
      </c>
      <c r="V77" s="498">
        <v>92.32192415364581</v>
      </c>
      <c r="W77" s="498">
        <v>88.903776570351511</v>
      </c>
      <c r="X77" s="498">
        <v>89.370496755292336</v>
      </c>
      <c r="Y77" s="498">
        <v>85.203585558163212</v>
      </c>
      <c r="Z77" s="498">
        <v>90.799567374846944</v>
      </c>
      <c r="AA77" s="712">
        <v>91.175033602150549</v>
      </c>
      <c r="AB77" s="712">
        <v>87.292129166666669</v>
      </c>
      <c r="AC77" s="712">
        <v>111.07957526881721</v>
      </c>
      <c r="AD77" s="712">
        <v>109.35714284005377</v>
      </c>
      <c r="AE77" s="712">
        <v>115.85367990327377</v>
      </c>
      <c r="AF77" s="783">
        <v>102.95082430779568</v>
      </c>
      <c r="AG77" s="712">
        <v>108.95848213472225</v>
      </c>
      <c r="AH77" s="712">
        <v>96.587529842741915</v>
      </c>
      <c r="AI77" s="712">
        <v>104.36720028333333</v>
      </c>
      <c r="AJ77" s="138">
        <f>AVERAGE(X77:AI77)</f>
        <v>99.416270586488153</v>
      </c>
    </row>
    <row r="78" spans="3:36" ht="15" customHeight="1">
      <c r="C78" s="345" t="s">
        <v>233</v>
      </c>
      <c r="D78" s="345" t="s">
        <v>233</v>
      </c>
      <c r="F78" s="548"/>
      <c r="G78" s="548"/>
      <c r="H78" s="498">
        <v>26.601247002823936</v>
      </c>
      <c r="I78" s="498">
        <v>28.191145181756934</v>
      </c>
      <c r="J78" s="498">
        <v>62.520613827423851</v>
      </c>
      <c r="K78" s="498">
        <v>114.39846349811346</v>
      </c>
      <c r="L78" s="498">
        <v>121.85350461458835</v>
      </c>
      <c r="M78" s="498">
        <v>197.47064148892491</v>
      </c>
      <c r="N78" s="498">
        <v>186.53215676423497</v>
      </c>
      <c r="O78" s="498">
        <v>172.89994263582722</v>
      </c>
      <c r="P78" s="498">
        <v>161.55601523803327</v>
      </c>
      <c r="Q78" s="498">
        <v>158.84554979694479</v>
      </c>
      <c r="R78" s="498">
        <v>161.36759463793686</v>
      </c>
      <c r="S78" s="498">
        <v>158.60510238206464</v>
      </c>
      <c r="T78" s="498">
        <v>160.89374955913544</v>
      </c>
      <c r="U78" s="498">
        <v>165.81807886982003</v>
      </c>
      <c r="V78" s="498">
        <v>169.34499309517935</v>
      </c>
      <c r="W78" s="498">
        <v>169.97022807271989</v>
      </c>
      <c r="X78" s="498">
        <v>181.61733376247287</v>
      </c>
      <c r="Y78" s="498">
        <v>197.47064148892491</v>
      </c>
      <c r="Z78" s="498">
        <v>186.53215676423497</v>
      </c>
      <c r="AA78" s="712">
        <v>172.89994263582722</v>
      </c>
      <c r="AB78" s="712">
        <v>161.55601523803327</v>
      </c>
      <c r="AC78" s="712">
        <v>158.84554979694479</v>
      </c>
      <c r="AD78" s="712">
        <v>161.36759463793686</v>
      </c>
      <c r="AE78" s="712">
        <v>158.60510238206464</v>
      </c>
      <c r="AF78" s="712">
        <v>160.89374955913544</v>
      </c>
      <c r="AG78" s="712">
        <v>165.81807886982003</v>
      </c>
      <c r="AH78" s="712">
        <v>169.34499309517935</v>
      </c>
      <c r="AI78" s="712">
        <v>169.97022807271989</v>
      </c>
      <c r="AJ78" s="138">
        <f>AVERAGE(X78:AI78)</f>
        <v>170.41011552527453</v>
      </c>
    </row>
    <row r="79" spans="3:36" ht="15" customHeight="1">
      <c r="C79" s="345" t="s">
        <v>234</v>
      </c>
      <c r="D79" s="345" t="s">
        <v>234</v>
      </c>
      <c r="F79" s="548"/>
      <c r="G79" s="548"/>
      <c r="H79" s="498">
        <v>29.707826486816405</v>
      </c>
      <c r="I79" s="498">
        <v>31.483398106689449</v>
      </c>
      <c r="J79" s="498">
        <v>69.821972903645829</v>
      </c>
      <c r="K79" s="498">
        <v>127.86991616780601</v>
      </c>
      <c r="L79" s="498">
        <v>136.20506246419271</v>
      </c>
      <c r="M79" s="498">
        <v>220.79950579982096</v>
      </c>
      <c r="N79" s="498">
        <v>208.57044849538701</v>
      </c>
      <c r="O79" s="498">
        <v>193.32977280942282</v>
      </c>
      <c r="P79" s="498">
        <v>180.64938809472036</v>
      </c>
      <c r="Q79" s="498">
        <v>177.62275633302465</v>
      </c>
      <c r="R79" s="498">
        <v>180.44596717915121</v>
      </c>
      <c r="S79" s="498">
        <v>177.35607392080303</v>
      </c>
      <c r="T79" s="498">
        <v>179.91827929111344</v>
      </c>
      <c r="U79" s="498">
        <v>185.42134369949213</v>
      </c>
      <c r="V79" s="498">
        <v>189.35397274366372</v>
      </c>
      <c r="W79" s="498">
        <v>190.05048313454895</v>
      </c>
      <c r="X79" s="498">
        <v>203.07736577434852</v>
      </c>
      <c r="Y79" s="498">
        <v>220.79950579982096</v>
      </c>
      <c r="Z79" s="498">
        <v>208.57044849538701</v>
      </c>
      <c r="AA79" s="712">
        <v>193.32977280942282</v>
      </c>
      <c r="AB79" s="712">
        <v>180.64938809472036</v>
      </c>
      <c r="AC79" s="712">
        <v>177.62275633302465</v>
      </c>
      <c r="AD79" s="712">
        <v>180.44596717915121</v>
      </c>
      <c r="AE79" s="712">
        <v>177.35607392080303</v>
      </c>
      <c r="AF79" s="712">
        <v>179.91827929111344</v>
      </c>
      <c r="AG79" s="712">
        <v>185.42134369949213</v>
      </c>
      <c r="AH79" s="712">
        <v>189.35397274366372</v>
      </c>
      <c r="AI79" s="712">
        <v>190.05048313454895</v>
      </c>
      <c r="AJ79" s="138">
        <f>AVERAGE(X79:AI79)</f>
        <v>190.54961310629142</v>
      </c>
    </row>
    <row r="80" spans="3:36" ht="15" customHeight="1">
      <c r="C80" s="345" t="s">
        <v>235</v>
      </c>
      <c r="D80" s="345" t="s">
        <v>235</v>
      </c>
      <c r="F80" s="548"/>
      <c r="G80" s="548"/>
      <c r="H80" s="498">
        <f>+H79+(H79-H78)</f>
        <v>32.814405970808878</v>
      </c>
      <c r="I80" s="498">
        <f t="shared" ref="I80:AB80" si="6">+I79+(I79-I78)</f>
        <v>34.775651031621962</v>
      </c>
      <c r="J80" s="498">
        <f t="shared" si="6"/>
        <v>77.1233319798678</v>
      </c>
      <c r="K80" s="498">
        <f t="shared" si="6"/>
        <v>141.34136883749858</v>
      </c>
      <c r="L80" s="498">
        <f t="shared" si="6"/>
        <v>150.55662031379705</v>
      </c>
      <c r="M80" s="498">
        <f t="shared" si="6"/>
        <v>244.12837011071701</v>
      </c>
      <c r="N80" s="498">
        <f t="shared" si="6"/>
        <v>230.60874022653906</v>
      </c>
      <c r="O80" s="498">
        <f t="shared" si="6"/>
        <v>213.75960298301842</v>
      </c>
      <c r="P80" s="498">
        <f t="shared" si="6"/>
        <v>199.74276095140746</v>
      </c>
      <c r="Q80" s="498">
        <f t="shared" si="6"/>
        <v>196.39996286910451</v>
      </c>
      <c r="R80" s="498">
        <f t="shared" si="6"/>
        <v>199.52433972036556</v>
      </c>
      <c r="S80" s="498">
        <f t="shared" si="6"/>
        <v>196.10704545954141</v>
      </c>
      <c r="T80" s="498">
        <f t="shared" si="6"/>
        <v>198.94280902309143</v>
      </c>
      <c r="U80" s="498">
        <f t="shared" si="6"/>
        <v>205.02460852916423</v>
      </c>
      <c r="V80" s="498">
        <f t="shared" si="6"/>
        <v>209.36295239214809</v>
      </c>
      <c r="W80" s="498">
        <f t="shared" si="6"/>
        <v>210.13073819637802</v>
      </c>
      <c r="X80" s="498">
        <f t="shared" si="6"/>
        <v>224.53739778622418</v>
      </c>
      <c r="Y80" s="498">
        <f t="shared" si="6"/>
        <v>244.12837011071701</v>
      </c>
      <c r="Z80" s="498">
        <f t="shared" si="6"/>
        <v>230.60874022653906</v>
      </c>
      <c r="AA80" s="498">
        <f t="shared" si="6"/>
        <v>213.75960298301842</v>
      </c>
      <c r="AB80" s="498">
        <f t="shared" si="6"/>
        <v>199.74276095140746</v>
      </c>
      <c r="AC80" s="498">
        <f>+AC79+(AC79-AC78)</f>
        <v>196.39996286910451</v>
      </c>
      <c r="AD80" s="498">
        <f t="shared" ref="AD80:AF80" si="7">+AD79+(AD79-AD78)</f>
        <v>199.52433972036556</v>
      </c>
      <c r="AE80" s="498">
        <f t="shared" si="7"/>
        <v>196.10704545954141</v>
      </c>
      <c r="AF80" s="498">
        <f t="shared" si="7"/>
        <v>198.94280902309143</v>
      </c>
      <c r="AG80" s="498">
        <f>+AG79+(AG79-AG78)</f>
        <v>205.02460852916423</v>
      </c>
      <c r="AH80" s="498">
        <f>+AH79+(AH79-AH78)</f>
        <v>209.36295239214809</v>
      </c>
      <c r="AI80" s="498">
        <f>+AI79+(AI79-AI78)</f>
        <v>210.13073819637802</v>
      </c>
      <c r="AJ80" s="138">
        <f>AVERAGE(X80:AI80)</f>
        <v>210.68911068730827</v>
      </c>
    </row>
    <row r="83" spans="3:18" ht="15" hidden="1" customHeight="1">
      <c r="C83" s="411" t="s">
        <v>238</v>
      </c>
      <c r="D83" s="411" t="s">
        <v>239</v>
      </c>
      <c r="F83" s="412" t="s">
        <v>240</v>
      </c>
      <c r="G83" s="412" t="s">
        <v>241</v>
      </c>
      <c r="H83" s="412" t="s">
        <v>242</v>
      </c>
      <c r="I83" s="412" t="s">
        <v>243</v>
      </c>
      <c r="J83" s="412" t="s">
        <v>244</v>
      </c>
      <c r="K83" s="412" t="s">
        <v>245</v>
      </c>
      <c r="L83" s="412" t="s">
        <v>246</v>
      </c>
      <c r="M83" s="412" t="s">
        <v>247</v>
      </c>
      <c r="N83" s="412" t="s">
        <v>248</v>
      </c>
      <c r="O83" s="412" t="s">
        <v>249</v>
      </c>
      <c r="P83" s="412" t="s">
        <v>250</v>
      </c>
      <c r="Q83" s="412" t="s">
        <v>251</v>
      </c>
      <c r="R83" s="412" t="s">
        <v>252</v>
      </c>
    </row>
    <row r="84" spans="3:18" ht="15" hidden="1" customHeight="1">
      <c r="C84" s="345">
        <v>2017</v>
      </c>
      <c r="D84" s="345">
        <v>2017</v>
      </c>
      <c r="F84" s="138">
        <v>277.4513669354838</v>
      </c>
      <c r="G84" s="138">
        <v>277.86424255952386</v>
      </c>
      <c r="H84" s="138">
        <v>277.4513669354838</v>
      </c>
      <c r="I84" s="138">
        <v>277.45136666666662</v>
      </c>
      <c r="J84" s="138">
        <v>277.4513669354838</v>
      </c>
      <c r="K84" s="138">
        <v>277.45136666666662</v>
      </c>
      <c r="L84" s="138">
        <v>277.4513669354838</v>
      </c>
      <c r="M84" s="138">
        <v>298.55136693548383</v>
      </c>
      <c r="N84" s="138">
        <v>298.55136666666664</v>
      </c>
      <c r="O84" s="138">
        <v>314.28403629032255</v>
      </c>
      <c r="P84" s="138">
        <v>315.66587499999997</v>
      </c>
      <c r="Q84" s="138">
        <v>314.70179973118275</v>
      </c>
      <c r="R84" s="138">
        <v>290.36057402153733</v>
      </c>
    </row>
    <row r="85" spans="3:18" ht="15" hidden="1" customHeight="1">
      <c r="C85" s="345">
        <v>2018</v>
      </c>
      <c r="D85" s="345">
        <v>2018</v>
      </c>
      <c r="F85" s="138">
        <v>325.24136962365594</v>
      </c>
      <c r="G85" s="138">
        <v>348.45912946428564</v>
      </c>
      <c r="H85" s="138">
        <v>347.94136962365599</v>
      </c>
      <c r="I85" s="138">
        <v>318.0182916666667</v>
      </c>
      <c r="J85" s="138">
        <v>318.0182916666667</v>
      </c>
      <c r="K85" s="138">
        <v>318.0182916666667</v>
      </c>
      <c r="L85" s="138">
        <v>318.0182916666667</v>
      </c>
      <c r="M85" s="138">
        <v>318.0182916666667</v>
      </c>
      <c r="N85" s="138">
        <v>327.71829166666669</v>
      </c>
      <c r="O85" s="138">
        <v>327.47162768817208</v>
      </c>
      <c r="P85" s="138">
        <v>342.79676388888885</v>
      </c>
      <c r="Q85" s="138">
        <v>343.0182916666667</v>
      </c>
      <c r="R85" s="138">
        <v>329.39485849627715</v>
      </c>
    </row>
    <row r="86" spans="3:18" ht="15" hidden="1" customHeight="1">
      <c r="C86" s="345">
        <v>2019</v>
      </c>
      <c r="D86" s="345">
        <v>2019</v>
      </c>
      <c r="F86" s="138">
        <v>350.40000000000003</v>
      </c>
      <c r="G86" s="138">
        <v>350.92142857142858</v>
      </c>
      <c r="H86" s="138">
        <v>350.40000000000003</v>
      </c>
      <c r="I86" s="138">
        <v>350.40000000000003</v>
      </c>
      <c r="J86" s="138">
        <v>350.40000000000003</v>
      </c>
      <c r="K86" s="138">
        <v>350.40000000000003</v>
      </c>
      <c r="L86" s="138">
        <v>350.40000000000003</v>
      </c>
      <c r="M86" s="138">
        <v>350.40000000000003</v>
      </c>
      <c r="N86" s="138">
        <v>350.40000000000003</v>
      </c>
      <c r="O86" s="138">
        <v>350.40000000000003</v>
      </c>
      <c r="P86" s="138">
        <v>350.40000000000003</v>
      </c>
      <c r="Q86" s="138">
        <v>350.40000000000003</v>
      </c>
      <c r="R86" s="138">
        <v>350.44345238095246</v>
      </c>
    </row>
    <row r="87" spans="3:18" ht="15" hidden="1" customHeight="1">
      <c r="C87" s="345">
        <v>2020</v>
      </c>
      <c r="D87" s="345">
        <v>2020</v>
      </c>
      <c r="F87" s="138">
        <v>350.19072983870973</v>
      </c>
      <c r="G87" s="138">
        <v>369.89029741379312</v>
      </c>
      <c r="H87" s="138">
        <v>413.82531451612908</v>
      </c>
      <c r="I87" s="138">
        <v>444.28699583333344</v>
      </c>
      <c r="J87" s="138">
        <v>459.40844220430114</v>
      </c>
      <c r="K87" s="138">
        <v>458.13333194444454</v>
      </c>
      <c r="L87" s="138">
        <v>505.34828763440862</v>
      </c>
      <c r="M87" s="138">
        <v>521.48616935483869</v>
      </c>
      <c r="N87" s="138">
        <v>524.79563194444449</v>
      </c>
      <c r="O87" s="138">
        <v>534.68827553763435</v>
      </c>
      <c r="P87" s="138">
        <v>530.99334583333325</v>
      </c>
      <c r="Q87" s="138">
        <v>521.1818924731183</v>
      </c>
      <c r="R87" s="138">
        <v>469.51905954404083</v>
      </c>
    </row>
    <row r="88" spans="3:18" ht="15" hidden="1" customHeight="1">
      <c r="C88" s="345">
        <v>2021</v>
      </c>
      <c r="D88" s="345">
        <v>2021</v>
      </c>
      <c r="F88" s="138">
        <v>516.70377822580633</v>
      </c>
      <c r="G88" s="138">
        <v>508.66716517857145</v>
      </c>
      <c r="H88" s="138">
        <v>497.5144529569892</v>
      </c>
      <c r="I88" s="138">
        <v>465.00597777777779</v>
      </c>
      <c r="J88" s="138">
        <v>473.45292876344087</v>
      </c>
      <c r="K88" s="138">
        <v>509.95607916666654</v>
      </c>
      <c r="L88" s="138">
        <v>520.55817069892476</v>
      </c>
      <c r="M88" s="138">
        <v>565.89931720430116</v>
      </c>
      <c r="N88" s="138">
        <v>590.63430000000005</v>
      </c>
      <c r="O88" s="138">
        <v>595.21338306451628</v>
      </c>
      <c r="P88" s="138">
        <v>610.39645694444459</v>
      </c>
      <c r="Q88" s="138">
        <v>621.94147177419359</v>
      </c>
      <c r="R88" s="138">
        <v>539.66195681296938</v>
      </c>
    </row>
    <row r="89" spans="3:18" ht="15" hidden="1" customHeight="1">
      <c r="C89" s="345">
        <v>2022</v>
      </c>
      <c r="D89" s="345">
        <v>2022</v>
      </c>
      <c r="F89" s="138">
        <v>686.78263978494601</v>
      </c>
      <c r="G89" s="138">
        <v>596.35161753571424</v>
      </c>
      <c r="H89" s="138">
        <v>554.3597603870968</v>
      </c>
      <c r="I89" s="138">
        <v>551.88849355555567</v>
      </c>
      <c r="J89" s="138">
        <v>568.57934865591392</v>
      </c>
      <c r="K89" s="138">
        <v>597.45378883333331</v>
      </c>
      <c r="L89" s="138">
        <v>611.17009725806463</v>
      </c>
      <c r="M89" s="138">
        <v>641.62079951612907</v>
      </c>
      <c r="N89" s="138">
        <v>652.60737061111126</v>
      </c>
      <c r="O89" s="138">
        <v>646.76590079569905</v>
      </c>
      <c r="P89" s="138">
        <v>644.28531605555565</v>
      </c>
      <c r="Q89" s="138">
        <v>619.99905516129047</v>
      </c>
      <c r="R89" s="138">
        <v>614.32201567920083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82113-EB78-4C40-97AA-3789234B2EAB}">
  <sheetPr>
    <tabColor theme="9" tint="0.79998168889431442"/>
  </sheetPr>
  <dimension ref="C6:N199"/>
  <sheetViews>
    <sheetView showGridLines="0" zoomScaleNormal="100" workbookViewId="0">
      <pane xSplit="5" ySplit="5" topLeftCell="F196" activePane="bottomRight" state="frozen"/>
      <selection pane="topRight" activeCell="E1" sqref="E1"/>
      <selection pane="bottomLeft" activeCell="A8" sqref="A8"/>
      <selection pane="bottomRight" activeCell="L137" sqref="L137"/>
    </sheetView>
  </sheetViews>
  <sheetFormatPr defaultColWidth="8.77734375" defaultRowHeight="15" customHeight="1"/>
  <cols>
    <col min="1" max="2" width="4.5546875" style="104" customWidth="1"/>
    <col min="3" max="3" width="36.6640625" style="104" customWidth="1"/>
    <col min="4" max="4" width="33.5546875" style="104" customWidth="1"/>
    <col min="5" max="5" width="2.44140625" style="104" customWidth="1"/>
    <col min="6" max="6" width="25.6640625" style="104" bestFit="1" customWidth="1"/>
    <col min="7" max="7" width="10.5546875" style="104" bestFit="1" customWidth="1"/>
    <col min="8" max="8" width="13" style="104" customWidth="1"/>
    <col min="9" max="10" width="9.77734375" style="104" customWidth="1"/>
    <col min="11" max="11" width="11" style="104" bestFit="1" customWidth="1"/>
    <col min="12" max="12" width="13.88671875" style="104" customWidth="1"/>
    <col min="13" max="13" width="19.109375" style="104" bestFit="1" customWidth="1"/>
    <col min="14" max="14" width="24.33203125" style="104" bestFit="1" customWidth="1"/>
    <col min="15" max="31" width="9.77734375" style="104" customWidth="1"/>
    <col min="32" max="16384" width="8.77734375" style="104"/>
  </cols>
  <sheetData>
    <row r="6" spans="3:11" ht="15" customHeight="1">
      <c r="C6" s="359" t="s">
        <v>253</v>
      </c>
      <c r="D6" s="359" t="s">
        <v>254</v>
      </c>
      <c r="F6" s="360"/>
      <c r="G6" s="360"/>
      <c r="H6" s="360"/>
      <c r="I6" s="360"/>
      <c r="J6" s="360"/>
    </row>
    <row r="7" spans="3:11" ht="15" customHeight="1">
      <c r="C7" s="134"/>
      <c r="D7" s="134"/>
    </row>
    <row r="8" spans="3:11" ht="37.200000000000003" customHeight="1">
      <c r="C8" s="413" t="s">
        <v>255</v>
      </c>
      <c r="D8" s="413" t="s">
        <v>256</v>
      </c>
      <c r="F8" s="414" t="s">
        <v>257</v>
      </c>
      <c r="G8" s="414" t="s">
        <v>258</v>
      </c>
      <c r="H8" s="414" t="s">
        <v>259</v>
      </c>
      <c r="I8" s="414" t="s">
        <v>260</v>
      </c>
      <c r="J8" s="414" t="s">
        <v>261</v>
      </c>
      <c r="K8" s="414" t="s">
        <v>262</v>
      </c>
    </row>
    <row r="9" spans="3:11" ht="15" customHeight="1">
      <c r="C9" s="361" t="s">
        <v>263</v>
      </c>
      <c r="D9" s="361" t="s">
        <v>264</v>
      </c>
      <c r="F9" s="362"/>
      <c r="G9" s="362"/>
      <c r="H9" s="362"/>
      <c r="I9" s="362"/>
      <c r="J9" s="362"/>
      <c r="K9" s="362"/>
    </row>
    <row r="10" spans="3:11" ht="15" customHeight="1">
      <c r="C10" s="363" t="s">
        <v>265</v>
      </c>
      <c r="D10" s="363" t="s">
        <v>266</v>
      </c>
      <c r="F10" s="363"/>
      <c r="G10" s="363"/>
      <c r="H10" s="363"/>
      <c r="I10" s="364">
        <v>1204.0799999999995</v>
      </c>
      <c r="J10" s="365">
        <v>614.50000000000011</v>
      </c>
      <c r="K10" s="365"/>
    </row>
    <row r="11" spans="3:11" ht="15" customHeight="1">
      <c r="C11" s="492" t="s">
        <v>267</v>
      </c>
      <c r="D11" s="492" t="s">
        <v>267</v>
      </c>
      <c r="F11" s="104" t="s">
        <v>268</v>
      </c>
      <c r="G11" s="542">
        <v>42515</v>
      </c>
      <c r="H11" s="542">
        <v>54752</v>
      </c>
      <c r="I11" s="368">
        <v>31.364999999999998</v>
      </c>
      <c r="J11" s="368">
        <v>17.2</v>
      </c>
      <c r="K11" s="104" t="s">
        <v>269</v>
      </c>
    </row>
    <row r="12" spans="3:11" s="348" customFormat="1" ht="15" customHeight="1">
      <c r="C12" s="492" t="s">
        <v>270</v>
      </c>
      <c r="D12" s="492" t="s">
        <v>270</v>
      </c>
      <c r="F12" s="104" t="s">
        <v>268</v>
      </c>
      <c r="G12" s="542">
        <v>42515</v>
      </c>
      <c r="H12" s="542">
        <v>54752</v>
      </c>
      <c r="I12" s="368">
        <v>31.364999999999998</v>
      </c>
      <c r="J12" s="368">
        <v>15.5</v>
      </c>
      <c r="K12" s="104" t="s">
        <v>271</v>
      </c>
    </row>
    <row r="13" spans="3:11" ht="15" customHeight="1">
      <c r="C13" s="492" t="s">
        <v>272</v>
      </c>
      <c r="D13" s="492" t="s">
        <v>272</v>
      </c>
      <c r="F13" s="104" t="s">
        <v>268</v>
      </c>
      <c r="G13" s="542">
        <v>42515</v>
      </c>
      <c r="H13" s="542">
        <v>54754</v>
      </c>
      <c r="I13" s="368">
        <v>31.364999999999998</v>
      </c>
      <c r="J13" s="368">
        <v>15.2</v>
      </c>
      <c r="K13" s="104" t="s">
        <v>273</v>
      </c>
    </row>
    <row r="14" spans="3:11" ht="15" customHeight="1">
      <c r="C14" s="492" t="s">
        <v>274</v>
      </c>
      <c r="D14" s="492" t="s">
        <v>274</v>
      </c>
      <c r="F14" s="104" t="s">
        <v>268</v>
      </c>
      <c r="G14" s="542">
        <v>42515</v>
      </c>
      <c r="H14" s="542">
        <v>54755</v>
      </c>
      <c r="I14" s="368">
        <v>31.364999999999998</v>
      </c>
      <c r="J14" s="368">
        <v>15.7</v>
      </c>
      <c r="K14" s="104" t="s">
        <v>275</v>
      </c>
    </row>
    <row r="15" spans="3:11" ht="15" customHeight="1">
      <c r="C15" s="492" t="s">
        <v>276</v>
      </c>
      <c r="D15" s="492" t="s">
        <v>276</v>
      </c>
      <c r="F15" s="104" t="s">
        <v>277</v>
      </c>
      <c r="G15" s="542">
        <v>42536</v>
      </c>
      <c r="H15" s="542">
        <v>54754</v>
      </c>
      <c r="I15" s="368">
        <v>31.364999999999998</v>
      </c>
      <c r="J15" s="368">
        <v>18.600000000000001</v>
      </c>
      <c r="K15" s="104" t="s">
        <v>278</v>
      </c>
    </row>
    <row r="16" spans="3:11" ht="15" customHeight="1">
      <c r="C16" s="492" t="s">
        <v>279</v>
      </c>
      <c r="D16" s="492" t="s">
        <v>279</v>
      </c>
      <c r="F16" s="104" t="s">
        <v>268</v>
      </c>
      <c r="G16" s="542">
        <v>42515</v>
      </c>
      <c r="H16" s="542">
        <v>54754</v>
      </c>
      <c r="I16" s="368">
        <v>27.675000000000001</v>
      </c>
      <c r="J16" s="368">
        <v>15.2</v>
      </c>
      <c r="K16" s="104" t="s">
        <v>280</v>
      </c>
    </row>
    <row r="17" spans="3:11" ht="15" customHeight="1">
      <c r="C17" s="492" t="s">
        <v>281</v>
      </c>
      <c r="D17" s="492" t="s">
        <v>281</v>
      </c>
      <c r="F17" s="104" t="s">
        <v>282</v>
      </c>
      <c r="G17" s="542">
        <v>42515</v>
      </c>
      <c r="H17" s="542">
        <v>54755</v>
      </c>
      <c r="I17" s="368">
        <v>25.83</v>
      </c>
      <c r="J17" s="368">
        <v>13</v>
      </c>
      <c r="K17" s="104" t="s">
        <v>283</v>
      </c>
    </row>
    <row r="18" spans="3:11" ht="15" customHeight="1">
      <c r="C18" s="492" t="s">
        <v>284</v>
      </c>
      <c r="D18" s="492" t="s">
        <v>284</v>
      </c>
      <c r="F18" s="104" t="s">
        <v>277</v>
      </c>
      <c r="G18" s="542">
        <v>42542</v>
      </c>
      <c r="H18" s="542">
        <v>54754</v>
      </c>
      <c r="I18" s="368">
        <v>22.14</v>
      </c>
      <c r="J18" s="368">
        <v>11.7</v>
      </c>
      <c r="K18" s="104" t="s">
        <v>285</v>
      </c>
    </row>
    <row r="19" spans="3:11" s="348" customFormat="1" ht="15" customHeight="1">
      <c r="C19" s="492" t="s">
        <v>286</v>
      </c>
      <c r="D19" s="492" t="s">
        <v>286</v>
      </c>
      <c r="F19" s="104" t="s">
        <v>287</v>
      </c>
      <c r="G19" s="542">
        <v>42649</v>
      </c>
      <c r="H19" s="542">
        <v>53508</v>
      </c>
      <c r="I19" s="368">
        <v>27.51</v>
      </c>
      <c r="J19" s="368">
        <v>14.1</v>
      </c>
      <c r="K19" s="104" t="s">
        <v>288</v>
      </c>
    </row>
    <row r="20" spans="3:11" ht="15" customHeight="1">
      <c r="C20" s="492" t="s">
        <v>289</v>
      </c>
      <c r="D20" s="492" t="s">
        <v>289</v>
      </c>
      <c r="F20" s="104" t="s">
        <v>290</v>
      </c>
      <c r="G20" s="542">
        <v>42641</v>
      </c>
      <c r="H20" s="542">
        <v>53516</v>
      </c>
      <c r="I20" s="368">
        <v>29.12</v>
      </c>
      <c r="J20" s="368">
        <v>15.5</v>
      </c>
      <c r="K20" s="104" t="s">
        <v>291</v>
      </c>
    </row>
    <row r="21" spans="3:11" ht="15" customHeight="1">
      <c r="C21" s="492" t="s">
        <v>292</v>
      </c>
      <c r="D21" s="492" t="s">
        <v>292</v>
      </c>
      <c r="F21" s="104" t="s">
        <v>290</v>
      </c>
      <c r="G21" s="542">
        <v>42650</v>
      </c>
      <c r="H21" s="542">
        <v>53516</v>
      </c>
      <c r="I21" s="368">
        <v>27.51</v>
      </c>
      <c r="J21" s="368">
        <v>14.6</v>
      </c>
      <c r="K21" s="104" t="s">
        <v>293</v>
      </c>
    </row>
    <row r="22" spans="3:11" ht="15" customHeight="1">
      <c r="C22" s="492" t="s">
        <v>294</v>
      </c>
      <c r="D22" s="492" t="s">
        <v>294</v>
      </c>
      <c r="F22" s="104" t="s">
        <v>287</v>
      </c>
      <c r="G22" s="542">
        <v>42641</v>
      </c>
      <c r="H22" s="542">
        <v>53512</v>
      </c>
      <c r="I22" s="368">
        <v>29.12</v>
      </c>
      <c r="J22" s="368">
        <v>15.5</v>
      </c>
      <c r="K22" s="104" t="s">
        <v>295</v>
      </c>
    </row>
    <row r="23" spans="3:11" ht="15" customHeight="1">
      <c r="C23" s="492" t="s">
        <v>296</v>
      </c>
      <c r="D23" s="492" t="s">
        <v>296</v>
      </c>
      <c r="F23" s="104" t="s">
        <v>287</v>
      </c>
      <c r="G23" s="542">
        <v>42641</v>
      </c>
      <c r="H23" s="542">
        <v>53512</v>
      </c>
      <c r="I23" s="368">
        <v>27.75</v>
      </c>
      <c r="J23" s="368">
        <v>15.2</v>
      </c>
      <c r="K23" s="104" t="s">
        <v>297</v>
      </c>
    </row>
    <row r="24" spans="3:11" ht="15" customHeight="1">
      <c r="C24" s="492" t="s">
        <v>298</v>
      </c>
      <c r="D24" s="492" t="s">
        <v>298</v>
      </c>
      <c r="F24" s="104" t="s">
        <v>299</v>
      </c>
      <c r="G24" s="542">
        <v>41310</v>
      </c>
      <c r="H24" s="542">
        <v>53143</v>
      </c>
      <c r="I24" s="368">
        <v>30</v>
      </c>
      <c r="J24" s="368">
        <v>10.84</v>
      </c>
      <c r="K24" s="104" t="s">
        <v>300</v>
      </c>
    </row>
    <row r="25" spans="3:11" ht="15" customHeight="1">
      <c r="C25" s="492" t="s">
        <v>301</v>
      </c>
      <c r="D25" s="492" t="s">
        <v>301</v>
      </c>
      <c r="F25" s="104" t="s">
        <v>299</v>
      </c>
      <c r="G25" s="542">
        <v>41432</v>
      </c>
      <c r="H25" s="542">
        <v>53542</v>
      </c>
      <c r="I25" s="368">
        <v>18</v>
      </c>
      <c r="J25" s="368">
        <v>6.8</v>
      </c>
      <c r="K25" s="104" t="s">
        <v>302</v>
      </c>
    </row>
    <row r="26" spans="3:11" s="348" customFormat="1" ht="15" customHeight="1">
      <c r="C26" s="492" t="s">
        <v>303</v>
      </c>
      <c r="D26" s="492" t="s">
        <v>303</v>
      </c>
      <c r="F26" s="104" t="s">
        <v>304</v>
      </c>
      <c r="G26" s="542">
        <v>41033</v>
      </c>
      <c r="H26" s="542">
        <v>53185</v>
      </c>
      <c r="I26" s="368">
        <v>19.8</v>
      </c>
      <c r="J26" s="368">
        <v>6.56</v>
      </c>
      <c r="K26" s="104" t="s">
        <v>305</v>
      </c>
    </row>
    <row r="27" spans="3:11" ht="15" customHeight="1">
      <c r="C27" s="492" t="s">
        <v>306</v>
      </c>
      <c r="D27" s="492" t="s">
        <v>306</v>
      </c>
      <c r="F27" s="104" t="s">
        <v>304</v>
      </c>
      <c r="G27" s="542">
        <v>41033</v>
      </c>
      <c r="H27" s="542">
        <v>53435</v>
      </c>
      <c r="I27" s="368">
        <v>19.8</v>
      </c>
      <c r="J27" s="368">
        <v>8.4</v>
      </c>
      <c r="K27" s="104" t="s">
        <v>307</v>
      </c>
    </row>
    <row r="28" spans="3:11" ht="15" customHeight="1">
      <c r="C28" s="492" t="s">
        <v>308</v>
      </c>
      <c r="D28" s="492" t="s">
        <v>308</v>
      </c>
      <c r="F28" s="104" t="s">
        <v>309</v>
      </c>
      <c r="G28" s="542">
        <v>42431</v>
      </c>
      <c r="H28" s="542">
        <v>53556</v>
      </c>
      <c r="I28" s="368">
        <v>20</v>
      </c>
      <c r="J28" s="368">
        <v>9.6999999999999993</v>
      </c>
      <c r="K28" s="104" t="s">
        <v>310</v>
      </c>
    </row>
    <row r="29" spans="3:11" ht="15" customHeight="1">
      <c r="C29" s="492" t="s">
        <v>311</v>
      </c>
      <c r="D29" s="492" t="s">
        <v>311</v>
      </c>
      <c r="F29" s="104" t="s">
        <v>309</v>
      </c>
      <c r="G29" s="542">
        <v>42431</v>
      </c>
      <c r="H29" s="542">
        <v>53542</v>
      </c>
      <c r="I29" s="368">
        <v>30</v>
      </c>
      <c r="J29" s="368">
        <v>13.5</v>
      </c>
      <c r="K29" s="104" t="s">
        <v>312</v>
      </c>
    </row>
    <row r="30" spans="3:11" ht="15" customHeight="1">
      <c r="C30" s="492" t="s">
        <v>313</v>
      </c>
      <c r="D30" s="492" t="s">
        <v>313</v>
      </c>
      <c r="F30" s="104" t="s">
        <v>314</v>
      </c>
      <c r="G30" s="542">
        <v>42431</v>
      </c>
      <c r="H30" s="542">
        <v>53550</v>
      </c>
      <c r="I30" s="368">
        <v>30</v>
      </c>
      <c r="J30" s="368">
        <v>12.7</v>
      </c>
      <c r="K30" s="104" t="s">
        <v>315</v>
      </c>
    </row>
    <row r="31" spans="3:11" s="348" customFormat="1" ht="15" customHeight="1">
      <c r="C31" s="492" t="s">
        <v>316</v>
      </c>
      <c r="D31" s="492" t="s">
        <v>316</v>
      </c>
      <c r="F31" s="104" t="s">
        <v>317</v>
      </c>
      <c r="G31" s="542">
        <v>42420</v>
      </c>
      <c r="H31" s="542">
        <v>53814</v>
      </c>
      <c r="I31" s="368">
        <v>28</v>
      </c>
      <c r="J31" s="368">
        <v>13.2</v>
      </c>
      <c r="K31" s="104" t="s">
        <v>318</v>
      </c>
    </row>
    <row r="32" spans="3:11" ht="15" customHeight="1">
      <c r="C32" s="492" t="s">
        <v>319</v>
      </c>
      <c r="D32" s="492" t="s">
        <v>319</v>
      </c>
      <c r="F32" s="104" t="s">
        <v>314</v>
      </c>
      <c r="G32" s="542">
        <v>42420</v>
      </c>
      <c r="H32" s="542">
        <v>53814</v>
      </c>
      <c r="I32" s="368">
        <v>20</v>
      </c>
      <c r="J32" s="368">
        <v>9</v>
      </c>
      <c r="K32" s="104" t="s">
        <v>320</v>
      </c>
    </row>
    <row r="33" spans="3:11" ht="15" customHeight="1">
      <c r="C33" s="492" t="s">
        <v>321</v>
      </c>
      <c r="D33" s="492" t="s">
        <v>321</v>
      </c>
      <c r="F33" s="104" t="s">
        <v>322</v>
      </c>
      <c r="G33" s="542">
        <v>43076</v>
      </c>
      <c r="H33" s="542">
        <v>54880</v>
      </c>
      <c r="I33" s="368">
        <v>20</v>
      </c>
      <c r="J33" s="368">
        <v>11</v>
      </c>
      <c r="K33" s="104" t="s">
        <v>323</v>
      </c>
    </row>
    <row r="34" spans="3:11" ht="15" customHeight="1">
      <c r="C34" s="492" t="s">
        <v>324</v>
      </c>
      <c r="D34" s="492" t="s">
        <v>324</v>
      </c>
      <c r="F34" s="104" t="s">
        <v>322</v>
      </c>
      <c r="G34" s="542">
        <v>43076</v>
      </c>
      <c r="H34" s="542">
        <v>54880</v>
      </c>
      <c r="I34" s="368">
        <v>20</v>
      </c>
      <c r="J34" s="368">
        <v>10.1</v>
      </c>
      <c r="K34" s="104" t="s">
        <v>325</v>
      </c>
    </row>
    <row r="35" spans="3:11" s="348" customFormat="1" ht="15" customHeight="1">
      <c r="C35" s="492" t="s">
        <v>326</v>
      </c>
      <c r="D35" s="492" t="s">
        <v>326</v>
      </c>
      <c r="F35" s="104" t="s">
        <v>327</v>
      </c>
      <c r="G35" s="542">
        <v>43242</v>
      </c>
      <c r="H35" s="542">
        <v>54618</v>
      </c>
      <c r="I35" s="368">
        <v>28.6</v>
      </c>
      <c r="J35" s="368">
        <v>15.2</v>
      </c>
      <c r="K35" s="104" t="s">
        <v>328</v>
      </c>
    </row>
    <row r="36" spans="3:11" s="370" customFormat="1" ht="15" customHeight="1">
      <c r="C36" s="492" t="s">
        <v>329</v>
      </c>
      <c r="D36" s="492" t="s">
        <v>329</v>
      </c>
      <c r="F36" s="104" t="s">
        <v>304</v>
      </c>
      <c r="G36" s="542">
        <v>43242</v>
      </c>
      <c r="H36" s="542">
        <v>54622</v>
      </c>
      <c r="I36" s="368">
        <v>16.8</v>
      </c>
      <c r="J36" s="368">
        <v>9</v>
      </c>
      <c r="K36" s="104" t="s">
        <v>330</v>
      </c>
    </row>
    <row r="37" spans="3:11" ht="15" customHeight="1">
      <c r="C37" s="492" t="s">
        <v>331</v>
      </c>
      <c r="D37" s="492" t="s">
        <v>331</v>
      </c>
      <c r="F37" s="104" t="s">
        <v>299</v>
      </c>
      <c r="G37" s="542">
        <v>43461</v>
      </c>
      <c r="H37" s="542">
        <v>55285</v>
      </c>
      <c r="I37" s="368">
        <v>20</v>
      </c>
      <c r="J37" s="368">
        <v>9.6999999999999993</v>
      </c>
      <c r="K37" s="104" t="s">
        <v>332</v>
      </c>
    </row>
    <row r="38" spans="3:11" ht="15" customHeight="1">
      <c r="C38" s="492" t="s">
        <v>333</v>
      </c>
      <c r="D38" s="492" t="s">
        <v>333</v>
      </c>
      <c r="F38" s="104" t="s">
        <v>327</v>
      </c>
      <c r="G38" s="542">
        <v>43470</v>
      </c>
      <c r="H38" s="542">
        <v>55020</v>
      </c>
      <c r="I38" s="368">
        <v>30.800000000000004</v>
      </c>
      <c r="J38" s="368">
        <v>15.3</v>
      </c>
      <c r="K38" s="104" t="s">
        <v>334</v>
      </c>
    </row>
    <row r="39" spans="3:11" ht="15" customHeight="1">
      <c r="C39" s="492" t="s">
        <v>335</v>
      </c>
      <c r="D39" s="492" t="s">
        <v>335</v>
      </c>
      <c r="F39" s="104" t="s">
        <v>336</v>
      </c>
      <c r="G39" s="542">
        <v>43978</v>
      </c>
      <c r="H39" s="542">
        <v>56244</v>
      </c>
      <c r="I39" s="368">
        <v>37.800000000000004</v>
      </c>
      <c r="J39" s="368">
        <v>21.5</v>
      </c>
      <c r="K39" s="104" t="s">
        <v>337</v>
      </c>
    </row>
    <row r="40" spans="3:11" ht="15" customHeight="1">
      <c r="C40" s="492" t="s">
        <v>338</v>
      </c>
      <c r="D40" s="492" t="s">
        <v>338</v>
      </c>
      <c r="F40" s="104" t="s">
        <v>336</v>
      </c>
      <c r="G40" s="542">
        <v>43915</v>
      </c>
      <c r="H40" s="542">
        <v>56244</v>
      </c>
      <c r="I40" s="368">
        <v>25.200000000000003</v>
      </c>
      <c r="J40" s="368">
        <v>13.3</v>
      </c>
      <c r="K40" s="104" t="s">
        <v>339</v>
      </c>
    </row>
    <row r="41" spans="3:11" ht="15" customHeight="1">
      <c r="C41" s="492" t="s">
        <v>340</v>
      </c>
      <c r="D41" s="492" t="s">
        <v>340</v>
      </c>
      <c r="F41" s="104" t="s">
        <v>336</v>
      </c>
      <c r="G41" s="542">
        <v>43939</v>
      </c>
      <c r="H41" s="542">
        <v>56244</v>
      </c>
      <c r="I41" s="368">
        <v>37.800000000000004</v>
      </c>
      <c r="J41" s="368">
        <v>21.1</v>
      </c>
      <c r="K41" s="104" t="s">
        <v>341</v>
      </c>
    </row>
    <row r="42" spans="3:11" ht="15" customHeight="1">
      <c r="C42" s="492" t="s">
        <v>342</v>
      </c>
      <c r="D42" s="492" t="s">
        <v>342</v>
      </c>
      <c r="F42" s="104" t="s">
        <v>336</v>
      </c>
      <c r="G42" s="542">
        <v>44020</v>
      </c>
      <c r="H42" s="542">
        <v>56329</v>
      </c>
      <c r="I42" s="368">
        <v>42</v>
      </c>
      <c r="J42" s="368">
        <v>23.6</v>
      </c>
      <c r="K42" s="104" t="s">
        <v>343</v>
      </c>
    </row>
    <row r="43" spans="3:11" ht="15" customHeight="1">
      <c r="C43" s="492" t="s">
        <v>344</v>
      </c>
      <c r="D43" s="492" t="s">
        <v>344</v>
      </c>
      <c r="F43" s="104" t="s">
        <v>336</v>
      </c>
      <c r="G43" s="542">
        <v>43981</v>
      </c>
      <c r="H43" s="542">
        <v>56329</v>
      </c>
      <c r="I43" s="368">
        <v>37.800000000000004</v>
      </c>
      <c r="J43" s="368">
        <v>21.2</v>
      </c>
      <c r="K43" s="104" t="s">
        <v>345</v>
      </c>
    </row>
    <row r="44" spans="3:11" ht="15" customHeight="1">
      <c r="C44" s="492" t="s">
        <v>346</v>
      </c>
      <c r="D44" s="492" t="s">
        <v>346</v>
      </c>
      <c r="F44" s="104" t="s">
        <v>336</v>
      </c>
      <c r="G44" s="542">
        <v>43991</v>
      </c>
      <c r="H44" s="542">
        <v>56329</v>
      </c>
      <c r="I44" s="368">
        <v>16.8</v>
      </c>
      <c r="J44" s="368">
        <v>9.1</v>
      </c>
      <c r="K44" s="104" t="s">
        <v>347</v>
      </c>
    </row>
    <row r="45" spans="3:11" ht="15" customHeight="1">
      <c r="C45" s="492" t="s">
        <v>348</v>
      </c>
      <c r="D45" s="492" t="s">
        <v>348</v>
      </c>
      <c r="F45" s="104" t="s">
        <v>336</v>
      </c>
      <c r="G45" s="542">
        <v>44029</v>
      </c>
      <c r="H45" s="542">
        <v>56334</v>
      </c>
      <c r="I45" s="368">
        <v>37.800000000000004</v>
      </c>
      <c r="J45" s="368">
        <v>20.7</v>
      </c>
      <c r="K45" s="104" t="s">
        <v>349</v>
      </c>
    </row>
    <row r="46" spans="3:11" ht="15" customHeight="1">
      <c r="C46" s="492" t="s">
        <v>350</v>
      </c>
      <c r="D46" s="492" t="s">
        <v>350</v>
      </c>
      <c r="F46" s="104" t="s">
        <v>336</v>
      </c>
      <c r="G46" s="542">
        <v>44070</v>
      </c>
      <c r="H46" s="542">
        <v>56334</v>
      </c>
      <c r="I46" s="368">
        <v>37.800000000000004</v>
      </c>
      <c r="J46" s="368">
        <v>20.8</v>
      </c>
      <c r="K46" s="104" t="s">
        <v>351</v>
      </c>
    </row>
    <row r="47" spans="3:11" ht="15" customHeight="1">
      <c r="C47" s="492" t="s">
        <v>352</v>
      </c>
      <c r="D47" s="492" t="s">
        <v>352</v>
      </c>
      <c r="F47" s="104" t="s">
        <v>336</v>
      </c>
      <c r="G47" s="542">
        <v>44610</v>
      </c>
      <c r="H47" s="542">
        <v>56685</v>
      </c>
      <c r="I47" s="368">
        <v>21</v>
      </c>
      <c r="J47" s="368">
        <v>10.9</v>
      </c>
      <c r="K47" s="104" t="s">
        <v>353</v>
      </c>
    </row>
    <row r="48" spans="3:11" ht="15" customHeight="1">
      <c r="C48" s="492" t="s">
        <v>354</v>
      </c>
      <c r="D48" s="492" t="s">
        <v>354</v>
      </c>
      <c r="F48" s="104" t="s">
        <v>336</v>
      </c>
      <c r="G48" s="542">
        <v>44526</v>
      </c>
      <c r="H48" s="542">
        <v>56685</v>
      </c>
      <c r="I48" s="368">
        <v>33.6</v>
      </c>
      <c r="J48" s="368">
        <v>17.600000000000001</v>
      </c>
      <c r="K48" s="104" t="s">
        <v>355</v>
      </c>
    </row>
    <row r="49" spans="3:11" ht="15" customHeight="1">
      <c r="C49" s="492" t="s">
        <v>356</v>
      </c>
      <c r="D49" s="492" t="s">
        <v>356</v>
      </c>
      <c r="F49" s="104" t="s">
        <v>336</v>
      </c>
      <c r="G49" s="542">
        <v>44610</v>
      </c>
      <c r="H49" s="542">
        <v>56685</v>
      </c>
      <c r="I49" s="368">
        <v>37.800000000000004</v>
      </c>
      <c r="J49" s="368">
        <v>18.5</v>
      </c>
      <c r="K49" s="104" t="s">
        <v>357</v>
      </c>
    </row>
    <row r="50" spans="3:11" ht="15" customHeight="1">
      <c r="C50" s="492" t="s">
        <v>358</v>
      </c>
      <c r="D50" s="492" t="s">
        <v>358</v>
      </c>
      <c r="F50" s="104" t="s">
        <v>336</v>
      </c>
      <c r="G50" s="542">
        <v>44572</v>
      </c>
      <c r="H50" s="542">
        <v>56685</v>
      </c>
      <c r="I50" s="368">
        <v>37.800000000000004</v>
      </c>
      <c r="J50" s="368">
        <v>18.7</v>
      </c>
      <c r="K50" s="104" t="s">
        <v>359</v>
      </c>
    </row>
    <row r="51" spans="3:11" ht="15" customHeight="1">
      <c r="C51" s="492" t="s">
        <v>360</v>
      </c>
      <c r="D51" s="492" t="s">
        <v>360</v>
      </c>
      <c r="F51" s="104" t="s">
        <v>336</v>
      </c>
      <c r="G51" s="542">
        <v>44617</v>
      </c>
      <c r="H51" s="542">
        <v>56685</v>
      </c>
      <c r="I51" s="368">
        <v>37.800000000000004</v>
      </c>
      <c r="J51" s="368">
        <v>19.3</v>
      </c>
      <c r="K51" s="104" t="s">
        <v>361</v>
      </c>
    </row>
    <row r="52" spans="3:11" ht="15" customHeight="1">
      <c r="C52" s="492" t="s">
        <v>362</v>
      </c>
      <c r="D52" s="492" t="s">
        <v>362</v>
      </c>
      <c r="F52" s="104" t="s">
        <v>336</v>
      </c>
      <c r="G52" s="542">
        <v>44561</v>
      </c>
      <c r="H52" s="542">
        <v>56685</v>
      </c>
      <c r="I52" s="368">
        <v>37.800000000000004</v>
      </c>
      <c r="J52" s="368">
        <v>20.2</v>
      </c>
      <c r="K52" s="104" t="s">
        <v>363</v>
      </c>
    </row>
    <row r="53" spans="3:11" ht="15" customHeight="1">
      <c r="C53" s="366"/>
      <c r="D53" s="366"/>
    </row>
    <row r="54" spans="3:11" ht="15" customHeight="1">
      <c r="C54" s="361" t="s">
        <v>364</v>
      </c>
      <c r="D54" s="361" t="s">
        <v>365</v>
      </c>
      <c r="F54" s="362"/>
      <c r="G54" s="362"/>
      <c r="H54" s="362"/>
      <c r="I54" s="362"/>
      <c r="J54" s="362"/>
      <c r="K54" s="362"/>
    </row>
    <row r="55" spans="3:11" ht="15" customHeight="1">
      <c r="C55" s="363" t="s">
        <v>366</v>
      </c>
      <c r="D55" s="363" t="s">
        <v>367</v>
      </c>
      <c r="F55" s="363"/>
      <c r="G55" s="363"/>
      <c r="H55" s="363"/>
      <c r="I55" s="544">
        <f>SUM(I56:I69)</f>
        <v>573.21299999999985</v>
      </c>
      <c r="J55" s="544">
        <f>SUM(J56:J69)</f>
        <v>185.19999999999996</v>
      </c>
      <c r="K55" s="364"/>
    </row>
    <row r="56" spans="3:11" ht="15" customHeight="1">
      <c r="C56" s="492" t="s">
        <v>368</v>
      </c>
      <c r="D56" s="492" t="s">
        <v>368</v>
      </c>
      <c r="F56" s="104" t="s">
        <v>369</v>
      </c>
      <c r="G56" s="367">
        <v>45500</v>
      </c>
      <c r="H56" s="542">
        <v>57124</v>
      </c>
      <c r="I56" s="368">
        <v>50</v>
      </c>
      <c r="J56" s="368">
        <v>16.7</v>
      </c>
      <c r="K56" s="104" t="s">
        <v>370</v>
      </c>
    </row>
    <row r="57" spans="3:11" ht="15" customHeight="1">
      <c r="C57" s="492" t="s">
        <v>371</v>
      </c>
      <c r="D57" s="492" t="s">
        <v>371</v>
      </c>
      <c r="F57" s="104" t="s">
        <v>369</v>
      </c>
      <c r="G57" s="367">
        <v>45479</v>
      </c>
      <c r="H57" s="542">
        <v>57124</v>
      </c>
      <c r="I57" s="368">
        <v>50</v>
      </c>
      <c r="J57" s="368">
        <v>16.7</v>
      </c>
      <c r="K57" s="104" t="s">
        <v>372</v>
      </c>
    </row>
    <row r="58" spans="3:11" ht="15" customHeight="1">
      <c r="C58" s="492" t="s">
        <v>373</v>
      </c>
      <c r="D58" s="492" t="s">
        <v>373</v>
      </c>
      <c r="F58" s="104" t="s">
        <v>369</v>
      </c>
      <c r="G58" s="367">
        <v>45483</v>
      </c>
      <c r="H58" s="542">
        <v>57124</v>
      </c>
      <c r="I58" s="368">
        <v>50</v>
      </c>
      <c r="J58" s="368">
        <v>16.7</v>
      </c>
      <c r="K58" s="104" t="s">
        <v>374</v>
      </c>
    </row>
    <row r="59" spans="3:11" ht="15" customHeight="1">
      <c r="C59" s="492" t="s">
        <v>375</v>
      </c>
      <c r="D59" s="492" t="s">
        <v>375</v>
      </c>
      <c r="F59" s="104" t="s">
        <v>369</v>
      </c>
      <c r="G59" s="367">
        <v>45479</v>
      </c>
      <c r="H59" s="542">
        <v>57124</v>
      </c>
      <c r="I59" s="368">
        <v>50</v>
      </c>
      <c r="J59" s="368">
        <v>16.8</v>
      </c>
      <c r="K59" s="104" t="s">
        <v>376</v>
      </c>
    </row>
    <row r="60" spans="3:11" ht="15" customHeight="1">
      <c r="C60" s="492" t="s">
        <v>377</v>
      </c>
      <c r="D60" s="492" t="s">
        <v>377</v>
      </c>
      <c r="F60" s="104" t="s">
        <v>369</v>
      </c>
      <c r="G60" s="367">
        <v>45483</v>
      </c>
      <c r="H60" s="542">
        <v>57124</v>
      </c>
      <c r="I60" s="368">
        <v>50</v>
      </c>
      <c r="J60" s="368">
        <v>16.8</v>
      </c>
      <c r="K60" s="104" t="s">
        <v>378</v>
      </c>
    </row>
    <row r="61" spans="3:11" ht="15" customHeight="1">
      <c r="C61" s="492" t="s">
        <v>379</v>
      </c>
      <c r="D61" s="492" t="s">
        <v>379</v>
      </c>
      <c r="F61" s="104" t="s">
        <v>369</v>
      </c>
      <c r="G61" s="367">
        <v>45483</v>
      </c>
      <c r="H61" s="542">
        <v>57124</v>
      </c>
      <c r="I61" s="368">
        <v>50</v>
      </c>
      <c r="J61" s="368">
        <v>16.8</v>
      </c>
      <c r="K61" s="104" t="s">
        <v>380</v>
      </c>
    </row>
    <row r="62" spans="3:11" ht="15" customHeight="1">
      <c r="C62" s="492" t="s">
        <v>381</v>
      </c>
      <c r="D62" s="492" t="s">
        <v>381</v>
      </c>
      <c r="F62" s="104" t="s">
        <v>369</v>
      </c>
      <c r="G62" s="367">
        <v>45483</v>
      </c>
      <c r="H62" s="542">
        <v>57124</v>
      </c>
      <c r="I62" s="368">
        <v>50</v>
      </c>
      <c r="J62" s="368">
        <v>16.7</v>
      </c>
      <c r="K62" s="104" t="s">
        <v>382</v>
      </c>
    </row>
    <row r="63" spans="3:11" ht="15" customHeight="1">
      <c r="C63" s="492" t="s">
        <v>383</v>
      </c>
      <c r="D63" s="492" t="s">
        <v>383</v>
      </c>
      <c r="F63" s="104" t="s">
        <v>384</v>
      </c>
      <c r="G63" s="367">
        <v>45435</v>
      </c>
      <c r="H63" s="542">
        <v>56461</v>
      </c>
      <c r="I63" s="368">
        <v>16.928999999999998</v>
      </c>
      <c r="J63" s="368">
        <v>5.2</v>
      </c>
      <c r="K63" s="104" t="s">
        <v>385</v>
      </c>
    </row>
    <row r="64" spans="3:11" ht="15" customHeight="1">
      <c r="C64" s="492" t="s">
        <v>386</v>
      </c>
      <c r="D64" s="492" t="s">
        <v>386</v>
      </c>
      <c r="F64" s="104" t="s">
        <v>384</v>
      </c>
      <c r="G64" s="367">
        <v>45435</v>
      </c>
      <c r="H64" s="542">
        <v>56461</v>
      </c>
      <c r="I64" s="368">
        <v>40.755000000000003</v>
      </c>
      <c r="J64" s="368">
        <v>12.5</v>
      </c>
      <c r="K64" s="104" t="s">
        <v>387</v>
      </c>
    </row>
    <row r="65" spans="3:11" ht="15" customHeight="1">
      <c r="C65" s="492" t="s">
        <v>388</v>
      </c>
      <c r="D65" s="492" t="s">
        <v>388</v>
      </c>
      <c r="F65" s="104" t="s">
        <v>384</v>
      </c>
      <c r="G65" s="367">
        <v>45435</v>
      </c>
      <c r="H65" s="542">
        <v>56461</v>
      </c>
      <c r="I65" s="368">
        <v>40.755000000000003</v>
      </c>
      <c r="J65" s="368">
        <v>12.4</v>
      </c>
      <c r="K65" s="104" t="s">
        <v>389</v>
      </c>
    </row>
    <row r="66" spans="3:11" ht="15" customHeight="1">
      <c r="C66" s="492" t="s">
        <v>390</v>
      </c>
      <c r="D66" s="492" t="s">
        <v>390</v>
      </c>
      <c r="F66" s="104" t="s">
        <v>384</v>
      </c>
      <c r="G66" s="367">
        <v>45435</v>
      </c>
      <c r="H66" s="542">
        <v>56461</v>
      </c>
      <c r="I66" s="368">
        <v>20.690999999999999</v>
      </c>
      <c r="J66" s="368">
        <v>6.3</v>
      </c>
      <c r="K66" s="104" t="s">
        <v>391</v>
      </c>
    </row>
    <row r="67" spans="3:11" ht="15" customHeight="1">
      <c r="C67" s="492" t="s">
        <v>392</v>
      </c>
      <c r="D67" s="492" t="s">
        <v>392</v>
      </c>
      <c r="F67" s="104" t="s">
        <v>384</v>
      </c>
      <c r="G67" s="367">
        <v>45435</v>
      </c>
      <c r="H67" s="542">
        <v>56846</v>
      </c>
      <c r="I67" s="368">
        <v>36.993000000000002</v>
      </c>
      <c r="J67" s="368">
        <v>11.2</v>
      </c>
      <c r="K67" s="104" t="s">
        <v>393</v>
      </c>
    </row>
    <row r="68" spans="3:11" ht="15" customHeight="1">
      <c r="C68" s="492" t="s">
        <v>394</v>
      </c>
      <c r="D68" s="492" t="s">
        <v>394</v>
      </c>
      <c r="F68" s="104" t="s">
        <v>384</v>
      </c>
      <c r="G68" s="367">
        <v>45435</v>
      </c>
      <c r="H68" s="542">
        <v>56846</v>
      </c>
      <c r="I68" s="368">
        <v>33.545000000000002</v>
      </c>
      <c r="J68" s="368">
        <v>10.199999999999999</v>
      </c>
      <c r="K68" s="104" t="s">
        <v>395</v>
      </c>
    </row>
    <row r="69" spans="3:11" ht="15" customHeight="1">
      <c r="C69" s="492" t="s">
        <v>396</v>
      </c>
      <c r="D69" s="492" t="s">
        <v>396</v>
      </c>
      <c r="F69" s="104" t="s">
        <v>384</v>
      </c>
      <c r="G69" s="367">
        <v>45435</v>
      </c>
      <c r="H69" s="542">
        <v>56846</v>
      </c>
      <c r="I69" s="368">
        <v>33.545000000000002</v>
      </c>
      <c r="J69" s="368">
        <v>10.199999999999999</v>
      </c>
      <c r="K69" s="104" t="s">
        <v>397</v>
      </c>
    </row>
    <row r="70" spans="3:11" ht="15" customHeight="1">
      <c r="C70" s="371"/>
      <c r="D70" s="371"/>
      <c r="K70" s="270"/>
    </row>
    <row r="73" spans="3:11" ht="15" customHeight="1">
      <c r="C73" s="359" t="s">
        <v>398</v>
      </c>
      <c r="D73" s="359" t="s">
        <v>399</v>
      </c>
      <c r="F73" s="360"/>
      <c r="G73" s="360"/>
      <c r="H73" s="360"/>
      <c r="I73" s="360"/>
      <c r="J73" s="360"/>
    </row>
    <row r="75" spans="3:11" ht="15" customHeight="1">
      <c r="F75" s="415">
        <v>2022</v>
      </c>
      <c r="G75" s="415">
        <v>2023</v>
      </c>
      <c r="H75" s="415">
        <v>2024</v>
      </c>
      <c r="I75" s="415">
        <v>2025</v>
      </c>
      <c r="J75" s="415">
        <v>2026</v>
      </c>
      <c r="K75" s="270"/>
    </row>
    <row r="76" spans="3:11" ht="15" customHeight="1">
      <c r="C76" s="363" t="s">
        <v>400</v>
      </c>
      <c r="D76" s="363" t="s">
        <v>401</v>
      </c>
      <c r="F76" s="372">
        <v>614.50000000000011</v>
      </c>
      <c r="G76" s="372">
        <v>614.50000000000011</v>
      </c>
      <c r="H76" s="372">
        <v>614.50000000000011</v>
      </c>
      <c r="I76" s="372">
        <v>614.50000000000011</v>
      </c>
      <c r="J76" s="372">
        <v>614.50000000000011</v>
      </c>
      <c r="K76" s="270"/>
    </row>
    <row r="77" spans="3:11" ht="15" customHeight="1">
      <c r="C77" s="366" t="s">
        <v>402</v>
      </c>
      <c r="D77" s="366" t="s">
        <v>402</v>
      </c>
      <c r="F77" s="368">
        <v>17.2</v>
      </c>
      <c r="G77" s="368">
        <v>17.2</v>
      </c>
      <c r="H77" s="368">
        <v>17.2</v>
      </c>
      <c r="I77" s="368">
        <v>17.2</v>
      </c>
      <c r="J77" s="368">
        <v>17.2</v>
      </c>
      <c r="K77" s="270"/>
    </row>
    <row r="78" spans="3:11" ht="15" customHeight="1">
      <c r="C78" s="366" t="s">
        <v>403</v>
      </c>
      <c r="D78" s="366" t="s">
        <v>403</v>
      </c>
      <c r="F78" s="368">
        <v>15.5</v>
      </c>
      <c r="G78" s="368">
        <v>15.5</v>
      </c>
      <c r="H78" s="368">
        <v>15.5</v>
      </c>
      <c r="I78" s="368">
        <v>15.5</v>
      </c>
      <c r="J78" s="368">
        <v>15.5</v>
      </c>
      <c r="K78" s="270"/>
    </row>
    <row r="79" spans="3:11" ht="15" customHeight="1">
      <c r="C79" s="366" t="s">
        <v>404</v>
      </c>
      <c r="D79" s="366" t="s">
        <v>404</v>
      </c>
      <c r="F79" s="368">
        <v>15.2</v>
      </c>
      <c r="G79" s="368">
        <v>15.2</v>
      </c>
      <c r="H79" s="368">
        <v>15.2</v>
      </c>
      <c r="I79" s="368">
        <v>15.2</v>
      </c>
      <c r="J79" s="368">
        <v>15.2</v>
      </c>
      <c r="K79" s="270"/>
    </row>
    <row r="80" spans="3:11" ht="15" customHeight="1">
      <c r="C80" s="366" t="s">
        <v>405</v>
      </c>
      <c r="D80" s="366" t="s">
        <v>405</v>
      </c>
      <c r="F80" s="368">
        <v>15.7</v>
      </c>
      <c r="G80" s="368">
        <v>15.7</v>
      </c>
      <c r="H80" s="368">
        <v>15.7</v>
      </c>
      <c r="I80" s="368">
        <v>15.7</v>
      </c>
      <c r="J80" s="368">
        <v>15.7</v>
      </c>
      <c r="K80" s="270"/>
    </row>
    <row r="81" spans="3:10" ht="15" customHeight="1">
      <c r="C81" s="366" t="s">
        <v>406</v>
      </c>
      <c r="D81" s="366" t="s">
        <v>406</v>
      </c>
      <c r="F81" s="368">
        <v>18.600000000000001</v>
      </c>
      <c r="G81" s="368">
        <v>18.600000000000001</v>
      </c>
      <c r="H81" s="368">
        <v>18.600000000000001</v>
      </c>
      <c r="I81" s="368">
        <v>18.600000000000001</v>
      </c>
      <c r="J81" s="368">
        <v>18.600000000000001</v>
      </c>
    </row>
    <row r="82" spans="3:10" ht="15" customHeight="1">
      <c r="C82" s="366" t="s">
        <v>407</v>
      </c>
      <c r="D82" s="366" t="s">
        <v>407</v>
      </c>
      <c r="F82" s="368">
        <v>15.2</v>
      </c>
      <c r="G82" s="368">
        <v>15.2</v>
      </c>
      <c r="H82" s="368">
        <v>15.2</v>
      </c>
      <c r="I82" s="368">
        <v>15.2</v>
      </c>
      <c r="J82" s="368">
        <v>15.2</v>
      </c>
    </row>
    <row r="83" spans="3:10" ht="15" customHeight="1">
      <c r="C83" s="366" t="s">
        <v>408</v>
      </c>
      <c r="D83" s="366" t="s">
        <v>408</v>
      </c>
      <c r="F83" s="368">
        <v>13</v>
      </c>
      <c r="G83" s="368">
        <v>13</v>
      </c>
      <c r="H83" s="368">
        <v>13</v>
      </c>
      <c r="I83" s="368">
        <v>13</v>
      </c>
      <c r="J83" s="368">
        <v>13</v>
      </c>
    </row>
    <row r="84" spans="3:10" ht="15" customHeight="1">
      <c r="C84" s="366" t="s">
        <v>409</v>
      </c>
      <c r="D84" s="366" t="s">
        <v>409</v>
      </c>
      <c r="F84" s="368">
        <v>11.7</v>
      </c>
      <c r="G84" s="368">
        <v>11.7</v>
      </c>
      <c r="H84" s="368">
        <v>11.7</v>
      </c>
      <c r="I84" s="368">
        <v>11.7</v>
      </c>
      <c r="J84" s="368">
        <v>11.7</v>
      </c>
    </row>
    <row r="85" spans="3:10" ht="15" customHeight="1">
      <c r="C85" s="366" t="s">
        <v>410</v>
      </c>
      <c r="D85" s="366" t="s">
        <v>410</v>
      </c>
      <c r="F85" s="368">
        <v>14.1</v>
      </c>
      <c r="G85" s="368">
        <v>14.1</v>
      </c>
      <c r="H85" s="368">
        <v>14.1</v>
      </c>
      <c r="I85" s="368">
        <v>14.1</v>
      </c>
      <c r="J85" s="368">
        <v>14.1</v>
      </c>
    </row>
    <row r="86" spans="3:10" ht="15" customHeight="1">
      <c r="C86" s="366" t="s">
        <v>411</v>
      </c>
      <c r="D86" s="366" t="s">
        <v>411</v>
      </c>
      <c r="F86" s="368">
        <v>15.5</v>
      </c>
      <c r="G86" s="368">
        <v>15.5</v>
      </c>
      <c r="H86" s="368">
        <v>15.5</v>
      </c>
      <c r="I86" s="368">
        <v>15.5</v>
      </c>
      <c r="J86" s="368">
        <v>15.5</v>
      </c>
    </row>
    <row r="87" spans="3:10" ht="15" customHeight="1">
      <c r="C87" s="366" t="s">
        <v>412</v>
      </c>
      <c r="D87" s="366" t="s">
        <v>412</v>
      </c>
      <c r="F87" s="368">
        <v>14.6</v>
      </c>
      <c r="G87" s="368">
        <v>14.6</v>
      </c>
      <c r="H87" s="368">
        <v>14.6</v>
      </c>
      <c r="I87" s="368">
        <v>14.6</v>
      </c>
      <c r="J87" s="368">
        <v>14.6</v>
      </c>
    </row>
    <row r="88" spans="3:10" ht="15" customHeight="1">
      <c r="C88" s="366" t="s">
        <v>413</v>
      </c>
      <c r="D88" s="366" t="s">
        <v>413</v>
      </c>
      <c r="F88" s="368">
        <v>15.5</v>
      </c>
      <c r="G88" s="368">
        <v>15.5</v>
      </c>
      <c r="H88" s="368">
        <v>15.5</v>
      </c>
      <c r="I88" s="368">
        <v>15.5</v>
      </c>
      <c r="J88" s="368">
        <v>15.5</v>
      </c>
    </row>
    <row r="89" spans="3:10" ht="15" customHeight="1">
      <c r="C89" s="366" t="s">
        <v>207</v>
      </c>
      <c r="D89" s="366" t="s">
        <v>207</v>
      </c>
      <c r="F89" s="368">
        <v>15.2</v>
      </c>
      <c r="G89" s="368">
        <v>15.2</v>
      </c>
      <c r="H89" s="368">
        <v>15.2</v>
      </c>
      <c r="I89" s="368">
        <v>15.2</v>
      </c>
      <c r="J89" s="368">
        <v>15.2</v>
      </c>
    </row>
    <row r="90" spans="3:10" ht="15" customHeight="1">
      <c r="C90" s="366" t="s">
        <v>414</v>
      </c>
      <c r="D90" s="366" t="s">
        <v>414</v>
      </c>
      <c r="F90" s="368">
        <v>6.56</v>
      </c>
      <c r="G90" s="368">
        <v>6.56</v>
      </c>
      <c r="H90" s="368">
        <v>6.56</v>
      </c>
      <c r="I90" s="368">
        <v>6.56</v>
      </c>
      <c r="J90" s="368">
        <v>6.56</v>
      </c>
    </row>
    <row r="91" spans="3:10" ht="15" customHeight="1">
      <c r="C91" s="366" t="s">
        <v>415</v>
      </c>
      <c r="D91" s="366" t="s">
        <v>415</v>
      </c>
      <c r="F91" s="368">
        <v>8.4</v>
      </c>
      <c r="G91" s="368">
        <v>8.4</v>
      </c>
      <c r="H91" s="368">
        <v>8.4</v>
      </c>
      <c r="I91" s="368">
        <v>8.4</v>
      </c>
      <c r="J91" s="368">
        <v>8.4</v>
      </c>
    </row>
    <row r="92" spans="3:10" ht="15" customHeight="1">
      <c r="C92" s="366" t="s">
        <v>416</v>
      </c>
      <c r="D92" s="366" t="s">
        <v>416</v>
      </c>
      <c r="F92" s="368">
        <v>10.84</v>
      </c>
      <c r="G92" s="368">
        <v>10.84</v>
      </c>
      <c r="H92" s="368">
        <v>10.84</v>
      </c>
      <c r="I92" s="368">
        <v>10.84</v>
      </c>
      <c r="J92" s="368">
        <v>10.84</v>
      </c>
    </row>
    <row r="93" spans="3:10" ht="15" customHeight="1">
      <c r="C93" s="366" t="s">
        <v>417</v>
      </c>
      <c r="D93" s="366" t="s">
        <v>417</v>
      </c>
      <c r="F93" s="368">
        <v>6.8</v>
      </c>
      <c r="G93" s="368">
        <v>6.8</v>
      </c>
      <c r="H93" s="368">
        <v>6.8</v>
      </c>
      <c r="I93" s="368">
        <v>6.8</v>
      </c>
      <c r="J93" s="368">
        <v>6.8</v>
      </c>
    </row>
    <row r="94" spans="3:10" ht="15" customHeight="1">
      <c r="C94" s="366" t="s">
        <v>418</v>
      </c>
      <c r="D94" s="366" t="s">
        <v>418</v>
      </c>
      <c r="F94" s="368">
        <v>9.6999999999999993</v>
      </c>
      <c r="G94" s="368">
        <v>9.6999999999999993</v>
      </c>
      <c r="H94" s="368">
        <v>9.6999999999999993</v>
      </c>
      <c r="I94" s="368">
        <v>9.6999999999999993</v>
      </c>
      <c r="J94" s="368">
        <v>9.6999999999999993</v>
      </c>
    </row>
    <row r="95" spans="3:10" ht="15" customHeight="1">
      <c r="C95" s="366" t="s">
        <v>419</v>
      </c>
      <c r="D95" s="366" t="s">
        <v>419</v>
      </c>
      <c r="F95" s="368">
        <v>13.5</v>
      </c>
      <c r="G95" s="368">
        <v>13.5</v>
      </c>
      <c r="H95" s="368">
        <v>13.5</v>
      </c>
      <c r="I95" s="368">
        <v>13.5</v>
      </c>
      <c r="J95" s="368">
        <v>13.5</v>
      </c>
    </row>
    <row r="96" spans="3:10" ht="15" customHeight="1">
      <c r="C96" s="366" t="s">
        <v>420</v>
      </c>
      <c r="D96" s="366" t="s">
        <v>420</v>
      </c>
      <c r="F96" s="368">
        <v>12.7</v>
      </c>
      <c r="G96" s="368">
        <v>12.7</v>
      </c>
      <c r="H96" s="368">
        <v>12.7</v>
      </c>
      <c r="I96" s="368">
        <v>12.7</v>
      </c>
      <c r="J96" s="368">
        <v>12.7</v>
      </c>
    </row>
    <row r="97" spans="3:10" ht="15" customHeight="1">
      <c r="C97" s="366" t="s">
        <v>421</v>
      </c>
      <c r="D97" s="366" t="s">
        <v>421</v>
      </c>
      <c r="F97" s="368">
        <v>9</v>
      </c>
      <c r="G97" s="368">
        <v>9</v>
      </c>
      <c r="H97" s="368">
        <v>9</v>
      </c>
      <c r="I97" s="368">
        <v>9</v>
      </c>
      <c r="J97" s="368">
        <v>9</v>
      </c>
    </row>
    <row r="98" spans="3:10" ht="15" customHeight="1">
      <c r="C98" s="366" t="s">
        <v>422</v>
      </c>
      <c r="D98" s="366" t="s">
        <v>422</v>
      </c>
      <c r="F98" s="368">
        <v>13.2</v>
      </c>
      <c r="G98" s="368">
        <v>13.2</v>
      </c>
      <c r="H98" s="368">
        <v>13.2</v>
      </c>
      <c r="I98" s="368">
        <v>13.2</v>
      </c>
      <c r="J98" s="368">
        <v>13.2</v>
      </c>
    </row>
    <row r="99" spans="3:10" ht="15" customHeight="1">
      <c r="C99" s="366" t="s">
        <v>423</v>
      </c>
      <c r="D99" s="366" t="s">
        <v>423</v>
      </c>
      <c r="F99" s="368">
        <v>21.5</v>
      </c>
      <c r="G99" s="368">
        <v>21.5</v>
      </c>
      <c r="H99" s="368">
        <v>21.5</v>
      </c>
      <c r="I99" s="368">
        <v>21.5</v>
      </c>
      <c r="J99" s="368">
        <v>21.5</v>
      </c>
    </row>
    <row r="100" spans="3:10" ht="15" customHeight="1">
      <c r="C100" s="366" t="s">
        <v>424</v>
      </c>
      <c r="D100" s="366" t="s">
        <v>424</v>
      </c>
      <c r="F100" s="368">
        <v>13.3</v>
      </c>
      <c r="G100" s="368">
        <v>13.3</v>
      </c>
      <c r="H100" s="368">
        <v>13.3</v>
      </c>
      <c r="I100" s="368">
        <v>13.3</v>
      </c>
      <c r="J100" s="368">
        <v>13.3</v>
      </c>
    </row>
    <row r="101" spans="3:10" ht="15" customHeight="1">
      <c r="C101" s="366" t="s">
        <v>425</v>
      </c>
      <c r="D101" s="366" t="s">
        <v>425</v>
      </c>
      <c r="F101" s="368">
        <v>21.1</v>
      </c>
      <c r="G101" s="368">
        <v>21.1</v>
      </c>
      <c r="H101" s="368">
        <v>21.1</v>
      </c>
      <c r="I101" s="368">
        <v>21.1</v>
      </c>
      <c r="J101" s="368">
        <v>21.1</v>
      </c>
    </row>
    <row r="102" spans="3:10" ht="15" customHeight="1">
      <c r="C102" s="366" t="s">
        <v>426</v>
      </c>
      <c r="D102" s="366" t="s">
        <v>426</v>
      </c>
      <c r="F102" s="368">
        <v>15.2</v>
      </c>
      <c r="G102" s="368">
        <v>15.2</v>
      </c>
      <c r="H102" s="368">
        <v>15.2</v>
      </c>
      <c r="I102" s="368">
        <v>15.2</v>
      </c>
      <c r="J102" s="368">
        <v>15.2</v>
      </c>
    </row>
    <row r="103" spans="3:10" ht="15" customHeight="1">
      <c r="C103" s="366" t="s">
        <v>427</v>
      </c>
      <c r="D103" s="366" t="s">
        <v>427</v>
      </c>
      <c r="F103" s="368">
        <v>9</v>
      </c>
      <c r="G103" s="368">
        <v>9</v>
      </c>
      <c r="H103" s="368">
        <v>9</v>
      </c>
      <c r="I103" s="368">
        <v>9</v>
      </c>
      <c r="J103" s="368">
        <v>9</v>
      </c>
    </row>
    <row r="104" spans="3:10" ht="15" customHeight="1">
      <c r="C104" s="366" t="s">
        <v>428</v>
      </c>
      <c r="D104" s="366" t="s">
        <v>428</v>
      </c>
      <c r="F104" s="368">
        <v>11</v>
      </c>
      <c r="G104" s="368">
        <v>11</v>
      </c>
      <c r="H104" s="368">
        <v>11</v>
      </c>
      <c r="I104" s="368">
        <v>11</v>
      </c>
      <c r="J104" s="368">
        <v>11</v>
      </c>
    </row>
    <row r="105" spans="3:10" ht="15" customHeight="1">
      <c r="C105" s="366" t="s">
        <v>429</v>
      </c>
      <c r="D105" s="366" t="s">
        <v>429</v>
      </c>
      <c r="F105" s="368">
        <v>10.1</v>
      </c>
      <c r="G105" s="368">
        <v>10.1</v>
      </c>
      <c r="H105" s="368">
        <v>10.1</v>
      </c>
      <c r="I105" s="368">
        <v>10.1</v>
      </c>
      <c r="J105" s="368">
        <v>10.1</v>
      </c>
    </row>
    <row r="106" spans="3:10" ht="15" customHeight="1">
      <c r="C106" s="366" t="s">
        <v>430</v>
      </c>
      <c r="D106" s="366" t="s">
        <v>430</v>
      </c>
      <c r="F106" s="368">
        <v>9.6999999999999993</v>
      </c>
      <c r="G106" s="368">
        <v>9.6999999999999993</v>
      </c>
      <c r="H106" s="368">
        <v>9.6999999999999993</v>
      </c>
      <c r="I106" s="368">
        <v>9.6999999999999993</v>
      </c>
      <c r="J106" s="368">
        <v>9.6999999999999993</v>
      </c>
    </row>
    <row r="107" spans="3:10" ht="15" customHeight="1">
      <c r="C107" s="366" t="s">
        <v>431</v>
      </c>
      <c r="D107" s="366" t="s">
        <v>431</v>
      </c>
      <c r="F107" s="368">
        <v>15.3</v>
      </c>
      <c r="G107" s="368">
        <v>15.3</v>
      </c>
      <c r="H107" s="368">
        <v>15.3</v>
      </c>
      <c r="I107" s="368">
        <v>15.3</v>
      </c>
      <c r="J107" s="368">
        <v>15.3</v>
      </c>
    </row>
    <row r="108" spans="3:10" ht="15" customHeight="1">
      <c r="C108" s="366" t="s">
        <v>432</v>
      </c>
      <c r="D108" s="366" t="s">
        <v>432</v>
      </c>
      <c r="F108" s="368">
        <v>23.6</v>
      </c>
      <c r="G108" s="368">
        <v>23.6</v>
      </c>
      <c r="H108" s="368">
        <v>23.6</v>
      </c>
      <c r="I108" s="368">
        <v>23.6</v>
      </c>
      <c r="J108" s="368">
        <v>23.6</v>
      </c>
    </row>
    <row r="109" spans="3:10" ht="15" customHeight="1">
      <c r="C109" s="366" t="s">
        <v>433</v>
      </c>
      <c r="D109" s="366" t="s">
        <v>433</v>
      </c>
      <c r="F109" s="368">
        <v>21.2</v>
      </c>
      <c r="G109" s="368">
        <v>21.2</v>
      </c>
      <c r="H109" s="368">
        <v>21.2</v>
      </c>
      <c r="I109" s="368">
        <v>21.2</v>
      </c>
      <c r="J109" s="368">
        <v>21.2</v>
      </c>
    </row>
    <row r="110" spans="3:10" ht="15" customHeight="1">
      <c r="C110" s="366" t="s">
        <v>434</v>
      </c>
      <c r="D110" s="366" t="s">
        <v>434</v>
      </c>
      <c r="F110" s="368">
        <v>9.1</v>
      </c>
      <c r="G110" s="368">
        <v>9.1</v>
      </c>
      <c r="H110" s="368">
        <v>9.1</v>
      </c>
      <c r="I110" s="368">
        <v>9.1</v>
      </c>
      <c r="J110" s="368">
        <v>9.1</v>
      </c>
    </row>
    <row r="111" spans="3:10" ht="15" customHeight="1">
      <c r="C111" s="366" t="s">
        <v>435</v>
      </c>
      <c r="D111" s="366" t="s">
        <v>435</v>
      </c>
      <c r="F111" s="368">
        <v>20.7</v>
      </c>
      <c r="G111" s="368">
        <v>20.7</v>
      </c>
      <c r="H111" s="368">
        <v>20.7</v>
      </c>
      <c r="I111" s="368">
        <v>20.7</v>
      </c>
      <c r="J111" s="368">
        <v>20.7</v>
      </c>
    </row>
    <row r="112" spans="3:10" ht="15" customHeight="1">
      <c r="C112" s="366" t="s">
        <v>436</v>
      </c>
      <c r="D112" s="366" t="s">
        <v>436</v>
      </c>
      <c r="F112" s="368">
        <v>20.8</v>
      </c>
      <c r="G112" s="368">
        <v>20.8</v>
      </c>
      <c r="H112" s="368">
        <v>20.8</v>
      </c>
      <c r="I112" s="368">
        <v>20.8</v>
      </c>
      <c r="J112" s="368">
        <v>20.8</v>
      </c>
    </row>
    <row r="113" spans="3:14" ht="15" customHeight="1">
      <c r="C113" s="366" t="s">
        <v>437</v>
      </c>
      <c r="D113" s="366" t="s">
        <v>437</v>
      </c>
      <c r="F113" s="368">
        <v>10.9</v>
      </c>
      <c r="G113" s="368">
        <v>10.9</v>
      </c>
      <c r="H113" s="368">
        <v>10.9</v>
      </c>
      <c r="I113" s="368">
        <v>10.9</v>
      </c>
      <c r="J113" s="368">
        <v>10.9</v>
      </c>
      <c r="K113" s="270"/>
      <c r="L113" s="270"/>
    </row>
    <row r="114" spans="3:14" ht="15" customHeight="1">
      <c r="C114" s="366" t="s">
        <v>438</v>
      </c>
      <c r="D114" s="366" t="s">
        <v>438</v>
      </c>
      <c r="F114" s="368">
        <v>17.600000000000001</v>
      </c>
      <c r="G114" s="368">
        <v>17.600000000000001</v>
      </c>
      <c r="H114" s="368">
        <v>17.600000000000001</v>
      </c>
      <c r="I114" s="368">
        <v>17.600000000000001</v>
      </c>
      <c r="J114" s="368">
        <v>17.600000000000001</v>
      </c>
      <c r="K114" s="270"/>
      <c r="L114" s="270"/>
    </row>
    <row r="115" spans="3:14" ht="15" customHeight="1">
      <c r="C115" s="366" t="s">
        <v>439</v>
      </c>
      <c r="D115" s="366" t="s">
        <v>439</v>
      </c>
      <c r="F115" s="368">
        <v>18.5</v>
      </c>
      <c r="G115" s="368">
        <v>18.5</v>
      </c>
      <c r="H115" s="368">
        <v>18.5</v>
      </c>
      <c r="I115" s="368">
        <v>18.5</v>
      </c>
      <c r="J115" s="368">
        <v>18.5</v>
      </c>
      <c r="K115" s="270"/>
      <c r="L115" s="270"/>
    </row>
    <row r="116" spans="3:14" ht="15" customHeight="1">
      <c r="C116" s="366" t="s">
        <v>440</v>
      </c>
      <c r="D116" s="366" t="s">
        <v>440</v>
      </c>
      <c r="F116" s="368">
        <v>18.7</v>
      </c>
      <c r="G116" s="368">
        <v>18.7</v>
      </c>
      <c r="H116" s="368">
        <v>18.7</v>
      </c>
      <c r="I116" s="368">
        <v>18.7</v>
      </c>
      <c r="J116" s="368">
        <v>18.7</v>
      </c>
      <c r="K116" s="270"/>
      <c r="L116" s="270"/>
    </row>
    <row r="117" spans="3:14" ht="15" customHeight="1">
      <c r="C117" s="366" t="s">
        <v>441</v>
      </c>
      <c r="D117" s="366" t="s">
        <v>441</v>
      </c>
      <c r="F117" s="368">
        <v>19.3</v>
      </c>
      <c r="G117" s="368">
        <v>19.3</v>
      </c>
      <c r="H117" s="368">
        <v>19.3</v>
      </c>
      <c r="I117" s="368">
        <v>19.3</v>
      </c>
      <c r="J117" s="368">
        <v>19.3</v>
      </c>
      <c r="K117" s="270"/>
      <c r="L117" s="270"/>
    </row>
    <row r="118" spans="3:14" ht="15" customHeight="1">
      <c r="C118" s="366" t="s">
        <v>442</v>
      </c>
      <c r="D118" s="366" t="s">
        <v>442</v>
      </c>
      <c r="F118" s="368">
        <v>20.2</v>
      </c>
      <c r="G118" s="368">
        <v>20.2</v>
      </c>
      <c r="H118" s="368">
        <v>20.2</v>
      </c>
      <c r="I118" s="368">
        <v>20.2</v>
      </c>
      <c r="J118" s="368">
        <v>20.2</v>
      </c>
      <c r="K118" s="270"/>
      <c r="L118" s="270"/>
    </row>
    <row r="119" spans="3:14" ht="15" customHeight="1">
      <c r="C119" s="492"/>
      <c r="D119" s="366"/>
      <c r="F119" s="368"/>
      <c r="G119" s="368"/>
      <c r="H119" s="368"/>
      <c r="I119" s="368"/>
      <c r="J119" s="368"/>
      <c r="K119" s="270"/>
      <c r="L119" s="270"/>
    </row>
    <row r="120" spans="3:14" ht="15" customHeight="1">
      <c r="C120" s="366"/>
      <c r="D120" s="366"/>
      <c r="F120" s="368"/>
      <c r="G120" s="368"/>
      <c r="H120" s="368"/>
      <c r="I120" s="368"/>
      <c r="J120" s="368"/>
      <c r="K120" s="270"/>
      <c r="L120" s="270"/>
    </row>
    <row r="121" spans="3:14" ht="15" customHeight="1">
      <c r="C121" s="371" t="s">
        <v>443</v>
      </c>
      <c r="D121" s="371" t="s">
        <v>444</v>
      </c>
      <c r="F121" s="415">
        <v>2023</v>
      </c>
      <c r="G121" s="415">
        <f>F121+1</f>
        <v>2024</v>
      </c>
      <c r="H121" s="415">
        <f>G121+1</f>
        <v>2025</v>
      </c>
      <c r="I121" s="415">
        <f>H121+1</f>
        <v>2026</v>
      </c>
      <c r="J121" s="415">
        <f>I121+1</f>
        <v>2027</v>
      </c>
      <c r="K121" s="415">
        <f>J121+1</f>
        <v>2028</v>
      </c>
      <c r="L121" s="270"/>
    </row>
    <row r="122" spans="3:14" ht="15" customHeight="1">
      <c r="C122" s="373" t="s">
        <v>400</v>
      </c>
      <c r="D122" s="373" t="s">
        <v>401</v>
      </c>
      <c r="F122" s="374">
        <v>615.20000000000016</v>
      </c>
      <c r="G122" s="374">
        <v>615.20000000000016</v>
      </c>
      <c r="H122" s="374">
        <v>615.20000000000016</v>
      </c>
      <c r="I122" s="374">
        <v>615.20000000000016</v>
      </c>
      <c r="J122" s="374">
        <v>615.20000000000016</v>
      </c>
      <c r="K122" s="374">
        <v>615.20000000000016</v>
      </c>
      <c r="L122" s="270"/>
    </row>
    <row r="123" spans="3:14" ht="41.4">
      <c r="C123" s="415"/>
      <c r="D123" s="415"/>
      <c r="F123" s="415">
        <v>2023</v>
      </c>
      <c r="G123" s="415">
        <v>2024</v>
      </c>
      <c r="H123" s="415">
        <v>2025</v>
      </c>
      <c r="I123" s="415">
        <v>2026</v>
      </c>
      <c r="J123" s="415">
        <v>2027</v>
      </c>
      <c r="K123" s="415">
        <v>2028</v>
      </c>
      <c r="L123" s="414" t="s">
        <v>2123</v>
      </c>
      <c r="M123" s="414" t="s">
        <v>2124</v>
      </c>
      <c r="N123" s="414" t="s">
        <v>2125</v>
      </c>
    </row>
    <row r="124" spans="3:14" ht="15" customHeight="1">
      <c r="C124" s="361" t="s">
        <v>445</v>
      </c>
      <c r="D124" s="361" t="s">
        <v>446</v>
      </c>
      <c r="F124" s="787">
        <v>331.09998922831051</v>
      </c>
      <c r="G124" s="787">
        <v>331.09998922831051</v>
      </c>
      <c r="H124" s="787">
        <v>331.09998922831051</v>
      </c>
      <c r="I124" s="787">
        <v>331.1</v>
      </c>
      <c r="J124" s="787">
        <v>331.1</v>
      </c>
      <c r="K124" s="787">
        <v>331.1</v>
      </c>
      <c r="L124" s="646" t="s">
        <v>447</v>
      </c>
      <c r="M124" s="647">
        <v>277.61359106010269</v>
      </c>
      <c r="N124" s="647">
        <v>267.48069498640893</v>
      </c>
    </row>
    <row r="125" spans="3:14" ht="15" customHeight="1">
      <c r="C125" s="366" t="s">
        <v>448</v>
      </c>
      <c r="D125" s="366" t="s">
        <v>448</v>
      </c>
      <c r="F125" s="786">
        <v>67.800000228310495</v>
      </c>
      <c r="G125" s="786">
        <v>67.800000228310495</v>
      </c>
      <c r="H125" s="786">
        <v>67.800000228310495</v>
      </c>
      <c r="I125" s="786">
        <v>67.8</v>
      </c>
      <c r="J125" s="786">
        <v>67.8</v>
      </c>
      <c r="K125" s="786">
        <v>67.8</v>
      </c>
      <c r="L125" s="542">
        <v>40299</v>
      </c>
      <c r="M125" s="648">
        <v>318.8</v>
      </c>
      <c r="N125" s="648">
        <v>307.16380000000004</v>
      </c>
    </row>
    <row r="126" spans="3:14" ht="15" customHeight="1">
      <c r="C126" s="366" t="s">
        <v>449</v>
      </c>
      <c r="D126" s="366" t="s">
        <v>449</v>
      </c>
      <c r="F126" s="786">
        <v>22.599999</v>
      </c>
      <c r="G126" s="786">
        <v>22.599999</v>
      </c>
      <c r="H126" s="786">
        <v>22.599999</v>
      </c>
      <c r="I126" s="786">
        <v>22.6</v>
      </c>
      <c r="J126" s="786">
        <v>22.6</v>
      </c>
      <c r="K126" s="786">
        <v>22.6</v>
      </c>
      <c r="L126" s="542">
        <v>41640</v>
      </c>
      <c r="M126" s="648">
        <v>239.3</v>
      </c>
      <c r="N126" s="648">
        <v>230.56555000000003</v>
      </c>
    </row>
    <row r="127" spans="3:14" ht="15" customHeight="1">
      <c r="C127" s="366" t="s">
        <v>450</v>
      </c>
      <c r="D127" s="366" t="s">
        <v>450</v>
      </c>
      <c r="F127" s="786">
        <v>107.799993</v>
      </c>
      <c r="G127" s="786">
        <v>107.799993</v>
      </c>
      <c r="H127" s="786">
        <v>107.799993</v>
      </c>
      <c r="I127" s="786">
        <v>107.8</v>
      </c>
      <c r="J127" s="786">
        <v>107.8</v>
      </c>
      <c r="K127" s="786">
        <v>107.8</v>
      </c>
      <c r="L127" s="542">
        <v>41821</v>
      </c>
      <c r="M127" s="648">
        <v>252.4</v>
      </c>
      <c r="N127" s="648">
        <v>243.18740000000003</v>
      </c>
    </row>
    <row r="128" spans="3:14" ht="15" customHeight="1">
      <c r="C128" s="366" t="s">
        <v>451</v>
      </c>
      <c r="D128" s="366" t="s">
        <v>451</v>
      </c>
      <c r="F128" s="786">
        <v>14.399996999999992</v>
      </c>
      <c r="G128" s="786">
        <v>14.399996999999992</v>
      </c>
      <c r="H128" s="786">
        <v>14.399996999999992</v>
      </c>
      <c r="I128" s="786">
        <v>14.4</v>
      </c>
      <c r="J128" s="786">
        <v>14.4</v>
      </c>
      <c r="K128" s="786">
        <v>14.4</v>
      </c>
      <c r="L128" s="542">
        <v>41974</v>
      </c>
      <c r="M128" s="648">
        <v>254.6</v>
      </c>
      <c r="N128" s="648">
        <v>245.30709999999999</v>
      </c>
    </row>
    <row r="129" spans="3:14" ht="15" customHeight="1">
      <c r="C129" s="366" t="s">
        <v>452</v>
      </c>
      <c r="D129" s="366" t="s">
        <v>452</v>
      </c>
      <c r="F129" s="786">
        <v>16</v>
      </c>
      <c r="G129" s="786">
        <v>16</v>
      </c>
      <c r="H129" s="786">
        <v>16</v>
      </c>
      <c r="I129" s="786">
        <v>16</v>
      </c>
      <c r="J129" s="786">
        <v>16</v>
      </c>
      <c r="K129" s="786">
        <v>16</v>
      </c>
      <c r="L129" s="542">
        <v>40179</v>
      </c>
      <c r="M129" s="648">
        <v>373.3</v>
      </c>
      <c r="N129" s="648">
        <v>359.67455000000001</v>
      </c>
    </row>
    <row r="130" spans="3:14" ht="15" customHeight="1">
      <c r="C130" s="366" t="s">
        <v>453</v>
      </c>
      <c r="D130" s="366" t="s">
        <v>453</v>
      </c>
      <c r="F130" s="786">
        <v>49.5</v>
      </c>
      <c r="G130" s="786">
        <v>49.5</v>
      </c>
      <c r="H130" s="786">
        <v>49.5</v>
      </c>
      <c r="I130" s="786">
        <v>49.5</v>
      </c>
      <c r="J130" s="786">
        <v>49.5</v>
      </c>
      <c r="K130" s="786">
        <v>49.5</v>
      </c>
      <c r="L130" s="542">
        <v>40330</v>
      </c>
      <c r="M130" s="648">
        <v>296.89999999999998</v>
      </c>
      <c r="N130" s="648">
        <v>286.06315000000001</v>
      </c>
    </row>
    <row r="131" spans="3:14" ht="15" customHeight="1">
      <c r="C131" s="366" t="s">
        <v>454</v>
      </c>
      <c r="D131" s="366" t="s">
        <v>454</v>
      </c>
      <c r="F131" s="786">
        <v>22.200000000000003</v>
      </c>
      <c r="G131" s="786">
        <v>22.200000000000003</v>
      </c>
      <c r="H131" s="786">
        <v>22.200000000000003</v>
      </c>
      <c r="I131" s="786">
        <v>22.2</v>
      </c>
      <c r="J131" s="786">
        <v>22.2</v>
      </c>
      <c r="K131" s="786">
        <v>22.2</v>
      </c>
      <c r="L131" s="542">
        <v>40787</v>
      </c>
      <c r="M131" s="648">
        <v>224.7</v>
      </c>
      <c r="N131" s="648">
        <v>216.49844999999999</v>
      </c>
    </row>
    <row r="132" spans="3:14" ht="15" customHeight="1">
      <c r="C132" s="366" t="s">
        <v>455</v>
      </c>
      <c r="D132" s="366" t="s">
        <v>455</v>
      </c>
      <c r="F132" s="786">
        <v>21.1</v>
      </c>
      <c r="G132" s="786">
        <v>21.1</v>
      </c>
      <c r="H132" s="786">
        <v>21.1</v>
      </c>
      <c r="I132" s="786">
        <v>21.1</v>
      </c>
      <c r="J132" s="786">
        <v>21.1</v>
      </c>
      <c r="K132" s="786">
        <v>21.1</v>
      </c>
      <c r="L132" s="542">
        <v>41944</v>
      </c>
      <c r="M132" s="648">
        <v>260.2</v>
      </c>
      <c r="N132" s="648">
        <v>250.70269999999999</v>
      </c>
    </row>
    <row r="133" spans="3:14" ht="15" customHeight="1">
      <c r="C133" s="375" t="s">
        <v>456</v>
      </c>
      <c r="D133" s="375" t="s">
        <v>456</v>
      </c>
      <c r="F133" s="788">
        <v>9.7000000000000011</v>
      </c>
      <c r="G133" s="788">
        <v>9.7000000000000011</v>
      </c>
      <c r="H133" s="788">
        <v>9.7000000000000011</v>
      </c>
      <c r="I133" s="788">
        <v>9.6999999999999993</v>
      </c>
      <c r="J133" s="788">
        <v>9.6999999999999993</v>
      </c>
      <c r="K133" s="788">
        <v>9.6999999999999993</v>
      </c>
      <c r="L133" s="649">
        <v>42339</v>
      </c>
      <c r="M133" s="650">
        <v>296.10000000000002</v>
      </c>
      <c r="N133" s="650">
        <v>285.29235000000006</v>
      </c>
    </row>
    <row r="134" spans="3:14" ht="15" customHeight="1">
      <c r="C134" s="361" t="s">
        <v>457</v>
      </c>
      <c r="D134" s="361" t="s">
        <v>458</v>
      </c>
      <c r="F134" s="787">
        <v>239.02876760547949</v>
      </c>
      <c r="G134" s="787">
        <v>231.99405097775184</v>
      </c>
      <c r="H134" s="787">
        <v>231.06334278904114</v>
      </c>
      <c r="I134" s="787">
        <v>224.8</v>
      </c>
      <c r="J134" s="787">
        <v>230.5</v>
      </c>
      <c r="K134" s="787">
        <v>230.5</v>
      </c>
      <c r="L134" s="646" t="s">
        <v>447</v>
      </c>
      <c r="M134" s="647">
        <v>190.4</v>
      </c>
      <c r="N134" s="647">
        <v>183.4504</v>
      </c>
    </row>
    <row r="135" spans="3:14" ht="15" customHeight="1">
      <c r="C135" s="363" t="s">
        <v>459</v>
      </c>
      <c r="D135" s="363" t="s">
        <v>460</v>
      </c>
      <c r="F135" s="789">
        <v>570.12875683379002</v>
      </c>
      <c r="G135" s="789">
        <v>563.09404020606235</v>
      </c>
      <c r="H135" s="789">
        <v>562.16333201735165</v>
      </c>
      <c r="I135" s="789">
        <v>555.90000000000009</v>
      </c>
      <c r="J135" s="789">
        <v>561.6</v>
      </c>
      <c r="K135" s="789">
        <v>561.6</v>
      </c>
      <c r="L135" s="270"/>
    </row>
    <row r="136" spans="3:14" ht="15" customHeight="1">
      <c r="C136" s="134" t="s">
        <v>461</v>
      </c>
      <c r="D136" s="550" t="s">
        <v>462</v>
      </c>
      <c r="F136" s="786">
        <v>45.071243166210138</v>
      </c>
      <c r="G136" s="786">
        <v>52.105959793937814</v>
      </c>
      <c r="H136" s="786">
        <v>53.03666798264851</v>
      </c>
      <c r="I136" s="786">
        <v>59.300000000000068</v>
      </c>
      <c r="J136" s="786">
        <v>53.600000000000136</v>
      </c>
      <c r="K136" s="786">
        <v>53.600000000000136</v>
      </c>
      <c r="L136" s="270"/>
    </row>
    <row r="137" spans="3:14" ht="15" customHeight="1">
      <c r="C137" s="104" t="s">
        <v>2120</v>
      </c>
      <c r="D137" s="104" t="s">
        <v>2121</v>
      </c>
      <c r="F137" s="786">
        <v>218.08724903857197</v>
      </c>
      <c r="G137" s="786">
        <v>225.39115853600526</v>
      </c>
      <c r="H137" s="786">
        <v>235.18732720245609</v>
      </c>
      <c r="I137" s="786">
        <v>241.4</v>
      </c>
      <c r="J137" s="786">
        <v>251.8</v>
      </c>
      <c r="K137" s="786">
        <v>260.3</v>
      </c>
      <c r="L137" s="270"/>
    </row>
    <row r="138" spans="3:14" ht="15" customHeight="1">
      <c r="C138" s="105" t="s">
        <v>463</v>
      </c>
      <c r="D138" s="105" t="s">
        <v>464</v>
      </c>
      <c r="F138" s="790">
        <v>0.92673725103021765</v>
      </c>
      <c r="G138" s="790">
        <v>0.91530240605666813</v>
      </c>
      <c r="H138" s="790">
        <v>0.91378955139361429</v>
      </c>
      <c r="I138" s="790">
        <v>0.90360858257477239</v>
      </c>
      <c r="J138" s="790">
        <v>0.91287386215864741</v>
      </c>
      <c r="K138" s="790">
        <v>0.91287386215864741</v>
      </c>
      <c r="L138" s="376"/>
      <c r="M138" s="105"/>
    </row>
    <row r="139" spans="3:14" ht="15" customHeight="1">
      <c r="K139" s="270"/>
      <c r="L139" s="270"/>
    </row>
    <row r="140" spans="3:14" ht="123" customHeight="1">
      <c r="C140" s="1" t="s">
        <v>2122</v>
      </c>
      <c r="D140" s="1" t="s">
        <v>2126</v>
      </c>
      <c r="K140" s="270"/>
      <c r="L140" s="270"/>
    </row>
    <row r="142" spans="3:14" ht="15" customHeight="1">
      <c r="C142" s="359" t="s">
        <v>465</v>
      </c>
      <c r="D142" s="359" t="s">
        <v>466</v>
      </c>
      <c r="F142" s="359" t="s">
        <v>467</v>
      </c>
      <c r="G142" s="360"/>
      <c r="H142" s="360"/>
      <c r="I142" s="360"/>
      <c r="J142" s="360"/>
    </row>
    <row r="143" spans="3:14" ht="15" customHeight="1">
      <c r="C143" s="377" t="s">
        <v>468</v>
      </c>
      <c r="D143" s="377" t="s">
        <v>468</v>
      </c>
      <c r="E143" s="377"/>
      <c r="F143" s="377" t="s">
        <v>414</v>
      </c>
    </row>
    <row r="144" spans="3:14" ht="15" customHeight="1">
      <c r="C144" s="377" t="s">
        <v>469</v>
      </c>
      <c r="D144" s="377" t="s">
        <v>469</v>
      </c>
      <c r="E144" s="377"/>
      <c r="F144" s="377" t="s">
        <v>414</v>
      </c>
    </row>
    <row r="145" spans="3:6" ht="15" customHeight="1">
      <c r="C145" s="377" t="s">
        <v>470</v>
      </c>
      <c r="D145" s="377" t="s">
        <v>470</v>
      </c>
      <c r="E145" s="377"/>
      <c r="F145" s="377" t="s">
        <v>471</v>
      </c>
    </row>
    <row r="146" spans="3:6" ht="15" customHeight="1">
      <c r="C146" s="377" t="s">
        <v>472</v>
      </c>
      <c r="D146" s="377" t="s">
        <v>472</v>
      </c>
      <c r="E146" s="377"/>
      <c r="F146" s="377" t="s">
        <v>471</v>
      </c>
    </row>
    <row r="147" spans="3:6" ht="15" customHeight="1">
      <c r="C147" s="377" t="s">
        <v>473</v>
      </c>
      <c r="D147" s="377" t="s">
        <v>473</v>
      </c>
      <c r="E147" s="377"/>
      <c r="F147" s="377" t="s">
        <v>471</v>
      </c>
    </row>
    <row r="148" spans="3:6" ht="15" customHeight="1">
      <c r="C148" s="377" t="s">
        <v>474</v>
      </c>
      <c r="D148" s="377" t="s">
        <v>474</v>
      </c>
      <c r="E148" s="377"/>
      <c r="F148" s="377" t="s">
        <v>416</v>
      </c>
    </row>
    <row r="149" spans="3:6" ht="15" customHeight="1">
      <c r="C149" s="377" t="s">
        <v>475</v>
      </c>
      <c r="D149" s="377" t="s">
        <v>475</v>
      </c>
      <c r="E149" s="377"/>
      <c r="F149" s="377" t="s">
        <v>416</v>
      </c>
    </row>
    <row r="150" spans="3:6" ht="15" customHeight="1">
      <c r="C150" s="377" t="s">
        <v>476</v>
      </c>
      <c r="D150" s="377" t="s">
        <v>476</v>
      </c>
      <c r="E150" s="377"/>
      <c r="F150" s="377" t="s">
        <v>416</v>
      </c>
    </row>
    <row r="151" spans="3:6" ht="15" customHeight="1">
      <c r="C151" s="377" t="s">
        <v>477</v>
      </c>
      <c r="D151" s="377" t="s">
        <v>477</v>
      </c>
      <c r="E151" s="377"/>
      <c r="F151" s="377" t="s">
        <v>478</v>
      </c>
    </row>
    <row r="152" spans="3:6" ht="15" customHeight="1">
      <c r="C152" s="377" t="s">
        <v>479</v>
      </c>
      <c r="D152" s="377" t="s">
        <v>479</v>
      </c>
      <c r="E152" s="377"/>
      <c r="F152" s="377" t="s">
        <v>478</v>
      </c>
    </row>
    <row r="153" spans="3:6" ht="15" customHeight="1">
      <c r="C153" s="377" t="s">
        <v>480</v>
      </c>
      <c r="D153" s="377" t="s">
        <v>480</v>
      </c>
      <c r="E153" s="377"/>
      <c r="F153" s="377" t="s">
        <v>478</v>
      </c>
    </row>
    <row r="154" spans="3:6" ht="15" customHeight="1">
      <c r="C154" s="377" t="s">
        <v>481</v>
      </c>
      <c r="D154" s="377" t="s">
        <v>481</v>
      </c>
      <c r="E154" s="377"/>
      <c r="F154" s="377" t="s">
        <v>478</v>
      </c>
    </row>
    <row r="155" spans="3:6" ht="15" customHeight="1">
      <c r="C155" s="377" t="s">
        <v>482</v>
      </c>
      <c r="D155" s="377" t="s">
        <v>482</v>
      </c>
      <c r="E155" s="377"/>
      <c r="F155" s="377" t="s">
        <v>478</v>
      </c>
    </row>
    <row r="156" spans="3:6" ht="15" customHeight="1">
      <c r="C156" s="377" t="s">
        <v>483</v>
      </c>
      <c r="D156" s="377" t="s">
        <v>483</v>
      </c>
      <c r="E156" s="377"/>
      <c r="F156" s="377" t="s">
        <v>206</v>
      </c>
    </row>
    <row r="157" spans="3:6" ht="15" customHeight="1">
      <c r="C157" s="377" t="s">
        <v>484</v>
      </c>
      <c r="D157" s="377" t="s">
        <v>484</v>
      </c>
      <c r="E157" s="377"/>
      <c r="F157" s="377" t="s">
        <v>206</v>
      </c>
    </row>
    <row r="158" spans="3:6" ht="15" customHeight="1">
      <c r="C158" s="377" t="s">
        <v>485</v>
      </c>
      <c r="D158" s="377" t="s">
        <v>485</v>
      </c>
      <c r="E158" s="377"/>
      <c r="F158" s="377" t="s">
        <v>206</v>
      </c>
    </row>
    <row r="159" spans="3:6" ht="15" customHeight="1">
      <c r="C159" s="377" t="s">
        <v>486</v>
      </c>
      <c r="D159" s="377" t="s">
        <v>486</v>
      </c>
      <c r="E159" s="377"/>
      <c r="F159" s="377" t="s">
        <v>206</v>
      </c>
    </row>
    <row r="160" spans="3:6" ht="15" customHeight="1">
      <c r="C160" s="377" t="s">
        <v>487</v>
      </c>
      <c r="D160" s="377" t="s">
        <v>487</v>
      </c>
      <c r="E160" s="377"/>
      <c r="F160" s="377" t="s">
        <v>206</v>
      </c>
    </row>
    <row r="161" spans="3:6" ht="15" customHeight="1">
      <c r="C161" s="377" t="s">
        <v>488</v>
      </c>
      <c r="D161" s="377" t="s">
        <v>488</v>
      </c>
      <c r="E161" s="377"/>
      <c r="F161" s="377" t="s">
        <v>206</v>
      </c>
    </row>
    <row r="162" spans="3:6" ht="15" customHeight="1">
      <c r="C162" s="377" t="s">
        <v>489</v>
      </c>
      <c r="D162" s="377" t="s">
        <v>489</v>
      </c>
      <c r="E162" s="377"/>
      <c r="F162" s="377" t="s">
        <v>206</v>
      </c>
    </row>
    <row r="163" spans="3:6" ht="15" customHeight="1">
      <c r="C163" s="377" t="s">
        <v>489</v>
      </c>
      <c r="D163" s="377" t="s">
        <v>489</v>
      </c>
      <c r="E163" s="377"/>
      <c r="F163" s="377" t="s">
        <v>206</v>
      </c>
    </row>
    <row r="164" spans="3:6" ht="15" customHeight="1">
      <c r="C164" s="377" t="s">
        <v>490</v>
      </c>
      <c r="D164" s="377" t="s">
        <v>490</v>
      </c>
      <c r="E164" s="377"/>
      <c r="F164" s="377" t="s">
        <v>206</v>
      </c>
    </row>
    <row r="165" spans="3:6" ht="15" customHeight="1">
      <c r="C165" s="377" t="s">
        <v>491</v>
      </c>
      <c r="D165" s="377" t="s">
        <v>491</v>
      </c>
      <c r="E165" s="377"/>
      <c r="F165" s="377" t="s">
        <v>492</v>
      </c>
    </row>
    <row r="166" spans="3:6" ht="15" customHeight="1">
      <c r="C166" s="377" t="s">
        <v>493</v>
      </c>
      <c r="D166" s="377" t="s">
        <v>493</v>
      </c>
      <c r="E166" s="377"/>
      <c r="F166" s="377" t="s">
        <v>492</v>
      </c>
    </row>
    <row r="167" spans="3:6" ht="15" customHeight="1">
      <c r="C167" s="377" t="s">
        <v>494</v>
      </c>
      <c r="D167" s="377" t="s">
        <v>494</v>
      </c>
      <c r="E167" s="377"/>
      <c r="F167" s="377" t="s">
        <v>492</v>
      </c>
    </row>
    <row r="168" spans="3:6" ht="15" customHeight="1">
      <c r="C168" s="377" t="s">
        <v>495</v>
      </c>
      <c r="D168" s="377" t="s">
        <v>495</v>
      </c>
      <c r="E168" s="377"/>
      <c r="F168" s="377" t="s">
        <v>420</v>
      </c>
    </row>
    <row r="169" spans="3:6" ht="15" customHeight="1">
      <c r="C169" s="377" t="s">
        <v>496</v>
      </c>
      <c r="D169" s="377" t="s">
        <v>496</v>
      </c>
      <c r="E169" s="377"/>
      <c r="F169" s="377" t="s">
        <v>420</v>
      </c>
    </row>
    <row r="170" spans="3:6" ht="15" customHeight="1">
      <c r="C170" s="377" t="s">
        <v>497</v>
      </c>
      <c r="D170" s="377" t="s">
        <v>497</v>
      </c>
      <c r="E170" s="377"/>
      <c r="F170" s="377" t="s">
        <v>420</v>
      </c>
    </row>
    <row r="171" spans="3:6" ht="15" customHeight="1">
      <c r="C171" s="377" t="s">
        <v>498</v>
      </c>
      <c r="D171" s="377" t="s">
        <v>498</v>
      </c>
      <c r="E171" s="377"/>
      <c r="F171" s="377" t="s">
        <v>420</v>
      </c>
    </row>
    <row r="172" spans="3:6" ht="15" customHeight="1">
      <c r="C172" s="377" t="s">
        <v>499</v>
      </c>
      <c r="D172" s="377" t="s">
        <v>499</v>
      </c>
      <c r="E172" s="377"/>
      <c r="F172" s="377" t="s">
        <v>500</v>
      </c>
    </row>
    <row r="173" spans="3:6" ht="15" customHeight="1">
      <c r="C173" s="377" t="s">
        <v>501</v>
      </c>
      <c r="D173" s="377" t="s">
        <v>501</v>
      </c>
      <c r="E173" s="377"/>
      <c r="F173" s="377" t="s">
        <v>500</v>
      </c>
    </row>
    <row r="174" spans="3:6" ht="15" customHeight="1">
      <c r="C174" s="377" t="s">
        <v>502</v>
      </c>
      <c r="D174" s="377" t="s">
        <v>502</v>
      </c>
      <c r="E174" s="377"/>
      <c r="F174" s="377" t="s">
        <v>500</v>
      </c>
    </row>
    <row r="175" spans="3:6" ht="15" customHeight="1">
      <c r="C175" s="377" t="s">
        <v>503</v>
      </c>
      <c r="D175" s="377" t="s">
        <v>503</v>
      </c>
      <c r="E175" s="377"/>
      <c r="F175" s="377" t="s">
        <v>500</v>
      </c>
    </row>
    <row r="176" spans="3:6" ht="15" customHeight="1">
      <c r="C176" s="377" t="s">
        <v>504</v>
      </c>
      <c r="D176" s="377" t="s">
        <v>504</v>
      </c>
      <c r="E176" s="377"/>
      <c r="F176" s="377" t="s">
        <v>500</v>
      </c>
    </row>
    <row r="177" spans="3:6" ht="15" customHeight="1">
      <c r="C177" s="377" t="s">
        <v>505</v>
      </c>
      <c r="D177" s="377" t="s">
        <v>505</v>
      </c>
      <c r="E177" s="377"/>
      <c r="F177" s="377" t="s">
        <v>500</v>
      </c>
    </row>
    <row r="178" spans="3:6" ht="15" customHeight="1">
      <c r="C178" s="377" t="s">
        <v>506</v>
      </c>
      <c r="D178" s="377" t="s">
        <v>506</v>
      </c>
      <c r="E178" s="377"/>
      <c r="F178" s="377" t="s">
        <v>500</v>
      </c>
    </row>
    <row r="179" spans="3:6" ht="15" customHeight="1">
      <c r="C179" s="377" t="s">
        <v>507</v>
      </c>
      <c r="D179" s="377" t="s">
        <v>507</v>
      </c>
      <c r="E179" s="377"/>
      <c r="F179" s="377" t="s">
        <v>500</v>
      </c>
    </row>
    <row r="180" spans="3:6" ht="15" customHeight="1">
      <c r="C180" s="377" t="s">
        <v>508</v>
      </c>
      <c r="D180" s="377" t="s">
        <v>508</v>
      </c>
      <c r="E180" s="377"/>
      <c r="F180" s="377" t="s">
        <v>509</v>
      </c>
    </row>
    <row r="181" spans="3:6" ht="15" customHeight="1">
      <c r="C181" s="377" t="s">
        <v>510</v>
      </c>
      <c r="D181" s="377" t="s">
        <v>510</v>
      </c>
      <c r="E181" s="377"/>
      <c r="F181" s="377" t="s">
        <v>509</v>
      </c>
    </row>
    <row r="182" spans="3:6" ht="15" customHeight="1">
      <c r="C182" s="377" t="s">
        <v>511</v>
      </c>
      <c r="D182" s="377" t="s">
        <v>511</v>
      </c>
      <c r="E182" s="377"/>
      <c r="F182" s="377" t="s">
        <v>509</v>
      </c>
    </row>
    <row r="183" spans="3:6" ht="15" customHeight="1">
      <c r="C183" s="377" t="s">
        <v>512</v>
      </c>
      <c r="D183" s="377" t="s">
        <v>512</v>
      </c>
      <c r="E183" s="377"/>
      <c r="F183" s="377" t="s">
        <v>509</v>
      </c>
    </row>
    <row r="184" spans="3:6" ht="15" customHeight="1">
      <c r="C184" s="377" t="s">
        <v>513</v>
      </c>
      <c r="D184" s="377" t="s">
        <v>513</v>
      </c>
      <c r="E184" s="377"/>
      <c r="F184" s="377" t="s">
        <v>509</v>
      </c>
    </row>
    <row r="185" spans="3:6" ht="15" customHeight="1">
      <c r="C185" s="377" t="s">
        <v>514</v>
      </c>
      <c r="D185" s="377" t="s">
        <v>514</v>
      </c>
      <c r="E185" s="377"/>
      <c r="F185" s="377" t="s">
        <v>509</v>
      </c>
    </row>
    <row r="186" spans="3:6" ht="15" customHeight="1">
      <c r="C186" s="104" t="s">
        <v>515</v>
      </c>
      <c r="D186" s="104" t="s">
        <v>515</v>
      </c>
      <c r="F186" s="104" t="s">
        <v>368</v>
      </c>
    </row>
    <row r="187" spans="3:6" ht="15" customHeight="1">
      <c r="C187" s="104" t="s">
        <v>515</v>
      </c>
      <c r="D187" s="104" t="s">
        <v>515</v>
      </c>
      <c r="F187" s="104" t="s">
        <v>371</v>
      </c>
    </row>
    <row r="188" spans="3:6" ht="15" customHeight="1">
      <c r="C188" s="104" t="s">
        <v>515</v>
      </c>
      <c r="D188" s="104" t="s">
        <v>515</v>
      </c>
      <c r="F188" s="104" t="s">
        <v>373</v>
      </c>
    </row>
    <row r="189" spans="3:6" ht="15" customHeight="1">
      <c r="C189" s="104" t="s">
        <v>515</v>
      </c>
      <c r="D189" s="104" t="s">
        <v>515</v>
      </c>
      <c r="F189" s="104" t="s">
        <v>375</v>
      </c>
    </row>
    <row r="190" spans="3:6" ht="15" customHeight="1">
      <c r="C190" s="104" t="s">
        <v>515</v>
      </c>
      <c r="D190" s="104" t="s">
        <v>515</v>
      </c>
      <c r="F190" s="104" t="s">
        <v>377</v>
      </c>
    </row>
    <row r="191" spans="3:6" ht="15" customHeight="1">
      <c r="C191" s="104" t="s">
        <v>515</v>
      </c>
      <c r="D191" s="104" t="s">
        <v>515</v>
      </c>
      <c r="F191" s="104" t="s">
        <v>379</v>
      </c>
    </row>
    <row r="192" spans="3:6" ht="15" customHeight="1">
      <c r="C192" s="104" t="s">
        <v>515</v>
      </c>
      <c r="D192" s="104" t="s">
        <v>515</v>
      </c>
      <c r="F192" s="104" t="s">
        <v>381</v>
      </c>
    </row>
    <row r="193" spans="3:6" ht="15" customHeight="1">
      <c r="C193" s="104" t="s">
        <v>218</v>
      </c>
      <c r="D193" s="104" t="s">
        <v>218</v>
      </c>
      <c r="F193" s="104" t="s">
        <v>383</v>
      </c>
    </row>
    <row r="194" spans="3:6" ht="15" customHeight="1">
      <c r="C194" s="104" t="s">
        <v>218</v>
      </c>
      <c r="D194" s="104" t="s">
        <v>218</v>
      </c>
      <c r="F194" s="104" t="s">
        <v>386</v>
      </c>
    </row>
    <row r="195" spans="3:6" ht="15" customHeight="1">
      <c r="C195" s="104" t="s">
        <v>218</v>
      </c>
      <c r="D195" s="104" t="s">
        <v>218</v>
      </c>
      <c r="F195" s="104" t="s">
        <v>388</v>
      </c>
    </row>
    <row r="196" spans="3:6" ht="15" customHeight="1">
      <c r="C196" s="104" t="s">
        <v>218</v>
      </c>
      <c r="D196" s="104" t="s">
        <v>218</v>
      </c>
      <c r="F196" s="104" t="s">
        <v>390</v>
      </c>
    </row>
    <row r="197" spans="3:6" ht="15" customHeight="1">
      <c r="C197" s="104" t="s">
        <v>218</v>
      </c>
      <c r="D197" s="104" t="s">
        <v>218</v>
      </c>
      <c r="F197" s="104" t="s">
        <v>392</v>
      </c>
    </row>
    <row r="198" spans="3:6" ht="15" customHeight="1">
      <c r="C198" s="104" t="s">
        <v>218</v>
      </c>
      <c r="D198" s="104" t="s">
        <v>218</v>
      </c>
      <c r="F198" s="104" t="s">
        <v>394</v>
      </c>
    </row>
    <row r="199" spans="3:6" ht="15" customHeight="1">
      <c r="C199" s="104" t="s">
        <v>218</v>
      </c>
      <c r="D199" s="104" t="s">
        <v>218</v>
      </c>
      <c r="F199" s="104" t="s">
        <v>396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39A4C-DBF9-49D8-889F-B84C9C0E1B8B}">
  <sheetPr>
    <tabColor theme="9" tint="0.79998168889431442"/>
  </sheetPr>
  <dimension ref="B7:AG39"/>
  <sheetViews>
    <sheetView zoomScale="95" zoomScaleNormal="95" workbookViewId="0">
      <selection activeCell="AH12" sqref="AH12:AH13"/>
    </sheetView>
  </sheetViews>
  <sheetFormatPr defaultColWidth="9.21875" defaultRowHeight="15" customHeight="1" outlineLevelCol="1"/>
  <cols>
    <col min="1" max="1" width="8.5546875" style="35" customWidth="1"/>
    <col min="2" max="3" width="33.5546875" style="35" customWidth="1"/>
    <col min="4" max="19" width="9.21875" style="35" hidden="1" customWidth="1" outlineLevel="1"/>
    <col min="20" max="20" width="9.21875" style="35" collapsed="1"/>
    <col min="21" max="31" width="9.21875" style="35"/>
    <col min="32" max="32" width="9.21875" style="35" customWidth="1"/>
    <col min="33" max="16384" width="9.21875" style="35"/>
  </cols>
  <sheetData>
    <row r="7" spans="2:33" ht="15" customHeight="1">
      <c r="B7" s="437" t="s">
        <v>89</v>
      </c>
      <c r="C7" s="437" t="s">
        <v>89</v>
      </c>
      <c r="D7" s="438" t="s">
        <v>63</v>
      </c>
      <c r="E7" s="438" t="s">
        <v>64</v>
      </c>
      <c r="F7" s="438" t="s">
        <v>65</v>
      </c>
      <c r="G7" s="438" t="s">
        <v>66</v>
      </c>
      <c r="H7" s="438" t="s">
        <v>67</v>
      </c>
      <c r="I7" s="438" t="s">
        <v>68</v>
      </c>
      <c r="J7" s="438" t="s">
        <v>69</v>
      </c>
      <c r="K7" s="438" t="s">
        <v>70</v>
      </c>
      <c r="L7" s="438" t="s">
        <v>71</v>
      </c>
      <c r="M7" s="438" t="s">
        <v>72</v>
      </c>
      <c r="N7" s="438" t="s">
        <v>73</v>
      </c>
      <c r="O7" s="438" t="s">
        <v>74</v>
      </c>
      <c r="P7" s="438" t="s">
        <v>75</v>
      </c>
      <c r="Q7" s="438" t="s">
        <v>76</v>
      </c>
      <c r="R7" s="438" t="s">
        <v>77</v>
      </c>
      <c r="S7" s="438" t="s">
        <v>78</v>
      </c>
      <c r="T7" s="670" t="s">
        <v>79</v>
      </c>
      <c r="U7" s="670" t="s">
        <v>80</v>
      </c>
      <c r="V7" s="670" t="s">
        <v>81</v>
      </c>
      <c r="W7" s="670" t="s">
        <v>82</v>
      </c>
      <c r="X7" s="670" t="s">
        <v>83</v>
      </c>
      <c r="Y7" s="670" t="s">
        <v>84</v>
      </c>
      <c r="Z7" s="670" t="s">
        <v>85</v>
      </c>
      <c r="AA7" s="670" t="s">
        <v>86</v>
      </c>
      <c r="AB7" s="670" t="s">
        <v>87</v>
      </c>
      <c r="AC7" s="670" t="s">
        <v>88</v>
      </c>
      <c r="AD7" s="670" t="s">
        <v>2074</v>
      </c>
      <c r="AE7" s="670" t="s">
        <v>2127</v>
      </c>
      <c r="AF7" s="670" t="s">
        <v>2360</v>
      </c>
      <c r="AG7" s="670" t="s">
        <v>2494</v>
      </c>
    </row>
    <row r="8" spans="2:33" ht="15" customHeight="1">
      <c r="B8" s="242" t="s">
        <v>2159</v>
      </c>
      <c r="C8" s="242" t="s">
        <v>2160</v>
      </c>
      <c r="D8" s="671"/>
      <c r="E8" s="671"/>
      <c r="F8" s="671"/>
      <c r="G8" s="671"/>
      <c r="H8" s="671"/>
      <c r="I8" s="671"/>
      <c r="J8" s="671"/>
      <c r="K8" s="671"/>
      <c r="L8" s="671">
        <v>1.0340423331348925E-2</v>
      </c>
      <c r="M8" s="671">
        <v>8.6041435834208584E-3</v>
      </c>
      <c r="N8" s="671">
        <v>1.1096437875292221E-2</v>
      </c>
      <c r="O8" s="671">
        <v>1.1575708515216806E-2</v>
      </c>
      <c r="P8" s="671">
        <v>1.8387301762909161E-2</v>
      </c>
      <c r="Q8" s="671">
        <v>1.4670129748356932E-2</v>
      </c>
      <c r="R8" s="671">
        <v>1.671564137731333E-2</v>
      </c>
      <c r="S8" s="671">
        <v>-1.7768270848229597E-2</v>
      </c>
      <c r="T8" s="671">
        <v>1.8403425041134781E-2</v>
      </c>
      <c r="U8" s="671">
        <v>1.6042001414938018E-2</v>
      </c>
      <c r="V8" s="671">
        <v>1.4004446589911953E-2</v>
      </c>
      <c r="W8" s="671">
        <v>5.2769121192991646E-2</v>
      </c>
      <c r="X8" s="671">
        <v>2.0240051151422682E-2</v>
      </c>
      <c r="Y8" s="671">
        <v>1.5944874442842007E-2</v>
      </c>
      <c r="Z8" s="671">
        <v>1.6110690978904788E-2</v>
      </c>
      <c r="AA8" s="671">
        <v>4.0342318647053559E-2</v>
      </c>
      <c r="AB8" s="671">
        <v>1.6825989980485054E-2</v>
      </c>
      <c r="AC8" s="671">
        <v>1.0450081192119936E-2</v>
      </c>
      <c r="AD8" s="671">
        <v>1.5061635215840736E-2</v>
      </c>
      <c r="AE8" s="671">
        <v>1.8906395401388363E-2</v>
      </c>
      <c r="AF8" s="671">
        <v>2.3508640397726543E-2</v>
      </c>
      <c r="AG8" s="671">
        <v>2.3684297873902884E-2</v>
      </c>
    </row>
    <row r="9" spans="2:33" ht="15" customHeight="1">
      <c r="B9" s="242" t="s">
        <v>2161</v>
      </c>
      <c r="C9" s="242" t="s">
        <v>2162</v>
      </c>
      <c r="D9" s="671"/>
      <c r="E9" s="671"/>
      <c r="F9" s="671"/>
      <c r="G9" s="671"/>
      <c r="H9" s="671"/>
      <c r="I9" s="671"/>
      <c r="J9" s="671"/>
      <c r="K9" s="671"/>
      <c r="L9" s="671">
        <v>0.9869</v>
      </c>
      <c r="M9" s="671">
        <v>0.97799999999999998</v>
      </c>
      <c r="N9" s="671">
        <v>0.96699999999999997</v>
      </c>
      <c r="O9" s="671">
        <v>0.99450000000000005</v>
      </c>
      <c r="P9" s="671">
        <v>0.98650000000000004</v>
      </c>
      <c r="Q9" s="671">
        <v>0.98750000000000004</v>
      </c>
      <c r="R9" s="671">
        <v>0.98299999999999998</v>
      </c>
      <c r="S9" s="671">
        <v>1.0149999999999999</v>
      </c>
      <c r="T9" s="671">
        <v>0.97240000000000004</v>
      </c>
      <c r="U9" s="671">
        <v>0.97779586306336985</v>
      </c>
      <c r="V9" s="671">
        <v>0.97671618717604825</v>
      </c>
      <c r="W9" s="671">
        <v>0.98</v>
      </c>
      <c r="X9" s="671">
        <v>0.95443283416061642</v>
      </c>
      <c r="Y9" s="671">
        <v>0.98699999999999999</v>
      </c>
      <c r="Z9" s="671">
        <v>0.9798</v>
      </c>
      <c r="AA9" s="671">
        <v>0.99070000000000003</v>
      </c>
      <c r="AB9" s="671">
        <v>0.9768</v>
      </c>
      <c r="AC9" s="671">
        <v>0.97549212086189785</v>
      </c>
      <c r="AD9" s="671">
        <v>0.97419999999999995</v>
      </c>
      <c r="AE9" s="671">
        <v>0.96827307635371518</v>
      </c>
      <c r="AF9" s="671">
        <v>0.96</v>
      </c>
      <c r="AG9" s="671">
        <v>0.95120000000000005</v>
      </c>
    </row>
    <row r="10" spans="2:33" ht="15" customHeight="1"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</row>
    <row r="11" spans="2:33" ht="15" customHeight="1">
      <c r="B11" s="437" t="s">
        <v>110</v>
      </c>
      <c r="C11" s="437" t="s">
        <v>110</v>
      </c>
      <c r="D11" s="438" t="s">
        <v>63</v>
      </c>
      <c r="E11" s="438" t="s">
        <v>64</v>
      </c>
      <c r="F11" s="438" t="s">
        <v>65</v>
      </c>
      <c r="G11" s="438" t="s">
        <v>66</v>
      </c>
      <c r="H11" s="438" t="s">
        <v>67</v>
      </c>
      <c r="I11" s="438" t="s">
        <v>68</v>
      </c>
      <c r="J11" s="438" t="s">
        <v>69</v>
      </c>
      <c r="K11" s="438" t="s">
        <v>70</v>
      </c>
      <c r="L11" s="438" t="s">
        <v>71</v>
      </c>
      <c r="M11" s="438" t="s">
        <v>72</v>
      </c>
      <c r="N11" s="438" t="s">
        <v>73</v>
      </c>
      <c r="O11" s="438" t="s">
        <v>74</v>
      </c>
      <c r="P11" s="438" t="s">
        <v>75</v>
      </c>
      <c r="Q11" s="438" t="s">
        <v>76</v>
      </c>
      <c r="R11" s="438" t="s">
        <v>77</v>
      </c>
      <c r="S11" s="438" t="s">
        <v>78</v>
      </c>
      <c r="T11" s="670" t="s">
        <v>79</v>
      </c>
      <c r="U11" s="670" t="s">
        <v>80</v>
      </c>
      <c r="V11" s="670" t="s">
        <v>81</v>
      </c>
      <c r="W11" s="670" t="s">
        <v>82</v>
      </c>
      <c r="X11" s="670" t="s">
        <v>83</v>
      </c>
      <c r="Y11" s="670" t="s">
        <v>84</v>
      </c>
      <c r="Z11" s="670" t="s">
        <v>85</v>
      </c>
      <c r="AA11" s="670" t="s">
        <v>86</v>
      </c>
      <c r="AB11" s="670" t="s">
        <v>87</v>
      </c>
      <c r="AC11" s="670" t="s">
        <v>88</v>
      </c>
      <c r="AD11" s="670" t="s">
        <v>2074</v>
      </c>
      <c r="AE11" s="670" t="s">
        <v>2127</v>
      </c>
      <c r="AF11" s="670" t="str">
        <f>AF7</f>
        <v>1T26</v>
      </c>
      <c r="AG11" s="670" t="str">
        <f>AG7</f>
        <v>2T26</v>
      </c>
    </row>
    <row r="12" spans="2:33" ht="15" customHeight="1">
      <c r="B12" s="242" t="s">
        <v>2159</v>
      </c>
      <c r="C12" s="242" t="s">
        <v>2160</v>
      </c>
      <c r="D12" s="671"/>
      <c r="E12" s="671"/>
      <c r="F12" s="671"/>
      <c r="G12" s="671"/>
      <c r="H12" s="671"/>
      <c r="I12" s="671"/>
      <c r="J12" s="671"/>
      <c r="K12" s="671"/>
      <c r="L12" s="671">
        <v>1.7855078652407853E-2</v>
      </c>
      <c r="M12" s="671">
        <v>2.0528641751738349E-2</v>
      </c>
      <c r="N12" s="671">
        <v>1.6493458355091601E-2</v>
      </c>
      <c r="O12" s="671">
        <v>1.4414464597788664E-2</v>
      </c>
      <c r="P12" s="671">
        <v>1.9642793904716915E-2</v>
      </c>
      <c r="Q12" s="671">
        <v>1.4242364554381952E-2</v>
      </c>
      <c r="R12" s="671">
        <v>2.2653104786791708E-2</v>
      </c>
      <c r="S12" s="671">
        <v>-1.3330608535483521E-2</v>
      </c>
      <c r="T12" s="671">
        <v>1.3526261755710896E-2</v>
      </c>
      <c r="U12" s="671">
        <v>1.5741442170038377E-2</v>
      </c>
      <c r="V12" s="671">
        <v>2.0792478204918734E-2</v>
      </c>
      <c r="W12" s="671">
        <v>1.5908977251218044E-2</v>
      </c>
      <c r="X12" s="671">
        <v>2.4906994048791049E-2</v>
      </c>
      <c r="Y12" s="671">
        <v>2.0805714775622416E-2</v>
      </c>
      <c r="Z12" s="671">
        <v>2.1588330771322904E-2</v>
      </c>
      <c r="AA12" s="671">
        <v>3.5766376665093566E-2</v>
      </c>
      <c r="AB12" s="671">
        <v>2.2056498393457E-2</v>
      </c>
      <c r="AC12" s="671">
        <v>2.4300053157762846E-2</v>
      </c>
      <c r="AD12" s="671">
        <v>2.2236607184690133E-2</v>
      </c>
      <c r="AE12" s="671">
        <v>1.3546506605212569E-2</v>
      </c>
      <c r="AF12" s="671">
        <v>2.7907405330920263E-2</v>
      </c>
      <c r="AG12" s="671">
        <v>2.1784648423182139E-2</v>
      </c>
    </row>
    <row r="13" spans="2:33" ht="15" customHeight="1">
      <c r="B13" s="242" t="s">
        <v>2161</v>
      </c>
      <c r="C13" s="242" t="s">
        <v>2162</v>
      </c>
      <c r="D13" s="671"/>
      <c r="E13" s="671"/>
      <c r="F13" s="671"/>
      <c r="G13" s="671"/>
      <c r="H13" s="671"/>
      <c r="I13" s="671"/>
      <c r="J13" s="671"/>
      <c r="K13" s="671"/>
      <c r="L13" s="671">
        <v>0.98360000000000003</v>
      </c>
      <c r="M13" s="671">
        <v>0.98099999999999998</v>
      </c>
      <c r="N13" s="671">
        <v>0.98099999999999998</v>
      </c>
      <c r="O13" s="671">
        <v>0.995</v>
      </c>
      <c r="P13" s="671">
        <v>0.98250000000000004</v>
      </c>
      <c r="Q13" s="671">
        <v>0.98199999999999998</v>
      </c>
      <c r="R13" s="671">
        <v>0.97099999999999997</v>
      </c>
      <c r="S13" s="671">
        <v>1.0049999999999999</v>
      </c>
      <c r="T13" s="671">
        <v>0.96688817320416698</v>
      </c>
      <c r="U13" s="671">
        <v>0.98516847755282166</v>
      </c>
      <c r="V13" s="671">
        <v>0.95096720196521445</v>
      </c>
      <c r="W13" s="671">
        <v>0.996</v>
      </c>
      <c r="X13" s="671">
        <v>0.95982475406733547</v>
      </c>
      <c r="Y13" s="671">
        <v>0.95799999999999996</v>
      </c>
      <c r="Z13" s="671">
        <v>0.97970000000000002</v>
      </c>
      <c r="AA13" s="671">
        <v>1</v>
      </c>
      <c r="AB13" s="671">
        <v>0.96660000000000001</v>
      </c>
      <c r="AC13" s="671">
        <v>0.95044509908067676</v>
      </c>
      <c r="AD13" s="671">
        <v>0.97119999999999995</v>
      </c>
      <c r="AE13" s="671">
        <v>0.9892305135663737</v>
      </c>
      <c r="AF13" s="671">
        <v>0.95240000000000002</v>
      </c>
      <c r="AG13" s="671">
        <v>0.9516</v>
      </c>
    </row>
    <row r="14" spans="2:33" ht="15" customHeight="1">
      <c r="B14" s="242"/>
      <c r="C14" s="242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</row>
    <row r="15" spans="2:33" ht="15" customHeight="1">
      <c r="B15" s="437" t="s">
        <v>113</v>
      </c>
      <c r="C15" s="437" t="s">
        <v>113</v>
      </c>
      <c r="D15" s="438" t="s">
        <v>63</v>
      </c>
      <c r="E15" s="438" t="s">
        <v>64</v>
      </c>
      <c r="F15" s="438" t="s">
        <v>65</v>
      </c>
      <c r="G15" s="438" t="s">
        <v>66</v>
      </c>
      <c r="H15" s="438" t="s">
        <v>67</v>
      </c>
      <c r="I15" s="438" t="s">
        <v>68</v>
      </c>
      <c r="J15" s="438" t="s">
        <v>69</v>
      </c>
      <c r="K15" s="438" t="s">
        <v>70</v>
      </c>
      <c r="L15" s="438" t="s">
        <v>71</v>
      </c>
      <c r="M15" s="438" t="s">
        <v>72</v>
      </c>
      <c r="N15" s="438" t="s">
        <v>73</v>
      </c>
      <c r="O15" s="438" t="s">
        <v>74</v>
      </c>
      <c r="P15" s="438" t="s">
        <v>75</v>
      </c>
      <c r="Q15" s="438" t="s">
        <v>76</v>
      </c>
      <c r="R15" s="438" t="s">
        <v>77</v>
      </c>
      <c r="S15" s="438" t="s">
        <v>78</v>
      </c>
      <c r="T15" s="670" t="s">
        <v>79</v>
      </c>
      <c r="U15" s="670" t="s">
        <v>80</v>
      </c>
      <c r="V15" s="670" t="s">
        <v>81</v>
      </c>
      <c r="W15" s="670" t="s">
        <v>82</v>
      </c>
      <c r="X15" s="670" t="s">
        <v>83</v>
      </c>
      <c r="Y15" s="670" t="s">
        <v>84</v>
      </c>
      <c r="Z15" s="670" t="s">
        <v>85</v>
      </c>
      <c r="AA15" s="670" t="s">
        <v>86</v>
      </c>
      <c r="AB15" s="670" t="s">
        <v>87</v>
      </c>
      <c r="AC15" s="670" t="s">
        <v>88</v>
      </c>
      <c r="AD15" s="670" t="s">
        <v>2074</v>
      </c>
      <c r="AE15" s="670" t="s">
        <v>2127</v>
      </c>
      <c r="AF15" s="670" t="str">
        <f>AF11</f>
        <v>1T26</v>
      </c>
      <c r="AG15" s="670" t="str">
        <f>AG11</f>
        <v>2T26</v>
      </c>
    </row>
    <row r="16" spans="2:33" ht="15" customHeight="1">
      <c r="B16" s="242" t="s">
        <v>2159</v>
      </c>
      <c r="C16" s="242" t="s">
        <v>2160</v>
      </c>
      <c r="D16" s="671"/>
      <c r="E16" s="671"/>
      <c r="F16" s="671"/>
      <c r="G16" s="671"/>
      <c r="H16" s="671"/>
      <c r="I16" s="671"/>
      <c r="J16" s="671"/>
      <c r="K16" s="671"/>
      <c r="L16" s="671">
        <v>1.1075892234578668E-2</v>
      </c>
      <c r="M16" s="671">
        <v>2.8807764064015385E-3</v>
      </c>
      <c r="N16" s="671">
        <v>4.9453677935198176E-3</v>
      </c>
      <c r="O16" s="671">
        <v>-0.12490503632297728</v>
      </c>
      <c r="P16" s="671">
        <v>1.2924799626723774E-2</v>
      </c>
      <c r="Q16" s="671">
        <v>1.3976070452921905E-2</v>
      </c>
      <c r="R16" s="671">
        <v>1.4510615314316796E-2</v>
      </c>
      <c r="S16" s="671">
        <v>4.7916747954648634E-2</v>
      </c>
      <c r="T16" s="671">
        <v>2.2000629144565419E-2</v>
      </c>
      <c r="U16" s="671">
        <v>1.9696787460770523E-2</v>
      </c>
      <c r="V16" s="671">
        <v>1.4427020671761838E-2</v>
      </c>
      <c r="W16" s="671">
        <v>1.6404691287249491E-2</v>
      </c>
      <c r="X16" s="671">
        <v>2.1689228699570493E-2</v>
      </c>
      <c r="Y16" s="671">
        <v>1.6698059807371889E-2</v>
      </c>
      <c r="Z16" s="671">
        <v>1.683956250495109E-2</v>
      </c>
      <c r="AA16" s="671">
        <v>5.8975889717429841E-2</v>
      </c>
      <c r="AB16" s="671">
        <v>2.6594204469470761E-2</v>
      </c>
      <c r="AC16" s="671">
        <v>1.4946884693209457E-2</v>
      </c>
      <c r="AD16" s="671">
        <v>1.4140148936873896E-2</v>
      </c>
      <c r="AE16" s="671">
        <v>1.8065522536760324E-2</v>
      </c>
      <c r="AF16" s="671">
        <v>2.1725034384826133E-2</v>
      </c>
      <c r="AG16" s="671">
        <v>2.2102564286599704E-2</v>
      </c>
    </row>
    <row r="17" spans="2:33" ht="15" customHeight="1">
      <c r="B17" s="242" t="s">
        <v>2161</v>
      </c>
      <c r="C17" s="242" t="s">
        <v>2162</v>
      </c>
      <c r="D17" s="671"/>
      <c r="E17" s="671"/>
      <c r="F17" s="671"/>
      <c r="G17" s="671"/>
      <c r="H17" s="671"/>
      <c r="I17" s="671"/>
      <c r="J17" s="671"/>
      <c r="K17" s="671"/>
      <c r="L17" s="671">
        <v>1.0012000000000001</v>
      </c>
      <c r="M17" s="671">
        <v>1.0109999999999999</v>
      </c>
      <c r="N17" s="671">
        <v>0.998</v>
      </c>
      <c r="O17" s="671">
        <v>0.99719999999999998</v>
      </c>
      <c r="P17" s="671">
        <v>1.0306999999999999</v>
      </c>
      <c r="Q17" s="671">
        <v>1.014</v>
      </c>
      <c r="R17" s="671">
        <v>0.96799999999999997</v>
      </c>
      <c r="S17" s="671">
        <v>1.0309999999999999</v>
      </c>
      <c r="T17" s="671">
        <v>0.96081801138086198</v>
      </c>
      <c r="U17" s="671">
        <v>0.96612285375928975</v>
      </c>
      <c r="V17" s="671">
        <v>1.0203172864475984</v>
      </c>
      <c r="W17" s="671">
        <v>1.002</v>
      </c>
      <c r="X17" s="671">
        <v>0.96652001366204621</v>
      </c>
      <c r="Y17" s="671">
        <v>1.004</v>
      </c>
      <c r="Z17" s="671">
        <v>0.9919</v>
      </c>
      <c r="AA17" s="671">
        <v>0.99239999999999995</v>
      </c>
      <c r="AB17" s="671">
        <v>0.99270000000000003</v>
      </c>
      <c r="AC17" s="671">
        <v>1.0013960766142442</v>
      </c>
      <c r="AD17" s="671">
        <v>0.98599999999999999</v>
      </c>
      <c r="AE17" s="671">
        <v>0.9988562983259599</v>
      </c>
      <c r="AF17" s="671">
        <v>0.96909999999999996</v>
      </c>
      <c r="AG17" s="671">
        <v>0.95960000000000001</v>
      </c>
    </row>
    <row r="18" spans="2:33" ht="15" customHeight="1">
      <c r="B18" s="242"/>
      <c r="C18" s="242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</row>
    <row r="19" spans="2:33" ht="15" customHeight="1">
      <c r="B19" s="437" t="s">
        <v>116</v>
      </c>
      <c r="C19" s="437" t="s">
        <v>116</v>
      </c>
      <c r="D19" s="438" t="s">
        <v>63</v>
      </c>
      <c r="E19" s="438" t="s">
        <v>64</v>
      </c>
      <c r="F19" s="438" t="s">
        <v>65</v>
      </c>
      <c r="G19" s="438" t="s">
        <v>66</v>
      </c>
      <c r="H19" s="438" t="s">
        <v>67</v>
      </c>
      <c r="I19" s="438" t="s">
        <v>68</v>
      </c>
      <c r="J19" s="438" t="s">
        <v>69</v>
      </c>
      <c r="K19" s="438" t="s">
        <v>70</v>
      </c>
      <c r="L19" s="438" t="s">
        <v>71</v>
      </c>
      <c r="M19" s="438" t="s">
        <v>72</v>
      </c>
      <c r="N19" s="438" t="s">
        <v>73</v>
      </c>
      <c r="O19" s="438" t="s">
        <v>74</v>
      </c>
      <c r="P19" s="438" t="s">
        <v>75</v>
      </c>
      <c r="Q19" s="438" t="s">
        <v>76</v>
      </c>
      <c r="R19" s="438" t="s">
        <v>77</v>
      </c>
      <c r="S19" s="438" t="s">
        <v>78</v>
      </c>
      <c r="T19" s="670" t="s">
        <v>79</v>
      </c>
      <c r="U19" s="670" t="s">
        <v>80</v>
      </c>
      <c r="V19" s="670" t="s">
        <v>81</v>
      </c>
      <c r="W19" s="670" t="s">
        <v>82</v>
      </c>
      <c r="X19" s="670" t="s">
        <v>83</v>
      </c>
      <c r="Y19" s="670" t="s">
        <v>84</v>
      </c>
      <c r="Z19" s="670" t="s">
        <v>85</v>
      </c>
      <c r="AA19" s="670" t="s">
        <v>86</v>
      </c>
      <c r="AB19" s="670" t="s">
        <v>87</v>
      </c>
      <c r="AC19" s="670" t="s">
        <v>88</v>
      </c>
      <c r="AD19" s="670" t="s">
        <v>2074</v>
      </c>
      <c r="AE19" s="670" t="s">
        <v>2127</v>
      </c>
      <c r="AF19" s="670" t="str">
        <f>AF15</f>
        <v>1T26</v>
      </c>
      <c r="AG19" s="670" t="str">
        <f>AG15</f>
        <v>2T26</v>
      </c>
    </row>
    <row r="20" spans="2:33" ht="15" customHeight="1">
      <c r="B20" s="242" t="s">
        <v>2159</v>
      </c>
      <c r="C20" s="242" t="s">
        <v>2160</v>
      </c>
      <c r="D20" s="671"/>
      <c r="E20" s="671"/>
      <c r="F20" s="671"/>
      <c r="G20" s="671"/>
      <c r="H20" s="671"/>
      <c r="I20" s="671"/>
      <c r="J20" s="671"/>
      <c r="K20" s="671"/>
      <c r="L20" s="671">
        <v>1.8207103688502244E-2</v>
      </c>
      <c r="M20" s="671">
        <v>1.1367011633169947E-2</v>
      </c>
      <c r="N20" s="671">
        <v>-2.1564327081827352E-2</v>
      </c>
      <c r="O20" s="671">
        <v>-0.10733744812364979</v>
      </c>
      <c r="P20" s="671">
        <v>1.8364319587188208E-2</v>
      </c>
      <c r="Q20" s="671">
        <v>5.4517051161265991E-3</v>
      </c>
      <c r="R20" s="671">
        <v>2.0128564416114839E-2</v>
      </c>
      <c r="S20" s="671">
        <v>1.5787016114525709E-2</v>
      </c>
      <c r="T20" s="671">
        <v>1.4903339070554623E-2</v>
      </c>
      <c r="U20" s="671">
        <v>3.7106678160588901E-3</v>
      </c>
      <c r="V20" s="671">
        <v>1.0429481450431577E-2</v>
      </c>
      <c r="W20" s="671">
        <v>9.8345190864330134E-3</v>
      </c>
      <c r="X20" s="671">
        <v>1.3434949885937684E-2</v>
      </c>
      <c r="Y20" s="671">
        <v>6.9913839115344134E-3</v>
      </c>
      <c r="Z20" s="671">
        <v>-1.0341712188789005E-2</v>
      </c>
      <c r="AA20" s="671">
        <v>4.1847456914499946E-2</v>
      </c>
      <c r="AB20" s="671">
        <v>1.8273039347832983E-2</v>
      </c>
      <c r="AC20" s="671">
        <v>1.159631493777555E-2</v>
      </c>
      <c r="AD20" s="671">
        <v>-4.742383755809541E-3</v>
      </c>
      <c r="AE20" s="671">
        <v>2.6769009730281651E-2</v>
      </c>
      <c r="AF20" s="671">
        <v>4.6759225947835591E-3</v>
      </c>
      <c r="AG20" s="671">
        <v>1.5575341578978842E-3</v>
      </c>
    </row>
    <row r="21" spans="2:33" ht="15" customHeight="1">
      <c r="B21" s="242" t="s">
        <v>2161</v>
      </c>
      <c r="C21" s="242" t="s">
        <v>2162</v>
      </c>
      <c r="D21" s="671"/>
      <c r="E21" s="671"/>
      <c r="F21" s="671"/>
      <c r="G21" s="671"/>
      <c r="H21" s="671"/>
      <c r="I21" s="671"/>
      <c r="J21" s="671"/>
      <c r="K21" s="671"/>
      <c r="L21" s="671">
        <v>0.99580000000000002</v>
      </c>
      <c r="M21" s="671">
        <v>0.996</v>
      </c>
      <c r="N21" s="671">
        <v>1.018</v>
      </c>
      <c r="O21" s="671">
        <v>0.99280000000000002</v>
      </c>
      <c r="P21" s="671">
        <v>1.0075000000000001</v>
      </c>
      <c r="Q21" s="671">
        <v>0.98499999999999999</v>
      </c>
      <c r="R21" s="671">
        <v>0.98799999999999999</v>
      </c>
      <c r="S21" s="671">
        <v>1.02</v>
      </c>
      <c r="T21" s="671">
        <v>0.98738514709992198</v>
      </c>
      <c r="U21" s="671">
        <v>1.0012707329315902</v>
      </c>
      <c r="V21" s="671">
        <v>0.99469591512277578</v>
      </c>
      <c r="W21" s="671">
        <v>0.99199999999999999</v>
      </c>
      <c r="X21" s="671">
        <v>0.97381831314314482</v>
      </c>
      <c r="Y21" s="671">
        <v>0.98099999999999998</v>
      </c>
      <c r="Z21" s="671">
        <v>1.0348999999999999</v>
      </c>
      <c r="AA21" s="671">
        <v>1.0261</v>
      </c>
      <c r="AB21" s="671">
        <v>0.98950000000000005</v>
      </c>
      <c r="AC21" s="671">
        <v>0.99348372109832472</v>
      </c>
      <c r="AD21" s="671">
        <v>1.0349999999999999</v>
      </c>
      <c r="AE21" s="671">
        <v>1.0069194402761137</v>
      </c>
      <c r="AF21" s="671">
        <v>1.0003</v>
      </c>
      <c r="AG21" s="671">
        <v>0.99360000000000004</v>
      </c>
    </row>
    <row r="22" spans="2:33" ht="15" customHeight="1">
      <c r="B22" s="242"/>
      <c r="C22" s="242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</row>
    <row r="23" spans="2:33" ht="15" customHeight="1">
      <c r="B23" s="437" t="s">
        <v>119</v>
      </c>
      <c r="C23" s="437" t="s">
        <v>119</v>
      </c>
      <c r="D23" s="438" t="s">
        <v>63</v>
      </c>
      <c r="E23" s="438" t="s">
        <v>64</v>
      </c>
      <c r="F23" s="438" t="s">
        <v>65</v>
      </c>
      <c r="G23" s="438" t="s">
        <v>66</v>
      </c>
      <c r="H23" s="438" t="s">
        <v>67</v>
      </c>
      <c r="I23" s="438" t="s">
        <v>68</v>
      </c>
      <c r="J23" s="438" t="s">
        <v>69</v>
      </c>
      <c r="K23" s="438" t="s">
        <v>70</v>
      </c>
      <c r="L23" s="438" t="s">
        <v>71</v>
      </c>
      <c r="M23" s="438" t="s">
        <v>72</v>
      </c>
      <c r="N23" s="438" t="s">
        <v>73</v>
      </c>
      <c r="O23" s="438" t="s">
        <v>74</v>
      </c>
      <c r="P23" s="438" t="s">
        <v>75</v>
      </c>
      <c r="Q23" s="438" t="s">
        <v>76</v>
      </c>
      <c r="R23" s="438" t="s">
        <v>77</v>
      </c>
      <c r="S23" s="438" t="s">
        <v>78</v>
      </c>
      <c r="T23" s="670" t="s">
        <v>79</v>
      </c>
      <c r="U23" s="670" t="s">
        <v>80</v>
      </c>
      <c r="V23" s="670" t="s">
        <v>81</v>
      </c>
      <c r="W23" s="670" t="s">
        <v>82</v>
      </c>
      <c r="X23" s="670" t="s">
        <v>83</v>
      </c>
      <c r="Y23" s="670" t="s">
        <v>84</v>
      </c>
      <c r="Z23" s="670" t="s">
        <v>85</v>
      </c>
      <c r="AA23" s="670" t="s">
        <v>86</v>
      </c>
      <c r="AB23" s="670" t="s">
        <v>87</v>
      </c>
      <c r="AC23" s="670" t="s">
        <v>88</v>
      </c>
      <c r="AD23" s="670" t="s">
        <v>2074</v>
      </c>
      <c r="AE23" s="670" t="s">
        <v>2127</v>
      </c>
      <c r="AF23" s="670" t="str">
        <f>AF19</f>
        <v>1T26</v>
      </c>
      <c r="AG23" s="670" t="str">
        <f>AG19</f>
        <v>2T26</v>
      </c>
    </row>
    <row r="24" spans="2:33" ht="15" customHeight="1">
      <c r="B24" s="242" t="s">
        <v>2159</v>
      </c>
      <c r="C24" s="242" t="s">
        <v>2160</v>
      </c>
      <c r="D24" s="671"/>
      <c r="E24" s="671"/>
      <c r="F24" s="671"/>
      <c r="G24" s="671"/>
      <c r="H24" s="671"/>
      <c r="I24" s="671"/>
      <c r="J24" s="671"/>
      <c r="K24" s="671"/>
      <c r="L24" s="671">
        <v>1.5080041227063865E-2</v>
      </c>
      <c r="M24" s="671">
        <v>2.2904210986086304E-2</v>
      </c>
      <c r="N24" s="671">
        <v>-4.6106821916300011E-4</v>
      </c>
      <c r="O24" s="671">
        <v>4.3539373648281378E-3</v>
      </c>
      <c r="P24" s="671">
        <v>2.0477785236205675E-2</v>
      </c>
      <c r="Q24" s="671">
        <v>1.2267060887819693E-2</v>
      </c>
      <c r="R24" s="671">
        <v>-5.1251408594960579E-3</v>
      </c>
      <c r="S24" s="671">
        <v>3.3599365539232731E-3</v>
      </c>
      <c r="T24" s="671">
        <v>1.701424248491494E-2</v>
      </c>
      <c r="U24" s="671">
        <v>2.114667750416669E-2</v>
      </c>
      <c r="V24" s="671">
        <v>1.9373894901192432E-2</v>
      </c>
      <c r="W24" s="671">
        <v>-1.3731588861312938E-3</v>
      </c>
      <c r="X24" s="671">
        <v>2.2823060771282083E-2</v>
      </c>
      <c r="Y24" s="671">
        <v>2.7593261912099036E-2</v>
      </c>
      <c r="Z24" s="671">
        <v>2.2844839979258041E-2</v>
      </c>
      <c r="AA24" s="671">
        <v>1.6583810029832805E-3</v>
      </c>
      <c r="AB24" s="671">
        <v>1.8720543658641193E-2</v>
      </c>
      <c r="AC24" s="671">
        <v>1.6793902191726334E-3</v>
      </c>
      <c r="AD24" s="671">
        <v>1.3479907780447248E-2</v>
      </c>
      <c r="AE24" s="671">
        <v>-1.4732612192463921E-2</v>
      </c>
      <c r="AF24" s="671">
        <v>1.2083205900328598E-2</v>
      </c>
      <c r="AG24" s="671">
        <v>-4.5769654572042783E-4</v>
      </c>
    </row>
    <row r="25" spans="2:33" ht="15" customHeight="1">
      <c r="B25" s="242" t="s">
        <v>2161</v>
      </c>
      <c r="C25" s="242" t="s">
        <v>2162</v>
      </c>
      <c r="D25" s="671"/>
      <c r="E25" s="671"/>
      <c r="F25" s="671"/>
      <c r="G25" s="671"/>
      <c r="H25" s="671"/>
      <c r="I25" s="671"/>
      <c r="J25" s="671"/>
      <c r="K25" s="671"/>
      <c r="L25" s="671"/>
      <c r="M25" s="671">
        <v>0.99399999999999999</v>
      </c>
      <c r="N25" s="671">
        <v>0.98099999999999998</v>
      </c>
      <c r="O25" s="671">
        <v>1.0054000000000001</v>
      </c>
      <c r="P25" s="671">
        <v>0.94979999999999998</v>
      </c>
      <c r="Q25" s="671">
        <v>1.0198</v>
      </c>
      <c r="R25" s="671">
        <v>1.02</v>
      </c>
      <c r="S25" s="671">
        <v>1.0329999999999999</v>
      </c>
      <c r="T25" s="671">
        <v>0.96953213061038546</v>
      </c>
      <c r="U25" s="671">
        <v>1.0287183678310843</v>
      </c>
      <c r="V25" s="671">
        <v>1.0228580012129187</v>
      </c>
      <c r="W25" s="671">
        <v>1.026</v>
      </c>
      <c r="X25" s="671">
        <v>0.95355754182678643</v>
      </c>
      <c r="Y25" s="671">
        <v>0.97699999999999998</v>
      </c>
      <c r="Z25" s="671">
        <v>0.9768</v>
      </c>
      <c r="AA25" s="671">
        <v>1.0111000000000001</v>
      </c>
      <c r="AB25" s="671">
        <v>0.94710000000000005</v>
      </c>
      <c r="AC25" s="671">
        <v>0.99897999109232105</v>
      </c>
      <c r="AD25" s="671">
        <v>0.99390000000000001</v>
      </c>
      <c r="AE25" s="671">
        <v>1.0206536607718601</v>
      </c>
      <c r="AF25" s="671">
        <v>0.95120000000000005</v>
      </c>
      <c r="AG25" s="671">
        <v>1.0081</v>
      </c>
    </row>
    <row r="26" spans="2:33" ht="15" customHeight="1">
      <c r="B26" s="242"/>
      <c r="C26" s="242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</row>
    <row r="27" spans="2:33" ht="15" customHeight="1">
      <c r="B27" s="437" t="s">
        <v>122</v>
      </c>
      <c r="C27" s="437" t="s">
        <v>122</v>
      </c>
      <c r="D27" s="438" t="s">
        <v>63</v>
      </c>
      <c r="E27" s="438" t="s">
        <v>64</v>
      </c>
      <c r="F27" s="438" t="s">
        <v>65</v>
      </c>
      <c r="G27" s="438" t="s">
        <v>66</v>
      </c>
      <c r="H27" s="438" t="s">
        <v>67</v>
      </c>
      <c r="I27" s="438" t="s">
        <v>68</v>
      </c>
      <c r="J27" s="438" t="s">
        <v>69</v>
      </c>
      <c r="K27" s="438" t="s">
        <v>70</v>
      </c>
      <c r="L27" s="438" t="s">
        <v>71</v>
      </c>
      <c r="M27" s="438" t="s">
        <v>72</v>
      </c>
      <c r="N27" s="438" t="s">
        <v>73</v>
      </c>
      <c r="O27" s="438" t="s">
        <v>74</v>
      </c>
      <c r="P27" s="438" t="s">
        <v>75</v>
      </c>
      <c r="Q27" s="438" t="s">
        <v>76</v>
      </c>
      <c r="R27" s="438" t="s">
        <v>77</v>
      </c>
      <c r="S27" s="438" t="s">
        <v>78</v>
      </c>
      <c r="T27" s="670" t="s">
        <v>79</v>
      </c>
      <c r="U27" s="670" t="s">
        <v>80</v>
      </c>
      <c r="V27" s="670" t="s">
        <v>81</v>
      </c>
      <c r="W27" s="670" t="s">
        <v>82</v>
      </c>
      <c r="X27" s="670" t="s">
        <v>83</v>
      </c>
      <c r="Y27" s="670" t="s">
        <v>84</v>
      </c>
      <c r="Z27" s="670" t="s">
        <v>85</v>
      </c>
      <c r="AA27" s="670" t="s">
        <v>86</v>
      </c>
      <c r="AB27" s="670" t="s">
        <v>87</v>
      </c>
      <c r="AC27" s="670" t="s">
        <v>88</v>
      </c>
      <c r="AD27" s="670" t="s">
        <v>2074</v>
      </c>
      <c r="AE27" s="670" t="s">
        <v>2127</v>
      </c>
      <c r="AF27" s="670" t="str">
        <f>AF23</f>
        <v>1T26</v>
      </c>
      <c r="AG27" s="670" t="str">
        <f>AG23</f>
        <v>2T26</v>
      </c>
    </row>
    <row r="28" spans="2:33" ht="15" customHeight="1">
      <c r="B28" s="242" t="s">
        <v>2159</v>
      </c>
      <c r="C28" s="242" t="s">
        <v>2160</v>
      </c>
      <c r="D28" s="671"/>
      <c r="E28" s="671"/>
      <c r="F28" s="671"/>
      <c r="G28" s="671"/>
      <c r="H28" s="671"/>
      <c r="I28" s="671"/>
      <c r="J28" s="671"/>
      <c r="K28" s="671"/>
      <c r="L28" s="671">
        <v>2.0477785236205675E-2</v>
      </c>
      <c r="M28" s="671">
        <v>1.2267060887819698E-2</v>
      </c>
      <c r="N28" s="671">
        <v>-0.19672034497160873</v>
      </c>
      <c r="O28" s="671">
        <v>8.876226330872547E-2</v>
      </c>
      <c r="P28" s="671">
        <v>-4.7632854757737646E-2</v>
      </c>
      <c r="Q28" s="671">
        <v>-1.9698320290065248E-2</v>
      </c>
      <c r="R28" s="671">
        <v>-3.5135885311880222E-2</v>
      </c>
      <c r="S28" s="671">
        <v>-6.1020803172706049E-2</v>
      </c>
      <c r="T28" s="671">
        <v>-1.1719062666127976E-2</v>
      </c>
      <c r="U28" s="671">
        <v>-5.8041974193589543E-3</v>
      </c>
      <c r="V28" s="671">
        <v>-8.6460329407517713E-3</v>
      </c>
      <c r="W28" s="671">
        <v>3.1287342150046679E-2</v>
      </c>
      <c r="X28" s="671">
        <v>3.4149294215025279E-2</v>
      </c>
      <c r="Y28" s="671">
        <v>5.5074669236671262E-3</v>
      </c>
      <c r="Z28" s="671">
        <v>2.6881955381561157E-2</v>
      </c>
      <c r="AA28" s="671">
        <v>-2.1161973107527324E-2</v>
      </c>
      <c r="AB28" s="671">
        <v>2.9413983003810425E-2</v>
      </c>
      <c r="AC28" s="671">
        <v>1.1967169027406351E-2</v>
      </c>
      <c r="AD28" s="671">
        <v>-1.1627019334751458E-2</v>
      </c>
      <c r="AE28" s="671">
        <v>-3.9460955594948707E-2</v>
      </c>
      <c r="AF28" s="671">
        <v>1.0000530581659383E-2</v>
      </c>
      <c r="AG28" s="671">
        <v>4.9184295429941646E-3</v>
      </c>
    </row>
    <row r="29" spans="2:33" ht="15" customHeight="1">
      <c r="B29" s="242" t="s">
        <v>2161</v>
      </c>
      <c r="C29" s="242" t="s">
        <v>2162</v>
      </c>
      <c r="D29" s="671"/>
      <c r="E29" s="671"/>
      <c r="F29" s="671"/>
      <c r="G29" s="671"/>
      <c r="H29" s="671"/>
      <c r="I29" s="671"/>
      <c r="J29" s="671"/>
      <c r="K29" s="671"/>
      <c r="L29" s="671"/>
      <c r="M29" s="671">
        <v>0.95399999999999996</v>
      </c>
      <c r="N29" s="671">
        <v>1.08</v>
      </c>
      <c r="O29" s="671">
        <v>0.90500000000000003</v>
      </c>
      <c r="P29" s="671">
        <v>1.0918000000000001</v>
      </c>
      <c r="Q29" s="671">
        <v>1.0740000000000001</v>
      </c>
      <c r="R29" s="671">
        <v>1.012</v>
      </c>
      <c r="S29" s="671">
        <v>1.0269999999999999</v>
      </c>
      <c r="T29" s="671">
        <v>0.92390836247551478</v>
      </c>
      <c r="U29" s="671">
        <v>0.967653625702106</v>
      </c>
      <c r="V29" s="671">
        <v>0.93300000000000005</v>
      </c>
      <c r="W29" s="671">
        <v>0.97</v>
      </c>
      <c r="X29" s="671">
        <v>0.99183632026832247</v>
      </c>
      <c r="Y29" s="671">
        <v>0.98</v>
      </c>
      <c r="Z29" s="671">
        <v>0.99270000000000003</v>
      </c>
      <c r="AA29" s="671">
        <v>0.99480000000000002</v>
      </c>
      <c r="AB29" s="671">
        <v>0.92759999999999998</v>
      </c>
      <c r="AC29" s="671">
        <v>0.99493401834672435</v>
      </c>
      <c r="AD29" s="671">
        <v>0.97350000000000003</v>
      </c>
      <c r="AE29" s="671">
        <v>1.0273718756317287</v>
      </c>
      <c r="AF29" s="671">
        <v>1.012</v>
      </c>
      <c r="AG29" s="671">
        <v>1.0058</v>
      </c>
    </row>
    <row r="30" spans="2:33" ht="15" customHeight="1">
      <c r="B30" s="242"/>
      <c r="C30" s="242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</row>
    <row r="31" spans="2:33" ht="15" customHeight="1">
      <c r="B31" s="437" t="s">
        <v>125</v>
      </c>
      <c r="C31" s="437" t="s">
        <v>125</v>
      </c>
      <c r="D31" s="438" t="s">
        <v>63</v>
      </c>
      <c r="E31" s="438" t="s">
        <v>64</v>
      </c>
      <c r="F31" s="438" t="s">
        <v>65</v>
      </c>
      <c r="G31" s="438" t="s">
        <v>66</v>
      </c>
      <c r="H31" s="438" t="s">
        <v>67</v>
      </c>
      <c r="I31" s="438" t="s">
        <v>68</v>
      </c>
      <c r="J31" s="438" t="s">
        <v>69</v>
      </c>
      <c r="K31" s="438" t="s">
        <v>70</v>
      </c>
      <c r="L31" s="438" t="s">
        <v>71</v>
      </c>
      <c r="M31" s="438" t="s">
        <v>72</v>
      </c>
      <c r="N31" s="438" t="s">
        <v>73</v>
      </c>
      <c r="O31" s="438" t="s">
        <v>74</v>
      </c>
      <c r="P31" s="438" t="s">
        <v>75</v>
      </c>
      <c r="Q31" s="438" t="s">
        <v>76</v>
      </c>
      <c r="R31" s="438" t="s">
        <v>77</v>
      </c>
      <c r="S31" s="438" t="s">
        <v>78</v>
      </c>
      <c r="T31" s="670" t="s">
        <v>79</v>
      </c>
      <c r="U31" s="670" t="s">
        <v>80</v>
      </c>
      <c r="V31" s="670" t="s">
        <v>81</v>
      </c>
      <c r="W31" s="670" t="s">
        <v>82</v>
      </c>
      <c r="X31" s="670" t="s">
        <v>83</v>
      </c>
      <c r="Y31" s="670" t="s">
        <v>84</v>
      </c>
      <c r="Z31" s="670" t="s">
        <v>85</v>
      </c>
      <c r="AA31" s="670" t="s">
        <v>86</v>
      </c>
      <c r="AB31" s="670" t="s">
        <v>87</v>
      </c>
      <c r="AC31" s="670" t="s">
        <v>88</v>
      </c>
      <c r="AD31" s="670" t="s">
        <v>2074</v>
      </c>
      <c r="AE31" s="670" t="s">
        <v>2127</v>
      </c>
      <c r="AF31" s="670" t="str">
        <f>AF27</f>
        <v>1T26</v>
      </c>
      <c r="AG31" s="670" t="str">
        <f>AG27</f>
        <v>2T26</v>
      </c>
    </row>
    <row r="32" spans="2:33" ht="15" customHeight="1">
      <c r="B32" s="242" t="s">
        <v>2159</v>
      </c>
      <c r="C32" s="242" t="s">
        <v>2160</v>
      </c>
      <c r="D32" s="671"/>
      <c r="E32" s="671"/>
      <c r="F32" s="671"/>
      <c r="G32" s="671"/>
      <c r="H32" s="671"/>
      <c r="I32" s="671"/>
      <c r="J32" s="671"/>
      <c r="K32" s="671"/>
      <c r="L32" s="671"/>
      <c r="M32" s="671"/>
      <c r="N32" s="671"/>
      <c r="O32" s="671"/>
      <c r="P32" s="671">
        <v>7.2108631161598158E-3</v>
      </c>
      <c r="Q32" s="671">
        <v>2.6015992933258341E-3</v>
      </c>
      <c r="R32" s="671">
        <v>7.0666508533768276E-4</v>
      </c>
      <c r="S32" s="671">
        <v>1.9540319112452936E-2</v>
      </c>
      <c r="T32" s="671">
        <v>-1.179278235119095E-2</v>
      </c>
      <c r="U32" s="671">
        <v>8.5835714143755407E-3</v>
      </c>
      <c r="V32" s="671">
        <v>-2.2036009784389752E-3</v>
      </c>
      <c r="W32" s="671">
        <v>2.2962516697876977E-2</v>
      </c>
      <c r="X32" s="671">
        <v>3.6858019804602931E-3</v>
      </c>
      <c r="Y32" s="671">
        <v>5.571628667725901E-3</v>
      </c>
      <c r="Z32" s="671">
        <v>4.671030337457853E-3</v>
      </c>
      <c r="AA32" s="671">
        <v>-7.3736156919825225E-3</v>
      </c>
      <c r="AB32" s="671">
        <v>5.7727175428425618E-3</v>
      </c>
      <c r="AC32" s="671">
        <v>3.2847685400203947E-3</v>
      </c>
      <c r="AD32" s="671">
        <v>1.1383054517781945E-3</v>
      </c>
      <c r="AE32" s="671">
        <v>2.5941750095539774E-2</v>
      </c>
      <c r="AF32" s="671">
        <v>7.6868323557086685E-3</v>
      </c>
      <c r="AG32" s="671">
        <v>6.5580841685434236E-3</v>
      </c>
    </row>
    <row r="33" spans="2:33" ht="15" customHeight="1">
      <c r="B33" s="242" t="s">
        <v>2161</v>
      </c>
      <c r="C33" s="242" t="s">
        <v>2162</v>
      </c>
      <c r="D33" s="671"/>
      <c r="E33" s="671"/>
      <c r="F33" s="671"/>
      <c r="G33" s="671"/>
      <c r="H33" s="671"/>
      <c r="I33" s="671"/>
      <c r="J33" s="671"/>
      <c r="K33" s="671"/>
      <c r="L33" s="671"/>
      <c r="M33" s="671"/>
      <c r="N33" s="671"/>
      <c r="O33" s="671"/>
      <c r="P33" s="673">
        <v>0.98499999999999999</v>
      </c>
      <c r="Q33" s="671">
        <v>1.0027999999999999</v>
      </c>
      <c r="R33" s="671">
        <v>1.0352842871977599</v>
      </c>
      <c r="S33" s="671">
        <v>0.97399999999999998</v>
      </c>
      <c r="T33" s="671">
        <v>1.00888987181014</v>
      </c>
      <c r="U33" s="671">
        <v>0.99648979863118814</v>
      </c>
      <c r="V33" s="671">
        <v>0.99097790126224827</v>
      </c>
      <c r="W33" s="671">
        <v>0.97</v>
      </c>
      <c r="X33" s="671">
        <v>0.98158471213469212</v>
      </c>
      <c r="Y33" s="671">
        <v>1</v>
      </c>
      <c r="Z33" s="671">
        <v>1.0201</v>
      </c>
      <c r="AA33" s="671">
        <v>0.97889999999999999</v>
      </c>
      <c r="AB33" s="671">
        <v>1.0058</v>
      </c>
      <c r="AC33" s="671">
        <v>0.98904457444665383</v>
      </c>
      <c r="AD33" s="671">
        <v>1.0135000000000001</v>
      </c>
      <c r="AE33" s="671">
        <v>0.95484041524870045</v>
      </c>
      <c r="AF33" s="671">
        <v>1.0088999999999999</v>
      </c>
      <c r="AG33" s="671">
        <v>0.98119999999999996</v>
      </c>
    </row>
    <row r="34" spans="2:33" ht="15" customHeight="1"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</row>
    <row r="35" spans="2:33" ht="15" customHeight="1">
      <c r="B35" s="437" t="s">
        <v>1024</v>
      </c>
      <c r="C35" s="437" t="s">
        <v>1906</v>
      </c>
      <c r="D35" s="438" t="s">
        <v>63</v>
      </c>
      <c r="E35" s="438" t="s">
        <v>64</v>
      </c>
      <c r="F35" s="438" t="s">
        <v>65</v>
      </c>
      <c r="G35" s="438" t="s">
        <v>66</v>
      </c>
      <c r="H35" s="438" t="s">
        <v>67</v>
      </c>
      <c r="I35" s="438" t="s">
        <v>68</v>
      </c>
      <c r="J35" s="438" t="s">
        <v>69</v>
      </c>
      <c r="K35" s="438" t="s">
        <v>70</v>
      </c>
      <c r="L35" s="438" t="s">
        <v>71</v>
      </c>
      <c r="M35" s="438" t="s">
        <v>72</v>
      </c>
      <c r="N35" s="438" t="s">
        <v>73</v>
      </c>
      <c r="O35" s="438" t="s">
        <v>74</v>
      </c>
      <c r="P35" s="438" t="s">
        <v>75</v>
      </c>
      <c r="Q35" s="438" t="s">
        <v>76</v>
      </c>
      <c r="R35" s="438" t="s">
        <v>77</v>
      </c>
      <c r="S35" s="438" t="s">
        <v>78</v>
      </c>
      <c r="T35" s="670" t="s">
        <v>79</v>
      </c>
      <c r="U35" s="670" t="s">
        <v>80</v>
      </c>
      <c r="V35" s="670" t="s">
        <v>81</v>
      </c>
      <c r="W35" s="670" t="s">
        <v>82</v>
      </c>
      <c r="X35" s="670" t="s">
        <v>83</v>
      </c>
      <c r="Y35" s="670" t="s">
        <v>84</v>
      </c>
      <c r="Z35" s="670" t="s">
        <v>85</v>
      </c>
      <c r="AA35" s="670" t="s">
        <v>86</v>
      </c>
      <c r="AB35" s="670" t="s">
        <v>87</v>
      </c>
      <c r="AC35" s="670" t="s">
        <v>88</v>
      </c>
      <c r="AD35" s="670" t="s">
        <v>2074</v>
      </c>
      <c r="AE35" s="670" t="s">
        <v>2127</v>
      </c>
      <c r="AF35" s="670" t="str">
        <f>AF31</f>
        <v>1T26</v>
      </c>
      <c r="AG35" s="670" t="str">
        <f>AG31</f>
        <v>2T26</v>
      </c>
    </row>
    <row r="36" spans="2:33" ht="15" customHeight="1">
      <c r="B36" s="242" t="s">
        <v>2159</v>
      </c>
      <c r="C36" s="242" t="s">
        <v>2160</v>
      </c>
      <c r="D36" s="671"/>
      <c r="E36" s="671"/>
      <c r="F36" s="671"/>
      <c r="G36" s="671"/>
      <c r="H36" s="671"/>
      <c r="I36" s="671"/>
      <c r="J36" s="671"/>
      <c r="K36" s="671"/>
      <c r="L36" s="671">
        <v>1.6709621481860809E-2</v>
      </c>
      <c r="M36" s="671">
        <v>9.9616538163851201E-3</v>
      </c>
      <c r="N36" s="671">
        <v>6.218442713723937E-3</v>
      </c>
      <c r="O36" s="671">
        <v>-1.8902315715358515E-2</v>
      </c>
      <c r="P36" s="671">
        <v>1.1562844905879912E-2</v>
      </c>
      <c r="Q36" s="671">
        <v>1.1266842821751668E-2</v>
      </c>
      <c r="R36" s="671">
        <v>9.18287262372533E-3</v>
      </c>
      <c r="S36" s="671">
        <v>-3.4648839207310259E-3</v>
      </c>
      <c r="T36" s="671">
        <v>8.1317899751978291E-3</v>
      </c>
      <c r="U36" s="671">
        <v>1.3515641069610075E-2</v>
      </c>
      <c r="V36" s="671">
        <v>1.1694833003706231E-2</v>
      </c>
      <c r="W36" s="671">
        <v>2.1133060278049457E-2</v>
      </c>
      <c r="X36" s="671">
        <v>1.7222534835024044E-2</v>
      </c>
      <c r="Y36" s="671">
        <v>1.4741122060088594E-2</v>
      </c>
      <c r="Z36" s="671">
        <v>1.3632059648544255E-2</v>
      </c>
      <c r="AA36" s="671">
        <v>2.0886777997913539E-2</v>
      </c>
      <c r="AB36" s="671">
        <v>1.6565850279872573E-2</v>
      </c>
      <c r="AC36" s="671">
        <v>1.1040438275425892E-2</v>
      </c>
      <c r="AD36" s="671">
        <v>1.005414633336248E-2</v>
      </c>
      <c r="AE36" s="671">
        <v>1.3782316848414662E-2</v>
      </c>
      <c r="AF36" s="671">
        <v>1.6428805381809332E-2</v>
      </c>
      <c r="AG36" s="671">
        <v>1.2593627676772683E-2</v>
      </c>
    </row>
    <row r="37" spans="2:33" ht="15" customHeight="1">
      <c r="B37" s="242" t="s">
        <v>2161</v>
      </c>
      <c r="C37" s="242" t="s">
        <v>2162</v>
      </c>
      <c r="D37" s="671"/>
      <c r="E37" s="671"/>
      <c r="F37" s="671"/>
      <c r="G37" s="671"/>
      <c r="H37" s="671"/>
      <c r="I37" s="671"/>
      <c r="J37" s="671"/>
      <c r="K37" s="671"/>
      <c r="L37" s="671">
        <v>0.98919999999999997</v>
      </c>
      <c r="M37" s="671">
        <v>0.98799999999999999</v>
      </c>
      <c r="N37" s="671">
        <v>0.98699999999999999</v>
      </c>
      <c r="O37" s="671">
        <v>0.99299999999999999</v>
      </c>
      <c r="P37" s="671">
        <v>0.98529999999999995</v>
      </c>
      <c r="Q37" s="671">
        <v>1.0037</v>
      </c>
      <c r="R37" s="671">
        <v>0.99930897232877602</v>
      </c>
      <c r="S37" s="671">
        <v>1.006</v>
      </c>
      <c r="T37" s="671">
        <v>0.98001275766838902</v>
      </c>
      <c r="U37" s="671">
        <v>0.99320170951936237</v>
      </c>
      <c r="V37" s="671">
        <v>0.98415902073635464</v>
      </c>
      <c r="W37" s="671">
        <v>0.99099999999999999</v>
      </c>
      <c r="X37" s="671">
        <v>0.96624207209995572</v>
      </c>
      <c r="Y37" s="671">
        <v>0.98399999999999999</v>
      </c>
      <c r="Z37" s="671">
        <v>0.99560000000000004</v>
      </c>
      <c r="AA37" s="671">
        <v>0.99539999999999995</v>
      </c>
      <c r="AB37" s="671">
        <v>0.97829999999999995</v>
      </c>
      <c r="AC37" s="671">
        <v>0.98092319117350601</v>
      </c>
      <c r="AD37" s="671">
        <v>0.99170000000000003</v>
      </c>
      <c r="AE37" s="671">
        <v>0.95484041524870045</v>
      </c>
      <c r="AF37" s="671">
        <v>0.97519999999999996</v>
      </c>
      <c r="AG37" s="671">
        <v>0.97319999999999995</v>
      </c>
    </row>
    <row r="38" spans="2:33" ht="15" customHeight="1">
      <c r="AE38" s="672"/>
      <c r="AF38" s="672"/>
      <c r="AG38" s="672"/>
    </row>
    <row r="39" spans="2:33" ht="15" customHeight="1">
      <c r="B39" s="674" t="s">
        <v>2163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0.79998168889431442"/>
  </sheetPr>
  <dimension ref="B6:BE46"/>
  <sheetViews>
    <sheetView topLeftCell="A4" zoomScale="85" zoomScaleNormal="85" workbookViewId="0">
      <pane xSplit="3" topLeftCell="AV1" activePane="topRight" state="frozen"/>
      <selection pane="topRight" activeCell="BJ22" sqref="BJ22"/>
    </sheetView>
  </sheetViews>
  <sheetFormatPr defaultColWidth="9.21875" defaultRowHeight="15" customHeight="1" outlineLevelCol="1"/>
  <cols>
    <col min="1" max="1" width="8.5546875" style="35" customWidth="1"/>
    <col min="2" max="3" width="33.5546875" style="35" customWidth="1"/>
    <col min="4" max="27" width="9.21875" style="35" hidden="1" customWidth="1" outlineLevel="1"/>
    <col min="28" max="28" width="9.21875" style="35" customWidth="1" collapsed="1"/>
    <col min="29" max="43" width="9.21875" style="35" customWidth="1"/>
    <col min="44" max="57" width="9" style="35" customWidth="1"/>
    <col min="58" max="16384" width="9.21875" style="35"/>
  </cols>
  <sheetData>
    <row r="6" spans="2:57" ht="15" customHeight="1">
      <c r="B6" s="439" t="s">
        <v>516</v>
      </c>
      <c r="C6" s="439" t="s">
        <v>517</v>
      </c>
      <c r="D6" s="107" t="s">
        <v>39</v>
      </c>
      <c r="E6" s="107" t="s">
        <v>40</v>
      </c>
      <c r="F6" s="107" t="s">
        <v>41</v>
      </c>
      <c r="G6" s="107" t="s">
        <v>42</v>
      </c>
      <c r="H6" s="107" t="s">
        <v>43</v>
      </c>
      <c r="I6" s="107" t="s">
        <v>44</v>
      </c>
      <c r="J6" s="107" t="s">
        <v>45</v>
      </c>
      <c r="K6" s="107" t="s">
        <v>46</v>
      </c>
      <c r="L6" s="107" t="s">
        <v>47</v>
      </c>
      <c r="M6" s="107" t="s">
        <v>48</v>
      </c>
      <c r="N6" s="107" t="s">
        <v>49</v>
      </c>
      <c r="O6" s="107" t="s">
        <v>50</v>
      </c>
      <c r="P6" s="107" t="s">
        <v>51</v>
      </c>
      <c r="Q6" s="107" t="s">
        <v>52</v>
      </c>
      <c r="R6" s="107" t="s">
        <v>53</v>
      </c>
      <c r="S6" s="107" t="s">
        <v>54</v>
      </c>
      <c r="T6" s="107" t="s">
        <v>55</v>
      </c>
      <c r="U6" s="107" t="s">
        <v>56</v>
      </c>
      <c r="V6" s="107" t="s">
        <v>57</v>
      </c>
      <c r="W6" s="107" t="s">
        <v>58</v>
      </c>
      <c r="X6" s="107" t="s">
        <v>59</v>
      </c>
      <c r="Y6" s="107" t="s">
        <v>60</v>
      </c>
      <c r="Z6" s="107" t="s">
        <v>61</v>
      </c>
      <c r="AA6" s="107" t="s">
        <v>62</v>
      </c>
      <c r="AB6" s="107" t="s">
        <v>63</v>
      </c>
      <c r="AC6" s="107" t="s">
        <v>64</v>
      </c>
      <c r="AD6" s="107" t="s">
        <v>65</v>
      </c>
      <c r="AE6" s="107" t="s">
        <v>66</v>
      </c>
      <c r="AF6" s="107" t="s">
        <v>67</v>
      </c>
      <c r="AG6" s="107" t="s">
        <v>68</v>
      </c>
      <c r="AH6" s="107" t="s">
        <v>69</v>
      </c>
      <c r="AI6" s="107" t="s">
        <v>70</v>
      </c>
      <c r="AJ6" s="107" t="s">
        <v>71</v>
      </c>
      <c r="AK6" s="107" t="s">
        <v>72</v>
      </c>
      <c r="AL6" s="107" t="s">
        <v>73</v>
      </c>
      <c r="AM6" s="107" t="s">
        <v>74</v>
      </c>
      <c r="AN6" s="107" t="s">
        <v>75</v>
      </c>
      <c r="AO6" s="107" t="s">
        <v>76</v>
      </c>
      <c r="AP6" s="107" t="s">
        <v>77</v>
      </c>
      <c r="AQ6" s="107" t="s">
        <v>78</v>
      </c>
      <c r="AR6" s="107" t="s">
        <v>79</v>
      </c>
      <c r="AS6" s="107" t="s">
        <v>80</v>
      </c>
      <c r="AT6" s="107" t="s">
        <v>81</v>
      </c>
      <c r="AU6" s="107" t="s">
        <v>82</v>
      </c>
      <c r="AV6" s="107" t="s">
        <v>83</v>
      </c>
      <c r="AW6" s="107" t="s">
        <v>84</v>
      </c>
      <c r="AX6" s="107" t="s">
        <v>85</v>
      </c>
      <c r="AY6" s="107" t="s">
        <v>86</v>
      </c>
      <c r="AZ6" s="107" t="s">
        <v>87</v>
      </c>
      <c r="BA6" s="107" t="s">
        <v>88</v>
      </c>
      <c r="BB6" s="107" t="s">
        <v>2074</v>
      </c>
      <c r="BC6" s="107" t="s">
        <v>2127</v>
      </c>
      <c r="BD6" s="107" t="s">
        <v>2360</v>
      </c>
      <c r="BE6" s="107" t="s">
        <v>2494</v>
      </c>
    </row>
    <row r="7" spans="2:57" ht="15" customHeight="1">
      <c r="B7" s="35" t="s">
        <v>518</v>
      </c>
      <c r="C7" s="549" t="s">
        <v>519</v>
      </c>
      <c r="D7" s="236">
        <v>21.5</v>
      </c>
      <c r="E7" s="236">
        <v>20.100000000000001</v>
      </c>
      <c r="F7" s="236">
        <v>19.2</v>
      </c>
      <c r="G7" s="236">
        <v>18.850000000000001</v>
      </c>
      <c r="H7" s="236">
        <v>16.100000000000001</v>
      </c>
      <c r="I7" s="236">
        <v>16.100000000000001</v>
      </c>
      <c r="J7" s="236">
        <v>16.5</v>
      </c>
      <c r="K7" s="236">
        <v>17</v>
      </c>
      <c r="L7" s="236">
        <v>17.100000000000001</v>
      </c>
      <c r="M7" s="236">
        <v>16.7</v>
      </c>
      <c r="N7" s="236">
        <v>16</v>
      </c>
      <c r="O7" s="236">
        <v>15.28</v>
      </c>
      <c r="P7" s="236">
        <v>14.486805930629799</v>
      </c>
      <c r="Q7" s="236">
        <v>14.469143699285866</v>
      </c>
      <c r="R7" s="236">
        <v>14.05212997553472</v>
      </c>
      <c r="S7" s="236">
        <v>14.2160810915931</v>
      </c>
      <c r="T7" s="236">
        <v>15.243970098536501</v>
      </c>
      <c r="U7" s="236">
        <v>14.71</v>
      </c>
      <c r="V7" s="236">
        <v>14.17</v>
      </c>
      <c r="W7" s="236">
        <v>13.27</v>
      </c>
      <c r="X7" s="236">
        <v>13.17</v>
      </c>
      <c r="Y7" s="236">
        <v>14.1</v>
      </c>
      <c r="Z7" s="236">
        <v>14.27</v>
      </c>
      <c r="AA7" s="236">
        <v>13.99</v>
      </c>
      <c r="AB7" s="236">
        <v>13.73</v>
      </c>
      <c r="AC7" s="236">
        <v>13.55</v>
      </c>
      <c r="AD7" s="236">
        <v>13.42</v>
      </c>
      <c r="AE7" s="236">
        <v>13.69</v>
      </c>
      <c r="AF7" s="236">
        <v>13</v>
      </c>
      <c r="AG7" s="236">
        <v>13.9</v>
      </c>
      <c r="AH7" s="236">
        <v>13.870000000000001</v>
      </c>
      <c r="AI7" s="236">
        <v>13.370064601433477</v>
      </c>
      <c r="AJ7" s="236">
        <v>18.38494487842754</v>
      </c>
      <c r="AK7" s="236">
        <v>19.7</v>
      </c>
      <c r="AL7" s="236">
        <v>23.4</v>
      </c>
      <c r="AM7" s="236">
        <v>29.2</v>
      </c>
      <c r="AN7" s="236">
        <v>29.3</v>
      </c>
      <c r="AO7" s="236">
        <v>29.8</v>
      </c>
      <c r="AP7" s="236">
        <v>28.34</v>
      </c>
      <c r="AQ7" s="236">
        <v>24.649107999999998</v>
      </c>
      <c r="AR7" s="236">
        <v>20.318995000000001</v>
      </c>
      <c r="AS7" s="236">
        <v>17.336359999999999</v>
      </c>
      <c r="AT7" s="236">
        <v>15.45</v>
      </c>
      <c r="AU7" s="236">
        <v>14.025035000000001</v>
      </c>
      <c r="AV7" s="236">
        <v>13.76</v>
      </c>
      <c r="AW7" s="236">
        <v>14.17</v>
      </c>
      <c r="AX7" s="236">
        <v>14</v>
      </c>
      <c r="AY7" s="236">
        <v>13.36</v>
      </c>
      <c r="AZ7" s="236">
        <v>12.48</v>
      </c>
      <c r="BA7" s="236">
        <v>12.54</v>
      </c>
      <c r="BB7" s="236">
        <v>12.89</v>
      </c>
      <c r="BC7" s="236">
        <v>13.23</v>
      </c>
      <c r="BD7" s="236">
        <v>13.17</v>
      </c>
      <c r="BE7" s="236">
        <v>12.33</v>
      </c>
    </row>
    <row r="8" spans="2:57" ht="15" customHeight="1">
      <c r="B8" s="237" t="s">
        <v>520</v>
      </c>
      <c r="C8" s="551" t="s">
        <v>521</v>
      </c>
      <c r="D8" s="238">
        <v>25.19</v>
      </c>
      <c r="E8" s="238">
        <v>25.19</v>
      </c>
      <c r="F8" s="238">
        <v>25.19</v>
      </c>
      <c r="G8" s="238">
        <v>25.19</v>
      </c>
      <c r="H8" s="238">
        <v>23.37</v>
      </c>
      <c r="I8" s="238">
        <v>23.37</v>
      </c>
      <c r="J8" s="238">
        <v>23.37</v>
      </c>
      <c r="K8" s="238">
        <v>23.37</v>
      </c>
      <c r="L8" s="238">
        <v>21.68</v>
      </c>
      <c r="M8" s="238">
        <v>21.68</v>
      </c>
      <c r="N8" s="238">
        <v>21.68</v>
      </c>
      <c r="O8" s="238">
        <v>21.68</v>
      </c>
      <c r="P8" s="238">
        <v>19.920000000000002</v>
      </c>
      <c r="Q8" s="238">
        <v>19.920000000000002</v>
      </c>
      <c r="R8" s="238">
        <v>19.920000000000002</v>
      </c>
      <c r="S8" s="238">
        <v>19.920000000000002</v>
      </c>
      <c r="T8" s="238">
        <v>18.579999999999998</v>
      </c>
      <c r="U8" s="238">
        <v>18.579999999999998</v>
      </c>
      <c r="V8" s="238">
        <v>18.579999999999998</v>
      </c>
      <c r="W8" s="238">
        <v>18.579999999999998</v>
      </c>
      <c r="X8" s="238">
        <v>18.04</v>
      </c>
      <c r="Y8" s="238">
        <v>18.04</v>
      </c>
      <c r="Z8" s="238">
        <v>18.04</v>
      </c>
      <c r="AA8" s="238">
        <v>18.04</v>
      </c>
      <c r="AB8" s="238">
        <v>17.329999999999998</v>
      </c>
      <c r="AC8" s="238">
        <v>17.329999999999998</v>
      </c>
      <c r="AD8" s="238">
        <v>17.329999999999998</v>
      </c>
      <c r="AE8" s="238">
        <v>17.329999999999998</v>
      </c>
      <c r="AF8" s="238">
        <v>17.399999999999999</v>
      </c>
      <c r="AG8" s="238">
        <v>17.399999999999999</v>
      </c>
      <c r="AH8" s="238">
        <v>17.399999999999999</v>
      </c>
      <c r="AI8" s="238">
        <v>17.399999999999999</v>
      </c>
      <c r="AJ8" s="238">
        <v>16.079999999999998</v>
      </c>
      <c r="AK8" s="238">
        <v>16.079999999999998</v>
      </c>
      <c r="AL8" s="238">
        <v>16.079999999999998</v>
      </c>
      <c r="AM8" s="238">
        <v>16.075905041593739</v>
      </c>
      <c r="AN8" s="238">
        <v>15.43614064142894</v>
      </c>
      <c r="AO8" s="238">
        <v>15.43614064142894</v>
      </c>
      <c r="AP8" s="238">
        <v>15.44</v>
      </c>
      <c r="AQ8" s="238">
        <v>15.44</v>
      </c>
      <c r="AR8" s="238">
        <v>14.89</v>
      </c>
      <c r="AS8" s="238">
        <v>14.89</v>
      </c>
      <c r="AT8" s="238">
        <v>14.89</v>
      </c>
      <c r="AU8" s="238">
        <v>14.91</v>
      </c>
      <c r="AV8" s="238">
        <v>14.2</v>
      </c>
      <c r="AW8" s="238">
        <v>14.19</v>
      </c>
      <c r="AX8" s="238">
        <v>14.19</v>
      </c>
      <c r="AY8" s="238">
        <v>14.2</v>
      </c>
      <c r="AZ8" s="238">
        <v>13.78</v>
      </c>
      <c r="BA8" s="238">
        <v>13.78</v>
      </c>
      <c r="BB8" s="238">
        <v>13.8</v>
      </c>
      <c r="BC8" s="238">
        <v>13.8</v>
      </c>
      <c r="BD8" s="238">
        <v>13.73</v>
      </c>
      <c r="BE8" s="238">
        <v>13.73</v>
      </c>
    </row>
    <row r="9" spans="2:57" ht="15" customHeight="1">
      <c r="B9" s="35" t="s">
        <v>522</v>
      </c>
      <c r="C9" s="549" t="s">
        <v>523</v>
      </c>
      <c r="D9" s="236">
        <v>11.2</v>
      </c>
      <c r="E9" s="236">
        <v>10.9</v>
      </c>
      <c r="F9" s="236">
        <v>10.6</v>
      </c>
      <c r="G9" s="236">
        <v>10.88</v>
      </c>
      <c r="H9" s="236">
        <v>10.5</v>
      </c>
      <c r="I9" s="236">
        <v>10.7</v>
      </c>
      <c r="J9" s="236">
        <v>10.9</v>
      </c>
      <c r="K9" s="236">
        <v>11.01</v>
      </c>
      <c r="L9" s="236">
        <v>10.4</v>
      </c>
      <c r="M9" s="236">
        <v>9.6</v>
      </c>
      <c r="N9" s="236">
        <v>9.1999999999999993</v>
      </c>
      <c r="O9" s="236">
        <v>8.9499999999999993</v>
      </c>
      <c r="P9" s="236">
        <v>8.2031768457874428</v>
      </c>
      <c r="Q9" s="236">
        <v>7.8082298675503017</v>
      </c>
      <c r="R9" s="236">
        <v>7.5914781062703183</v>
      </c>
      <c r="S9" s="236">
        <v>7.5098640072322915</v>
      </c>
      <c r="T9" s="236">
        <v>7.8081811812480382</v>
      </c>
      <c r="U9" s="236">
        <v>7.6</v>
      </c>
      <c r="V9" s="236">
        <v>7.2</v>
      </c>
      <c r="W9" s="236">
        <v>7.13</v>
      </c>
      <c r="X9" s="236">
        <v>7.24</v>
      </c>
      <c r="Y9" s="236">
        <v>7.46</v>
      </c>
      <c r="Z9" s="236">
        <v>7.5</v>
      </c>
      <c r="AA9" s="236">
        <v>6.93</v>
      </c>
      <c r="AB9" s="236">
        <v>6.67</v>
      </c>
      <c r="AC9" s="236">
        <v>6.53</v>
      </c>
      <c r="AD9" s="236">
        <v>6.4</v>
      </c>
      <c r="AE9" s="236">
        <v>6.55</v>
      </c>
      <c r="AF9" s="236">
        <v>5.5</v>
      </c>
      <c r="AG9" s="236">
        <v>5.8</v>
      </c>
      <c r="AH9" s="236">
        <v>6.11</v>
      </c>
      <c r="AI9" s="236">
        <v>5.938055526074967</v>
      </c>
      <c r="AJ9" s="236">
        <v>7.2629540626711755</v>
      </c>
      <c r="AK9" s="236">
        <v>7.6987975923315393</v>
      </c>
      <c r="AL9" s="236">
        <v>8.73</v>
      </c>
      <c r="AM9" s="236">
        <v>9.67</v>
      </c>
      <c r="AN9" s="236">
        <v>9.59</v>
      </c>
      <c r="AO9" s="236">
        <v>9.5500000000000007</v>
      </c>
      <c r="AP9" s="236">
        <v>9.1300000000000008</v>
      </c>
      <c r="AQ9" s="236">
        <v>8.5662870000000009</v>
      </c>
      <c r="AR9" s="236">
        <v>7.4811120000000004</v>
      </c>
      <c r="AS9" s="236">
        <v>6.8422429999999999</v>
      </c>
      <c r="AT9" s="236">
        <v>6.3998689999999998</v>
      </c>
      <c r="AU9" s="236">
        <v>5.9861849999999999</v>
      </c>
      <c r="AV9" s="236">
        <v>6.09</v>
      </c>
      <c r="AW9" s="236">
        <v>6.1</v>
      </c>
      <c r="AX9" s="236">
        <v>6.01</v>
      </c>
      <c r="AY9" s="236">
        <v>5.81</v>
      </c>
      <c r="AZ9" s="236">
        <v>5.26</v>
      </c>
      <c r="BA9" s="236">
        <v>5.33</v>
      </c>
      <c r="BB9" s="236">
        <v>5.51</v>
      </c>
      <c r="BC9" s="236">
        <v>6.01</v>
      </c>
      <c r="BD9" s="236">
        <v>6.26</v>
      </c>
      <c r="BE9" s="236">
        <v>5.93</v>
      </c>
    </row>
    <row r="10" spans="2:57" ht="15" customHeight="1">
      <c r="B10" s="237" t="s">
        <v>524</v>
      </c>
      <c r="C10" s="551" t="s">
        <v>525</v>
      </c>
      <c r="D10" s="238">
        <v>18.420000000000002</v>
      </c>
      <c r="E10" s="238">
        <v>18.420000000000002</v>
      </c>
      <c r="F10" s="238">
        <v>18.420000000000002</v>
      </c>
      <c r="G10" s="238">
        <v>18.420000000000002</v>
      </c>
      <c r="H10" s="238">
        <v>16.71</v>
      </c>
      <c r="I10" s="238">
        <v>16.71</v>
      </c>
      <c r="J10" s="238">
        <v>16.71</v>
      </c>
      <c r="K10" s="238">
        <v>16.71</v>
      </c>
      <c r="L10" s="238">
        <v>15.03</v>
      </c>
      <c r="M10" s="238">
        <v>15.03</v>
      </c>
      <c r="N10" s="238">
        <v>15.03</v>
      </c>
      <c r="O10" s="238">
        <v>15.03</v>
      </c>
      <c r="P10" s="238">
        <v>13.35</v>
      </c>
      <c r="Q10" s="238">
        <v>13.35</v>
      </c>
      <c r="R10" s="238">
        <v>13.35</v>
      </c>
      <c r="S10" s="238">
        <v>13.35</v>
      </c>
      <c r="T10" s="238">
        <v>11.95</v>
      </c>
      <c r="U10" s="238">
        <v>11.95</v>
      </c>
      <c r="V10" s="238">
        <v>11.95</v>
      </c>
      <c r="W10" s="238">
        <v>11.95</v>
      </c>
      <c r="X10" s="238">
        <v>11.47</v>
      </c>
      <c r="Y10" s="238">
        <v>11.47</v>
      </c>
      <c r="Z10" s="238">
        <v>11.47</v>
      </c>
      <c r="AA10" s="238">
        <v>11.47</v>
      </c>
      <c r="AB10" s="238">
        <v>10.8</v>
      </c>
      <c r="AC10" s="238">
        <v>10.8</v>
      </c>
      <c r="AD10" s="238">
        <v>10.8</v>
      </c>
      <c r="AE10" s="238">
        <v>10.8</v>
      </c>
      <c r="AF10" s="238">
        <v>10.8</v>
      </c>
      <c r="AG10" s="238">
        <v>10.8</v>
      </c>
      <c r="AH10" s="238">
        <v>10.8</v>
      </c>
      <c r="AI10" s="238">
        <v>10.8</v>
      </c>
      <c r="AJ10" s="238">
        <v>9.6999999999999993</v>
      </c>
      <c r="AK10" s="238">
        <v>9.6999999999999993</v>
      </c>
      <c r="AL10" s="238">
        <v>9.6999999999999993</v>
      </c>
      <c r="AM10" s="238">
        <v>9.6999999999999993</v>
      </c>
      <c r="AN10" s="238">
        <v>9.3260438396384533</v>
      </c>
      <c r="AO10" s="238">
        <v>9.3260438396384533</v>
      </c>
      <c r="AP10" s="238">
        <v>9.3260438396384533</v>
      </c>
      <c r="AQ10" s="238">
        <v>9.3260438396384533</v>
      </c>
      <c r="AR10" s="238">
        <v>8.68</v>
      </c>
      <c r="AS10" s="238">
        <v>8.68</v>
      </c>
      <c r="AT10" s="238">
        <v>8.68</v>
      </c>
      <c r="AU10" s="238">
        <v>8.68</v>
      </c>
      <c r="AV10" s="238">
        <v>8.2799999999999994</v>
      </c>
      <c r="AW10" s="238">
        <v>8.2799999999999994</v>
      </c>
      <c r="AX10" s="238">
        <v>8.2799999999999994</v>
      </c>
      <c r="AY10" s="238">
        <v>8.2799999999999994</v>
      </c>
      <c r="AZ10" s="238">
        <v>7.86</v>
      </c>
      <c r="BA10" s="238">
        <v>7.86</v>
      </c>
      <c r="BB10" s="238">
        <v>7.86</v>
      </c>
      <c r="BC10" s="238">
        <v>7.86</v>
      </c>
      <c r="BD10" s="238">
        <v>7.86</v>
      </c>
      <c r="BE10" s="238">
        <v>7.86</v>
      </c>
    </row>
    <row r="12" spans="2:57" ht="15" customHeight="1">
      <c r="B12" s="439" t="s">
        <v>526</v>
      </c>
      <c r="C12" s="439" t="s">
        <v>527</v>
      </c>
      <c r="D12" s="107" t="s">
        <v>39</v>
      </c>
      <c r="E12" s="107" t="s">
        <v>40</v>
      </c>
      <c r="F12" s="107" t="s">
        <v>41</v>
      </c>
      <c r="G12" s="107" t="s">
        <v>42</v>
      </c>
      <c r="H12" s="107" t="s">
        <v>43</v>
      </c>
      <c r="I12" s="107" t="s">
        <v>44</v>
      </c>
      <c r="J12" s="107" t="s">
        <v>45</v>
      </c>
      <c r="K12" s="107" t="s">
        <v>46</v>
      </c>
      <c r="L12" s="107" t="s">
        <v>47</v>
      </c>
      <c r="M12" s="107" t="s">
        <v>48</v>
      </c>
      <c r="N12" s="107" t="s">
        <v>49</v>
      </c>
      <c r="O12" s="107" t="s">
        <v>50</v>
      </c>
      <c r="P12" s="107" t="s">
        <v>51</v>
      </c>
      <c r="Q12" s="107" t="s">
        <v>52</v>
      </c>
      <c r="R12" s="107" t="s">
        <v>53</v>
      </c>
      <c r="S12" s="107" t="s">
        <v>54</v>
      </c>
      <c r="T12" s="107" t="s">
        <v>55</v>
      </c>
      <c r="U12" s="107" t="s">
        <v>56</v>
      </c>
      <c r="V12" s="107" t="s">
        <v>57</v>
      </c>
      <c r="W12" s="107" t="s">
        <v>58</v>
      </c>
      <c r="X12" s="107" t="s">
        <v>59</v>
      </c>
      <c r="Y12" s="107" t="s">
        <v>60</v>
      </c>
      <c r="Z12" s="107" t="s">
        <v>61</v>
      </c>
      <c r="AA12" s="107" t="s">
        <v>62</v>
      </c>
      <c r="AB12" s="107" t="str">
        <f t="shared" ref="AB12:AP12" si="0">AB6</f>
        <v>1T19</v>
      </c>
      <c r="AC12" s="107" t="str">
        <f t="shared" si="0"/>
        <v>2T19</v>
      </c>
      <c r="AD12" s="107" t="str">
        <f t="shared" si="0"/>
        <v>3T19</v>
      </c>
      <c r="AE12" s="107" t="str">
        <f t="shared" si="0"/>
        <v>4T19</v>
      </c>
      <c r="AF12" s="107" t="str">
        <f t="shared" si="0"/>
        <v>1T20</v>
      </c>
      <c r="AG12" s="107" t="str">
        <f t="shared" si="0"/>
        <v>2T20</v>
      </c>
      <c r="AH12" s="107" t="str">
        <f t="shared" si="0"/>
        <v>3T20</v>
      </c>
      <c r="AI12" s="107" t="str">
        <f t="shared" si="0"/>
        <v>4T20</v>
      </c>
      <c r="AJ12" s="107" t="str">
        <f t="shared" si="0"/>
        <v>1T21</v>
      </c>
      <c r="AK12" s="107" t="str">
        <f t="shared" si="0"/>
        <v>2T21</v>
      </c>
      <c r="AL12" s="107" t="str">
        <f t="shared" si="0"/>
        <v>3T21</v>
      </c>
      <c r="AM12" s="107" t="str">
        <f t="shared" si="0"/>
        <v>4T21</v>
      </c>
      <c r="AN12" s="107" t="str">
        <f t="shared" si="0"/>
        <v>1T22</v>
      </c>
      <c r="AO12" s="107" t="str">
        <f t="shared" si="0"/>
        <v>2T22</v>
      </c>
      <c r="AP12" s="107" t="str">
        <f t="shared" si="0"/>
        <v>3T22</v>
      </c>
      <c r="AQ12" s="107" t="str">
        <f t="shared" ref="AQ12:AW12" si="1">AQ6</f>
        <v>4T22</v>
      </c>
      <c r="AR12" s="107" t="str">
        <f t="shared" si="1"/>
        <v>1T23</v>
      </c>
      <c r="AS12" s="107" t="str">
        <f t="shared" si="1"/>
        <v>2T23</v>
      </c>
      <c r="AT12" s="107" t="str">
        <f t="shared" si="1"/>
        <v>3T23</v>
      </c>
      <c r="AU12" s="107" t="str">
        <f t="shared" si="1"/>
        <v>4T23</v>
      </c>
      <c r="AV12" s="107" t="str">
        <f t="shared" si="1"/>
        <v>1T24</v>
      </c>
      <c r="AW12" s="107" t="str">
        <f t="shared" si="1"/>
        <v>2T24</v>
      </c>
      <c r="AX12" s="107" t="s">
        <v>85</v>
      </c>
      <c r="AY12" s="107" t="s">
        <v>86</v>
      </c>
      <c r="AZ12" s="107" t="s">
        <v>87</v>
      </c>
      <c r="BA12" s="107" t="str">
        <f>BA6</f>
        <v>2T25</v>
      </c>
      <c r="BB12" s="107" t="str">
        <f>BB6</f>
        <v>3T25</v>
      </c>
      <c r="BC12" s="107" t="str">
        <f>BC6</f>
        <v>4T25</v>
      </c>
      <c r="BD12" s="107" t="str">
        <f>BD6</f>
        <v>1T26</v>
      </c>
      <c r="BE12" s="107" t="str">
        <f>BE6</f>
        <v>2T26</v>
      </c>
    </row>
    <row r="13" spans="2:57" ht="15" customHeight="1">
      <c r="B13" s="35" t="s">
        <v>518</v>
      </c>
      <c r="C13" s="549" t="s">
        <v>519</v>
      </c>
      <c r="D13" s="236">
        <v>94.1</v>
      </c>
      <c r="E13" s="236">
        <v>86.5</v>
      </c>
      <c r="F13" s="236">
        <v>82.7</v>
      </c>
      <c r="G13" s="236">
        <v>73.5</v>
      </c>
      <c r="H13" s="236">
        <v>64.81</v>
      </c>
      <c r="I13" s="236">
        <v>56.73</v>
      </c>
      <c r="J13" s="236">
        <v>50.24</v>
      </c>
      <c r="K13" s="236">
        <v>49</v>
      </c>
      <c r="L13" s="236">
        <v>47</v>
      </c>
      <c r="M13" s="236">
        <v>44.8</v>
      </c>
      <c r="N13" s="236">
        <v>41.9</v>
      </c>
      <c r="O13" s="236">
        <v>37.93</v>
      </c>
      <c r="P13" s="236">
        <v>33.871086327764566</v>
      </c>
      <c r="Q13" s="236">
        <v>31.584083501325953</v>
      </c>
      <c r="R13" s="236">
        <v>31.141642842774431</v>
      </c>
      <c r="S13" s="236">
        <v>29.508494414344732</v>
      </c>
      <c r="T13" s="236">
        <v>29.158883648446533</v>
      </c>
      <c r="U13" s="236">
        <v>28.40809637484951</v>
      </c>
      <c r="V13" s="236">
        <v>27.891261758690423</v>
      </c>
      <c r="W13" s="236">
        <v>27.434743050570464</v>
      </c>
      <c r="X13" s="236">
        <v>26.650000000000002</v>
      </c>
      <c r="Y13" s="236">
        <v>25.301715586065779</v>
      </c>
      <c r="Z13" s="236">
        <v>24.2</v>
      </c>
      <c r="AA13" s="236">
        <v>24.36</v>
      </c>
      <c r="AB13" s="236">
        <v>23.08</v>
      </c>
      <c r="AC13" s="236">
        <v>23.18</v>
      </c>
      <c r="AD13" s="236">
        <v>23.27</v>
      </c>
      <c r="AE13" s="236">
        <v>21.83</v>
      </c>
      <c r="AF13" s="236">
        <v>21.887396045877374</v>
      </c>
      <c r="AG13" s="236">
        <v>20.604533168134523</v>
      </c>
      <c r="AH13" s="236">
        <v>21.32</v>
      </c>
      <c r="AI13" s="236">
        <v>20.149999999999999</v>
      </c>
      <c r="AJ13" s="236">
        <v>19.54</v>
      </c>
      <c r="AK13" s="236">
        <v>20.5</v>
      </c>
      <c r="AL13" s="236">
        <v>20.7</v>
      </c>
      <c r="AM13" s="236">
        <v>22.2</v>
      </c>
      <c r="AN13" s="236">
        <v>21.770000000000003</v>
      </c>
      <c r="AO13" s="236">
        <v>21.4</v>
      </c>
      <c r="AP13" s="236">
        <v>19.89</v>
      </c>
      <c r="AQ13" s="236">
        <v>18.753382999999999</v>
      </c>
      <c r="AR13" s="236">
        <v>18.452047</v>
      </c>
      <c r="AS13" s="236">
        <v>17.414349000000001</v>
      </c>
      <c r="AT13" s="236">
        <v>17</v>
      </c>
      <c r="AU13" s="236">
        <v>16.86</v>
      </c>
      <c r="AV13" s="236">
        <v>17.07</v>
      </c>
      <c r="AW13" s="236">
        <v>18.16</v>
      </c>
      <c r="AX13" s="236">
        <v>18.649999999999999</v>
      </c>
      <c r="AY13" s="236">
        <v>19.399999999999999</v>
      </c>
      <c r="AZ13" s="236">
        <v>18.88</v>
      </c>
      <c r="BA13" s="236">
        <v>18.059999999999999</v>
      </c>
      <c r="BB13" s="236">
        <v>17.260000000000002</v>
      </c>
      <c r="BC13" s="236">
        <v>15.84</v>
      </c>
      <c r="BD13" s="236">
        <v>15.5</v>
      </c>
      <c r="BE13" s="236">
        <v>15.44</v>
      </c>
    </row>
    <row r="14" spans="2:57" ht="15" customHeight="1">
      <c r="B14" s="237" t="s">
        <v>520</v>
      </c>
      <c r="C14" s="551" t="s">
        <v>521</v>
      </c>
      <c r="D14" s="238" t="s">
        <v>528</v>
      </c>
      <c r="E14" s="238" t="s">
        <v>528</v>
      </c>
      <c r="F14" s="238" t="s">
        <v>528</v>
      </c>
      <c r="G14" s="238" t="s">
        <v>528</v>
      </c>
      <c r="H14" s="238">
        <v>33.950000000000003</v>
      </c>
      <c r="I14" s="238">
        <v>33.950000000000003</v>
      </c>
      <c r="J14" s="238">
        <v>33.950000000000003</v>
      </c>
      <c r="K14" s="238">
        <v>33.950000000000003</v>
      </c>
      <c r="L14" s="238" t="s">
        <v>529</v>
      </c>
      <c r="M14" s="238" t="s">
        <v>529</v>
      </c>
      <c r="N14" s="238" t="s">
        <v>529</v>
      </c>
      <c r="O14" s="238" t="s">
        <v>529</v>
      </c>
      <c r="P14" s="238">
        <v>30.59</v>
      </c>
      <c r="Q14" s="238">
        <v>30.59</v>
      </c>
      <c r="R14" s="238">
        <v>30.59</v>
      </c>
      <c r="S14" s="238">
        <v>30.59</v>
      </c>
      <c r="T14" s="238">
        <v>29.93</v>
      </c>
      <c r="U14" s="238">
        <v>29.93</v>
      </c>
      <c r="V14" s="238">
        <v>29.93</v>
      </c>
      <c r="W14" s="238">
        <v>29.93</v>
      </c>
      <c r="X14" s="238">
        <v>29.170558090214612</v>
      </c>
      <c r="Y14" s="238">
        <v>29.170558090214612</v>
      </c>
      <c r="Z14" s="238">
        <v>29.170558090214612</v>
      </c>
      <c r="AA14" s="238">
        <v>29.170558090214612</v>
      </c>
      <c r="AB14" s="238">
        <v>28.5</v>
      </c>
      <c r="AC14" s="238">
        <v>28.5</v>
      </c>
      <c r="AD14" s="238">
        <v>28.5</v>
      </c>
      <c r="AE14" s="238">
        <v>28.5</v>
      </c>
      <c r="AF14" s="238">
        <v>27.56</v>
      </c>
      <c r="AG14" s="238">
        <v>27.56</v>
      </c>
      <c r="AH14" s="238">
        <v>27.56</v>
      </c>
      <c r="AI14" s="238">
        <v>27.56</v>
      </c>
      <c r="AJ14" s="238">
        <v>26.22</v>
      </c>
      <c r="AK14" s="238">
        <v>26.22</v>
      </c>
      <c r="AL14" s="238">
        <v>26.22</v>
      </c>
      <c r="AM14" s="238">
        <v>26.219206528258329</v>
      </c>
      <c r="AN14" s="238">
        <v>24.532530658390282</v>
      </c>
      <c r="AO14" s="238">
        <v>24.5</v>
      </c>
      <c r="AP14" s="238">
        <v>24.532530658390282</v>
      </c>
      <c r="AQ14" s="238">
        <v>24.6</v>
      </c>
      <c r="AR14" s="238">
        <v>23.06</v>
      </c>
      <c r="AS14" s="238">
        <v>23.06</v>
      </c>
      <c r="AT14" s="238">
        <v>23.06</v>
      </c>
      <c r="AU14" s="238">
        <v>23.11</v>
      </c>
      <c r="AV14" s="238">
        <v>22.39</v>
      </c>
      <c r="AW14" s="238">
        <v>22.42</v>
      </c>
      <c r="AX14" s="238">
        <v>22.5</v>
      </c>
      <c r="AY14" s="238">
        <v>22.52</v>
      </c>
      <c r="AZ14" s="238">
        <v>21.47</v>
      </c>
      <c r="BA14" s="238">
        <v>21.47</v>
      </c>
      <c r="BB14" s="238">
        <v>21.47</v>
      </c>
      <c r="BC14" s="238">
        <v>21.47</v>
      </c>
      <c r="BD14" s="238">
        <v>20.3</v>
      </c>
      <c r="BE14" s="238">
        <v>20.28</v>
      </c>
    </row>
    <row r="15" spans="2:57" ht="15" customHeight="1">
      <c r="B15" s="35" t="s">
        <v>522</v>
      </c>
      <c r="C15" s="549" t="s">
        <v>523</v>
      </c>
      <c r="D15" s="236">
        <v>47.7</v>
      </c>
      <c r="E15" s="236">
        <v>45.5</v>
      </c>
      <c r="F15" s="236">
        <v>41.7</v>
      </c>
      <c r="G15" s="236">
        <v>38</v>
      </c>
      <c r="H15" s="236">
        <v>34.89</v>
      </c>
      <c r="I15" s="236">
        <v>31.54</v>
      </c>
      <c r="J15" s="236">
        <v>30.34</v>
      </c>
      <c r="K15" s="236">
        <v>30</v>
      </c>
      <c r="L15" s="236">
        <v>28.9</v>
      </c>
      <c r="M15" s="236">
        <v>26.6</v>
      </c>
      <c r="N15" s="236">
        <v>24.7</v>
      </c>
      <c r="O15" s="236">
        <v>22.38</v>
      </c>
      <c r="P15" s="236">
        <v>21.349288136543588</v>
      </c>
      <c r="Q15" s="236">
        <v>21.302182081725569</v>
      </c>
      <c r="R15" s="236">
        <v>21.690064067335022</v>
      </c>
      <c r="S15" s="236">
        <v>20.390464998793743</v>
      </c>
      <c r="T15" s="236">
        <v>19.837356025301052</v>
      </c>
      <c r="U15" s="236">
        <v>19.445496496259057</v>
      </c>
      <c r="V15" s="236">
        <v>18.130640873336027</v>
      </c>
      <c r="W15" s="236">
        <v>17.82718100415785</v>
      </c>
      <c r="X15" s="236">
        <v>17.23</v>
      </c>
      <c r="Y15" s="236">
        <v>16.125236447109256</v>
      </c>
      <c r="Z15" s="236">
        <v>15.6</v>
      </c>
      <c r="AA15" s="236">
        <v>15.55</v>
      </c>
      <c r="AB15" s="236">
        <v>14.46</v>
      </c>
      <c r="AC15" s="236">
        <v>14.09</v>
      </c>
      <c r="AD15" s="236">
        <v>13.46</v>
      </c>
      <c r="AE15" s="236">
        <v>12.22</v>
      </c>
      <c r="AF15" s="236">
        <v>11.695485335824616</v>
      </c>
      <c r="AG15" s="236">
        <v>11.032772914637931</v>
      </c>
      <c r="AH15" s="236">
        <v>11.270000000000001</v>
      </c>
      <c r="AI15" s="236">
        <v>10.819999999999999</v>
      </c>
      <c r="AJ15" s="236">
        <v>10.770000000000001</v>
      </c>
      <c r="AK15" s="236">
        <v>11.2</v>
      </c>
      <c r="AL15" s="236">
        <v>11.3</v>
      </c>
      <c r="AM15" s="236">
        <v>11.88</v>
      </c>
      <c r="AN15" s="236">
        <v>11.54</v>
      </c>
      <c r="AO15" s="236">
        <v>10.76</v>
      </c>
      <c r="AP15" s="236">
        <v>9.99</v>
      </c>
      <c r="AQ15" s="236">
        <v>9.2803590000000007</v>
      </c>
      <c r="AR15" s="236">
        <v>9.1077270000000006</v>
      </c>
      <c r="AS15" s="236">
        <v>8.7153949999999991</v>
      </c>
      <c r="AT15" s="236">
        <v>8.4764090000000003</v>
      </c>
      <c r="AU15" s="236">
        <v>8.3000000000000007</v>
      </c>
      <c r="AV15" s="236">
        <v>8.01</v>
      </c>
      <c r="AW15" s="236">
        <v>8.02</v>
      </c>
      <c r="AX15" s="236">
        <v>7.95</v>
      </c>
      <c r="AY15" s="236">
        <v>7.95</v>
      </c>
      <c r="AZ15" s="236">
        <v>7.56</v>
      </c>
      <c r="BA15" s="236">
        <v>7.38</v>
      </c>
      <c r="BB15" s="236">
        <v>7.23</v>
      </c>
      <c r="BC15" s="236">
        <v>6.93</v>
      </c>
      <c r="BD15" s="236">
        <v>6.82</v>
      </c>
      <c r="BE15" s="236">
        <v>7.03</v>
      </c>
    </row>
    <row r="16" spans="2:57" ht="15" customHeight="1">
      <c r="B16" s="237" t="s">
        <v>524</v>
      </c>
      <c r="C16" s="551" t="s">
        <v>525</v>
      </c>
      <c r="D16" s="238" t="s">
        <v>530</v>
      </c>
      <c r="E16" s="238" t="s">
        <v>530</v>
      </c>
      <c r="F16" s="238" t="s">
        <v>530</v>
      </c>
      <c r="G16" s="238" t="s">
        <v>530</v>
      </c>
      <c r="H16" s="238" t="s">
        <v>531</v>
      </c>
      <c r="I16" s="238" t="s">
        <v>531</v>
      </c>
      <c r="J16" s="238" t="s">
        <v>531</v>
      </c>
      <c r="K16" s="238" t="s">
        <v>531</v>
      </c>
      <c r="L16" s="238" t="s">
        <v>532</v>
      </c>
      <c r="M16" s="238" t="s">
        <v>532</v>
      </c>
      <c r="N16" s="238" t="s">
        <v>532</v>
      </c>
      <c r="O16" s="238" t="s">
        <v>532</v>
      </c>
      <c r="P16" s="238">
        <v>28.96</v>
      </c>
      <c r="Q16" s="238">
        <v>28.96</v>
      </c>
      <c r="R16" s="238">
        <v>28.96</v>
      </c>
      <c r="S16" s="238">
        <v>28.96</v>
      </c>
      <c r="T16" s="238">
        <v>27.22</v>
      </c>
      <c r="U16" s="238">
        <v>27.22</v>
      </c>
      <c r="V16" s="238">
        <v>27.22</v>
      </c>
      <c r="W16" s="238">
        <v>27.22</v>
      </c>
      <c r="X16" s="238">
        <v>25.063654432926185</v>
      </c>
      <c r="Y16" s="238">
        <v>25.063654432926185</v>
      </c>
      <c r="Z16" s="238">
        <v>25.063654432926185</v>
      </c>
      <c r="AA16" s="238">
        <v>25.063654432926185</v>
      </c>
      <c r="AB16" s="238">
        <v>23.35</v>
      </c>
      <c r="AC16" s="238">
        <v>23.35</v>
      </c>
      <c r="AD16" s="238">
        <v>23.35</v>
      </c>
      <c r="AE16" s="238">
        <v>23.35</v>
      </c>
      <c r="AF16" s="238">
        <v>22.16</v>
      </c>
      <c r="AG16" s="238">
        <v>22.16</v>
      </c>
      <c r="AH16" s="238">
        <v>22.16</v>
      </c>
      <c r="AI16" s="238">
        <v>22.16</v>
      </c>
      <c r="AJ16" s="238">
        <v>20.73</v>
      </c>
      <c r="AK16" s="238">
        <v>20.73</v>
      </c>
      <c r="AL16" s="238">
        <v>20.73</v>
      </c>
      <c r="AM16" s="238">
        <v>20.73</v>
      </c>
      <c r="AN16" s="238">
        <v>19.110607478990993</v>
      </c>
      <c r="AO16" s="238">
        <v>19.100000000000001</v>
      </c>
      <c r="AP16" s="238">
        <v>19.110607478990993</v>
      </c>
      <c r="AQ16" s="238">
        <v>19.110607478990993</v>
      </c>
      <c r="AR16" s="238">
        <v>17.670000000000002</v>
      </c>
      <c r="AS16" s="238">
        <v>17.670000000000002</v>
      </c>
      <c r="AT16" s="238">
        <v>17.670000000000002</v>
      </c>
      <c r="AU16" s="238">
        <v>17.72</v>
      </c>
      <c r="AV16" s="238">
        <v>16.809999999999999</v>
      </c>
      <c r="AW16" s="238">
        <v>16.809999999999999</v>
      </c>
      <c r="AX16" s="238">
        <v>16.850000000000001</v>
      </c>
      <c r="AY16" s="238">
        <v>16.87</v>
      </c>
      <c r="AZ16" s="238">
        <v>15.75</v>
      </c>
      <c r="BA16" s="238">
        <v>15.75</v>
      </c>
      <c r="BB16" s="238">
        <v>15.77</v>
      </c>
      <c r="BC16" s="238">
        <v>15.77</v>
      </c>
      <c r="BD16" s="238">
        <v>14.6</v>
      </c>
      <c r="BE16" s="238">
        <v>14.59</v>
      </c>
    </row>
    <row r="18" spans="2:57" ht="15" customHeight="1">
      <c r="B18" s="439" t="s">
        <v>533</v>
      </c>
      <c r="C18" s="439" t="s">
        <v>534</v>
      </c>
      <c r="D18" s="107" t="s">
        <v>39</v>
      </c>
      <c r="E18" s="107" t="s">
        <v>40</v>
      </c>
      <c r="F18" s="107" t="s">
        <v>41</v>
      </c>
      <c r="G18" s="107" t="s">
        <v>42</v>
      </c>
      <c r="H18" s="107" t="s">
        <v>43</v>
      </c>
      <c r="I18" s="107" t="s">
        <v>44</v>
      </c>
      <c r="J18" s="107" t="s">
        <v>45</v>
      </c>
      <c r="K18" s="107" t="s">
        <v>46</v>
      </c>
      <c r="L18" s="107" t="s">
        <v>47</v>
      </c>
      <c r="M18" s="107" t="s">
        <v>48</v>
      </c>
      <c r="N18" s="107" t="s">
        <v>49</v>
      </c>
      <c r="O18" s="107" t="s">
        <v>50</v>
      </c>
      <c r="P18" s="107" t="s">
        <v>51</v>
      </c>
      <c r="Q18" s="107" t="s">
        <v>52</v>
      </c>
      <c r="R18" s="107" t="s">
        <v>53</v>
      </c>
      <c r="S18" s="107" t="s">
        <v>54</v>
      </c>
      <c r="T18" s="107" t="s">
        <v>55</v>
      </c>
      <c r="U18" s="107" t="s">
        <v>56</v>
      </c>
      <c r="V18" s="107" t="s">
        <v>57</v>
      </c>
      <c r="W18" s="107" t="s">
        <v>58</v>
      </c>
      <c r="X18" s="107" t="s">
        <v>59</v>
      </c>
      <c r="Y18" s="107" t="s">
        <v>60</v>
      </c>
      <c r="Z18" s="107" t="s">
        <v>61</v>
      </c>
      <c r="AA18" s="107" t="s">
        <v>62</v>
      </c>
      <c r="AB18" s="107" t="str">
        <f t="shared" ref="AB18:AP18" si="2">AB12</f>
        <v>1T19</v>
      </c>
      <c r="AC18" s="107" t="str">
        <f t="shared" si="2"/>
        <v>2T19</v>
      </c>
      <c r="AD18" s="107" t="str">
        <f t="shared" si="2"/>
        <v>3T19</v>
      </c>
      <c r="AE18" s="107" t="str">
        <f t="shared" si="2"/>
        <v>4T19</v>
      </c>
      <c r="AF18" s="107" t="str">
        <f t="shared" si="2"/>
        <v>1T20</v>
      </c>
      <c r="AG18" s="107" t="str">
        <f t="shared" si="2"/>
        <v>2T20</v>
      </c>
      <c r="AH18" s="107" t="str">
        <f t="shared" si="2"/>
        <v>3T20</v>
      </c>
      <c r="AI18" s="107" t="str">
        <f t="shared" si="2"/>
        <v>4T20</v>
      </c>
      <c r="AJ18" s="107" t="str">
        <f t="shared" si="2"/>
        <v>1T21</v>
      </c>
      <c r="AK18" s="107" t="str">
        <f t="shared" si="2"/>
        <v>2T21</v>
      </c>
      <c r="AL18" s="107" t="str">
        <f t="shared" si="2"/>
        <v>3T21</v>
      </c>
      <c r="AM18" s="107" t="str">
        <f t="shared" si="2"/>
        <v>4T21</v>
      </c>
      <c r="AN18" s="107" t="str">
        <f t="shared" si="2"/>
        <v>1T22</v>
      </c>
      <c r="AO18" s="107" t="str">
        <f t="shared" si="2"/>
        <v>2T22</v>
      </c>
      <c r="AP18" s="107" t="str">
        <f t="shared" si="2"/>
        <v>3T22</v>
      </c>
      <c r="AQ18" s="107" t="str">
        <f t="shared" ref="AQ18:AW18" si="3">AQ12</f>
        <v>4T22</v>
      </c>
      <c r="AR18" s="107" t="str">
        <f t="shared" si="3"/>
        <v>1T23</v>
      </c>
      <c r="AS18" s="107" t="str">
        <f t="shared" si="3"/>
        <v>2T23</v>
      </c>
      <c r="AT18" s="107" t="str">
        <f t="shared" si="3"/>
        <v>3T23</v>
      </c>
      <c r="AU18" s="107" t="str">
        <f t="shared" si="3"/>
        <v>4T23</v>
      </c>
      <c r="AV18" s="107" t="str">
        <f t="shared" si="3"/>
        <v>1T24</v>
      </c>
      <c r="AW18" s="107" t="str">
        <f t="shared" si="3"/>
        <v>2T24</v>
      </c>
      <c r="AX18" s="107" t="s">
        <v>85</v>
      </c>
      <c r="AY18" s="107" t="s">
        <v>86</v>
      </c>
      <c r="AZ18" s="107" t="s">
        <v>87</v>
      </c>
      <c r="BA18" s="107" t="str">
        <f>BA12</f>
        <v>2T25</v>
      </c>
      <c r="BB18" s="107" t="str">
        <f>BB12</f>
        <v>3T25</v>
      </c>
      <c r="BC18" s="107" t="str">
        <f>BC12</f>
        <v>4T25</v>
      </c>
      <c r="BD18" s="107" t="str">
        <f>BD12</f>
        <v>1T26</v>
      </c>
      <c r="BE18" s="107" t="str">
        <f>BE12</f>
        <v>2T26</v>
      </c>
    </row>
    <row r="19" spans="2:57" ht="15" customHeight="1">
      <c r="B19" s="35" t="s">
        <v>518</v>
      </c>
      <c r="C19" s="549" t="s">
        <v>519</v>
      </c>
      <c r="D19" s="236">
        <v>28.237978284633634</v>
      </c>
      <c r="E19" s="236">
        <v>28.447366739078007</v>
      </c>
      <c r="F19" s="236">
        <v>30.172589576164654</v>
      </c>
      <c r="G19" s="236">
        <v>29.769421224226484</v>
      </c>
      <c r="H19" s="236">
        <v>34.402926198816886</v>
      </c>
      <c r="I19" s="236">
        <v>33.576350004493527</v>
      </c>
      <c r="J19" s="236">
        <v>33.842655202120113</v>
      </c>
      <c r="K19" s="236">
        <v>32.939732207933616</v>
      </c>
      <c r="L19" s="236">
        <v>31.071843211823094</v>
      </c>
      <c r="M19" s="236">
        <v>30.302345919538951</v>
      </c>
      <c r="N19" s="236">
        <v>26.624486682976762</v>
      </c>
      <c r="O19" s="236">
        <v>26.22369345721383</v>
      </c>
      <c r="P19" s="236">
        <v>25.30294826106622</v>
      </c>
      <c r="Q19" s="236">
        <v>24.297860739516487</v>
      </c>
      <c r="R19" s="236">
        <v>23.869516459325713</v>
      </c>
      <c r="S19" s="236">
        <v>23.388433334451562</v>
      </c>
      <c r="T19" s="236">
        <v>22.014487976002972</v>
      </c>
      <c r="U19" s="236">
        <v>22.170957386106895</v>
      </c>
      <c r="V19" s="236">
        <v>22.281582182852961</v>
      </c>
      <c r="W19" s="236">
        <v>21.885000000000002</v>
      </c>
      <c r="X19" s="236">
        <v>22.623652640746013</v>
      </c>
      <c r="Y19" s="236">
        <v>22.41356041243214</v>
      </c>
      <c r="Z19" s="236">
        <v>22.970268419383231</v>
      </c>
      <c r="AA19" s="236">
        <v>23.56</v>
      </c>
      <c r="AB19" s="236">
        <v>27.89</v>
      </c>
      <c r="AC19" s="236">
        <v>31.03</v>
      </c>
      <c r="AD19" s="236">
        <v>32.28</v>
      </c>
      <c r="AE19" s="236">
        <v>34.9</v>
      </c>
      <c r="AF19" s="236">
        <v>34.6</v>
      </c>
      <c r="AG19" s="236">
        <v>33.4</v>
      </c>
      <c r="AH19" s="236">
        <v>30.419999999999995</v>
      </c>
      <c r="AI19" s="236">
        <v>27.569999999999997</v>
      </c>
      <c r="AJ19" s="236">
        <v>27.490000000000002</v>
      </c>
      <c r="AK19" s="236">
        <v>20</v>
      </c>
      <c r="AL19" s="236">
        <v>27.6</v>
      </c>
      <c r="AM19" s="236">
        <v>29.4</v>
      </c>
      <c r="AN19" s="236">
        <v>26.883188810978716</v>
      </c>
      <c r="AO19" s="236">
        <v>27.1</v>
      </c>
      <c r="AP19" s="236">
        <v>26.2</v>
      </c>
      <c r="AQ19" s="236">
        <v>24.489025000000002</v>
      </c>
      <c r="AR19" s="236">
        <v>23.319597999999999</v>
      </c>
      <c r="AS19" s="236">
        <v>23.060801999999999</v>
      </c>
      <c r="AT19" s="236">
        <v>23.57</v>
      </c>
      <c r="AU19" s="236">
        <v>24.036584000000001</v>
      </c>
      <c r="AV19" s="236">
        <v>23.41</v>
      </c>
      <c r="AW19" s="236">
        <v>24.3</v>
      </c>
      <c r="AX19" s="236">
        <v>23.26</v>
      </c>
      <c r="AY19" s="236">
        <v>21.04</v>
      </c>
      <c r="AZ19" s="236">
        <v>18.05</v>
      </c>
      <c r="BA19" s="236">
        <v>16.73</v>
      </c>
      <c r="BB19" s="236">
        <v>16.64</v>
      </c>
      <c r="BC19" s="236">
        <v>17.38</v>
      </c>
      <c r="BD19" s="236">
        <v>18.36</v>
      </c>
      <c r="BE19" s="236">
        <v>17.7</v>
      </c>
    </row>
    <row r="20" spans="2:57" ht="15" customHeight="1">
      <c r="B20" s="237" t="s">
        <v>520</v>
      </c>
      <c r="C20" s="551" t="s">
        <v>521</v>
      </c>
      <c r="D20" s="238">
        <v>24.62</v>
      </c>
      <c r="E20" s="238">
        <v>24.62</v>
      </c>
      <c r="F20" s="238">
        <v>24.62</v>
      </c>
      <c r="G20" s="238">
        <v>24.62</v>
      </c>
      <c r="H20" s="238">
        <v>23.71</v>
      </c>
      <c r="I20" s="238">
        <v>23.71</v>
      </c>
      <c r="J20" s="238">
        <v>23.71</v>
      </c>
      <c r="K20" s="238">
        <v>23.71</v>
      </c>
      <c r="L20" s="238">
        <v>22.23</v>
      </c>
      <c r="M20" s="238">
        <v>22.23</v>
      </c>
      <c r="N20" s="238">
        <v>22.23</v>
      </c>
      <c r="O20" s="238">
        <v>22.23</v>
      </c>
      <c r="P20" s="238">
        <v>20.55</v>
      </c>
      <c r="Q20" s="238">
        <v>20.55</v>
      </c>
      <c r="R20" s="238">
        <v>20.55</v>
      </c>
      <c r="S20" s="238">
        <v>20.55</v>
      </c>
      <c r="T20" s="238">
        <v>19.170000000000002</v>
      </c>
      <c r="U20" s="238">
        <v>19.170000000000002</v>
      </c>
      <c r="V20" s="238">
        <v>19.170000000000002</v>
      </c>
      <c r="W20" s="238">
        <v>19.170000000000002</v>
      </c>
      <c r="X20" s="238">
        <v>20.67</v>
      </c>
      <c r="Y20" s="238">
        <v>20.67</v>
      </c>
      <c r="Z20" s="238">
        <v>20.67</v>
      </c>
      <c r="AA20" s="238">
        <v>20.67</v>
      </c>
      <c r="AB20" s="238">
        <v>20.67</v>
      </c>
      <c r="AC20" s="238">
        <v>20.67</v>
      </c>
      <c r="AD20" s="238">
        <v>20.67</v>
      </c>
      <c r="AE20" s="238">
        <v>20.67</v>
      </c>
      <c r="AF20" s="238">
        <v>20.8</v>
      </c>
      <c r="AG20" s="238">
        <v>20.8</v>
      </c>
      <c r="AH20" s="238">
        <v>20.8</v>
      </c>
      <c r="AI20" s="238">
        <v>20.8</v>
      </c>
      <c r="AJ20" s="238">
        <v>20.82</v>
      </c>
      <c r="AK20" s="238">
        <v>20.8</v>
      </c>
      <c r="AL20" s="238">
        <v>20.8</v>
      </c>
      <c r="AM20" s="238">
        <v>20.823908929041046</v>
      </c>
      <c r="AN20" s="238">
        <v>20.84</v>
      </c>
      <c r="AO20" s="238">
        <v>20.84</v>
      </c>
      <c r="AP20" s="238">
        <v>20.84</v>
      </c>
      <c r="AQ20" s="238">
        <v>20.84</v>
      </c>
      <c r="AR20" s="238">
        <v>20.87</v>
      </c>
      <c r="AS20" s="238">
        <v>20.87</v>
      </c>
      <c r="AT20" s="238">
        <v>20.87</v>
      </c>
      <c r="AU20" s="238">
        <v>20.89</v>
      </c>
      <c r="AV20" s="238">
        <v>19.95</v>
      </c>
      <c r="AW20" s="238">
        <v>19.95</v>
      </c>
      <c r="AX20" s="238">
        <v>19.95</v>
      </c>
      <c r="AY20" s="238">
        <v>19.95</v>
      </c>
      <c r="AZ20" s="238">
        <v>19.190000000000001</v>
      </c>
      <c r="BA20" s="238">
        <v>19.190000000000001</v>
      </c>
      <c r="BB20" s="238">
        <v>19.18</v>
      </c>
      <c r="BC20" s="238">
        <v>19.18</v>
      </c>
      <c r="BD20" s="238">
        <v>17.97</v>
      </c>
      <c r="BE20" s="238">
        <v>17.98</v>
      </c>
    </row>
    <row r="21" spans="2:57" ht="15" customHeight="1">
      <c r="B21" s="35" t="s">
        <v>522</v>
      </c>
      <c r="C21" s="549" t="s">
        <v>523</v>
      </c>
      <c r="D21" s="236">
        <v>24.611190840550115</v>
      </c>
      <c r="E21" s="236">
        <v>24.204537290587297</v>
      </c>
      <c r="F21" s="236">
        <v>24.663704609545164</v>
      </c>
      <c r="G21" s="236">
        <v>23.336174529942824</v>
      </c>
      <c r="H21" s="236">
        <v>22.91737944108759</v>
      </c>
      <c r="I21" s="236">
        <v>22.312153749393296</v>
      </c>
      <c r="J21" s="236">
        <v>21.097804582135787</v>
      </c>
      <c r="K21" s="236">
        <v>20.571607910546824</v>
      </c>
      <c r="L21" s="236">
        <v>20.780015626182749</v>
      </c>
      <c r="M21" s="236">
        <v>20.36339737147933</v>
      </c>
      <c r="N21" s="236">
        <v>19.680847136189335</v>
      </c>
      <c r="O21" s="236">
        <v>19.902543904520535</v>
      </c>
      <c r="P21" s="236">
        <v>18.888842430941757</v>
      </c>
      <c r="Q21" s="236">
        <v>17.980702082752071</v>
      </c>
      <c r="R21" s="236">
        <v>17.209293004805925</v>
      </c>
      <c r="S21" s="236">
        <v>16.406619251133392</v>
      </c>
      <c r="T21" s="236">
        <v>16.2454708747991</v>
      </c>
      <c r="U21" s="236">
        <v>15.537006723312741</v>
      </c>
      <c r="V21" s="236">
        <v>15.175217758305092</v>
      </c>
      <c r="W21" s="236">
        <v>14.696566817084292</v>
      </c>
      <c r="X21" s="236">
        <v>14.114908323607214</v>
      </c>
      <c r="Y21" s="236">
        <v>14.185241032065287</v>
      </c>
      <c r="Z21" s="236">
        <v>14.262357137533742</v>
      </c>
      <c r="AA21" s="236">
        <v>14.1</v>
      </c>
      <c r="AB21" s="236">
        <v>13.3</v>
      </c>
      <c r="AC21" s="236">
        <v>13.55</v>
      </c>
      <c r="AD21" s="236">
        <v>13.57</v>
      </c>
      <c r="AE21" s="236">
        <v>13.1</v>
      </c>
      <c r="AF21" s="236">
        <v>13.7</v>
      </c>
      <c r="AG21" s="236">
        <v>13.6</v>
      </c>
      <c r="AH21" s="236">
        <v>13.3</v>
      </c>
      <c r="AI21" s="236">
        <v>12.780000000000001</v>
      </c>
      <c r="AJ21" s="236">
        <v>13.389999999999999</v>
      </c>
      <c r="AK21" s="236">
        <v>12.8</v>
      </c>
      <c r="AL21" s="236">
        <v>12.8</v>
      </c>
      <c r="AM21" s="236">
        <v>13.7</v>
      </c>
      <c r="AN21" s="236">
        <v>12.64</v>
      </c>
      <c r="AO21" s="236">
        <v>12.84</v>
      </c>
      <c r="AP21" s="236">
        <v>12.46</v>
      </c>
      <c r="AQ21" s="236">
        <v>10.980454</v>
      </c>
      <c r="AR21" s="236">
        <v>9.8845100000000006</v>
      </c>
      <c r="AS21" s="236">
        <v>9.4718710000000002</v>
      </c>
      <c r="AT21" s="236">
        <v>9.26586</v>
      </c>
      <c r="AU21" s="236">
        <v>9.1424880000000002</v>
      </c>
      <c r="AV21" s="236">
        <v>8.65</v>
      </c>
      <c r="AW21" s="236">
        <v>8.3800000000000008</v>
      </c>
      <c r="AX21" s="236">
        <v>7.86</v>
      </c>
      <c r="AY21" s="236">
        <v>7.2</v>
      </c>
      <c r="AZ21" s="236">
        <v>6.37</v>
      </c>
      <c r="BA21" s="236">
        <v>6.23</v>
      </c>
      <c r="BB21" s="236">
        <v>6.14</v>
      </c>
      <c r="BC21" s="236">
        <v>6.27</v>
      </c>
      <c r="BD21" s="236">
        <v>6.58</v>
      </c>
      <c r="BE21" s="236">
        <v>6.15</v>
      </c>
    </row>
    <row r="22" spans="2:57" ht="15" customHeight="1">
      <c r="B22" s="237" t="s">
        <v>524</v>
      </c>
      <c r="C22" s="551" t="s">
        <v>525</v>
      </c>
      <c r="D22" s="238">
        <v>18.47</v>
      </c>
      <c r="E22" s="238">
        <v>18.47</v>
      </c>
      <c r="F22" s="238">
        <v>18.47</v>
      </c>
      <c r="G22" s="238">
        <v>18.47</v>
      </c>
      <c r="H22" s="238">
        <v>17.54</v>
      </c>
      <c r="I22" s="238">
        <v>17.54</v>
      </c>
      <c r="J22" s="238">
        <v>17.54</v>
      </c>
      <c r="K22" s="238">
        <v>17.54</v>
      </c>
      <c r="L22" s="238">
        <v>15.79</v>
      </c>
      <c r="M22" s="238">
        <v>15.79</v>
      </c>
      <c r="N22" s="238">
        <v>15.79</v>
      </c>
      <c r="O22" s="238">
        <v>15.79</v>
      </c>
      <c r="P22" s="238">
        <v>14.05</v>
      </c>
      <c r="Q22" s="238">
        <v>14.05</v>
      </c>
      <c r="R22" s="238">
        <v>14.05</v>
      </c>
      <c r="S22" s="238">
        <v>14.05</v>
      </c>
      <c r="T22" s="238">
        <v>12.43</v>
      </c>
      <c r="U22" s="238">
        <v>12.43</v>
      </c>
      <c r="V22" s="238">
        <v>12.43</v>
      </c>
      <c r="W22" s="238">
        <v>12.43</v>
      </c>
      <c r="X22" s="238">
        <v>13.99</v>
      </c>
      <c r="Y22" s="238">
        <v>13.99</v>
      </c>
      <c r="Z22" s="238">
        <v>13.99</v>
      </c>
      <c r="AA22" s="238">
        <v>13.99</v>
      </c>
      <c r="AB22" s="238">
        <v>13.99</v>
      </c>
      <c r="AC22" s="238">
        <v>13.99</v>
      </c>
      <c r="AD22" s="238">
        <v>13.99</v>
      </c>
      <c r="AE22" s="238">
        <v>13.99</v>
      </c>
      <c r="AF22" s="238">
        <v>14.1</v>
      </c>
      <c r="AG22" s="238">
        <v>14.1</v>
      </c>
      <c r="AH22" s="238">
        <v>14.1</v>
      </c>
      <c r="AI22" s="238">
        <v>14.1</v>
      </c>
      <c r="AJ22" s="238">
        <v>14.09</v>
      </c>
      <c r="AK22" s="238">
        <v>14.1</v>
      </c>
      <c r="AL22" s="238">
        <v>14.1</v>
      </c>
      <c r="AM22" s="238">
        <v>14.1</v>
      </c>
      <c r="AN22" s="238">
        <v>14.12</v>
      </c>
      <c r="AO22" s="238">
        <v>14.12</v>
      </c>
      <c r="AP22" s="238">
        <v>14.12</v>
      </c>
      <c r="AQ22" s="238">
        <v>14.12</v>
      </c>
      <c r="AR22" s="238">
        <v>14.16</v>
      </c>
      <c r="AS22" s="238">
        <v>14.16</v>
      </c>
      <c r="AT22" s="238">
        <v>14.16</v>
      </c>
      <c r="AU22" s="238">
        <v>14.16</v>
      </c>
      <c r="AV22" s="238">
        <v>13.2</v>
      </c>
      <c r="AW22" s="238">
        <v>13.19</v>
      </c>
      <c r="AX22" s="238">
        <v>13.19</v>
      </c>
      <c r="AY22" s="238">
        <v>13.19</v>
      </c>
      <c r="AZ22" s="238">
        <v>12.19</v>
      </c>
      <c r="BA22" s="238">
        <v>12.19</v>
      </c>
      <c r="BB22" s="238">
        <v>12.2</v>
      </c>
      <c r="BC22" s="238">
        <v>12.2</v>
      </c>
      <c r="BD22" s="238">
        <v>11.03</v>
      </c>
      <c r="BE22" s="238">
        <v>11.03</v>
      </c>
    </row>
    <row r="24" spans="2:57" ht="15" customHeight="1">
      <c r="B24" s="439" t="s">
        <v>535</v>
      </c>
      <c r="C24" s="439" t="s">
        <v>536</v>
      </c>
      <c r="D24" s="107" t="s">
        <v>39</v>
      </c>
      <c r="E24" s="107" t="s">
        <v>40</v>
      </c>
      <c r="F24" s="107" t="s">
        <v>41</v>
      </c>
      <c r="G24" s="107" t="s">
        <v>42</v>
      </c>
      <c r="H24" s="107" t="s">
        <v>43</v>
      </c>
      <c r="I24" s="107" t="s">
        <v>44</v>
      </c>
      <c r="J24" s="107" t="s">
        <v>45</v>
      </c>
      <c r="K24" s="107" t="s">
        <v>46</v>
      </c>
      <c r="L24" s="107" t="s">
        <v>47</v>
      </c>
      <c r="M24" s="107" t="s">
        <v>48</v>
      </c>
      <c r="N24" s="107" t="s">
        <v>49</v>
      </c>
      <c r="O24" s="107" t="s">
        <v>50</v>
      </c>
      <c r="P24" s="107" t="s">
        <v>51</v>
      </c>
      <c r="Q24" s="107" t="s">
        <v>52</v>
      </c>
      <c r="R24" s="107" t="s">
        <v>53</v>
      </c>
      <c r="S24" s="107" t="s">
        <v>54</v>
      </c>
      <c r="T24" s="107" t="s">
        <v>55</v>
      </c>
      <c r="U24" s="107" t="s">
        <v>56</v>
      </c>
      <c r="V24" s="107" t="s">
        <v>57</v>
      </c>
      <c r="W24" s="107" t="s">
        <v>58</v>
      </c>
      <c r="X24" s="107" t="s">
        <v>59</v>
      </c>
      <c r="Y24" s="107" t="s">
        <v>60</v>
      </c>
      <c r="Z24" s="107" t="s">
        <v>61</v>
      </c>
      <c r="AA24" s="107" t="s">
        <v>62</v>
      </c>
      <c r="AB24" s="107" t="str">
        <f t="shared" ref="AB24:AP24" si="4">AB18</f>
        <v>1T19</v>
      </c>
      <c r="AC24" s="107" t="str">
        <f t="shared" si="4"/>
        <v>2T19</v>
      </c>
      <c r="AD24" s="107" t="str">
        <f t="shared" si="4"/>
        <v>3T19</v>
      </c>
      <c r="AE24" s="107" t="str">
        <f t="shared" si="4"/>
        <v>4T19</v>
      </c>
      <c r="AF24" s="107" t="str">
        <f t="shared" si="4"/>
        <v>1T20</v>
      </c>
      <c r="AG24" s="107" t="str">
        <f t="shared" si="4"/>
        <v>2T20</v>
      </c>
      <c r="AH24" s="107" t="str">
        <f t="shared" si="4"/>
        <v>3T20</v>
      </c>
      <c r="AI24" s="107" t="str">
        <f t="shared" si="4"/>
        <v>4T20</v>
      </c>
      <c r="AJ24" s="107" t="str">
        <f t="shared" si="4"/>
        <v>1T21</v>
      </c>
      <c r="AK24" s="107" t="str">
        <f t="shared" si="4"/>
        <v>2T21</v>
      </c>
      <c r="AL24" s="107" t="str">
        <f t="shared" si="4"/>
        <v>3T21</v>
      </c>
      <c r="AM24" s="107" t="str">
        <f t="shared" si="4"/>
        <v>4T21</v>
      </c>
      <c r="AN24" s="107" t="str">
        <f t="shared" si="4"/>
        <v>1T22</v>
      </c>
      <c r="AO24" s="107" t="str">
        <f t="shared" si="4"/>
        <v>2T22</v>
      </c>
      <c r="AP24" s="107" t="str">
        <f t="shared" si="4"/>
        <v>3T22</v>
      </c>
      <c r="AQ24" s="107" t="str">
        <f t="shared" ref="AQ24:AW24" si="5">AQ18</f>
        <v>4T22</v>
      </c>
      <c r="AR24" s="107" t="str">
        <f t="shared" si="5"/>
        <v>1T23</v>
      </c>
      <c r="AS24" s="107" t="str">
        <f t="shared" si="5"/>
        <v>2T23</v>
      </c>
      <c r="AT24" s="107" t="str">
        <f t="shared" si="5"/>
        <v>3T23</v>
      </c>
      <c r="AU24" s="107" t="str">
        <f t="shared" si="5"/>
        <v>4T23</v>
      </c>
      <c r="AV24" s="107" t="str">
        <f t="shared" si="5"/>
        <v>1T24</v>
      </c>
      <c r="AW24" s="107" t="str">
        <f t="shared" si="5"/>
        <v>2T24</v>
      </c>
      <c r="AX24" s="107" t="s">
        <v>85</v>
      </c>
      <c r="AY24" s="107" t="s">
        <v>86</v>
      </c>
      <c r="AZ24" s="107" t="s">
        <v>87</v>
      </c>
      <c r="BA24" s="107" t="str">
        <f>BA18</f>
        <v>2T25</v>
      </c>
      <c r="BB24" s="107" t="str">
        <f>BB18</f>
        <v>3T25</v>
      </c>
      <c r="BC24" s="107" t="str">
        <f>BC18</f>
        <v>4T25</v>
      </c>
      <c r="BD24" s="107" t="str">
        <f>BD18</f>
        <v>1T26</v>
      </c>
      <c r="BE24" s="107" t="str">
        <f>BE18</f>
        <v>2T26</v>
      </c>
    </row>
    <row r="25" spans="2:57" ht="15" customHeight="1">
      <c r="B25" s="35" t="s">
        <v>518</v>
      </c>
      <c r="C25" s="549" t="s">
        <v>519</v>
      </c>
      <c r="D25" s="236"/>
      <c r="E25" s="236"/>
      <c r="F25" s="236"/>
      <c r="G25" s="236"/>
      <c r="H25" s="236"/>
      <c r="I25" s="236"/>
      <c r="J25" s="236"/>
      <c r="K25" s="236"/>
      <c r="L25" s="236"/>
      <c r="M25" s="236"/>
      <c r="N25" s="236"/>
      <c r="O25" s="236"/>
      <c r="P25" s="236"/>
      <c r="Q25" s="236"/>
      <c r="R25" s="236"/>
      <c r="S25" s="236"/>
      <c r="T25" s="236"/>
      <c r="U25" s="236"/>
      <c r="V25" s="236"/>
      <c r="W25" s="236"/>
      <c r="X25" s="236">
        <v>23</v>
      </c>
      <c r="Y25" s="236">
        <v>23.29</v>
      </c>
      <c r="Z25" s="236">
        <v>21.96</v>
      </c>
      <c r="AA25" s="236">
        <v>66.12</v>
      </c>
      <c r="AB25" s="236">
        <v>63.21</v>
      </c>
      <c r="AC25" s="236">
        <v>55.38</v>
      </c>
      <c r="AD25" s="236">
        <v>52.7</v>
      </c>
      <c r="AE25" s="236">
        <v>38.68</v>
      </c>
      <c r="AF25" s="236">
        <v>26.7</v>
      </c>
      <c r="AG25" s="236">
        <v>23.9</v>
      </c>
      <c r="AH25" s="236">
        <v>21.750000000000004</v>
      </c>
      <c r="AI25" s="236">
        <v>19.28</v>
      </c>
      <c r="AJ25" s="236">
        <v>17.410000000000004</v>
      </c>
      <c r="AK25" s="236">
        <v>18.600000000000001</v>
      </c>
      <c r="AL25" s="236">
        <v>20</v>
      </c>
      <c r="AM25" s="236">
        <v>23.8</v>
      </c>
      <c r="AN25" s="236">
        <v>24.973839805711993</v>
      </c>
      <c r="AO25" s="236">
        <v>23.6</v>
      </c>
      <c r="AP25" s="236">
        <v>22.2</v>
      </c>
      <c r="AQ25" s="236">
        <v>18.75</v>
      </c>
      <c r="AR25" s="236">
        <v>17.491996</v>
      </c>
      <c r="AS25" s="236">
        <v>16.239135000000001</v>
      </c>
      <c r="AT25" s="236">
        <v>16.144390000000001</v>
      </c>
      <c r="AU25" s="236">
        <v>16.314530999999999</v>
      </c>
      <c r="AV25" s="236">
        <v>17.34</v>
      </c>
      <c r="AW25" s="236">
        <v>17.73</v>
      </c>
      <c r="AX25" s="236">
        <v>18.32</v>
      </c>
      <c r="AY25" s="236">
        <v>19.88</v>
      </c>
      <c r="AZ25" s="236">
        <v>17.87</v>
      </c>
      <c r="BA25" s="236">
        <v>16.78</v>
      </c>
      <c r="BB25" s="236">
        <v>15.45</v>
      </c>
      <c r="BC25" s="236">
        <v>13.86</v>
      </c>
      <c r="BD25" s="236">
        <v>13.61</v>
      </c>
      <c r="BE25" s="236">
        <v>13.35</v>
      </c>
    </row>
    <row r="26" spans="2:57" ht="15" customHeight="1">
      <c r="B26" s="237" t="s">
        <v>520</v>
      </c>
      <c r="C26" s="551" t="s">
        <v>521</v>
      </c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8"/>
      <c r="S26" s="238"/>
      <c r="T26" s="238"/>
      <c r="U26" s="238"/>
      <c r="V26" s="238"/>
      <c r="W26" s="238"/>
      <c r="X26" s="238"/>
      <c r="Y26" s="238"/>
      <c r="Z26" s="238"/>
      <c r="AA26" s="238"/>
      <c r="AB26" s="238"/>
      <c r="AC26" s="238">
        <v>15.53</v>
      </c>
      <c r="AD26" s="238">
        <v>15.53</v>
      </c>
      <c r="AE26" s="238">
        <v>15.53</v>
      </c>
      <c r="AF26" s="238">
        <v>15.5</v>
      </c>
      <c r="AG26" s="238">
        <v>15.5</v>
      </c>
      <c r="AH26" s="238">
        <v>15.5</v>
      </c>
      <c r="AI26" s="238">
        <v>15.5</v>
      </c>
      <c r="AJ26" s="238">
        <v>15.51</v>
      </c>
      <c r="AK26" s="238">
        <v>15.5</v>
      </c>
      <c r="AL26" s="238">
        <v>15.5</v>
      </c>
      <c r="AM26" s="238">
        <v>15.50860564450827</v>
      </c>
      <c r="AN26" s="238">
        <v>15.53</v>
      </c>
      <c r="AO26" s="238">
        <v>15.5</v>
      </c>
      <c r="AP26" s="238">
        <v>15.53</v>
      </c>
      <c r="AQ26" s="238">
        <v>15.53</v>
      </c>
      <c r="AR26" s="238">
        <v>15.52</v>
      </c>
      <c r="AS26" s="238">
        <v>15.52</v>
      </c>
      <c r="AT26" s="238">
        <v>15.52</v>
      </c>
      <c r="AU26" s="238">
        <v>15.53</v>
      </c>
      <c r="AV26" s="238">
        <v>15.52</v>
      </c>
      <c r="AW26" s="238">
        <v>15.52</v>
      </c>
      <c r="AX26" s="238">
        <v>15.52</v>
      </c>
      <c r="AY26" s="238">
        <v>15.52</v>
      </c>
      <c r="AZ26" s="238">
        <v>14.84</v>
      </c>
      <c r="BA26" s="238">
        <v>14.84</v>
      </c>
      <c r="BB26" s="238">
        <v>14.78</v>
      </c>
      <c r="BC26" s="238">
        <v>14.78</v>
      </c>
      <c r="BD26" s="238">
        <v>14.07</v>
      </c>
      <c r="BE26" s="238">
        <v>14.06</v>
      </c>
    </row>
    <row r="27" spans="2:57" ht="15" customHeight="1">
      <c r="B27" s="35" t="s">
        <v>522</v>
      </c>
      <c r="C27" s="549" t="s">
        <v>523</v>
      </c>
      <c r="D27" s="236"/>
      <c r="E27" s="236"/>
      <c r="F27" s="236"/>
      <c r="G27" s="236"/>
      <c r="H27" s="236"/>
      <c r="I27" s="236"/>
      <c r="J27" s="236"/>
      <c r="K27" s="236"/>
      <c r="L27" s="236"/>
      <c r="M27" s="236"/>
      <c r="N27" s="236"/>
      <c r="O27" s="236"/>
      <c r="P27" s="236"/>
      <c r="Q27" s="236"/>
      <c r="R27" s="236"/>
      <c r="S27" s="236"/>
      <c r="T27" s="236"/>
      <c r="U27" s="236"/>
      <c r="V27" s="236"/>
      <c r="W27" s="236"/>
      <c r="X27" s="236">
        <v>16.29</v>
      </c>
      <c r="Y27" s="236">
        <v>15.97</v>
      </c>
      <c r="Z27" s="236">
        <v>15.09</v>
      </c>
      <c r="AA27" s="236">
        <v>19.100000000000001</v>
      </c>
      <c r="AB27" s="236">
        <v>19.3</v>
      </c>
      <c r="AC27" s="236">
        <v>18.989999999999998</v>
      </c>
      <c r="AD27" s="236">
        <v>18.14</v>
      </c>
      <c r="AE27" s="236">
        <v>16.309999999999999</v>
      </c>
      <c r="AF27" s="236">
        <v>12.4</v>
      </c>
      <c r="AG27" s="236">
        <v>11.5</v>
      </c>
      <c r="AH27" s="236">
        <v>11.16</v>
      </c>
      <c r="AI27" s="236">
        <v>9.5500000000000007</v>
      </c>
      <c r="AJ27" s="236">
        <v>9.36</v>
      </c>
      <c r="AK27" s="236">
        <v>9.1499999999999986</v>
      </c>
      <c r="AL27" s="236">
        <v>9.5</v>
      </c>
      <c r="AM27" s="236">
        <v>10.16</v>
      </c>
      <c r="AN27" s="236">
        <v>10.3</v>
      </c>
      <c r="AO27" s="236">
        <v>9.6300000000000008</v>
      </c>
      <c r="AP27" s="236">
        <v>8.64</v>
      </c>
      <c r="AQ27" s="236">
        <v>7.7967620000000002</v>
      </c>
      <c r="AR27" s="236">
        <v>7.2372319999999997</v>
      </c>
      <c r="AS27" s="236">
        <v>6.9369949999999996</v>
      </c>
      <c r="AT27" s="236">
        <v>7.0188579999999998</v>
      </c>
      <c r="AU27" s="236">
        <v>7.07</v>
      </c>
      <c r="AV27" s="236">
        <v>7.06</v>
      </c>
      <c r="AW27" s="236">
        <v>6.85</v>
      </c>
      <c r="AX27" s="236">
        <v>6.63</v>
      </c>
      <c r="AY27" s="236">
        <v>6.58</v>
      </c>
      <c r="AZ27" s="236">
        <v>6.11</v>
      </c>
      <c r="BA27" s="236">
        <v>5.99</v>
      </c>
      <c r="BB27" s="236">
        <v>5.78</v>
      </c>
      <c r="BC27" s="236">
        <v>5.43</v>
      </c>
      <c r="BD27" s="236">
        <v>5.2</v>
      </c>
      <c r="BE27" s="236">
        <v>5.0599999999999996</v>
      </c>
    </row>
    <row r="28" spans="2:57" ht="15" customHeight="1">
      <c r="B28" s="237" t="s">
        <v>524</v>
      </c>
      <c r="C28" s="551" t="s">
        <v>525</v>
      </c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8"/>
      <c r="S28" s="238"/>
      <c r="T28" s="238"/>
      <c r="U28" s="238"/>
      <c r="V28" s="238"/>
      <c r="W28" s="238"/>
      <c r="X28" s="238"/>
      <c r="Y28" s="238"/>
      <c r="Z28" s="238"/>
      <c r="AA28" s="238"/>
      <c r="AB28" s="238"/>
      <c r="AC28" s="238">
        <v>13.04</v>
      </c>
      <c r="AD28" s="238">
        <v>13.04</v>
      </c>
      <c r="AE28" s="238">
        <v>13.04</v>
      </c>
      <c r="AF28" s="238">
        <v>12.9</v>
      </c>
      <c r="AG28" s="238">
        <v>12.9</v>
      </c>
      <c r="AH28" s="238">
        <v>12.9</v>
      </c>
      <c r="AI28" s="238">
        <v>12.9</v>
      </c>
      <c r="AJ28" s="238">
        <v>12.96</v>
      </c>
      <c r="AK28" s="238">
        <v>12.9</v>
      </c>
      <c r="AL28" s="238">
        <v>12.9</v>
      </c>
      <c r="AM28" s="238">
        <v>12.9</v>
      </c>
      <c r="AN28" s="238">
        <v>12.97</v>
      </c>
      <c r="AO28" s="238">
        <v>13</v>
      </c>
      <c r="AP28" s="238">
        <v>12.97</v>
      </c>
      <c r="AQ28" s="238">
        <v>12.97</v>
      </c>
      <c r="AR28" s="238">
        <v>12.96</v>
      </c>
      <c r="AS28" s="238">
        <v>12.96</v>
      </c>
      <c r="AT28" s="238">
        <v>12.96</v>
      </c>
      <c r="AU28" s="238">
        <v>12.96</v>
      </c>
      <c r="AV28" s="238">
        <v>12.94</v>
      </c>
      <c r="AW28" s="238">
        <v>12.94</v>
      </c>
      <c r="AX28" s="238">
        <v>12.94</v>
      </c>
      <c r="AY28" s="238">
        <v>12.94</v>
      </c>
      <c r="AZ28" s="238">
        <v>11.84</v>
      </c>
      <c r="BA28" s="238">
        <v>11.84</v>
      </c>
      <c r="BB28" s="238">
        <v>11.84</v>
      </c>
      <c r="BC28" s="238">
        <v>11.84</v>
      </c>
      <c r="BD28" s="238">
        <v>10.78</v>
      </c>
      <c r="BE28" s="238">
        <v>10.77</v>
      </c>
    </row>
    <row r="30" spans="2:57" ht="15" customHeight="1">
      <c r="B30" s="439" t="s">
        <v>537</v>
      </c>
      <c r="C30" s="439" t="s">
        <v>538</v>
      </c>
      <c r="D30" s="107" t="s">
        <v>39</v>
      </c>
      <c r="E30" s="107" t="s">
        <v>40</v>
      </c>
      <c r="F30" s="107" t="s">
        <v>41</v>
      </c>
      <c r="G30" s="107" t="s">
        <v>42</v>
      </c>
      <c r="H30" s="107" t="s">
        <v>43</v>
      </c>
      <c r="I30" s="107" t="s">
        <v>44</v>
      </c>
      <c r="J30" s="107" t="s">
        <v>45</v>
      </c>
      <c r="K30" s="107" t="s">
        <v>46</v>
      </c>
      <c r="L30" s="107" t="s">
        <v>47</v>
      </c>
      <c r="M30" s="107" t="s">
        <v>48</v>
      </c>
      <c r="N30" s="107" t="s">
        <v>49</v>
      </c>
      <c r="O30" s="107" t="s">
        <v>50</v>
      </c>
      <c r="P30" s="107" t="s">
        <v>51</v>
      </c>
      <c r="Q30" s="107" t="s">
        <v>52</v>
      </c>
      <c r="R30" s="107" t="s">
        <v>53</v>
      </c>
      <c r="S30" s="107" t="s">
        <v>54</v>
      </c>
      <c r="T30" s="107" t="s">
        <v>55</v>
      </c>
      <c r="U30" s="107" t="s">
        <v>56</v>
      </c>
      <c r="V30" s="107" t="s">
        <v>57</v>
      </c>
      <c r="W30" s="107" t="s">
        <v>58</v>
      </c>
      <c r="X30" s="107" t="s">
        <v>59</v>
      </c>
      <c r="Y30" s="107" t="s">
        <v>60</v>
      </c>
      <c r="Z30" s="107" t="s">
        <v>61</v>
      </c>
      <c r="AA30" s="107" t="s">
        <v>62</v>
      </c>
      <c r="AB30" s="107" t="str">
        <f t="shared" ref="AB30:AP30" si="6">AB24</f>
        <v>1T19</v>
      </c>
      <c r="AC30" s="107" t="str">
        <f t="shared" si="6"/>
        <v>2T19</v>
      </c>
      <c r="AD30" s="107" t="str">
        <f t="shared" si="6"/>
        <v>3T19</v>
      </c>
      <c r="AE30" s="107" t="str">
        <f t="shared" si="6"/>
        <v>4T19</v>
      </c>
      <c r="AF30" s="107" t="str">
        <f t="shared" si="6"/>
        <v>1T20</v>
      </c>
      <c r="AG30" s="107" t="str">
        <f t="shared" si="6"/>
        <v>2T20</v>
      </c>
      <c r="AH30" s="107" t="str">
        <f t="shared" si="6"/>
        <v>3T20</v>
      </c>
      <c r="AI30" s="107" t="str">
        <f t="shared" si="6"/>
        <v>4T20</v>
      </c>
      <c r="AJ30" s="107" t="str">
        <f t="shared" si="6"/>
        <v>1T21</v>
      </c>
      <c r="AK30" s="107" t="str">
        <f t="shared" si="6"/>
        <v>2T21</v>
      </c>
      <c r="AL30" s="107" t="str">
        <f t="shared" si="6"/>
        <v>3T21</v>
      </c>
      <c r="AM30" s="107" t="str">
        <f t="shared" si="6"/>
        <v>4T21</v>
      </c>
      <c r="AN30" s="107" t="str">
        <f t="shared" si="6"/>
        <v>1T22</v>
      </c>
      <c r="AO30" s="107" t="str">
        <f t="shared" si="6"/>
        <v>2T22</v>
      </c>
      <c r="AP30" s="107" t="str">
        <f t="shared" si="6"/>
        <v>3T22</v>
      </c>
      <c r="AQ30" s="107" t="str">
        <f t="shared" ref="AQ30:AW30" si="7">AQ24</f>
        <v>4T22</v>
      </c>
      <c r="AR30" s="107" t="str">
        <f t="shared" si="7"/>
        <v>1T23</v>
      </c>
      <c r="AS30" s="107" t="str">
        <f t="shared" si="7"/>
        <v>2T23</v>
      </c>
      <c r="AT30" s="107" t="str">
        <f t="shared" si="7"/>
        <v>3T23</v>
      </c>
      <c r="AU30" s="107" t="str">
        <f t="shared" si="7"/>
        <v>4T23</v>
      </c>
      <c r="AV30" s="107" t="str">
        <f t="shared" si="7"/>
        <v>1T24</v>
      </c>
      <c r="AW30" s="107" t="str">
        <f t="shared" si="7"/>
        <v>2T24</v>
      </c>
      <c r="AX30" s="107" t="s">
        <v>85</v>
      </c>
      <c r="AY30" s="107" t="s">
        <v>86</v>
      </c>
      <c r="AZ30" s="107" t="s">
        <v>87</v>
      </c>
      <c r="BA30" s="107" t="str">
        <f>BA24</f>
        <v>2T25</v>
      </c>
      <c r="BB30" s="107" t="str">
        <f>BB24</f>
        <v>3T25</v>
      </c>
      <c r="BC30" s="107" t="str">
        <f>BC24</f>
        <v>4T25</v>
      </c>
      <c r="BD30" s="107" t="str">
        <f>BD24</f>
        <v>1T26</v>
      </c>
      <c r="BE30" s="107" t="str">
        <f>BE24</f>
        <v>2T26</v>
      </c>
    </row>
    <row r="31" spans="2:57" ht="15" customHeight="1">
      <c r="B31" s="35" t="s">
        <v>518</v>
      </c>
      <c r="C31" s="549" t="s">
        <v>519</v>
      </c>
      <c r="D31" s="236"/>
      <c r="E31" s="236"/>
      <c r="F31" s="236"/>
      <c r="G31" s="236"/>
      <c r="H31" s="236"/>
      <c r="I31" s="236"/>
      <c r="J31" s="236"/>
      <c r="K31" s="236"/>
      <c r="L31" s="236"/>
      <c r="M31" s="236"/>
      <c r="N31" s="236"/>
      <c r="O31" s="236"/>
      <c r="P31" s="236"/>
      <c r="Q31" s="236"/>
      <c r="R31" s="236"/>
      <c r="S31" s="236"/>
      <c r="T31" s="236"/>
      <c r="U31" s="236"/>
      <c r="V31" s="236"/>
      <c r="W31" s="236"/>
      <c r="X31" s="236"/>
      <c r="Y31" s="236"/>
      <c r="Z31" s="236"/>
      <c r="AA31" s="236"/>
      <c r="AB31" s="236"/>
      <c r="AC31" s="236"/>
      <c r="AD31" s="236"/>
      <c r="AE31" s="236"/>
      <c r="AF31" s="236"/>
      <c r="AG31" s="236"/>
      <c r="AH31" s="236"/>
      <c r="AI31" s="236">
        <v>27.51</v>
      </c>
      <c r="AJ31" s="236">
        <v>20.57</v>
      </c>
      <c r="AK31" s="236">
        <v>20.440000000000001</v>
      </c>
      <c r="AL31" s="236">
        <v>10</v>
      </c>
      <c r="AM31" s="236">
        <v>18.05</v>
      </c>
      <c r="AN31" s="236">
        <v>17.470000000000002</v>
      </c>
      <c r="AO31" s="236">
        <v>17.5</v>
      </c>
      <c r="AP31" s="236">
        <v>17.809999999999999</v>
      </c>
      <c r="AQ31" s="236">
        <v>17.797744000000002</v>
      </c>
      <c r="AR31" s="236">
        <v>17.185178000000001</v>
      </c>
      <c r="AS31" s="236">
        <v>16.636935000000001</v>
      </c>
      <c r="AT31" s="236">
        <v>16.82</v>
      </c>
      <c r="AU31" s="236">
        <v>17.770206999999999</v>
      </c>
      <c r="AV31" s="236">
        <v>18.96</v>
      </c>
      <c r="AW31" s="236">
        <v>19.11</v>
      </c>
      <c r="AX31" s="236">
        <v>20.14</v>
      </c>
      <c r="AY31" s="236">
        <v>18.78</v>
      </c>
      <c r="AZ31" s="236">
        <v>15.69</v>
      </c>
      <c r="BA31" s="236">
        <v>13.94</v>
      </c>
      <c r="BB31" s="236">
        <v>11.03</v>
      </c>
      <c r="BC31" s="236">
        <v>9.84</v>
      </c>
      <c r="BD31" s="236">
        <v>10.17</v>
      </c>
      <c r="BE31" s="784">
        <v>9.7799999999999994</v>
      </c>
    </row>
    <row r="32" spans="2:57" ht="15" customHeight="1">
      <c r="B32" s="237" t="s">
        <v>520</v>
      </c>
      <c r="C32" s="551" t="s">
        <v>521</v>
      </c>
      <c r="D32" s="238"/>
      <c r="E32" s="238"/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8"/>
      <c r="R32" s="238"/>
      <c r="S32" s="238"/>
      <c r="T32" s="238"/>
      <c r="U32" s="238"/>
      <c r="V32" s="238"/>
      <c r="W32" s="238"/>
      <c r="X32" s="238"/>
      <c r="Y32" s="238"/>
      <c r="Z32" s="238"/>
      <c r="AA32" s="238"/>
      <c r="AB32" s="238"/>
      <c r="AC32" s="238"/>
      <c r="AD32" s="238"/>
      <c r="AE32" s="238"/>
      <c r="AF32" s="238"/>
      <c r="AG32" s="238"/>
      <c r="AH32" s="238"/>
      <c r="AI32" s="238">
        <v>9.9</v>
      </c>
      <c r="AJ32" s="238">
        <v>9.9</v>
      </c>
      <c r="AK32" s="238">
        <v>9.9</v>
      </c>
      <c r="AL32" s="238">
        <v>9.9</v>
      </c>
      <c r="AM32" s="238">
        <v>9.2906908888637449</v>
      </c>
      <c r="AN32" s="238">
        <v>9.2906908888637449</v>
      </c>
      <c r="AO32" s="238">
        <v>9.3000000000000007</v>
      </c>
      <c r="AP32" s="238">
        <v>9.2906908888637449</v>
      </c>
      <c r="AQ32" s="238">
        <v>9.2906908888637449</v>
      </c>
      <c r="AR32" s="238">
        <v>8.73</v>
      </c>
      <c r="AS32" s="238">
        <v>8.73</v>
      </c>
      <c r="AT32" s="238">
        <v>8.73</v>
      </c>
      <c r="AU32" s="238">
        <v>8.7200000000000006</v>
      </c>
      <c r="AV32" s="238">
        <v>8.42</v>
      </c>
      <c r="AW32" s="238">
        <v>8.41</v>
      </c>
      <c r="AX32" s="238">
        <v>8.41</v>
      </c>
      <c r="AY32" s="238">
        <v>8.41</v>
      </c>
      <c r="AZ32" s="238">
        <v>8.24</v>
      </c>
      <c r="BA32" s="238">
        <v>8.24</v>
      </c>
      <c r="BB32" s="238">
        <v>8.24</v>
      </c>
      <c r="BC32" s="238">
        <v>8.24</v>
      </c>
      <c r="BD32" s="238">
        <v>7.6</v>
      </c>
      <c r="BE32" s="785">
        <v>7.6</v>
      </c>
    </row>
    <row r="33" spans="2:57" ht="15" customHeight="1">
      <c r="B33" s="35" t="s">
        <v>522</v>
      </c>
      <c r="C33" s="549" t="s">
        <v>523</v>
      </c>
      <c r="D33" s="236"/>
      <c r="E33" s="236"/>
      <c r="F33" s="236"/>
      <c r="G33" s="236"/>
      <c r="H33" s="236"/>
      <c r="I33" s="236"/>
      <c r="J33" s="236"/>
      <c r="K33" s="236"/>
      <c r="L33" s="236"/>
      <c r="M33" s="236"/>
      <c r="N33" s="236"/>
      <c r="O33" s="236"/>
      <c r="P33" s="236"/>
      <c r="Q33" s="236"/>
      <c r="R33" s="236"/>
      <c r="S33" s="236"/>
      <c r="T33" s="236"/>
      <c r="U33" s="236"/>
      <c r="V33" s="236"/>
      <c r="W33" s="236"/>
      <c r="X33" s="236"/>
      <c r="Y33" s="236"/>
      <c r="Z33" s="236"/>
      <c r="AA33" s="236"/>
      <c r="AB33" s="236"/>
      <c r="AC33" s="236"/>
      <c r="AD33" s="236"/>
      <c r="AE33" s="236"/>
      <c r="AF33" s="236"/>
      <c r="AG33" s="236"/>
      <c r="AH33" s="236"/>
      <c r="AI33" s="236">
        <v>12.77</v>
      </c>
      <c r="AJ33" s="236">
        <v>10.4</v>
      </c>
      <c r="AK33" s="236">
        <v>10.28</v>
      </c>
      <c r="AL33" s="236">
        <v>9.9</v>
      </c>
      <c r="AM33" s="236">
        <v>9.7100000000000009</v>
      </c>
      <c r="AN33" s="236">
        <v>8.9400000000000013</v>
      </c>
      <c r="AO33" s="236">
        <v>8.69</v>
      </c>
      <c r="AP33" s="236">
        <v>8.4600000000000009</v>
      </c>
      <c r="AQ33" s="236">
        <v>8.4700000000000006</v>
      </c>
      <c r="AR33" s="236">
        <v>8.6597919999999995</v>
      </c>
      <c r="AS33" s="236">
        <v>8.6422629999999998</v>
      </c>
      <c r="AT33" s="236">
        <v>8.1133019999999991</v>
      </c>
      <c r="AU33" s="236">
        <v>7.742534</v>
      </c>
      <c r="AV33" s="236">
        <v>7.67</v>
      </c>
      <c r="AW33" s="236">
        <v>7.4</v>
      </c>
      <c r="AX33" s="236">
        <v>7.81</v>
      </c>
      <c r="AY33" s="236">
        <v>7.31</v>
      </c>
      <c r="AZ33" s="236">
        <v>6.3</v>
      </c>
      <c r="BA33" s="236">
        <v>5.73</v>
      </c>
      <c r="BB33" s="236">
        <v>4.83</v>
      </c>
      <c r="BC33" s="236">
        <v>4.47</v>
      </c>
      <c r="BD33" s="236">
        <v>4.54</v>
      </c>
      <c r="BE33" s="784">
        <v>4.37</v>
      </c>
    </row>
    <row r="34" spans="2:57" ht="15" customHeight="1">
      <c r="B34" s="237" t="s">
        <v>524</v>
      </c>
      <c r="C34" s="551" t="s">
        <v>525</v>
      </c>
      <c r="D34" s="238"/>
      <c r="E34" s="238"/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8"/>
      <c r="R34" s="238"/>
      <c r="S34" s="238"/>
      <c r="T34" s="238"/>
      <c r="U34" s="238"/>
      <c r="V34" s="238"/>
      <c r="W34" s="238"/>
      <c r="X34" s="238"/>
      <c r="Y34" s="238"/>
      <c r="Z34" s="238"/>
      <c r="AA34" s="238"/>
      <c r="AB34" s="238"/>
      <c r="AC34" s="238"/>
      <c r="AD34" s="238"/>
      <c r="AE34" s="238"/>
      <c r="AF34" s="238"/>
      <c r="AG34" s="238"/>
      <c r="AH34" s="238"/>
      <c r="AI34" s="238">
        <v>7.69</v>
      </c>
      <c r="AJ34" s="238">
        <v>7.69</v>
      </c>
      <c r="AK34" s="238">
        <v>7.69</v>
      </c>
      <c r="AL34" s="238">
        <v>7.69</v>
      </c>
      <c r="AM34" s="238">
        <v>6.9824899242935583</v>
      </c>
      <c r="AN34" s="238">
        <v>6.9824899242935583</v>
      </c>
      <c r="AO34" s="238">
        <v>7</v>
      </c>
      <c r="AP34" s="238">
        <v>6.9824899242935583</v>
      </c>
      <c r="AQ34" s="238">
        <v>6.9824899242935583</v>
      </c>
      <c r="AR34" s="238">
        <v>6.36</v>
      </c>
      <c r="AS34" s="238">
        <v>6.36</v>
      </c>
      <c r="AT34" s="238">
        <v>6.36</v>
      </c>
      <c r="AU34" s="238">
        <v>6.35</v>
      </c>
      <c r="AV34" s="238">
        <v>5.99</v>
      </c>
      <c r="AW34" s="238">
        <v>5.99</v>
      </c>
      <c r="AX34" s="238">
        <v>5.99</v>
      </c>
      <c r="AY34" s="238">
        <v>5.99</v>
      </c>
      <c r="AZ34" s="238">
        <v>5.8</v>
      </c>
      <c r="BA34" s="238">
        <v>5.8</v>
      </c>
      <c r="BB34" s="238">
        <v>5.79</v>
      </c>
      <c r="BC34" s="238">
        <v>5.79</v>
      </c>
      <c r="BD34" s="238">
        <v>5.31</v>
      </c>
      <c r="BE34" s="785">
        <v>5.31</v>
      </c>
    </row>
    <row r="36" spans="2:57" ht="15" customHeight="1">
      <c r="B36" s="439" t="s">
        <v>539</v>
      </c>
      <c r="C36" s="439" t="s">
        <v>540</v>
      </c>
      <c r="D36" s="107" t="s">
        <v>39</v>
      </c>
      <c r="E36" s="107" t="s">
        <v>40</v>
      </c>
      <c r="F36" s="107" t="s">
        <v>41</v>
      </c>
      <c r="G36" s="107" t="s">
        <v>42</v>
      </c>
      <c r="H36" s="107" t="s">
        <v>43</v>
      </c>
      <c r="I36" s="107" t="s">
        <v>44</v>
      </c>
      <c r="J36" s="107" t="s">
        <v>45</v>
      </c>
      <c r="K36" s="107" t="s">
        <v>46</v>
      </c>
      <c r="L36" s="107" t="s">
        <v>47</v>
      </c>
      <c r="M36" s="107" t="s">
        <v>48</v>
      </c>
      <c r="N36" s="107" t="s">
        <v>49</v>
      </c>
      <c r="O36" s="107" t="s">
        <v>50</v>
      </c>
      <c r="P36" s="107" t="s">
        <v>51</v>
      </c>
      <c r="Q36" s="107" t="s">
        <v>52</v>
      </c>
      <c r="R36" s="107" t="s">
        <v>53</v>
      </c>
      <c r="S36" s="107" t="s">
        <v>54</v>
      </c>
      <c r="T36" s="107" t="s">
        <v>55</v>
      </c>
      <c r="U36" s="107" t="s">
        <v>56</v>
      </c>
      <c r="V36" s="107" t="s">
        <v>57</v>
      </c>
      <c r="W36" s="107" t="s">
        <v>58</v>
      </c>
      <c r="X36" s="107" t="s">
        <v>59</v>
      </c>
      <c r="Y36" s="107" t="s">
        <v>60</v>
      </c>
      <c r="Z36" s="107" t="s">
        <v>61</v>
      </c>
      <c r="AA36" s="107" t="s">
        <v>62</v>
      </c>
      <c r="AB36" s="107" t="str">
        <f t="shared" ref="AB36:AP36" si="8">AB30</f>
        <v>1T19</v>
      </c>
      <c r="AC36" s="107" t="str">
        <f t="shared" si="8"/>
        <v>2T19</v>
      </c>
      <c r="AD36" s="107" t="str">
        <f t="shared" si="8"/>
        <v>3T19</v>
      </c>
      <c r="AE36" s="107" t="str">
        <f t="shared" si="8"/>
        <v>4T19</v>
      </c>
      <c r="AF36" s="107" t="str">
        <f t="shared" si="8"/>
        <v>1T20</v>
      </c>
      <c r="AG36" s="107" t="str">
        <f t="shared" si="8"/>
        <v>2T20</v>
      </c>
      <c r="AH36" s="107" t="str">
        <f t="shared" si="8"/>
        <v>3T20</v>
      </c>
      <c r="AI36" s="107" t="str">
        <f t="shared" si="8"/>
        <v>4T20</v>
      </c>
      <c r="AJ36" s="107" t="str">
        <f t="shared" si="8"/>
        <v>1T21</v>
      </c>
      <c r="AK36" s="107" t="str">
        <f t="shared" si="8"/>
        <v>2T21</v>
      </c>
      <c r="AL36" s="107" t="str">
        <f t="shared" si="8"/>
        <v>3T21</v>
      </c>
      <c r="AM36" s="107" t="str">
        <f t="shared" si="8"/>
        <v>4T21</v>
      </c>
      <c r="AN36" s="107" t="str">
        <f t="shared" si="8"/>
        <v>1T22</v>
      </c>
      <c r="AO36" s="107" t="str">
        <f t="shared" si="8"/>
        <v>2T22</v>
      </c>
      <c r="AP36" s="107" t="str">
        <f t="shared" si="8"/>
        <v>3T22</v>
      </c>
      <c r="AQ36" s="107" t="str">
        <f t="shared" ref="AQ36:AW36" si="9">AQ30</f>
        <v>4T22</v>
      </c>
      <c r="AR36" s="107" t="str">
        <f t="shared" si="9"/>
        <v>1T23</v>
      </c>
      <c r="AS36" s="107" t="str">
        <f t="shared" si="9"/>
        <v>2T23</v>
      </c>
      <c r="AT36" s="107" t="str">
        <f t="shared" si="9"/>
        <v>3T23</v>
      </c>
      <c r="AU36" s="107" t="str">
        <f t="shared" si="9"/>
        <v>4T23</v>
      </c>
      <c r="AV36" s="107" t="str">
        <f t="shared" si="9"/>
        <v>1T24</v>
      </c>
      <c r="AW36" s="107" t="str">
        <f t="shared" si="9"/>
        <v>2T24</v>
      </c>
      <c r="AX36" s="107" t="s">
        <v>85</v>
      </c>
      <c r="AY36" s="107" t="s">
        <v>86</v>
      </c>
      <c r="AZ36" s="107" t="s">
        <v>87</v>
      </c>
      <c r="BA36" s="107" t="str">
        <f>BA30</f>
        <v>2T25</v>
      </c>
      <c r="BB36" s="107" t="str">
        <f>BB30</f>
        <v>3T25</v>
      </c>
      <c r="BC36" s="107" t="str">
        <f>BC30</f>
        <v>4T25</v>
      </c>
      <c r="BD36" s="107" t="str">
        <f>BD30</f>
        <v>1T26</v>
      </c>
      <c r="BE36" s="107" t="str">
        <f>BE30</f>
        <v>2T26</v>
      </c>
    </row>
    <row r="37" spans="2:57" ht="15" customHeight="1">
      <c r="B37" s="35" t="s">
        <v>518</v>
      </c>
      <c r="C37" s="549" t="s">
        <v>519</v>
      </c>
      <c r="D37" s="236"/>
      <c r="E37" s="236"/>
      <c r="F37" s="236"/>
      <c r="G37" s="236"/>
      <c r="H37" s="236"/>
      <c r="I37" s="236"/>
      <c r="J37" s="236"/>
      <c r="K37" s="236"/>
      <c r="L37" s="236"/>
      <c r="M37" s="236"/>
      <c r="N37" s="236"/>
      <c r="O37" s="236"/>
      <c r="P37" s="236"/>
      <c r="Q37" s="236"/>
      <c r="R37" s="236"/>
      <c r="S37" s="236"/>
      <c r="T37" s="236"/>
      <c r="U37" s="236"/>
      <c r="V37" s="236"/>
      <c r="W37" s="236"/>
      <c r="X37" s="236"/>
      <c r="Y37" s="236"/>
      <c r="Z37" s="236"/>
      <c r="AA37" s="236"/>
      <c r="AB37" s="236"/>
      <c r="AC37" s="236"/>
      <c r="AD37" s="236"/>
      <c r="AE37" s="236"/>
      <c r="AF37" s="236"/>
      <c r="AG37" s="236"/>
      <c r="AH37" s="236"/>
      <c r="AI37" s="236">
        <v>43.98</v>
      </c>
      <c r="AJ37" s="236">
        <v>43.13</v>
      </c>
      <c r="AK37" s="236">
        <v>36.5</v>
      </c>
      <c r="AL37" s="236">
        <v>32.96</v>
      </c>
      <c r="AM37" s="236">
        <v>36.6</v>
      </c>
      <c r="AN37" s="236">
        <v>39.299999999999997</v>
      </c>
      <c r="AO37" s="236">
        <v>45.3</v>
      </c>
      <c r="AP37" s="236">
        <v>46.52</v>
      </c>
      <c r="AQ37" s="236">
        <v>44.097278000000003</v>
      </c>
      <c r="AR37" s="236">
        <v>41.9</v>
      </c>
      <c r="AS37" s="236">
        <v>37.590000000000003</v>
      </c>
      <c r="AT37" s="236">
        <v>36.369999999999997</v>
      </c>
      <c r="AU37" s="236">
        <v>33.049999999999997</v>
      </c>
      <c r="AV37" s="236">
        <v>31.37</v>
      </c>
      <c r="AW37" s="236">
        <v>34.36</v>
      </c>
      <c r="AX37" s="236">
        <v>34.14</v>
      </c>
      <c r="AY37" s="236">
        <v>34.54</v>
      </c>
      <c r="AZ37" s="236">
        <v>33.51</v>
      </c>
      <c r="BA37" s="236">
        <v>30.49</v>
      </c>
      <c r="BB37" s="236">
        <v>29.68</v>
      </c>
      <c r="BC37" s="236">
        <v>27.97</v>
      </c>
      <c r="BD37" s="236">
        <v>26.94</v>
      </c>
      <c r="BE37" s="236">
        <v>24.28</v>
      </c>
    </row>
    <row r="38" spans="2:57" ht="15" customHeight="1">
      <c r="B38" s="237" t="s">
        <v>520</v>
      </c>
      <c r="C38" s="551" t="s">
        <v>521</v>
      </c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8"/>
      <c r="S38" s="238"/>
      <c r="T38" s="238"/>
      <c r="U38" s="238"/>
      <c r="V38" s="238"/>
      <c r="W38" s="238"/>
      <c r="X38" s="238"/>
      <c r="Y38" s="238"/>
      <c r="Z38" s="238"/>
      <c r="AA38" s="238"/>
      <c r="AB38" s="238"/>
      <c r="AC38" s="238"/>
      <c r="AD38" s="238"/>
      <c r="AE38" s="238"/>
      <c r="AF38" s="238"/>
      <c r="AG38" s="238"/>
      <c r="AH38" s="238"/>
      <c r="AI38" s="238">
        <v>45.55</v>
      </c>
      <c r="AJ38" s="238">
        <v>45.55</v>
      </c>
      <c r="AK38" s="238">
        <v>45.55</v>
      </c>
      <c r="AL38" s="238">
        <v>45.55</v>
      </c>
      <c r="AM38" s="238">
        <v>45.55</v>
      </c>
      <c r="AN38" s="238">
        <v>45.03</v>
      </c>
      <c r="AO38" s="238">
        <v>45.03</v>
      </c>
      <c r="AP38" s="238">
        <v>45.03</v>
      </c>
      <c r="AQ38" s="238">
        <v>45.03</v>
      </c>
      <c r="AR38" s="238">
        <v>45.05</v>
      </c>
      <c r="AS38" s="238">
        <v>45.05</v>
      </c>
      <c r="AT38" s="238">
        <v>45.05</v>
      </c>
      <c r="AU38" s="238">
        <v>45.18</v>
      </c>
      <c r="AV38" s="238">
        <v>45.63</v>
      </c>
      <c r="AW38" s="238">
        <v>45.73</v>
      </c>
      <c r="AX38" s="238">
        <v>45.79</v>
      </c>
      <c r="AY38" s="238">
        <v>45.96</v>
      </c>
      <c r="AZ38" s="238">
        <v>45.96</v>
      </c>
      <c r="BA38" s="238">
        <v>45.96</v>
      </c>
      <c r="BB38" s="238">
        <v>45.37</v>
      </c>
      <c r="BC38" s="238">
        <v>45.37</v>
      </c>
      <c r="BD38" s="238">
        <v>44.96</v>
      </c>
      <c r="BE38" s="238">
        <v>44.28</v>
      </c>
    </row>
    <row r="39" spans="2:57" ht="15" customHeight="1">
      <c r="B39" s="35" t="s">
        <v>522</v>
      </c>
      <c r="C39" s="549" t="s">
        <v>523</v>
      </c>
      <c r="D39" s="236"/>
      <c r="E39" s="236"/>
      <c r="F39" s="236"/>
      <c r="G39" s="236"/>
      <c r="H39" s="236"/>
      <c r="I39" s="236"/>
      <c r="J39" s="236"/>
      <c r="K39" s="236"/>
      <c r="L39" s="236"/>
      <c r="M39" s="236"/>
      <c r="N39" s="236"/>
      <c r="O39" s="236"/>
      <c r="P39" s="236"/>
      <c r="Q39" s="236"/>
      <c r="R39" s="236"/>
      <c r="S39" s="236"/>
      <c r="T39" s="236"/>
      <c r="U39" s="236"/>
      <c r="V39" s="236"/>
      <c r="W39" s="236"/>
      <c r="X39" s="236"/>
      <c r="Y39" s="236"/>
      <c r="Z39" s="236"/>
      <c r="AA39" s="236"/>
      <c r="AB39" s="236"/>
      <c r="AC39" s="236"/>
      <c r="AD39" s="236"/>
      <c r="AE39" s="236"/>
      <c r="AF39" s="236"/>
      <c r="AG39" s="236"/>
      <c r="AH39" s="236"/>
      <c r="AI39" s="236">
        <v>16.97</v>
      </c>
      <c r="AJ39" s="236">
        <v>18.36</v>
      </c>
      <c r="AK39" s="236">
        <v>18.100000000000001</v>
      </c>
      <c r="AL39" s="236">
        <v>17.47</v>
      </c>
      <c r="AM39" s="236">
        <v>19.059999999999999</v>
      </c>
      <c r="AN39" s="236">
        <v>19.899999999999999</v>
      </c>
      <c r="AO39" s="236">
        <v>21.24</v>
      </c>
      <c r="AP39" s="236">
        <v>21.31</v>
      </c>
      <c r="AQ39" s="236">
        <v>19.713104000000001</v>
      </c>
      <c r="AR39" s="236">
        <v>19.09</v>
      </c>
      <c r="AS39" s="236">
        <v>17.440000000000001</v>
      </c>
      <c r="AT39" s="236">
        <v>16.43</v>
      </c>
      <c r="AU39" s="236">
        <v>15.13</v>
      </c>
      <c r="AV39" s="236">
        <v>14.09</v>
      </c>
      <c r="AW39" s="236">
        <v>14.37</v>
      </c>
      <c r="AX39" s="236">
        <v>13.7</v>
      </c>
      <c r="AY39" s="236">
        <v>14.4</v>
      </c>
      <c r="AZ39" s="236">
        <v>14.15</v>
      </c>
      <c r="BA39" s="236">
        <v>13.37</v>
      </c>
      <c r="BB39" s="236">
        <v>13.35</v>
      </c>
      <c r="BC39" s="236">
        <v>12.29</v>
      </c>
      <c r="BD39" s="236">
        <v>11.84</v>
      </c>
      <c r="BE39" s="236">
        <v>11.18</v>
      </c>
    </row>
    <row r="40" spans="2:57" ht="15" customHeight="1">
      <c r="B40" s="237" t="s">
        <v>524</v>
      </c>
      <c r="C40" s="551" t="s">
        <v>525</v>
      </c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8"/>
      <c r="S40" s="238"/>
      <c r="T40" s="238"/>
      <c r="U40" s="238"/>
      <c r="V40" s="238"/>
      <c r="W40" s="238"/>
      <c r="X40" s="238"/>
      <c r="Y40" s="238"/>
      <c r="Z40" s="238"/>
      <c r="AA40" s="238"/>
      <c r="AB40" s="238"/>
      <c r="AC40" s="238"/>
      <c r="AD40" s="238"/>
      <c r="AE40" s="238"/>
      <c r="AF40" s="238"/>
      <c r="AG40" s="238"/>
      <c r="AH40" s="238"/>
      <c r="AI40" s="238">
        <v>30.37</v>
      </c>
      <c r="AJ40" s="238">
        <v>30.37</v>
      </c>
      <c r="AK40" s="238">
        <v>30.37</v>
      </c>
      <c r="AL40" s="238">
        <v>30.37</v>
      </c>
      <c r="AM40" s="238">
        <v>30.37</v>
      </c>
      <c r="AN40" s="238">
        <v>30.15</v>
      </c>
      <c r="AO40" s="238">
        <v>30.15</v>
      </c>
      <c r="AP40" s="238">
        <v>30.15</v>
      </c>
      <c r="AQ40" s="238">
        <v>30.15</v>
      </c>
      <c r="AR40" s="238">
        <v>30.19</v>
      </c>
      <c r="AS40" s="238">
        <v>30.19</v>
      </c>
      <c r="AT40" s="238">
        <v>30.19</v>
      </c>
      <c r="AU40" s="238">
        <v>30.38</v>
      </c>
      <c r="AV40" s="238">
        <v>30.62</v>
      </c>
      <c r="AW40" s="238">
        <v>30.62</v>
      </c>
      <c r="AX40" s="238">
        <v>30.66</v>
      </c>
      <c r="AY40" s="238">
        <v>30.72</v>
      </c>
      <c r="AZ40" s="238">
        <v>30.72</v>
      </c>
      <c r="BA40" s="238">
        <v>30.72</v>
      </c>
      <c r="BB40" s="238">
        <v>30.55</v>
      </c>
      <c r="BC40" s="238">
        <v>30.55</v>
      </c>
      <c r="BD40" s="238">
        <v>30.42</v>
      </c>
      <c r="BE40" s="238">
        <v>30.03</v>
      </c>
    </row>
    <row r="42" spans="2:57" ht="15" customHeight="1">
      <c r="B42" s="439" t="s">
        <v>541</v>
      </c>
      <c r="C42" s="439" t="s">
        <v>542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107" t="str">
        <f t="shared" ref="AB42:AP42" si="10">AB36</f>
        <v>1T19</v>
      </c>
      <c r="AC42" s="107" t="str">
        <f t="shared" si="10"/>
        <v>2T19</v>
      </c>
      <c r="AD42" s="107" t="str">
        <f t="shared" si="10"/>
        <v>3T19</v>
      </c>
      <c r="AE42" s="107" t="str">
        <f t="shared" si="10"/>
        <v>4T19</v>
      </c>
      <c r="AF42" s="107" t="str">
        <f t="shared" si="10"/>
        <v>1T20</v>
      </c>
      <c r="AG42" s="107" t="str">
        <f t="shared" si="10"/>
        <v>2T20</v>
      </c>
      <c r="AH42" s="107" t="str">
        <f t="shared" si="10"/>
        <v>3T20</v>
      </c>
      <c r="AI42" s="107" t="str">
        <f t="shared" si="10"/>
        <v>4T20</v>
      </c>
      <c r="AJ42" s="107" t="str">
        <f t="shared" si="10"/>
        <v>1T21</v>
      </c>
      <c r="AK42" s="107" t="str">
        <f t="shared" si="10"/>
        <v>2T21</v>
      </c>
      <c r="AL42" s="107" t="str">
        <f t="shared" si="10"/>
        <v>3T21</v>
      </c>
      <c r="AM42" s="107" t="str">
        <f t="shared" si="10"/>
        <v>4T21</v>
      </c>
      <c r="AN42" s="107" t="str">
        <f t="shared" si="10"/>
        <v>1T22</v>
      </c>
      <c r="AO42" s="107" t="str">
        <f t="shared" si="10"/>
        <v>2T22</v>
      </c>
      <c r="AP42" s="107" t="str">
        <f t="shared" si="10"/>
        <v>3T22</v>
      </c>
      <c r="AQ42" s="107" t="str">
        <f t="shared" ref="AQ42:AW42" si="11">AQ36</f>
        <v>4T22</v>
      </c>
      <c r="AR42" s="107" t="str">
        <f t="shared" si="11"/>
        <v>1T23</v>
      </c>
      <c r="AS42" s="107" t="str">
        <f t="shared" si="11"/>
        <v>2T23</v>
      </c>
      <c r="AT42" s="107" t="str">
        <f t="shared" si="11"/>
        <v>3T23</v>
      </c>
      <c r="AU42" s="107" t="str">
        <f t="shared" si="11"/>
        <v>4T23</v>
      </c>
      <c r="AV42" s="107" t="str">
        <f t="shared" si="11"/>
        <v>1T24</v>
      </c>
      <c r="AW42" s="107" t="str">
        <f t="shared" si="11"/>
        <v>2T24</v>
      </c>
      <c r="AX42" s="107" t="s">
        <v>85</v>
      </c>
      <c r="AY42" s="107" t="s">
        <v>86</v>
      </c>
      <c r="AZ42" s="107" t="s">
        <v>87</v>
      </c>
      <c r="BA42" s="107" t="str">
        <f>BA36</f>
        <v>2T25</v>
      </c>
      <c r="BB42" s="107" t="str">
        <f>BB36</f>
        <v>3T25</v>
      </c>
      <c r="BC42" s="107" t="str">
        <f>BC36</f>
        <v>4T25</v>
      </c>
      <c r="BD42" s="107" t="str">
        <f>BD36</f>
        <v>1T26</v>
      </c>
      <c r="BE42" s="107" t="str">
        <f>BE36</f>
        <v>2T26</v>
      </c>
    </row>
    <row r="43" spans="2:57" ht="15" customHeight="1">
      <c r="B43" s="35" t="s">
        <v>518</v>
      </c>
      <c r="C43" s="549" t="s">
        <v>519</v>
      </c>
      <c r="D43" s="236"/>
      <c r="E43" s="236"/>
      <c r="F43" s="236"/>
      <c r="G43" s="236"/>
      <c r="H43" s="236"/>
      <c r="I43" s="236"/>
      <c r="J43" s="236"/>
      <c r="K43" s="236"/>
      <c r="L43" s="236"/>
      <c r="M43" s="236"/>
      <c r="N43" s="236"/>
      <c r="O43" s="236"/>
      <c r="P43" s="236"/>
      <c r="Q43" s="236"/>
      <c r="R43" s="236"/>
      <c r="S43" s="236"/>
      <c r="T43" s="236"/>
      <c r="U43" s="236"/>
      <c r="V43" s="236"/>
      <c r="W43" s="236"/>
      <c r="X43" s="236"/>
      <c r="Y43" s="236"/>
      <c r="Z43" s="236"/>
      <c r="AA43" s="236"/>
      <c r="AB43" s="236"/>
      <c r="AC43" s="236"/>
      <c r="AD43" s="236"/>
      <c r="AE43" s="236"/>
      <c r="AF43" s="236"/>
      <c r="AG43" s="236"/>
      <c r="AH43" s="236"/>
      <c r="AI43" s="236"/>
      <c r="AJ43" s="236"/>
      <c r="AK43" s="236"/>
      <c r="AL43" s="236"/>
      <c r="AM43" s="236"/>
      <c r="AN43" s="236">
        <v>18.59</v>
      </c>
      <c r="AO43" s="236">
        <v>20.97</v>
      </c>
      <c r="AP43" s="236">
        <v>20.79</v>
      </c>
      <c r="AQ43" s="236">
        <v>22.551036</v>
      </c>
      <c r="AR43" s="236">
        <v>20.627461</v>
      </c>
      <c r="AS43" s="236">
        <v>19.986566</v>
      </c>
      <c r="AT43" s="236">
        <v>20.399999999999999</v>
      </c>
      <c r="AU43" s="236">
        <v>21.575942999999999</v>
      </c>
      <c r="AV43" s="236">
        <v>20.71</v>
      </c>
      <c r="AW43" s="236">
        <v>20.09</v>
      </c>
      <c r="AX43" s="236">
        <v>18.54</v>
      </c>
      <c r="AY43" s="236">
        <v>15.91</v>
      </c>
      <c r="AZ43" s="236">
        <v>14.92</v>
      </c>
      <c r="BA43" s="236">
        <v>14.8</v>
      </c>
      <c r="BB43" s="236">
        <v>14.55</v>
      </c>
      <c r="BC43" s="236">
        <v>12.66</v>
      </c>
      <c r="BD43" s="236">
        <v>11.44</v>
      </c>
      <c r="BE43" s="236">
        <v>11.092999999999998</v>
      </c>
    </row>
    <row r="44" spans="2:57" ht="15" customHeight="1">
      <c r="B44" s="237" t="s">
        <v>520</v>
      </c>
      <c r="C44" s="551" t="s">
        <v>521</v>
      </c>
      <c r="D44" s="238"/>
      <c r="E44" s="238"/>
      <c r="F44" s="238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238"/>
      <c r="R44" s="238"/>
      <c r="S44" s="238"/>
      <c r="T44" s="238"/>
      <c r="U44" s="238"/>
      <c r="V44" s="238"/>
      <c r="W44" s="238"/>
      <c r="X44" s="238"/>
      <c r="Y44" s="238"/>
      <c r="Z44" s="238"/>
      <c r="AA44" s="238"/>
      <c r="AB44" s="238"/>
      <c r="AC44" s="238"/>
      <c r="AD44" s="238"/>
      <c r="AE44" s="238"/>
      <c r="AF44" s="238"/>
      <c r="AG44" s="238"/>
      <c r="AH44" s="238"/>
      <c r="AI44" s="238"/>
      <c r="AJ44" s="238"/>
      <c r="AK44" s="238"/>
      <c r="AL44" s="238"/>
      <c r="AM44" s="238"/>
      <c r="AN44" s="238">
        <v>12.11</v>
      </c>
      <c r="AO44" s="238">
        <v>12.11</v>
      </c>
      <c r="AP44" s="238">
        <v>12.11</v>
      </c>
      <c r="AQ44" s="238">
        <v>12.11</v>
      </c>
      <c r="AR44" s="238">
        <v>11.45</v>
      </c>
      <c r="AS44" s="238">
        <v>11.45</v>
      </c>
      <c r="AT44" s="238">
        <v>11.45</v>
      </c>
      <c r="AU44" s="238">
        <v>11.45</v>
      </c>
      <c r="AV44" s="238">
        <v>11.43</v>
      </c>
      <c r="AW44" s="238">
        <v>11.43</v>
      </c>
      <c r="AX44" s="238">
        <v>11.43</v>
      </c>
      <c r="AY44" s="238">
        <v>11.43</v>
      </c>
      <c r="AZ44" s="238">
        <v>11.22</v>
      </c>
      <c r="BA44" s="238">
        <v>11.22</v>
      </c>
      <c r="BB44" s="238">
        <v>11.24</v>
      </c>
      <c r="BC44" s="238">
        <v>11.24</v>
      </c>
      <c r="BD44" s="238">
        <v>11.02</v>
      </c>
      <c r="BE44" s="238">
        <v>11.03</v>
      </c>
    </row>
    <row r="45" spans="2:57" ht="15" customHeight="1">
      <c r="B45" s="35" t="s">
        <v>522</v>
      </c>
      <c r="C45" s="549" t="s">
        <v>523</v>
      </c>
      <c r="D45" s="236"/>
      <c r="E45" s="236"/>
      <c r="F45" s="236"/>
      <c r="G45" s="236"/>
      <c r="H45" s="236"/>
      <c r="I45" s="236"/>
      <c r="J45" s="236"/>
      <c r="K45" s="236"/>
      <c r="L45" s="236"/>
      <c r="M45" s="236"/>
      <c r="N45" s="236"/>
      <c r="O45" s="236"/>
      <c r="P45" s="236"/>
      <c r="Q45" s="236"/>
      <c r="R45" s="236"/>
      <c r="S45" s="236"/>
      <c r="T45" s="236"/>
      <c r="U45" s="236"/>
      <c r="V45" s="236"/>
      <c r="W45" s="236"/>
      <c r="X45" s="236"/>
      <c r="Y45" s="236"/>
      <c r="Z45" s="236"/>
      <c r="AA45" s="236"/>
      <c r="AB45" s="236"/>
      <c r="AC45" s="236"/>
      <c r="AD45" s="236"/>
      <c r="AE45" s="236"/>
      <c r="AF45" s="236"/>
      <c r="AG45" s="236"/>
      <c r="AH45" s="236"/>
      <c r="AI45" s="236"/>
      <c r="AJ45" s="236"/>
      <c r="AK45" s="236"/>
      <c r="AL45" s="236"/>
      <c r="AM45" s="236"/>
      <c r="AN45" s="236">
        <v>8.33</v>
      </c>
      <c r="AO45" s="236">
        <v>9.02</v>
      </c>
      <c r="AP45" s="236">
        <v>9.3800000000000008</v>
      </c>
      <c r="AQ45" s="236">
        <v>10.346477</v>
      </c>
      <c r="AR45" s="236">
        <v>10.52243</v>
      </c>
      <c r="AS45" s="236">
        <v>10.368285999999999</v>
      </c>
      <c r="AT45" s="236">
        <v>10.554701</v>
      </c>
      <c r="AU45" s="236">
        <v>11.162501000000001</v>
      </c>
      <c r="AV45" s="236">
        <v>10.37</v>
      </c>
      <c r="AW45" s="236">
        <v>9.9499999999999993</v>
      </c>
      <c r="AX45" s="236">
        <v>8.8800000000000008</v>
      </c>
      <c r="AY45" s="236">
        <v>7.61</v>
      </c>
      <c r="AZ45" s="236">
        <v>7.1</v>
      </c>
      <c r="BA45" s="236">
        <v>6.88</v>
      </c>
      <c r="BB45" s="236">
        <v>6.53</v>
      </c>
      <c r="BC45" s="236">
        <v>5.87</v>
      </c>
      <c r="BD45" s="236">
        <v>5.27</v>
      </c>
      <c r="BE45" s="236">
        <v>5.2450000000000001</v>
      </c>
    </row>
    <row r="46" spans="2:57" ht="15" customHeight="1">
      <c r="B46" s="237" t="s">
        <v>524</v>
      </c>
      <c r="C46" s="551" t="s">
        <v>525</v>
      </c>
      <c r="D46" s="238"/>
      <c r="E46" s="238"/>
      <c r="F46" s="238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  <c r="R46" s="238"/>
      <c r="S46" s="238"/>
      <c r="T46" s="238"/>
      <c r="U46" s="238"/>
      <c r="V46" s="238"/>
      <c r="W46" s="238"/>
      <c r="X46" s="238"/>
      <c r="Y46" s="238"/>
      <c r="Z46" s="238"/>
      <c r="AA46" s="238"/>
      <c r="AB46" s="238"/>
      <c r="AC46" s="238"/>
      <c r="AD46" s="238"/>
      <c r="AE46" s="238"/>
      <c r="AF46" s="238"/>
      <c r="AG46" s="238"/>
      <c r="AH46" s="238"/>
      <c r="AI46" s="238"/>
      <c r="AJ46" s="238"/>
      <c r="AK46" s="238"/>
      <c r="AL46" s="238"/>
      <c r="AM46" s="238"/>
      <c r="AN46" s="238">
        <v>8.56</v>
      </c>
      <c r="AO46" s="238">
        <v>8.56</v>
      </c>
      <c r="AP46" s="238">
        <v>8.56</v>
      </c>
      <c r="AQ46" s="238">
        <v>8.56</v>
      </c>
      <c r="AR46" s="238">
        <v>7.79</v>
      </c>
      <c r="AS46" s="238">
        <v>7.79</v>
      </c>
      <c r="AT46" s="238">
        <v>7.79</v>
      </c>
      <c r="AU46" s="238">
        <v>7.79</v>
      </c>
      <c r="AV46" s="238">
        <v>7.74</v>
      </c>
      <c r="AW46" s="238">
        <v>7.73</v>
      </c>
      <c r="AX46" s="238">
        <v>7.73</v>
      </c>
      <c r="AY46" s="238">
        <v>7.73</v>
      </c>
      <c r="AZ46" s="238">
        <v>7.39</v>
      </c>
      <c r="BA46" s="238">
        <v>7.39</v>
      </c>
      <c r="BB46" s="238">
        <v>7.39</v>
      </c>
      <c r="BC46" s="238">
        <v>7.39</v>
      </c>
      <c r="BD46" s="238">
        <v>7.12</v>
      </c>
      <c r="BE46" s="238">
        <v>7.12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0.79998168889431442"/>
  </sheetPr>
  <dimension ref="B6:T60"/>
  <sheetViews>
    <sheetView topLeftCell="A22" zoomScale="80" zoomScaleNormal="80" workbookViewId="0">
      <selection activeCell="U63" sqref="U63"/>
    </sheetView>
  </sheetViews>
  <sheetFormatPr defaultColWidth="9.21875" defaultRowHeight="15" customHeight="1"/>
  <cols>
    <col min="1" max="1" width="8.5546875" style="35" customWidth="1"/>
    <col min="2" max="3" width="33.5546875" style="35" customWidth="1"/>
    <col min="4" max="10" width="13.44140625" style="35" customWidth="1"/>
    <col min="11" max="11" width="10.77734375" style="35" bestFit="1" customWidth="1"/>
    <col min="12" max="12" width="22.77734375" style="35" bestFit="1" customWidth="1"/>
    <col min="13" max="13" width="27.77734375" style="35" bestFit="1" customWidth="1"/>
    <col min="14" max="20" width="13.44140625" style="35" customWidth="1"/>
    <col min="21" max="16384" width="9.21875" style="35"/>
  </cols>
  <sheetData>
    <row r="6" spans="2:20" ht="15" customHeight="1">
      <c r="B6" s="239" t="s">
        <v>89</v>
      </c>
      <c r="C6" s="239" t="s">
        <v>89</v>
      </c>
      <c r="D6" s="240"/>
      <c r="E6" s="240"/>
      <c r="F6" s="240"/>
      <c r="G6" s="241"/>
      <c r="H6" s="241"/>
      <c r="I6" s="241"/>
      <c r="J6" s="241"/>
      <c r="L6" s="239"/>
      <c r="M6" s="239"/>
      <c r="N6" s="240"/>
      <c r="O6" s="240"/>
      <c r="P6" s="240"/>
      <c r="Q6" s="241"/>
      <c r="R6" s="241"/>
      <c r="S6" s="241"/>
      <c r="T6" s="241"/>
    </row>
    <row r="7" spans="2:20" ht="15" customHeight="1">
      <c r="B7" s="437" t="s">
        <v>543</v>
      </c>
      <c r="C7" s="437" t="s">
        <v>544</v>
      </c>
      <c r="D7" s="438">
        <v>2020</v>
      </c>
      <c r="E7" s="438">
        <v>2021</v>
      </c>
      <c r="F7" s="438">
        <v>2022</v>
      </c>
      <c r="G7" s="438">
        <v>2023</v>
      </c>
      <c r="H7" s="438">
        <v>2024</v>
      </c>
      <c r="I7" s="438">
        <v>2025</v>
      </c>
      <c r="J7" s="438">
        <v>2026</v>
      </c>
      <c r="L7" s="437" t="s">
        <v>543</v>
      </c>
      <c r="M7" s="437" t="s">
        <v>544</v>
      </c>
      <c r="N7" s="438">
        <v>2020</v>
      </c>
      <c r="O7" s="438">
        <v>2021</v>
      </c>
      <c r="P7" s="438">
        <v>2022</v>
      </c>
      <c r="Q7" s="438">
        <v>2023</v>
      </c>
      <c r="R7" s="438">
        <v>2024</v>
      </c>
      <c r="S7" s="438">
        <v>2025</v>
      </c>
      <c r="T7" s="438">
        <v>2026</v>
      </c>
    </row>
    <row r="8" spans="2:20" ht="15" customHeight="1">
      <c r="B8" s="242" t="s">
        <v>545</v>
      </c>
      <c r="C8" s="242" t="s">
        <v>546</v>
      </c>
      <c r="D8" s="243">
        <v>3363097.633586999</v>
      </c>
      <c r="E8" s="243">
        <v>2790577.661216002</v>
      </c>
      <c r="F8" s="243">
        <v>2872313.7619200004</v>
      </c>
      <c r="G8" s="243">
        <v>2375802.0231410014</v>
      </c>
      <c r="H8" s="243">
        <v>3108994.05</v>
      </c>
      <c r="I8" s="243">
        <v>3240323</v>
      </c>
      <c r="J8" s="243">
        <v>3300831</v>
      </c>
      <c r="K8" s="101"/>
      <c r="L8" s="242" t="s">
        <v>545</v>
      </c>
      <c r="M8" s="242" t="s">
        <v>546</v>
      </c>
      <c r="N8" s="714">
        <f t="shared" ref="N8:T12" si="0">+D8/D$12</f>
        <v>0.42659382970119608</v>
      </c>
      <c r="O8" s="714">
        <f t="shared" si="0"/>
        <v>0.34545402237453404</v>
      </c>
      <c r="P8" s="714">
        <f t="shared" si="0"/>
        <v>0.34897488652135505</v>
      </c>
      <c r="Q8" s="714">
        <f t="shared" si="0"/>
        <v>0.27590283654764564</v>
      </c>
      <c r="R8" s="714">
        <f t="shared" si="0"/>
        <v>0.34308916165447828</v>
      </c>
      <c r="S8" s="714">
        <f t="shared" si="0"/>
        <v>0.34629357467162031</v>
      </c>
      <c r="T8" s="714">
        <f t="shared" si="0"/>
        <v>0.36249712134435441</v>
      </c>
    </row>
    <row r="9" spans="2:20" ht="15" customHeight="1">
      <c r="B9" s="242" t="s">
        <v>547</v>
      </c>
      <c r="C9" s="242" t="s">
        <v>548</v>
      </c>
      <c r="D9" s="243">
        <v>1782270.6932140002</v>
      </c>
      <c r="E9" s="243">
        <v>2135962.1050000004</v>
      </c>
      <c r="F9" s="243">
        <v>2338881.4125980008</v>
      </c>
      <c r="G9" s="243">
        <v>3201821.7113199998</v>
      </c>
      <c r="H9" s="243">
        <v>3447686.01</v>
      </c>
      <c r="I9" s="243">
        <v>3115933</v>
      </c>
      <c r="J9" s="243">
        <v>2923332</v>
      </c>
      <c r="K9" s="101"/>
      <c r="L9" s="242" t="s">
        <v>547</v>
      </c>
      <c r="M9" s="242" t="s">
        <v>548</v>
      </c>
      <c r="N9" s="714">
        <f t="shared" si="0"/>
        <v>0.22607303248922991</v>
      </c>
      <c r="O9" s="714">
        <f t="shared" si="0"/>
        <v>0.26441718898097077</v>
      </c>
      <c r="P9" s="714">
        <f t="shared" si="0"/>
        <v>0.28416494269160103</v>
      </c>
      <c r="Q9" s="714">
        <f t="shared" si="0"/>
        <v>0.37182883239787384</v>
      </c>
      <c r="R9" s="714">
        <f t="shared" si="0"/>
        <v>0.38046509057126476</v>
      </c>
      <c r="S9" s="714">
        <f t="shared" si="0"/>
        <v>0.33300000555724413</v>
      </c>
      <c r="T9" s="714">
        <f t="shared" si="0"/>
        <v>0.32104019706971798</v>
      </c>
    </row>
    <row r="10" spans="2:20" ht="15" customHeight="1">
      <c r="B10" s="242" t="s">
        <v>549</v>
      </c>
      <c r="C10" s="242" t="s">
        <v>550</v>
      </c>
      <c r="D10" s="243">
        <v>1839854.3160230003</v>
      </c>
      <c r="E10" s="243">
        <v>1762385.0949999997</v>
      </c>
      <c r="F10" s="243">
        <v>1763293.3960070002</v>
      </c>
      <c r="G10" s="243">
        <v>1377315.9839999999</v>
      </c>
      <c r="H10" s="243">
        <v>1146287.1299999999</v>
      </c>
      <c r="I10" s="243">
        <v>1054612</v>
      </c>
      <c r="J10" s="243">
        <v>870935</v>
      </c>
      <c r="K10" s="101"/>
      <c r="L10" s="242" t="s">
        <v>549</v>
      </c>
      <c r="M10" s="242" t="s">
        <v>550</v>
      </c>
      <c r="N10" s="714">
        <f t="shared" si="0"/>
        <v>0.2333772564097113</v>
      </c>
      <c r="O10" s="714">
        <f t="shared" si="0"/>
        <v>0.21817096456487037</v>
      </c>
      <c r="P10" s="714">
        <f t="shared" si="0"/>
        <v>0.21423325018784498</v>
      </c>
      <c r="Q10" s="714">
        <f t="shared" si="0"/>
        <v>0.15994825457115069</v>
      </c>
      <c r="R10" s="714">
        <f t="shared" si="0"/>
        <v>0.12649708687831615</v>
      </c>
      <c r="S10" s="714">
        <f t="shared" si="0"/>
        <v>0.11270646764893094</v>
      </c>
      <c r="T10" s="714">
        <f t="shared" si="0"/>
        <v>9.5646045004438379E-2</v>
      </c>
    </row>
    <row r="11" spans="2:20" ht="15" customHeight="1" thickBot="1">
      <c r="B11" s="242" t="s">
        <v>551</v>
      </c>
      <c r="C11" s="242" t="s">
        <v>552</v>
      </c>
      <c r="D11" s="243">
        <v>898383.2591710001</v>
      </c>
      <c r="E11" s="243">
        <v>1389075.3370000024</v>
      </c>
      <c r="F11" s="243">
        <v>1256229.0910000009</v>
      </c>
      <c r="G11" s="243">
        <v>1656070.0590000006</v>
      </c>
      <c r="H11" s="243">
        <v>1358799.83</v>
      </c>
      <c r="I11" s="243">
        <v>1946288</v>
      </c>
      <c r="J11" s="243">
        <v>2010715</v>
      </c>
      <c r="K11" s="101"/>
      <c r="L11" s="242" t="s">
        <v>551</v>
      </c>
      <c r="M11" s="242" t="s">
        <v>552</v>
      </c>
      <c r="N11" s="714">
        <f t="shared" si="0"/>
        <v>0.11395588139986275</v>
      </c>
      <c r="O11" s="714">
        <f t="shared" si="0"/>
        <v>0.17195782407962484</v>
      </c>
      <c r="P11" s="714">
        <f t="shared" si="0"/>
        <v>0.15262692059919894</v>
      </c>
      <c r="Q11" s="714">
        <f t="shared" si="0"/>
        <v>0.1923200764833298</v>
      </c>
      <c r="R11" s="714">
        <f t="shared" si="0"/>
        <v>0.14994866089594081</v>
      </c>
      <c r="S11" s="714">
        <f t="shared" si="0"/>
        <v>0.20799995212220465</v>
      </c>
      <c r="T11" s="714">
        <f t="shared" si="0"/>
        <v>0.2208166365814892</v>
      </c>
    </row>
    <row r="12" spans="2:20" ht="15" customHeight="1" thickBot="1">
      <c r="B12" s="244" t="s">
        <v>553</v>
      </c>
      <c r="C12" s="244" t="s">
        <v>553</v>
      </c>
      <c r="D12" s="245">
        <f t="shared" ref="D12:J12" si="1">SUM(D8:D11)</f>
        <v>7883605.9019949995</v>
      </c>
      <c r="E12" s="245">
        <f t="shared" si="1"/>
        <v>8078000.1982160043</v>
      </c>
      <c r="F12" s="245">
        <f t="shared" si="1"/>
        <v>8230717.6615250027</v>
      </c>
      <c r="G12" s="245">
        <f t="shared" si="1"/>
        <v>8611009.7774610016</v>
      </c>
      <c r="H12" s="245">
        <f t="shared" si="1"/>
        <v>9061767.0199999996</v>
      </c>
      <c r="I12" s="245">
        <f t="shared" si="1"/>
        <v>9357156</v>
      </c>
      <c r="J12" s="245">
        <f t="shared" si="1"/>
        <v>9105813</v>
      </c>
      <c r="K12" s="101"/>
      <c r="L12" s="244" t="s">
        <v>553</v>
      </c>
      <c r="M12" s="244" t="s">
        <v>553</v>
      </c>
      <c r="N12" s="715">
        <f t="shared" si="0"/>
        <v>1</v>
      </c>
      <c r="O12" s="715">
        <f t="shared" si="0"/>
        <v>1</v>
      </c>
      <c r="P12" s="715">
        <f t="shared" si="0"/>
        <v>1</v>
      </c>
      <c r="Q12" s="715">
        <f t="shared" si="0"/>
        <v>1</v>
      </c>
      <c r="R12" s="715">
        <f t="shared" si="0"/>
        <v>1</v>
      </c>
      <c r="S12" s="715">
        <f t="shared" si="0"/>
        <v>1</v>
      </c>
      <c r="T12" s="715">
        <f t="shared" si="0"/>
        <v>1</v>
      </c>
    </row>
    <row r="13" spans="2:20" ht="15" customHeight="1">
      <c r="B13" s="241"/>
      <c r="C13" s="241"/>
      <c r="D13" s="246"/>
      <c r="E13" s="246"/>
      <c r="F13" s="246"/>
      <c r="G13" s="246"/>
      <c r="H13" s="246"/>
      <c r="I13" s="246"/>
      <c r="J13" s="246"/>
      <c r="K13" s="101"/>
      <c r="L13" s="241"/>
      <c r="M13" s="241"/>
      <c r="N13" s="246"/>
      <c r="O13" s="246"/>
      <c r="P13" s="246"/>
      <c r="Q13" s="246"/>
      <c r="R13" s="246"/>
      <c r="S13" s="246"/>
      <c r="T13" s="246"/>
    </row>
    <row r="14" spans="2:20" ht="15" customHeight="1">
      <c r="B14" s="239" t="s">
        <v>110</v>
      </c>
      <c r="C14" s="239" t="s">
        <v>110</v>
      </c>
      <c r="D14" s="247"/>
      <c r="E14" s="247"/>
      <c r="F14" s="247"/>
      <c r="G14" s="248"/>
      <c r="H14" s="248"/>
      <c r="I14" s="248"/>
      <c r="J14" s="248"/>
      <c r="K14" s="101"/>
      <c r="L14" s="239"/>
      <c r="M14" s="239"/>
      <c r="N14" s="247"/>
      <c r="O14" s="247"/>
      <c r="P14" s="247"/>
      <c r="Q14" s="248"/>
      <c r="R14" s="248"/>
      <c r="S14" s="248"/>
      <c r="T14" s="248"/>
    </row>
    <row r="15" spans="2:20" ht="15" customHeight="1">
      <c r="B15" s="437" t="s">
        <v>543</v>
      </c>
      <c r="C15" s="437" t="s">
        <v>544</v>
      </c>
      <c r="D15" s="438">
        <v>2020</v>
      </c>
      <c r="E15" s="438">
        <v>2021</v>
      </c>
      <c r="F15" s="438">
        <v>2022</v>
      </c>
      <c r="G15" s="438">
        <v>2023</v>
      </c>
      <c r="H15" s="438">
        <v>2024</v>
      </c>
      <c r="I15" s="438">
        <v>2025</v>
      </c>
      <c r="J15" s="438">
        <v>2026</v>
      </c>
      <c r="K15" s="101"/>
      <c r="L15" s="437" t="str">
        <f>+L7</f>
        <v>Contratos  (MWh)</v>
      </c>
      <c r="M15" s="437" t="s">
        <v>544</v>
      </c>
      <c r="N15" s="713">
        <f t="shared" ref="N15:S15" si="2">+N7</f>
        <v>2020</v>
      </c>
      <c r="O15" s="713">
        <f t="shared" si="2"/>
        <v>2021</v>
      </c>
      <c r="P15" s="713">
        <f t="shared" si="2"/>
        <v>2022</v>
      </c>
      <c r="Q15" s="713">
        <f t="shared" si="2"/>
        <v>2023</v>
      </c>
      <c r="R15" s="713">
        <f t="shared" si="2"/>
        <v>2024</v>
      </c>
      <c r="S15" s="713">
        <f t="shared" si="2"/>
        <v>2025</v>
      </c>
      <c r="T15" s="713">
        <v>2026</v>
      </c>
    </row>
    <row r="16" spans="2:20" ht="15" customHeight="1">
      <c r="B16" s="242" t="s">
        <v>545</v>
      </c>
      <c r="C16" s="242" t="s">
        <v>546</v>
      </c>
      <c r="D16" s="243">
        <v>4717392.5183778051</v>
      </c>
      <c r="E16" s="243">
        <v>3760561.5309999967</v>
      </c>
      <c r="F16" s="243">
        <v>4355989.8380000023</v>
      </c>
      <c r="G16" s="243">
        <v>4607504.5775730014</v>
      </c>
      <c r="H16" s="243">
        <v>5162214.0199999996</v>
      </c>
      <c r="I16" s="243">
        <v>5317232</v>
      </c>
      <c r="J16" s="243">
        <v>4703981</v>
      </c>
      <c r="K16" s="101"/>
      <c r="L16" s="242" t="s">
        <v>545</v>
      </c>
      <c r="M16" s="242" t="s">
        <v>546</v>
      </c>
      <c r="N16" s="714">
        <f t="shared" ref="N16:T20" si="3">+D16/D$20</f>
        <v>0.41113376274496038</v>
      </c>
      <c r="O16" s="714">
        <f t="shared" si="3"/>
        <v>0.3174805474081866</v>
      </c>
      <c r="P16" s="714">
        <f t="shared" si="3"/>
        <v>0.36858126096969873</v>
      </c>
      <c r="Q16" s="714">
        <f t="shared" si="3"/>
        <v>0.38510505100220094</v>
      </c>
      <c r="R16" s="714">
        <f t="shared" si="3"/>
        <v>0.40065366675428471</v>
      </c>
      <c r="S16" s="714">
        <f t="shared" si="3"/>
        <v>0.4201703634698315</v>
      </c>
      <c r="T16" s="714">
        <f t="shared" si="3"/>
        <v>0.39478295242443368</v>
      </c>
    </row>
    <row r="17" spans="2:20" ht="15" customHeight="1">
      <c r="B17" s="242" t="s">
        <v>547</v>
      </c>
      <c r="C17" s="242" t="s">
        <v>548</v>
      </c>
      <c r="D17" s="243">
        <v>3021550.8899999997</v>
      </c>
      <c r="E17" s="243">
        <v>2937296.6119999974</v>
      </c>
      <c r="F17" s="243">
        <v>3203493.3404860008</v>
      </c>
      <c r="G17" s="243">
        <v>3749742.6154160015</v>
      </c>
      <c r="H17" s="243">
        <v>4358446.21</v>
      </c>
      <c r="I17" s="243">
        <v>3872413</v>
      </c>
      <c r="J17" s="243">
        <v>3660103</v>
      </c>
      <c r="K17" s="101"/>
      <c r="L17" s="242" t="s">
        <v>547</v>
      </c>
      <c r="M17" s="242" t="s">
        <v>548</v>
      </c>
      <c r="N17" s="714">
        <f t="shared" si="3"/>
        <v>0.26333648978573165</v>
      </c>
      <c r="O17" s="714">
        <f t="shared" si="3"/>
        <v>0.24797747054280864</v>
      </c>
      <c r="P17" s="714">
        <f t="shared" si="3"/>
        <v>0.27106298656713307</v>
      </c>
      <c r="Q17" s="714">
        <f t="shared" si="3"/>
        <v>0.31341147834855865</v>
      </c>
      <c r="R17" s="714">
        <f t="shared" si="3"/>
        <v>0.3382710303413215</v>
      </c>
      <c r="S17" s="714">
        <f t="shared" si="3"/>
        <v>0.30600003492706368</v>
      </c>
      <c r="T17" s="714">
        <f t="shared" si="3"/>
        <v>0.30717519235675633</v>
      </c>
    </row>
    <row r="18" spans="2:20" ht="15" customHeight="1">
      <c r="B18" s="242" t="s">
        <v>549</v>
      </c>
      <c r="C18" s="242" t="s">
        <v>550</v>
      </c>
      <c r="D18" s="243">
        <v>2440117.094</v>
      </c>
      <c r="E18" s="243">
        <v>2279192.5530000003</v>
      </c>
      <c r="F18" s="243">
        <v>2220687.9070030004</v>
      </c>
      <c r="G18" s="243">
        <v>1673986.4630000005</v>
      </c>
      <c r="H18" s="243">
        <v>1397441.66</v>
      </c>
      <c r="I18" s="243">
        <v>1288648</v>
      </c>
      <c r="J18" s="243">
        <v>1069801</v>
      </c>
      <c r="K18" s="101"/>
      <c r="L18" s="242" t="s">
        <v>549</v>
      </c>
      <c r="M18" s="242" t="s">
        <v>550</v>
      </c>
      <c r="N18" s="714">
        <f t="shared" si="3"/>
        <v>0.21266293158481944</v>
      </c>
      <c r="O18" s="714">
        <f t="shared" si="3"/>
        <v>0.19241788584235323</v>
      </c>
      <c r="P18" s="714">
        <f t="shared" si="3"/>
        <v>0.18790308963602467</v>
      </c>
      <c r="Q18" s="714">
        <f t="shared" si="3"/>
        <v>0.13991535577598568</v>
      </c>
      <c r="R18" s="714">
        <f t="shared" si="3"/>
        <v>0.10845930118065784</v>
      </c>
      <c r="S18" s="714">
        <f t="shared" si="3"/>
        <v>0.10182961709112399</v>
      </c>
      <c r="T18" s="714">
        <f t="shared" si="3"/>
        <v>8.9783355265808162E-2</v>
      </c>
    </row>
    <row r="19" spans="2:20" ht="15" customHeight="1" thickBot="1">
      <c r="B19" s="242" t="s">
        <v>551</v>
      </c>
      <c r="C19" s="242" t="s">
        <v>552</v>
      </c>
      <c r="D19" s="243">
        <v>1295045.8490000002</v>
      </c>
      <c r="E19" s="243">
        <v>2867963.3110000025</v>
      </c>
      <c r="F19" s="243">
        <v>2038090.7179999989</v>
      </c>
      <c r="G19" s="243">
        <v>1933046.1309999991</v>
      </c>
      <c r="H19" s="243">
        <v>1966377.77</v>
      </c>
      <c r="I19" s="243">
        <v>2176650</v>
      </c>
      <c r="J19" s="243">
        <v>2481475</v>
      </c>
      <c r="K19" s="101"/>
      <c r="L19" s="242" t="s">
        <v>551</v>
      </c>
      <c r="M19" s="242" t="s">
        <v>552</v>
      </c>
      <c r="N19" s="714">
        <f t="shared" si="3"/>
        <v>0.11286681588448863</v>
      </c>
      <c r="O19" s="714">
        <f t="shared" si="3"/>
        <v>0.24212409620665154</v>
      </c>
      <c r="P19" s="714">
        <f t="shared" si="3"/>
        <v>0.17245266282714361</v>
      </c>
      <c r="Q19" s="714">
        <f t="shared" si="3"/>
        <v>0.16156811487325476</v>
      </c>
      <c r="R19" s="714">
        <f t="shared" si="3"/>
        <v>0.15261600172373588</v>
      </c>
      <c r="S19" s="714">
        <f t="shared" si="3"/>
        <v>0.17199998451198081</v>
      </c>
      <c r="T19" s="714">
        <f t="shared" si="3"/>
        <v>0.20825849995300183</v>
      </c>
    </row>
    <row r="20" spans="2:20" ht="15" customHeight="1" thickBot="1">
      <c r="B20" s="244" t="s">
        <v>553</v>
      </c>
      <c r="C20" s="244" t="s">
        <v>553</v>
      </c>
      <c r="D20" s="245">
        <f t="shared" ref="D20:J20" si="4">SUM(D16:D19)</f>
        <v>11474106.351377804</v>
      </c>
      <c r="E20" s="245">
        <f t="shared" si="4"/>
        <v>11845014.006999997</v>
      </c>
      <c r="F20" s="245">
        <f t="shared" si="4"/>
        <v>11818261.803489001</v>
      </c>
      <c r="G20" s="245">
        <f t="shared" si="4"/>
        <v>11964279.786989002</v>
      </c>
      <c r="H20" s="245">
        <f t="shared" si="4"/>
        <v>12884479.66</v>
      </c>
      <c r="I20" s="245">
        <f t="shared" si="4"/>
        <v>12654943</v>
      </c>
      <c r="J20" s="245">
        <f t="shared" si="4"/>
        <v>11915360</v>
      </c>
      <c r="K20" s="101"/>
      <c r="L20" s="244" t="s">
        <v>553</v>
      </c>
      <c r="M20" s="244" t="s">
        <v>553</v>
      </c>
      <c r="N20" s="715">
        <f t="shared" si="3"/>
        <v>1</v>
      </c>
      <c r="O20" s="715">
        <f t="shared" si="3"/>
        <v>1</v>
      </c>
      <c r="P20" s="715">
        <f t="shared" si="3"/>
        <v>1</v>
      </c>
      <c r="Q20" s="715">
        <f t="shared" si="3"/>
        <v>1</v>
      </c>
      <c r="R20" s="715">
        <f t="shared" si="3"/>
        <v>1</v>
      </c>
      <c r="S20" s="715">
        <f t="shared" si="3"/>
        <v>1</v>
      </c>
      <c r="T20" s="715">
        <f t="shared" si="3"/>
        <v>1</v>
      </c>
    </row>
    <row r="21" spans="2:20" ht="15" customHeight="1">
      <c r="D21" s="249"/>
      <c r="E21" s="249"/>
      <c r="F21" s="249"/>
      <c r="G21" s="249"/>
      <c r="H21" s="249"/>
      <c r="I21" s="249"/>
      <c r="J21" s="249"/>
      <c r="K21" s="101"/>
      <c r="N21" s="249"/>
      <c r="O21" s="249"/>
      <c r="P21" s="249"/>
      <c r="Q21" s="249"/>
      <c r="R21" s="249"/>
      <c r="S21" s="249"/>
      <c r="T21" s="249"/>
    </row>
    <row r="22" spans="2:20" ht="15" customHeight="1">
      <c r="B22" s="239" t="s">
        <v>113</v>
      </c>
      <c r="C22" s="239" t="s">
        <v>113</v>
      </c>
      <c r="D22" s="247"/>
      <c r="E22" s="247"/>
      <c r="F22" s="247"/>
      <c r="G22" s="248"/>
      <c r="H22" s="248"/>
      <c r="I22" s="248"/>
      <c r="J22" s="248"/>
      <c r="K22" s="101"/>
      <c r="L22" s="239"/>
      <c r="M22" s="239"/>
      <c r="N22" s="247"/>
      <c r="O22" s="247"/>
      <c r="P22" s="247"/>
      <c r="Q22" s="248"/>
      <c r="R22" s="248"/>
      <c r="S22" s="248"/>
      <c r="T22" s="248"/>
    </row>
    <row r="23" spans="2:20" ht="15" customHeight="1">
      <c r="B23" s="437" t="s">
        <v>543</v>
      </c>
      <c r="C23" s="437" t="s">
        <v>544</v>
      </c>
      <c r="D23" s="438">
        <v>2020</v>
      </c>
      <c r="E23" s="438">
        <v>2021</v>
      </c>
      <c r="F23" s="438">
        <v>2022</v>
      </c>
      <c r="G23" s="438">
        <v>2023</v>
      </c>
      <c r="H23" s="438">
        <v>2024</v>
      </c>
      <c r="I23" s="438">
        <v>2025</v>
      </c>
      <c r="J23" s="438">
        <v>2026</v>
      </c>
      <c r="K23" s="101"/>
      <c r="L23" s="437" t="str">
        <f>+L15</f>
        <v>Contratos  (MWh)</v>
      </c>
      <c r="M23" s="437" t="s">
        <v>544</v>
      </c>
      <c r="N23" s="713">
        <f t="shared" ref="N23:S23" si="5">+N15</f>
        <v>2020</v>
      </c>
      <c r="O23" s="713">
        <f t="shared" si="5"/>
        <v>2021</v>
      </c>
      <c r="P23" s="713">
        <f t="shared" si="5"/>
        <v>2022</v>
      </c>
      <c r="Q23" s="713">
        <f t="shared" si="5"/>
        <v>2023</v>
      </c>
      <c r="R23" s="713">
        <f t="shared" si="5"/>
        <v>2024</v>
      </c>
      <c r="S23" s="713">
        <f t="shared" si="5"/>
        <v>2025</v>
      </c>
      <c r="T23" s="713">
        <v>2026</v>
      </c>
    </row>
    <row r="24" spans="2:20" ht="15" customHeight="1">
      <c r="B24" s="242" t="s">
        <v>545</v>
      </c>
      <c r="C24" s="242" t="s">
        <v>546</v>
      </c>
      <c r="D24" s="243">
        <v>3007415.2467840007</v>
      </c>
      <c r="E24" s="243">
        <v>2002640.557826004</v>
      </c>
      <c r="F24" s="243">
        <v>2022525.4520829997</v>
      </c>
      <c r="G24" s="243">
        <v>2044676.8824769994</v>
      </c>
      <c r="H24" s="243">
        <v>2185297.4300000002</v>
      </c>
      <c r="I24" s="243">
        <v>2280814</v>
      </c>
      <c r="J24" s="243">
        <v>2076854</v>
      </c>
      <c r="K24" s="101"/>
      <c r="L24" s="242" t="s">
        <v>545</v>
      </c>
      <c r="M24" s="242" t="s">
        <v>546</v>
      </c>
      <c r="N24" s="714">
        <f t="shared" ref="N24:T28" si="6">+D24/D$28</f>
        <v>0.55693729391149671</v>
      </c>
      <c r="O24" s="714">
        <f t="shared" si="6"/>
        <v>0.41333244397813163</v>
      </c>
      <c r="P24" s="714">
        <f t="shared" si="6"/>
        <v>0.430123033455446</v>
      </c>
      <c r="Q24" s="714">
        <f t="shared" si="6"/>
        <v>0.4396856154868421</v>
      </c>
      <c r="R24" s="714">
        <f t="shared" si="6"/>
        <v>0.47135700039466732</v>
      </c>
      <c r="S24" s="714">
        <f t="shared" si="6"/>
        <v>0.49328090561735105</v>
      </c>
      <c r="T24" s="714">
        <f t="shared" si="6"/>
        <v>0.47605484390629887</v>
      </c>
    </row>
    <row r="25" spans="2:20" ht="15" customHeight="1">
      <c r="B25" s="242" t="s">
        <v>547</v>
      </c>
      <c r="C25" s="242" t="s">
        <v>548</v>
      </c>
      <c r="D25" s="243">
        <v>927289.44700000004</v>
      </c>
      <c r="E25" s="243">
        <v>1078292.6369999999</v>
      </c>
      <c r="F25" s="243">
        <v>931870.34252599988</v>
      </c>
      <c r="G25" s="243">
        <v>1288240.442447999</v>
      </c>
      <c r="H25" s="243">
        <v>1065618.7</v>
      </c>
      <c r="I25" s="243">
        <v>957119</v>
      </c>
      <c r="J25" s="243">
        <v>1099094</v>
      </c>
      <c r="K25" s="101"/>
      <c r="L25" s="242" t="s">
        <v>547</v>
      </c>
      <c r="M25" s="242" t="s">
        <v>548</v>
      </c>
      <c r="N25" s="714">
        <f t="shared" si="6"/>
        <v>0.17172290252805264</v>
      </c>
      <c r="O25" s="714">
        <f t="shared" si="6"/>
        <v>0.22255283367408837</v>
      </c>
      <c r="P25" s="714">
        <f t="shared" si="6"/>
        <v>0.19817743114265635</v>
      </c>
      <c r="Q25" s="714">
        <f t="shared" si="6"/>
        <v>0.27702215283355996</v>
      </c>
      <c r="R25" s="714">
        <f t="shared" si="6"/>
        <v>0.22984827012607836</v>
      </c>
      <c r="S25" s="714">
        <f t="shared" si="6"/>
        <v>0.20700001276016958</v>
      </c>
      <c r="T25" s="714">
        <f t="shared" si="6"/>
        <v>0.25193346407997369</v>
      </c>
    </row>
    <row r="26" spans="2:20" ht="15" customHeight="1">
      <c r="B26" s="242" t="s">
        <v>549</v>
      </c>
      <c r="C26" s="242" t="s">
        <v>550</v>
      </c>
      <c r="D26" s="243">
        <v>1058220.898</v>
      </c>
      <c r="E26" s="243">
        <v>1019773.277001</v>
      </c>
      <c r="F26" s="243">
        <v>1003022.1840060003</v>
      </c>
      <c r="G26" s="243">
        <v>827646.56400000013</v>
      </c>
      <c r="H26" s="243">
        <v>670059.53</v>
      </c>
      <c r="I26" s="243">
        <v>604414</v>
      </c>
      <c r="J26" s="243">
        <v>471800</v>
      </c>
      <c r="K26" s="101"/>
      <c r="L26" s="242" t="s">
        <v>549</v>
      </c>
      <c r="M26" s="242" t="s">
        <v>550</v>
      </c>
      <c r="N26" s="714">
        <f t="shared" si="6"/>
        <v>0.19596983952347549</v>
      </c>
      <c r="O26" s="714">
        <f t="shared" si="6"/>
        <v>0.21047480499645074</v>
      </c>
      <c r="P26" s="714">
        <f t="shared" si="6"/>
        <v>0.2133090310252683</v>
      </c>
      <c r="Q26" s="714">
        <f t="shared" si="6"/>
        <v>0.17797642845996411</v>
      </c>
      <c r="R26" s="714">
        <f t="shared" si="6"/>
        <v>0.14452826686693199</v>
      </c>
      <c r="S26" s="714">
        <f t="shared" si="6"/>
        <v>0.13071907015995413</v>
      </c>
      <c r="T26" s="714">
        <f t="shared" si="6"/>
        <v>0.10814562571802919</v>
      </c>
    </row>
    <row r="27" spans="2:20" ht="15" customHeight="1" thickBot="1">
      <c r="B27" s="242" t="s">
        <v>551</v>
      </c>
      <c r="C27" s="242" t="s">
        <v>552</v>
      </c>
      <c r="D27" s="243">
        <v>406991.56165753427</v>
      </c>
      <c r="E27" s="243">
        <v>744402.0769999997</v>
      </c>
      <c r="F27" s="243">
        <v>744784.16999999993</v>
      </c>
      <c r="G27" s="243">
        <v>489751.72400000016</v>
      </c>
      <c r="H27" s="243">
        <v>715207.59</v>
      </c>
      <c r="I27" s="243">
        <v>781416</v>
      </c>
      <c r="J27" s="243">
        <v>714888</v>
      </c>
      <c r="K27" s="101"/>
      <c r="L27" s="242" t="s">
        <v>551</v>
      </c>
      <c r="M27" s="242" t="s">
        <v>552</v>
      </c>
      <c r="N27" s="714">
        <f t="shared" si="6"/>
        <v>7.5369964036975268E-2</v>
      </c>
      <c r="O27" s="714">
        <f t="shared" si="6"/>
        <v>0.15363991735132926</v>
      </c>
      <c r="P27" s="714">
        <f t="shared" si="6"/>
        <v>0.15839050437662933</v>
      </c>
      <c r="Q27" s="714">
        <f t="shared" si="6"/>
        <v>0.10531580321963385</v>
      </c>
      <c r="R27" s="714">
        <f t="shared" si="6"/>
        <v>0.15426646261232232</v>
      </c>
      <c r="S27" s="714">
        <f t="shared" si="6"/>
        <v>0.16900001146252522</v>
      </c>
      <c r="T27" s="714">
        <f t="shared" si="6"/>
        <v>0.16386606629569828</v>
      </c>
    </row>
    <row r="28" spans="2:20" ht="15" customHeight="1" thickBot="1">
      <c r="B28" s="244" t="s">
        <v>553</v>
      </c>
      <c r="C28" s="244" t="s">
        <v>553</v>
      </c>
      <c r="D28" s="245">
        <f t="shared" ref="D28:J28" si="7">SUM(D24:D27)</f>
        <v>5399917.1534415344</v>
      </c>
      <c r="E28" s="245">
        <f t="shared" si="7"/>
        <v>4845108.5488270037</v>
      </c>
      <c r="F28" s="245">
        <f t="shared" si="7"/>
        <v>4702202.1486149998</v>
      </c>
      <c r="G28" s="245">
        <f t="shared" si="7"/>
        <v>4650315.6129249986</v>
      </c>
      <c r="H28" s="245">
        <f t="shared" si="7"/>
        <v>4636183.25</v>
      </c>
      <c r="I28" s="245">
        <f t="shared" si="7"/>
        <v>4623763</v>
      </c>
      <c r="J28" s="245">
        <f t="shared" si="7"/>
        <v>4362636</v>
      </c>
      <c r="K28" s="101"/>
      <c r="L28" s="244" t="s">
        <v>553</v>
      </c>
      <c r="M28" s="244" t="s">
        <v>553</v>
      </c>
      <c r="N28" s="715">
        <f t="shared" si="6"/>
        <v>1</v>
      </c>
      <c r="O28" s="715">
        <f t="shared" si="6"/>
        <v>1</v>
      </c>
      <c r="P28" s="715">
        <f t="shared" si="6"/>
        <v>1</v>
      </c>
      <c r="Q28" s="715">
        <f t="shared" si="6"/>
        <v>1</v>
      </c>
      <c r="R28" s="715">
        <f t="shared" si="6"/>
        <v>1</v>
      </c>
      <c r="S28" s="715">
        <f t="shared" si="6"/>
        <v>1</v>
      </c>
      <c r="T28" s="715">
        <f t="shared" si="6"/>
        <v>1</v>
      </c>
    </row>
    <row r="29" spans="2:20" ht="15" customHeight="1">
      <c r="D29" s="249"/>
      <c r="E29" s="249"/>
      <c r="F29" s="249"/>
      <c r="G29" s="249"/>
      <c r="H29" s="249"/>
      <c r="I29" s="249"/>
      <c r="J29" s="249"/>
      <c r="K29" s="101"/>
      <c r="N29" s="249"/>
      <c r="O29" s="249"/>
      <c r="P29" s="249"/>
      <c r="Q29" s="249"/>
      <c r="R29" s="249"/>
      <c r="S29" s="249"/>
      <c r="T29" s="249"/>
    </row>
    <row r="30" spans="2:20" ht="15" customHeight="1">
      <c r="B30" s="239" t="s">
        <v>116</v>
      </c>
      <c r="C30" s="239" t="s">
        <v>116</v>
      </c>
      <c r="D30" s="247"/>
      <c r="E30" s="247"/>
      <c r="F30" s="247"/>
      <c r="G30" s="248"/>
      <c r="H30" s="248"/>
      <c r="I30" s="248"/>
      <c r="J30" s="248"/>
      <c r="K30" s="101"/>
      <c r="L30" s="239"/>
      <c r="M30" s="239"/>
      <c r="N30" s="247"/>
      <c r="O30" s="247"/>
      <c r="P30" s="247"/>
      <c r="Q30" s="248"/>
      <c r="R30" s="248"/>
      <c r="S30" s="248"/>
      <c r="T30" s="248"/>
    </row>
    <row r="31" spans="2:20" ht="15" customHeight="1">
      <c r="B31" s="437" t="s">
        <v>543</v>
      </c>
      <c r="C31" s="437" t="s">
        <v>544</v>
      </c>
      <c r="D31" s="438">
        <v>2020</v>
      </c>
      <c r="E31" s="438">
        <v>2021</v>
      </c>
      <c r="F31" s="438">
        <v>2022</v>
      </c>
      <c r="G31" s="438">
        <v>2023</v>
      </c>
      <c r="H31" s="438">
        <v>2024</v>
      </c>
      <c r="I31" s="438">
        <v>2025</v>
      </c>
      <c r="J31" s="438">
        <v>2026</v>
      </c>
      <c r="K31" s="101"/>
      <c r="L31" s="437" t="str">
        <f>+L23</f>
        <v>Contratos  (MWh)</v>
      </c>
      <c r="M31" s="437" t="s">
        <v>544</v>
      </c>
      <c r="N31" s="713">
        <f t="shared" ref="N31:S31" si="8">+N23</f>
        <v>2020</v>
      </c>
      <c r="O31" s="713">
        <f t="shared" si="8"/>
        <v>2021</v>
      </c>
      <c r="P31" s="713">
        <f t="shared" si="8"/>
        <v>2022</v>
      </c>
      <c r="Q31" s="713">
        <f t="shared" si="8"/>
        <v>2023</v>
      </c>
      <c r="R31" s="713">
        <f t="shared" si="8"/>
        <v>2024</v>
      </c>
      <c r="S31" s="713">
        <f t="shared" si="8"/>
        <v>2025</v>
      </c>
      <c r="T31" s="713">
        <v>2026</v>
      </c>
    </row>
    <row r="32" spans="2:20" ht="15" customHeight="1">
      <c r="B32" s="242" t="s">
        <v>545</v>
      </c>
      <c r="C32" s="242" t="s">
        <v>546</v>
      </c>
      <c r="D32" s="243">
        <v>1265017.453</v>
      </c>
      <c r="E32" s="243">
        <v>1249432.9670010009</v>
      </c>
      <c r="F32" s="243">
        <v>1287942.7945989999</v>
      </c>
      <c r="G32" s="243">
        <v>1174471.6658409999</v>
      </c>
      <c r="H32" s="243">
        <v>1398197.98</v>
      </c>
      <c r="I32" s="243">
        <v>1359315</v>
      </c>
      <c r="J32" s="243">
        <v>1308565</v>
      </c>
      <c r="K32" s="101"/>
      <c r="L32" s="242" t="s">
        <v>545</v>
      </c>
      <c r="M32" s="242" t="s">
        <v>546</v>
      </c>
      <c r="N32" s="714">
        <f t="shared" ref="N32:T36" si="9">+D32/D$36</f>
        <v>0.27138288590987425</v>
      </c>
      <c r="O32" s="714">
        <f t="shared" si="9"/>
        <v>0.26454908432986962</v>
      </c>
      <c r="P32" s="714">
        <f t="shared" si="9"/>
        <v>0.27449023246991805</v>
      </c>
      <c r="Q32" s="714">
        <f t="shared" si="9"/>
        <v>0.28151619412402767</v>
      </c>
      <c r="R32" s="714">
        <f t="shared" si="9"/>
        <v>0.31484838571401425</v>
      </c>
      <c r="S32" s="714">
        <f t="shared" si="9"/>
        <v>0.32584315450471452</v>
      </c>
      <c r="T32" s="714">
        <f t="shared" si="9"/>
        <v>0.31315316772736995</v>
      </c>
    </row>
    <row r="33" spans="2:20" ht="15" customHeight="1">
      <c r="B33" s="242" t="s">
        <v>547</v>
      </c>
      <c r="C33" s="242" t="s">
        <v>548</v>
      </c>
      <c r="D33" s="243">
        <v>640502.28399999999</v>
      </c>
      <c r="E33" s="243">
        <v>547026.04181700025</v>
      </c>
      <c r="F33" s="243">
        <v>503265.32912600006</v>
      </c>
      <c r="G33" s="243">
        <v>609693.01572000014</v>
      </c>
      <c r="H33" s="243">
        <v>558807.13</v>
      </c>
      <c r="I33" s="243">
        <v>371280</v>
      </c>
      <c r="J33" s="243">
        <v>542778</v>
      </c>
      <c r="K33" s="101"/>
      <c r="L33" s="242" t="s">
        <v>547</v>
      </c>
      <c r="M33" s="242" t="s">
        <v>548</v>
      </c>
      <c r="N33" s="714">
        <f t="shared" si="9"/>
        <v>0.13740629257846759</v>
      </c>
      <c r="O33" s="714">
        <f t="shared" si="9"/>
        <v>0.1158247319299079</v>
      </c>
      <c r="P33" s="714">
        <f t="shared" si="9"/>
        <v>0.10725741683958549</v>
      </c>
      <c r="Q33" s="714">
        <f t="shared" si="9"/>
        <v>0.14614099459486818</v>
      </c>
      <c r="R33" s="714">
        <f t="shared" si="9"/>
        <v>0.12583305463363731</v>
      </c>
      <c r="S33" s="714">
        <f t="shared" si="9"/>
        <v>8.9000008389895205E-2</v>
      </c>
      <c r="T33" s="714">
        <f t="shared" si="9"/>
        <v>0.12989240127370549</v>
      </c>
    </row>
    <row r="34" spans="2:20" ht="15" customHeight="1">
      <c r="B34" s="242" t="s">
        <v>549</v>
      </c>
      <c r="C34" s="242" t="s">
        <v>550</v>
      </c>
      <c r="D34" s="243">
        <v>1099080.4949999999</v>
      </c>
      <c r="E34" s="243">
        <v>991332.72900000005</v>
      </c>
      <c r="F34" s="243">
        <v>962479.04000799998</v>
      </c>
      <c r="G34" s="243">
        <v>666321.42000000016</v>
      </c>
      <c r="H34" s="243">
        <v>596885.9</v>
      </c>
      <c r="I34" s="243">
        <v>555488</v>
      </c>
      <c r="J34" s="243">
        <v>442676</v>
      </c>
      <c r="K34" s="101"/>
      <c r="L34" s="242" t="s">
        <v>549</v>
      </c>
      <c r="M34" s="242" t="s">
        <v>550</v>
      </c>
      <c r="N34" s="714">
        <f t="shared" si="9"/>
        <v>0.23578460192228912</v>
      </c>
      <c r="O34" s="714">
        <f t="shared" si="9"/>
        <v>0.20990014882724853</v>
      </c>
      <c r="P34" s="714">
        <f t="shared" si="9"/>
        <v>0.20512642063537859</v>
      </c>
      <c r="Q34" s="714">
        <f t="shared" si="9"/>
        <v>0.15971459821246334</v>
      </c>
      <c r="R34" s="714">
        <f t="shared" si="9"/>
        <v>0.13440769101272521</v>
      </c>
      <c r="S34" s="714">
        <f t="shared" si="9"/>
        <v>0.13315674601509941</v>
      </c>
      <c r="T34" s="714">
        <f t="shared" si="9"/>
        <v>0.10593695512021277</v>
      </c>
    </row>
    <row r="35" spans="2:20" ht="15" customHeight="1" thickBot="1">
      <c r="B35" s="242" t="s">
        <v>551</v>
      </c>
      <c r="C35" s="242" t="s">
        <v>552</v>
      </c>
      <c r="D35" s="243">
        <v>1656774.9640030004</v>
      </c>
      <c r="E35" s="243">
        <v>1935085.9473040046</v>
      </c>
      <c r="F35" s="243">
        <v>1938438.9749999996</v>
      </c>
      <c r="G35" s="243">
        <v>1721464.5370000005</v>
      </c>
      <c r="H35" s="243">
        <v>1886970.19</v>
      </c>
      <c r="I35" s="243">
        <v>1885602</v>
      </c>
      <c r="J35" s="243">
        <v>1884655</v>
      </c>
      <c r="K35" s="101"/>
      <c r="L35" s="242" t="s">
        <v>551</v>
      </c>
      <c r="M35" s="242" t="s">
        <v>552</v>
      </c>
      <c r="N35" s="714">
        <f t="shared" si="9"/>
        <v>0.35542621958936904</v>
      </c>
      <c r="O35" s="714">
        <f t="shared" si="9"/>
        <v>0.40972603491297399</v>
      </c>
      <c r="P35" s="714">
        <f t="shared" si="9"/>
        <v>0.41312593005511788</v>
      </c>
      <c r="Q35" s="714">
        <f t="shared" si="9"/>
        <v>0.41262821306864073</v>
      </c>
      <c r="R35" s="714">
        <f t="shared" si="9"/>
        <v>0.42491086863962341</v>
      </c>
      <c r="S35" s="714">
        <f t="shared" si="9"/>
        <v>0.45200009109029088</v>
      </c>
      <c r="T35" s="714">
        <f t="shared" si="9"/>
        <v>0.45101747587871177</v>
      </c>
    </row>
    <row r="36" spans="2:20" ht="15" customHeight="1" thickBot="1">
      <c r="B36" s="244" t="s">
        <v>553</v>
      </c>
      <c r="C36" s="244" t="s">
        <v>553</v>
      </c>
      <c r="D36" s="245">
        <f t="shared" ref="D36:J36" si="10">SUM(D32:D35)</f>
        <v>4661375.1960030003</v>
      </c>
      <c r="E36" s="245">
        <f t="shared" si="10"/>
        <v>4722877.6851220056</v>
      </c>
      <c r="F36" s="245">
        <f t="shared" si="10"/>
        <v>4692126.1387329996</v>
      </c>
      <c r="G36" s="245">
        <f t="shared" si="10"/>
        <v>4171950.638561001</v>
      </c>
      <c r="H36" s="245">
        <f t="shared" si="10"/>
        <v>4440861.1999999993</v>
      </c>
      <c r="I36" s="245">
        <f t="shared" si="10"/>
        <v>4171685</v>
      </c>
      <c r="J36" s="245">
        <f t="shared" si="10"/>
        <v>4178674</v>
      </c>
      <c r="K36" s="101"/>
      <c r="L36" s="244" t="s">
        <v>553</v>
      </c>
      <c r="M36" s="244" t="s">
        <v>553</v>
      </c>
      <c r="N36" s="715">
        <f t="shared" si="9"/>
        <v>1</v>
      </c>
      <c r="O36" s="715">
        <f t="shared" si="9"/>
        <v>1</v>
      </c>
      <c r="P36" s="715">
        <f t="shared" si="9"/>
        <v>1</v>
      </c>
      <c r="Q36" s="715">
        <f t="shared" si="9"/>
        <v>1</v>
      </c>
      <c r="R36" s="715">
        <f t="shared" si="9"/>
        <v>1</v>
      </c>
      <c r="S36" s="715">
        <f t="shared" si="9"/>
        <v>1</v>
      </c>
      <c r="T36" s="715">
        <f t="shared" si="9"/>
        <v>1</v>
      </c>
    </row>
    <row r="37" spans="2:20" ht="15" customHeight="1">
      <c r="K37" s="101"/>
    </row>
    <row r="38" spans="2:20" ht="15" customHeight="1">
      <c r="B38" s="239" t="s">
        <v>119</v>
      </c>
      <c r="C38" s="239" t="s">
        <v>119</v>
      </c>
      <c r="D38" s="247"/>
      <c r="E38" s="247"/>
      <c r="F38" s="247"/>
      <c r="G38" s="248"/>
      <c r="H38" s="248"/>
      <c r="I38" s="248"/>
      <c r="J38" s="248"/>
      <c r="K38" s="101"/>
      <c r="L38" s="239"/>
      <c r="M38" s="239"/>
      <c r="N38" s="247"/>
      <c r="O38" s="247"/>
      <c r="P38" s="247"/>
      <c r="Q38" s="248"/>
      <c r="R38" s="248"/>
      <c r="S38" s="248"/>
      <c r="T38" s="248"/>
    </row>
    <row r="39" spans="2:20" ht="15" customHeight="1">
      <c r="B39" s="437" t="s">
        <v>543</v>
      </c>
      <c r="C39" s="437" t="s">
        <v>544</v>
      </c>
      <c r="D39" s="438">
        <v>2020</v>
      </c>
      <c r="E39" s="438">
        <v>2021</v>
      </c>
      <c r="F39" s="438">
        <v>2022</v>
      </c>
      <c r="G39" s="438">
        <v>2023</v>
      </c>
      <c r="H39" s="438">
        <v>2024</v>
      </c>
      <c r="I39" s="438">
        <v>2025</v>
      </c>
      <c r="J39" s="438">
        <v>2026</v>
      </c>
      <c r="K39" s="101"/>
      <c r="L39" s="437" t="str">
        <f>+L31</f>
        <v>Contratos  (MWh)</v>
      </c>
      <c r="M39" s="437" t="s">
        <v>544</v>
      </c>
      <c r="N39" s="713">
        <f t="shared" ref="N39:S39" si="11">+N31</f>
        <v>2020</v>
      </c>
      <c r="O39" s="713">
        <f t="shared" si="11"/>
        <v>2021</v>
      </c>
      <c r="P39" s="713">
        <f t="shared" si="11"/>
        <v>2022</v>
      </c>
      <c r="Q39" s="713">
        <f t="shared" si="11"/>
        <v>2023</v>
      </c>
      <c r="R39" s="713">
        <f t="shared" si="11"/>
        <v>2024</v>
      </c>
      <c r="S39" s="713">
        <f t="shared" si="11"/>
        <v>2025</v>
      </c>
      <c r="T39" s="713">
        <v>2026</v>
      </c>
    </row>
    <row r="40" spans="2:20" ht="15" customHeight="1">
      <c r="B40" s="242" t="s">
        <v>545</v>
      </c>
      <c r="C40" s="242" t="s">
        <v>546</v>
      </c>
      <c r="D40" s="250">
        <v>0</v>
      </c>
      <c r="E40" s="250">
        <v>3304444.707987254</v>
      </c>
      <c r="F40" s="250">
        <v>3543059.1541240006</v>
      </c>
      <c r="G40" s="250">
        <v>3405719.3482371918</v>
      </c>
      <c r="H40" s="250">
        <v>3683129</v>
      </c>
      <c r="I40" s="243">
        <v>3437987</v>
      </c>
      <c r="J40" s="243">
        <v>3396981</v>
      </c>
      <c r="K40" s="101"/>
      <c r="L40" s="242" t="s">
        <v>545</v>
      </c>
      <c r="M40" s="242" t="s">
        <v>546</v>
      </c>
      <c r="N40" s="251"/>
      <c r="O40" s="714">
        <f t="shared" ref="O40:T44" si="12">+E40/E$44</f>
        <v>0.37319297048438732</v>
      </c>
      <c r="P40" s="714">
        <f t="shared" si="12"/>
        <v>0.40826071042509143</v>
      </c>
      <c r="Q40" s="714">
        <f t="shared" si="12"/>
        <v>0.41381152516191322</v>
      </c>
      <c r="R40" s="714">
        <f t="shared" si="12"/>
        <v>0.46613461076388291</v>
      </c>
      <c r="S40" s="714">
        <f t="shared" si="12"/>
        <v>0.4373918522927982</v>
      </c>
      <c r="T40" s="714">
        <f t="shared" si="12"/>
        <v>0.45476477538617738</v>
      </c>
    </row>
    <row r="41" spans="2:20" ht="15" customHeight="1">
      <c r="B41" s="242" t="s">
        <v>547</v>
      </c>
      <c r="C41" s="242" t="s">
        <v>548</v>
      </c>
      <c r="D41" s="250">
        <v>0</v>
      </c>
      <c r="E41" s="250">
        <v>2104305.1080000019</v>
      </c>
      <c r="F41" s="250">
        <v>1855633.4720640006</v>
      </c>
      <c r="G41" s="250">
        <v>2354642.7537040007</v>
      </c>
      <c r="H41" s="250">
        <v>2092332.07</v>
      </c>
      <c r="I41" s="243">
        <v>2444522</v>
      </c>
      <c r="J41" s="243">
        <v>2273278</v>
      </c>
      <c r="K41" s="101"/>
      <c r="L41" s="242" t="s">
        <v>547</v>
      </c>
      <c r="M41" s="242" t="s">
        <v>548</v>
      </c>
      <c r="N41" s="252"/>
      <c r="O41" s="714">
        <f t="shared" si="12"/>
        <v>0.2376532045344241</v>
      </c>
      <c r="P41" s="714">
        <f t="shared" si="12"/>
        <v>0.21382150470494626</v>
      </c>
      <c r="Q41" s="714">
        <f t="shared" si="12"/>
        <v>0.28610058830186352</v>
      </c>
      <c r="R41" s="714">
        <f t="shared" si="12"/>
        <v>0.26480429956111756</v>
      </c>
      <c r="S41" s="714">
        <f t="shared" si="12"/>
        <v>0.31100001412177986</v>
      </c>
      <c r="T41" s="714">
        <f t="shared" si="12"/>
        <v>0.30433103954962909</v>
      </c>
    </row>
    <row r="42" spans="2:20" ht="15" customHeight="1">
      <c r="B42" s="242" t="s">
        <v>549</v>
      </c>
      <c r="C42" s="242" t="s">
        <v>550</v>
      </c>
      <c r="D42" s="250">
        <v>0</v>
      </c>
      <c r="E42" s="250">
        <v>2028463.5410100003</v>
      </c>
      <c r="F42" s="250">
        <v>2044703.7210010006</v>
      </c>
      <c r="G42" s="250">
        <v>1514140.8359999999</v>
      </c>
      <c r="H42" s="250">
        <v>1172827.44</v>
      </c>
      <c r="I42" s="243">
        <v>1034466</v>
      </c>
      <c r="J42" s="243">
        <v>854205</v>
      </c>
      <c r="K42" s="101"/>
      <c r="L42" s="242" t="s">
        <v>549</v>
      </c>
      <c r="M42" s="242" t="s">
        <v>550</v>
      </c>
      <c r="N42" s="252"/>
      <c r="O42" s="714">
        <f t="shared" si="12"/>
        <v>0.22908791076425564</v>
      </c>
      <c r="P42" s="714">
        <f t="shared" si="12"/>
        <v>0.23560774952714236</v>
      </c>
      <c r="Q42" s="714">
        <f t="shared" si="12"/>
        <v>0.18397550255554904</v>
      </c>
      <c r="R42" s="714">
        <f t="shared" si="12"/>
        <v>0.14843234169577041</v>
      </c>
      <c r="S42" s="714">
        <f t="shared" si="12"/>
        <v>0.13160811831863289</v>
      </c>
      <c r="T42" s="714">
        <f t="shared" si="12"/>
        <v>0.11435517153576945</v>
      </c>
    </row>
    <row r="43" spans="2:20" ht="15" customHeight="1" thickBot="1">
      <c r="B43" s="242" t="s">
        <v>551</v>
      </c>
      <c r="C43" s="242" t="s">
        <v>552</v>
      </c>
      <c r="D43" s="250">
        <v>0</v>
      </c>
      <c r="E43" s="250">
        <v>1417306.8760560006</v>
      </c>
      <c r="F43" s="250">
        <v>1235026.6889999995</v>
      </c>
      <c r="G43" s="250">
        <v>955619.08900000073</v>
      </c>
      <c r="H43" s="250">
        <v>953139.35</v>
      </c>
      <c r="I43" s="243">
        <v>943224</v>
      </c>
      <c r="J43" s="243">
        <v>945290</v>
      </c>
      <c r="K43" s="101"/>
      <c r="L43" s="242" t="s">
        <v>551</v>
      </c>
      <c r="M43" s="242" t="s">
        <v>552</v>
      </c>
      <c r="N43" s="252"/>
      <c r="O43" s="714">
        <f t="shared" si="12"/>
        <v>0.16006591421693306</v>
      </c>
      <c r="P43" s="714">
        <f t="shared" si="12"/>
        <v>0.14231003534281994</v>
      </c>
      <c r="Q43" s="714">
        <f t="shared" si="12"/>
        <v>0.11611238398067424</v>
      </c>
      <c r="R43" s="714">
        <f t="shared" si="12"/>
        <v>0.12062874797922916</v>
      </c>
      <c r="S43" s="714">
        <f t="shared" si="12"/>
        <v>0.12000001526678905</v>
      </c>
      <c r="T43" s="714">
        <f t="shared" si="12"/>
        <v>0.1265490135284241</v>
      </c>
    </row>
    <row r="44" spans="2:20" ht="15" customHeight="1" thickBot="1">
      <c r="B44" s="244" t="s">
        <v>553</v>
      </c>
      <c r="C44" s="244" t="s">
        <v>553</v>
      </c>
      <c r="D44" s="245">
        <v>0</v>
      </c>
      <c r="E44" s="245">
        <f>SUM(E40:E43)</f>
        <v>8854520.2330532558</v>
      </c>
      <c r="F44" s="245">
        <f>SUM(F40:F43)</f>
        <v>8678423.0361890011</v>
      </c>
      <c r="G44" s="245">
        <f>SUM(G40:G43)</f>
        <v>8230122.0269411933</v>
      </c>
      <c r="H44" s="245">
        <f>SUM(H40:H43)</f>
        <v>7901427.8599999994</v>
      </c>
      <c r="I44" s="245">
        <f>SUM(I40:I43)</f>
        <v>7860199</v>
      </c>
      <c r="J44" s="245">
        <f t="shared" ref="J44" si="13">SUM(J40:J43)</f>
        <v>7469754</v>
      </c>
      <c r="K44" s="101"/>
      <c r="L44" s="244" t="s">
        <v>553</v>
      </c>
      <c r="M44" s="244" t="s">
        <v>553</v>
      </c>
      <c r="N44" s="253"/>
      <c r="O44" s="715">
        <f t="shared" si="12"/>
        <v>1</v>
      </c>
      <c r="P44" s="715">
        <f t="shared" si="12"/>
        <v>1</v>
      </c>
      <c r="Q44" s="715">
        <f t="shared" si="12"/>
        <v>1</v>
      </c>
      <c r="R44" s="715">
        <f t="shared" si="12"/>
        <v>1</v>
      </c>
      <c r="S44" s="715">
        <f t="shared" si="12"/>
        <v>1</v>
      </c>
      <c r="T44" s="715">
        <f t="shared" si="12"/>
        <v>1</v>
      </c>
    </row>
    <row r="45" spans="2:20" ht="15" customHeight="1">
      <c r="K45" s="101"/>
    </row>
    <row r="46" spans="2:20" ht="15" customHeight="1">
      <c r="B46" s="239" t="s">
        <v>122</v>
      </c>
      <c r="C46" s="239" t="s">
        <v>122</v>
      </c>
      <c r="D46" s="247"/>
      <c r="E46" s="247"/>
      <c r="F46" s="247"/>
      <c r="G46" s="248"/>
      <c r="H46" s="248"/>
      <c r="I46" s="248"/>
      <c r="J46" s="248"/>
      <c r="K46" s="101"/>
      <c r="L46" s="239"/>
      <c r="M46" s="239"/>
      <c r="N46" s="247"/>
      <c r="O46" s="247"/>
      <c r="P46" s="247"/>
      <c r="Q46" s="248"/>
      <c r="R46" s="248"/>
      <c r="S46" s="248"/>
      <c r="T46" s="248"/>
    </row>
    <row r="47" spans="2:20" ht="15" customHeight="1">
      <c r="B47" s="437" t="s">
        <v>543</v>
      </c>
      <c r="C47" s="437" t="s">
        <v>544</v>
      </c>
      <c r="D47" s="438">
        <v>2020</v>
      </c>
      <c r="E47" s="438">
        <v>2021</v>
      </c>
      <c r="F47" s="438">
        <v>2022</v>
      </c>
      <c r="G47" s="438">
        <v>2023</v>
      </c>
      <c r="H47" s="438">
        <v>2024</v>
      </c>
      <c r="I47" s="438">
        <v>2025</v>
      </c>
      <c r="J47" s="438">
        <v>2026</v>
      </c>
      <c r="K47" s="101"/>
      <c r="L47" s="437" t="str">
        <f>+L39</f>
        <v>Contratos  (MWh)</v>
      </c>
      <c r="M47" s="437" t="s">
        <v>544</v>
      </c>
      <c r="N47" s="713">
        <f t="shared" ref="N47:S47" si="14">+N39</f>
        <v>2020</v>
      </c>
      <c r="O47" s="713">
        <f t="shared" si="14"/>
        <v>2021</v>
      </c>
      <c r="P47" s="713">
        <f t="shared" si="14"/>
        <v>2022</v>
      </c>
      <c r="Q47" s="713">
        <f t="shared" si="14"/>
        <v>2023</v>
      </c>
      <c r="R47" s="713">
        <f t="shared" si="14"/>
        <v>2024</v>
      </c>
      <c r="S47" s="713">
        <f t="shared" si="14"/>
        <v>2025</v>
      </c>
      <c r="T47" s="713">
        <v>2026</v>
      </c>
    </row>
    <row r="48" spans="2:20" ht="15" customHeight="1">
      <c r="B48" s="242" t="s">
        <v>545</v>
      </c>
      <c r="C48" s="242" t="s">
        <v>546</v>
      </c>
      <c r="D48" s="250">
        <v>0</v>
      </c>
      <c r="E48" s="250">
        <v>393261.41889999993</v>
      </c>
      <c r="F48" s="250">
        <v>371237.48800000013</v>
      </c>
      <c r="G48" s="250">
        <v>383884.24199999997</v>
      </c>
      <c r="H48" s="250">
        <v>384936.13</v>
      </c>
      <c r="I48" s="243">
        <v>229152</v>
      </c>
      <c r="J48" s="243">
        <v>383884</v>
      </c>
      <c r="K48" s="101"/>
      <c r="L48" s="242" t="s">
        <v>545</v>
      </c>
      <c r="M48" s="242" t="s">
        <v>546</v>
      </c>
      <c r="N48" s="254"/>
      <c r="O48" s="714">
        <f t="shared" ref="O48:T52" si="15">+E48/E$52</f>
        <v>0.17833575034202459</v>
      </c>
      <c r="P48" s="714">
        <f t="shared" si="15"/>
        <v>0.17084074233166954</v>
      </c>
      <c r="Q48" s="714">
        <f t="shared" si="15"/>
        <v>0.16794737027514409</v>
      </c>
      <c r="R48" s="714">
        <f t="shared" si="15"/>
        <v>0.18288407185013214</v>
      </c>
      <c r="S48" s="714">
        <f t="shared" si="15"/>
        <v>0.11195348950826881</v>
      </c>
      <c r="T48" s="714">
        <f t="shared" si="15"/>
        <v>0.1546943158853385</v>
      </c>
    </row>
    <row r="49" spans="2:20" ht="15" customHeight="1">
      <c r="B49" s="242" t="s">
        <v>547</v>
      </c>
      <c r="C49" s="242" t="s">
        <v>548</v>
      </c>
      <c r="D49" s="250">
        <v>0</v>
      </c>
      <c r="E49" s="250">
        <v>389512.62100000045</v>
      </c>
      <c r="F49" s="250">
        <v>386795.23212800018</v>
      </c>
      <c r="G49" s="250">
        <v>312039.72414399986</v>
      </c>
      <c r="H49" s="250">
        <v>178297.63</v>
      </c>
      <c r="I49" s="243">
        <v>573118</v>
      </c>
      <c r="J49" s="243">
        <v>602290</v>
      </c>
      <c r="K49" s="101"/>
      <c r="L49" s="242" t="s">
        <v>547</v>
      </c>
      <c r="M49" s="242" t="s">
        <v>548</v>
      </c>
      <c r="N49" s="256"/>
      <c r="O49" s="714">
        <f t="shared" si="15"/>
        <v>0.17663574964465892</v>
      </c>
      <c r="P49" s="714">
        <f t="shared" si="15"/>
        <v>0.17800030094778027</v>
      </c>
      <c r="Q49" s="714">
        <f t="shared" si="15"/>
        <v>0.13651576532116722</v>
      </c>
      <c r="R49" s="714">
        <f t="shared" si="15"/>
        <v>8.4709628518446101E-2</v>
      </c>
      <c r="S49" s="714">
        <f t="shared" si="15"/>
        <v>0.28000000000000003</v>
      </c>
      <c r="T49" s="714">
        <f t="shared" si="15"/>
        <v>0.24270571191969584</v>
      </c>
    </row>
    <row r="50" spans="2:20" ht="15" customHeight="1">
      <c r="B50" s="242" t="s">
        <v>549</v>
      </c>
      <c r="C50" s="242" t="s">
        <v>550</v>
      </c>
      <c r="D50" s="250">
        <v>0</v>
      </c>
      <c r="E50" s="250">
        <v>320525.75900599995</v>
      </c>
      <c r="F50" s="250">
        <v>317723.9390040001</v>
      </c>
      <c r="G50" s="250">
        <v>248083.46900000001</v>
      </c>
      <c r="H50" s="250">
        <v>193530.97</v>
      </c>
      <c r="I50" s="243">
        <v>192499</v>
      </c>
      <c r="J50" s="243">
        <v>151029</v>
      </c>
      <c r="K50" s="101"/>
      <c r="L50" s="242" t="s">
        <v>549</v>
      </c>
      <c r="M50" s="242" t="s">
        <v>550</v>
      </c>
      <c r="N50" s="256"/>
      <c r="O50" s="714">
        <f t="shared" si="15"/>
        <v>0.14535166428521973</v>
      </c>
      <c r="P50" s="714">
        <f t="shared" si="15"/>
        <v>0.14621420344269073</v>
      </c>
      <c r="Q50" s="714">
        <f t="shared" si="15"/>
        <v>0.10853523450250202</v>
      </c>
      <c r="R50" s="714">
        <f t="shared" si="15"/>
        <v>9.1947024621216428E-2</v>
      </c>
      <c r="S50" s="714">
        <f t="shared" si="15"/>
        <v>9.4046461636172654E-2</v>
      </c>
      <c r="T50" s="714">
        <f t="shared" si="15"/>
        <v>6.0860384475119531E-2</v>
      </c>
    </row>
    <row r="51" spans="2:20" ht="15" customHeight="1" thickBot="1">
      <c r="B51" s="242" t="s">
        <v>551</v>
      </c>
      <c r="C51" s="242" t="s">
        <v>552</v>
      </c>
      <c r="D51" s="250">
        <v>0</v>
      </c>
      <c r="E51" s="250">
        <v>1101874.5317920006</v>
      </c>
      <c r="F51" s="250">
        <v>1097246.5890000002</v>
      </c>
      <c r="G51" s="250">
        <v>1341733.8740000001</v>
      </c>
      <c r="H51" s="250">
        <v>1348044.76</v>
      </c>
      <c r="I51" s="243">
        <v>1052081</v>
      </c>
      <c r="J51" s="243">
        <v>1344362</v>
      </c>
      <c r="K51" s="101"/>
      <c r="L51" s="242" t="s">
        <v>551</v>
      </c>
      <c r="M51" s="242" t="s">
        <v>552</v>
      </c>
      <c r="N51" s="256"/>
      <c r="O51" s="714">
        <f t="shared" si="15"/>
        <v>0.49967683572809668</v>
      </c>
      <c r="P51" s="714">
        <f t="shared" si="15"/>
        <v>0.50494475327785937</v>
      </c>
      <c r="Q51" s="714">
        <f t="shared" si="15"/>
        <v>0.58700162990118665</v>
      </c>
      <c r="R51" s="714">
        <f t="shared" si="15"/>
        <v>0.64045927501020528</v>
      </c>
      <c r="S51" s="714">
        <f t="shared" si="15"/>
        <v>0.5140000488555585</v>
      </c>
      <c r="T51" s="714">
        <f t="shared" si="15"/>
        <v>0.54173958771984609</v>
      </c>
    </row>
    <row r="52" spans="2:20" ht="15" customHeight="1" thickBot="1">
      <c r="B52" s="244" t="s">
        <v>553</v>
      </c>
      <c r="C52" s="244" t="s">
        <v>553</v>
      </c>
      <c r="D52" s="245">
        <v>0</v>
      </c>
      <c r="E52" s="245">
        <f>SUM(E48:E51)</f>
        <v>2205174.3306980012</v>
      </c>
      <c r="F52" s="245">
        <f>SUM(F48:F51)</f>
        <v>2173003.2481320007</v>
      </c>
      <c r="G52" s="245">
        <f>SUM(G48:G51)</f>
        <v>2285741.3091440001</v>
      </c>
      <c r="H52" s="245">
        <f>SUM(H48:H51)</f>
        <v>2104809.4900000002</v>
      </c>
      <c r="I52" s="245">
        <f>SUM(I48:I51)</f>
        <v>2046850</v>
      </c>
      <c r="J52" s="245">
        <f t="shared" ref="J52" si="16">SUM(J48:J51)</f>
        <v>2481565</v>
      </c>
      <c r="K52" s="101"/>
      <c r="L52" s="244" t="s">
        <v>553</v>
      </c>
      <c r="M52" s="244" t="s">
        <v>553</v>
      </c>
      <c r="N52" s="257"/>
      <c r="O52" s="715">
        <f t="shared" si="15"/>
        <v>1</v>
      </c>
      <c r="P52" s="715">
        <f t="shared" si="15"/>
        <v>1</v>
      </c>
      <c r="Q52" s="715">
        <f t="shared" si="15"/>
        <v>1</v>
      </c>
      <c r="R52" s="715">
        <f t="shared" si="15"/>
        <v>1</v>
      </c>
      <c r="S52" s="715">
        <f t="shared" si="15"/>
        <v>1</v>
      </c>
      <c r="T52" s="715">
        <f t="shared" si="15"/>
        <v>1</v>
      </c>
    </row>
    <row r="53" spans="2:20" ht="15" customHeight="1">
      <c r="K53" s="101"/>
    </row>
    <row r="54" spans="2:20" ht="15" customHeight="1">
      <c r="B54" s="239" t="s">
        <v>125</v>
      </c>
      <c r="C54" s="239" t="s">
        <v>125</v>
      </c>
      <c r="D54" s="247"/>
      <c r="E54" s="247"/>
      <c r="F54" s="247"/>
      <c r="G54" s="248"/>
      <c r="H54" s="248"/>
      <c r="I54" s="248"/>
      <c r="J54" s="248"/>
      <c r="K54" s="101"/>
      <c r="L54" s="239"/>
      <c r="M54" s="239"/>
      <c r="N54" s="247"/>
      <c r="O54" s="247"/>
      <c r="P54" s="247"/>
      <c r="Q54" s="248"/>
      <c r="R54" s="248"/>
      <c r="S54" s="248"/>
      <c r="T54" s="248"/>
    </row>
    <row r="55" spans="2:20" ht="15" customHeight="1">
      <c r="B55" s="437" t="s">
        <v>543</v>
      </c>
      <c r="C55" s="437" t="s">
        <v>544</v>
      </c>
      <c r="D55" s="438">
        <v>2020</v>
      </c>
      <c r="E55" s="438">
        <v>2021</v>
      </c>
      <c r="F55" s="438">
        <v>2022</v>
      </c>
      <c r="G55" s="438">
        <v>2023</v>
      </c>
      <c r="H55" s="438">
        <v>2024</v>
      </c>
      <c r="I55" s="438">
        <v>2025</v>
      </c>
      <c r="J55" s="438">
        <v>2026</v>
      </c>
      <c r="K55" s="101"/>
      <c r="L55" s="437" t="str">
        <f>+L47</f>
        <v>Contratos  (MWh)</v>
      </c>
      <c r="M55" s="437" t="s">
        <v>544</v>
      </c>
      <c r="N55" s="713">
        <f t="shared" ref="N55:S55" si="17">+N47</f>
        <v>2020</v>
      </c>
      <c r="O55" s="713">
        <f t="shared" si="17"/>
        <v>2021</v>
      </c>
      <c r="P55" s="713">
        <f t="shared" si="17"/>
        <v>2022</v>
      </c>
      <c r="Q55" s="713">
        <f t="shared" si="17"/>
        <v>2023</v>
      </c>
      <c r="R55" s="713">
        <f t="shared" si="17"/>
        <v>2024</v>
      </c>
      <c r="S55" s="713">
        <f t="shared" si="17"/>
        <v>2025</v>
      </c>
      <c r="T55" s="713">
        <v>2026</v>
      </c>
    </row>
    <row r="56" spans="2:20" ht="15" customHeight="1">
      <c r="B56" s="242" t="s">
        <v>545</v>
      </c>
      <c r="C56" s="242" t="s">
        <v>546</v>
      </c>
      <c r="D56" s="250"/>
      <c r="E56" s="250"/>
      <c r="F56" s="250">
        <v>6089494.084919</v>
      </c>
      <c r="G56" s="250">
        <v>6011362.0001427522</v>
      </c>
      <c r="H56" s="250">
        <v>6217983.1200000001</v>
      </c>
      <c r="I56" s="243">
        <v>5942452</v>
      </c>
      <c r="J56" s="243">
        <v>5830220</v>
      </c>
      <c r="K56" s="101"/>
      <c r="L56" s="242" t="s">
        <v>545</v>
      </c>
      <c r="M56" s="242" t="s">
        <v>546</v>
      </c>
      <c r="N56" s="254"/>
      <c r="O56" s="255"/>
      <c r="P56" s="714">
        <f t="shared" ref="P56:R59" si="18">+F56/F$60</f>
        <v>0.45297264079950039</v>
      </c>
      <c r="Q56" s="714">
        <f t="shared" si="18"/>
        <v>0.41558530502889357</v>
      </c>
      <c r="R56" s="714">
        <f t="shared" si="18"/>
        <v>0.34176940186313454</v>
      </c>
      <c r="S56" s="714">
        <f t="shared" ref="S56:T59" si="19">+I56/I$60</f>
        <v>0.42878141178421336</v>
      </c>
      <c r="T56" s="714">
        <f t="shared" si="19"/>
        <v>0.42990542290110467</v>
      </c>
    </row>
    <row r="57" spans="2:20" ht="15" customHeight="1">
      <c r="B57" s="242" t="s">
        <v>547</v>
      </c>
      <c r="C57" s="242" t="s">
        <v>548</v>
      </c>
      <c r="D57" s="250"/>
      <c r="E57" s="250"/>
      <c r="F57" s="250">
        <v>3743866.6098221643</v>
      </c>
      <c r="G57" s="250">
        <v>3643532.6427440038</v>
      </c>
      <c r="H57" s="250">
        <v>6217983.1200000001</v>
      </c>
      <c r="I57" s="243">
        <v>3672617</v>
      </c>
      <c r="J57" s="243">
        <v>3868034</v>
      </c>
      <c r="K57" s="101"/>
      <c r="L57" s="242" t="s">
        <v>547</v>
      </c>
      <c r="M57" s="242" t="s">
        <v>548</v>
      </c>
      <c r="N57" s="256"/>
      <c r="O57" s="255"/>
      <c r="P57" s="714">
        <f t="shared" si="18"/>
        <v>0.27849097501418729</v>
      </c>
      <c r="Q57" s="714">
        <f t="shared" si="18"/>
        <v>0.25188944280539749</v>
      </c>
      <c r="R57" s="714">
        <f t="shared" si="18"/>
        <v>0.34176940186313454</v>
      </c>
      <c r="S57" s="714">
        <f t="shared" si="19"/>
        <v>0.26500002056435668</v>
      </c>
      <c r="T57" s="714">
        <f t="shared" si="19"/>
        <v>0.28521887554257841</v>
      </c>
    </row>
    <row r="58" spans="2:20" ht="15" customHeight="1">
      <c r="B58" s="242" t="s">
        <v>549</v>
      </c>
      <c r="C58" s="242" t="s">
        <v>550</v>
      </c>
      <c r="D58" s="250"/>
      <c r="E58" s="250"/>
      <c r="F58" s="250">
        <v>3332690.0280080005</v>
      </c>
      <c r="G58" s="250">
        <v>2608272.4469999997</v>
      </c>
      <c r="H58" s="250">
        <v>3648904.89</v>
      </c>
      <c r="I58" s="243">
        <v>1887844</v>
      </c>
      <c r="J58" s="243">
        <v>1527307</v>
      </c>
      <c r="K58" s="101"/>
      <c r="L58" s="242" t="s">
        <v>549</v>
      </c>
      <c r="M58" s="242" t="s">
        <v>550</v>
      </c>
      <c r="N58" s="256"/>
      <c r="O58" s="255"/>
      <c r="P58" s="714">
        <f t="shared" si="18"/>
        <v>0.24790522527833692</v>
      </c>
      <c r="Q58" s="714">
        <f t="shared" si="18"/>
        <v>0.18031848696837965</v>
      </c>
      <c r="R58" s="714">
        <f t="shared" si="18"/>
        <v>0.20056085995144463</v>
      </c>
      <c r="S58" s="714">
        <f t="shared" si="19"/>
        <v>0.13621858713345206</v>
      </c>
      <c r="T58" s="714">
        <f t="shared" si="19"/>
        <v>0.11261968874842072</v>
      </c>
    </row>
    <row r="59" spans="2:20" ht="15" customHeight="1" thickBot="1">
      <c r="B59" s="242" t="s">
        <v>551</v>
      </c>
      <c r="C59" s="242" t="s">
        <v>552</v>
      </c>
      <c r="D59" s="250"/>
      <c r="E59" s="250"/>
      <c r="F59" s="250">
        <v>277352.99843583629</v>
      </c>
      <c r="G59" s="250">
        <v>2201641.7649999987</v>
      </c>
      <c r="H59" s="250">
        <v>2108633.2799999998</v>
      </c>
      <c r="I59" s="243">
        <v>2356018</v>
      </c>
      <c r="J59" s="243">
        <v>2336073</v>
      </c>
      <c r="K59" s="101"/>
      <c r="L59" s="242" t="s">
        <v>551</v>
      </c>
      <c r="M59" s="242" t="s">
        <v>552</v>
      </c>
      <c r="N59" s="256"/>
      <c r="O59" s="255"/>
      <c r="P59" s="714">
        <f t="shared" si="18"/>
        <v>2.0631158907975452E-2</v>
      </c>
      <c r="Q59" s="714">
        <f t="shared" si="18"/>
        <v>0.15220676519732937</v>
      </c>
      <c r="R59" s="714">
        <f t="shared" si="18"/>
        <v>0.11590033632228634</v>
      </c>
      <c r="S59" s="714">
        <f t="shared" si="19"/>
        <v>0.16999998051797791</v>
      </c>
      <c r="T59" s="714">
        <f t="shared" si="19"/>
        <v>0.17225601280789615</v>
      </c>
    </row>
    <row r="60" spans="2:20" ht="15" customHeight="1" thickBot="1">
      <c r="B60" s="244" t="s">
        <v>553</v>
      </c>
      <c r="C60" s="244" t="s">
        <v>553</v>
      </c>
      <c r="D60" s="245">
        <v>0</v>
      </c>
      <c r="E60" s="245">
        <f>SUM(E56:E59)</f>
        <v>0</v>
      </c>
      <c r="F60" s="245">
        <f>SUM(F56:F59)</f>
        <v>13443403.721185001</v>
      </c>
      <c r="G60" s="245">
        <f>SUM(G56:G59)</f>
        <v>14464808.854886753</v>
      </c>
      <c r="H60" s="245">
        <f>SUM(H56:H59)</f>
        <v>18193504.41</v>
      </c>
      <c r="I60" s="245">
        <f>SUM(I56:I59)</f>
        <v>13858931</v>
      </c>
      <c r="J60" s="245">
        <f t="shared" ref="J60" si="20">SUM(J56:J59)</f>
        <v>13561634</v>
      </c>
      <c r="K60" s="101"/>
      <c r="L60" s="244" t="s">
        <v>553</v>
      </c>
      <c r="M60" s="244" t="s">
        <v>553</v>
      </c>
      <c r="N60" s="257"/>
      <c r="O60" s="258"/>
      <c r="P60" s="715">
        <f>SUM(P56:P59)</f>
        <v>1</v>
      </c>
      <c r="Q60" s="715">
        <f>SUM(Q56:Q59)</f>
        <v>1</v>
      </c>
      <c r="R60" s="715">
        <f>SUM(R56:R59)</f>
        <v>1</v>
      </c>
      <c r="S60" s="715">
        <f>SUM(S56:S59)</f>
        <v>1</v>
      </c>
      <c r="T60" s="715">
        <f>SUM(T56:T59)</f>
        <v>1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2060"/>
  </sheetPr>
  <dimension ref="B4:AA8"/>
  <sheetViews>
    <sheetView showGridLines="0" topLeftCell="A5" zoomScale="85" zoomScaleNormal="85" workbookViewId="0">
      <selection activeCell="T22" sqref="T22"/>
    </sheetView>
  </sheetViews>
  <sheetFormatPr defaultRowHeight="14.4"/>
  <cols>
    <col min="2" max="2" width="1.44140625" customWidth="1"/>
    <col min="8" max="8" width="2" customWidth="1"/>
    <col min="13" max="13" width="2" customWidth="1"/>
    <col min="18" max="18" width="2" customWidth="1"/>
    <col min="23" max="23" width="2" customWidth="1"/>
  </cols>
  <sheetData>
    <row r="4" spans="2:27" s="2" customFormat="1" ht="32.549999999999997" customHeight="1">
      <c r="B4" s="3" t="s">
        <v>576</v>
      </c>
    </row>
    <row r="8" spans="2:27" ht="30.3" customHeight="1">
      <c r="D8" s="33" t="s">
        <v>30</v>
      </c>
      <c r="E8" s="34"/>
      <c r="F8" s="34"/>
      <c r="G8" s="34"/>
      <c r="I8" s="33" t="s">
        <v>577</v>
      </c>
      <c r="J8" s="34"/>
      <c r="K8" s="34"/>
      <c r="L8" s="34"/>
      <c r="N8" s="33" t="s">
        <v>31</v>
      </c>
      <c r="O8" s="34"/>
      <c r="P8" s="34"/>
      <c r="Q8" s="34"/>
      <c r="S8" s="33" t="s">
        <v>32</v>
      </c>
      <c r="T8" s="34"/>
      <c r="U8" s="34"/>
      <c r="V8" s="34"/>
      <c r="X8" s="806" t="s">
        <v>578</v>
      </c>
      <c r="Y8" s="806"/>
      <c r="Z8" s="806"/>
      <c r="AA8" s="806"/>
    </row>
  </sheetData>
  <mergeCells count="1">
    <mergeCell ref="X8:AA8"/>
  </mergeCell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8" tint="0.79998168889431442"/>
  </sheetPr>
  <dimension ref="B4:AA8"/>
  <sheetViews>
    <sheetView showGridLines="0" zoomScale="85" zoomScaleNormal="85" workbookViewId="0">
      <selection activeCell="R24" sqref="R24"/>
    </sheetView>
  </sheetViews>
  <sheetFormatPr defaultRowHeight="14.4"/>
  <cols>
    <col min="2" max="2" width="1.44140625" customWidth="1"/>
    <col min="8" max="8" width="2" customWidth="1"/>
    <col min="13" max="13" width="2" customWidth="1"/>
    <col min="18" max="18" width="2" customWidth="1"/>
    <col min="23" max="23" width="2" customWidth="1"/>
  </cols>
  <sheetData>
    <row r="4" spans="2:27" s="2" customFormat="1" ht="32.549999999999997" customHeight="1">
      <c r="B4" s="3" t="s">
        <v>579</v>
      </c>
    </row>
    <row r="8" spans="2:27" ht="30.3" customHeight="1">
      <c r="D8" s="33" t="s">
        <v>34</v>
      </c>
      <c r="E8" s="34"/>
      <c r="F8" s="34"/>
      <c r="G8" s="34"/>
      <c r="I8" s="33" t="s">
        <v>580</v>
      </c>
      <c r="J8" s="34"/>
      <c r="K8" s="34"/>
      <c r="L8" s="34"/>
      <c r="N8" s="33" t="s">
        <v>35</v>
      </c>
      <c r="O8" s="34"/>
      <c r="P8" s="34"/>
      <c r="Q8" s="34"/>
      <c r="S8" s="33" t="s">
        <v>36</v>
      </c>
      <c r="T8" s="34"/>
      <c r="U8" s="34"/>
      <c r="V8" s="34"/>
      <c r="X8" s="825" t="s">
        <v>581</v>
      </c>
      <c r="Y8" s="825"/>
      <c r="Z8" s="825"/>
      <c r="AA8" s="825"/>
    </row>
  </sheetData>
  <mergeCells count="1">
    <mergeCell ref="X8:AA8"/>
  </mergeCells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 tint="0.79998168889431442"/>
  </sheetPr>
  <dimension ref="A4:AF130"/>
  <sheetViews>
    <sheetView showGridLines="0" zoomScale="70" zoomScaleNormal="70" workbookViewId="0">
      <pane xSplit="2" ySplit="5" topLeftCell="W87" activePane="bottomRight" state="frozen"/>
      <selection pane="topRight" activeCell="C1" sqref="C1"/>
      <selection pane="bottomLeft" activeCell="A6" sqref="A6"/>
      <selection pane="bottomRight" activeCell="A93" sqref="A93:B93"/>
    </sheetView>
  </sheetViews>
  <sheetFormatPr defaultRowHeight="14.4" outlineLevelRow="1"/>
  <cols>
    <col min="1" max="1" width="65.5546875" bestFit="1" customWidth="1"/>
    <col min="2" max="2" width="65.5546875" customWidth="1"/>
    <col min="3" max="3" width="1.5546875" customWidth="1"/>
    <col min="4" max="15" width="15.21875" customWidth="1"/>
    <col min="16" max="16" width="15" customWidth="1"/>
    <col min="17" max="18" width="15.21875" customWidth="1"/>
    <col min="19" max="21" width="15.33203125" customWidth="1"/>
    <col min="22" max="22" width="1.5546875" customWidth="1"/>
    <col min="23" max="32" width="15.21875" customWidth="1"/>
  </cols>
  <sheetData>
    <row r="4" spans="1:32">
      <c r="A4" s="428" t="s">
        <v>582</v>
      </c>
      <c r="B4" s="428" t="s">
        <v>583</v>
      </c>
      <c r="D4" s="427" t="s">
        <v>584</v>
      </c>
      <c r="E4" s="427" t="s">
        <v>585</v>
      </c>
      <c r="F4" s="427" t="s">
        <v>586</v>
      </c>
      <c r="G4" s="427">
        <v>2022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T4" s="427" t="s">
        <v>2488</v>
      </c>
      <c r="U4" s="427" t="s">
        <v>2497</v>
      </c>
      <c r="W4" s="427" t="s">
        <v>83</v>
      </c>
      <c r="X4" s="427" t="s">
        <v>84</v>
      </c>
      <c r="Y4" s="427" t="s">
        <v>85</v>
      </c>
      <c r="Z4" s="427" t="s">
        <v>86</v>
      </c>
      <c r="AA4" s="427" t="s">
        <v>87</v>
      </c>
      <c r="AB4" s="427" t="s">
        <v>88</v>
      </c>
      <c r="AC4" s="427" t="s">
        <v>2074</v>
      </c>
      <c r="AD4" s="427" t="s">
        <v>2127</v>
      </c>
      <c r="AE4" s="427" t="s">
        <v>2360</v>
      </c>
      <c r="AF4" s="427" t="s">
        <v>2494</v>
      </c>
    </row>
    <row r="5" spans="1:32" ht="6.75" customHeight="1"/>
    <row r="6" spans="1:32">
      <c r="A6" s="429" t="s">
        <v>596</v>
      </c>
      <c r="B6" s="429" t="s">
        <v>597</v>
      </c>
      <c r="D6" s="420">
        <f t="shared" ref="D6:L6" si="0">SUM(D8,D11:D17)</f>
        <v>1512745</v>
      </c>
      <c r="E6" s="420">
        <f t="shared" si="0"/>
        <v>3134492</v>
      </c>
      <c r="F6" s="420">
        <f t="shared" si="0"/>
        <v>4748078</v>
      </c>
      <c r="G6" s="420">
        <f t="shared" si="0"/>
        <v>6630761</v>
      </c>
      <c r="H6" s="420">
        <f t="shared" si="0"/>
        <v>1638412</v>
      </c>
      <c r="I6" s="420">
        <f t="shared" si="0"/>
        <v>3386337</v>
      </c>
      <c r="J6" s="420">
        <f t="shared" si="0"/>
        <v>5360011</v>
      </c>
      <c r="K6" s="420">
        <f t="shared" si="0"/>
        <v>7543575</v>
      </c>
      <c r="L6" s="420">
        <f t="shared" si="0"/>
        <v>1877206</v>
      </c>
      <c r="M6" s="420">
        <f t="shared" ref="M6:R6" si="1">SUM(M8,M11:M17)</f>
        <v>3940437</v>
      </c>
      <c r="N6" s="420">
        <f t="shared" si="1"/>
        <v>6211715</v>
      </c>
      <c r="O6" s="420">
        <f t="shared" si="1"/>
        <v>8551579</v>
      </c>
      <c r="P6" s="420">
        <f t="shared" si="1"/>
        <v>2060311</v>
      </c>
      <c r="Q6" s="420">
        <f t="shared" si="1"/>
        <v>4365190</v>
      </c>
      <c r="R6" s="420">
        <f t="shared" si="1"/>
        <v>6860286</v>
      </c>
      <c r="S6" s="420">
        <f t="shared" ref="S6:T6" si="2">SUM(S8,S11:S17)</f>
        <v>9703556</v>
      </c>
      <c r="T6" s="420">
        <f t="shared" si="2"/>
        <v>2474377</v>
      </c>
      <c r="U6" s="741">
        <f>SUM(U8,U11:U17)</f>
        <v>5277268</v>
      </c>
      <c r="W6" s="420">
        <f t="shared" ref="W6:AC6" si="3">SUM(W8,W11:W17)</f>
        <v>1877206</v>
      </c>
      <c r="X6" s="420">
        <f t="shared" si="3"/>
        <v>2063231</v>
      </c>
      <c r="Y6" s="420">
        <f t="shared" si="3"/>
        <v>2271278</v>
      </c>
      <c r="Z6" s="420">
        <f t="shared" si="3"/>
        <v>2339864</v>
      </c>
      <c r="AA6" s="420">
        <f t="shared" si="3"/>
        <v>2060311</v>
      </c>
      <c r="AB6" s="420">
        <f t="shared" si="3"/>
        <v>2304879</v>
      </c>
      <c r="AC6" s="420">
        <f t="shared" si="3"/>
        <v>2495096</v>
      </c>
      <c r="AD6" s="420">
        <f t="shared" ref="AD6:AE6" si="4">SUM(AD8,AD11:AD17)</f>
        <v>2843270</v>
      </c>
      <c r="AE6" s="420">
        <f t="shared" si="4"/>
        <v>2474377</v>
      </c>
      <c r="AF6" s="741">
        <f>SUM(AF8,AF11:AF17)</f>
        <v>2802891</v>
      </c>
    </row>
    <row r="7" spans="1:32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W7" s="421"/>
      <c r="X7" s="421"/>
      <c r="Y7" s="421"/>
      <c r="Z7" s="421"/>
      <c r="AA7" s="421"/>
      <c r="AB7" s="421"/>
      <c r="AC7" s="421"/>
      <c r="AD7" s="421"/>
      <c r="AE7" s="421"/>
      <c r="AF7" s="421"/>
    </row>
    <row r="8" spans="1:32">
      <c r="A8" s="417" t="s">
        <v>598</v>
      </c>
      <c r="B8" s="417" t="s">
        <v>599</v>
      </c>
      <c r="D8" s="422">
        <f t="shared" ref="D8:I8" si="5">SUM(D9:D10)</f>
        <v>1177051</v>
      </c>
      <c r="E8" s="422">
        <f t="shared" si="5"/>
        <v>2418956</v>
      </c>
      <c r="F8" s="422">
        <f t="shared" si="5"/>
        <v>3736583</v>
      </c>
      <c r="G8" s="422">
        <f t="shared" si="5"/>
        <v>5173754</v>
      </c>
      <c r="H8" s="422">
        <f t="shared" si="5"/>
        <v>1336611</v>
      </c>
      <c r="I8" s="422">
        <f t="shared" si="5"/>
        <v>2762331</v>
      </c>
      <c r="J8" s="422">
        <f t="shared" ref="J8:R8" si="6">SUM(J9:J10)</f>
        <v>4300453</v>
      </c>
      <c r="K8" s="422">
        <f t="shared" si="6"/>
        <v>5948675</v>
      </c>
      <c r="L8" s="422">
        <f t="shared" si="6"/>
        <v>1495093</v>
      </c>
      <c r="M8" s="422">
        <f t="shared" si="6"/>
        <v>3130374</v>
      </c>
      <c r="N8" s="422">
        <f t="shared" si="6"/>
        <v>4916240</v>
      </c>
      <c r="O8" s="422">
        <f t="shared" si="6"/>
        <v>6783446</v>
      </c>
      <c r="P8" s="422">
        <f t="shared" si="6"/>
        <v>1540568</v>
      </c>
      <c r="Q8" s="422">
        <f t="shared" si="6"/>
        <v>3304429</v>
      </c>
      <c r="R8" s="422">
        <f t="shared" si="6"/>
        <v>5383118</v>
      </c>
      <c r="S8" s="422">
        <f t="shared" ref="S8:T8" si="7">SUM(S9:S10)</f>
        <v>7690759</v>
      </c>
      <c r="T8" s="422">
        <f t="shared" si="7"/>
        <v>1888879</v>
      </c>
      <c r="U8" s="422">
        <f>SUM(U9:U10)</f>
        <v>4175655</v>
      </c>
      <c r="W8" s="422">
        <f t="shared" ref="W8:AC8" si="8">SUM(W9:W10)</f>
        <v>1495093</v>
      </c>
      <c r="X8" s="422">
        <f t="shared" si="8"/>
        <v>1635281</v>
      </c>
      <c r="Y8" s="422">
        <f t="shared" si="8"/>
        <v>1785866</v>
      </c>
      <c r="Z8" s="422">
        <f t="shared" si="8"/>
        <v>1867206</v>
      </c>
      <c r="AA8" s="422">
        <f t="shared" si="8"/>
        <v>1540568</v>
      </c>
      <c r="AB8" s="422">
        <f t="shared" si="8"/>
        <v>1763861</v>
      </c>
      <c r="AC8" s="422">
        <f t="shared" si="8"/>
        <v>2078689</v>
      </c>
      <c r="AD8" s="422">
        <f t="shared" ref="AD8:AE8" si="9">SUM(AD9:AD10)</f>
        <v>2307641</v>
      </c>
      <c r="AE8" s="422">
        <f t="shared" si="9"/>
        <v>1888879</v>
      </c>
      <c r="AF8" s="422">
        <f>SUM(AF9:AF10)</f>
        <v>2286776</v>
      </c>
    </row>
    <row r="9" spans="1:32" outlineLevel="1">
      <c r="A9" s="418" t="s">
        <v>598</v>
      </c>
      <c r="B9" s="418" t="s">
        <v>599</v>
      </c>
      <c r="D9" s="423">
        <v>1301885</v>
      </c>
      <c r="E9" s="423">
        <v>2548881</v>
      </c>
      <c r="F9" s="423">
        <v>3819879</v>
      </c>
      <c r="G9" s="423">
        <v>5144572</v>
      </c>
      <c r="H9" s="423">
        <v>1183722</v>
      </c>
      <c r="I9" s="423">
        <v>2483764</v>
      </c>
      <c r="J9" s="423">
        <v>3958150</v>
      </c>
      <c r="K9" s="423">
        <v>5617005</v>
      </c>
      <c r="L9" s="423">
        <v>1498995</v>
      </c>
      <c r="M9" s="423">
        <v>3116559</v>
      </c>
      <c r="N9" s="423">
        <v>4821496</v>
      </c>
      <c r="O9" s="423">
        <v>6683327</v>
      </c>
      <c r="P9" s="423">
        <v>1473695</v>
      </c>
      <c r="Q9" s="423">
        <v>3176668</v>
      </c>
      <c r="R9" s="423">
        <v>5147437</v>
      </c>
      <c r="S9" s="423">
        <v>7410514</v>
      </c>
      <c r="T9" s="423">
        <v>1898126</v>
      </c>
      <c r="U9" s="423">
        <v>3948593</v>
      </c>
      <c r="W9" s="423">
        <f t="shared" ref="W9:W16" si="10">L9</f>
        <v>1498995</v>
      </c>
      <c r="X9" s="423">
        <f t="shared" ref="X9:Z16" si="11">M9-L9</f>
        <v>1617564</v>
      </c>
      <c r="Y9" s="423">
        <f t="shared" si="11"/>
        <v>1704937</v>
      </c>
      <c r="Z9" s="423">
        <f t="shared" si="11"/>
        <v>1861831</v>
      </c>
      <c r="AA9" s="423">
        <f t="shared" ref="AA9:AA16" si="12">P9</f>
        <v>1473695</v>
      </c>
      <c r="AB9" s="423">
        <f t="shared" ref="AB9:AD16" si="13">Q9-P9</f>
        <v>1702973</v>
      </c>
      <c r="AC9" s="423">
        <f t="shared" si="13"/>
        <v>1970769</v>
      </c>
      <c r="AD9" s="423">
        <f t="shared" si="13"/>
        <v>2263077</v>
      </c>
      <c r="AE9" s="423">
        <f t="shared" ref="AE9:AE16" si="14">T9</f>
        <v>1898126</v>
      </c>
      <c r="AF9" s="423">
        <f t="shared" ref="AF9:AF16" si="15">U9-T9</f>
        <v>2050467</v>
      </c>
    </row>
    <row r="10" spans="1:32" outlineLevel="1">
      <c r="A10" s="418" t="s">
        <v>600</v>
      </c>
      <c r="B10" s="418" t="s">
        <v>601</v>
      </c>
      <c r="D10" s="423">
        <v>-124834</v>
      </c>
      <c r="E10" s="423">
        <v>-129925</v>
      </c>
      <c r="F10" s="423">
        <v>-83296</v>
      </c>
      <c r="G10" s="423">
        <v>29182</v>
      </c>
      <c r="H10" s="423">
        <v>152889</v>
      </c>
      <c r="I10" s="423">
        <v>278567</v>
      </c>
      <c r="J10" s="423">
        <v>342303</v>
      </c>
      <c r="K10" s="423">
        <v>331670</v>
      </c>
      <c r="L10" s="423">
        <v>-3902</v>
      </c>
      <c r="M10" s="423">
        <v>13815</v>
      </c>
      <c r="N10" s="423">
        <v>94744</v>
      </c>
      <c r="O10" s="423">
        <v>100119</v>
      </c>
      <c r="P10" s="423">
        <v>66873</v>
      </c>
      <c r="Q10" s="423">
        <v>127761</v>
      </c>
      <c r="R10" s="423">
        <v>235681</v>
      </c>
      <c r="S10" s="423">
        <v>280245</v>
      </c>
      <c r="T10" s="423">
        <v>-9247</v>
      </c>
      <c r="U10" s="423">
        <v>227062</v>
      </c>
      <c r="W10" s="423">
        <f t="shared" si="10"/>
        <v>-3902</v>
      </c>
      <c r="X10" s="423">
        <f t="shared" si="11"/>
        <v>17717</v>
      </c>
      <c r="Y10" s="423">
        <f t="shared" si="11"/>
        <v>80929</v>
      </c>
      <c r="Z10" s="423">
        <f t="shared" si="11"/>
        <v>5375</v>
      </c>
      <c r="AA10" s="423">
        <f t="shared" si="12"/>
        <v>66873</v>
      </c>
      <c r="AB10" s="423">
        <f t="shared" si="13"/>
        <v>60888</v>
      </c>
      <c r="AC10" s="423">
        <f t="shared" si="13"/>
        <v>107920</v>
      </c>
      <c r="AD10" s="423">
        <f t="shared" si="13"/>
        <v>44564</v>
      </c>
      <c r="AE10" s="423">
        <f t="shared" si="14"/>
        <v>-9247</v>
      </c>
      <c r="AF10" s="423">
        <f t="shared" si="15"/>
        <v>236309</v>
      </c>
    </row>
    <row r="11" spans="1:32">
      <c r="A11" s="417" t="s">
        <v>602</v>
      </c>
      <c r="B11" s="417" t="s">
        <v>603</v>
      </c>
      <c r="D11" s="422">
        <v>12542</v>
      </c>
      <c r="E11" s="422">
        <v>14792</v>
      </c>
      <c r="F11" s="422">
        <v>15659</v>
      </c>
      <c r="G11" s="422">
        <v>22412</v>
      </c>
      <c r="H11" s="422">
        <v>5126</v>
      </c>
      <c r="I11" s="422">
        <v>5469</v>
      </c>
      <c r="J11" s="422">
        <v>7869</v>
      </c>
      <c r="K11" s="422">
        <v>8005</v>
      </c>
      <c r="L11" s="422">
        <v>460</v>
      </c>
      <c r="M11" s="422">
        <v>4899</v>
      </c>
      <c r="N11" s="422">
        <v>37874</v>
      </c>
      <c r="O11" s="422">
        <v>42022</v>
      </c>
      <c r="P11" s="422">
        <v>11745</v>
      </c>
      <c r="Q11" s="422">
        <v>22207</v>
      </c>
      <c r="R11" s="422">
        <v>32179</v>
      </c>
      <c r="S11" s="422">
        <v>69940</v>
      </c>
      <c r="T11" s="422">
        <v>56315</v>
      </c>
      <c r="U11" s="422">
        <v>31942</v>
      </c>
      <c r="W11" s="422">
        <f t="shared" si="10"/>
        <v>460</v>
      </c>
      <c r="X11" s="422">
        <f t="shared" si="11"/>
        <v>4439</v>
      </c>
      <c r="Y11" s="422">
        <f t="shared" si="11"/>
        <v>32975</v>
      </c>
      <c r="Z11" s="422">
        <f t="shared" si="11"/>
        <v>4148</v>
      </c>
      <c r="AA11" s="422">
        <f t="shared" si="12"/>
        <v>11745</v>
      </c>
      <c r="AB11" s="422">
        <f t="shared" si="13"/>
        <v>10462</v>
      </c>
      <c r="AC11" s="422">
        <f t="shared" si="13"/>
        <v>9972</v>
      </c>
      <c r="AD11" s="422">
        <f t="shared" si="13"/>
        <v>37761</v>
      </c>
      <c r="AE11" s="422">
        <f t="shared" si="14"/>
        <v>56315</v>
      </c>
      <c r="AF11" s="422">
        <f t="shared" si="15"/>
        <v>-24373</v>
      </c>
    </row>
    <row r="12" spans="1:32">
      <c r="A12" s="417" t="s">
        <v>604</v>
      </c>
      <c r="B12" s="417" t="s">
        <v>605</v>
      </c>
      <c r="D12" s="422">
        <v>0</v>
      </c>
      <c r="E12" s="422">
        <v>0</v>
      </c>
      <c r="F12" s="422">
        <v>0</v>
      </c>
      <c r="G12" s="422">
        <v>0</v>
      </c>
      <c r="H12" s="422">
        <v>0</v>
      </c>
      <c r="I12" s="422">
        <v>0</v>
      </c>
      <c r="J12" s="422">
        <v>0</v>
      </c>
      <c r="K12" s="422">
        <v>0</v>
      </c>
      <c r="L12" s="422">
        <v>0</v>
      </c>
      <c r="M12" s="422">
        <v>0</v>
      </c>
      <c r="N12" s="422">
        <v>0</v>
      </c>
      <c r="O12" s="422">
        <v>0</v>
      </c>
      <c r="P12" s="422">
        <v>0</v>
      </c>
      <c r="Q12" s="422">
        <v>0</v>
      </c>
      <c r="R12" s="422">
        <v>0</v>
      </c>
      <c r="S12" s="422">
        <v>0</v>
      </c>
      <c r="T12" s="422">
        <v>0</v>
      </c>
      <c r="U12" s="422">
        <v>0</v>
      </c>
      <c r="W12" s="422">
        <f t="shared" si="10"/>
        <v>0</v>
      </c>
      <c r="X12" s="422">
        <f t="shared" si="11"/>
        <v>0</v>
      </c>
      <c r="Y12" s="422">
        <f t="shared" si="11"/>
        <v>0</v>
      </c>
      <c r="Z12" s="422">
        <f t="shared" si="11"/>
        <v>0</v>
      </c>
      <c r="AA12" s="422">
        <f t="shared" si="12"/>
        <v>0</v>
      </c>
      <c r="AB12" s="422">
        <f t="shared" si="13"/>
        <v>0</v>
      </c>
      <c r="AC12" s="422">
        <f t="shared" si="13"/>
        <v>0</v>
      </c>
      <c r="AD12" s="422">
        <f t="shared" si="13"/>
        <v>0</v>
      </c>
      <c r="AE12" s="422">
        <f t="shared" si="14"/>
        <v>0</v>
      </c>
      <c r="AF12" s="422">
        <f t="shared" si="15"/>
        <v>0</v>
      </c>
    </row>
    <row r="13" spans="1:32">
      <c r="A13" s="417" t="s">
        <v>606</v>
      </c>
      <c r="B13" s="417" t="s">
        <v>607</v>
      </c>
      <c r="D13" s="422">
        <v>140638</v>
      </c>
      <c r="E13" s="422">
        <v>383409</v>
      </c>
      <c r="F13" s="422">
        <v>669306</v>
      </c>
      <c r="G13" s="422">
        <v>952638</v>
      </c>
      <c r="H13" s="422">
        <v>197896</v>
      </c>
      <c r="I13" s="422">
        <v>430068</v>
      </c>
      <c r="J13" s="422">
        <v>753645</v>
      </c>
      <c r="K13" s="422">
        <v>1044544</v>
      </c>
      <c r="L13" s="422">
        <v>220142</v>
      </c>
      <c r="M13" s="422">
        <v>510627</v>
      </c>
      <c r="N13" s="422">
        <v>810917</v>
      </c>
      <c r="O13" s="422">
        <v>1145870</v>
      </c>
      <c r="P13" s="422">
        <v>306598</v>
      </c>
      <c r="Q13" s="422">
        <v>609891</v>
      </c>
      <c r="R13" s="422">
        <v>947421</v>
      </c>
      <c r="S13" s="422">
        <v>1239877</v>
      </c>
      <c r="T13" s="422">
        <v>273084</v>
      </c>
      <c r="U13" s="422">
        <v>603579</v>
      </c>
      <c r="W13" s="422">
        <f t="shared" si="10"/>
        <v>220142</v>
      </c>
      <c r="X13" s="422">
        <f t="shared" si="11"/>
        <v>290485</v>
      </c>
      <c r="Y13" s="422">
        <f t="shared" si="11"/>
        <v>300290</v>
      </c>
      <c r="Z13" s="422">
        <f t="shared" si="11"/>
        <v>334953</v>
      </c>
      <c r="AA13" s="422">
        <f t="shared" si="12"/>
        <v>306598</v>
      </c>
      <c r="AB13" s="422">
        <f t="shared" si="13"/>
        <v>303293</v>
      </c>
      <c r="AC13" s="422">
        <f t="shared" si="13"/>
        <v>337530</v>
      </c>
      <c r="AD13" s="422">
        <f t="shared" si="13"/>
        <v>292456</v>
      </c>
      <c r="AE13" s="422">
        <f t="shared" si="14"/>
        <v>273084</v>
      </c>
      <c r="AF13" s="422">
        <f t="shared" si="15"/>
        <v>330495</v>
      </c>
    </row>
    <row r="14" spans="1:32">
      <c r="A14" s="417" t="s">
        <v>608</v>
      </c>
      <c r="B14" s="417" t="s">
        <v>609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>
        <v>0</v>
      </c>
      <c r="T14" s="422">
        <v>0</v>
      </c>
      <c r="U14" s="422">
        <v>0</v>
      </c>
      <c r="W14" s="422">
        <f t="shared" si="10"/>
        <v>0</v>
      </c>
      <c r="X14" s="422">
        <f t="shared" si="11"/>
        <v>0</v>
      </c>
      <c r="Y14" s="422">
        <f t="shared" si="11"/>
        <v>0</v>
      </c>
      <c r="Z14" s="422">
        <f t="shared" si="11"/>
        <v>0</v>
      </c>
      <c r="AA14" s="422">
        <f t="shared" si="12"/>
        <v>0</v>
      </c>
      <c r="AB14" s="422">
        <f t="shared" si="13"/>
        <v>0</v>
      </c>
      <c r="AC14" s="422">
        <f t="shared" si="13"/>
        <v>0</v>
      </c>
      <c r="AD14" s="422">
        <f t="shared" si="13"/>
        <v>0</v>
      </c>
      <c r="AE14" s="422">
        <f t="shared" si="14"/>
        <v>0</v>
      </c>
      <c r="AF14" s="422">
        <f t="shared" si="15"/>
        <v>0</v>
      </c>
    </row>
    <row r="15" spans="1:32">
      <c r="A15" s="417" t="s">
        <v>610</v>
      </c>
      <c r="B15" s="417" t="s">
        <v>611</v>
      </c>
      <c r="D15" s="422">
        <v>0</v>
      </c>
      <c r="E15" s="422">
        <v>0</v>
      </c>
      <c r="F15" s="422">
        <v>0</v>
      </c>
      <c r="G15" s="422">
        <v>0</v>
      </c>
      <c r="H15" s="422">
        <v>0</v>
      </c>
      <c r="I15" s="422">
        <v>0</v>
      </c>
      <c r="J15" s="422">
        <v>0</v>
      </c>
      <c r="K15" s="422">
        <v>0</v>
      </c>
      <c r="L15" s="422">
        <v>0</v>
      </c>
      <c r="M15" s="422">
        <v>0</v>
      </c>
      <c r="N15" s="422">
        <v>0</v>
      </c>
      <c r="O15" s="422">
        <v>0</v>
      </c>
      <c r="P15" s="422">
        <v>0</v>
      </c>
      <c r="Q15" s="422">
        <v>0</v>
      </c>
      <c r="R15" s="422">
        <v>0</v>
      </c>
      <c r="S15" s="422">
        <v>0</v>
      </c>
      <c r="T15" s="422">
        <v>0</v>
      </c>
      <c r="U15" s="422">
        <v>0</v>
      </c>
      <c r="W15" s="422">
        <f t="shared" si="10"/>
        <v>0</v>
      </c>
      <c r="X15" s="422">
        <f t="shared" si="11"/>
        <v>0</v>
      </c>
      <c r="Y15" s="422">
        <f t="shared" si="11"/>
        <v>0</v>
      </c>
      <c r="Z15" s="422">
        <f t="shared" si="11"/>
        <v>0</v>
      </c>
      <c r="AA15" s="422">
        <f t="shared" si="12"/>
        <v>0</v>
      </c>
      <c r="AB15" s="422">
        <f t="shared" si="13"/>
        <v>0</v>
      </c>
      <c r="AC15" s="422">
        <f t="shared" si="13"/>
        <v>0</v>
      </c>
      <c r="AD15" s="422">
        <f t="shared" si="13"/>
        <v>0</v>
      </c>
      <c r="AE15" s="422">
        <f t="shared" si="14"/>
        <v>0</v>
      </c>
      <c r="AF15" s="422">
        <f t="shared" si="15"/>
        <v>0</v>
      </c>
    </row>
    <row r="16" spans="1:32">
      <c r="A16" s="417" t="s">
        <v>612</v>
      </c>
      <c r="B16" s="417" t="s">
        <v>613</v>
      </c>
      <c r="D16" s="422">
        <v>0</v>
      </c>
      <c r="E16" s="422">
        <v>0</v>
      </c>
      <c r="F16" s="422">
        <v>0</v>
      </c>
      <c r="G16" s="422">
        <v>0</v>
      </c>
      <c r="H16" s="422">
        <v>0</v>
      </c>
      <c r="I16" s="422">
        <v>0</v>
      </c>
      <c r="J16" s="422">
        <v>0</v>
      </c>
      <c r="K16" s="422">
        <v>0</v>
      </c>
      <c r="L16" s="422">
        <v>0</v>
      </c>
      <c r="M16" s="422">
        <v>0</v>
      </c>
      <c r="N16" s="422">
        <v>0</v>
      </c>
      <c r="O16" s="422">
        <v>0</v>
      </c>
      <c r="P16" s="422">
        <v>0</v>
      </c>
      <c r="Q16" s="422">
        <v>0</v>
      </c>
      <c r="R16" s="422">
        <v>0</v>
      </c>
      <c r="S16" s="422">
        <v>0</v>
      </c>
      <c r="T16" s="422">
        <v>0</v>
      </c>
      <c r="U16" s="422">
        <v>0</v>
      </c>
      <c r="W16" s="422">
        <f t="shared" si="10"/>
        <v>0</v>
      </c>
      <c r="X16" s="422">
        <f t="shared" si="11"/>
        <v>0</v>
      </c>
      <c r="Y16" s="422">
        <f t="shared" si="11"/>
        <v>0</v>
      </c>
      <c r="Z16" s="422">
        <f t="shared" si="11"/>
        <v>0</v>
      </c>
      <c r="AA16" s="422">
        <f t="shared" si="12"/>
        <v>0</v>
      </c>
      <c r="AB16" s="422">
        <f t="shared" si="13"/>
        <v>0</v>
      </c>
      <c r="AC16" s="422">
        <f t="shared" si="13"/>
        <v>0</v>
      </c>
      <c r="AD16" s="422">
        <f t="shared" si="13"/>
        <v>0</v>
      </c>
      <c r="AE16" s="422">
        <f t="shared" si="14"/>
        <v>0</v>
      </c>
      <c r="AF16" s="422">
        <f t="shared" si="15"/>
        <v>0</v>
      </c>
    </row>
    <row r="17" spans="1:32">
      <c r="A17" s="417" t="s">
        <v>614</v>
      </c>
      <c r="B17" s="417" t="s">
        <v>615</v>
      </c>
      <c r="D17" s="422">
        <f t="shared" ref="D17:I17" si="16">SUM(D18:D25)</f>
        <v>182514</v>
      </c>
      <c r="E17" s="422">
        <f t="shared" si="16"/>
        <v>317335</v>
      </c>
      <c r="F17" s="422">
        <f t="shared" si="16"/>
        <v>326530</v>
      </c>
      <c r="G17" s="422">
        <f t="shared" si="16"/>
        <v>481957</v>
      </c>
      <c r="H17" s="422">
        <f t="shared" si="16"/>
        <v>98779</v>
      </c>
      <c r="I17" s="422">
        <f t="shared" si="16"/>
        <v>188469</v>
      </c>
      <c r="J17" s="422">
        <f t="shared" ref="J17:R17" si="17">SUM(J18:J25)</f>
        <v>298044</v>
      </c>
      <c r="K17" s="422">
        <f t="shared" si="17"/>
        <v>542351</v>
      </c>
      <c r="L17" s="422">
        <f t="shared" si="17"/>
        <v>161511</v>
      </c>
      <c r="M17" s="422">
        <f t="shared" si="17"/>
        <v>294537</v>
      </c>
      <c r="N17" s="422">
        <f t="shared" si="17"/>
        <v>446684</v>
      </c>
      <c r="O17" s="422">
        <f t="shared" si="17"/>
        <v>580241</v>
      </c>
      <c r="P17" s="422">
        <f t="shared" si="17"/>
        <v>201400</v>
      </c>
      <c r="Q17" s="422">
        <f t="shared" si="17"/>
        <v>428663</v>
      </c>
      <c r="R17" s="422">
        <f t="shared" si="17"/>
        <v>497568</v>
      </c>
      <c r="S17" s="422">
        <f t="shared" ref="S17:T17" si="18">SUM(S18:S25)</f>
        <v>702980</v>
      </c>
      <c r="T17" s="422">
        <f t="shared" si="18"/>
        <v>256099</v>
      </c>
      <c r="U17" s="422">
        <f>SUM(U18:U25)</f>
        <v>466092</v>
      </c>
      <c r="W17" s="422">
        <f t="shared" ref="W17:AC17" si="19">SUM(W18:W25)</f>
        <v>161511</v>
      </c>
      <c r="X17" s="422">
        <f t="shared" si="19"/>
        <v>133026</v>
      </c>
      <c r="Y17" s="422">
        <f t="shared" si="19"/>
        <v>152147</v>
      </c>
      <c r="Z17" s="422">
        <f t="shared" si="19"/>
        <v>133557</v>
      </c>
      <c r="AA17" s="422">
        <f t="shared" si="19"/>
        <v>201400</v>
      </c>
      <c r="AB17" s="422">
        <f t="shared" si="19"/>
        <v>227263</v>
      </c>
      <c r="AC17" s="422">
        <f t="shared" si="19"/>
        <v>68905</v>
      </c>
      <c r="AD17" s="422">
        <f t="shared" ref="AD17:AE17" si="20">SUM(AD18:AD25)</f>
        <v>205412</v>
      </c>
      <c r="AE17" s="422">
        <f t="shared" si="20"/>
        <v>256099</v>
      </c>
      <c r="AF17" s="422">
        <f>SUM(AF18:AF25)</f>
        <v>209993</v>
      </c>
    </row>
    <row r="18" spans="1:32" outlineLevel="1">
      <c r="A18" s="418" t="s">
        <v>616</v>
      </c>
      <c r="B18" s="418" t="s">
        <v>617</v>
      </c>
      <c r="D18" s="423">
        <v>32555</v>
      </c>
      <c r="E18" s="423">
        <v>65497</v>
      </c>
      <c r="F18" s="423">
        <v>103021</v>
      </c>
      <c r="G18" s="423">
        <v>142764</v>
      </c>
      <c r="H18" s="423">
        <v>39550</v>
      </c>
      <c r="I18" s="423">
        <v>81710</v>
      </c>
      <c r="J18" s="423">
        <v>127741</v>
      </c>
      <c r="K18" s="423">
        <v>176101</v>
      </c>
      <c r="L18" s="423">
        <v>52814</v>
      </c>
      <c r="M18" s="423">
        <v>108030</v>
      </c>
      <c r="N18" s="423">
        <v>165125</v>
      </c>
      <c r="O18" s="423">
        <v>226790</v>
      </c>
      <c r="P18" s="423">
        <v>55172</v>
      </c>
      <c r="Q18" s="423">
        <v>124224</v>
      </c>
      <c r="R18" s="423">
        <v>188645</v>
      </c>
      <c r="S18" s="423">
        <v>284507</v>
      </c>
      <c r="T18" s="423">
        <v>83383</v>
      </c>
      <c r="U18" s="423">
        <v>175528</v>
      </c>
      <c r="W18" s="423">
        <f t="shared" ref="W18:W25" si="21">L18</f>
        <v>52814</v>
      </c>
      <c r="X18" s="423">
        <f t="shared" ref="X18:Z25" si="22">M18-L18</f>
        <v>55216</v>
      </c>
      <c r="Y18" s="423">
        <f t="shared" si="22"/>
        <v>57095</v>
      </c>
      <c r="Z18" s="423">
        <f t="shared" si="22"/>
        <v>61665</v>
      </c>
      <c r="AA18" s="423">
        <f t="shared" ref="AA18:AA25" si="23">P18</f>
        <v>55172</v>
      </c>
      <c r="AB18" s="423">
        <f t="shared" ref="AB18:AD25" si="24">Q18-P18</f>
        <v>69052</v>
      </c>
      <c r="AC18" s="423">
        <f t="shared" si="24"/>
        <v>64421</v>
      </c>
      <c r="AD18" s="423">
        <f t="shared" si="24"/>
        <v>95862</v>
      </c>
      <c r="AE18" s="423">
        <f t="shared" ref="AE18:AE25" si="25">T18</f>
        <v>83383</v>
      </c>
      <c r="AF18" s="423">
        <f t="shared" ref="AF18:AF25" si="26">U18-T18</f>
        <v>92145</v>
      </c>
    </row>
    <row r="19" spans="1:32" outlineLevel="1">
      <c r="A19" s="418" t="s">
        <v>618</v>
      </c>
      <c r="B19" s="418" t="s">
        <v>619</v>
      </c>
      <c r="D19" s="423">
        <v>70340</v>
      </c>
      <c r="E19" s="423">
        <v>137779</v>
      </c>
      <c r="F19" s="423">
        <v>84657</v>
      </c>
      <c r="G19" s="423">
        <v>167507</v>
      </c>
      <c r="H19" s="423">
        <v>24595</v>
      </c>
      <c r="I19" s="423">
        <v>35085</v>
      </c>
      <c r="J19" s="423">
        <v>51234</v>
      </c>
      <c r="K19" s="423">
        <v>162545</v>
      </c>
      <c r="L19" s="423">
        <v>60700</v>
      </c>
      <c r="M19" s="423">
        <v>87077</v>
      </c>
      <c r="N19" s="423">
        <v>118992</v>
      </c>
      <c r="O19" s="423">
        <v>164050</v>
      </c>
      <c r="P19" s="423">
        <v>100927</v>
      </c>
      <c r="Q19" s="423">
        <v>216055</v>
      </c>
      <c r="R19" s="423">
        <v>151610</v>
      </c>
      <c r="S19" s="423">
        <v>179236</v>
      </c>
      <c r="T19" s="423">
        <v>108723</v>
      </c>
      <c r="U19" s="423">
        <v>178141</v>
      </c>
      <c r="W19" s="423">
        <f t="shared" si="21"/>
        <v>60700</v>
      </c>
      <c r="X19" s="423">
        <f t="shared" si="22"/>
        <v>26377</v>
      </c>
      <c r="Y19" s="423">
        <f t="shared" si="22"/>
        <v>31915</v>
      </c>
      <c r="Z19" s="423">
        <f t="shared" si="22"/>
        <v>45058</v>
      </c>
      <c r="AA19" s="423">
        <f t="shared" si="23"/>
        <v>100927</v>
      </c>
      <c r="AB19" s="423">
        <f t="shared" si="24"/>
        <v>115128</v>
      </c>
      <c r="AC19" s="423">
        <f t="shared" si="24"/>
        <v>-64445</v>
      </c>
      <c r="AD19" s="423">
        <f t="shared" si="24"/>
        <v>27626</v>
      </c>
      <c r="AE19" s="423">
        <f t="shared" si="25"/>
        <v>108723</v>
      </c>
      <c r="AF19" s="423">
        <f t="shared" si="26"/>
        <v>69418</v>
      </c>
    </row>
    <row r="20" spans="1:32" outlineLevel="1">
      <c r="A20" s="418" t="s">
        <v>620</v>
      </c>
      <c r="B20" s="418" t="s">
        <v>621</v>
      </c>
      <c r="D20" s="423">
        <v>0</v>
      </c>
      <c r="E20" s="423">
        <v>0</v>
      </c>
      <c r="F20" s="423">
        <v>0</v>
      </c>
      <c r="G20" s="423">
        <v>0</v>
      </c>
      <c r="H20" s="423">
        <v>0</v>
      </c>
      <c r="I20" s="423">
        <v>0</v>
      </c>
      <c r="J20" s="423">
        <v>0</v>
      </c>
      <c r="K20" s="423">
        <v>0</v>
      </c>
      <c r="L20" s="423">
        <v>0</v>
      </c>
      <c r="M20" s="423">
        <v>0</v>
      </c>
      <c r="N20" s="423">
        <v>0</v>
      </c>
      <c r="O20" s="423">
        <v>0</v>
      </c>
      <c r="P20" s="423">
        <v>0</v>
      </c>
      <c r="Q20" s="423">
        <v>0</v>
      </c>
      <c r="R20" s="423">
        <v>0</v>
      </c>
      <c r="S20" s="423">
        <v>0</v>
      </c>
      <c r="T20" s="423">
        <v>0</v>
      </c>
      <c r="U20" s="423">
        <v>0</v>
      </c>
      <c r="W20" s="423">
        <f t="shared" si="21"/>
        <v>0</v>
      </c>
      <c r="X20" s="423">
        <f t="shared" si="22"/>
        <v>0</v>
      </c>
      <c r="Y20" s="423">
        <f t="shared" si="22"/>
        <v>0</v>
      </c>
      <c r="Z20" s="423">
        <f t="shared" si="22"/>
        <v>0</v>
      </c>
      <c r="AA20" s="423">
        <f t="shared" si="23"/>
        <v>0</v>
      </c>
      <c r="AB20" s="423">
        <f t="shared" si="24"/>
        <v>0</v>
      </c>
      <c r="AC20" s="423">
        <f t="shared" si="24"/>
        <v>0</v>
      </c>
      <c r="AD20" s="423">
        <f t="shared" si="24"/>
        <v>0</v>
      </c>
      <c r="AE20" s="423">
        <f t="shared" si="25"/>
        <v>0</v>
      </c>
      <c r="AF20" s="423">
        <f t="shared" si="26"/>
        <v>0</v>
      </c>
    </row>
    <row r="21" spans="1:32" outlineLevel="1">
      <c r="A21" s="418" t="s">
        <v>622</v>
      </c>
      <c r="B21" s="418" t="s">
        <v>623</v>
      </c>
      <c r="D21" s="423">
        <v>0</v>
      </c>
      <c r="E21" s="423">
        <v>0</v>
      </c>
      <c r="F21" s="423">
        <v>0</v>
      </c>
      <c r="G21" s="423">
        <v>0</v>
      </c>
      <c r="H21" s="423">
        <v>0</v>
      </c>
      <c r="I21" s="423">
        <v>0</v>
      </c>
      <c r="J21" s="423">
        <v>0</v>
      </c>
      <c r="K21" s="423">
        <v>0</v>
      </c>
      <c r="L21" s="423">
        <v>0</v>
      </c>
      <c r="M21" s="423">
        <v>0</v>
      </c>
      <c r="N21" s="423">
        <v>0</v>
      </c>
      <c r="O21" s="423">
        <v>0</v>
      </c>
      <c r="P21" s="423">
        <v>0</v>
      </c>
      <c r="Q21" s="423">
        <v>0</v>
      </c>
      <c r="R21" s="423">
        <v>0</v>
      </c>
      <c r="S21" s="423">
        <v>0</v>
      </c>
      <c r="T21" s="423">
        <v>0</v>
      </c>
      <c r="U21" s="423">
        <v>0</v>
      </c>
      <c r="W21" s="423">
        <f t="shared" si="21"/>
        <v>0</v>
      </c>
      <c r="X21" s="423">
        <f t="shared" si="22"/>
        <v>0</v>
      </c>
      <c r="Y21" s="423">
        <f t="shared" si="22"/>
        <v>0</v>
      </c>
      <c r="Z21" s="423">
        <f t="shared" si="22"/>
        <v>0</v>
      </c>
      <c r="AA21" s="423">
        <f t="shared" si="23"/>
        <v>0</v>
      </c>
      <c r="AB21" s="423">
        <f t="shared" si="24"/>
        <v>0</v>
      </c>
      <c r="AC21" s="423">
        <f t="shared" si="24"/>
        <v>0</v>
      </c>
      <c r="AD21" s="423">
        <f t="shared" si="24"/>
        <v>0</v>
      </c>
      <c r="AE21" s="423">
        <f t="shared" si="25"/>
        <v>0</v>
      </c>
      <c r="AF21" s="423">
        <f t="shared" si="26"/>
        <v>0</v>
      </c>
    </row>
    <row r="22" spans="1:32" outlineLevel="1">
      <c r="A22" s="418" t="s">
        <v>624</v>
      </c>
      <c r="B22" s="418" t="s">
        <v>625</v>
      </c>
      <c r="D22" s="423">
        <v>0</v>
      </c>
      <c r="E22" s="423">
        <v>0</v>
      </c>
      <c r="F22" s="423">
        <v>0</v>
      </c>
      <c r="G22" s="423">
        <v>0</v>
      </c>
      <c r="H22" s="423">
        <v>0</v>
      </c>
      <c r="I22" s="423">
        <v>0</v>
      </c>
      <c r="J22" s="423">
        <v>0</v>
      </c>
      <c r="K22" s="423">
        <v>0</v>
      </c>
      <c r="L22" s="423">
        <v>0</v>
      </c>
      <c r="M22" s="423">
        <v>0</v>
      </c>
      <c r="N22" s="423">
        <v>0</v>
      </c>
      <c r="O22" s="423">
        <v>0</v>
      </c>
      <c r="P22" s="423">
        <v>0</v>
      </c>
      <c r="Q22" s="423">
        <v>0</v>
      </c>
      <c r="R22" s="423">
        <v>0</v>
      </c>
      <c r="S22" s="423">
        <v>0</v>
      </c>
      <c r="T22" s="423">
        <v>0</v>
      </c>
      <c r="U22" s="423">
        <v>0</v>
      </c>
      <c r="W22" s="423">
        <f t="shared" si="21"/>
        <v>0</v>
      </c>
      <c r="X22" s="423">
        <f t="shared" si="22"/>
        <v>0</v>
      </c>
      <c r="Y22" s="423">
        <f t="shared" si="22"/>
        <v>0</v>
      </c>
      <c r="Z22" s="423">
        <f t="shared" si="22"/>
        <v>0</v>
      </c>
      <c r="AA22" s="423">
        <f t="shared" si="23"/>
        <v>0</v>
      </c>
      <c r="AB22" s="423">
        <f t="shared" si="24"/>
        <v>0</v>
      </c>
      <c r="AC22" s="423">
        <f t="shared" si="24"/>
        <v>0</v>
      </c>
      <c r="AD22" s="423">
        <f t="shared" si="24"/>
        <v>0</v>
      </c>
      <c r="AE22" s="423">
        <f t="shared" si="25"/>
        <v>0</v>
      </c>
      <c r="AF22" s="423">
        <f t="shared" si="26"/>
        <v>0</v>
      </c>
    </row>
    <row r="23" spans="1:32" outlineLevel="1">
      <c r="A23" s="418" t="s">
        <v>626</v>
      </c>
      <c r="B23" s="418" t="s">
        <v>627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0</v>
      </c>
      <c r="T23" s="423">
        <v>0</v>
      </c>
      <c r="U23" s="423">
        <v>0</v>
      </c>
      <c r="W23" s="423">
        <f t="shared" si="21"/>
        <v>0</v>
      </c>
      <c r="X23" s="423">
        <f t="shared" si="22"/>
        <v>0</v>
      </c>
      <c r="Y23" s="423">
        <f t="shared" si="22"/>
        <v>0</v>
      </c>
      <c r="Z23" s="423">
        <f t="shared" si="22"/>
        <v>0</v>
      </c>
      <c r="AA23" s="423">
        <f t="shared" si="23"/>
        <v>0</v>
      </c>
      <c r="AB23" s="423">
        <f t="shared" si="24"/>
        <v>0</v>
      </c>
      <c r="AC23" s="423">
        <f t="shared" si="24"/>
        <v>0</v>
      </c>
      <c r="AD23" s="423">
        <f t="shared" si="24"/>
        <v>0</v>
      </c>
      <c r="AE23" s="423">
        <f t="shared" si="25"/>
        <v>0</v>
      </c>
      <c r="AF23" s="423">
        <f t="shared" si="26"/>
        <v>0</v>
      </c>
    </row>
    <row r="24" spans="1:32" outlineLevel="1">
      <c r="A24" s="418" t="s">
        <v>628</v>
      </c>
      <c r="B24" s="418" t="s">
        <v>629</v>
      </c>
      <c r="D24" s="423">
        <v>0</v>
      </c>
      <c r="E24" s="423">
        <v>0</v>
      </c>
      <c r="F24" s="423">
        <v>0</v>
      </c>
      <c r="G24" s="423">
        <v>0</v>
      </c>
      <c r="H24" s="423">
        <v>0</v>
      </c>
      <c r="I24" s="423">
        <v>0</v>
      </c>
      <c r="J24" s="423">
        <v>0</v>
      </c>
      <c r="K24" s="423">
        <v>0</v>
      </c>
      <c r="L24" s="423">
        <v>0</v>
      </c>
      <c r="M24" s="423">
        <v>0</v>
      </c>
      <c r="N24" s="423">
        <v>0</v>
      </c>
      <c r="O24" s="423">
        <v>0</v>
      </c>
      <c r="P24" s="423">
        <v>0</v>
      </c>
      <c r="Q24" s="423">
        <v>0</v>
      </c>
      <c r="R24" s="423">
        <v>0</v>
      </c>
      <c r="S24" s="423">
        <v>0</v>
      </c>
      <c r="T24" s="423">
        <v>0</v>
      </c>
      <c r="U24" s="423">
        <v>0</v>
      </c>
      <c r="W24" s="423">
        <f t="shared" si="21"/>
        <v>0</v>
      </c>
      <c r="X24" s="423">
        <f t="shared" si="22"/>
        <v>0</v>
      </c>
      <c r="Y24" s="423">
        <f t="shared" si="22"/>
        <v>0</v>
      </c>
      <c r="Z24" s="423">
        <f t="shared" si="22"/>
        <v>0</v>
      </c>
      <c r="AA24" s="423">
        <f t="shared" si="23"/>
        <v>0</v>
      </c>
      <c r="AB24" s="423">
        <f t="shared" si="24"/>
        <v>0</v>
      </c>
      <c r="AC24" s="423">
        <f t="shared" si="24"/>
        <v>0</v>
      </c>
      <c r="AD24" s="423">
        <f t="shared" si="24"/>
        <v>0</v>
      </c>
      <c r="AE24" s="423">
        <f t="shared" si="25"/>
        <v>0</v>
      </c>
      <c r="AF24" s="423">
        <f t="shared" si="26"/>
        <v>0</v>
      </c>
    </row>
    <row r="25" spans="1:32" outlineLevel="1">
      <c r="A25" s="418" t="s">
        <v>614</v>
      </c>
      <c r="B25" s="418" t="s">
        <v>615</v>
      </c>
      <c r="D25" s="423">
        <v>79619</v>
      </c>
      <c r="E25" s="423">
        <v>114059</v>
      </c>
      <c r="F25" s="423">
        <v>138852</v>
      </c>
      <c r="G25" s="423">
        <v>171686</v>
      </c>
      <c r="H25" s="423">
        <v>34634</v>
      </c>
      <c r="I25" s="423">
        <v>71674</v>
      </c>
      <c r="J25" s="423">
        <v>119069</v>
      </c>
      <c r="K25" s="423">
        <v>203705</v>
      </c>
      <c r="L25" s="423">
        <v>47997</v>
      </c>
      <c r="M25" s="423">
        <v>99430</v>
      </c>
      <c r="N25" s="423">
        <v>162567</v>
      </c>
      <c r="O25" s="423">
        <v>189401</v>
      </c>
      <c r="P25" s="423">
        <v>45301</v>
      </c>
      <c r="Q25" s="423">
        <v>88384</v>
      </c>
      <c r="R25" s="423">
        <v>157313</v>
      </c>
      <c r="S25" s="423">
        <v>239237</v>
      </c>
      <c r="T25" s="423">
        <v>63993</v>
      </c>
      <c r="U25" s="423">
        <v>112423</v>
      </c>
      <c r="W25" s="423">
        <f t="shared" si="21"/>
        <v>47997</v>
      </c>
      <c r="X25" s="423">
        <f t="shared" si="22"/>
        <v>51433</v>
      </c>
      <c r="Y25" s="423">
        <f t="shared" si="22"/>
        <v>63137</v>
      </c>
      <c r="Z25" s="423">
        <f t="shared" si="22"/>
        <v>26834</v>
      </c>
      <c r="AA25" s="423">
        <f t="shared" si="23"/>
        <v>45301</v>
      </c>
      <c r="AB25" s="423">
        <f t="shared" si="24"/>
        <v>43083</v>
      </c>
      <c r="AC25" s="423">
        <f t="shared" si="24"/>
        <v>68929</v>
      </c>
      <c r="AD25" s="423">
        <f t="shared" si="24"/>
        <v>81924</v>
      </c>
      <c r="AE25" s="423">
        <f t="shared" si="25"/>
        <v>63993</v>
      </c>
      <c r="AF25" s="423">
        <f t="shared" si="26"/>
        <v>48430</v>
      </c>
    </row>
    <row r="26" spans="1:32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</row>
    <row r="27" spans="1:32">
      <c r="A27" s="429" t="s">
        <v>630</v>
      </c>
      <c r="B27" s="429" t="s">
        <v>631</v>
      </c>
      <c r="D27" s="420">
        <f t="shared" ref="D27:I27" si="27">SUM(D29:D37)</f>
        <v>-466451</v>
      </c>
      <c r="E27" s="420">
        <f t="shared" si="27"/>
        <v>-962519</v>
      </c>
      <c r="F27" s="420">
        <f t="shared" si="27"/>
        <v>-1367750</v>
      </c>
      <c r="G27" s="420">
        <f t="shared" si="27"/>
        <v>-1788045</v>
      </c>
      <c r="H27" s="420">
        <f t="shared" si="27"/>
        <v>-395545</v>
      </c>
      <c r="I27" s="420">
        <f t="shared" si="27"/>
        <v>-834239</v>
      </c>
      <c r="J27" s="420">
        <f t="shared" ref="J27:R27" si="28">SUM(J29:J37)</f>
        <v>-1332903</v>
      </c>
      <c r="K27" s="420">
        <f t="shared" si="28"/>
        <v>-1874222</v>
      </c>
      <c r="L27" s="420">
        <f t="shared" si="28"/>
        <v>-526513</v>
      </c>
      <c r="M27" s="420">
        <f t="shared" si="28"/>
        <v>-1109037</v>
      </c>
      <c r="N27" s="420">
        <f t="shared" si="28"/>
        <v>-1705179</v>
      </c>
      <c r="O27" s="420">
        <f t="shared" si="28"/>
        <v>-2339507</v>
      </c>
      <c r="P27" s="420">
        <f t="shared" si="28"/>
        <v>-528049</v>
      </c>
      <c r="Q27" s="420">
        <f t="shared" si="28"/>
        <v>-1147122</v>
      </c>
      <c r="R27" s="420">
        <f t="shared" si="28"/>
        <v>-1865664</v>
      </c>
      <c r="S27" s="420">
        <f t="shared" ref="S27:T27" si="29">SUM(S29:S37)</f>
        <v>-2726637</v>
      </c>
      <c r="T27" s="420">
        <f t="shared" si="29"/>
        <v>-737276</v>
      </c>
      <c r="U27" s="741">
        <f>SUM(U29:U37)</f>
        <v>-1546291</v>
      </c>
      <c r="W27" s="420">
        <f t="shared" ref="W27:AC27" si="30">SUM(W29:W37)</f>
        <v>-526513</v>
      </c>
      <c r="X27" s="420">
        <f t="shared" si="30"/>
        <v>-582524</v>
      </c>
      <c r="Y27" s="420">
        <f t="shared" si="30"/>
        <v>-596142</v>
      </c>
      <c r="Z27" s="420">
        <f t="shared" si="30"/>
        <v>-634328</v>
      </c>
      <c r="AA27" s="420">
        <f t="shared" si="30"/>
        <v>-528049</v>
      </c>
      <c r="AB27" s="420">
        <f t="shared" si="30"/>
        <v>-619073</v>
      </c>
      <c r="AC27" s="420">
        <f t="shared" si="30"/>
        <v>-718542</v>
      </c>
      <c r="AD27" s="420">
        <f t="shared" ref="AD27:AE27" si="31">SUM(AD29:AD37)</f>
        <v>-860973</v>
      </c>
      <c r="AE27" s="420">
        <f t="shared" si="31"/>
        <v>-737276</v>
      </c>
      <c r="AF27" s="741">
        <f>SUM(AF29:AF37)</f>
        <v>-809015</v>
      </c>
    </row>
    <row r="28" spans="1:32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</row>
    <row r="29" spans="1:32" outlineLevel="1">
      <c r="A29" s="418" t="s">
        <v>632</v>
      </c>
      <c r="B29" s="418" t="s">
        <v>632</v>
      </c>
      <c r="D29" s="423">
        <v>-256115</v>
      </c>
      <c r="E29" s="423">
        <v>-491946</v>
      </c>
      <c r="F29" s="423">
        <v>-705650</v>
      </c>
      <c r="G29" s="423">
        <v>-922669</v>
      </c>
      <c r="H29" s="423">
        <v>-190298</v>
      </c>
      <c r="I29" s="423">
        <v>-427617</v>
      </c>
      <c r="J29" s="423">
        <v>-693925</v>
      </c>
      <c r="K29" s="423">
        <v>-1006276</v>
      </c>
      <c r="L29" s="423">
        <v>-295644</v>
      </c>
      <c r="M29" s="423">
        <v>-636261</v>
      </c>
      <c r="N29" s="423">
        <v>-991503</v>
      </c>
      <c r="O29" s="423">
        <v>-1380286</v>
      </c>
      <c r="P29" s="423">
        <v>-318830</v>
      </c>
      <c r="Q29" s="423">
        <v>-686273</v>
      </c>
      <c r="R29" s="423">
        <v>-1111189</v>
      </c>
      <c r="S29" s="423">
        <v>-1611798</v>
      </c>
      <c r="T29" s="423">
        <v>-413364</v>
      </c>
      <c r="U29" s="423">
        <v>-859762</v>
      </c>
      <c r="W29" s="423">
        <f t="shared" ref="W29:W37" si="32">L29</f>
        <v>-295644</v>
      </c>
      <c r="X29" s="423">
        <f t="shared" ref="X29:X37" si="33">M29-L29</f>
        <v>-340617</v>
      </c>
      <c r="Y29" s="423">
        <f t="shared" ref="Y29:Y37" si="34">N29-M29</f>
        <v>-355242</v>
      </c>
      <c r="Z29" s="423">
        <f t="shared" ref="Z29:Z37" si="35">O29-N29</f>
        <v>-388783</v>
      </c>
      <c r="AA29" s="423">
        <f t="shared" ref="AA29:AA37" si="36">P29</f>
        <v>-318830</v>
      </c>
      <c r="AB29" s="423">
        <f t="shared" ref="AB29:AB37" si="37">Q29-P29</f>
        <v>-367443</v>
      </c>
      <c r="AC29" s="423">
        <f t="shared" ref="AC29:AC37" si="38">R29-Q29</f>
        <v>-424916</v>
      </c>
      <c r="AD29" s="423">
        <f t="shared" ref="AD29:AD37" si="39">S29-R29</f>
        <v>-500609</v>
      </c>
      <c r="AE29" s="423">
        <f t="shared" ref="AE29:AE37" si="40">T29</f>
        <v>-413364</v>
      </c>
      <c r="AF29" s="423">
        <f t="shared" ref="AF29:AF37" si="41">U29-T29</f>
        <v>-446398</v>
      </c>
    </row>
    <row r="30" spans="1:32" outlineLevel="1">
      <c r="A30" s="418" t="s">
        <v>633</v>
      </c>
      <c r="B30" s="418" t="s">
        <v>634</v>
      </c>
      <c r="D30" s="423">
        <v>-106839</v>
      </c>
      <c r="E30" s="423">
        <v>-267194</v>
      </c>
      <c r="F30" s="423">
        <v>-369460</v>
      </c>
      <c r="G30" s="423">
        <v>-483247</v>
      </c>
      <c r="H30" s="423">
        <v>-106623</v>
      </c>
      <c r="I30" s="423">
        <v>-211892</v>
      </c>
      <c r="J30" s="423">
        <v>-338607</v>
      </c>
      <c r="K30" s="423">
        <v>-459855</v>
      </c>
      <c r="L30" s="423">
        <v>-111578</v>
      </c>
      <c r="M30" s="423">
        <v>-233243</v>
      </c>
      <c r="N30" s="423">
        <v>-359353</v>
      </c>
      <c r="O30" s="423">
        <v>-520364</v>
      </c>
      <c r="P30" s="423">
        <v>-94140</v>
      </c>
      <c r="Q30" s="423">
        <v>-225386</v>
      </c>
      <c r="R30" s="423">
        <v>-361132</v>
      </c>
      <c r="S30" s="423">
        <v>-557911</v>
      </c>
      <c r="T30" s="423">
        <v>-146413</v>
      </c>
      <c r="U30" s="423">
        <v>-332195</v>
      </c>
      <c r="W30" s="423">
        <f t="shared" si="32"/>
        <v>-111578</v>
      </c>
      <c r="X30" s="423">
        <f t="shared" si="33"/>
        <v>-121665</v>
      </c>
      <c r="Y30" s="423">
        <f t="shared" si="34"/>
        <v>-126110</v>
      </c>
      <c r="Z30" s="423">
        <f t="shared" si="35"/>
        <v>-161011</v>
      </c>
      <c r="AA30" s="423">
        <f t="shared" si="36"/>
        <v>-94140</v>
      </c>
      <c r="AB30" s="423">
        <f t="shared" si="37"/>
        <v>-131246</v>
      </c>
      <c r="AC30" s="423">
        <f t="shared" si="38"/>
        <v>-135746</v>
      </c>
      <c r="AD30" s="423">
        <f t="shared" si="39"/>
        <v>-196779</v>
      </c>
      <c r="AE30" s="423">
        <f t="shared" si="40"/>
        <v>-146413</v>
      </c>
      <c r="AF30" s="423">
        <f t="shared" si="41"/>
        <v>-185782</v>
      </c>
    </row>
    <row r="31" spans="1:32" outlineLevel="1">
      <c r="A31" s="418" t="s">
        <v>635</v>
      </c>
      <c r="B31" s="418" t="s">
        <v>636</v>
      </c>
      <c r="D31" s="423">
        <v>0</v>
      </c>
      <c r="E31" s="423">
        <v>0</v>
      </c>
      <c r="F31" s="423">
        <v>0</v>
      </c>
      <c r="G31" s="423">
        <v>0</v>
      </c>
      <c r="H31" s="423">
        <v>0</v>
      </c>
      <c r="I31" s="423">
        <v>0</v>
      </c>
      <c r="J31" s="423">
        <v>0</v>
      </c>
      <c r="K31" s="423">
        <v>0</v>
      </c>
      <c r="L31" s="423">
        <v>0</v>
      </c>
      <c r="M31" s="423">
        <v>0</v>
      </c>
      <c r="N31" s="423">
        <v>0</v>
      </c>
      <c r="O31" s="423">
        <v>0</v>
      </c>
      <c r="P31" s="423">
        <v>0</v>
      </c>
      <c r="Q31" s="423">
        <v>0</v>
      </c>
      <c r="R31" s="423">
        <v>0</v>
      </c>
      <c r="S31" s="423">
        <v>0</v>
      </c>
      <c r="T31" s="423">
        <v>0</v>
      </c>
      <c r="U31" s="423">
        <v>0</v>
      </c>
      <c r="W31" s="423">
        <f t="shared" si="32"/>
        <v>0</v>
      </c>
      <c r="X31" s="423">
        <f t="shared" si="33"/>
        <v>0</v>
      </c>
      <c r="Y31" s="423">
        <f t="shared" si="34"/>
        <v>0</v>
      </c>
      <c r="Z31" s="423">
        <f t="shared" si="35"/>
        <v>0</v>
      </c>
      <c r="AA31" s="423">
        <f t="shared" si="36"/>
        <v>0</v>
      </c>
      <c r="AB31" s="423">
        <f t="shared" si="37"/>
        <v>0</v>
      </c>
      <c r="AC31" s="423">
        <f t="shared" si="38"/>
        <v>0</v>
      </c>
      <c r="AD31" s="423">
        <f t="shared" si="39"/>
        <v>0</v>
      </c>
      <c r="AE31" s="423">
        <f t="shared" si="40"/>
        <v>0</v>
      </c>
      <c r="AF31" s="423">
        <f t="shared" si="41"/>
        <v>0</v>
      </c>
    </row>
    <row r="32" spans="1:32" outlineLevel="1">
      <c r="A32" s="418" t="s">
        <v>637</v>
      </c>
      <c r="B32" s="418" t="s">
        <v>638</v>
      </c>
      <c r="D32" s="423">
        <v>0</v>
      </c>
      <c r="E32" s="423">
        <v>0</v>
      </c>
      <c r="F32" s="423">
        <v>0</v>
      </c>
      <c r="G32" s="423">
        <v>0</v>
      </c>
      <c r="H32" s="423">
        <v>0</v>
      </c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>
        <v>0</v>
      </c>
      <c r="T32" s="423">
        <v>0</v>
      </c>
      <c r="U32" s="423">
        <v>0</v>
      </c>
      <c r="W32" s="423">
        <f t="shared" si="32"/>
        <v>0</v>
      </c>
      <c r="X32" s="423">
        <f t="shared" si="33"/>
        <v>0</v>
      </c>
      <c r="Y32" s="423">
        <f t="shared" si="34"/>
        <v>0</v>
      </c>
      <c r="Z32" s="423">
        <f t="shared" si="35"/>
        <v>0</v>
      </c>
      <c r="AA32" s="423">
        <f t="shared" si="36"/>
        <v>0</v>
      </c>
      <c r="AB32" s="423">
        <f t="shared" si="37"/>
        <v>0</v>
      </c>
      <c r="AC32" s="423">
        <f t="shared" si="38"/>
        <v>0</v>
      </c>
      <c r="AD32" s="423">
        <f t="shared" si="39"/>
        <v>0</v>
      </c>
      <c r="AE32" s="423">
        <f t="shared" si="40"/>
        <v>0</v>
      </c>
      <c r="AF32" s="423">
        <f t="shared" si="41"/>
        <v>0</v>
      </c>
    </row>
    <row r="33" spans="1:32" outlineLevel="1">
      <c r="A33" s="418" t="s">
        <v>639</v>
      </c>
      <c r="B33" s="418" t="s">
        <v>640</v>
      </c>
      <c r="D33" s="423">
        <v>-8133</v>
      </c>
      <c r="E33" s="423">
        <v>-15971</v>
      </c>
      <c r="F33" s="423">
        <v>-25318</v>
      </c>
      <c r="G33" s="423">
        <v>-35835</v>
      </c>
      <c r="H33" s="423">
        <v>-9781</v>
      </c>
      <c r="I33" s="423">
        <v>-19943</v>
      </c>
      <c r="J33" s="423">
        <v>-36165</v>
      </c>
      <c r="K33" s="423">
        <v>-47568</v>
      </c>
      <c r="L33" s="423">
        <v>-10395</v>
      </c>
      <c r="M33" s="423">
        <v>-21679</v>
      </c>
      <c r="N33" s="423">
        <v>-34765</v>
      </c>
      <c r="O33" s="423">
        <v>-47900</v>
      </c>
      <c r="P33" s="423">
        <v>-10965</v>
      </c>
      <c r="Q33" s="423">
        <v>-23360</v>
      </c>
      <c r="R33" s="423">
        <v>-38135</v>
      </c>
      <c r="S33" s="423">
        <v>-54361</v>
      </c>
      <c r="T33" s="423">
        <v>-13152</v>
      </c>
      <c r="U33" s="423">
        <v>-28686</v>
      </c>
      <c r="W33" s="423">
        <f t="shared" si="32"/>
        <v>-10395</v>
      </c>
      <c r="X33" s="423">
        <f t="shared" si="33"/>
        <v>-11284</v>
      </c>
      <c r="Y33" s="423">
        <f t="shared" si="34"/>
        <v>-13086</v>
      </c>
      <c r="Z33" s="423">
        <f t="shared" si="35"/>
        <v>-13135</v>
      </c>
      <c r="AA33" s="423">
        <f t="shared" si="36"/>
        <v>-10965</v>
      </c>
      <c r="AB33" s="423">
        <f t="shared" si="37"/>
        <v>-12395</v>
      </c>
      <c r="AC33" s="423">
        <f t="shared" si="38"/>
        <v>-14775</v>
      </c>
      <c r="AD33" s="423">
        <f t="shared" si="39"/>
        <v>-16226</v>
      </c>
      <c r="AE33" s="423">
        <f t="shared" si="40"/>
        <v>-13152</v>
      </c>
      <c r="AF33" s="423">
        <f t="shared" si="41"/>
        <v>-15534</v>
      </c>
    </row>
    <row r="34" spans="1:32" outlineLevel="1">
      <c r="A34" s="418" t="s">
        <v>641</v>
      </c>
      <c r="B34" s="418" t="s">
        <v>642</v>
      </c>
      <c r="D34" s="423">
        <v>-1546</v>
      </c>
      <c r="E34" s="423">
        <v>-3093</v>
      </c>
      <c r="F34" s="423">
        <v>-4754</v>
      </c>
      <c r="G34" s="423">
        <v>-6473</v>
      </c>
      <c r="H34" s="423">
        <v>-1719</v>
      </c>
      <c r="I34" s="423">
        <v>-3438</v>
      </c>
      <c r="J34" s="423">
        <v>-5148</v>
      </c>
      <c r="K34" s="423">
        <v>-6855</v>
      </c>
      <c r="L34" s="423">
        <v>-1706</v>
      </c>
      <c r="M34" s="423">
        <v>-3413</v>
      </c>
      <c r="N34" s="423">
        <v>-5224</v>
      </c>
      <c r="O34" s="423">
        <v>-7245</v>
      </c>
      <c r="P34" s="423">
        <v>-2021</v>
      </c>
      <c r="Q34" s="423">
        <v>-4042</v>
      </c>
      <c r="R34" s="423">
        <v>-6123</v>
      </c>
      <c r="S34" s="423">
        <v>-8323</v>
      </c>
      <c r="T34" s="423">
        <v>-2200</v>
      </c>
      <c r="U34" s="423">
        <v>-4400</v>
      </c>
      <c r="W34" s="423">
        <f t="shared" si="32"/>
        <v>-1706</v>
      </c>
      <c r="X34" s="423">
        <f t="shared" si="33"/>
        <v>-1707</v>
      </c>
      <c r="Y34" s="423">
        <f t="shared" si="34"/>
        <v>-1811</v>
      </c>
      <c r="Z34" s="423">
        <f t="shared" si="35"/>
        <v>-2021</v>
      </c>
      <c r="AA34" s="423">
        <f t="shared" si="36"/>
        <v>-2021</v>
      </c>
      <c r="AB34" s="423">
        <f t="shared" si="37"/>
        <v>-2021</v>
      </c>
      <c r="AC34" s="423">
        <f t="shared" si="38"/>
        <v>-2081</v>
      </c>
      <c r="AD34" s="423">
        <f t="shared" si="39"/>
        <v>-2200</v>
      </c>
      <c r="AE34" s="423">
        <f t="shared" si="40"/>
        <v>-2200</v>
      </c>
      <c r="AF34" s="423">
        <f t="shared" si="41"/>
        <v>-2200</v>
      </c>
    </row>
    <row r="35" spans="1:32" outlineLevel="1">
      <c r="A35" s="418" t="s">
        <v>643</v>
      </c>
      <c r="B35" s="418" t="s">
        <v>644</v>
      </c>
      <c r="D35" s="423">
        <v>-74642</v>
      </c>
      <c r="E35" s="423">
        <v>-148100</v>
      </c>
      <c r="F35" s="423">
        <v>-220966</v>
      </c>
      <c r="G35" s="423">
        <v>-293832</v>
      </c>
      <c r="H35" s="423">
        <v>-77162</v>
      </c>
      <c r="I35" s="423">
        <v>-154049</v>
      </c>
      <c r="J35" s="423">
        <v>-237700</v>
      </c>
      <c r="K35" s="423">
        <v>-324732</v>
      </c>
      <c r="L35" s="423">
        <v>-99898</v>
      </c>
      <c r="M35" s="423">
        <v>-199796</v>
      </c>
      <c r="N35" s="423">
        <v>-294287</v>
      </c>
      <c r="O35" s="423">
        <v>-358175</v>
      </c>
      <c r="P35" s="423">
        <v>-93771</v>
      </c>
      <c r="Q35" s="423">
        <v>-187543</v>
      </c>
      <c r="R35" s="423">
        <v>-308361</v>
      </c>
      <c r="S35" s="423">
        <v>-442702</v>
      </c>
      <c r="T35" s="423">
        <v>-150327</v>
      </c>
      <c r="U35" s="423">
        <v>-300654</v>
      </c>
      <c r="W35" s="423">
        <f t="shared" si="32"/>
        <v>-99898</v>
      </c>
      <c r="X35" s="423">
        <f t="shared" si="33"/>
        <v>-99898</v>
      </c>
      <c r="Y35" s="423">
        <f t="shared" si="34"/>
        <v>-94491</v>
      </c>
      <c r="Z35" s="423">
        <f t="shared" si="35"/>
        <v>-63888</v>
      </c>
      <c r="AA35" s="423">
        <f t="shared" si="36"/>
        <v>-93771</v>
      </c>
      <c r="AB35" s="423">
        <f t="shared" si="37"/>
        <v>-93772</v>
      </c>
      <c r="AC35" s="423">
        <f t="shared" si="38"/>
        <v>-120818</v>
      </c>
      <c r="AD35" s="423">
        <f t="shared" si="39"/>
        <v>-134341</v>
      </c>
      <c r="AE35" s="423">
        <f t="shared" si="40"/>
        <v>-150327</v>
      </c>
      <c r="AF35" s="423">
        <f t="shared" si="41"/>
        <v>-150327</v>
      </c>
    </row>
    <row r="36" spans="1:32" outlineLevel="1">
      <c r="A36" s="418" t="s">
        <v>645</v>
      </c>
      <c r="B36" s="418" t="s">
        <v>645</v>
      </c>
      <c r="D36" s="423">
        <v>-431</v>
      </c>
      <c r="E36" s="423">
        <v>-849</v>
      </c>
      <c r="F36" s="423">
        <v>-1297</v>
      </c>
      <c r="G36" s="423">
        <v>-1792</v>
      </c>
      <c r="H36" s="423">
        <v>-409</v>
      </c>
      <c r="I36" s="423">
        <v>-877</v>
      </c>
      <c r="J36" s="423">
        <v>-1338</v>
      </c>
      <c r="K36" s="423">
        <v>-1884</v>
      </c>
      <c r="L36" s="423">
        <v>-410</v>
      </c>
      <c r="M36" s="423">
        <v>-1056</v>
      </c>
      <c r="N36" s="423">
        <v>-1693</v>
      </c>
      <c r="O36" s="423">
        <v>-2331</v>
      </c>
      <c r="P36" s="423">
        <v>-596</v>
      </c>
      <c r="Q36" s="423">
        <v>-1188</v>
      </c>
      <c r="R36" s="423">
        <v>-1836</v>
      </c>
      <c r="S36" s="423">
        <v>-2380</v>
      </c>
      <c r="T36" s="423">
        <v>-492</v>
      </c>
      <c r="U36" s="423">
        <v>-889</v>
      </c>
      <c r="W36" s="423">
        <f t="shared" si="32"/>
        <v>-410</v>
      </c>
      <c r="X36" s="423">
        <f t="shared" si="33"/>
        <v>-646</v>
      </c>
      <c r="Y36" s="423">
        <f t="shared" si="34"/>
        <v>-637</v>
      </c>
      <c r="Z36" s="423">
        <f t="shared" si="35"/>
        <v>-638</v>
      </c>
      <c r="AA36" s="423">
        <f t="shared" si="36"/>
        <v>-596</v>
      </c>
      <c r="AB36" s="423">
        <f t="shared" si="37"/>
        <v>-592</v>
      </c>
      <c r="AC36" s="423">
        <f t="shared" si="38"/>
        <v>-648</v>
      </c>
      <c r="AD36" s="423">
        <f t="shared" si="39"/>
        <v>-544</v>
      </c>
      <c r="AE36" s="423">
        <f t="shared" si="40"/>
        <v>-492</v>
      </c>
      <c r="AF36" s="423">
        <f t="shared" si="41"/>
        <v>-397</v>
      </c>
    </row>
    <row r="37" spans="1:32" outlineLevel="1">
      <c r="A37" s="418" t="s">
        <v>95</v>
      </c>
      <c r="B37" s="418" t="s">
        <v>96</v>
      </c>
      <c r="D37" s="423">
        <v>-18745</v>
      </c>
      <c r="E37" s="423">
        <v>-35366</v>
      </c>
      <c r="F37" s="423">
        <v>-40305</v>
      </c>
      <c r="G37" s="423">
        <v>-44197</v>
      </c>
      <c r="H37" s="423">
        <v>-9553</v>
      </c>
      <c r="I37" s="423">
        <v>-16423</v>
      </c>
      <c r="J37" s="423">
        <v>-20020</v>
      </c>
      <c r="K37" s="423">
        <v>-27052</v>
      </c>
      <c r="L37" s="423">
        <v>-6882</v>
      </c>
      <c r="M37" s="423">
        <v>-13589</v>
      </c>
      <c r="N37" s="423">
        <v>-18354</v>
      </c>
      <c r="O37" s="423">
        <v>-23206</v>
      </c>
      <c r="P37" s="423">
        <v>-7726</v>
      </c>
      <c r="Q37" s="423">
        <v>-19330</v>
      </c>
      <c r="R37" s="423">
        <v>-38888</v>
      </c>
      <c r="S37" s="423">
        <v>-49162</v>
      </c>
      <c r="T37" s="423">
        <v>-11328</v>
      </c>
      <c r="U37" s="423">
        <v>-19705</v>
      </c>
      <c r="W37" s="423">
        <f t="shared" si="32"/>
        <v>-6882</v>
      </c>
      <c r="X37" s="423">
        <f t="shared" si="33"/>
        <v>-6707</v>
      </c>
      <c r="Y37" s="423">
        <f t="shared" si="34"/>
        <v>-4765</v>
      </c>
      <c r="Z37" s="423">
        <f t="shared" si="35"/>
        <v>-4852</v>
      </c>
      <c r="AA37" s="423">
        <f t="shared" si="36"/>
        <v>-7726</v>
      </c>
      <c r="AB37" s="423">
        <f t="shared" si="37"/>
        <v>-11604</v>
      </c>
      <c r="AC37" s="423">
        <f t="shared" si="38"/>
        <v>-19558</v>
      </c>
      <c r="AD37" s="423">
        <f t="shared" si="39"/>
        <v>-10274</v>
      </c>
      <c r="AE37" s="423">
        <f t="shared" si="40"/>
        <v>-11328</v>
      </c>
      <c r="AF37" s="423">
        <f t="shared" si="41"/>
        <v>-8377</v>
      </c>
    </row>
    <row r="38" spans="1:32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</row>
    <row r="39" spans="1:32">
      <c r="A39" s="429" t="s">
        <v>646</v>
      </c>
      <c r="B39" s="429" t="s">
        <v>647</v>
      </c>
      <c r="D39" s="420">
        <f t="shared" ref="D39:I39" si="42">D27+D6</f>
        <v>1046294</v>
      </c>
      <c r="E39" s="420">
        <f t="shared" si="42"/>
        <v>2171973</v>
      </c>
      <c r="F39" s="420">
        <f t="shared" si="42"/>
        <v>3380328</v>
      </c>
      <c r="G39" s="420">
        <f t="shared" si="42"/>
        <v>4842716</v>
      </c>
      <c r="H39" s="420">
        <f t="shared" si="42"/>
        <v>1242867</v>
      </c>
      <c r="I39" s="420">
        <f t="shared" si="42"/>
        <v>2552098</v>
      </c>
      <c r="J39" s="420">
        <f t="shared" ref="J39:R39" si="43">J27+J6</f>
        <v>4027108</v>
      </c>
      <c r="K39" s="420">
        <f t="shared" si="43"/>
        <v>5669353</v>
      </c>
      <c r="L39" s="420">
        <f t="shared" si="43"/>
        <v>1350693</v>
      </c>
      <c r="M39" s="420">
        <f t="shared" si="43"/>
        <v>2831400</v>
      </c>
      <c r="N39" s="420">
        <f t="shared" si="43"/>
        <v>4506536</v>
      </c>
      <c r="O39" s="420">
        <f t="shared" si="43"/>
        <v>6212072</v>
      </c>
      <c r="P39" s="420">
        <f t="shared" si="43"/>
        <v>1532262</v>
      </c>
      <c r="Q39" s="420">
        <f t="shared" si="43"/>
        <v>3218068</v>
      </c>
      <c r="R39" s="420">
        <f t="shared" si="43"/>
        <v>4994622</v>
      </c>
      <c r="S39" s="420">
        <f t="shared" ref="S39:T39" si="44">S27+S6</f>
        <v>6976919</v>
      </c>
      <c r="T39" s="420">
        <f t="shared" si="44"/>
        <v>1737101</v>
      </c>
      <c r="U39" s="741">
        <f>U27+U6</f>
        <v>3730977</v>
      </c>
      <c r="V39" s="420"/>
      <c r="W39" s="420">
        <f t="shared" ref="W39:AC39" si="45">W27+W6</f>
        <v>1350693</v>
      </c>
      <c r="X39" s="420">
        <f t="shared" si="45"/>
        <v>1480707</v>
      </c>
      <c r="Y39" s="420">
        <f t="shared" si="45"/>
        <v>1675136</v>
      </c>
      <c r="Z39" s="420">
        <f t="shared" si="45"/>
        <v>1705536</v>
      </c>
      <c r="AA39" s="420">
        <f t="shared" si="45"/>
        <v>1532262</v>
      </c>
      <c r="AB39" s="420">
        <f t="shared" si="45"/>
        <v>1685806</v>
      </c>
      <c r="AC39" s="420">
        <f t="shared" si="45"/>
        <v>1776554</v>
      </c>
      <c r="AD39" s="420">
        <f t="shared" ref="AD39:AE39" si="46">AD27+AD6</f>
        <v>1982297</v>
      </c>
      <c r="AE39" s="420">
        <f t="shared" si="46"/>
        <v>1737101</v>
      </c>
      <c r="AF39" s="741">
        <f>AF27+AF6</f>
        <v>1993876</v>
      </c>
    </row>
    <row r="40" spans="1:32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</row>
    <row r="41" spans="1:32">
      <c r="A41" s="416" t="s">
        <v>648</v>
      </c>
      <c r="B41" s="416" t="s">
        <v>649</v>
      </c>
      <c r="D41" s="424">
        <f t="shared" ref="D41:I41" si="47">SUM(D43:D49)</f>
        <v>-694592</v>
      </c>
      <c r="E41" s="424">
        <f t="shared" si="47"/>
        <v>-1519458</v>
      </c>
      <c r="F41" s="424">
        <f t="shared" si="47"/>
        <v>-2432973</v>
      </c>
      <c r="G41" s="424">
        <f t="shared" si="47"/>
        <v>-3387405</v>
      </c>
      <c r="H41" s="424">
        <f t="shared" si="47"/>
        <v>-868082</v>
      </c>
      <c r="I41" s="424">
        <f t="shared" si="47"/>
        <v>-1783166</v>
      </c>
      <c r="J41" s="424">
        <f t="shared" ref="J41:R41" si="48">SUM(J43:J49)</f>
        <v>-2842536</v>
      </c>
      <c r="K41" s="424">
        <f t="shared" si="48"/>
        <v>-3957680</v>
      </c>
      <c r="L41" s="424">
        <f t="shared" si="48"/>
        <v>-934176</v>
      </c>
      <c r="M41" s="424">
        <f t="shared" si="48"/>
        <v>-1976278</v>
      </c>
      <c r="N41" s="424">
        <f t="shared" si="48"/>
        <v>-3223294</v>
      </c>
      <c r="O41" s="424">
        <f t="shared" si="48"/>
        <v>-4475732</v>
      </c>
      <c r="P41" s="424">
        <f t="shared" si="48"/>
        <v>-1067431</v>
      </c>
      <c r="Q41" s="424">
        <f t="shared" si="48"/>
        <v>-2231274</v>
      </c>
      <c r="R41" s="424">
        <f t="shared" si="48"/>
        <v>-3566042</v>
      </c>
      <c r="S41" s="424">
        <f t="shared" ref="S41:T41" si="49">SUM(S43:S49)</f>
        <v>-4889581</v>
      </c>
      <c r="T41" s="424">
        <f t="shared" si="49"/>
        <v>-1102861</v>
      </c>
      <c r="U41" s="424">
        <f>SUM(U43:U49)</f>
        <v>-2469715</v>
      </c>
      <c r="V41" s="424"/>
      <c r="W41" s="424">
        <f t="shared" ref="W41:AC41" si="50">SUM(W43:W49)</f>
        <v>-934176</v>
      </c>
      <c r="X41" s="424">
        <f t="shared" si="50"/>
        <v>-1042102</v>
      </c>
      <c r="Y41" s="424">
        <f t="shared" si="50"/>
        <v>-1247016</v>
      </c>
      <c r="Z41" s="424">
        <f t="shared" si="50"/>
        <v>-1252438</v>
      </c>
      <c r="AA41" s="424">
        <f t="shared" si="50"/>
        <v>-1067431</v>
      </c>
      <c r="AB41" s="424">
        <f t="shared" si="50"/>
        <v>-1163843</v>
      </c>
      <c r="AC41" s="424">
        <f t="shared" si="50"/>
        <v>-1334768</v>
      </c>
      <c r="AD41" s="424">
        <f t="shared" ref="AD41:AE41" si="51">SUM(AD43:AD49)</f>
        <v>-1323539</v>
      </c>
      <c r="AE41" s="424">
        <f t="shared" si="51"/>
        <v>-1102861</v>
      </c>
      <c r="AF41" s="424">
        <f>SUM(AF43:AF49)</f>
        <v>-1083607</v>
      </c>
    </row>
    <row r="42" spans="1:32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</row>
    <row r="43" spans="1:32">
      <c r="A43" s="417" t="s">
        <v>650</v>
      </c>
      <c r="B43" s="417" t="s">
        <v>651</v>
      </c>
      <c r="D43" s="422">
        <v>-468986</v>
      </c>
      <c r="E43" s="422">
        <v>-948914</v>
      </c>
      <c r="F43" s="422">
        <v>-1463089</v>
      </c>
      <c r="G43" s="422">
        <v>-2022692</v>
      </c>
      <c r="H43" s="422">
        <v>-551536</v>
      </c>
      <c r="I43" s="422">
        <v>-1114049</v>
      </c>
      <c r="J43" s="422">
        <v>-1722960</v>
      </c>
      <c r="K43" s="422">
        <v>-2396687</v>
      </c>
      <c r="L43" s="422">
        <v>-572846</v>
      </c>
      <c r="M43" s="422">
        <v>-1202660</v>
      </c>
      <c r="N43" s="422">
        <v>-1972397</v>
      </c>
      <c r="O43" s="422">
        <v>-2744453</v>
      </c>
      <c r="P43" s="422">
        <v>-625408</v>
      </c>
      <c r="Q43" s="422">
        <v>-1319119</v>
      </c>
      <c r="R43" s="643">
        <v>-2162241</v>
      </c>
      <c r="S43" s="422">
        <v>-3057179</v>
      </c>
      <c r="T43" s="422">
        <v>-680062</v>
      </c>
      <c r="U43" s="422">
        <v>-1285610</v>
      </c>
      <c r="W43" s="422">
        <f>L43</f>
        <v>-572846</v>
      </c>
      <c r="X43" s="422">
        <f>M43-L43</f>
        <v>-629814</v>
      </c>
      <c r="Y43" s="422">
        <f>N43-M43</f>
        <v>-769737</v>
      </c>
      <c r="Z43" s="422">
        <f>O43-N43</f>
        <v>-772056</v>
      </c>
      <c r="AA43" s="422">
        <f>P43</f>
        <v>-625408</v>
      </c>
      <c r="AB43" s="422">
        <f>Q43-P43</f>
        <v>-693711</v>
      </c>
      <c r="AC43" s="422">
        <f>R43-Q43</f>
        <v>-843122</v>
      </c>
      <c r="AD43" s="422">
        <f>S43-R43</f>
        <v>-894938</v>
      </c>
      <c r="AE43" s="422">
        <f>T43</f>
        <v>-680062</v>
      </c>
      <c r="AF43" s="422">
        <f>U43-T43</f>
        <v>-605548</v>
      </c>
    </row>
    <row r="44" spans="1:32">
      <c r="A44" s="417" t="s">
        <v>2498</v>
      </c>
      <c r="B44" s="417" t="s">
        <v>2499</v>
      </c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643"/>
      <c r="S44" s="422"/>
      <c r="T44" s="422"/>
      <c r="U44" s="422">
        <v>-283247</v>
      </c>
      <c r="W44" s="422"/>
      <c r="X44" s="422"/>
      <c r="Y44" s="422"/>
      <c r="Z44" s="422"/>
      <c r="AA44" s="422"/>
      <c r="AB44" s="422"/>
      <c r="AC44" s="422"/>
      <c r="AD44" s="422"/>
      <c r="AE44" s="422"/>
      <c r="AF44" s="422"/>
    </row>
    <row r="45" spans="1:32">
      <c r="A45" s="417" t="s">
        <v>652</v>
      </c>
      <c r="B45" s="417" t="s">
        <v>653</v>
      </c>
      <c r="D45" s="422">
        <v>-140638</v>
      </c>
      <c r="E45" s="422">
        <v>-383409</v>
      </c>
      <c r="F45" s="422">
        <v>-669306</v>
      </c>
      <c r="G45" s="422">
        <v>-952638</v>
      </c>
      <c r="H45" s="422">
        <v>-197896</v>
      </c>
      <c r="I45" s="422">
        <v>-430068</v>
      </c>
      <c r="J45" s="422">
        <v>-753645</v>
      </c>
      <c r="K45" s="422">
        <v>-1044544</v>
      </c>
      <c r="L45" s="422">
        <v>-220142</v>
      </c>
      <c r="M45" s="422">
        <v>-510627</v>
      </c>
      <c r="N45" s="422">
        <v>-810917</v>
      </c>
      <c r="O45" s="422">
        <v>-1145870</v>
      </c>
      <c r="P45" s="422">
        <v>-306598</v>
      </c>
      <c r="Q45" s="422">
        <v>-609891</v>
      </c>
      <c r="R45" s="422">
        <v>-947421</v>
      </c>
      <c r="S45" s="422">
        <v>-1239877</v>
      </c>
      <c r="T45" s="422">
        <v>-273084</v>
      </c>
      <c r="U45" s="422">
        <v>-603579</v>
      </c>
      <c r="W45" s="422">
        <f>L45</f>
        <v>-220142</v>
      </c>
      <c r="X45" s="422">
        <f t="shared" ref="X45:Z48" si="52">M45-L45</f>
        <v>-290485</v>
      </c>
      <c r="Y45" s="422">
        <f t="shared" si="52"/>
        <v>-300290</v>
      </c>
      <c r="Z45" s="422">
        <f t="shared" si="52"/>
        <v>-334953</v>
      </c>
      <c r="AA45" s="422">
        <f>P45</f>
        <v>-306598</v>
      </c>
      <c r="AB45" s="422">
        <f t="shared" ref="AB45:AD48" si="53">Q45-P45</f>
        <v>-303293</v>
      </c>
      <c r="AC45" s="422">
        <f t="shared" si="53"/>
        <v>-337530</v>
      </c>
      <c r="AD45" s="422">
        <f t="shared" si="53"/>
        <v>-292456</v>
      </c>
      <c r="AE45" s="422">
        <f>T45</f>
        <v>-273084</v>
      </c>
      <c r="AF45" s="422">
        <f>U45-T45</f>
        <v>-330495</v>
      </c>
    </row>
    <row r="46" spans="1:32">
      <c r="A46" s="417" t="s">
        <v>654</v>
      </c>
      <c r="B46" s="417" t="s">
        <v>655</v>
      </c>
      <c r="D46" s="422">
        <v>0</v>
      </c>
      <c r="E46" s="422">
        <v>0</v>
      </c>
      <c r="F46" s="422">
        <v>0</v>
      </c>
      <c r="G46" s="422">
        <v>0</v>
      </c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>
        <v>0</v>
      </c>
      <c r="T46" s="422">
        <v>0</v>
      </c>
      <c r="U46" s="422">
        <v>0</v>
      </c>
      <c r="W46" s="422">
        <f>L46</f>
        <v>0</v>
      </c>
      <c r="X46" s="422">
        <f t="shared" si="52"/>
        <v>0</v>
      </c>
      <c r="Y46" s="422">
        <f t="shared" si="52"/>
        <v>0</v>
      </c>
      <c r="Z46" s="422">
        <f t="shared" si="52"/>
        <v>0</v>
      </c>
      <c r="AA46" s="422">
        <f>P46</f>
        <v>0</v>
      </c>
      <c r="AB46" s="422">
        <f t="shared" si="53"/>
        <v>0</v>
      </c>
      <c r="AC46" s="422">
        <f t="shared" si="53"/>
        <v>0</v>
      </c>
      <c r="AD46" s="422">
        <f t="shared" si="53"/>
        <v>0</v>
      </c>
      <c r="AE46" s="422">
        <f>T46</f>
        <v>0</v>
      </c>
      <c r="AF46" s="422">
        <f>U46-T46</f>
        <v>0</v>
      </c>
    </row>
    <row r="47" spans="1:32">
      <c r="A47" s="417" t="s">
        <v>656</v>
      </c>
      <c r="B47" s="417" t="s">
        <v>657</v>
      </c>
      <c r="D47" s="422">
        <v>0</v>
      </c>
      <c r="E47" s="422">
        <v>0</v>
      </c>
      <c r="F47" s="422">
        <v>0</v>
      </c>
      <c r="G47" s="422">
        <v>0</v>
      </c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>
        <v>0</v>
      </c>
      <c r="T47" s="422">
        <v>0</v>
      </c>
      <c r="U47" s="422">
        <v>0</v>
      </c>
      <c r="W47" s="422">
        <f>L47</f>
        <v>0</v>
      </c>
      <c r="X47" s="422">
        <f t="shared" si="52"/>
        <v>0</v>
      </c>
      <c r="Y47" s="422">
        <f t="shared" si="52"/>
        <v>0</v>
      </c>
      <c r="Z47" s="422">
        <f t="shared" si="52"/>
        <v>0</v>
      </c>
      <c r="AA47" s="422">
        <f>P47</f>
        <v>0</v>
      </c>
      <c r="AB47" s="422">
        <f t="shared" si="53"/>
        <v>0</v>
      </c>
      <c r="AC47" s="422">
        <f t="shared" si="53"/>
        <v>0</v>
      </c>
      <c r="AD47" s="422">
        <f t="shared" si="53"/>
        <v>0</v>
      </c>
      <c r="AE47" s="422">
        <f>T47</f>
        <v>0</v>
      </c>
      <c r="AF47" s="422">
        <f>U47-T47</f>
        <v>0</v>
      </c>
    </row>
    <row r="48" spans="1:32">
      <c r="A48" s="417" t="s">
        <v>658</v>
      </c>
      <c r="B48" s="417" t="s">
        <v>659</v>
      </c>
      <c r="D48" s="422">
        <v>0</v>
      </c>
      <c r="E48" s="422">
        <v>0</v>
      </c>
      <c r="F48" s="422">
        <v>0</v>
      </c>
      <c r="G48" s="422">
        <v>0</v>
      </c>
      <c r="H48" s="422">
        <v>0</v>
      </c>
      <c r="I48" s="422">
        <v>0</v>
      </c>
      <c r="J48" s="422">
        <v>0</v>
      </c>
      <c r="K48" s="422">
        <v>0</v>
      </c>
      <c r="L48" s="422">
        <v>0</v>
      </c>
      <c r="M48" s="422">
        <v>0</v>
      </c>
      <c r="N48" s="422">
        <v>0</v>
      </c>
      <c r="O48" s="422">
        <v>0</v>
      </c>
      <c r="P48" s="422">
        <v>0</v>
      </c>
      <c r="Q48" s="422">
        <v>0</v>
      </c>
      <c r="R48" s="422">
        <v>0</v>
      </c>
      <c r="S48" s="422">
        <v>0</v>
      </c>
      <c r="T48" s="422">
        <v>0</v>
      </c>
      <c r="U48" s="422">
        <v>0</v>
      </c>
      <c r="W48" s="422">
        <f>L48</f>
        <v>0</v>
      </c>
      <c r="X48" s="422">
        <f t="shared" si="52"/>
        <v>0</v>
      </c>
      <c r="Y48" s="422">
        <f t="shared" si="52"/>
        <v>0</v>
      </c>
      <c r="Z48" s="422">
        <f t="shared" si="52"/>
        <v>0</v>
      </c>
      <c r="AA48" s="422">
        <f>P48</f>
        <v>0</v>
      </c>
      <c r="AB48" s="422">
        <f t="shared" si="53"/>
        <v>0</v>
      </c>
      <c r="AC48" s="422">
        <f t="shared" si="53"/>
        <v>0</v>
      </c>
      <c r="AD48" s="422">
        <f t="shared" si="53"/>
        <v>0</v>
      </c>
      <c r="AE48" s="422">
        <f>T48</f>
        <v>0</v>
      </c>
      <c r="AF48" s="422">
        <f>U48-T48</f>
        <v>0</v>
      </c>
    </row>
    <row r="49" spans="1:32">
      <c r="A49" s="417" t="s">
        <v>660</v>
      </c>
      <c r="B49" s="417" t="s">
        <v>661</v>
      </c>
      <c r="D49" s="422">
        <f t="shared" ref="D49:I49" si="54">SUM(D50:D56)</f>
        <v>-84968</v>
      </c>
      <c r="E49" s="422">
        <f t="shared" si="54"/>
        <v>-187135</v>
      </c>
      <c r="F49" s="422">
        <f t="shared" si="54"/>
        <v>-300578</v>
      </c>
      <c r="G49" s="422">
        <f t="shared" si="54"/>
        <v>-412075</v>
      </c>
      <c r="H49" s="422">
        <f t="shared" si="54"/>
        <v>-118650</v>
      </c>
      <c r="I49" s="422">
        <f t="shared" si="54"/>
        <v>-239049</v>
      </c>
      <c r="J49" s="422">
        <f t="shared" ref="J49:R49" si="55">SUM(J50:J56)</f>
        <v>-365931</v>
      </c>
      <c r="K49" s="422">
        <f t="shared" si="55"/>
        <v>-516449</v>
      </c>
      <c r="L49" s="422">
        <f t="shared" si="55"/>
        <v>-141188</v>
      </c>
      <c r="M49" s="422">
        <f t="shared" si="55"/>
        <v>-262991</v>
      </c>
      <c r="N49" s="422">
        <f t="shared" si="55"/>
        <v>-439980</v>
      </c>
      <c r="O49" s="422">
        <f t="shared" si="55"/>
        <v>-585409</v>
      </c>
      <c r="P49" s="422">
        <f t="shared" si="55"/>
        <v>-135425</v>
      </c>
      <c r="Q49" s="422">
        <f t="shared" si="55"/>
        <v>-302264</v>
      </c>
      <c r="R49" s="422">
        <f t="shared" si="55"/>
        <v>-456380</v>
      </c>
      <c r="S49" s="422">
        <f t="shared" ref="S49:T49" si="56">SUM(S50:S56)</f>
        <v>-592525</v>
      </c>
      <c r="T49" s="422">
        <f t="shared" si="56"/>
        <v>-149715</v>
      </c>
      <c r="U49" s="422">
        <v>-297279</v>
      </c>
      <c r="W49" s="422">
        <f t="shared" ref="W49:AC49" si="57">SUM(W50:W56)</f>
        <v>-141188</v>
      </c>
      <c r="X49" s="422">
        <f t="shared" si="57"/>
        <v>-121803</v>
      </c>
      <c r="Y49" s="422">
        <f t="shared" si="57"/>
        <v>-176989</v>
      </c>
      <c r="Z49" s="422">
        <f t="shared" si="57"/>
        <v>-145429</v>
      </c>
      <c r="AA49" s="422">
        <f t="shared" si="57"/>
        <v>-135425</v>
      </c>
      <c r="AB49" s="422">
        <f t="shared" si="57"/>
        <v>-166839</v>
      </c>
      <c r="AC49" s="422">
        <f t="shared" si="57"/>
        <v>-154116</v>
      </c>
      <c r="AD49" s="422">
        <f t="shared" ref="AD49:AE49" si="58">SUM(AD50:AD56)</f>
        <v>-136145</v>
      </c>
      <c r="AE49" s="422">
        <f t="shared" si="58"/>
        <v>-149715</v>
      </c>
      <c r="AF49" s="422">
        <f>SUM(AF50:AF56)</f>
        <v>-147564</v>
      </c>
    </row>
    <row r="50" spans="1:32" outlineLevel="1">
      <c r="A50" s="418" t="s">
        <v>662</v>
      </c>
      <c r="B50" s="418" t="s">
        <v>663</v>
      </c>
      <c r="D50" s="423">
        <v>-6002</v>
      </c>
      <c r="E50" s="423">
        <v>-13350</v>
      </c>
      <c r="F50" s="423">
        <v>-21096</v>
      </c>
      <c r="G50" s="423">
        <v>-27303</v>
      </c>
      <c r="H50" s="423">
        <v>-8789</v>
      </c>
      <c r="I50" s="423">
        <v>-18753</v>
      </c>
      <c r="J50" s="423">
        <v>-28543</v>
      </c>
      <c r="K50" s="423">
        <v>-39799</v>
      </c>
      <c r="L50" s="423">
        <v>-10619</v>
      </c>
      <c r="M50" s="423">
        <v>-20300</v>
      </c>
      <c r="N50" s="423">
        <v>-36103</v>
      </c>
      <c r="O50" s="423">
        <v>-48305</v>
      </c>
      <c r="P50" s="423">
        <v>-11332</v>
      </c>
      <c r="Q50" s="423">
        <v>-20458</v>
      </c>
      <c r="R50" s="423">
        <v>-30930</v>
      </c>
      <c r="S50" s="423">
        <v>-40855</v>
      </c>
      <c r="T50" s="423">
        <v>-12724</v>
      </c>
      <c r="U50" s="423">
        <v>-22944</v>
      </c>
      <c r="W50" s="423">
        <f t="shared" ref="W50:W56" si="59">L50</f>
        <v>-10619</v>
      </c>
      <c r="X50" s="423">
        <f t="shared" ref="X50:X56" si="60">M50-W50</f>
        <v>-9681</v>
      </c>
      <c r="Y50" s="423">
        <f t="shared" ref="Y50:Z56" si="61">N50-M50</f>
        <v>-15803</v>
      </c>
      <c r="Z50" s="423">
        <f t="shared" si="61"/>
        <v>-12202</v>
      </c>
      <c r="AA50" s="423">
        <f t="shared" ref="AA50:AA56" si="62">P50</f>
        <v>-11332</v>
      </c>
      <c r="AB50" s="423">
        <f t="shared" ref="AB50:AB56" si="63">Q50-AA50</f>
        <v>-9126</v>
      </c>
      <c r="AC50" s="423">
        <f t="shared" ref="AC50:AD56" si="64">R50-Q50</f>
        <v>-10472</v>
      </c>
      <c r="AD50" s="423">
        <f t="shared" si="64"/>
        <v>-9925</v>
      </c>
      <c r="AE50" s="423">
        <f t="shared" ref="AE50:AE56" si="65">T50</f>
        <v>-12724</v>
      </c>
      <c r="AF50" s="423">
        <f t="shared" ref="AF50:AF56" si="66">U50-T50</f>
        <v>-10220</v>
      </c>
    </row>
    <row r="51" spans="1:32" outlineLevel="1">
      <c r="A51" s="418" t="s">
        <v>664</v>
      </c>
      <c r="B51" s="418" t="s">
        <v>665</v>
      </c>
      <c r="D51" s="423">
        <v>-3296</v>
      </c>
      <c r="E51" s="423">
        <v>-5505</v>
      </c>
      <c r="F51" s="423">
        <v>-9756</v>
      </c>
      <c r="G51" s="423">
        <v>-11637</v>
      </c>
      <c r="H51" s="423">
        <v>-2317</v>
      </c>
      <c r="I51" s="423">
        <v>-4224</v>
      </c>
      <c r="J51" s="423">
        <v>-8137</v>
      </c>
      <c r="K51" s="423">
        <v>-8848</v>
      </c>
      <c r="L51" s="423">
        <v>-3312</v>
      </c>
      <c r="M51" s="423">
        <v>-4940</v>
      </c>
      <c r="N51" s="423">
        <v>-6194</v>
      </c>
      <c r="O51" s="423">
        <v>-9446</v>
      </c>
      <c r="P51" s="423">
        <v>-2862</v>
      </c>
      <c r="Q51" s="423">
        <v>-5551</v>
      </c>
      <c r="R51" s="423">
        <v>-7710</v>
      </c>
      <c r="S51" s="423">
        <v>-10361</v>
      </c>
      <c r="T51" s="423">
        <v>-2011</v>
      </c>
      <c r="U51" s="423">
        <v>-5055</v>
      </c>
      <c r="W51" s="423">
        <f t="shared" si="59"/>
        <v>-3312</v>
      </c>
      <c r="X51" s="423">
        <f t="shared" si="60"/>
        <v>-1628</v>
      </c>
      <c r="Y51" s="423">
        <f t="shared" si="61"/>
        <v>-1254</v>
      </c>
      <c r="Z51" s="423">
        <f t="shared" si="61"/>
        <v>-3252</v>
      </c>
      <c r="AA51" s="423">
        <f t="shared" si="62"/>
        <v>-2862</v>
      </c>
      <c r="AB51" s="423">
        <f t="shared" si="63"/>
        <v>-2689</v>
      </c>
      <c r="AC51" s="423">
        <f t="shared" si="64"/>
        <v>-2159</v>
      </c>
      <c r="AD51" s="423">
        <f t="shared" si="64"/>
        <v>-2651</v>
      </c>
      <c r="AE51" s="423">
        <f t="shared" si="65"/>
        <v>-2011</v>
      </c>
      <c r="AF51" s="423">
        <f t="shared" si="66"/>
        <v>-3044</v>
      </c>
    </row>
    <row r="52" spans="1:32" outlineLevel="1">
      <c r="A52" s="418" t="s">
        <v>666</v>
      </c>
      <c r="B52" s="418" t="s">
        <v>667</v>
      </c>
      <c r="D52" s="423">
        <v>-39146</v>
      </c>
      <c r="E52" s="423">
        <v>-84177</v>
      </c>
      <c r="F52" s="423">
        <v>-135652</v>
      </c>
      <c r="G52" s="423">
        <v>-185512</v>
      </c>
      <c r="H52" s="423">
        <v>-52956</v>
      </c>
      <c r="I52" s="423">
        <v>-111262</v>
      </c>
      <c r="J52" s="423">
        <v>-168116</v>
      </c>
      <c r="K52" s="423">
        <v>-246009</v>
      </c>
      <c r="L52" s="423">
        <v>-64307</v>
      </c>
      <c r="M52" s="423">
        <v>-109571</v>
      </c>
      <c r="N52" s="423">
        <v>-207866</v>
      </c>
      <c r="O52" s="423">
        <v>-265420</v>
      </c>
      <c r="P52" s="423">
        <v>-54477</v>
      </c>
      <c r="Q52" s="423">
        <v>-107949</v>
      </c>
      <c r="R52" s="423">
        <v>-165582</v>
      </c>
      <c r="S52" s="423">
        <v>-222991</v>
      </c>
      <c r="T52" s="423">
        <v>-54567</v>
      </c>
      <c r="U52" s="423">
        <v>-109938</v>
      </c>
      <c r="W52" s="423">
        <f t="shared" si="59"/>
        <v>-64307</v>
      </c>
      <c r="X52" s="423">
        <f t="shared" si="60"/>
        <v>-45264</v>
      </c>
      <c r="Y52" s="423">
        <f t="shared" si="61"/>
        <v>-98295</v>
      </c>
      <c r="Z52" s="423">
        <f t="shared" si="61"/>
        <v>-57554</v>
      </c>
      <c r="AA52" s="423">
        <f t="shared" si="62"/>
        <v>-54477</v>
      </c>
      <c r="AB52" s="423">
        <f t="shared" si="63"/>
        <v>-53472</v>
      </c>
      <c r="AC52" s="423">
        <f t="shared" si="64"/>
        <v>-57633</v>
      </c>
      <c r="AD52" s="423">
        <f t="shared" si="64"/>
        <v>-57409</v>
      </c>
      <c r="AE52" s="423">
        <f t="shared" si="65"/>
        <v>-54567</v>
      </c>
      <c r="AF52" s="423">
        <f t="shared" si="66"/>
        <v>-55371</v>
      </c>
    </row>
    <row r="53" spans="1:32" outlineLevel="1">
      <c r="A53" s="418" t="s">
        <v>668</v>
      </c>
      <c r="B53" s="418" t="s">
        <v>669</v>
      </c>
      <c r="D53" s="423">
        <v>-36367</v>
      </c>
      <c r="E53" s="423">
        <v>-84630</v>
      </c>
      <c r="F53" s="423">
        <v>-134586</v>
      </c>
      <c r="G53" s="423">
        <v>-188077</v>
      </c>
      <c r="H53" s="423">
        <v>-54550</v>
      </c>
      <c r="I53" s="423">
        <v>-105789</v>
      </c>
      <c r="J53" s="423">
        <v>-162135</v>
      </c>
      <c r="K53" s="423">
        <v>-222678</v>
      </c>
      <c r="L53" s="423">
        <v>-62896</v>
      </c>
      <c r="M53" s="423">
        <v>-128131</v>
      </c>
      <c r="N53" s="423">
        <v>-191092</v>
      </c>
      <c r="O53" s="423">
        <v>-263437</v>
      </c>
      <c r="P53" s="423">
        <v>-79243</v>
      </c>
      <c r="Q53" s="423">
        <v>-168312</v>
      </c>
      <c r="R53" s="423">
        <v>-250739</v>
      </c>
      <c r="S53" s="423">
        <v>-316106</v>
      </c>
      <c r="T53" s="423">
        <v>-79666</v>
      </c>
      <c r="U53" s="423">
        <v>-159153</v>
      </c>
      <c r="W53" s="423">
        <f t="shared" si="59"/>
        <v>-62896</v>
      </c>
      <c r="X53" s="423">
        <f t="shared" si="60"/>
        <v>-65235</v>
      </c>
      <c r="Y53" s="423">
        <f t="shared" si="61"/>
        <v>-62961</v>
      </c>
      <c r="Z53" s="423">
        <f t="shared" si="61"/>
        <v>-72345</v>
      </c>
      <c r="AA53" s="423">
        <f t="shared" si="62"/>
        <v>-79243</v>
      </c>
      <c r="AB53" s="423">
        <f t="shared" si="63"/>
        <v>-89069</v>
      </c>
      <c r="AC53" s="423">
        <f t="shared" si="64"/>
        <v>-82427</v>
      </c>
      <c r="AD53" s="423">
        <f t="shared" si="64"/>
        <v>-65367</v>
      </c>
      <c r="AE53" s="423">
        <f t="shared" si="65"/>
        <v>-79666</v>
      </c>
      <c r="AF53" s="423">
        <f t="shared" si="66"/>
        <v>-79487</v>
      </c>
    </row>
    <row r="54" spans="1:32" outlineLevel="1">
      <c r="A54" s="418" t="s">
        <v>670</v>
      </c>
      <c r="B54" s="418" t="s">
        <v>671</v>
      </c>
      <c r="D54" s="423">
        <v>0</v>
      </c>
      <c r="E54" s="423">
        <v>0</v>
      </c>
      <c r="F54" s="423">
        <v>0</v>
      </c>
      <c r="G54" s="423">
        <v>0</v>
      </c>
      <c r="H54" s="423">
        <v>0</v>
      </c>
      <c r="I54" s="423">
        <v>0</v>
      </c>
      <c r="J54" s="423">
        <v>0</v>
      </c>
      <c r="K54" s="423">
        <v>0</v>
      </c>
      <c r="L54" s="423">
        <v>0</v>
      </c>
      <c r="M54" s="423">
        <v>0</v>
      </c>
      <c r="N54" s="423">
        <v>0</v>
      </c>
      <c r="O54" s="423">
        <v>0</v>
      </c>
      <c r="P54" s="423">
        <v>12863</v>
      </c>
      <c r="Q54" s="423">
        <v>475</v>
      </c>
      <c r="R54" s="423">
        <v>-539</v>
      </c>
      <c r="S54" s="423">
        <v>-1305</v>
      </c>
      <c r="T54" s="423">
        <v>-246</v>
      </c>
      <c r="U54" s="423">
        <v>-502</v>
      </c>
      <c r="W54" s="423">
        <f t="shared" si="59"/>
        <v>0</v>
      </c>
      <c r="X54" s="423">
        <f t="shared" si="60"/>
        <v>0</v>
      </c>
      <c r="Y54" s="423">
        <f t="shared" si="61"/>
        <v>0</v>
      </c>
      <c r="Z54" s="423">
        <f t="shared" si="61"/>
        <v>0</v>
      </c>
      <c r="AA54" s="423">
        <f t="shared" si="62"/>
        <v>12863</v>
      </c>
      <c r="AB54" s="423">
        <f t="shared" si="63"/>
        <v>-12388</v>
      </c>
      <c r="AC54" s="423">
        <f t="shared" si="64"/>
        <v>-1014</v>
      </c>
      <c r="AD54" s="423">
        <f t="shared" si="64"/>
        <v>-766</v>
      </c>
      <c r="AE54" s="423">
        <f t="shared" si="65"/>
        <v>-246</v>
      </c>
      <c r="AF54" s="423">
        <f t="shared" si="66"/>
        <v>-256</v>
      </c>
    </row>
    <row r="55" spans="1:32" outlineLevel="1">
      <c r="A55" s="418" t="s">
        <v>672</v>
      </c>
      <c r="B55" s="418" t="s">
        <v>673</v>
      </c>
      <c r="D55" s="423">
        <v>-127</v>
      </c>
      <c r="E55" s="423">
        <v>-191</v>
      </c>
      <c r="F55" s="423">
        <v>-341</v>
      </c>
      <c r="G55" s="423">
        <v>-655</v>
      </c>
      <c r="H55" s="423">
        <v>-294</v>
      </c>
      <c r="I55" s="423">
        <v>-144</v>
      </c>
      <c r="J55" s="423">
        <v>-217</v>
      </c>
      <c r="K55" s="423">
        <v>-330</v>
      </c>
      <c r="L55" s="423">
        <v>-170</v>
      </c>
      <c r="M55" s="423">
        <v>-377</v>
      </c>
      <c r="N55" s="423">
        <v>-705</v>
      </c>
      <c r="O55" s="423">
        <v>-1275</v>
      </c>
      <c r="P55" s="423">
        <v>-537</v>
      </c>
      <c r="Q55" s="423">
        <v>-1039</v>
      </c>
      <c r="R55" s="423">
        <v>-1573</v>
      </c>
      <c r="S55" s="423">
        <v>-2190</v>
      </c>
      <c r="T55" s="423">
        <v>-506</v>
      </c>
      <c r="U55" s="423">
        <v>-977</v>
      </c>
      <c r="W55" s="423">
        <f t="shared" si="59"/>
        <v>-170</v>
      </c>
      <c r="X55" s="423">
        <f t="shared" si="60"/>
        <v>-207</v>
      </c>
      <c r="Y55" s="423">
        <f t="shared" si="61"/>
        <v>-328</v>
      </c>
      <c r="Z55" s="423">
        <f t="shared" si="61"/>
        <v>-570</v>
      </c>
      <c r="AA55" s="423">
        <f t="shared" si="62"/>
        <v>-537</v>
      </c>
      <c r="AB55" s="423">
        <f t="shared" si="63"/>
        <v>-502</v>
      </c>
      <c r="AC55" s="423">
        <f t="shared" si="64"/>
        <v>-534</v>
      </c>
      <c r="AD55" s="423">
        <f t="shared" si="64"/>
        <v>-617</v>
      </c>
      <c r="AE55" s="423">
        <f t="shared" si="65"/>
        <v>-506</v>
      </c>
      <c r="AF55" s="423">
        <f t="shared" si="66"/>
        <v>-471</v>
      </c>
    </row>
    <row r="56" spans="1:32" outlineLevel="1">
      <c r="A56" s="418" t="s">
        <v>674</v>
      </c>
      <c r="B56" s="418" t="s">
        <v>675</v>
      </c>
      <c r="D56" s="423">
        <v>-30</v>
      </c>
      <c r="E56" s="423">
        <v>718</v>
      </c>
      <c r="F56" s="423">
        <v>853</v>
      </c>
      <c r="G56" s="423">
        <v>1109</v>
      </c>
      <c r="H56" s="423">
        <v>256</v>
      </c>
      <c r="I56" s="423">
        <v>1123</v>
      </c>
      <c r="J56" s="423">
        <v>1217</v>
      </c>
      <c r="K56" s="423">
        <v>1215</v>
      </c>
      <c r="L56" s="423">
        <v>116</v>
      </c>
      <c r="M56" s="423">
        <v>328</v>
      </c>
      <c r="N56" s="423">
        <v>1980</v>
      </c>
      <c r="O56" s="423">
        <v>2474</v>
      </c>
      <c r="P56" s="423">
        <v>163</v>
      </c>
      <c r="Q56" s="423">
        <v>570</v>
      </c>
      <c r="R56" s="423">
        <v>693</v>
      </c>
      <c r="S56" s="423">
        <v>1283</v>
      </c>
      <c r="T56" s="423">
        <v>5</v>
      </c>
      <c r="U56" s="423">
        <v>1290</v>
      </c>
      <c r="W56" s="423">
        <f t="shared" si="59"/>
        <v>116</v>
      </c>
      <c r="X56" s="423">
        <f t="shared" si="60"/>
        <v>212</v>
      </c>
      <c r="Y56" s="423">
        <f t="shared" si="61"/>
        <v>1652</v>
      </c>
      <c r="Z56" s="423">
        <f t="shared" si="61"/>
        <v>494</v>
      </c>
      <c r="AA56" s="423">
        <f t="shared" si="62"/>
        <v>163</v>
      </c>
      <c r="AB56" s="423">
        <f t="shared" si="63"/>
        <v>407</v>
      </c>
      <c r="AC56" s="423">
        <f t="shared" si="64"/>
        <v>123</v>
      </c>
      <c r="AD56" s="423">
        <f t="shared" si="64"/>
        <v>590</v>
      </c>
      <c r="AE56" s="423">
        <f t="shared" si="65"/>
        <v>5</v>
      </c>
      <c r="AF56" s="423">
        <f t="shared" si="66"/>
        <v>1285</v>
      </c>
    </row>
    <row r="57" spans="1:32">
      <c r="A57" s="417"/>
      <c r="B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</row>
    <row r="58" spans="1:32">
      <c r="A58" s="429" t="s">
        <v>676</v>
      </c>
      <c r="B58" s="429" t="s">
        <v>677</v>
      </c>
      <c r="D58" s="420">
        <f t="shared" ref="D58:I58" si="67">D39+D41</f>
        <v>351702</v>
      </c>
      <c r="E58" s="420">
        <f t="shared" si="67"/>
        <v>652515</v>
      </c>
      <c r="F58" s="420">
        <f t="shared" si="67"/>
        <v>947355</v>
      </c>
      <c r="G58" s="420">
        <f t="shared" si="67"/>
        <v>1455311</v>
      </c>
      <c r="H58" s="420">
        <f t="shared" si="67"/>
        <v>374785</v>
      </c>
      <c r="I58" s="420">
        <f t="shared" si="67"/>
        <v>768932</v>
      </c>
      <c r="J58" s="420">
        <f t="shared" ref="J58:O58" si="68">J39+J41</f>
        <v>1184572</v>
      </c>
      <c r="K58" s="420">
        <f t="shared" si="68"/>
        <v>1711673</v>
      </c>
      <c r="L58" s="420">
        <f t="shared" si="68"/>
        <v>416517</v>
      </c>
      <c r="M58" s="420">
        <f t="shared" si="68"/>
        <v>855122</v>
      </c>
      <c r="N58" s="420">
        <f t="shared" si="68"/>
        <v>1283242</v>
      </c>
      <c r="O58" s="420">
        <f t="shared" si="68"/>
        <v>1736340</v>
      </c>
      <c r="P58" s="420">
        <f t="shared" ref="P58:U58" si="69">P39+P41</f>
        <v>464831</v>
      </c>
      <c r="Q58" s="420">
        <f t="shared" si="69"/>
        <v>986794</v>
      </c>
      <c r="R58" s="420">
        <f t="shared" si="69"/>
        <v>1428580</v>
      </c>
      <c r="S58" s="420">
        <f t="shared" si="69"/>
        <v>2087338</v>
      </c>
      <c r="T58" s="420">
        <f t="shared" si="69"/>
        <v>634240</v>
      </c>
      <c r="U58" s="741">
        <f t="shared" si="69"/>
        <v>1261262</v>
      </c>
      <c r="W58" s="420">
        <f t="shared" ref="W58:AC58" si="70">W39+W41</f>
        <v>416517</v>
      </c>
      <c r="X58" s="420">
        <f t="shared" si="70"/>
        <v>438605</v>
      </c>
      <c r="Y58" s="420">
        <f t="shared" si="70"/>
        <v>428120</v>
      </c>
      <c r="Z58" s="420">
        <f t="shared" si="70"/>
        <v>453098</v>
      </c>
      <c r="AA58" s="420">
        <f t="shared" si="70"/>
        <v>464831</v>
      </c>
      <c r="AB58" s="420">
        <f t="shared" si="70"/>
        <v>521963</v>
      </c>
      <c r="AC58" s="420">
        <f t="shared" si="70"/>
        <v>441786</v>
      </c>
      <c r="AD58" s="420">
        <f t="shared" ref="AD58:AE58" si="71">AD39+AD41</f>
        <v>658758</v>
      </c>
      <c r="AE58" s="420">
        <f t="shared" si="71"/>
        <v>634240</v>
      </c>
      <c r="AF58" s="741">
        <f>AF39+AF41</f>
        <v>910269</v>
      </c>
    </row>
    <row r="59" spans="1:32">
      <c r="A59" s="417"/>
      <c r="B59" s="417"/>
      <c r="D59" s="417"/>
      <c r="E59" s="417"/>
      <c r="F59" s="417"/>
      <c r="G59" s="417"/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</row>
    <row r="60" spans="1:32">
      <c r="A60" s="416" t="s">
        <v>678</v>
      </c>
      <c r="B60" s="416" t="s">
        <v>679</v>
      </c>
      <c r="D60" s="424">
        <f t="shared" ref="D60:I60" si="72">D62+D68+D69+D78+D79</f>
        <v>-173263</v>
      </c>
      <c r="E60" s="424">
        <f t="shared" si="72"/>
        <v>-342738</v>
      </c>
      <c r="F60" s="424">
        <f t="shared" si="72"/>
        <v>-474795</v>
      </c>
      <c r="G60" s="424">
        <f t="shared" si="72"/>
        <v>-505898</v>
      </c>
      <c r="H60" s="424">
        <f t="shared" si="72"/>
        <v>-177230</v>
      </c>
      <c r="I60" s="424">
        <f t="shared" si="72"/>
        <v>-328597</v>
      </c>
      <c r="J60" s="424">
        <f t="shared" ref="J60:O60" si="73">J62+J68+J69+J78+J79</f>
        <v>-486814</v>
      </c>
      <c r="K60" s="424">
        <f t="shared" si="73"/>
        <v>-755415</v>
      </c>
      <c r="L60" s="424">
        <f t="shared" si="73"/>
        <v>-161467</v>
      </c>
      <c r="M60" s="424">
        <f t="shared" si="73"/>
        <v>-355869</v>
      </c>
      <c r="N60" s="424">
        <f t="shared" si="73"/>
        <v>-483010</v>
      </c>
      <c r="O60" s="424">
        <f t="shared" si="73"/>
        <v>-701290</v>
      </c>
      <c r="P60" s="424">
        <f t="shared" ref="P60:U60" si="74">P62+P68+P69+P78+P79</f>
        <v>-194352</v>
      </c>
      <c r="Q60" s="424">
        <f t="shared" si="74"/>
        <v>-299417</v>
      </c>
      <c r="R60" s="424">
        <f t="shared" si="74"/>
        <v>-523576</v>
      </c>
      <c r="S60" s="424">
        <f t="shared" si="74"/>
        <v>-818432</v>
      </c>
      <c r="T60" s="424">
        <f t="shared" si="74"/>
        <v>-208063</v>
      </c>
      <c r="U60" s="424">
        <f t="shared" si="74"/>
        <v>-421046</v>
      </c>
      <c r="W60" s="424">
        <f t="shared" ref="W60:AB60" si="75">W62+W68+W69+W78+W79</f>
        <v>-161467</v>
      </c>
      <c r="X60" s="424">
        <f t="shared" si="75"/>
        <v>-194402</v>
      </c>
      <c r="Y60" s="424">
        <f t="shared" si="75"/>
        <v>-127141</v>
      </c>
      <c r="Z60" s="424">
        <f t="shared" si="75"/>
        <v>-218280</v>
      </c>
      <c r="AA60" s="424">
        <f t="shared" si="75"/>
        <v>-194352</v>
      </c>
      <c r="AB60" s="424">
        <f t="shared" si="75"/>
        <v>-105065</v>
      </c>
      <c r="AC60" s="424">
        <f>AC62+AC68+AC69+AC78+AC79</f>
        <v>-224159</v>
      </c>
      <c r="AD60" s="424">
        <f>AD62+AD68+AD69+AD78+AD79</f>
        <v>-294856</v>
      </c>
      <c r="AE60" s="424">
        <f t="shared" ref="AE60" si="76">AE62+AE68+AE69+AE78+AE79</f>
        <v>-208063</v>
      </c>
      <c r="AF60" s="424">
        <f>AF62+AF68+AF69+AF78+AF79</f>
        <v>-212983</v>
      </c>
    </row>
    <row r="61" spans="1:32">
      <c r="A61" s="416"/>
      <c r="B61" s="416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W61" s="421"/>
      <c r="X61" s="421"/>
      <c r="Y61" s="421"/>
      <c r="Z61" s="421"/>
      <c r="AA61" s="421"/>
      <c r="AB61" s="421"/>
      <c r="AC61" s="421"/>
      <c r="AD61" s="421"/>
      <c r="AE61" s="421"/>
      <c r="AF61" s="421"/>
    </row>
    <row r="62" spans="1:32">
      <c r="A62" s="419" t="s">
        <v>680</v>
      </c>
      <c r="B62" s="419" t="s">
        <v>681</v>
      </c>
      <c r="D62" s="422">
        <f t="shared" ref="D62:I62" si="77">SUM(D63:D67)</f>
        <v>-38701</v>
      </c>
      <c r="E62" s="422">
        <f t="shared" si="77"/>
        <v>-79621</v>
      </c>
      <c r="F62" s="422">
        <f t="shared" si="77"/>
        <v>-132222</v>
      </c>
      <c r="G62" s="422">
        <f t="shared" si="77"/>
        <v>-171621</v>
      </c>
      <c r="H62" s="422">
        <f t="shared" si="77"/>
        <v>-40503</v>
      </c>
      <c r="I62" s="422">
        <f t="shared" si="77"/>
        <v>-86494</v>
      </c>
      <c r="J62" s="422">
        <f t="shared" ref="J62:O62" si="78">SUM(J63:J67)</f>
        <v>-132554</v>
      </c>
      <c r="K62" s="422">
        <f t="shared" si="78"/>
        <v>-190425</v>
      </c>
      <c r="L62" s="422">
        <f t="shared" si="78"/>
        <v>-56983</v>
      </c>
      <c r="M62" s="422">
        <f t="shared" si="78"/>
        <v>-137061</v>
      </c>
      <c r="N62" s="422">
        <f t="shared" si="78"/>
        <v>-147920</v>
      </c>
      <c r="O62" s="422">
        <f t="shared" si="78"/>
        <v>-201463</v>
      </c>
      <c r="P62" s="422">
        <f t="shared" ref="P62:U62" si="79">SUM(P63:P67)</f>
        <v>-49685</v>
      </c>
      <c r="Q62" s="422">
        <f t="shared" si="79"/>
        <v>-95657</v>
      </c>
      <c r="R62" s="422">
        <f t="shared" si="79"/>
        <v>-152505</v>
      </c>
      <c r="S62" s="422">
        <f t="shared" si="79"/>
        <v>-206052</v>
      </c>
      <c r="T62" s="422">
        <f t="shared" si="79"/>
        <v>-55226</v>
      </c>
      <c r="U62" s="422">
        <f t="shared" si="79"/>
        <v>-105819</v>
      </c>
      <c r="W62" s="422">
        <f t="shared" ref="W62:AC62" si="80">SUM(W63:W67)</f>
        <v>-56983</v>
      </c>
      <c r="X62" s="422">
        <f t="shared" si="80"/>
        <v>-80078</v>
      </c>
      <c r="Y62" s="422">
        <f t="shared" si="80"/>
        <v>-10859</v>
      </c>
      <c r="Z62" s="422">
        <f t="shared" si="80"/>
        <v>-53543</v>
      </c>
      <c r="AA62" s="422">
        <f t="shared" si="80"/>
        <v>-49685</v>
      </c>
      <c r="AB62" s="422">
        <f t="shared" si="80"/>
        <v>-45972</v>
      </c>
      <c r="AC62" s="422">
        <f t="shared" si="80"/>
        <v>-56848</v>
      </c>
      <c r="AD62" s="422">
        <f t="shared" ref="AD62:AE62" si="81">SUM(AD63:AD67)</f>
        <v>-53547</v>
      </c>
      <c r="AE62" s="422">
        <f t="shared" si="81"/>
        <v>-55226</v>
      </c>
      <c r="AF62" s="422">
        <f>SUM(AF63:AF67)</f>
        <v>-50593</v>
      </c>
    </row>
    <row r="63" spans="1:32" outlineLevel="1">
      <c r="A63" s="418" t="s">
        <v>682</v>
      </c>
      <c r="B63" s="418" t="s">
        <v>683</v>
      </c>
      <c r="D63" s="423">
        <v>-9344</v>
      </c>
      <c r="E63" s="423">
        <v>-18932</v>
      </c>
      <c r="F63" s="423">
        <v>-27300</v>
      </c>
      <c r="G63" s="423">
        <v>-34496</v>
      </c>
      <c r="H63" s="423">
        <v>-6980</v>
      </c>
      <c r="I63" s="423">
        <v>-14448</v>
      </c>
      <c r="J63" s="423">
        <v>-22355</v>
      </c>
      <c r="K63" s="423">
        <v>-31244</v>
      </c>
      <c r="L63" s="423">
        <v>-11078</v>
      </c>
      <c r="M63" s="423">
        <v>-27212</v>
      </c>
      <c r="N63" s="423">
        <v>-32260</v>
      </c>
      <c r="O63" s="423">
        <v>-47899</v>
      </c>
      <c r="P63" s="423">
        <v>-10547</v>
      </c>
      <c r="Q63" s="423">
        <v>-18191</v>
      </c>
      <c r="R63" s="423">
        <v>-30211</v>
      </c>
      <c r="S63" s="423">
        <v>-38052</v>
      </c>
      <c r="T63" s="423">
        <v>-9031</v>
      </c>
      <c r="U63" s="423">
        <v>-18532</v>
      </c>
      <c r="W63" s="423">
        <f t="shared" ref="W63:W68" si="82">L63</f>
        <v>-11078</v>
      </c>
      <c r="X63" s="423">
        <f t="shared" ref="X63:X68" si="83">M63-W63</f>
        <v>-16134</v>
      </c>
      <c r="Y63" s="423">
        <f t="shared" ref="Y63:Z68" si="84">N63-M63</f>
        <v>-5048</v>
      </c>
      <c r="Z63" s="423">
        <f t="shared" si="84"/>
        <v>-15639</v>
      </c>
      <c r="AA63" s="423">
        <f t="shared" ref="AA63:AA68" si="85">P63</f>
        <v>-10547</v>
      </c>
      <c r="AB63" s="423">
        <f t="shared" ref="AB63:AB68" si="86">Q63-AA63</f>
        <v>-7644</v>
      </c>
      <c r="AC63" s="423">
        <f t="shared" ref="AC63:AD68" si="87">R63-Q63</f>
        <v>-12020</v>
      </c>
      <c r="AD63" s="423">
        <f t="shared" si="87"/>
        <v>-7841</v>
      </c>
      <c r="AE63" s="423">
        <f t="shared" ref="AE63:AE68" si="88">T63</f>
        <v>-9031</v>
      </c>
      <c r="AF63" s="423">
        <f t="shared" ref="AF63:AF68" si="89">U63-T63</f>
        <v>-9501</v>
      </c>
    </row>
    <row r="64" spans="1:32" outlineLevel="1">
      <c r="A64" s="418" t="s">
        <v>684</v>
      </c>
      <c r="B64" s="418" t="s">
        <v>685</v>
      </c>
      <c r="D64" s="423">
        <v>-1443</v>
      </c>
      <c r="E64" s="423">
        <v>-2497</v>
      </c>
      <c r="F64" s="423">
        <v>-4155</v>
      </c>
      <c r="G64" s="423">
        <v>-5514</v>
      </c>
      <c r="H64" s="423">
        <v>-1473</v>
      </c>
      <c r="I64" s="423">
        <v>-5823</v>
      </c>
      <c r="J64" s="423">
        <v>-7861</v>
      </c>
      <c r="K64" s="423">
        <v>-13512</v>
      </c>
      <c r="L64" s="423">
        <v>-2540</v>
      </c>
      <c r="M64" s="423">
        <v>-6603</v>
      </c>
      <c r="N64" s="423">
        <v>-9631</v>
      </c>
      <c r="O64" s="423">
        <v>-12813</v>
      </c>
      <c r="P64" s="423">
        <v>-1428</v>
      </c>
      <c r="Q64" s="423">
        <v>-3348</v>
      </c>
      <c r="R64" s="423">
        <v>-5769</v>
      </c>
      <c r="S64" s="423">
        <v>-8522</v>
      </c>
      <c r="T64" s="423">
        <v>-3473</v>
      </c>
      <c r="U64" s="423">
        <v>-7422</v>
      </c>
      <c r="W64" s="423">
        <f t="shared" si="82"/>
        <v>-2540</v>
      </c>
      <c r="X64" s="423">
        <f t="shared" si="83"/>
        <v>-4063</v>
      </c>
      <c r="Y64" s="423">
        <f t="shared" si="84"/>
        <v>-3028</v>
      </c>
      <c r="Z64" s="423">
        <f t="shared" si="84"/>
        <v>-3182</v>
      </c>
      <c r="AA64" s="423">
        <f t="shared" si="85"/>
        <v>-1428</v>
      </c>
      <c r="AB64" s="423">
        <f t="shared" si="86"/>
        <v>-1920</v>
      </c>
      <c r="AC64" s="423">
        <f t="shared" si="87"/>
        <v>-2421</v>
      </c>
      <c r="AD64" s="423">
        <f t="shared" si="87"/>
        <v>-2753</v>
      </c>
      <c r="AE64" s="423">
        <f t="shared" si="88"/>
        <v>-3473</v>
      </c>
      <c r="AF64" s="423">
        <f t="shared" si="89"/>
        <v>-3949</v>
      </c>
    </row>
    <row r="65" spans="1:32" outlineLevel="1">
      <c r="A65" s="418" t="s">
        <v>686</v>
      </c>
      <c r="B65" s="418" t="s">
        <v>687</v>
      </c>
      <c r="D65" s="423">
        <v>-26379</v>
      </c>
      <c r="E65" s="423">
        <v>-56135</v>
      </c>
      <c r="F65" s="423">
        <v>-97314</v>
      </c>
      <c r="G65" s="423">
        <v>-127080</v>
      </c>
      <c r="H65" s="423">
        <v>-30471</v>
      </c>
      <c r="I65" s="423">
        <v>-63593</v>
      </c>
      <c r="J65" s="423">
        <v>-98378</v>
      </c>
      <c r="K65" s="423">
        <v>-139495</v>
      </c>
      <c r="L65" s="423">
        <v>-41956</v>
      </c>
      <c r="M65" s="423">
        <v>-99955</v>
      </c>
      <c r="N65" s="423">
        <v>-101895</v>
      </c>
      <c r="O65" s="423">
        <v>-133931</v>
      </c>
      <c r="P65" s="423">
        <v>-35831</v>
      </c>
      <c r="Q65" s="423">
        <v>-70501</v>
      </c>
      <c r="R65" s="423">
        <v>-110735</v>
      </c>
      <c r="S65" s="423">
        <v>-151375</v>
      </c>
      <c r="T65" s="423">
        <v>-41328</v>
      </c>
      <c r="U65" s="423">
        <v>-77424</v>
      </c>
      <c r="W65" s="423">
        <f t="shared" si="82"/>
        <v>-41956</v>
      </c>
      <c r="X65" s="423">
        <f t="shared" si="83"/>
        <v>-57999</v>
      </c>
      <c r="Y65" s="423">
        <f t="shared" si="84"/>
        <v>-1940</v>
      </c>
      <c r="Z65" s="423">
        <f t="shared" si="84"/>
        <v>-32036</v>
      </c>
      <c r="AA65" s="423">
        <f t="shared" si="85"/>
        <v>-35831</v>
      </c>
      <c r="AB65" s="423">
        <f t="shared" si="86"/>
        <v>-34670</v>
      </c>
      <c r="AC65" s="423">
        <f t="shared" si="87"/>
        <v>-40234</v>
      </c>
      <c r="AD65" s="423">
        <f t="shared" si="87"/>
        <v>-40640</v>
      </c>
      <c r="AE65" s="423">
        <f t="shared" si="88"/>
        <v>-41328</v>
      </c>
      <c r="AF65" s="423">
        <f t="shared" si="89"/>
        <v>-36096</v>
      </c>
    </row>
    <row r="66" spans="1:32" outlineLevel="1">
      <c r="A66" s="418" t="s">
        <v>688</v>
      </c>
      <c r="B66" s="418" t="s">
        <v>689</v>
      </c>
      <c r="D66" s="423">
        <v>-594</v>
      </c>
      <c r="E66" s="423">
        <v>-1170</v>
      </c>
      <c r="F66" s="423">
        <v>-1933</v>
      </c>
      <c r="G66" s="423">
        <v>-2894</v>
      </c>
      <c r="H66" s="423">
        <v>-1004</v>
      </c>
      <c r="I66" s="423">
        <v>-1731</v>
      </c>
      <c r="J66" s="423">
        <v>-2633</v>
      </c>
      <c r="K66" s="423">
        <v>-3296</v>
      </c>
      <c r="L66" s="423">
        <v>-1167</v>
      </c>
      <c r="M66" s="423">
        <v>-2311</v>
      </c>
      <c r="N66" s="423">
        <v>-2830</v>
      </c>
      <c r="O66" s="423">
        <v>-4062</v>
      </c>
      <c r="P66" s="423">
        <v>-984</v>
      </c>
      <c r="Q66" s="423">
        <v>-1950</v>
      </c>
      <c r="R66" s="423">
        <v>-2949</v>
      </c>
      <c r="S66" s="423">
        <v>-3741</v>
      </c>
      <c r="T66" s="423">
        <v>-991</v>
      </c>
      <c r="U66" s="423">
        <v>-1944</v>
      </c>
      <c r="W66" s="423">
        <f t="shared" si="82"/>
        <v>-1167</v>
      </c>
      <c r="X66" s="423">
        <f t="shared" si="83"/>
        <v>-1144</v>
      </c>
      <c r="Y66" s="423">
        <f t="shared" si="84"/>
        <v>-519</v>
      </c>
      <c r="Z66" s="423">
        <f t="shared" si="84"/>
        <v>-1232</v>
      </c>
      <c r="AA66" s="423">
        <f t="shared" si="85"/>
        <v>-984</v>
      </c>
      <c r="AB66" s="423">
        <f t="shared" si="86"/>
        <v>-966</v>
      </c>
      <c r="AC66" s="423">
        <f t="shared" si="87"/>
        <v>-999</v>
      </c>
      <c r="AD66" s="423">
        <f t="shared" si="87"/>
        <v>-792</v>
      </c>
      <c r="AE66" s="423">
        <f t="shared" si="88"/>
        <v>-991</v>
      </c>
      <c r="AF66" s="423">
        <f t="shared" si="89"/>
        <v>-953</v>
      </c>
    </row>
    <row r="67" spans="1:32" outlineLevel="1">
      <c r="A67" s="418" t="s">
        <v>690</v>
      </c>
      <c r="B67" s="418" t="s">
        <v>691</v>
      </c>
      <c r="D67" s="423">
        <v>-941</v>
      </c>
      <c r="E67" s="423">
        <v>-887</v>
      </c>
      <c r="F67" s="423">
        <v>-1520</v>
      </c>
      <c r="G67" s="423">
        <v>-1637</v>
      </c>
      <c r="H67" s="423">
        <v>-575</v>
      </c>
      <c r="I67" s="423">
        <v>-899</v>
      </c>
      <c r="J67" s="423">
        <v>-1327</v>
      </c>
      <c r="K67" s="423">
        <v>-2878</v>
      </c>
      <c r="L67" s="423">
        <v>-242</v>
      </c>
      <c r="M67" s="423">
        <v>-980</v>
      </c>
      <c r="N67" s="423">
        <v>-1304</v>
      </c>
      <c r="O67" s="423">
        <v>-2758</v>
      </c>
      <c r="P67" s="423">
        <v>-895</v>
      </c>
      <c r="Q67" s="423">
        <v>-1667</v>
      </c>
      <c r="R67" s="423">
        <v>-2841</v>
      </c>
      <c r="S67" s="423">
        <v>-4362</v>
      </c>
      <c r="T67" s="423">
        <v>-403</v>
      </c>
      <c r="U67" s="423">
        <v>-497</v>
      </c>
      <c r="W67" s="423">
        <f t="shared" si="82"/>
        <v>-242</v>
      </c>
      <c r="X67" s="423">
        <f t="shared" si="83"/>
        <v>-738</v>
      </c>
      <c r="Y67" s="423">
        <f t="shared" si="84"/>
        <v>-324</v>
      </c>
      <c r="Z67" s="423">
        <f t="shared" si="84"/>
        <v>-1454</v>
      </c>
      <c r="AA67" s="423">
        <f t="shared" si="85"/>
        <v>-895</v>
      </c>
      <c r="AB67" s="423">
        <f t="shared" si="86"/>
        <v>-772</v>
      </c>
      <c r="AC67" s="423">
        <f t="shared" si="87"/>
        <v>-1174</v>
      </c>
      <c r="AD67" s="423">
        <f t="shared" si="87"/>
        <v>-1521</v>
      </c>
      <c r="AE67" s="423">
        <f t="shared" si="88"/>
        <v>-403</v>
      </c>
      <c r="AF67" s="423">
        <f t="shared" si="89"/>
        <v>-94</v>
      </c>
    </row>
    <row r="68" spans="1:32">
      <c r="A68" s="417" t="s">
        <v>692</v>
      </c>
      <c r="B68" s="417" t="s">
        <v>693</v>
      </c>
      <c r="D68" s="425">
        <v>-25229</v>
      </c>
      <c r="E68" s="425">
        <v>-45459</v>
      </c>
      <c r="F68" s="425">
        <v>-67652</v>
      </c>
      <c r="G68" s="425">
        <v>-39235</v>
      </c>
      <c r="H68" s="425">
        <v>-26510</v>
      </c>
      <c r="I68" s="425">
        <v>-37912</v>
      </c>
      <c r="J68" s="425">
        <v>-54330</v>
      </c>
      <c r="K68" s="425">
        <v>-144906</v>
      </c>
      <c r="L68" s="425">
        <v>-25678</v>
      </c>
      <c r="M68" s="425">
        <v>-46947</v>
      </c>
      <c r="N68" s="425">
        <v>-67589</v>
      </c>
      <c r="O68" s="425">
        <v>-117942</v>
      </c>
      <c r="P68" s="425">
        <v>-21999</v>
      </c>
      <c r="Q68" s="425">
        <v>-37335</v>
      </c>
      <c r="R68" s="425">
        <v>-67416</v>
      </c>
      <c r="S68" s="425">
        <v>-126631</v>
      </c>
      <c r="T68" s="425">
        <v>-48551</v>
      </c>
      <c r="U68" s="756">
        <v>-102925</v>
      </c>
      <c r="W68" s="425">
        <f t="shared" si="82"/>
        <v>-25678</v>
      </c>
      <c r="X68" s="425">
        <f t="shared" si="83"/>
        <v>-21269</v>
      </c>
      <c r="Y68" s="425">
        <f t="shared" si="84"/>
        <v>-20642</v>
      </c>
      <c r="Z68" s="425">
        <f t="shared" si="84"/>
        <v>-50353</v>
      </c>
      <c r="AA68" s="425">
        <f t="shared" si="85"/>
        <v>-21999</v>
      </c>
      <c r="AB68" s="425">
        <f t="shared" si="86"/>
        <v>-15336</v>
      </c>
      <c r="AC68" s="425">
        <f t="shared" si="87"/>
        <v>-30081</v>
      </c>
      <c r="AD68" s="425">
        <f t="shared" si="87"/>
        <v>-59215</v>
      </c>
      <c r="AE68" s="425">
        <f t="shared" si="88"/>
        <v>-48551</v>
      </c>
      <c r="AF68" s="756">
        <f t="shared" si="89"/>
        <v>-54374</v>
      </c>
    </row>
    <row r="69" spans="1:32">
      <c r="A69" s="417" t="s">
        <v>694</v>
      </c>
      <c r="B69" s="417" t="s">
        <v>695</v>
      </c>
      <c r="D69" s="422">
        <f t="shared" ref="D69:I69" si="90">SUM(D70:D77)</f>
        <v>-59882</v>
      </c>
      <c r="E69" s="422">
        <f t="shared" si="90"/>
        <v>-127824</v>
      </c>
      <c r="F69" s="422">
        <f t="shared" si="90"/>
        <v>-154698</v>
      </c>
      <c r="G69" s="422">
        <f t="shared" si="90"/>
        <v>-172019</v>
      </c>
      <c r="H69" s="422">
        <f t="shared" si="90"/>
        <v>-53172</v>
      </c>
      <c r="I69" s="422">
        <f t="shared" si="90"/>
        <v>-123898</v>
      </c>
      <c r="J69" s="422">
        <f t="shared" ref="J69:R69" si="91">SUM(J70:J77)</f>
        <v>-179990</v>
      </c>
      <c r="K69" s="422">
        <f t="shared" si="91"/>
        <v>-244722</v>
      </c>
      <c r="L69" s="422">
        <f t="shared" si="91"/>
        <v>-51987</v>
      </c>
      <c r="M69" s="422">
        <f t="shared" si="91"/>
        <v>-108193</v>
      </c>
      <c r="N69" s="422">
        <f t="shared" si="91"/>
        <v>-167600</v>
      </c>
      <c r="O69" s="422">
        <f t="shared" si="91"/>
        <v>-246380</v>
      </c>
      <c r="P69" s="422">
        <f t="shared" si="91"/>
        <v>-80513</v>
      </c>
      <c r="Q69" s="422">
        <f t="shared" si="91"/>
        <v>-136428</v>
      </c>
      <c r="R69" s="422">
        <f t="shared" si="91"/>
        <v>-220172</v>
      </c>
      <c r="S69" s="422">
        <f t="shared" ref="S69:T69" si="92">SUM(S70:S77)</f>
        <v>-370943</v>
      </c>
      <c r="T69" s="422">
        <f t="shared" si="92"/>
        <v>-83701</v>
      </c>
      <c r="U69" s="422">
        <f>SUM(U70:U77)</f>
        <v>-162866</v>
      </c>
      <c r="W69" s="422">
        <f t="shared" ref="W69:AC69" si="93">SUM(W70:W77)</f>
        <v>-51987</v>
      </c>
      <c r="X69" s="422">
        <f t="shared" si="93"/>
        <v>-56206</v>
      </c>
      <c r="Y69" s="422">
        <f t="shared" si="93"/>
        <v>-59407</v>
      </c>
      <c r="Z69" s="422">
        <f t="shared" si="93"/>
        <v>-78780</v>
      </c>
      <c r="AA69" s="422">
        <f t="shared" si="93"/>
        <v>-80513</v>
      </c>
      <c r="AB69" s="422">
        <f t="shared" si="93"/>
        <v>-55915</v>
      </c>
      <c r="AC69" s="422">
        <f t="shared" si="93"/>
        <v>-83744</v>
      </c>
      <c r="AD69" s="422">
        <f t="shared" ref="AD69:AE69" si="94">SUM(AD70:AD77)</f>
        <v>-150771</v>
      </c>
      <c r="AE69" s="422">
        <f t="shared" si="94"/>
        <v>-83701</v>
      </c>
      <c r="AF69" s="422">
        <f>SUM(AF70:AF77)</f>
        <v>-79165</v>
      </c>
    </row>
    <row r="70" spans="1:32" outlineLevel="1">
      <c r="A70" s="418" t="s">
        <v>696</v>
      </c>
      <c r="B70" s="418" t="s">
        <v>697</v>
      </c>
      <c r="D70" s="423">
        <v>-13523</v>
      </c>
      <c r="E70" s="423">
        <v>-41203</v>
      </c>
      <c r="F70" s="423">
        <v>-63907</v>
      </c>
      <c r="G70" s="423">
        <v>-91607</v>
      </c>
      <c r="H70" s="423">
        <v>-31321</v>
      </c>
      <c r="I70" s="423">
        <v>-62006</v>
      </c>
      <c r="J70" s="423">
        <v>-98846</v>
      </c>
      <c r="K70" s="423">
        <v>-123384</v>
      </c>
      <c r="L70" s="423">
        <v>-23001</v>
      </c>
      <c r="M70" s="423">
        <v>-56149</v>
      </c>
      <c r="N70" s="423">
        <v>-79925</v>
      </c>
      <c r="O70" s="423">
        <v>-114326</v>
      </c>
      <c r="P70" s="423">
        <v>-41807</v>
      </c>
      <c r="Q70" s="423">
        <v>-69512</v>
      </c>
      <c r="R70" s="423">
        <v>-109264</v>
      </c>
      <c r="S70" s="423">
        <v>-165773</v>
      </c>
      <c r="T70" s="423">
        <v>-35015</v>
      </c>
      <c r="U70" s="423">
        <v>-64842</v>
      </c>
      <c r="W70" s="423">
        <f t="shared" ref="W70:W78" si="95">L70</f>
        <v>-23001</v>
      </c>
      <c r="X70" s="423">
        <f t="shared" ref="X70:X78" si="96">M70-W70</f>
        <v>-33148</v>
      </c>
      <c r="Y70" s="423">
        <f t="shared" ref="Y70:Y78" si="97">N70-M70</f>
        <v>-23776</v>
      </c>
      <c r="Z70" s="423">
        <f t="shared" ref="Z70:Z78" si="98">O70-N70</f>
        <v>-34401</v>
      </c>
      <c r="AA70" s="423">
        <f t="shared" ref="AA70:AA78" si="99">P70</f>
        <v>-41807</v>
      </c>
      <c r="AB70" s="423">
        <f t="shared" ref="AB70:AB78" si="100">Q70-AA70</f>
        <v>-27705</v>
      </c>
      <c r="AC70" s="423">
        <f t="shared" ref="AC70:AC78" si="101">R70-Q70</f>
        <v>-39752</v>
      </c>
      <c r="AD70" s="423">
        <f t="shared" ref="AD70:AD78" si="102">S70-R70</f>
        <v>-56509</v>
      </c>
      <c r="AE70" s="423">
        <f t="shared" ref="AE70:AE78" si="103">T70</f>
        <v>-35015</v>
      </c>
      <c r="AF70" s="423">
        <f t="shared" ref="AF70:AF78" si="104">U70-T70</f>
        <v>-29827</v>
      </c>
    </row>
    <row r="71" spans="1:32" outlineLevel="1">
      <c r="A71" s="418" t="s">
        <v>698</v>
      </c>
      <c r="B71" s="418" t="s">
        <v>699</v>
      </c>
      <c r="D71" s="423">
        <v>-339</v>
      </c>
      <c r="E71" s="423">
        <v>-1389</v>
      </c>
      <c r="F71" s="423">
        <v>-1693</v>
      </c>
      <c r="G71" s="423">
        <v>-2123</v>
      </c>
      <c r="H71" s="423">
        <v>-887</v>
      </c>
      <c r="I71" s="423">
        <v>494</v>
      </c>
      <c r="J71" s="423">
        <v>3320</v>
      </c>
      <c r="K71" s="423">
        <v>-1685</v>
      </c>
      <c r="L71" s="423">
        <v>1313</v>
      </c>
      <c r="M71" s="423">
        <v>1240</v>
      </c>
      <c r="N71" s="423">
        <v>-2016</v>
      </c>
      <c r="O71" s="423">
        <v>-3123</v>
      </c>
      <c r="P71" s="423">
        <v>-613</v>
      </c>
      <c r="Q71" s="423">
        <v>-1101</v>
      </c>
      <c r="R71" s="423">
        <v>-1958</v>
      </c>
      <c r="S71" s="423">
        <v>-2072</v>
      </c>
      <c r="T71" s="423">
        <v>-681</v>
      </c>
      <c r="U71" s="423">
        <v>-2023</v>
      </c>
      <c r="W71" s="423">
        <f t="shared" si="95"/>
        <v>1313</v>
      </c>
      <c r="X71" s="423">
        <f t="shared" si="96"/>
        <v>-73</v>
      </c>
      <c r="Y71" s="423">
        <f t="shared" si="97"/>
        <v>-3256</v>
      </c>
      <c r="Z71" s="423">
        <f t="shared" si="98"/>
        <v>-1107</v>
      </c>
      <c r="AA71" s="423">
        <f t="shared" si="99"/>
        <v>-613</v>
      </c>
      <c r="AB71" s="423">
        <f t="shared" si="100"/>
        <v>-488</v>
      </c>
      <c r="AC71" s="423">
        <f t="shared" si="101"/>
        <v>-857</v>
      </c>
      <c r="AD71" s="423">
        <f t="shared" si="102"/>
        <v>-114</v>
      </c>
      <c r="AE71" s="423">
        <f t="shared" si="103"/>
        <v>-681</v>
      </c>
      <c r="AF71" s="423">
        <f t="shared" si="104"/>
        <v>-1342</v>
      </c>
    </row>
    <row r="72" spans="1:32" outlineLevel="1">
      <c r="A72" s="418" t="s">
        <v>700</v>
      </c>
      <c r="B72" s="418" t="s">
        <v>701</v>
      </c>
      <c r="D72" s="423">
        <v>-20208</v>
      </c>
      <c r="E72" s="423">
        <v>-46356</v>
      </c>
      <c r="F72" s="423">
        <v>-39683</v>
      </c>
      <c r="G72" s="423">
        <v>-20229</v>
      </c>
      <c r="H72" s="423">
        <v>-9739</v>
      </c>
      <c r="I72" s="423">
        <v>-37854</v>
      </c>
      <c r="J72" s="423">
        <v>-49442</v>
      </c>
      <c r="K72" s="423">
        <v>-61284</v>
      </c>
      <c r="L72" s="423">
        <v>-17435</v>
      </c>
      <c r="M72" s="423">
        <v>-29162</v>
      </c>
      <c r="N72" s="423">
        <v>-45656</v>
      </c>
      <c r="O72" s="423">
        <v>-63896</v>
      </c>
      <c r="P72" s="423">
        <v>-14688</v>
      </c>
      <c r="Q72" s="423">
        <v>-33077</v>
      </c>
      <c r="R72" s="423">
        <v>-48482</v>
      </c>
      <c r="S72" s="423">
        <v>-68927</v>
      </c>
      <c r="T72" s="423">
        <v>-16839</v>
      </c>
      <c r="U72" s="423">
        <v>-34358</v>
      </c>
      <c r="W72" s="423">
        <f t="shared" si="95"/>
        <v>-17435</v>
      </c>
      <c r="X72" s="423">
        <f t="shared" si="96"/>
        <v>-11727</v>
      </c>
      <c r="Y72" s="423">
        <f t="shared" si="97"/>
        <v>-16494</v>
      </c>
      <c r="Z72" s="423">
        <f t="shared" si="98"/>
        <v>-18240</v>
      </c>
      <c r="AA72" s="423">
        <f t="shared" si="99"/>
        <v>-14688</v>
      </c>
      <c r="AB72" s="423">
        <f t="shared" si="100"/>
        <v>-18389</v>
      </c>
      <c r="AC72" s="423">
        <f t="shared" si="101"/>
        <v>-15405</v>
      </c>
      <c r="AD72" s="423">
        <f t="shared" si="102"/>
        <v>-20445</v>
      </c>
      <c r="AE72" s="423">
        <f t="shared" si="103"/>
        <v>-16839</v>
      </c>
      <c r="AF72" s="423">
        <f t="shared" si="104"/>
        <v>-17519</v>
      </c>
    </row>
    <row r="73" spans="1:32" outlineLevel="1">
      <c r="A73" s="418" t="s">
        <v>702</v>
      </c>
      <c r="B73" s="418" t="s">
        <v>703</v>
      </c>
      <c r="D73" s="423">
        <v>104</v>
      </c>
      <c r="E73" s="423">
        <v>504</v>
      </c>
      <c r="F73" s="423">
        <v>742</v>
      </c>
      <c r="G73" s="423">
        <v>1040</v>
      </c>
      <c r="H73" s="423">
        <v>-94</v>
      </c>
      <c r="I73" s="423">
        <v>-643</v>
      </c>
      <c r="J73" s="423">
        <v>-824</v>
      </c>
      <c r="K73" s="423">
        <v>-1229</v>
      </c>
      <c r="L73" s="423">
        <v>-286</v>
      </c>
      <c r="M73" s="423">
        <v>-508</v>
      </c>
      <c r="N73" s="423">
        <v>-844</v>
      </c>
      <c r="O73" s="423">
        <v>-1194</v>
      </c>
      <c r="P73" s="423">
        <v>-1399</v>
      </c>
      <c r="Q73" s="423">
        <v>-1541</v>
      </c>
      <c r="R73" s="423">
        <v>-1648</v>
      </c>
      <c r="S73" s="423">
        <v>-3643</v>
      </c>
      <c r="T73" s="423">
        <v>-220</v>
      </c>
      <c r="U73" s="423">
        <v>251</v>
      </c>
      <c r="W73" s="423">
        <f t="shared" si="95"/>
        <v>-286</v>
      </c>
      <c r="X73" s="423">
        <f t="shared" si="96"/>
        <v>-222</v>
      </c>
      <c r="Y73" s="423">
        <f t="shared" si="97"/>
        <v>-336</v>
      </c>
      <c r="Z73" s="423">
        <f t="shared" si="98"/>
        <v>-350</v>
      </c>
      <c r="AA73" s="423">
        <f t="shared" si="99"/>
        <v>-1399</v>
      </c>
      <c r="AB73" s="423">
        <f t="shared" si="100"/>
        <v>-142</v>
      </c>
      <c r="AC73" s="423">
        <f t="shared" si="101"/>
        <v>-107</v>
      </c>
      <c r="AD73" s="423">
        <f t="shared" si="102"/>
        <v>-1995</v>
      </c>
      <c r="AE73" s="423">
        <f t="shared" si="103"/>
        <v>-220</v>
      </c>
      <c r="AF73" s="423">
        <f t="shared" si="104"/>
        <v>471</v>
      </c>
    </row>
    <row r="74" spans="1:32" outlineLevel="1">
      <c r="A74" s="418" t="s">
        <v>704</v>
      </c>
      <c r="B74" s="418" t="s">
        <v>705</v>
      </c>
      <c r="D74" s="423">
        <v>-488</v>
      </c>
      <c r="E74" s="423">
        <v>-997</v>
      </c>
      <c r="F74" s="423">
        <v>-640</v>
      </c>
      <c r="G74" s="423">
        <v>374</v>
      </c>
      <c r="H74" s="423">
        <v>-238</v>
      </c>
      <c r="I74" s="423">
        <v>-2890</v>
      </c>
      <c r="J74" s="423">
        <v>-2867</v>
      </c>
      <c r="K74" s="423">
        <v>-2549</v>
      </c>
      <c r="L74" s="423">
        <v>-1640</v>
      </c>
      <c r="M74" s="423">
        <v>-2077</v>
      </c>
      <c r="N74" s="423">
        <v>-5888</v>
      </c>
      <c r="O74" s="423">
        <v>-6019</v>
      </c>
      <c r="P74" s="423">
        <v>-1325</v>
      </c>
      <c r="Q74" s="423">
        <v>-5057</v>
      </c>
      <c r="R74" s="423">
        <v>-6145</v>
      </c>
      <c r="S74" s="423">
        <v>-6043</v>
      </c>
      <c r="T74" s="423">
        <v>-4784</v>
      </c>
      <c r="U74" s="423">
        <v>-7108</v>
      </c>
      <c r="W74" s="423">
        <f t="shared" si="95"/>
        <v>-1640</v>
      </c>
      <c r="X74" s="423">
        <f t="shared" si="96"/>
        <v>-437</v>
      </c>
      <c r="Y74" s="423">
        <f t="shared" si="97"/>
        <v>-3811</v>
      </c>
      <c r="Z74" s="423">
        <f t="shared" si="98"/>
        <v>-131</v>
      </c>
      <c r="AA74" s="423">
        <f t="shared" si="99"/>
        <v>-1325</v>
      </c>
      <c r="AB74" s="423">
        <f t="shared" si="100"/>
        <v>-3732</v>
      </c>
      <c r="AC74" s="423">
        <f t="shared" si="101"/>
        <v>-1088</v>
      </c>
      <c r="AD74" s="423">
        <f t="shared" si="102"/>
        <v>102</v>
      </c>
      <c r="AE74" s="423">
        <f t="shared" si="103"/>
        <v>-4784</v>
      </c>
      <c r="AF74" s="423">
        <f t="shared" si="104"/>
        <v>-2324</v>
      </c>
    </row>
    <row r="75" spans="1:32" outlineLevel="1">
      <c r="A75" s="418" t="s">
        <v>706</v>
      </c>
      <c r="B75" s="418" t="s">
        <v>707</v>
      </c>
      <c r="D75" s="423">
        <v>-6004</v>
      </c>
      <c r="E75" s="423">
        <v>-11104</v>
      </c>
      <c r="F75" s="423">
        <v>-15395</v>
      </c>
      <c r="G75" s="423">
        <v>-17228</v>
      </c>
      <c r="H75" s="423">
        <v>-4867</v>
      </c>
      <c r="I75" s="423">
        <v>-8618</v>
      </c>
      <c r="J75" s="423">
        <v>-12823</v>
      </c>
      <c r="K75" s="423">
        <v>-25352</v>
      </c>
      <c r="L75" s="423">
        <v>-4182</v>
      </c>
      <c r="M75" s="423">
        <v>-8028</v>
      </c>
      <c r="N75" s="423">
        <v>-12440</v>
      </c>
      <c r="O75" s="423">
        <v>-14295</v>
      </c>
      <c r="P75" s="423">
        <v>-3365</v>
      </c>
      <c r="Q75" s="423">
        <v>-7249</v>
      </c>
      <c r="R75" s="423">
        <v>-13898</v>
      </c>
      <c r="S75" s="423">
        <v>-49749</v>
      </c>
      <c r="T75" s="423">
        <v>-5832</v>
      </c>
      <c r="U75" s="423">
        <v>-10799</v>
      </c>
      <c r="W75" s="423">
        <f t="shared" si="95"/>
        <v>-4182</v>
      </c>
      <c r="X75" s="423">
        <f t="shared" si="96"/>
        <v>-3846</v>
      </c>
      <c r="Y75" s="423">
        <f t="shared" si="97"/>
        <v>-4412</v>
      </c>
      <c r="Z75" s="423">
        <f t="shared" si="98"/>
        <v>-1855</v>
      </c>
      <c r="AA75" s="423">
        <f t="shared" si="99"/>
        <v>-3365</v>
      </c>
      <c r="AB75" s="423">
        <f t="shared" si="100"/>
        <v>-3884</v>
      </c>
      <c r="AC75" s="423">
        <f t="shared" si="101"/>
        <v>-6649</v>
      </c>
      <c r="AD75" s="423">
        <f t="shared" si="102"/>
        <v>-35851</v>
      </c>
      <c r="AE75" s="423">
        <f t="shared" si="103"/>
        <v>-5832</v>
      </c>
      <c r="AF75" s="423">
        <f t="shared" si="104"/>
        <v>-4967</v>
      </c>
    </row>
    <row r="76" spans="1:32" outlineLevel="1">
      <c r="A76" s="418" t="s">
        <v>708</v>
      </c>
      <c r="B76" s="418" t="s">
        <v>709</v>
      </c>
      <c r="D76" s="423">
        <v>-19424</v>
      </c>
      <c r="E76" s="423">
        <v>-27279</v>
      </c>
      <c r="F76" s="423">
        <v>-34122</v>
      </c>
      <c r="G76" s="423">
        <v>-42246</v>
      </c>
      <c r="H76" s="423">
        <v>-6026</v>
      </c>
      <c r="I76" s="423">
        <v>-12381</v>
      </c>
      <c r="J76" s="423">
        <v>-18508</v>
      </c>
      <c r="K76" s="423">
        <v>-29239</v>
      </c>
      <c r="L76" s="423">
        <v>-6756</v>
      </c>
      <c r="M76" s="423">
        <v>-13509</v>
      </c>
      <c r="N76" s="423">
        <v>-20831</v>
      </c>
      <c r="O76" s="423">
        <v>-43527</v>
      </c>
      <c r="P76" s="423">
        <v>-17316</v>
      </c>
      <c r="Q76" s="423">
        <v>-18891</v>
      </c>
      <c r="R76" s="423">
        <v>-38777</v>
      </c>
      <c r="S76" s="423">
        <v>-74736</v>
      </c>
      <c r="T76" s="423">
        <v>-20330</v>
      </c>
      <c r="U76" s="423">
        <v>-43987</v>
      </c>
      <c r="W76" s="423">
        <f t="shared" si="95"/>
        <v>-6756</v>
      </c>
      <c r="X76" s="423">
        <f t="shared" si="96"/>
        <v>-6753</v>
      </c>
      <c r="Y76" s="423">
        <f t="shared" si="97"/>
        <v>-7322</v>
      </c>
      <c r="Z76" s="423">
        <f t="shared" si="98"/>
        <v>-22696</v>
      </c>
      <c r="AA76" s="423">
        <f t="shared" si="99"/>
        <v>-17316</v>
      </c>
      <c r="AB76" s="423">
        <f t="shared" si="100"/>
        <v>-1575</v>
      </c>
      <c r="AC76" s="423">
        <f t="shared" si="101"/>
        <v>-19886</v>
      </c>
      <c r="AD76" s="423">
        <f t="shared" si="102"/>
        <v>-35959</v>
      </c>
      <c r="AE76" s="423">
        <f t="shared" si="103"/>
        <v>-20330</v>
      </c>
      <c r="AF76" s="423">
        <f t="shared" si="104"/>
        <v>-23657</v>
      </c>
    </row>
    <row r="77" spans="1:32" outlineLevel="1">
      <c r="A77" s="418" t="s">
        <v>710</v>
      </c>
      <c r="B77" s="418" t="s">
        <v>711</v>
      </c>
      <c r="D77" s="423">
        <v>0</v>
      </c>
      <c r="E77" s="423">
        <v>0</v>
      </c>
      <c r="F77" s="423">
        <v>0</v>
      </c>
      <c r="G77" s="423">
        <v>0</v>
      </c>
      <c r="H77" s="423">
        <v>0</v>
      </c>
      <c r="I77" s="423">
        <v>0</v>
      </c>
      <c r="J77" s="423">
        <v>0</v>
      </c>
      <c r="K77" s="423">
        <v>0</v>
      </c>
      <c r="L77" s="423">
        <v>0</v>
      </c>
      <c r="M77" s="423">
        <v>0</v>
      </c>
      <c r="N77" s="423">
        <v>0</v>
      </c>
      <c r="O77" s="423">
        <v>0</v>
      </c>
      <c r="P77" s="423">
        <v>0</v>
      </c>
      <c r="Q77" s="423">
        <v>0</v>
      </c>
      <c r="R77" s="423">
        <v>0</v>
      </c>
      <c r="S77" s="423">
        <v>0</v>
      </c>
      <c r="T77" s="423">
        <v>0</v>
      </c>
      <c r="U77" s="423">
        <v>0</v>
      </c>
      <c r="W77" s="423">
        <f t="shared" si="95"/>
        <v>0</v>
      </c>
      <c r="X77" s="423">
        <f t="shared" si="96"/>
        <v>0</v>
      </c>
      <c r="Y77" s="423">
        <f t="shared" si="97"/>
        <v>0</v>
      </c>
      <c r="Z77" s="423">
        <f t="shared" si="98"/>
        <v>0</v>
      </c>
      <c r="AA77" s="423">
        <f t="shared" si="99"/>
        <v>0</v>
      </c>
      <c r="AB77" s="423">
        <f t="shared" si="100"/>
        <v>0</v>
      </c>
      <c r="AC77" s="423">
        <f t="shared" si="101"/>
        <v>0</v>
      </c>
      <c r="AD77" s="423">
        <f t="shared" si="102"/>
        <v>0</v>
      </c>
      <c r="AE77" s="423">
        <f t="shared" si="103"/>
        <v>0</v>
      </c>
      <c r="AF77" s="423">
        <f t="shared" si="104"/>
        <v>0</v>
      </c>
    </row>
    <row r="78" spans="1:32">
      <c r="A78" s="417" t="s">
        <v>712</v>
      </c>
      <c r="B78" s="417" t="s">
        <v>713</v>
      </c>
      <c r="D78" s="422">
        <v>0</v>
      </c>
      <c r="E78" s="422">
        <v>0</v>
      </c>
      <c r="F78" s="422">
        <v>0</v>
      </c>
      <c r="G78" s="422">
        <v>0</v>
      </c>
      <c r="H78" s="422">
        <v>0</v>
      </c>
      <c r="I78" s="422">
        <v>0</v>
      </c>
      <c r="J78" s="422">
        <v>0</v>
      </c>
      <c r="K78" s="422">
        <v>0</v>
      </c>
      <c r="L78" s="422">
        <v>0</v>
      </c>
      <c r="M78" s="422">
        <v>0</v>
      </c>
      <c r="N78" s="422">
        <v>0</v>
      </c>
      <c r="O78" s="422">
        <v>0</v>
      </c>
      <c r="P78" s="422">
        <v>0</v>
      </c>
      <c r="Q78" s="422">
        <v>0</v>
      </c>
      <c r="R78" s="422">
        <v>0</v>
      </c>
      <c r="S78" s="422">
        <v>0</v>
      </c>
      <c r="T78" s="422">
        <v>0</v>
      </c>
      <c r="U78" s="422">
        <v>0</v>
      </c>
      <c r="W78" s="422">
        <f t="shared" si="95"/>
        <v>0</v>
      </c>
      <c r="X78" s="422">
        <f t="shared" si="96"/>
        <v>0</v>
      </c>
      <c r="Y78" s="422">
        <f t="shared" si="97"/>
        <v>0</v>
      </c>
      <c r="Z78" s="422">
        <f t="shared" si="98"/>
        <v>0</v>
      </c>
      <c r="AA78" s="422">
        <f t="shared" si="99"/>
        <v>0</v>
      </c>
      <c r="AB78" s="422">
        <f t="shared" si="100"/>
        <v>0</v>
      </c>
      <c r="AC78" s="422">
        <f t="shared" si="101"/>
        <v>0</v>
      </c>
      <c r="AD78" s="422">
        <f t="shared" si="102"/>
        <v>0</v>
      </c>
      <c r="AE78" s="422">
        <f t="shared" si="103"/>
        <v>0</v>
      </c>
      <c r="AF78" s="422">
        <f t="shared" si="104"/>
        <v>0</v>
      </c>
    </row>
    <row r="79" spans="1:32">
      <c r="A79" s="417" t="s">
        <v>714</v>
      </c>
      <c r="B79" s="417" t="s">
        <v>715</v>
      </c>
      <c r="D79" s="422">
        <f t="shared" ref="D79:K79" si="105">SUM(D80:D82)</f>
        <v>-49451</v>
      </c>
      <c r="E79" s="422">
        <f t="shared" si="105"/>
        <v>-89834</v>
      </c>
      <c r="F79" s="422">
        <f t="shared" si="105"/>
        <v>-120223</v>
      </c>
      <c r="G79" s="422">
        <f t="shared" si="105"/>
        <v>-123023</v>
      </c>
      <c r="H79" s="422">
        <f t="shared" si="105"/>
        <v>-57045</v>
      </c>
      <c r="I79" s="422">
        <f t="shared" si="105"/>
        <v>-80293</v>
      </c>
      <c r="J79" s="422">
        <f t="shared" si="105"/>
        <v>-119940</v>
      </c>
      <c r="K79" s="422">
        <f t="shared" si="105"/>
        <v>-175362</v>
      </c>
      <c r="L79" s="422">
        <f t="shared" ref="L79:R79" si="106">SUM(L80:L82)</f>
        <v>-26819</v>
      </c>
      <c r="M79" s="422">
        <f t="shared" si="106"/>
        <v>-63668</v>
      </c>
      <c r="N79" s="422">
        <f t="shared" si="106"/>
        <v>-99901</v>
      </c>
      <c r="O79" s="422">
        <f t="shared" si="106"/>
        <v>-135505</v>
      </c>
      <c r="P79" s="422">
        <f t="shared" si="106"/>
        <v>-42155</v>
      </c>
      <c r="Q79" s="422">
        <f t="shared" si="106"/>
        <v>-29997</v>
      </c>
      <c r="R79" s="422">
        <f t="shared" si="106"/>
        <v>-83483</v>
      </c>
      <c r="S79" s="422">
        <f t="shared" ref="S79:T79" si="107">SUM(S80:S82)</f>
        <v>-114806</v>
      </c>
      <c r="T79" s="422">
        <f t="shared" si="107"/>
        <v>-20585</v>
      </c>
      <c r="U79" s="422">
        <f>SUM(U80:U82)</f>
        <v>-49436</v>
      </c>
      <c r="W79" s="422">
        <f t="shared" ref="W79:AC79" si="108">SUM(W80:W82)</f>
        <v>-26819</v>
      </c>
      <c r="X79" s="422">
        <f t="shared" si="108"/>
        <v>-36849</v>
      </c>
      <c r="Y79" s="422">
        <f t="shared" si="108"/>
        <v>-36233</v>
      </c>
      <c r="Z79" s="422">
        <f t="shared" si="108"/>
        <v>-35604</v>
      </c>
      <c r="AA79" s="422">
        <f t="shared" si="108"/>
        <v>-42155</v>
      </c>
      <c r="AB79" s="422">
        <f t="shared" si="108"/>
        <v>12158</v>
      </c>
      <c r="AC79" s="422">
        <f t="shared" si="108"/>
        <v>-53486</v>
      </c>
      <c r="AD79" s="422">
        <f t="shared" ref="AD79:AE79" si="109">SUM(AD80:AD82)</f>
        <v>-31323</v>
      </c>
      <c r="AE79" s="422">
        <f t="shared" si="109"/>
        <v>-20585</v>
      </c>
      <c r="AF79" s="422">
        <f>SUM(AF80:AF82)</f>
        <v>-28851</v>
      </c>
    </row>
    <row r="80" spans="1:32" outlineLevel="1">
      <c r="A80" s="418" t="s">
        <v>716</v>
      </c>
      <c r="B80" s="418" t="s">
        <v>717</v>
      </c>
      <c r="D80" s="423">
        <v>-1390</v>
      </c>
      <c r="E80" s="423">
        <v>-4512</v>
      </c>
      <c r="F80" s="423">
        <v>-28179</v>
      </c>
      <c r="G80" s="423">
        <v>-32982</v>
      </c>
      <c r="H80" s="423">
        <v>-4880</v>
      </c>
      <c r="I80" s="423">
        <v>-5702</v>
      </c>
      <c r="J80" s="423">
        <v>-7953</v>
      </c>
      <c r="K80" s="423">
        <v>-15766</v>
      </c>
      <c r="L80" s="423">
        <v>-2171</v>
      </c>
      <c r="M80" s="423">
        <v>-6768</v>
      </c>
      <c r="N80" s="423">
        <v>-12911</v>
      </c>
      <c r="O80" s="423">
        <v>-23355</v>
      </c>
      <c r="P80" s="423">
        <v>-3723</v>
      </c>
      <c r="Q80" s="423">
        <v>-8343</v>
      </c>
      <c r="R80" s="423">
        <v>-37943</v>
      </c>
      <c r="S80" s="423">
        <v>-46143</v>
      </c>
      <c r="T80" s="423">
        <v>-3004</v>
      </c>
      <c r="U80" s="423">
        <v>-8362</v>
      </c>
      <c r="W80" s="423">
        <f>L80</f>
        <v>-2171</v>
      </c>
      <c r="X80" s="423">
        <f>M80-W80</f>
        <v>-4597</v>
      </c>
      <c r="Y80" s="423">
        <f t="shared" ref="Y80:Z82" si="110">N80-M80</f>
        <v>-6143</v>
      </c>
      <c r="Z80" s="423">
        <f t="shared" si="110"/>
        <v>-10444</v>
      </c>
      <c r="AA80" s="423">
        <f>P80</f>
        <v>-3723</v>
      </c>
      <c r="AB80" s="423">
        <f>Q80-AA80</f>
        <v>-4620</v>
      </c>
      <c r="AC80" s="423">
        <f t="shared" ref="AC80:AD82" si="111">R80-Q80</f>
        <v>-29600</v>
      </c>
      <c r="AD80" s="423">
        <f t="shared" si="111"/>
        <v>-8200</v>
      </c>
      <c r="AE80" s="423">
        <f>T80</f>
        <v>-3004</v>
      </c>
      <c r="AF80" s="423">
        <f>U80-T80</f>
        <v>-5358</v>
      </c>
    </row>
    <row r="81" spans="1:32" outlineLevel="1">
      <c r="A81" s="418" t="s">
        <v>718</v>
      </c>
      <c r="B81" s="418" t="s">
        <v>719</v>
      </c>
      <c r="D81" s="423">
        <v>-48061</v>
      </c>
      <c r="E81" s="423">
        <v>-85322</v>
      </c>
      <c r="F81" s="423">
        <v>-92044</v>
      </c>
      <c r="G81" s="423">
        <v>-90041</v>
      </c>
      <c r="H81" s="423">
        <v>-52165</v>
      </c>
      <c r="I81" s="423">
        <v>-74591</v>
      </c>
      <c r="J81" s="423">
        <v>-111987</v>
      </c>
      <c r="K81" s="423">
        <v>-159596</v>
      </c>
      <c r="L81" s="423">
        <v>-24648</v>
      </c>
      <c r="M81" s="423">
        <v>-42042</v>
      </c>
      <c r="N81" s="423">
        <v>-61020</v>
      </c>
      <c r="O81" s="423">
        <v>-54853</v>
      </c>
      <c r="P81" s="423">
        <v>-30923</v>
      </c>
      <c r="Q81" s="423">
        <v>-8564</v>
      </c>
      <c r="R81" s="423">
        <v>-30034</v>
      </c>
      <c r="S81" s="423">
        <v>-64146</v>
      </c>
      <c r="T81" s="423">
        <v>-14383</v>
      </c>
      <c r="U81" s="423">
        <v>-33692</v>
      </c>
      <c r="W81" s="423">
        <f>L81</f>
        <v>-24648</v>
      </c>
      <c r="X81" s="423">
        <f>M81-W81</f>
        <v>-17394</v>
      </c>
      <c r="Y81" s="423">
        <f t="shared" si="110"/>
        <v>-18978</v>
      </c>
      <c r="Z81" s="423">
        <f t="shared" si="110"/>
        <v>6167</v>
      </c>
      <c r="AA81" s="423">
        <f>P81</f>
        <v>-30923</v>
      </c>
      <c r="AB81" s="423">
        <f>Q81-AA81</f>
        <v>22359</v>
      </c>
      <c r="AC81" s="423">
        <f t="shared" si="111"/>
        <v>-21470</v>
      </c>
      <c r="AD81" s="423">
        <f t="shared" si="111"/>
        <v>-34112</v>
      </c>
      <c r="AE81" s="423">
        <f>T81</f>
        <v>-14383</v>
      </c>
      <c r="AF81" s="423">
        <f>U81-T81</f>
        <v>-19309</v>
      </c>
    </row>
    <row r="82" spans="1:32" outlineLevel="1">
      <c r="A82" s="418" t="s">
        <v>720</v>
      </c>
      <c r="B82" s="418" t="s">
        <v>721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>
        <v>-14858</v>
      </c>
      <c r="N82" s="423">
        <v>-25970</v>
      </c>
      <c r="O82" s="423">
        <v>-57297</v>
      </c>
      <c r="P82" s="423">
        <v>-7509</v>
      </c>
      <c r="Q82" s="423">
        <v>-13090</v>
      </c>
      <c r="R82" s="423">
        <v>-15506</v>
      </c>
      <c r="S82" s="423">
        <v>-4517</v>
      </c>
      <c r="T82" s="423">
        <v>-3198</v>
      </c>
      <c r="U82" s="423">
        <v>-7382</v>
      </c>
      <c r="W82" s="423"/>
      <c r="X82" s="423">
        <f>M82-W82</f>
        <v>-14858</v>
      </c>
      <c r="Y82" s="423">
        <f t="shared" si="110"/>
        <v>-11112</v>
      </c>
      <c r="Z82" s="423">
        <f t="shared" si="110"/>
        <v>-31327</v>
      </c>
      <c r="AA82" s="423">
        <f>P82</f>
        <v>-7509</v>
      </c>
      <c r="AB82" s="423">
        <f>Q82-AA82</f>
        <v>-5581</v>
      </c>
      <c r="AC82" s="423">
        <f t="shared" si="111"/>
        <v>-2416</v>
      </c>
      <c r="AD82" s="423">
        <f t="shared" si="111"/>
        <v>10989</v>
      </c>
      <c r="AE82" s="423">
        <f>T82</f>
        <v>-3198</v>
      </c>
      <c r="AF82" s="423">
        <f>U82-T82</f>
        <v>-4184</v>
      </c>
    </row>
    <row r="83" spans="1:32">
      <c r="A83" s="417"/>
      <c r="B83" s="417"/>
      <c r="D83" s="417"/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</row>
    <row r="84" spans="1:32">
      <c r="A84" s="429" t="s">
        <v>722</v>
      </c>
      <c r="B84" s="429" t="s">
        <v>722</v>
      </c>
      <c r="D84" s="420">
        <f t="shared" ref="D84:I84" si="112">D86-D76-D53-D77</f>
        <v>234230</v>
      </c>
      <c r="E84" s="420">
        <f t="shared" si="112"/>
        <v>421686</v>
      </c>
      <c r="F84" s="420">
        <f t="shared" si="112"/>
        <v>641268</v>
      </c>
      <c r="G84" s="420">
        <f t="shared" si="112"/>
        <v>1179736</v>
      </c>
      <c r="H84" s="420">
        <f t="shared" si="112"/>
        <v>258131</v>
      </c>
      <c r="I84" s="420">
        <f t="shared" si="112"/>
        <v>558505</v>
      </c>
      <c r="J84" s="420">
        <f t="shared" ref="J84:O84" si="113">J86-J76-J53-J77</f>
        <v>878401</v>
      </c>
      <c r="K84" s="420">
        <f t="shared" si="113"/>
        <v>1208175</v>
      </c>
      <c r="L84" s="420">
        <f t="shared" si="113"/>
        <v>324702</v>
      </c>
      <c r="M84" s="420">
        <f t="shared" si="113"/>
        <v>640893</v>
      </c>
      <c r="N84" s="420">
        <f t="shared" si="113"/>
        <v>1012155</v>
      </c>
      <c r="O84" s="420">
        <f t="shared" si="113"/>
        <v>1342014</v>
      </c>
      <c r="P84" s="420">
        <f t="shared" ref="P84:U84" si="114">P86-P76-P53-P77</f>
        <v>367038</v>
      </c>
      <c r="Q84" s="420">
        <f t="shared" si="114"/>
        <v>874580</v>
      </c>
      <c r="R84" s="420">
        <f t="shared" si="114"/>
        <v>1194520</v>
      </c>
      <c r="S84" s="420">
        <f t="shared" si="114"/>
        <v>1659748</v>
      </c>
      <c r="T84" s="420">
        <f t="shared" si="114"/>
        <v>526173</v>
      </c>
      <c r="U84" s="741">
        <f t="shared" si="114"/>
        <v>1043356</v>
      </c>
      <c r="W84" s="420">
        <f t="shared" ref="W84:AC84" si="115">W86-W76-W53-W77</f>
        <v>324702</v>
      </c>
      <c r="X84" s="420">
        <f t="shared" si="115"/>
        <v>316191</v>
      </c>
      <c r="Y84" s="420">
        <f t="shared" si="115"/>
        <v>371262</v>
      </c>
      <c r="Z84" s="420">
        <f t="shared" si="115"/>
        <v>329859</v>
      </c>
      <c r="AA84" s="420">
        <f t="shared" si="115"/>
        <v>367038</v>
      </c>
      <c r="AB84" s="420">
        <f t="shared" si="115"/>
        <v>507542</v>
      </c>
      <c r="AC84" s="420">
        <f t="shared" si="115"/>
        <v>319940</v>
      </c>
      <c r="AD84" s="420">
        <f t="shared" ref="AD84:AE84" si="116">AD86-AD76-AD53-AD77</f>
        <v>465228</v>
      </c>
      <c r="AE84" s="420">
        <f t="shared" si="116"/>
        <v>526173</v>
      </c>
      <c r="AF84" s="741">
        <f>AF86-AF76-AF53-AF77</f>
        <v>800430</v>
      </c>
    </row>
    <row r="85" spans="1:32">
      <c r="A85" s="417"/>
      <c r="B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</row>
    <row r="86" spans="1:32">
      <c r="A86" s="429" t="s">
        <v>723</v>
      </c>
      <c r="B86" s="429" t="s">
        <v>724</v>
      </c>
      <c r="D86" s="420">
        <f t="shared" ref="D86:I86" si="117">D58+D60</f>
        <v>178439</v>
      </c>
      <c r="E86" s="420">
        <f t="shared" si="117"/>
        <v>309777</v>
      </c>
      <c r="F86" s="420">
        <f t="shared" si="117"/>
        <v>472560</v>
      </c>
      <c r="G86" s="420">
        <f t="shared" si="117"/>
        <v>949413</v>
      </c>
      <c r="H86" s="420">
        <f t="shared" si="117"/>
        <v>197555</v>
      </c>
      <c r="I86" s="420">
        <f t="shared" si="117"/>
        <v>440335</v>
      </c>
      <c r="J86" s="420">
        <f t="shared" ref="J86:O86" si="118">J58+J60</f>
        <v>697758</v>
      </c>
      <c r="K86" s="420">
        <f t="shared" si="118"/>
        <v>956258</v>
      </c>
      <c r="L86" s="420">
        <f t="shared" si="118"/>
        <v>255050</v>
      </c>
      <c r="M86" s="420">
        <f t="shared" si="118"/>
        <v>499253</v>
      </c>
      <c r="N86" s="420">
        <f t="shared" si="118"/>
        <v>800232</v>
      </c>
      <c r="O86" s="420">
        <f t="shared" si="118"/>
        <v>1035050</v>
      </c>
      <c r="P86" s="420">
        <f t="shared" ref="P86:U86" si="119">P58+P60</f>
        <v>270479</v>
      </c>
      <c r="Q86" s="420">
        <f t="shared" si="119"/>
        <v>687377</v>
      </c>
      <c r="R86" s="420">
        <f t="shared" si="119"/>
        <v>905004</v>
      </c>
      <c r="S86" s="420">
        <f t="shared" si="119"/>
        <v>1268906</v>
      </c>
      <c r="T86" s="420">
        <f t="shared" si="119"/>
        <v>426177</v>
      </c>
      <c r="U86" s="741">
        <f t="shared" si="119"/>
        <v>840216</v>
      </c>
      <c r="W86" s="420">
        <f t="shared" ref="W86:AC86" si="120">W58+W60</f>
        <v>255050</v>
      </c>
      <c r="X86" s="420">
        <f t="shared" si="120"/>
        <v>244203</v>
      </c>
      <c r="Y86" s="420">
        <f t="shared" si="120"/>
        <v>300979</v>
      </c>
      <c r="Z86" s="420">
        <f t="shared" si="120"/>
        <v>234818</v>
      </c>
      <c r="AA86" s="420">
        <f t="shared" si="120"/>
        <v>270479</v>
      </c>
      <c r="AB86" s="420">
        <f t="shared" si="120"/>
        <v>416898</v>
      </c>
      <c r="AC86" s="420">
        <f t="shared" si="120"/>
        <v>217627</v>
      </c>
      <c r="AD86" s="420">
        <f t="shared" ref="AD86:AE86" si="121">AD58+AD60</f>
        <v>363902</v>
      </c>
      <c r="AE86" s="420">
        <f t="shared" si="121"/>
        <v>426177</v>
      </c>
      <c r="AF86" s="741">
        <f>AF58+AF60</f>
        <v>697286</v>
      </c>
    </row>
    <row r="87" spans="1:32">
      <c r="A87" s="417"/>
      <c r="B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</row>
    <row r="88" spans="1:32">
      <c r="A88" s="429" t="s">
        <v>725</v>
      </c>
      <c r="B88" s="429" t="s">
        <v>726</v>
      </c>
      <c r="D88" s="420">
        <f t="shared" ref="D88:I88" si="122">D90+D100</f>
        <v>-16502</v>
      </c>
      <c r="E88" s="420">
        <f t="shared" si="122"/>
        <v>-149500</v>
      </c>
      <c r="F88" s="420">
        <f t="shared" si="122"/>
        <v>-201976</v>
      </c>
      <c r="G88" s="420">
        <f t="shared" si="122"/>
        <v>-209217</v>
      </c>
      <c r="H88" s="420">
        <f t="shared" si="122"/>
        <v>-45487</v>
      </c>
      <c r="I88" s="420">
        <f t="shared" si="122"/>
        <v>-90646</v>
      </c>
      <c r="J88" s="420">
        <f t="shared" ref="J88:O88" si="123">J90+J100</f>
        <v>-107360</v>
      </c>
      <c r="K88" s="420">
        <f t="shared" si="123"/>
        <v>-137252</v>
      </c>
      <c r="L88" s="420">
        <f t="shared" si="123"/>
        <v>-62018</v>
      </c>
      <c r="M88" s="420">
        <f t="shared" si="123"/>
        <v>-120776</v>
      </c>
      <c r="N88" s="420">
        <f t="shared" si="123"/>
        <v>-176874</v>
      </c>
      <c r="O88" s="420">
        <f t="shared" si="123"/>
        <v>-219306</v>
      </c>
      <c r="P88" s="420">
        <f t="shared" ref="P88:U88" si="124">P90+P100</f>
        <v>-92997</v>
      </c>
      <c r="Q88" s="420">
        <f t="shared" si="124"/>
        <v>-194131</v>
      </c>
      <c r="R88" s="420">
        <f t="shared" si="124"/>
        <v>-264881</v>
      </c>
      <c r="S88" s="420">
        <f t="shared" si="124"/>
        <v>-390549</v>
      </c>
      <c r="T88" s="420">
        <f t="shared" si="124"/>
        <v>-97315</v>
      </c>
      <c r="U88" s="741">
        <f t="shared" si="124"/>
        <v>-211169</v>
      </c>
      <c r="W88" s="420">
        <f t="shared" ref="W88:AC88" si="125">W90+W100</f>
        <v>-62018</v>
      </c>
      <c r="X88" s="420">
        <f t="shared" si="125"/>
        <v>-58758</v>
      </c>
      <c r="Y88" s="420">
        <f t="shared" si="125"/>
        <v>-56098</v>
      </c>
      <c r="Z88" s="420">
        <f t="shared" si="125"/>
        <v>-42432</v>
      </c>
      <c r="AA88" s="420">
        <f t="shared" si="125"/>
        <v>-92997</v>
      </c>
      <c r="AB88" s="420">
        <f t="shared" si="125"/>
        <v>-101134</v>
      </c>
      <c r="AC88" s="420">
        <f t="shared" si="125"/>
        <v>-70750</v>
      </c>
      <c r="AD88" s="420">
        <f t="shared" ref="AD88:AE88" si="126">AD90+AD100</f>
        <v>-125668</v>
      </c>
      <c r="AE88" s="420">
        <f t="shared" si="126"/>
        <v>-97315</v>
      </c>
      <c r="AF88" s="741">
        <f>AF90+AF100</f>
        <v>-113854</v>
      </c>
    </row>
    <row r="89" spans="1:32">
      <c r="A89" s="416"/>
      <c r="B89" s="416"/>
      <c r="D89" s="417"/>
      <c r="E89" s="417"/>
      <c r="F89" s="417"/>
      <c r="G89" s="417"/>
      <c r="H89" s="417"/>
      <c r="I89" s="417"/>
      <c r="J89" s="422"/>
      <c r="K89" s="422"/>
      <c r="L89" s="422"/>
      <c r="M89" s="417"/>
      <c r="N89" s="417"/>
      <c r="O89" s="417"/>
      <c r="P89" s="417"/>
      <c r="Q89" s="417"/>
      <c r="R89" s="417"/>
      <c r="S89" s="417"/>
      <c r="T89" s="793"/>
      <c r="U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</row>
    <row r="90" spans="1:32">
      <c r="A90" s="417" t="s">
        <v>727</v>
      </c>
      <c r="B90" s="417" t="s">
        <v>728</v>
      </c>
      <c r="D90" s="424">
        <f t="shared" ref="D90:I90" si="127">SUM(D91:D99)</f>
        <v>125367</v>
      </c>
      <c r="E90" s="424">
        <f t="shared" si="127"/>
        <v>184991</v>
      </c>
      <c r="F90" s="424">
        <f t="shared" si="127"/>
        <v>264157</v>
      </c>
      <c r="G90" s="424">
        <f t="shared" si="127"/>
        <v>349197</v>
      </c>
      <c r="H90" s="424">
        <f t="shared" si="127"/>
        <v>93580</v>
      </c>
      <c r="I90" s="424">
        <f t="shared" si="127"/>
        <v>197640</v>
      </c>
      <c r="J90" s="424">
        <f t="shared" ref="J90:O90" si="128">SUM(J91:J99)</f>
        <v>291237</v>
      </c>
      <c r="K90" s="424">
        <f t="shared" si="128"/>
        <v>424036</v>
      </c>
      <c r="L90" s="424">
        <f t="shared" si="128"/>
        <v>141169</v>
      </c>
      <c r="M90" s="424">
        <f t="shared" si="128"/>
        <v>253663</v>
      </c>
      <c r="N90" s="424">
        <f t="shared" si="128"/>
        <v>320247</v>
      </c>
      <c r="O90" s="424">
        <f t="shared" si="128"/>
        <v>531255</v>
      </c>
      <c r="P90" s="424">
        <f t="shared" ref="P90:U90" si="129">SUM(P91:P99)</f>
        <v>224742</v>
      </c>
      <c r="Q90" s="424">
        <f t="shared" si="129"/>
        <v>398498</v>
      </c>
      <c r="R90" s="424">
        <f t="shared" si="129"/>
        <v>469520</v>
      </c>
      <c r="S90" s="424">
        <f t="shared" si="129"/>
        <v>486933</v>
      </c>
      <c r="T90" s="424">
        <f t="shared" si="129"/>
        <v>218698</v>
      </c>
      <c r="U90" s="424">
        <f t="shared" si="129"/>
        <v>322628</v>
      </c>
      <c r="W90" s="424">
        <f t="shared" ref="W90:AC90" si="130">SUM(W91:W99)</f>
        <v>141169</v>
      </c>
      <c r="X90" s="424">
        <f t="shared" si="130"/>
        <v>112494</v>
      </c>
      <c r="Y90" s="424">
        <f t="shared" si="130"/>
        <v>66584</v>
      </c>
      <c r="Z90" s="424">
        <f t="shared" si="130"/>
        <v>211008</v>
      </c>
      <c r="AA90" s="424">
        <f t="shared" si="130"/>
        <v>224742</v>
      </c>
      <c r="AB90" s="424">
        <f t="shared" si="130"/>
        <v>173756</v>
      </c>
      <c r="AC90" s="424">
        <f t="shared" si="130"/>
        <v>71022</v>
      </c>
      <c r="AD90" s="424">
        <f t="shared" ref="AD90:AE90" si="131">SUM(AD91:AD99)</f>
        <v>17413</v>
      </c>
      <c r="AE90" s="424">
        <f t="shared" si="131"/>
        <v>218698</v>
      </c>
      <c r="AF90" s="424">
        <f>SUM(AF91:AF99)</f>
        <v>103930</v>
      </c>
    </row>
    <row r="91" spans="1:32" outlineLevel="1">
      <c r="A91" s="418" t="s">
        <v>729</v>
      </c>
      <c r="B91" s="418" t="s">
        <v>728</v>
      </c>
      <c r="D91" s="423">
        <v>21422</v>
      </c>
      <c r="E91" s="423">
        <v>56506</v>
      </c>
      <c r="F91" s="423">
        <v>99275</v>
      </c>
      <c r="G91" s="423">
        <v>125821</v>
      </c>
      <c r="H91" s="423">
        <v>32720</v>
      </c>
      <c r="I91" s="423">
        <v>61584</v>
      </c>
      <c r="J91" s="423">
        <v>92783</v>
      </c>
      <c r="K91" s="423">
        <v>118097</v>
      </c>
      <c r="L91" s="423">
        <v>23389</v>
      </c>
      <c r="M91" s="423">
        <v>46953</v>
      </c>
      <c r="N91" s="423">
        <v>68966</v>
      </c>
      <c r="O91" s="423">
        <v>105615</v>
      </c>
      <c r="P91" s="423">
        <v>43870</v>
      </c>
      <c r="Q91" s="423">
        <v>83541</v>
      </c>
      <c r="R91" s="423">
        <v>121541</v>
      </c>
      <c r="S91" s="423">
        <v>145878</v>
      </c>
      <c r="T91" s="423">
        <v>19499</v>
      </c>
      <c r="U91" s="423">
        <v>39384</v>
      </c>
      <c r="W91" s="423">
        <f t="shared" ref="W91:W99" si="132">L91</f>
        <v>23389</v>
      </c>
      <c r="X91" s="423">
        <f t="shared" ref="X91:X99" si="133">M91-W91</f>
        <v>23564</v>
      </c>
      <c r="Y91" s="423">
        <f>N91-M91</f>
        <v>22013</v>
      </c>
      <c r="Z91" s="423">
        <f t="shared" ref="Z91:Z99" si="134">O91-N91</f>
        <v>36649</v>
      </c>
      <c r="AA91" s="423">
        <f t="shared" ref="AA91:AA99" si="135">P91</f>
        <v>43870</v>
      </c>
      <c r="AB91" s="423">
        <f t="shared" ref="AB91:AB99" si="136">Q91-AA91</f>
        <v>39671</v>
      </c>
      <c r="AC91" s="423">
        <f t="shared" ref="AC91:AC99" si="137">R91-Q91</f>
        <v>38000</v>
      </c>
      <c r="AD91" s="423">
        <f t="shared" ref="AD91:AD99" si="138">S91-R91</f>
        <v>24337</v>
      </c>
      <c r="AE91" s="423">
        <f t="shared" ref="AE91:AE99" si="139">T91</f>
        <v>19499</v>
      </c>
      <c r="AF91" s="423">
        <f>U91-AE91</f>
        <v>19885</v>
      </c>
    </row>
    <row r="92" spans="1:32" outlineLevel="1">
      <c r="A92" s="418" t="s">
        <v>730</v>
      </c>
      <c r="B92" s="418" t="s">
        <v>731</v>
      </c>
      <c r="D92" s="423">
        <v>-3467</v>
      </c>
      <c r="E92" s="423">
        <v>-7904</v>
      </c>
      <c r="F92" s="423">
        <v>-12190</v>
      </c>
      <c r="G92" s="423">
        <v>-10662</v>
      </c>
      <c r="H92" s="423">
        <v>-2768</v>
      </c>
      <c r="I92" s="423">
        <v>-5472</v>
      </c>
      <c r="J92" s="423">
        <v>-7979</v>
      </c>
      <c r="K92" s="423">
        <v>-11862</v>
      </c>
      <c r="L92" s="423">
        <v>-2256</v>
      </c>
      <c r="M92" s="423">
        <v>-4576</v>
      </c>
      <c r="N92" s="423">
        <v>-7285</v>
      </c>
      <c r="O92" s="423">
        <v>-11133</v>
      </c>
      <c r="P92" s="423">
        <v>-3555</v>
      </c>
      <c r="Q92" s="423">
        <v>-7087</v>
      </c>
      <c r="R92" s="423">
        <v>-10296</v>
      </c>
      <c r="S92" s="423">
        <v>-13283</v>
      </c>
      <c r="T92" s="423">
        <v>-2547</v>
      </c>
      <c r="U92" s="423">
        <v>-5914</v>
      </c>
      <c r="W92" s="423">
        <f t="shared" si="132"/>
        <v>-2256</v>
      </c>
      <c r="X92" s="423">
        <f t="shared" si="133"/>
        <v>-2320</v>
      </c>
      <c r="Y92" s="423">
        <f t="shared" ref="Y92:Y99" si="140">N92-M92</f>
        <v>-2709</v>
      </c>
      <c r="Z92" s="423">
        <f t="shared" si="134"/>
        <v>-3848</v>
      </c>
      <c r="AA92" s="423">
        <f t="shared" si="135"/>
        <v>-3555</v>
      </c>
      <c r="AB92" s="423">
        <f t="shared" si="136"/>
        <v>-3532</v>
      </c>
      <c r="AC92" s="423">
        <f t="shared" si="137"/>
        <v>-3209</v>
      </c>
      <c r="AD92" s="423">
        <f t="shared" si="138"/>
        <v>-2987</v>
      </c>
      <c r="AE92" s="423">
        <f t="shared" si="139"/>
        <v>-2547</v>
      </c>
      <c r="AF92" s="423">
        <f t="shared" ref="AF92:AF99" si="141">U92-T92</f>
        <v>-3367</v>
      </c>
    </row>
    <row r="93" spans="1:32" outlineLevel="1">
      <c r="A93" s="418" t="s">
        <v>2561</v>
      </c>
      <c r="B93" s="418" t="s">
        <v>2562</v>
      </c>
      <c r="D93" s="423" t="s">
        <v>2555</v>
      </c>
      <c r="E93" s="423" t="s">
        <v>2555</v>
      </c>
      <c r="F93" s="423" t="s">
        <v>2555</v>
      </c>
      <c r="G93" s="423">
        <v>0</v>
      </c>
      <c r="H93" s="423">
        <v>25801</v>
      </c>
      <c r="I93" s="423">
        <v>25801</v>
      </c>
      <c r="J93" s="423">
        <v>25801</v>
      </c>
      <c r="K93" s="423">
        <v>25801</v>
      </c>
      <c r="L93" s="423">
        <v>56169</v>
      </c>
      <c r="M93" s="423">
        <v>104441</v>
      </c>
      <c r="N93" s="423">
        <v>94994</v>
      </c>
      <c r="O93" s="423">
        <v>213373</v>
      </c>
      <c r="P93" s="423">
        <v>63960</v>
      </c>
      <c r="Q93" s="423">
        <v>56180</v>
      </c>
      <c r="R93" s="423">
        <v>55181</v>
      </c>
      <c r="S93" s="423">
        <v>55181</v>
      </c>
      <c r="T93" s="423">
        <v>95970</v>
      </c>
      <c r="U93" s="423">
        <v>94903</v>
      </c>
      <c r="W93" s="423">
        <f t="shared" si="132"/>
        <v>56169</v>
      </c>
      <c r="X93" s="423">
        <f t="shared" si="133"/>
        <v>48272</v>
      </c>
      <c r="Y93" s="423">
        <f t="shared" si="140"/>
        <v>-9447</v>
      </c>
      <c r="Z93" s="423">
        <f t="shared" si="134"/>
        <v>118379</v>
      </c>
      <c r="AA93" s="423">
        <f t="shared" si="135"/>
        <v>63960</v>
      </c>
      <c r="AB93" s="423">
        <f t="shared" si="136"/>
        <v>-7780</v>
      </c>
      <c r="AC93" s="423">
        <f t="shared" si="137"/>
        <v>-999</v>
      </c>
      <c r="AD93" s="423">
        <f t="shared" si="138"/>
        <v>0</v>
      </c>
      <c r="AE93" s="423">
        <f t="shared" si="139"/>
        <v>95970</v>
      </c>
      <c r="AF93" s="423">
        <f t="shared" si="141"/>
        <v>-1067</v>
      </c>
    </row>
    <row r="94" spans="1:32" outlineLevel="1">
      <c r="A94" s="418" t="s">
        <v>733</v>
      </c>
      <c r="B94" s="418" t="s">
        <v>734</v>
      </c>
      <c r="D94" s="423">
        <v>30185</v>
      </c>
      <c r="E94" s="423">
        <v>61169</v>
      </c>
      <c r="F94" s="423">
        <v>90372</v>
      </c>
      <c r="G94" s="423">
        <v>120180</v>
      </c>
      <c r="H94" s="423">
        <v>17359</v>
      </c>
      <c r="I94" s="423">
        <v>35658</v>
      </c>
      <c r="J94" s="423">
        <v>53426</v>
      </c>
      <c r="K94" s="423">
        <v>72364</v>
      </c>
      <c r="L94" s="423">
        <v>19446</v>
      </c>
      <c r="M94" s="423">
        <v>40350</v>
      </c>
      <c r="N94" s="423">
        <v>60549</v>
      </c>
      <c r="O94" s="423">
        <v>81195</v>
      </c>
      <c r="P94" s="423">
        <v>18873</v>
      </c>
      <c r="Q94" s="423">
        <v>40690</v>
      </c>
      <c r="R94" s="423">
        <v>59971</v>
      </c>
      <c r="S94" s="423">
        <v>80149</v>
      </c>
      <c r="T94" s="423">
        <v>19515</v>
      </c>
      <c r="U94" s="423">
        <f>49768</f>
        <v>49768</v>
      </c>
      <c r="W94" s="423">
        <f t="shared" si="132"/>
        <v>19446</v>
      </c>
      <c r="X94" s="423">
        <f t="shared" si="133"/>
        <v>20904</v>
      </c>
      <c r="Y94" s="423">
        <f t="shared" si="140"/>
        <v>20199</v>
      </c>
      <c r="Z94" s="423">
        <f t="shared" si="134"/>
        <v>20646</v>
      </c>
      <c r="AA94" s="423">
        <f t="shared" si="135"/>
        <v>18873</v>
      </c>
      <c r="AB94" s="423">
        <f t="shared" si="136"/>
        <v>21817</v>
      </c>
      <c r="AC94" s="423">
        <f t="shared" si="137"/>
        <v>19281</v>
      </c>
      <c r="AD94" s="423">
        <f t="shared" si="138"/>
        <v>20178</v>
      </c>
      <c r="AE94" s="423">
        <f t="shared" si="139"/>
        <v>19515</v>
      </c>
      <c r="AF94" s="423">
        <f t="shared" si="141"/>
        <v>30253</v>
      </c>
    </row>
    <row r="95" spans="1:32" outlineLevel="1">
      <c r="A95" s="418" t="s">
        <v>735</v>
      </c>
      <c r="B95" s="418" t="s">
        <v>736</v>
      </c>
      <c r="D95" s="423">
        <v>0</v>
      </c>
      <c r="E95" s="423">
        <v>0</v>
      </c>
      <c r="F95" s="423">
        <v>0</v>
      </c>
      <c r="G95" s="423">
        <v>0</v>
      </c>
      <c r="H95" s="423">
        <v>0</v>
      </c>
      <c r="I95" s="423">
        <v>0</v>
      </c>
      <c r="J95" s="423" t="s">
        <v>2554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>
        <v>0</v>
      </c>
      <c r="T95" s="423">
        <v>0</v>
      </c>
      <c r="U95" s="423">
        <v>0</v>
      </c>
      <c r="W95" s="423">
        <f t="shared" si="132"/>
        <v>0</v>
      </c>
      <c r="X95" s="423">
        <f t="shared" si="133"/>
        <v>0</v>
      </c>
      <c r="Y95" s="423">
        <f t="shared" si="140"/>
        <v>0</v>
      </c>
      <c r="Z95" s="423">
        <f t="shared" si="134"/>
        <v>0</v>
      </c>
      <c r="AA95" s="423">
        <f t="shared" si="135"/>
        <v>0</v>
      </c>
      <c r="AB95" s="423">
        <f t="shared" si="136"/>
        <v>0</v>
      </c>
      <c r="AC95" s="423">
        <f t="shared" si="137"/>
        <v>0</v>
      </c>
      <c r="AD95" s="423">
        <f t="shared" si="138"/>
        <v>0</v>
      </c>
      <c r="AE95" s="423">
        <f t="shared" si="139"/>
        <v>0</v>
      </c>
      <c r="AF95" s="423">
        <f t="shared" si="141"/>
        <v>0</v>
      </c>
    </row>
    <row r="96" spans="1:32" outlineLevel="1">
      <c r="A96" s="418" t="s">
        <v>737</v>
      </c>
      <c r="B96" s="418" t="s">
        <v>738</v>
      </c>
      <c r="D96" s="423">
        <v>0</v>
      </c>
      <c r="E96" s="423">
        <v>0</v>
      </c>
      <c r="F96" s="423">
        <v>0</v>
      </c>
      <c r="G96" s="423">
        <v>0</v>
      </c>
      <c r="H96" s="423">
        <v>0</v>
      </c>
      <c r="I96" s="423">
        <v>0</v>
      </c>
      <c r="J96" s="423" t="s">
        <v>2554</v>
      </c>
      <c r="K96" s="423">
        <v>0</v>
      </c>
      <c r="L96" s="423">
        <v>0</v>
      </c>
      <c r="M96" s="423">
        <v>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>
        <v>0</v>
      </c>
      <c r="T96" s="423">
        <v>0</v>
      </c>
      <c r="U96" s="423">
        <v>0</v>
      </c>
      <c r="W96" s="423">
        <f t="shared" si="132"/>
        <v>0</v>
      </c>
      <c r="X96" s="423">
        <f t="shared" si="133"/>
        <v>0</v>
      </c>
      <c r="Y96" s="423">
        <f t="shared" si="140"/>
        <v>0</v>
      </c>
      <c r="Z96" s="423">
        <f t="shared" si="134"/>
        <v>0</v>
      </c>
      <c r="AA96" s="423">
        <f t="shared" si="135"/>
        <v>0</v>
      </c>
      <c r="AB96" s="423">
        <f t="shared" si="136"/>
        <v>0</v>
      </c>
      <c r="AC96" s="423">
        <f t="shared" si="137"/>
        <v>0</v>
      </c>
      <c r="AD96" s="423">
        <f t="shared" si="138"/>
        <v>0</v>
      </c>
      <c r="AE96" s="423">
        <f t="shared" si="139"/>
        <v>0</v>
      </c>
      <c r="AF96" s="423">
        <f t="shared" si="141"/>
        <v>0</v>
      </c>
    </row>
    <row r="97" spans="1:32" outlineLevel="1">
      <c r="A97" s="418" t="s">
        <v>739</v>
      </c>
      <c r="B97" s="418" t="s">
        <v>740</v>
      </c>
      <c r="D97" s="423">
        <v>22921</v>
      </c>
      <c r="E97" s="423">
        <v>52101</v>
      </c>
      <c r="F97" s="423">
        <v>71927</v>
      </c>
      <c r="G97" s="423">
        <v>90143</v>
      </c>
      <c r="H97" s="423">
        <v>9255</v>
      </c>
      <c r="I97" s="423">
        <v>23172</v>
      </c>
      <c r="J97" s="423">
        <v>29903</v>
      </c>
      <c r="K97" s="423">
        <v>70107</v>
      </c>
      <c r="L97" s="423">
        <v>7352</v>
      </c>
      <c r="M97" s="423">
        <v>16473</v>
      </c>
      <c r="N97" s="423">
        <v>36193</v>
      </c>
      <c r="O97" s="423">
        <v>75375</v>
      </c>
      <c r="P97" s="423">
        <v>14932</v>
      </c>
      <c r="Q97" s="423">
        <v>30940</v>
      </c>
      <c r="R97" s="423">
        <v>47652</v>
      </c>
      <c r="S97" s="423">
        <v>67992</v>
      </c>
      <c r="T97" s="423">
        <v>17575</v>
      </c>
      <c r="U97" s="423">
        <f>40993</f>
        <v>40993</v>
      </c>
      <c r="W97" s="423">
        <f t="shared" si="132"/>
        <v>7352</v>
      </c>
      <c r="X97" s="423">
        <f t="shared" si="133"/>
        <v>9121</v>
      </c>
      <c r="Y97" s="423">
        <f t="shared" si="140"/>
        <v>19720</v>
      </c>
      <c r="Z97" s="423">
        <f t="shared" si="134"/>
        <v>39182</v>
      </c>
      <c r="AA97" s="423">
        <f t="shared" si="135"/>
        <v>14932</v>
      </c>
      <c r="AB97" s="423">
        <f t="shared" si="136"/>
        <v>16008</v>
      </c>
      <c r="AC97" s="423">
        <f t="shared" si="137"/>
        <v>16712</v>
      </c>
      <c r="AD97" s="423">
        <f t="shared" si="138"/>
        <v>20340</v>
      </c>
      <c r="AE97" s="423">
        <f t="shared" si="139"/>
        <v>17575</v>
      </c>
      <c r="AF97" s="423">
        <f t="shared" si="141"/>
        <v>23418</v>
      </c>
    </row>
    <row r="98" spans="1:32" outlineLevel="1">
      <c r="A98" s="418" t="s">
        <v>741</v>
      </c>
      <c r="B98" s="418" t="s">
        <v>2536</v>
      </c>
      <c r="D98" s="423"/>
      <c r="E98" s="423"/>
      <c r="F98" s="423"/>
      <c r="G98" s="423"/>
      <c r="H98" s="423"/>
      <c r="I98" s="423"/>
      <c r="J98" s="423"/>
      <c r="K98" s="423"/>
      <c r="L98" s="423"/>
      <c r="M98" s="423"/>
      <c r="N98" s="423"/>
      <c r="O98" s="423"/>
      <c r="P98" s="423"/>
      <c r="Q98" s="423">
        <v>61949</v>
      </c>
      <c r="R98" s="423">
        <v>44157</v>
      </c>
      <c r="S98" s="423">
        <v>22026</v>
      </c>
      <c r="T98" s="423">
        <v>35232</v>
      </c>
      <c r="U98" s="423">
        <f>58951</f>
        <v>58951</v>
      </c>
      <c r="W98" s="423">
        <f t="shared" si="132"/>
        <v>0</v>
      </c>
      <c r="X98" s="423">
        <f t="shared" si="133"/>
        <v>0</v>
      </c>
      <c r="Y98" s="423">
        <f t="shared" si="140"/>
        <v>0</v>
      </c>
      <c r="Z98" s="423">
        <f t="shared" si="134"/>
        <v>0</v>
      </c>
      <c r="AA98" s="423">
        <f t="shared" si="135"/>
        <v>0</v>
      </c>
      <c r="AB98" s="423">
        <f t="shared" si="136"/>
        <v>61949</v>
      </c>
      <c r="AC98" s="423">
        <f t="shared" si="137"/>
        <v>-17792</v>
      </c>
      <c r="AD98" s="423">
        <f t="shared" si="138"/>
        <v>-22131</v>
      </c>
      <c r="AE98" s="423">
        <f t="shared" si="139"/>
        <v>35232</v>
      </c>
      <c r="AF98" s="423">
        <f t="shared" si="141"/>
        <v>23719</v>
      </c>
    </row>
    <row r="99" spans="1:32" outlineLevel="1">
      <c r="A99" s="418" t="s">
        <v>742</v>
      </c>
      <c r="B99" s="418" t="s">
        <v>743</v>
      </c>
      <c r="D99" s="423">
        <v>54306</v>
      </c>
      <c r="E99" s="423">
        <v>23119</v>
      </c>
      <c r="F99" s="423">
        <v>14773</v>
      </c>
      <c r="G99" s="423">
        <v>23715</v>
      </c>
      <c r="H99" s="423">
        <v>11213</v>
      </c>
      <c r="I99" s="423">
        <v>56897</v>
      </c>
      <c r="J99" s="423">
        <v>97303</v>
      </c>
      <c r="K99" s="423">
        <v>149529</v>
      </c>
      <c r="L99" s="423">
        <v>37069</v>
      </c>
      <c r="M99" s="423">
        <v>50022</v>
      </c>
      <c r="N99" s="423">
        <v>66830</v>
      </c>
      <c r="O99" s="423">
        <v>66830</v>
      </c>
      <c r="P99" s="423">
        <v>86662</v>
      </c>
      <c r="Q99" s="423">
        <v>132285</v>
      </c>
      <c r="R99" s="423">
        <v>151314</v>
      </c>
      <c r="S99" s="423">
        <v>128990</v>
      </c>
      <c r="T99" s="423">
        <v>33454</v>
      </c>
      <c r="U99" s="423">
        <f>44543</f>
        <v>44543</v>
      </c>
      <c r="W99" s="423">
        <f t="shared" si="132"/>
        <v>37069</v>
      </c>
      <c r="X99" s="423">
        <f t="shared" si="133"/>
        <v>12953</v>
      </c>
      <c r="Y99" s="423">
        <f t="shared" si="140"/>
        <v>16808</v>
      </c>
      <c r="Z99" s="423">
        <f t="shared" si="134"/>
        <v>0</v>
      </c>
      <c r="AA99" s="423">
        <f t="shared" si="135"/>
        <v>86662</v>
      </c>
      <c r="AB99" s="423">
        <f t="shared" si="136"/>
        <v>45623</v>
      </c>
      <c r="AC99" s="423">
        <f t="shared" si="137"/>
        <v>19029</v>
      </c>
      <c r="AD99" s="423">
        <f t="shared" si="138"/>
        <v>-22324</v>
      </c>
      <c r="AE99" s="423">
        <f t="shared" si="139"/>
        <v>33454</v>
      </c>
      <c r="AF99" s="423">
        <f t="shared" si="141"/>
        <v>11089</v>
      </c>
    </row>
    <row r="100" spans="1:32">
      <c r="A100" s="417" t="s">
        <v>744</v>
      </c>
      <c r="B100" s="417" t="s">
        <v>745</v>
      </c>
      <c r="D100" s="422">
        <f t="shared" ref="D100:I100" si="142">SUM(D101:D110)</f>
        <v>-141869</v>
      </c>
      <c r="E100" s="422">
        <f t="shared" si="142"/>
        <v>-334491</v>
      </c>
      <c r="F100" s="422">
        <f t="shared" si="142"/>
        <v>-466133</v>
      </c>
      <c r="G100" s="422">
        <f t="shared" si="142"/>
        <v>-558414</v>
      </c>
      <c r="H100" s="422">
        <f t="shared" si="142"/>
        <v>-139067</v>
      </c>
      <c r="I100" s="422">
        <f t="shared" si="142"/>
        <v>-288286</v>
      </c>
      <c r="J100" s="422">
        <f t="shared" ref="J100:R100" si="143">SUM(J101:J110)</f>
        <v>-398597</v>
      </c>
      <c r="K100" s="422">
        <f t="shared" si="143"/>
        <v>-561288</v>
      </c>
      <c r="L100" s="422">
        <f t="shared" si="143"/>
        <v>-203187</v>
      </c>
      <c r="M100" s="422">
        <f t="shared" si="143"/>
        <v>-374439</v>
      </c>
      <c r="N100" s="422">
        <f t="shared" si="143"/>
        <v>-497121</v>
      </c>
      <c r="O100" s="422">
        <f t="shared" si="143"/>
        <v>-750561</v>
      </c>
      <c r="P100" s="422">
        <f t="shared" si="143"/>
        <v>-317739</v>
      </c>
      <c r="Q100" s="422">
        <f t="shared" si="143"/>
        <v>-592629</v>
      </c>
      <c r="R100" s="422">
        <f t="shared" si="143"/>
        <v>-734401</v>
      </c>
      <c r="S100" s="422">
        <f t="shared" ref="S100:T100" si="144">SUM(S101:S110)</f>
        <v>-877482</v>
      </c>
      <c r="T100" s="422">
        <f t="shared" si="144"/>
        <v>-316013</v>
      </c>
      <c r="U100" s="422">
        <f>SUM(U101:U110)</f>
        <v>-533797</v>
      </c>
      <c r="W100" s="422">
        <f t="shared" ref="W100:AC100" si="145">SUM(W101:W110)</f>
        <v>-203187</v>
      </c>
      <c r="X100" s="422">
        <f t="shared" si="145"/>
        <v>-171252</v>
      </c>
      <c r="Y100" s="422">
        <f t="shared" si="145"/>
        <v>-122682</v>
      </c>
      <c r="Z100" s="422">
        <f t="shared" si="145"/>
        <v>-253440</v>
      </c>
      <c r="AA100" s="422">
        <f t="shared" si="145"/>
        <v>-317739</v>
      </c>
      <c r="AB100" s="422">
        <f t="shared" si="145"/>
        <v>-274890</v>
      </c>
      <c r="AC100" s="422">
        <f t="shared" si="145"/>
        <v>-141772</v>
      </c>
      <c r="AD100" s="422">
        <f t="shared" ref="AD100:AE100" si="146">SUM(AD101:AD110)</f>
        <v>-143081</v>
      </c>
      <c r="AE100" s="422">
        <f t="shared" si="146"/>
        <v>-316013</v>
      </c>
      <c r="AF100" s="422">
        <f>SUM(AF101:AF110)</f>
        <v>-217784</v>
      </c>
    </row>
    <row r="101" spans="1:32" outlineLevel="1">
      <c r="A101" s="418" t="s">
        <v>746</v>
      </c>
      <c r="B101" s="418" t="s">
        <v>747</v>
      </c>
      <c r="D101" s="423">
        <v>-28300</v>
      </c>
      <c r="E101" s="423">
        <v>-63219</v>
      </c>
      <c r="F101" s="423">
        <v>-110265</v>
      </c>
      <c r="G101" s="423">
        <v>-136141</v>
      </c>
      <c r="H101" s="423">
        <v>-36423</v>
      </c>
      <c r="I101" s="423">
        <v>-96376</v>
      </c>
      <c r="J101" s="423">
        <v>-184483</v>
      </c>
      <c r="K101" s="423">
        <v>-255026</v>
      </c>
      <c r="L101" s="423">
        <v>-96468</v>
      </c>
      <c r="M101" s="423">
        <v>-216476</v>
      </c>
      <c r="N101" s="423">
        <v>-279964</v>
      </c>
      <c r="O101" s="423">
        <v>-469013</v>
      </c>
      <c r="P101" s="423">
        <v>-74961</v>
      </c>
      <c r="Q101" s="423">
        <v>-148750</v>
      </c>
      <c r="R101" s="423">
        <v>-221820</v>
      </c>
      <c r="S101" s="423">
        <v>-291960</v>
      </c>
      <c r="T101" s="423">
        <v>-66412</v>
      </c>
      <c r="U101" s="423">
        <v>-135249</v>
      </c>
      <c r="W101" s="423">
        <f t="shared" ref="W101:W110" si="147">L101</f>
        <v>-96468</v>
      </c>
      <c r="X101" s="423">
        <f t="shared" ref="X101:X110" si="148">M101-W101</f>
        <v>-120008</v>
      </c>
      <c r="Y101" s="423">
        <f t="shared" ref="Y101:Y110" si="149">N101-M101</f>
        <v>-63488</v>
      </c>
      <c r="Z101" s="423">
        <f t="shared" ref="Z101:Z110" si="150">O101-N101</f>
        <v>-189049</v>
      </c>
      <c r="AA101" s="423">
        <f t="shared" ref="AA101:AA110" si="151">P101</f>
        <v>-74961</v>
      </c>
      <c r="AB101" s="423">
        <f t="shared" ref="AB101:AB110" si="152">Q101-AA101</f>
        <v>-73789</v>
      </c>
      <c r="AC101" s="423">
        <f t="shared" ref="AC101:AC110" si="153">R101-Q101</f>
        <v>-73070</v>
      </c>
      <c r="AD101" s="423">
        <f t="shared" ref="AD101:AD110" si="154">S101-R101</f>
        <v>-70140</v>
      </c>
      <c r="AE101" s="423">
        <f t="shared" ref="AE101:AE110" si="155">T101</f>
        <v>-66412</v>
      </c>
      <c r="AF101" s="423">
        <f t="shared" ref="AF101:AF110" si="156">U101-T101</f>
        <v>-68837</v>
      </c>
    </row>
    <row r="102" spans="1:32" outlineLevel="1">
      <c r="A102" s="418" t="s">
        <v>748</v>
      </c>
      <c r="B102" s="418" t="s">
        <v>749</v>
      </c>
      <c r="D102" s="423">
        <v>0</v>
      </c>
      <c r="E102" s="423">
        <v>0</v>
      </c>
      <c r="F102" s="423">
        <v>0</v>
      </c>
      <c r="G102" s="423">
        <v>0</v>
      </c>
      <c r="H102" s="423">
        <v>0</v>
      </c>
      <c r="I102" s="423">
        <v>0</v>
      </c>
      <c r="J102" s="423">
        <v>0</v>
      </c>
      <c r="K102" s="423">
        <v>0</v>
      </c>
      <c r="L102" s="423">
        <v>0</v>
      </c>
      <c r="M102" s="423">
        <v>0</v>
      </c>
      <c r="N102" s="423">
        <v>0</v>
      </c>
      <c r="O102" s="423">
        <v>0</v>
      </c>
      <c r="P102" s="423">
        <v>0</v>
      </c>
      <c r="Q102" s="423">
        <v>0</v>
      </c>
      <c r="R102" s="423">
        <v>0</v>
      </c>
      <c r="S102" s="423">
        <v>0</v>
      </c>
      <c r="T102" s="423">
        <v>0</v>
      </c>
      <c r="U102" s="423">
        <v>0</v>
      </c>
      <c r="W102" s="423">
        <f t="shared" si="147"/>
        <v>0</v>
      </c>
      <c r="X102" s="423">
        <f t="shared" si="148"/>
        <v>0</v>
      </c>
      <c r="Y102" s="423">
        <f t="shared" si="149"/>
        <v>0</v>
      </c>
      <c r="Z102" s="423">
        <f t="shared" si="150"/>
        <v>0</v>
      </c>
      <c r="AA102" s="423">
        <f t="shared" si="151"/>
        <v>0</v>
      </c>
      <c r="AB102" s="423">
        <f t="shared" si="152"/>
        <v>0</v>
      </c>
      <c r="AC102" s="423">
        <f t="shared" si="153"/>
        <v>0</v>
      </c>
      <c r="AD102" s="423">
        <f t="shared" si="154"/>
        <v>0</v>
      </c>
      <c r="AE102" s="423">
        <f t="shared" si="155"/>
        <v>0</v>
      </c>
      <c r="AF102" s="423">
        <f t="shared" si="156"/>
        <v>0</v>
      </c>
    </row>
    <row r="103" spans="1:32" outlineLevel="1">
      <c r="A103" s="418" t="s">
        <v>750</v>
      </c>
      <c r="B103" s="418" t="s">
        <v>751</v>
      </c>
      <c r="D103" s="423">
        <v>-91459</v>
      </c>
      <c r="E103" s="423">
        <v>-114804</v>
      </c>
      <c r="F103" s="423">
        <v>-117929</v>
      </c>
      <c r="G103" s="423">
        <v>-144876</v>
      </c>
      <c r="H103" s="423">
        <v>-76734</v>
      </c>
      <c r="I103" s="423">
        <v>-137861</v>
      </c>
      <c r="J103" s="423">
        <v>-142613</v>
      </c>
      <c r="K103" s="423">
        <v>-185198</v>
      </c>
      <c r="L103" s="423">
        <v>-81142</v>
      </c>
      <c r="M103" s="423">
        <v>-99876</v>
      </c>
      <c r="N103" s="423">
        <v>-124461</v>
      </c>
      <c r="O103" s="423">
        <v>-162375</v>
      </c>
      <c r="P103" s="423">
        <v>-210538</v>
      </c>
      <c r="Q103" s="423">
        <v>-372979</v>
      </c>
      <c r="R103" s="423">
        <v>-422999</v>
      </c>
      <c r="S103" s="423">
        <v>-427538</v>
      </c>
      <c r="T103" s="423">
        <v>-201553</v>
      </c>
      <c r="U103" s="423">
        <v>-99680</v>
      </c>
      <c r="W103" s="423">
        <f t="shared" si="147"/>
        <v>-81142</v>
      </c>
      <c r="X103" s="423">
        <f t="shared" si="148"/>
        <v>-18734</v>
      </c>
      <c r="Y103" s="423">
        <f t="shared" si="149"/>
        <v>-24585</v>
      </c>
      <c r="Z103" s="423">
        <f t="shared" si="150"/>
        <v>-37914</v>
      </c>
      <c r="AA103" s="423">
        <f t="shared" si="151"/>
        <v>-210538</v>
      </c>
      <c r="AB103" s="423">
        <f t="shared" si="152"/>
        <v>-162441</v>
      </c>
      <c r="AC103" s="423">
        <f t="shared" si="153"/>
        <v>-50020</v>
      </c>
      <c r="AD103" s="423">
        <f t="shared" si="154"/>
        <v>-4539</v>
      </c>
      <c r="AE103" s="423">
        <f t="shared" si="155"/>
        <v>-201553</v>
      </c>
      <c r="AF103" s="423">
        <f t="shared" si="156"/>
        <v>101873</v>
      </c>
    </row>
    <row r="104" spans="1:32" outlineLevel="1">
      <c r="A104" s="418" t="s">
        <v>741</v>
      </c>
      <c r="B104" s="418" t="s">
        <v>2536</v>
      </c>
      <c r="D104" s="423"/>
      <c r="E104" s="423"/>
      <c r="F104" s="423"/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>
        <v>0</v>
      </c>
      <c r="R104" s="423">
        <v>0</v>
      </c>
      <c r="S104" s="423">
        <v>-1830</v>
      </c>
      <c r="T104" s="423">
        <v>-23095</v>
      </c>
      <c r="U104" s="423">
        <v>-22027</v>
      </c>
      <c r="W104" s="423">
        <f t="shared" si="147"/>
        <v>0</v>
      </c>
      <c r="X104" s="423">
        <f t="shared" si="148"/>
        <v>0</v>
      </c>
      <c r="Y104" s="423">
        <f t="shared" si="149"/>
        <v>0</v>
      </c>
      <c r="Z104" s="423">
        <f t="shared" si="150"/>
        <v>0</v>
      </c>
      <c r="AA104" s="423">
        <f t="shared" si="151"/>
        <v>0</v>
      </c>
      <c r="AB104" s="423">
        <f t="shared" si="152"/>
        <v>0</v>
      </c>
      <c r="AC104" s="423">
        <f t="shared" si="153"/>
        <v>0</v>
      </c>
      <c r="AD104" s="423">
        <f t="shared" si="154"/>
        <v>-1830</v>
      </c>
      <c r="AE104" s="423">
        <f t="shared" si="155"/>
        <v>-23095</v>
      </c>
      <c r="AF104" s="423">
        <f t="shared" si="156"/>
        <v>1068</v>
      </c>
    </row>
    <row r="105" spans="1:32" outlineLevel="1">
      <c r="A105" s="418" t="s">
        <v>752</v>
      </c>
      <c r="B105" s="418" t="s">
        <v>753</v>
      </c>
      <c r="D105" s="423">
        <v>0</v>
      </c>
      <c r="E105" s="423">
        <v>0</v>
      </c>
      <c r="F105" s="423">
        <v>0</v>
      </c>
      <c r="G105" s="423">
        <v>0</v>
      </c>
      <c r="H105" s="423">
        <v>0</v>
      </c>
      <c r="I105" s="423">
        <v>0</v>
      </c>
      <c r="J105" s="423">
        <v>0</v>
      </c>
      <c r="K105" s="423">
        <v>0</v>
      </c>
      <c r="L105" s="423">
        <v>0</v>
      </c>
      <c r="M105" s="423">
        <v>0</v>
      </c>
      <c r="N105" s="423">
        <v>0</v>
      </c>
      <c r="O105" s="423">
        <v>0</v>
      </c>
      <c r="P105" s="423">
        <v>0</v>
      </c>
      <c r="Q105" s="423">
        <v>0</v>
      </c>
      <c r="R105" s="423">
        <v>0</v>
      </c>
      <c r="S105" s="423">
        <v>0</v>
      </c>
      <c r="T105" s="423">
        <v>0</v>
      </c>
      <c r="U105" s="423">
        <v>0</v>
      </c>
      <c r="W105" s="423">
        <f t="shared" si="147"/>
        <v>0</v>
      </c>
      <c r="X105" s="423">
        <f t="shared" si="148"/>
        <v>0</v>
      </c>
      <c r="Y105" s="423">
        <f t="shared" si="149"/>
        <v>0</v>
      </c>
      <c r="Z105" s="423">
        <f t="shared" si="150"/>
        <v>0</v>
      </c>
      <c r="AA105" s="423">
        <f t="shared" si="151"/>
        <v>0</v>
      </c>
      <c r="AB105" s="423">
        <f t="shared" si="152"/>
        <v>0</v>
      </c>
      <c r="AC105" s="423">
        <f t="shared" si="153"/>
        <v>0</v>
      </c>
      <c r="AD105" s="423">
        <f t="shared" si="154"/>
        <v>0</v>
      </c>
      <c r="AE105" s="423">
        <f t="shared" si="155"/>
        <v>0</v>
      </c>
      <c r="AF105" s="423">
        <f t="shared" si="156"/>
        <v>0</v>
      </c>
    </row>
    <row r="106" spans="1:32" outlineLevel="1">
      <c r="A106" s="418" t="s">
        <v>754</v>
      </c>
      <c r="B106" s="418" t="s">
        <v>755</v>
      </c>
      <c r="D106" s="423">
        <v>-13139</v>
      </c>
      <c r="E106" s="423">
        <v>-28554</v>
      </c>
      <c r="F106" s="423">
        <v>-36364</v>
      </c>
      <c r="G106" s="423">
        <v>-41750</v>
      </c>
      <c r="H106" s="423">
        <v>-7532</v>
      </c>
      <c r="I106" s="423">
        <v>-16174</v>
      </c>
      <c r="J106" s="423">
        <v>-24876</v>
      </c>
      <c r="K106" s="423">
        <v>-33323</v>
      </c>
      <c r="L106" s="423">
        <v>-9987</v>
      </c>
      <c r="M106" s="423">
        <v>-20821</v>
      </c>
      <c r="N106" s="423">
        <v>-37582</v>
      </c>
      <c r="O106" s="423">
        <v>-45890</v>
      </c>
      <c r="P106" s="423">
        <v>-13278</v>
      </c>
      <c r="Q106" s="423">
        <v>-26047</v>
      </c>
      <c r="R106" s="423">
        <v>-25532</v>
      </c>
      <c r="S106" s="423">
        <v>-38531</v>
      </c>
      <c r="T106" s="423">
        <v>-8745</v>
      </c>
      <c r="U106" s="423">
        <v>-22222</v>
      </c>
      <c r="W106" s="423">
        <f t="shared" si="147"/>
        <v>-9987</v>
      </c>
      <c r="X106" s="423">
        <f t="shared" si="148"/>
        <v>-10834</v>
      </c>
      <c r="Y106" s="423">
        <f t="shared" si="149"/>
        <v>-16761</v>
      </c>
      <c r="Z106" s="423">
        <f t="shared" si="150"/>
        <v>-8308</v>
      </c>
      <c r="AA106" s="423">
        <f t="shared" si="151"/>
        <v>-13278</v>
      </c>
      <c r="AB106" s="423">
        <f t="shared" si="152"/>
        <v>-12769</v>
      </c>
      <c r="AC106" s="423">
        <f t="shared" si="153"/>
        <v>515</v>
      </c>
      <c r="AD106" s="423">
        <f t="shared" si="154"/>
        <v>-12999</v>
      </c>
      <c r="AE106" s="423">
        <f t="shared" si="155"/>
        <v>-8745</v>
      </c>
      <c r="AF106" s="423">
        <f t="shared" si="156"/>
        <v>-13477</v>
      </c>
    </row>
    <row r="107" spans="1:32" outlineLevel="1">
      <c r="A107" s="418" t="s">
        <v>756</v>
      </c>
      <c r="B107" s="418" t="s">
        <v>757</v>
      </c>
      <c r="D107" s="423">
        <v>-425</v>
      </c>
      <c r="E107" s="423">
        <v>-622</v>
      </c>
      <c r="F107" s="423">
        <v>-897</v>
      </c>
      <c r="G107" s="423">
        <v>-1386</v>
      </c>
      <c r="H107" s="423">
        <v>-249</v>
      </c>
      <c r="I107" s="423">
        <v>-394</v>
      </c>
      <c r="J107" s="423">
        <v>-664</v>
      </c>
      <c r="K107" s="423">
        <v>-815</v>
      </c>
      <c r="L107" s="423">
        <v>-96</v>
      </c>
      <c r="M107" s="423">
        <v>-155</v>
      </c>
      <c r="N107" s="423">
        <v>-441</v>
      </c>
      <c r="O107" s="423">
        <v>-547</v>
      </c>
      <c r="P107" s="423">
        <v>-266</v>
      </c>
      <c r="Q107" s="423">
        <v>-595</v>
      </c>
      <c r="R107" s="423">
        <v>-637</v>
      </c>
      <c r="S107" s="423">
        <v>-654</v>
      </c>
      <c r="T107" s="423">
        <v>-18</v>
      </c>
      <c r="U107" s="423">
        <v>-34</v>
      </c>
      <c r="W107" s="423">
        <f t="shared" si="147"/>
        <v>-96</v>
      </c>
      <c r="X107" s="423">
        <f t="shared" si="148"/>
        <v>-59</v>
      </c>
      <c r="Y107" s="423">
        <f t="shared" si="149"/>
        <v>-286</v>
      </c>
      <c r="Z107" s="423">
        <f t="shared" si="150"/>
        <v>-106</v>
      </c>
      <c r="AA107" s="423">
        <f t="shared" si="151"/>
        <v>-266</v>
      </c>
      <c r="AB107" s="423">
        <f t="shared" si="152"/>
        <v>-329</v>
      </c>
      <c r="AC107" s="423">
        <f t="shared" si="153"/>
        <v>-42</v>
      </c>
      <c r="AD107" s="423">
        <f t="shared" si="154"/>
        <v>-17</v>
      </c>
      <c r="AE107" s="423">
        <f t="shared" si="155"/>
        <v>-18</v>
      </c>
      <c r="AF107" s="423">
        <f t="shared" si="156"/>
        <v>-16</v>
      </c>
    </row>
    <row r="108" spans="1:32" outlineLevel="1">
      <c r="A108" s="418" t="s">
        <v>758</v>
      </c>
      <c r="B108" s="418" t="s">
        <v>759</v>
      </c>
      <c r="D108" s="423">
        <v>0</v>
      </c>
      <c r="E108" s="423">
        <v>0</v>
      </c>
      <c r="F108" s="423">
        <v>0</v>
      </c>
      <c r="G108" s="423">
        <v>0</v>
      </c>
      <c r="H108" s="423">
        <v>0</v>
      </c>
      <c r="I108" s="423">
        <v>0</v>
      </c>
      <c r="J108" s="423">
        <v>0</v>
      </c>
      <c r="K108" s="423">
        <v>0</v>
      </c>
      <c r="L108" s="423">
        <v>0</v>
      </c>
      <c r="M108" s="423">
        <v>0</v>
      </c>
      <c r="N108" s="423">
        <v>0</v>
      </c>
      <c r="O108" s="423">
        <v>0</v>
      </c>
      <c r="P108" s="423">
        <v>0</v>
      </c>
      <c r="Q108" s="423">
        <v>0</v>
      </c>
      <c r="R108" s="423">
        <v>0</v>
      </c>
      <c r="S108" s="423">
        <v>0</v>
      </c>
      <c r="T108" s="423">
        <v>0</v>
      </c>
      <c r="U108" s="423">
        <v>-219279</v>
      </c>
      <c r="W108" s="423">
        <f t="shared" si="147"/>
        <v>0</v>
      </c>
      <c r="X108" s="423">
        <f t="shared" si="148"/>
        <v>0</v>
      </c>
      <c r="Y108" s="423">
        <f t="shared" si="149"/>
        <v>0</v>
      </c>
      <c r="Z108" s="423">
        <f t="shared" si="150"/>
        <v>0</v>
      </c>
      <c r="AA108" s="423">
        <f t="shared" si="151"/>
        <v>0</v>
      </c>
      <c r="AB108" s="423">
        <f t="shared" si="152"/>
        <v>0</v>
      </c>
      <c r="AC108" s="423">
        <f t="shared" si="153"/>
        <v>0</v>
      </c>
      <c r="AD108" s="423">
        <f t="shared" si="154"/>
        <v>0</v>
      </c>
      <c r="AE108" s="423">
        <f t="shared" si="155"/>
        <v>0</v>
      </c>
      <c r="AF108" s="423">
        <f t="shared" si="156"/>
        <v>-219279</v>
      </c>
    </row>
    <row r="109" spans="1:32" outlineLevel="1">
      <c r="A109" s="418" t="s">
        <v>760</v>
      </c>
      <c r="B109" s="418" t="s">
        <v>761</v>
      </c>
      <c r="D109" s="423">
        <v>-978</v>
      </c>
      <c r="E109" s="423">
        <v>-1545</v>
      </c>
      <c r="F109" s="423">
        <v>-1764</v>
      </c>
      <c r="G109" s="423">
        <v>-1731</v>
      </c>
      <c r="H109" s="423">
        <v>-170</v>
      </c>
      <c r="I109" s="423">
        <v>123</v>
      </c>
      <c r="J109" s="423">
        <v>56</v>
      </c>
      <c r="K109" s="423">
        <v>-439</v>
      </c>
      <c r="L109" s="423">
        <v>-153</v>
      </c>
      <c r="M109" s="423">
        <v>-617</v>
      </c>
      <c r="N109" s="423">
        <v>-927</v>
      </c>
      <c r="O109" s="423">
        <v>-1756</v>
      </c>
      <c r="P109" s="423">
        <v>-384</v>
      </c>
      <c r="Q109" s="423">
        <v>-394</v>
      </c>
      <c r="R109" s="423">
        <v>-649</v>
      </c>
      <c r="S109" s="423">
        <v>-2792</v>
      </c>
      <c r="T109" s="423">
        <v>1549</v>
      </c>
      <c r="U109" s="423">
        <v>863</v>
      </c>
      <c r="W109" s="423">
        <f t="shared" si="147"/>
        <v>-153</v>
      </c>
      <c r="X109" s="423">
        <f t="shared" si="148"/>
        <v>-464</v>
      </c>
      <c r="Y109" s="423">
        <f t="shared" si="149"/>
        <v>-310</v>
      </c>
      <c r="Z109" s="423">
        <f t="shared" si="150"/>
        <v>-829</v>
      </c>
      <c r="AA109" s="423">
        <f t="shared" si="151"/>
        <v>-384</v>
      </c>
      <c r="AB109" s="423">
        <f t="shared" si="152"/>
        <v>-10</v>
      </c>
      <c r="AC109" s="423">
        <f t="shared" si="153"/>
        <v>-255</v>
      </c>
      <c r="AD109" s="423">
        <f t="shared" si="154"/>
        <v>-2143</v>
      </c>
      <c r="AE109" s="423">
        <f t="shared" si="155"/>
        <v>1549</v>
      </c>
      <c r="AF109" s="423">
        <f t="shared" si="156"/>
        <v>-686</v>
      </c>
    </row>
    <row r="110" spans="1:32" outlineLevel="1">
      <c r="A110" s="418" t="s">
        <v>762</v>
      </c>
      <c r="B110" s="418" t="s">
        <v>763</v>
      </c>
      <c r="D110" s="423">
        <v>-7568</v>
      </c>
      <c r="E110" s="423">
        <v>-125747</v>
      </c>
      <c r="F110" s="423">
        <v>-198914</v>
      </c>
      <c r="G110" s="423">
        <v>-232530</v>
      </c>
      <c r="H110" s="423">
        <v>-17959</v>
      </c>
      <c r="I110" s="423">
        <v>-37604</v>
      </c>
      <c r="J110" s="423">
        <v>-46017</v>
      </c>
      <c r="K110" s="423">
        <v>-86487</v>
      </c>
      <c r="L110" s="423">
        <v>-15341</v>
      </c>
      <c r="M110" s="423">
        <v>-36494</v>
      </c>
      <c r="N110" s="423">
        <v>-53746</v>
      </c>
      <c r="O110" s="423">
        <v>-70980</v>
      </c>
      <c r="P110" s="423">
        <v>-18312</v>
      </c>
      <c r="Q110" s="423">
        <v>-43864</v>
      </c>
      <c r="R110" s="423">
        <v>-62764</v>
      </c>
      <c r="S110" s="423">
        <v>-114177</v>
      </c>
      <c r="T110" s="423">
        <v>-17739</v>
      </c>
      <c r="U110" s="423">
        <v>-36169</v>
      </c>
      <c r="W110" s="423">
        <f t="shared" si="147"/>
        <v>-15341</v>
      </c>
      <c r="X110" s="423">
        <f t="shared" si="148"/>
        <v>-21153</v>
      </c>
      <c r="Y110" s="423">
        <f t="shared" si="149"/>
        <v>-17252</v>
      </c>
      <c r="Z110" s="423">
        <f t="shared" si="150"/>
        <v>-17234</v>
      </c>
      <c r="AA110" s="423">
        <f t="shared" si="151"/>
        <v>-18312</v>
      </c>
      <c r="AB110" s="423">
        <f t="shared" si="152"/>
        <v>-25552</v>
      </c>
      <c r="AC110" s="423">
        <f t="shared" si="153"/>
        <v>-18900</v>
      </c>
      <c r="AD110" s="423">
        <f t="shared" si="154"/>
        <v>-51413</v>
      </c>
      <c r="AE110" s="423">
        <f t="shared" si="155"/>
        <v>-17739</v>
      </c>
      <c r="AF110" s="423">
        <f t="shared" si="156"/>
        <v>-18430</v>
      </c>
    </row>
    <row r="111" spans="1:32">
      <c r="A111" s="417"/>
      <c r="B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</row>
    <row r="112" spans="1:32">
      <c r="A112" s="429" t="s">
        <v>764</v>
      </c>
      <c r="B112" s="429" t="s">
        <v>765</v>
      </c>
      <c r="D112" s="420">
        <f t="shared" ref="D112:I112" si="157">D86+D88</f>
        <v>161937</v>
      </c>
      <c r="E112" s="420">
        <f t="shared" si="157"/>
        <v>160277</v>
      </c>
      <c r="F112" s="420">
        <f t="shared" si="157"/>
        <v>270584</v>
      </c>
      <c r="G112" s="420">
        <f t="shared" si="157"/>
        <v>740196</v>
      </c>
      <c r="H112" s="420">
        <f t="shared" si="157"/>
        <v>152068</v>
      </c>
      <c r="I112" s="420">
        <f t="shared" si="157"/>
        <v>349689</v>
      </c>
      <c r="J112" s="420">
        <f t="shared" ref="J112:O112" si="158">J86+J88</f>
        <v>590398</v>
      </c>
      <c r="K112" s="420">
        <f t="shared" si="158"/>
        <v>819006</v>
      </c>
      <c r="L112" s="420">
        <f t="shared" si="158"/>
        <v>193032</v>
      </c>
      <c r="M112" s="420">
        <f t="shared" si="158"/>
        <v>378477</v>
      </c>
      <c r="N112" s="420">
        <f t="shared" si="158"/>
        <v>623358</v>
      </c>
      <c r="O112" s="420">
        <f t="shared" si="158"/>
        <v>815744</v>
      </c>
      <c r="P112" s="420">
        <f t="shared" ref="P112:U112" si="159">P86+P88</f>
        <v>177482</v>
      </c>
      <c r="Q112" s="420">
        <f t="shared" si="159"/>
        <v>493246</v>
      </c>
      <c r="R112" s="420">
        <f t="shared" si="159"/>
        <v>640123</v>
      </c>
      <c r="S112" s="420">
        <f t="shared" si="159"/>
        <v>878357</v>
      </c>
      <c r="T112" s="420">
        <f t="shared" si="159"/>
        <v>328862</v>
      </c>
      <c r="U112" s="741">
        <f t="shared" si="159"/>
        <v>629047</v>
      </c>
      <c r="W112" s="420">
        <f t="shared" ref="W112:AC112" si="160">W86+W88</f>
        <v>193032</v>
      </c>
      <c r="X112" s="420">
        <f t="shared" si="160"/>
        <v>185445</v>
      </c>
      <c r="Y112" s="420">
        <f t="shared" si="160"/>
        <v>244881</v>
      </c>
      <c r="Z112" s="420">
        <f t="shared" si="160"/>
        <v>192386</v>
      </c>
      <c r="AA112" s="420">
        <f t="shared" si="160"/>
        <v>177482</v>
      </c>
      <c r="AB112" s="420">
        <f t="shared" si="160"/>
        <v>315764</v>
      </c>
      <c r="AC112" s="420">
        <f t="shared" si="160"/>
        <v>146877</v>
      </c>
      <c r="AD112" s="420">
        <f t="shared" ref="AD112:AE112" si="161">AD86+AD88</f>
        <v>238234</v>
      </c>
      <c r="AE112" s="420">
        <f t="shared" si="161"/>
        <v>328862</v>
      </c>
      <c r="AF112" s="741">
        <f>AF86+AF88</f>
        <v>583432</v>
      </c>
    </row>
    <row r="114" spans="1:32">
      <c r="A114" s="416" t="s">
        <v>766</v>
      </c>
      <c r="B114" s="416" t="s">
        <v>767</v>
      </c>
      <c r="D114" s="424">
        <f t="shared" ref="D114:I114" si="162">SUM(D116:D119)</f>
        <v>-28839</v>
      </c>
      <c r="E114" s="424">
        <f t="shared" si="162"/>
        <v>2910</v>
      </c>
      <c r="F114" s="424">
        <f t="shared" si="162"/>
        <v>-14449</v>
      </c>
      <c r="G114" s="424">
        <f t="shared" si="162"/>
        <v>-92052</v>
      </c>
      <c r="H114" s="424">
        <f t="shared" si="162"/>
        <v>9599</v>
      </c>
      <c r="I114" s="424">
        <f t="shared" si="162"/>
        <v>-18709</v>
      </c>
      <c r="J114" s="424">
        <f t="shared" ref="J114:P114" si="163">SUM(J116:J119)</f>
        <v>-56784</v>
      </c>
      <c r="K114" s="424">
        <f t="shared" si="163"/>
        <v>-41615</v>
      </c>
      <c r="L114" s="424">
        <f t="shared" si="163"/>
        <v>-37804</v>
      </c>
      <c r="M114" s="424">
        <f t="shared" si="163"/>
        <v>-72618</v>
      </c>
      <c r="N114" s="424">
        <f t="shared" si="163"/>
        <v>-106815</v>
      </c>
      <c r="O114" s="424">
        <f t="shared" si="163"/>
        <v>-74407</v>
      </c>
      <c r="P114" s="424">
        <f t="shared" si="163"/>
        <v>-35295</v>
      </c>
      <c r="Q114" s="424">
        <f>SUM(Q116:Q119)</f>
        <v>-75001</v>
      </c>
      <c r="R114" s="424">
        <f>SUM(R116:R119)</f>
        <v>-129800</v>
      </c>
      <c r="S114" s="424">
        <f>SUM(S116:S119)</f>
        <v>-126677</v>
      </c>
      <c r="T114" s="424">
        <f>SUM(T116:T119)</f>
        <v>-56551</v>
      </c>
      <c r="U114" s="424">
        <f>SUM(U116:U119)</f>
        <v>-105444</v>
      </c>
      <c r="W114" s="424">
        <f t="shared" ref="W114:AC114" si="164">SUM(W116:W119)</f>
        <v>-37804</v>
      </c>
      <c r="X114" s="424">
        <f t="shared" si="164"/>
        <v>-34814</v>
      </c>
      <c r="Y114" s="424">
        <f t="shared" si="164"/>
        <v>-34197</v>
      </c>
      <c r="Z114" s="424">
        <f t="shared" si="164"/>
        <v>32408</v>
      </c>
      <c r="AA114" s="424">
        <f t="shared" si="164"/>
        <v>-35295</v>
      </c>
      <c r="AB114" s="424">
        <f t="shared" si="164"/>
        <v>-39706</v>
      </c>
      <c r="AC114" s="424">
        <f t="shared" si="164"/>
        <v>-54799</v>
      </c>
      <c r="AD114" s="424">
        <f t="shared" ref="AD114:AE114" si="165">SUM(AD116:AD119)</f>
        <v>3123</v>
      </c>
      <c r="AE114" s="424">
        <f t="shared" si="165"/>
        <v>-56551</v>
      </c>
      <c r="AF114" s="424">
        <f>SUM(AF116:AF119)</f>
        <v>-48893</v>
      </c>
    </row>
    <row r="115" spans="1:32">
      <c r="A115" s="417"/>
      <c r="B115" s="417"/>
      <c r="D115" s="417"/>
      <c r="E115" s="417"/>
      <c r="F115" s="417"/>
      <c r="G115" s="417"/>
      <c r="H115" s="417"/>
      <c r="I115" s="417"/>
      <c r="J115" s="417"/>
      <c r="K115" s="417"/>
      <c r="L115" s="417"/>
      <c r="M115" s="417"/>
      <c r="N115" s="417"/>
      <c r="P115" s="417"/>
      <c r="Q115" s="417"/>
      <c r="R115" s="417"/>
      <c r="S115" s="417"/>
      <c r="T115" s="417"/>
      <c r="U115" s="417"/>
      <c r="W115" s="417"/>
      <c r="X115" s="417"/>
      <c r="Y115" s="417"/>
      <c r="AA115" s="417"/>
      <c r="AB115" s="417"/>
      <c r="AC115" s="417"/>
      <c r="AD115" s="417"/>
      <c r="AE115" s="417"/>
      <c r="AF115" s="417"/>
    </row>
    <row r="116" spans="1:32">
      <c r="A116" s="417" t="s">
        <v>768</v>
      </c>
      <c r="B116" s="417" t="s">
        <v>769</v>
      </c>
      <c r="D116" s="425">
        <v>-11934</v>
      </c>
      <c r="E116" s="425">
        <v>-11934</v>
      </c>
      <c r="F116" s="425">
        <v>-22132</v>
      </c>
      <c r="G116" s="425">
        <v>-51322</v>
      </c>
      <c r="H116" s="425">
        <v>-8430</v>
      </c>
      <c r="I116" s="425">
        <v>-28850</v>
      </c>
      <c r="J116" s="425">
        <v>-47065</v>
      </c>
      <c r="K116" s="425">
        <v>-32619</v>
      </c>
      <c r="L116" s="425">
        <v>-6985</v>
      </c>
      <c r="M116" s="425">
        <v>-14785</v>
      </c>
      <c r="N116" s="425">
        <v>-34001</v>
      </c>
      <c r="O116" s="425">
        <v>-35496</v>
      </c>
      <c r="P116" s="425">
        <v>-6533</v>
      </c>
      <c r="Q116" s="425">
        <v>-36255</v>
      </c>
      <c r="R116" s="425">
        <v>-64519</v>
      </c>
      <c r="S116" s="425">
        <v>-84861</v>
      </c>
      <c r="T116" s="425">
        <v>-24291</v>
      </c>
      <c r="U116" s="756">
        <v>-42076</v>
      </c>
      <c r="W116" s="425">
        <f>L116</f>
        <v>-6985</v>
      </c>
      <c r="X116" s="425">
        <f>M116-W116</f>
        <v>-7800</v>
      </c>
      <c r="Y116" s="425">
        <f t="shared" ref="Y116:Z119" si="166">N116-M116</f>
        <v>-19216</v>
      </c>
      <c r="Z116" s="425">
        <f t="shared" si="166"/>
        <v>-1495</v>
      </c>
      <c r="AA116" s="425">
        <f>P116</f>
        <v>-6533</v>
      </c>
      <c r="AB116" s="425">
        <f>Q116-AA116</f>
        <v>-29722</v>
      </c>
      <c r="AC116" s="425">
        <f t="shared" ref="AC116:AD119" si="167">R116-Q116</f>
        <v>-28264</v>
      </c>
      <c r="AD116" s="425">
        <f t="shared" si="167"/>
        <v>-20342</v>
      </c>
      <c r="AE116" s="425">
        <f>T116</f>
        <v>-24291</v>
      </c>
      <c r="AF116" s="756">
        <f>U116-T116</f>
        <v>-17785</v>
      </c>
    </row>
    <row r="117" spans="1:32">
      <c r="A117" s="417" t="s">
        <v>770</v>
      </c>
      <c r="B117" s="417" t="s">
        <v>771</v>
      </c>
      <c r="D117" s="425">
        <v>-38334</v>
      </c>
      <c r="E117" s="425">
        <v>-38334</v>
      </c>
      <c r="F117" s="425">
        <v>-67345</v>
      </c>
      <c r="G117" s="425">
        <v>-166188</v>
      </c>
      <c r="H117" s="425">
        <v>-29472</v>
      </c>
      <c r="I117" s="425">
        <v>-92316</v>
      </c>
      <c r="J117" s="425">
        <v>-149234</v>
      </c>
      <c r="K117" s="425">
        <v>-138871</v>
      </c>
      <c r="L117" s="425">
        <v>-24414</v>
      </c>
      <c r="M117" s="425">
        <v>-51543</v>
      </c>
      <c r="N117" s="425">
        <v>-110408</v>
      </c>
      <c r="O117" s="425">
        <v>-129365</v>
      </c>
      <c r="P117" s="425">
        <v>-23737</v>
      </c>
      <c r="Q117" s="425">
        <v>-114576</v>
      </c>
      <c r="R117" s="425">
        <v>-198423</v>
      </c>
      <c r="S117" s="425">
        <v>-258172</v>
      </c>
      <c r="T117" s="425">
        <v>-72360</v>
      </c>
      <c r="U117" s="756">
        <v>-126221</v>
      </c>
      <c r="W117" s="425">
        <f>L117</f>
        <v>-24414</v>
      </c>
      <c r="X117" s="425">
        <f>M117-W117</f>
        <v>-27129</v>
      </c>
      <c r="Y117" s="425">
        <f t="shared" si="166"/>
        <v>-58865</v>
      </c>
      <c r="Z117" s="425">
        <f t="shared" si="166"/>
        <v>-18957</v>
      </c>
      <c r="AA117" s="425">
        <f>P117</f>
        <v>-23737</v>
      </c>
      <c r="AB117" s="425">
        <f>Q117-AA117</f>
        <v>-90839</v>
      </c>
      <c r="AC117" s="425">
        <f t="shared" si="167"/>
        <v>-83847</v>
      </c>
      <c r="AD117" s="425">
        <f t="shared" si="167"/>
        <v>-59749</v>
      </c>
      <c r="AE117" s="425">
        <f>T117</f>
        <v>-72360</v>
      </c>
      <c r="AF117" s="756">
        <f>U117-T117</f>
        <v>-53861</v>
      </c>
    </row>
    <row r="118" spans="1:32">
      <c r="A118" s="417" t="s">
        <v>772</v>
      </c>
      <c r="B118" s="417" t="s">
        <v>773</v>
      </c>
      <c r="D118" s="425">
        <v>25688</v>
      </c>
      <c r="E118" s="425">
        <v>57612</v>
      </c>
      <c r="F118" s="425">
        <v>85077</v>
      </c>
      <c r="G118" s="425">
        <v>165519</v>
      </c>
      <c r="H118" s="425">
        <v>61691</v>
      </c>
      <c r="I118" s="425">
        <v>101961</v>
      </c>
      <c r="J118" s="425">
        <v>146139</v>
      </c>
      <c r="K118" s="425">
        <v>182256</v>
      </c>
      <c r="L118" s="425">
        <v>24414</v>
      </c>
      <c r="M118" s="425">
        <v>50177</v>
      </c>
      <c r="N118" s="425">
        <v>98459</v>
      </c>
      <c r="O118" s="425">
        <v>189856</v>
      </c>
      <c r="P118" s="425">
        <v>23737</v>
      </c>
      <c r="Q118" s="425">
        <v>93494</v>
      </c>
      <c r="R118" s="425">
        <v>113274</v>
      </c>
      <c r="S118" s="425">
        <v>162348</v>
      </c>
      <c r="T118" s="425">
        <v>55142</v>
      </c>
      <c r="U118" s="756">
        <v>107610</v>
      </c>
      <c r="W118" s="425">
        <f>L118</f>
        <v>24414</v>
      </c>
      <c r="X118" s="425">
        <f>M118-W118</f>
        <v>25763</v>
      </c>
      <c r="Y118" s="425">
        <f t="shared" si="166"/>
        <v>48282</v>
      </c>
      <c r="Z118" s="425">
        <f t="shared" si="166"/>
        <v>91397</v>
      </c>
      <c r="AA118" s="425">
        <f>P118</f>
        <v>23737</v>
      </c>
      <c r="AB118" s="425">
        <f>Q118-AA118</f>
        <v>69757</v>
      </c>
      <c r="AC118" s="425">
        <f t="shared" si="167"/>
        <v>19780</v>
      </c>
      <c r="AD118" s="425">
        <f t="shared" si="167"/>
        <v>49074</v>
      </c>
      <c r="AE118" s="425">
        <f>T118</f>
        <v>55142</v>
      </c>
      <c r="AF118" s="756">
        <f>U118-T118</f>
        <v>52468</v>
      </c>
    </row>
    <row r="119" spans="1:32">
      <c r="A119" s="417" t="s">
        <v>774</v>
      </c>
      <c r="B119" s="417" t="s">
        <v>775</v>
      </c>
      <c r="D119" s="425">
        <v>-4259</v>
      </c>
      <c r="E119" s="425">
        <v>-4434</v>
      </c>
      <c r="F119" s="425">
        <v>-10049</v>
      </c>
      <c r="G119" s="425">
        <v>-40061</v>
      </c>
      <c r="H119" s="425">
        <v>-14190</v>
      </c>
      <c r="I119" s="425">
        <v>496</v>
      </c>
      <c r="J119" s="425">
        <v>-6624</v>
      </c>
      <c r="K119" s="425">
        <v>-52381</v>
      </c>
      <c r="L119" s="425">
        <v>-30819</v>
      </c>
      <c r="M119" s="425">
        <v>-56467</v>
      </c>
      <c r="N119" s="425">
        <v>-60865</v>
      </c>
      <c r="O119" s="425">
        <v>-99402</v>
      </c>
      <c r="P119" s="425">
        <v>-28762</v>
      </c>
      <c r="Q119" s="425">
        <v>-17664</v>
      </c>
      <c r="R119" s="425">
        <v>19868</v>
      </c>
      <c r="S119" s="425">
        <v>54008</v>
      </c>
      <c r="T119" s="425">
        <v>-15042</v>
      </c>
      <c r="U119" s="756">
        <v>-44757</v>
      </c>
      <c r="W119" s="425">
        <f>L119</f>
        <v>-30819</v>
      </c>
      <c r="X119" s="425">
        <f>M119-W119</f>
        <v>-25648</v>
      </c>
      <c r="Y119" s="425">
        <f t="shared" si="166"/>
        <v>-4398</v>
      </c>
      <c r="Z119" s="425">
        <f t="shared" si="166"/>
        <v>-38537</v>
      </c>
      <c r="AA119" s="425">
        <f>P119</f>
        <v>-28762</v>
      </c>
      <c r="AB119" s="425">
        <f>Q119-AA119</f>
        <v>11098</v>
      </c>
      <c r="AC119" s="425">
        <f t="shared" si="167"/>
        <v>37532</v>
      </c>
      <c r="AD119" s="425">
        <f t="shared" si="167"/>
        <v>34140</v>
      </c>
      <c r="AE119" s="425">
        <f>T119</f>
        <v>-15042</v>
      </c>
      <c r="AF119" s="756">
        <f>U119-T119</f>
        <v>-29715</v>
      </c>
    </row>
    <row r="120" spans="1:32">
      <c r="A120" s="417"/>
      <c r="B120" s="417"/>
      <c r="D120" s="417"/>
      <c r="E120" s="417"/>
      <c r="F120" s="417"/>
      <c r="G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</row>
    <row r="121" spans="1:32" ht="15" thickBot="1">
      <c r="A121" s="430" t="s">
        <v>776</v>
      </c>
      <c r="B121" s="430" t="s">
        <v>777</v>
      </c>
      <c r="D121" s="426">
        <f t="shared" ref="D121:I121" si="168">D112+D114</f>
        <v>133098</v>
      </c>
      <c r="E121" s="426">
        <f t="shared" si="168"/>
        <v>163187</v>
      </c>
      <c r="F121" s="426">
        <f t="shared" si="168"/>
        <v>256135</v>
      </c>
      <c r="G121" s="426">
        <f t="shared" si="168"/>
        <v>648144</v>
      </c>
      <c r="H121" s="426">
        <f t="shared" si="168"/>
        <v>161667</v>
      </c>
      <c r="I121" s="426">
        <f t="shared" si="168"/>
        <v>330980</v>
      </c>
      <c r="J121" s="426">
        <f t="shared" ref="J121:R121" si="169">J112+J114</f>
        <v>533614</v>
      </c>
      <c r="K121" s="426">
        <f t="shared" si="169"/>
        <v>777391</v>
      </c>
      <c r="L121" s="426">
        <f t="shared" si="169"/>
        <v>155228</v>
      </c>
      <c r="M121" s="426">
        <f t="shared" si="169"/>
        <v>305859</v>
      </c>
      <c r="N121" s="426">
        <f t="shared" si="169"/>
        <v>516543</v>
      </c>
      <c r="O121" s="426">
        <f t="shared" si="169"/>
        <v>741337</v>
      </c>
      <c r="P121" s="426">
        <f t="shared" si="169"/>
        <v>142187</v>
      </c>
      <c r="Q121" s="426">
        <f t="shared" si="169"/>
        <v>418245</v>
      </c>
      <c r="R121" s="426">
        <f t="shared" si="169"/>
        <v>510323</v>
      </c>
      <c r="S121" s="426">
        <f t="shared" ref="S121:T121" si="170">S112+S114</f>
        <v>751680</v>
      </c>
      <c r="T121" s="426">
        <f t="shared" si="170"/>
        <v>272311</v>
      </c>
      <c r="U121" s="426">
        <f>U112+U114</f>
        <v>523603</v>
      </c>
      <c r="W121" s="426">
        <f t="shared" ref="W121:AC121" si="171">W112+W114</f>
        <v>155228</v>
      </c>
      <c r="X121" s="426">
        <f t="shared" si="171"/>
        <v>150631</v>
      </c>
      <c r="Y121" s="426">
        <f t="shared" si="171"/>
        <v>210684</v>
      </c>
      <c r="Z121" s="426">
        <f t="shared" si="171"/>
        <v>224794</v>
      </c>
      <c r="AA121" s="426">
        <f t="shared" si="171"/>
        <v>142187</v>
      </c>
      <c r="AB121" s="426">
        <f t="shared" si="171"/>
        <v>276058</v>
      </c>
      <c r="AC121" s="426">
        <f t="shared" si="171"/>
        <v>92078</v>
      </c>
      <c r="AD121" s="426">
        <f t="shared" ref="AD121:AE121" si="172">AD112+AD114</f>
        <v>241357</v>
      </c>
      <c r="AE121" s="426">
        <f t="shared" si="172"/>
        <v>272311</v>
      </c>
      <c r="AF121" s="426">
        <f>AF112+AF114</f>
        <v>534539</v>
      </c>
    </row>
    <row r="122" spans="1:32" ht="15" thickTop="1">
      <c r="A122" s="417"/>
      <c r="B122" s="417"/>
      <c r="D122" s="417"/>
      <c r="E122" s="417"/>
      <c r="F122" s="417"/>
      <c r="G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S122" s="417"/>
      <c r="T122" s="417"/>
      <c r="U122" s="417"/>
      <c r="W122" s="417"/>
      <c r="X122" s="417"/>
      <c r="Y122" s="417"/>
      <c r="Z122" s="417"/>
      <c r="AA122" s="417"/>
      <c r="AB122" s="417"/>
      <c r="AC122" s="417"/>
      <c r="AD122" s="417"/>
      <c r="AE122" s="417"/>
      <c r="AF122" s="417"/>
    </row>
    <row r="123" spans="1:32">
      <c r="A123" s="416" t="s">
        <v>778</v>
      </c>
      <c r="B123" s="416" t="s">
        <v>779</v>
      </c>
      <c r="D123" s="425"/>
      <c r="E123" s="425"/>
      <c r="F123" s="425"/>
      <c r="G123" s="425"/>
      <c r="H123" s="425"/>
      <c r="I123" s="425"/>
      <c r="J123" s="425"/>
      <c r="K123" s="425"/>
      <c r="L123" s="425"/>
      <c r="M123" s="425"/>
      <c r="N123" s="425"/>
      <c r="O123" s="425"/>
      <c r="P123" s="425"/>
      <c r="Q123" s="425"/>
      <c r="R123" s="425"/>
      <c r="S123" s="425"/>
      <c r="T123" s="425"/>
      <c r="U123" s="756"/>
      <c r="W123" s="425"/>
      <c r="X123" s="425"/>
      <c r="Y123" s="425"/>
      <c r="Z123" s="425"/>
      <c r="AA123" s="425"/>
      <c r="AB123" s="425"/>
      <c r="AC123" s="425"/>
      <c r="AD123" s="425"/>
      <c r="AE123" s="425"/>
      <c r="AF123" s="756"/>
    </row>
    <row r="124" spans="1:32">
      <c r="A124" s="417" t="s">
        <v>780</v>
      </c>
      <c r="B124" s="417" t="s">
        <v>781</v>
      </c>
      <c r="D124" s="425">
        <f t="shared" ref="D124:I124" si="173">D121-D125</f>
        <v>86658.379756775044</v>
      </c>
      <c r="E124" s="425">
        <f t="shared" si="173"/>
        <v>106248.93700407859</v>
      </c>
      <c r="F124" s="425">
        <f t="shared" si="173"/>
        <v>166766.17303792376</v>
      </c>
      <c r="G124" s="425">
        <f t="shared" si="173"/>
        <v>421998.14339114947</v>
      </c>
      <c r="H124" s="425">
        <f t="shared" si="173"/>
        <v>105259.28473860279</v>
      </c>
      <c r="I124" s="425">
        <f t="shared" si="173"/>
        <v>215496.78080735554</v>
      </c>
      <c r="J124" s="425">
        <f>J121-J125</f>
        <v>347429.14736158145</v>
      </c>
      <c r="K124" s="425">
        <f>K121-K125</f>
        <v>506149.18704638025</v>
      </c>
      <c r="L124" s="425">
        <v>101067</v>
      </c>
      <c r="M124" s="425">
        <v>199141</v>
      </c>
      <c r="N124" s="425">
        <v>336315</v>
      </c>
      <c r="O124" s="425">
        <v>482675</v>
      </c>
      <c r="P124" s="425">
        <v>92576</v>
      </c>
      <c r="Q124" s="425">
        <v>272314</v>
      </c>
      <c r="R124" s="425">
        <v>340243</v>
      </c>
      <c r="S124" s="425">
        <v>489409</v>
      </c>
      <c r="T124" s="425">
        <v>177298</v>
      </c>
      <c r="U124" s="756">
        <v>340911</v>
      </c>
      <c r="W124" s="425">
        <f>L124</f>
        <v>101067</v>
      </c>
      <c r="X124" s="425">
        <f>M124-W124</f>
        <v>98074</v>
      </c>
      <c r="Y124" s="425">
        <f>N124-M124</f>
        <v>137174</v>
      </c>
      <c r="Z124" s="425">
        <f>O124-N124</f>
        <v>146360</v>
      </c>
      <c r="AA124" s="425">
        <f>P124</f>
        <v>92576</v>
      </c>
      <c r="AB124" s="425">
        <f>Q124-AA124</f>
        <v>179738</v>
      </c>
      <c r="AC124" s="425">
        <f>R124-Q124</f>
        <v>67929</v>
      </c>
      <c r="AD124" s="425">
        <f>S124-R124</f>
        <v>149166</v>
      </c>
      <c r="AE124" s="425">
        <f>T124</f>
        <v>177298</v>
      </c>
      <c r="AF124" s="756">
        <f>U124-T124</f>
        <v>163613</v>
      </c>
    </row>
    <row r="125" spans="1:32">
      <c r="A125" s="417" t="s">
        <v>782</v>
      </c>
      <c r="B125" s="417" t="s">
        <v>783</v>
      </c>
      <c r="D125" s="425">
        <f t="shared" ref="D125:I125" si="174">D121*D130</f>
        <v>46439.620243224948</v>
      </c>
      <c r="E125" s="425">
        <f t="shared" si="174"/>
        <v>56938.06299592142</v>
      </c>
      <c r="F125" s="425">
        <f t="shared" si="174"/>
        <v>89368.826962076229</v>
      </c>
      <c r="G125" s="425">
        <f t="shared" si="174"/>
        <v>226145.85660885056</v>
      </c>
      <c r="H125" s="425">
        <f t="shared" si="174"/>
        <v>56407.715261397221</v>
      </c>
      <c r="I125" s="425">
        <f t="shared" si="174"/>
        <v>115483.21919264446</v>
      </c>
      <c r="J125" s="425">
        <f>J121*J130</f>
        <v>186184.85263841858</v>
      </c>
      <c r="K125" s="425">
        <f>K121*K130</f>
        <v>271241.81295361975</v>
      </c>
      <c r="L125" s="425">
        <v>54161</v>
      </c>
      <c r="M125" s="425">
        <v>106718</v>
      </c>
      <c r="N125" s="425">
        <v>180228</v>
      </c>
      <c r="O125" s="425">
        <v>258662</v>
      </c>
      <c r="P125" s="425">
        <v>49611</v>
      </c>
      <c r="Q125" s="425">
        <v>145931</v>
      </c>
      <c r="R125" s="425">
        <v>182334</v>
      </c>
      <c r="S125" s="425">
        <v>262271</v>
      </c>
      <c r="T125" s="425">
        <v>95013</v>
      </c>
      <c r="U125" s="756">
        <v>182692</v>
      </c>
      <c r="W125" s="425">
        <f>L125</f>
        <v>54161</v>
      </c>
      <c r="X125" s="425">
        <f>M125-W125</f>
        <v>52557</v>
      </c>
      <c r="Y125" s="425">
        <f>N125-M125</f>
        <v>73510</v>
      </c>
      <c r="Z125" s="425">
        <f>O125-N125</f>
        <v>78434</v>
      </c>
      <c r="AA125" s="425">
        <f>P125</f>
        <v>49611</v>
      </c>
      <c r="AB125" s="425">
        <f>Q125-AA125</f>
        <v>96320</v>
      </c>
      <c r="AC125" s="425">
        <f>R125-Q125</f>
        <v>36403</v>
      </c>
      <c r="AD125" s="425">
        <f>S125-R125</f>
        <v>79937</v>
      </c>
      <c r="AE125" s="425">
        <f>T125</f>
        <v>95013</v>
      </c>
      <c r="AF125" s="756">
        <f>U125-T125</f>
        <v>87679</v>
      </c>
    </row>
    <row r="126" spans="1:32">
      <c r="A126" s="417"/>
      <c r="B126" s="417"/>
      <c r="D126" s="417"/>
      <c r="E126" s="417"/>
      <c r="F126" s="417"/>
      <c r="G126" s="417"/>
      <c r="H126" s="417"/>
      <c r="I126" s="417"/>
      <c r="J126" s="417"/>
      <c r="K126" s="417"/>
      <c r="L126" s="417"/>
      <c r="M126" s="417"/>
      <c r="N126" s="417"/>
      <c r="P126" s="417"/>
      <c r="Q126" s="417"/>
      <c r="R126" s="417"/>
      <c r="S126" s="417"/>
      <c r="T126" s="417"/>
      <c r="U126" s="417"/>
      <c r="W126" s="417"/>
      <c r="X126" s="417"/>
      <c r="Y126" s="417"/>
      <c r="AA126" s="417"/>
      <c r="AB126" s="417"/>
      <c r="AC126" s="417"/>
      <c r="AD126" s="417"/>
      <c r="AE126" s="417"/>
      <c r="AF126" s="417"/>
    </row>
    <row r="127" spans="1:32" ht="15" thickBot="1">
      <c r="A127" s="430" t="s">
        <v>776</v>
      </c>
      <c r="B127" s="430" t="s">
        <v>784</v>
      </c>
      <c r="D127" s="426">
        <f t="shared" ref="D127:I127" si="175">SUM(D124:D125)</f>
        <v>133098</v>
      </c>
      <c r="E127" s="426">
        <f t="shared" si="175"/>
        <v>163187</v>
      </c>
      <c r="F127" s="426">
        <f t="shared" si="175"/>
        <v>256135</v>
      </c>
      <c r="G127" s="426">
        <f t="shared" si="175"/>
        <v>648144</v>
      </c>
      <c r="H127" s="426">
        <f t="shared" si="175"/>
        <v>161667</v>
      </c>
      <c r="I127" s="426">
        <f t="shared" si="175"/>
        <v>330980</v>
      </c>
      <c r="J127" s="426">
        <f t="shared" ref="J127:P127" si="176">SUM(J124:J125)</f>
        <v>533614</v>
      </c>
      <c r="K127" s="426">
        <f t="shared" si="176"/>
        <v>777391</v>
      </c>
      <c r="L127" s="426">
        <f t="shared" si="176"/>
        <v>155228</v>
      </c>
      <c r="M127" s="426">
        <f t="shared" si="176"/>
        <v>305859</v>
      </c>
      <c r="N127" s="426">
        <f t="shared" si="176"/>
        <v>516543</v>
      </c>
      <c r="O127" s="426">
        <f t="shared" si="176"/>
        <v>741337</v>
      </c>
      <c r="P127" s="426">
        <f t="shared" si="176"/>
        <v>142187</v>
      </c>
      <c r="Q127" s="426">
        <f>SUM(Q124:Q125)</f>
        <v>418245</v>
      </c>
      <c r="R127" s="426">
        <f>SUM(R124:R125)</f>
        <v>522577</v>
      </c>
      <c r="S127" s="426">
        <f>SUM(S124:S125)</f>
        <v>751680</v>
      </c>
      <c r="T127" s="426">
        <f>SUM(T124:T125)</f>
        <v>272311</v>
      </c>
      <c r="U127" s="426">
        <f>SUM(U124:U125)</f>
        <v>523603</v>
      </c>
      <c r="W127" s="426">
        <f t="shared" ref="W127:AA127" si="177">SUM(W124:W125)</f>
        <v>155228</v>
      </c>
      <c r="X127" s="426">
        <f t="shared" si="177"/>
        <v>150631</v>
      </c>
      <c r="Y127" s="426">
        <f t="shared" si="177"/>
        <v>210684</v>
      </c>
      <c r="Z127" s="426">
        <f t="shared" si="177"/>
        <v>224794</v>
      </c>
      <c r="AA127" s="426">
        <f t="shared" si="177"/>
        <v>142187</v>
      </c>
      <c r="AB127" s="426">
        <f>SUM(AB124:AB125)</f>
        <v>276058</v>
      </c>
      <c r="AC127" s="426">
        <f t="shared" ref="AC127:AE127" si="178">SUM(AC124:AC125)</f>
        <v>104332</v>
      </c>
      <c r="AD127" s="426">
        <f t="shared" si="178"/>
        <v>229103</v>
      </c>
      <c r="AE127" s="426">
        <f t="shared" si="178"/>
        <v>272311</v>
      </c>
      <c r="AF127" s="426">
        <f>SUM(AF124:AF125)</f>
        <v>251292</v>
      </c>
    </row>
    <row r="129" spans="1:32">
      <c r="A129" s="431" t="s">
        <v>785</v>
      </c>
      <c r="B129" s="431" t="s">
        <v>786</v>
      </c>
      <c r="D129" s="433">
        <v>0.65108701676039504</v>
      </c>
      <c r="E129" s="433">
        <v>0.65108701676039504</v>
      </c>
      <c r="F129" s="433">
        <v>0.65108701676039504</v>
      </c>
      <c r="G129" s="433">
        <v>0.65108701676039504</v>
      </c>
      <c r="H129" s="433">
        <v>0.65108701676039504</v>
      </c>
      <c r="I129" s="433">
        <v>0.65108701676039504</v>
      </c>
      <c r="J129" s="433">
        <v>0.65108701676039504</v>
      </c>
      <c r="K129" s="433">
        <f t="shared" ref="K129:Q130" si="179">J129</f>
        <v>0.65108701676039504</v>
      </c>
      <c r="L129" s="433">
        <f t="shared" si="179"/>
        <v>0.65108701676039504</v>
      </c>
      <c r="M129" s="433">
        <f t="shared" si="179"/>
        <v>0.65108701676039504</v>
      </c>
      <c r="N129" s="433">
        <f t="shared" si="179"/>
        <v>0.65108701676039504</v>
      </c>
      <c r="O129" s="433">
        <f t="shared" si="179"/>
        <v>0.65108701676039504</v>
      </c>
      <c r="P129" s="433">
        <f t="shared" si="179"/>
        <v>0.65108701676039504</v>
      </c>
      <c r="Q129" s="433">
        <f t="shared" si="179"/>
        <v>0.65108701676039504</v>
      </c>
      <c r="R129" s="433">
        <f t="shared" ref="R129:T130" si="180">Q129</f>
        <v>0.65108701676039504</v>
      </c>
      <c r="S129" s="433">
        <f t="shared" si="180"/>
        <v>0.65108701676039504</v>
      </c>
      <c r="T129" s="433">
        <f t="shared" si="180"/>
        <v>0.65108701676039504</v>
      </c>
      <c r="U129" s="433">
        <f>T129</f>
        <v>0.65108701676039504</v>
      </c>
      <c r="V129" s="433"/>
      <c r="W129" s="433">
        <f>L129</f>
        <v>0.65108701676039504</v>
      </c>
      <c r="X129" s="433">
        <f t="shared" ref="X129:AB130" si="181">W129</f>
        <v>0.65108701676039504</v>
      </c>
      <c r="Y129" s="433">
        <f t="shared" si="181"/>
        <v>0.65108701676039504</v>
      </c>
      <c r="Z129" s="433">
        <f t="shared" si="181"/>
        <v>0.65108701676039504</v>
      </c>
      <c r="AA129" s="433">
        <f>P129</f>
        <v>0.65108701676039504</v>
      </c>
      <c r="AB129" s="433">
        <f t="shared" si="181"/>
        <v>0.65108701676039504</v>
      </c>
      <c r="AC129" s="433">
        <f>AB129</f>
        <v>0.65108701676039504</v>
      </c>
      <c r="AD129" s="433">
        <f>AC129</f>
        <v>0.65108701676039504</v>
      </c>
      <c r="AE129" s="433">
        <f>T129</f>
        <v>0.65108701676039504</v>
      </c>
      <c r="AF129" s="433">
        <f>U129</f>
        <v>0.65108701676039504</v>
      </c>
    </row>
    <row r="130" spans="1:32">
      <c r="A130" s="431" t="s">
        <v>787</v>
      </c>
      <c r="B130" s="431" t="s">
        <v>788</v>
      </c>
      <c r="D130" s="433">
        <v>0.34891298323960501</v>
      </c>
      <c r="E130" s="433">
        <v>0.34891298323960501</v>
      </c>
      <c r="F130" s="433">
        <v>0.34891298323960501</v>
      </c>
      <c r="G130" s="433">
        <v>0.34891298323960501</v>
      </c>
      <c r="H130" s="433">
        <v>0.34891298323960501</v>
      </c>
      <c r="I130" s="433">
        <v>0.34891298323960501</v>
      </c>
      <c r="J130" s="433">
        <v>0.34891298323960501</v>
      </c>
      <c r="K130" s="433">
        <f t="shared" si="179"/>
        <v>0.34891298323960501</v>
      </c>
      <c r="L130" s="433">
        <f t="shared" si="179"/>
        <v>0.34891298323960501</v>
      </c>
      <c r="M130" s="433">
        <f t="shared" si="179"/>
        <v>0.34891298323960501</v>
      </c>
      <c r="N130" s="433">
        <f t="shared" si="179"/>
        <v>0.34891298323960501</v>
      </c>
      <c r="O130" s="433">
        <f t="shared" si="179"/>
        <v>0.34891298323960501</v>
      </c>
      <c r="P130" s="433">
        <f t="shared" si="179"/>
        <v>0.34891298323960501</v>
      </c>
      <c r="Q130" s="433">
        <f t="shared" si="179"/>
        <v>0.34891298323960501</v>
      </c>
      <c r="R130" s="433">
        <f t="shared" si="180"/>
        <v>0.34891298323960501</v>
      </c>
      <c r="S130" s="433">
        <f t="shared" si="180"/>
        <v>0.34891298323960501</v>
      </c>
      <c r="T130" s="433">
        <f t="shared" si="180"/>
        <v>0.34891298323960501</v>
      </c>
      <c r="U130" s="433">
        <f>T130</f>
        <v>0.34891298323960501</v>
      </c>
      <c r="V130" s="433"/>
      <c r="W130" s="433">
        <f>L130</f>
        <v>0.34891298323960501</v>
      </c>
      <c r="X130" s="433">
        <f t="shared" si="181"/>
        <v>0.34891298323960501</v>
      </c>
      <c r="Y130" s="433">
        <f t="shared" si="181"/>
        <v>0.34891298323960501</v>
      </c>
      <c r="Z130" s="433">
        <f t="shared" si="181"/>
        <v>0.34891298323960501</v>
      </c>
      <c r="AA130" s="433">
        <f>P130</f>
        <v>0.34891298323960501</v>
      </c>
      <c r="AB130" s="433">
        <f t="shared" si="181"/>
        <v>0.34891298323960501</v>
      </c>
      <c r="AC130" s="433">
        <f>AB130</f>
        <v>0.34891298323960501</v>
      </c>
      <c r="AD130" s="433">
        <f>AC130</f>
        <v>0.34891298323960501</v>
      </c>
      <c r="AE130" s="433">
        <f>T130</f>
        <v>0.34891298323960501</v>
      </c>
      <c r="AF130" s="433">
        <f>U130</f>
        <v>0.34891298323960501</v>
      </c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0.79998168889431442"/>
  </sheetPr>
  <dimension ref="A4:AF130"/>
  <sheetViews>
    <sheetView showGridLines="0" zoomScale="55" zoomScaleNormal="55" workbookViewId="0">
      <pane xSplit="2" ySplit="5" topLeftCell="T6" activePane="bottomRight" state="frozen"/>
      <selection pane="topRight" activeCell="C1" sqref="C1"/>
      <selection pane="bottomLeft" activeCell="A6" sqref="A6"/>
      <selection pane="bottomRight" activeCell="A93" sqref="A93:B93"/>
    </sheetView>
  </sheetViews>
  <sheetFormatPr defaultRowHeight="14.4" outlineLevelRow="1"/>
  <cols>
    <col min="1" max="1" width="65.5546875" bestFit="1" customWidth="1"/>
    <col min="2" max="2" width="65.5546875" customWidth="1"/>
    <col min="3" max="3" width="1.5546875" customWidth="1"/>
    <col min="4" max="18" width="15.21875" customWidth="1"/>
    <col min="19" max="21" width="15.33203125" customWidth="1"/>
    <col min="22" max="22" width="1.5546875" customWidth="1"/>
    <col min="23" max="32" width="15.21875" customWidth="1"/>
  </cols>
  <sheetData>
    <row r="4" spans="1:32">
      <c r="A4" s="428" t="s">
        <v>789</v>
      </c>
      <c r="B4" s="428" t="s">
        <v>790</v>
      </c>
      <c r="D4" s="427" t="s">
        <v>584</v>
      </c>
      <c r="E4" s="427" t="s">
        <v>585</v>
      </c>
      <c r="F4" s="427" t="s">
        <v>586</v>
      </c>
      <c r="G4" s="427">
        <v>2022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T4" s="427" t="s">
        <v>2488</v>
      </c>
      <c r="U4" s="427" t="s">
        <v>2497</v>
      </c>
      <c r="W4" s="427" t="s">
        <v>83</v>
      </c>
      <c r="X4" s="427" t="s">
        <v>84</v>
      </c>
      <c r="Y4" s="427" t="s">
        <v>85</v>
      </c>
      <c r="Z4" s="427" t="s">
        <v>86</v>
      </c>
      <c r="AA4" s="427" t="s">
        <v>87</v>
      </c>
      <c r="AB4" s="427" t="s">
        <v>88</v>
      </c>
      <c r="AC4" s="427" t="s">
        <v>2074</v>
      </c>
      <c r="AD4" s="427" t="s">
        <v>2127</v>
      </c>
      <c r="AE4" s="427" t="s">
        <v>2360</v>
      </c>
      <c r="AF4" s="427" t="s">
        <v>2494</v>
      </c>
    </row>
    <row r="5" spans="1:32" ht="6.75" customHeight="1"/>
    <row r="6" spans="1:32">
      <c r="A6" s="429" t="s">
        <v>596</v>
      </c>
      <c r="B6" s="429" t="s">
        <v>597</v>
      </c>
      <c r="D6" s="420">
        <f t="shared" ref="D6:T6" si="0">SUM(D8,D11:D17)</f>
        <v>2620387</v>
      </c>
      <c r="E6" s="420">
        <f t="shared" si="0"/>
        <v>5488593</v>
      </c>
      <c r="F6" s="420">
        <f t="shared" si="0"/>
        <v>8190599</v>
      </c>
      <c r="G6" s="420">
        <f t="shared" si="0"/>
        <v>11261796</v>
      </c>
      <c r="H6" s="420">
        <f t="shared" si="0"/>
        <v>2969980</v>
      </c>
      <c r="I6" s="420">
        <f t="shared" si="0"/>
        <v>6032286</v>
      </c>
      <c r="J6" s="420">
        <f t="shared" si="0"/>
        <v>9619611</v>
      </c>
      <c r="K6" s="420">
        <f t="shared" si="0"/>
        <v>13322660</v>
      </c>
      <c r="L6" s="420">
        <f t="shared" si="0"/>
        <v>3209288</v>
      </c>
      <c r="M6" s="420">
        <f t="shared" si="0"/>
        <v>6619991</v>
      </c>
      <c r="N6" s="420">
        <f t="shared" si="0"/>
        <v>10418686</v>
      </c>
      <c r="O6" s="420">
        <f t="shared" si="0"/>
        <v>14302771</v>
      </c>
      <c r="P6" s="420">
        <f t="shared" si="0"/>
        <v>3416121</v>
      </c>
      <c r="Q6" s="420">
        <f t="shared" si="0"/>
        <v>7305592</v>
      </c>
      <c r="R6" s="420">
        <f t="shared" si="0"/>
        <v>11423965</v>
      </c>
      <c r="S6" s="420">
        <f t="shared" si="0"/>
        <v>15780641</v>
      </c>
      <c r="T6" s="420">
        <f t="shared" si="0"/>
        <v>3873147</v>
      </c>
      <c r="U6" s="741">
        <f>SUM(U8,U11:U17)</f>
        <v>8082650</v>
      </c>
      <c r="W6" s="420">
        <f>SUM(W8,W11:W17)</f>
        <v>3209288</v>
      </c>
      <c r="X6" s="420">
        <f>M6-W6</f>
        <v>3410703</v>
      </c>
      <c r="Y6" s="420">
        <f>SUM(Y8,Y11:Y17)</f>
        <v>3798695</v>
      </c>
      <c r="Z6" s="420">
        <f>SUM(Z8,Z11:Z17)</f>
        <v>3884085</v>
      </c>
      <c r="AA6" s="420">
        <f>SUM(AA8,AA11:AA17)</f>
        <v>3416121</v>
      </c>
      <c r="AB6" s="420">
        <f>SUM(AB8,AB11:AB17)</f>
        <v>3889471</v>
      </c>
      <c r="AC6" s="420">
        <f t="shared" ref="AC6:AD6" si="1">SUM(AC8,AC11:AC17)</f>
        <v>4118373</v>
      </c>
      <c r="AD6" s="420">
        <f t="shared" si="1"/>
        <v>4356676</v>
      </c>
      <c r="AE6" s="420">
        <f>SUM(AE8,AE11:AE17)</f>
        <v>3873147</v>
      </c>
      <c r="AF6" s="741">
        <f>SUM(AF8,AF11:AF17)</f>
        <v>4209503</v>
      </c>
    </row>
    <row r="7" spans="1:32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W7" s="421"/>
      <c r="X7" s="421"/>
      <c r="Y7" s="421"/>
      <c r="Z7" s="421"/>
      <c r="AA7" s="421"/>
      <c r="AB7" s="421"/>
      <c r="AC7" s="421"/>
      <c r="AD7" s="421"/>
      <c r="AE7" s="421"/>
      <c r="AF7" s="421"/>
    </row>
    <row r="8" spans="1:32">
      <c r="A8" s="417" t="s">
        <v>598</v>
      </c>
      <c r="B8" s="417" t="s">
        <v>599</v>
      </c>
      <c r="D8" s="422">
        <f t="shared" ref="D8:I8" si="2">SUM(D9:D10)</f>
        <v>1994754</v>
      </c>
      <c r="E8" s="422">
        <f t="shared" si="2"/>
        <v>4137301</v>
      </c>
      <c r="F8" s="422">
        <f t="shared" si="2"/>
        <v>6347686</v>
      </c>
      <c r="G8" s="422">
        <f t="shared" si="2"/>
        <v>8651907</v>
      </c>
      <c r="H8" s="422">
        <f t="shared" si="2"/>
        <v>2196070</v>
      </c>
      <c r="I8" s="422">
        <f t="shared" si="2"/>
        <v>4532160</v>
      </c>
      <c r="J8" s="422">
        <f t="shared" ref="J8:T8" si="3">SUM(J9:J10)</f>
        <v>7054575</v>
      </c>
      <c r="K8" s="422">
        <f t="shared" si="3"/>
        <v>9673149</v>
      </c>
      <c r="L8" s="422">
        <f t="shared" si="3"/>
        <v>2380406</v>
      </c>
      <c r="M8" s="422">
        <f t="shared" si="3"/>
        <v>4885504</v>
      </c>
      <c r="N8" s="422">
        <f t="shared" si="3"/>
        <v>7711268</v>
      </c>
      <c r="O8" s="422">
        <f t="shared" si="3"/>
        <v>10475717</v>
      </c>
      <c r="P8" s="422">
        <f t="shared" si="3"/>
        <v>2311558</v>
      </c>
      <c r="Q8" s="422">
        <f t="shared" si="3"/>
        <v>5004093</v>
      </c>
      <c r="R8" s="422">
        <f t="shared" si="3"/>
        <v>7829189</v>
      </c>
      <c r="S8" s="422">
        <f t="shared" si="3"/>
        <v>10841303</v>
      </c>
      <c r="T8" s="422">
        <f t="shared" si="3"/>
        <v>2541871</v>
      </c>
      <c r="U8" s="422">
        <f>SUM(U9:U10)</f>
        <v>5675844</v>
      </c>
      <c r="W8" s="422">
        <f t="shared" ref="W8:AC8" si="4">SUM(W9:W10)</f>
        <v>2380406</v>
      </c>
      <c r="X8" s="422">
        <f t="shared" si="4"/>
        <v>2505098</v>
      </c>
      <c r="Y8" s="422">
        <f t="shared" si="4"/>
        <v>2825764</v>
      </c>
      <c r="Z8" s="422">
        <f t="shared" si="4"/>
        <v>2764449</v>
      </c>
      <c r="AA8" s="422">
        <f t="shared" si="4"/>
        <v>2311558</v>
      </c>
      <c r="AB8" s="422">
        <f t="shared" si="4"/>
        <v>2692535</v>
      </c>
      <c r="AC8" s="422">
        <f t="shared" si="4"/>
        <v>2825096</v>
      </c>
      <c r="AD8" s="422">
        <f t="shared" ref="AD8:AE8" si="5">SUM(AD9:AD10)</f>
        <v>3012114</v>
      </c>
      <c r="AE8" s="422">
        <f t="shared" si="5"/>
        <v>2541871</v>
      </c>
      <c r="AF8" s="422">
        <f>SUM(AF9:AF10)</f>
        <v>3133973</v>
      </c>
    </row>
    <row r="9" spans="1:32" outlineLevel="1">
      <c r="A9" s="418" t="s">
        <v>598</v>
      </c>
      <c r="B9" s="418" t="s">
        <v>599</v>
      </c>
      <c r="D9" s="423">
        <v>1994339</v>
      </c>
      <c r="E9" s="423">
        <v>3969216</v>
      </c>
      <c r="F9" s="423">
        <v>6084513</v>
      </c>
      <c r="G9" s="423">
        <v>8258471</v>
      </c>
      <c r="H9" s="423">
        <v>1988954</v>
      </c>
      <c r="I9" s="423">
        <v>4153291</v>
      </c>
      <c r="J9" s="423">
        <v>6683772</v>
      </c>
      <c r="K9" s="423">
        <v>9423005</v>
      </c>
      <c r="L9" s="423">
        <v>2468195</v>
      </c>
      <c r="M9" s="423">
        <v>5037524</v>
      </c>
      <c r="N9" s="423">
        <v>7793862</v>
      </c>
      <c r="O9" s="423">
        <v>10635020</v>
      </c>
      <c r="P9" s="423">
        <v>2296057</v>
      </c>
      <c r="Q9" s="423">
        <v>4958468</v>
      </c>
      <c r="R9" s="423">
        <v>7777567</v>
      </c>
      <c r="S9" s="423">
        <v>10766213</v>
      </c>
      <c r="T9" s="423">
        <v>2482361</v>
      </c>
      <c r="U9" s="423">
        <v>5285464</v>
      </c>
      <c r="W9" s="423">
        <f t="shared" ref="W9:W16" si="6">L9</f>
        <v>2468195</v>
      </c>
      <c r="X9" s="423">
        <f>M9-W9</f>
        <v>2569329</v>
      </c>
      <c r="Y9" s="423">
        <f t="shared" ref="Y9:Z16" si="7">N9-M9</f>
        <v>2756338</v>
      </c>
      <c r="Z9" s="423">
        <f t="shared" si="7"/>
        <v>2841158</v>
      </c>
      <c r="AA9" s="423">
        <f>P9</f>
        <v>2296057</v>
      </c>
      <c r="AB9" s="423">
        <f t="shared" ref="AB9:AD16" si="8">Q9-P9</f>
        <v>2662411</v>
      </c>
      <c r="AC9" s="423">
        <f t="shared" si="8"/>
        <v>2819099</v>
      </c>
      <c r="AD9" s="423">
        <f t="shared" si="8"/>
        <v>2988646</v>
      </c>
      <c r="AE9" s="423">
        <f>T9</f>
        <v>2482361</v>
      </c>
      <c r="AF9" s="423">
        <f t="shared" ref="AF9:AF16" si="9">U9-T9</f>
        <v>2803103</v>
      </c>
    </row>
    <row r="10" spans="1:32" outlineLevel="1">
      <c r="A10" s="418" t="s">
        <v>600</v>
      </c>
      <c r="B10" s="418" t="s">
        <v>601</v>
      </c>
      <c r="D10" s="423">
        <v>415</v>
      </c>
      <c r="E10" s="423">
        <v>168085</v>
      </c>
      <c r="F10" s="423">
        <v>263173</v>
      </c>
      <c r="G10" s="423">
        <v>393436</v>
      </c>
      <c r="H10" s="423">
        <v>207116</v>
      </c>
      <c r="I10" s="423">
        <v>378869</v>
      </c>
      <c r="J10" s="423">
        <v>370803</v>
      </c>
      <c r="K10" s="423">
        <v>250144</v>
      </c>
      <c r="L10" s="423">
        <v>-87789</v>
      </c>
      <c r="M10" s="423">
        <v>-152020</v>
      </c>
      <c r="N10" s="423">
        <v>-82594</v>
      </c>
      <c r="O10" s="423">
        <v>-159303</v>
      </c>
      <c r="P10" s="423">
        <v>15501</v>
      </c>
      <c r="Q10" s="423">
        <v>45625</v>
      </c>
      <c r="R10" s="423">
        <v>51622</v>
      </c>
      <c r="S10" s="423">
        <v>75090</v>
      </c>
      <c r="T10" s="423">
        <v>59510</v>
      </c>
      <c r="U10" s="423">
        <v>390380</v>
      </c>
      <c r="W10" s="423">
        <f t="shared" si="6"/>
        <v>-87789</v>
      </c>
      <c r="X10" s="423">
        <f t="shared" ref="X10:X16" si="10">M10-W10</f>
        <v>-64231</v>
      </c>
      <c r="Y10" s="423">
        <f t="shared" si="7"/>
        <v>69426</v>
      </c>
      <c r="Z10" s="423">
        <f t="shared" si="7"/>
        <v>-76709</v>
      </c>
      <c r="AA10" s="423">
        <f t="shared" ref="AA10:AA25" si="11">P10</f>
        <v>15501</v>
      </c>
      <c r="AB10" s="423">
        <f t="shared" si="8"/>
        <v>30124</v>
      </c>
      <c r="AC10" s="423">
        <f t="shared" si="8"/>
        <v>5997</v>
      </c>
      <c r="AD10" s="423">
        <f t="shared" si="8"/>
        <v>23468</v>
      </c>
      <c r="AE10" s="423">
        <f t="shared" ref="AE10:AE25" si="12">T10</f>
        <v>59510</v>
      </c>
      <c r="AF10" s="423">
        <f t="shared" si="9"/>
        <v>330870</v>
      </c>
    </row>
    <row r="11" spans="1:32">
      <c r="A11" s="417" t="s">
        <v>602</v>
      </c>
      <c r="B11" s="417" t="s">
        <v>603</v>
      </c>
      <c r="D11" s="422">
        <v>15422</v>
      </c>
      <c r="E11" s="422">
        <v>25213</v>
      </c>
      <c r="F11" s="422">
        <v>26397</v>
      </c>
      <c r="G11" s="422">
        <v>33829</v>
      </c>
      <c r="H11" s="422">
        <v>12636</v>
      </c>
      <c r="I11" s="422">
        <v>16073</v>
      </c>
      <c r="J11" s="422">
        <v>22991</v>
      </c>
      <c r="K11" s="422">
        <v>23171</v>
      </c>
      <c r="L11" s="422">
        <v>753</v>
      </c>
      <c r="M11" s="422">
        <v>9255</v>
      </c>
      <c r="N11" s="422">
        <v>49922</v>
      </c>
      <c r="O11" s="422">
        <v>57383</v>
      </c>
      <c r="P11" s="422">
        <v>20101</v>
      </c>
      <c r="Q11" s="422">
        <v>70077</v>
      </c>
      <c r="R11" s="422">
        <v>70497</v>
      </c>
      <c r="S11" s="422">
        <v>88027</v>
      </c>
      <c r="T11" s="422">
        <v>66292</v>
      </c>
      <c r="U11" s="422">
        <v>27449</v>
      </c>
      <c r="W11" s="422">
        <f t="shared" si="6"/>
        <v>753</v>
      </c>
      <c r="X11" s="422">
        <f t="shared" si="10"/>
        <v>8502</v>
      </c>
      <c r="Y11" s="422">
        <f t="shared" si="7"/>
        <v>40667</v>
      </c>
      <c r="Z11" s="422">
        <f t="shared" si="7"/>
        <v>7461</v>
      </c>
      <c r="AA11" s="422">
        <f>P11</f>
        <v>20101</v>
      </c>
      <c r="AB11" s="422">
        <f t="shared" si="8"/>
        <v>49976</v>
      </c>
      <c r="AC11" s="422">
        <f t="shared" si="8"/>
        <v>420</v>
      </c>
      <c r="AD11" s="422">
        <f t="shared" si="8"/>
        <v>17530</v>
      </c>
      <c r="AE11" s="422">
        <f>T11</f>
        <v>66292</v>
      </c>
      <c r="AF11" s="422">
        <f t="shared" si="9"/>
        <v>-38843</v>
      </c>
    </row>
    <row r="12" spans="1:32">
      <c r="A12" s="417" t="s">
        <v>604</v>
      </c>
      <c r="B12" s="417" t="s">
        <v>605</v>
      </c>
      <c r="D12" s="422">
        <v>0</v>
      </c>
      <c r="E12" s="422">
        <v>0</v>
      </c>
      <c r="F12" s="422">
        <v>0</v>
      </c>
      <c r="G12" s="422">
        <v>0</v>
      </c>
      <c r="H12" s="422">
        <v>0</v>
      </c>
      <c r="I12" s="422">
        <v>0</v>
      </c>
      <c r="J12" s="422">
        <v>0</v>
      </c>
      <c r="K12" s="422">
        <v>0</v>
      </c>
      <c r="L12" s="422">
        <v>0</v>
      </c>
      <c r="M12" s="422">
        <v>0</v>
      </c>
      <c r="N12" s="422">
        <v>0</v>
      </c>
      <c r="O12" s="422">
        <v>0</v>
      </c>
      <c r="P12" s="422">
        <v>0</v>
      </c>
      <c r="Q12" s="422">
        <v>0</v>
      </c>
      <c r="R12" s="422">
        <v>0</v>
      </c>
      <c r="S12" s="422">
        <v>0</v>
      </c>
      <c r="T12" s="422">
        <v>0</v>
      </c>
      <c r="U12" s="422">
        <v>0</v>
      </c>
      <c r="W12" s="422">
        <f t="shared" si="6"/>
        <v>0</v>
      </c>
      <c r="X12" s="422">
        <f t="shared" si="10"/>
        <v>0</v>
      </c>
      <c r="Y12" s="422">
        <f t="shared" si="7"/>
        <v>0</v>
      </c>
      <c r="Z12" s="422">
        <f t="shared" si="7"/>
        <v>0</v>
      </c>
      <c r="AA12" s="422">
        <f t="shared" si="11"/>
        <v>0</v>
      </c>
      <c r="AB12" s="422">
        <f t="shared" si="8"/>
        <v>0</v>
      </c>
      <c r="AC12" s="422">
        <f t="shared" si="8"/>
        <v>0</v>
      </c>
      <c r="AD12" s="422">
        <f t="shared" si="8"/>
        <v>0</v>
      </c>
      <c r="AE12" s="422">
        <f t="shared" si="12"/>
        <v>0</v>
      </c>
      <c r="AF12" s="422">
        <f t="shared" si="9"/>
        <v>0</v>
      </c>
    </row>
    <row r="13" spans="1:32">
      <c r="A13" s="417" t="s">
        <v>606</v>
      </c>
      <c r="B13" s="417" t="s">
        <v>607</v>
      </c>
      <c r="D13" s="422">
        <v>334357</v>
      </c>
      <c r="E13" s="422">
        <v>775002</v>
      </c>
      <c r="F13" s="422">
        <v>1272350</v>
      </c>
      <c r="G13" s="422">
        <v>1836399</v>
      </c>
      <c r="H13" s="422">
        <v>614464</v>
      </c>
      <c r="I13" s="422">
        <v>1092161</v>
      </c>
      <c r="J13" s="422">
        <v>1696083</v>
      </c>
      <c r="K13" s="422">
        <v>2469462</v>
      </c>
      <c r="L13" s="422">
        <v>520677</v>
      </c>
      <c r="M13" s="422">
        <v>1083978</v>
      </c>
      <c r="N13" s="422">
        <v>1775331</v>
      </c>
      <c r="O13" s="422">
        <v>2604300</v>
      </c>
      <c r="P13" s="422">
        <v>719799</v>
      </c>
      <c r="Q13" s="422">
        <v>1575963</v>
      </c>
      <c r="R13" s="422">
        <v>2496137</v>
      </c>
      <c r="S13" s="422">
        <v>3468594</v>
      </c>
      <c r="T13" s="422">
        <v>786701</v>
      </c>
      <c r="U13" s="422">
        <v>1502754</v>
      </c>
      <c r="W13" s="422">
        <f t="shared" si="6"/>
        <v>520677</v>
      </c>
      <c r="X13" s="422">
        <f t="shared" si="10"/>
        <v>563301</v>
      </c>
      <c r="Y13" s="422">
        <f t="shared" si="7"/>
        <v>691353</v>
      </c>
      <c r="Z13" s="422">
        <f t="shared" si="7"/>
        <v>828969</v>
      </c>
      <c r="AA13" s="422">
        <f t="shared" si="11"/>
        <v>719799</v>
      </c>
      <c r="AB13" s="422">
        <f t="shared" si="8"/>
        <v>856164</v>
      </c>
      <c r="AC13" s="422">
        <f t="shared" si="8"/>
        <v>920174</v>
      </c>
      <c r="AD13" s="422">
        <f t="shared" si="8"/>
        <v>972457</v>
      </c>
      <c r="AE13" s="422">
        <f t="shared" si="12"/>
        <v>786701</v>
      </c>
      <c r="AF13" s="422">
        <f t="shared" si="9"/>
        <v>716053</v>
      </c>
    </row>
    <row r="14" spans="1:32">
      <c r="A14" s="417" t="s">
        <v>608</v>
      </c>
      <c r="B14" s="417" t="s">
        <v>609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>
        <v>0</v>
      </c>
      <c r="T14" s="422">
        <v>0</v>
      </c>
      <c r="U14" s="422">
        <v>0</v>
      </c>
      <c r="W14" s="422">
        <f t="shared" si="6"/>
        <v>0</v>
      </c>
      <c r="X14" s="422">
        <f t="shared" si="10"/>
        <v>0</v>
      </c>
      <c r="Y14" s="422">
        <f t="shared" si="7"/>
        <v>0</v>
      </c>
      <c r="Z14" s="422">
        <f t="shared" si="7"/>
        <v>0</v>
      </c>
      <c r="AA14" s="422">
        <f t="shared" si="11"/>
        <v>0</v>
      </c>
      <c r="AB14" s="422">
        <f t="shared" si="8"/>
        <v>0</v>
      </c>
      <c r="AC14" s="422">
        <f t="shared" si="8"/>
        <v>0</v>
      </c>
      <c r="AD14" s="422">
        <f t="shared" si="8"/>
        <v>0</v>
      </c>
      <c r="AE14" s="422">
        <f t="shared" si="12"/>
        <v>0</v>
      </c>
      <c r="AF14" s="422">
        <f t="shared" si="9"/>
        <v>0</v>
      </c>
    </row>
    <row r="15" spans="1:32">
      <c r="A15" s="417" t="s">
        <v>610</v>
      </c>
      <c r="B15" s="417" t="s">
        <v>611</v>
      </c>
      <c r="D15" s="422">
        <v>0</v>
      </c>
      <c r="E15" s="422">
        <v>0</v>
      </c>
      <c r="F15" s="422">
        <v>0</v>
      </c>
      <c r="G15" s="422">
        <v>0</v>
      </c>
      <c r="H15" s="422">
        <v>0</v>
      </c>
      <c r="I15" s="422">
        <v>0</v>
      </c>
      <c r="J15" s="422">
        <v>0</v>
      </c>
      <c r="K15" s="422">
        <v>0</v>
      </c>
      <c r="L15" s="422">
        <v>0</v>
      </c>
      <c r="M15" s="422">
        <v>0</v>
      </c>
      <c r="N15" s="422">
        <v>0</v>
      </c>
      <c r="O15" s="422">
        <v>0</v>
      </c>
      <c r="P15" s="422">
        <v>0</v>
      </c>
      <c r="Q15" s="422">
        <v>0</v>
      </c>
      <c r="R15" s="422">
        <v>0</v>
      </c>
      <c r="S15" s="422">
        <v>0</v>
      </c>
      <c r="T15" s="422">
        <v>0</v>
      </c>
      <c r="U15" s="422">
        <v>0</v>
      </c>
      <c r="W15" s="422">
        <f t="shared" si="6"/>
        <v>0</v>
      </c>
      <c r="X15" s="422">
        <f t="shared" si="10"/>
        <v>0</v>
      </c>
      <c r="Y15" s="422">
        <f t="shared" si="7"/>
        <v>0</v>
      </c>
      <c r="Z15" s="422">
        <f t="shared" si="7"/>
        <v>0</v>
      </c>
      <c r="AA15" s="422">
        <f t="shared" si="11"/>
        <v>0</v>
      </c>
      <c r="AB15" s="422">
        <f t="shared" si="8"/>
        <v>0</v>
      </c>
      <c r="AC15" s="422">
        <f t="shared" si="8"/>
        <v>0</v>
      </c>
      <c r="AD15" s="422">
        <f t="shared" si="8"/>
        <v>0</v>
      </c>
      <c r="AE15" s="422">
        <f t="shared" si="12"/>
        <v>0</v>
      </c>
      <c r="AF15" s="422">
        <f t="shared" si="9"/>
        <v>0</v>
      </c>
    </row>
    <row r="16" spans="1:32">
      <c r="A16" s="417" t="s">
        <v>612</v>
      </c>
      <c r="B16" s="417" t="s">
        <v>613</v>
      </c>
      <c r="D16" s="422">
        <v>0</v>
      </c>
      <c r="E16" s="422">
        <v>0</v>
      </c>
      <c r="F16" s="422">
        <v>0</v>
      </c>
      <c r="G16" s="422">
        <v>0</v>
      </c>
      <c r="H16" s="422">
        <v>0</v>
      </c>
      <c r="I16" s="422">
        <v>0</v>
      </c>
      <c r="J16" s="422">
        <v>0</v>
      </c>
      <c r="K16" s="422">
        <v>0</v>
      </c>
      <c r="L16" s="422">
        <v>0</v>
      </c>
      <c r="M16" s="422">
        <v>0</v>
      </c>
      <c r="N16" s="422">
        <v>0</v>
      </c>
      <c r="O16" s="422">
        <v>0</v>
      </c>
      <c r="P16" s="422">
        <v>0</v>
      </c>
      <c r="Q16" s="422">
        <v>0</v>
      </c>
      <c r="R16" s="422">
        <v>0</v>
      </c>
      <c r="S16" s="422">
        <v>0</v>
      </c>
      <c r="T16" s="422">
        <v>0</v>
      </c>
      <c r="U16" s="422">
        <v>0</v>
      </c>
      <c r="W16" s="422">
        <f t="shared" si="6"/>
        <v>0</v>
      </c>
      <c r="X16" s="422">
        <f t="shared" si="10"/>
        <v>0</v>
      </c>
      <c r="Y16" s="422">
        <f t="shared" si="7"/>
        <v>0</v>
      </c>
      <c r="Z16" s="422">
        <f t="shared" si="7"/>
        <v>0</v>
      </c>
      <c r="AA16" s="422">
        <f t="shared" si="11"/>
        <v>0</v>
      </c>
      <c r="AB16" s="422">
        <f t="shared" si="8"/>
        <v>0</v>
      </c>
      <c r="AC16" s="422">
        <f t="shared" si="8"/>
        <v>0</v>
      </c>
      <c r="AD16" s="422">
        <f t="shared" si="8"/>
        <v>0</v>
      </c>
      <c r="AE16" s="422">
        <f t="shared" si="12"/>
        <v>0</v>
      </c>
      <c r="AF16" s="422">
        <f t="shared" si="9"/>
        <v>0</v>
      </c>
    </row>
    <row r="17" spans="1:32">
      <c r="A17" s="417" t="s">
        <v>614</v>
      </c>
      <c r="B17" s="417" t="s">
        <v>615</v>
      </c>
      <c r="D17" s="422">
        <f t="shared" ref="D17:I17" si="13">SUM(D18:D25)</f>
        <v>275854</v>
      </c>
      <c r="E17" s="422">
        <f t="shared" si="13"/>
        <v>551077</v>
      </c>
      <c r="F17" s="422">
        <f t="shared" si="13"/>
        <v>544166</v>
      </c>
      <c r="G17" s="422">
        <f t="shared" si="13"/>
        <v>739661</v>
      </c>
      <c r="H17" s="422">
        <f t="shared" si="13"/>
        <v>146810</v>
      </c>
      <c r="I17" s="422">
        <f t="shared" si="13"/>
        <v>391892</v>
      </c>
      <c r="J17" s="422">
        <f t="shared" ref="J17:T17" si="14">SUM(J18:J25)</f>
        <v>845962</v>
      </c>
      <c r="K17" s="422">
        <f t="shared" si="14"/>
        <v>1156878</v>
      </c>
      <c r="L17" s="422">
        <f t="shared" si="14"/>
        <v>307452</v>
      </c>
      <c r="M17" s="422">
        <f t="shared" si="14"/>
        <v>641254</v>
      </c>
      <c r="N17" s="422">
        <f t="shared" si="14"/>
        <v>882165</v>
      </c>
      <c r="O17" s="422">
        <f t="shared" si="14"/>
        <v>1165371</v>
      </c>
      <c r="P17" s="422">
        <f t="shared" si="14"/>
        <v>364663</v>
      </c>
      <c r="Q17" s="422">
        <f t="shared" si="14"/>
        <v>655459</v>
      </c>
      <c r="R17" s="422">
        <f t="shared" si="14"/>
        <v>1028142</v>
      </c>
      <c r="S17" s="422">
        <f t="shared" si="14"/>
        <v>1382717</v>
      </c>
      <c r="T17" s="422">
        <f t="shared" si="14"/>
        <v>478283</v>
      </c>
      <c r="U17" s="422">
        <f>SUM(U18:U25)</f>
        <v>876603</v>
      </c>
      <c r="W17" s="422">
        <f t="shared" ref="W17:AC17" si="15">SUM(W18:W25)</f>
        <v>307452</v>
      </c>
      <c r="X17" s="422">
        <f t="shared" si="15"/>
        <v>333802</v>
      </c>
      <c r="Y17" s="422">
        <f t="shared" si="15"/>
        <v>240911</v>
      </c>
      <c r="Z17" s="422">
        <f t="shared" si="15"/>
        <v>283206</v>
      </c>
      <c r="AA17" s="422">
        <f t="shared" si="15"/>
        <v>364663</v>
      </c>
      <c r="AB17" s="422">
        <f t="shared" si="15"/>
        <v>290796</v>
      </c>
      <c r="AC17" s="422">
        <f t="shared" si="15"/>
        <v>372683</v>
      </c>
      <c r="AD17" s="422">
        <f t="shared" ref="AD17:AE17" si="16">SUM(AD18:AD25)</f>
        <v>354575</v>
      </c>
      <c r="AE17" s="422">
        <f t="shared" si="16"/>
        <v>478283</v>
      </c>
      <c r="AF17" s="422">
        <f>SUM(AF18:AF25)</f>
        <v>398320</v>
      </c>
    </row>
    <row r="18" spans="1:32" outlineLevel="1">
      <c r="A18" s="418" t="s">
        <v>616</v>
      </c>
      <c r="B18" s="418" t="s">
        <v>617</v>
      </c>
      <c r="D18" s="423">
        <v>90771</v>
      </c>
      <c r="E18" s="423">
        <v>180327</v>
      </c>
      <c r="F18" s="423">
        <v>285154</v>
      </c>
      <c r="G18" s="423">
        <v>394180</v>
      </c>
      <c r="H18" s="423">
        <v>120831</v>
      </c>
      <c r="I18" s="423">
        <v>217637</v>
      </c>
      <c r="J18" s="423">
        <v>345458</v>
      </c>
      <c r="K18" s="423">
        <v>480385</v>
      </c>
      <c r="L18" s="423">
        <v>134732</v>
      </c>
      <c r="M18" s="423">
        <v>283404</v>
      </c>
      <c r="N18" s="423">
        <v>435583</v>
      </c>
      <c r="O18" s="423">
        <v>593400</v>
      </c>
      <c r="P18" s="423">
        <v>149041</v>
      </c>
      <c r="Q18" s="423">
        <v>320774</v>
      </c>
      <c r="R18" s="423">
        <v>509618</v>
      </c>
      <c r="S18" s="423">
        <v>726533</v>
      </c>
      <c r="T18" s="423">
        <v>212193</v>
      </c>
      <c r="U18" s="423">
        <v>405386</v>
      </c>
      <c r="W18" s="423">
        <f t="shared" ref="W18:W25" si="17">L18</f>
        <v>134732</v>
      </c>
      <c r="X18" s="423">
        <f t="shared" ref="X18:X25" si="18">M18-W18</f>
        <v>148672</v>
      </c>
      <c r="Y18" s="423">
        <f t="shared" ref="Y18:Z25" si="19">N18-M18</f>
        <v>152179</v>
      </c>
      <c r="Z18" s="423">
        <f t="shared" si="19"/>
        <v>157817</v>
      </c>
      <c r="AA18" s="423">
        <f t="shared" si="11"/>
        <v>149041</v>
      </c>
      <c r="AB18" s="423">
        <f t="shared" ref="AB18:AD25" si="20">Q18-P18</f>
        <v>171733</v>
      </c>
      <c r="AC18" s="423">
        <f t="shared" si="20"/>
        <v>188844</v>
      </c>
      <c r="AD18" s="423">
        <f t="shared" si="20"/>
        <v>216915</v>
      </c>
      <c r="AE18" s="423">
        <f t="shared" si="12"/>
        <v>212193</v>
      </c>
      <c r="AF18" s="423">
        <f t="shared" ref="AF18:AF25" si="21">U18-T18</f>
        <v>193193</v>
      </c>
    </row>
    <row r="19" spans="1:32" outlineLevel="1">
      <c r="A19" s="418" t="s">
        <v>791</v>
      </c>
      <c r="B19" s="418" t="s">
        <v>619</v>
      </c>
      <c r="D19" s="423">
        <v>83714</v>
      </c>
      <c r="E19" s="423">
        <v>229284</v>
      </c>
      <c r="F19" s="423">
        <v>78426</v>
      </c>
      <c r="G19" s="423">
        <v>123449</v>
      </c>
      <c r="H19" s="423">
        <v>-28603</v>
      </c>
      <c r="I19" s="423">
        <v>54256</v>
      </c>
      <c r="J19" s="423">
        <v>313335</v>
      </c>
      <c r="K19" s="423">
        <v>377407</v>
      </c>
      <c r="L19" s="423">
        <v>100832</v>
      </c>
      <c r="M19" s="423">
        <v>209419</v>
      </c>
      <c r="N19" s="423">
        <v>209068</v>
      </c>
      <c r="O19" s="423">
        <v>303916</v>
      </c>
      <c r="P19" s="423">
        <v>151954</v>
      </c>
      <c r="Q19" s="423">
        <v>209036</v>
      </c>
      <c r="R19" s="423">
        <v>285846</v>
      </c>
      <c r="S19" s="423">
        <v>333093</v>
      </c>
      <c r="T19" s="423">
        <v>178242</v>
      </c>
      <c r="U19" s="423">
        <v>318444</v>
      </c>
      <c r="W19" s="423">
        <f t="shared" si="17"/>
        <v>100832</v>
      </c>
      <c r="X19" s="423">
        <f t="shared" si="18"/>
        <v>108587</v>
      </c>
      <c r="Y19" s="423">
        <f t="shared" si="19"/>
        <v>-351</v>
      </c>
      <c r="Z19" s="423">
        <f t="shared" si="19"/>
        <v>94848</v>
      </c>
      <c r="AA19" s="423">
        <f t="shared" si="11"/>
        <v>151954</v>
      </c>
      <c r="AB19" s="423">
        <f t="shared" si="20"/>
        <v>57082</v>
      </c>
      <c r="AC19" s="423">
        <f t="shared" si="20"/>
        <v>76810</v>
      </c>
      <c r="AD19" s="423">
        <f t="shared" si="20"/>
        <v>47247</v>
      </c>
      <c r="AE19" s="423">
        <f t="shared" si="12"/>
        <v>178242</v>
      </c>
      <c r="AF19" s="423">
        <f t="shared" si="21"/>
        <v>140202</v>
      </c>
    </row>
    <row r="20" spans="1:32" outlineLevel="1">
      <c r="A20" s="418" t="s">
        <v>792</v>
      </c>
      <c r="B20" s="418" t="s">
        <v>621</v>
      </c>
      <c r="D20" s="423">
        <v>0</v>
      </c>
      <c r="E20" s="423">
        <v>0</v>
      </c>
      <c r="F20" s="423">
        <v>0</v>
      </c>
      <c r="G20" s="423">
        <v>0</v>
      </c>
      <c r="H20" s="423">
        <v>0</v>
      </c>
      <c r="I20" s="423">
        <v>0</v>
      </c>
      <c r="J20" s="423">
        <v>0</v>
      </c>
      <c r="K20" s="423">
        <v>0</v>
      </c>
      <c r="L20" s="423">
        <v>0</v>
      </c>
      <c r="M20" s="423">
        <v>0</v>
      </c>
      <c r="N20" s="423">
        <v>0</v>
      </c>
      <c r="O20" s="423">
        <v>0</v>
      </c>
      <c r="P20" s="423">
        <v>0</v>
      </c>
      <c r="Q20" s="423">
        <v>0</v>
      </c>
      <c r="R20" s="423">
        <v>0</v>
      </c>
      <c r="S20" s="423">
        <v>0</v>
      </c>
      <c r="T20" s="423">
        <v>0</v>
      </c>
      <c r="U20" s="423">
        <v>0</v>
      </c>
      <c r="W20" s="423">
        <f t="shared" si="17"/>
        <v>0</v>
      </c>
      <c r="X20" s="423">
        <f t="shared" si="18"/>
        <v>0</v>
      </c>
      <c r="Y20" s="423">
        <f t="shared" si="19"/>
        <v>0</v>
      </c>
      <c r="Z20" s="423">
        <f t="shared" si="19"/>
        <v>0</v>
      </c>
      <c r="AA20" s="423">
        <f t="shared" si="11"/>
        <v>0</v>
      </c>
      <c r="AB20" s="423">
        <f t="shared" si="20"/>
        <v>0</v>
      </c>
      <c r="AC20" s="423">
        <f t="shared" si="20"/>
        <v>0</v>
      </c>
      <c r="AD20" s="423">
        <f t="shared" si="20"/>
        <v>0</v>
      </c>
      <c r="AE20" s="423">
        <f t="shared" si="12"/>
        <v>0</v>
      </c>
      <c r="AF20" s="423">
        <f t="shared" si="21"/>
        <v>0</v>
      </c>
    </row>
    <row r="21" spans="1:32" outlineLevel="1">
      <c r="A21" s="418" t="s">
        <v>793</v>
      </c>
      <c r="B21" s="418" t="s">
        <v>623</v>
      </c>
      <c r="D21" s="423">
        <v>0</v>
      </c>
      <c r="E21" s="423">
        <v>0</v>
      </c>
      <c r="F21" s="423">
        <v>0</v>
      </c>
      <c r="G21" s="423">
        <v>0</v>
      </c>
      <c r="H21" s="423">
        <v>0</v>
      </c>
      <c r="I21" s="423">
        <v>0</v>
      </c>
      <c r="J21" s="423">
        <v>0</v>
      </c>
      <c r="K21" s="423">
        <v>0</v>
      </c>
      <c r="L21" s="423">
        <v>0</v>
      </c>
      <c r="M21" s="423">
        <v>0</v>
      </c>
      <c r="N21" s="423">
        <v>0</v>
      </c>
      <c r="O21" s="423">
        <v>0</v>
      </c>
      <c r="P21" s="423">
        <v>0</v>
      </c>
      <c r="Q21" s="423">
        <v>0</v>
      </c>
      <c r="R21" s="423">
        <v>0</v>
      </c>
      <c r="S21" s="423">
        <v>0</v>
      </c>
      <c r="T21" s="423">
        <v>0</v>
      </c>
      <c r="U21" s="423">
        <v>0</v>
      </c>
      <c r="W21" s="423">
        <f t="shared" si="17"/>
        <v>0</v>
      </c>
      <c r="X21" s="423">
        <f t="shared" si="18"/>
        <v>0</v>
      </c>
      <c r="Y21" s="423">
        <f t="shared" si="19"/>
        <v>0</v>
      </c>
      <c r="Z21" s="423">
        <f t="shared" si="19"/>
        <v>0</v>
      </c>
      <c r="AA21" s="423">
        <f t="shared" si="11"/>
        <v>0</v>
      </c>
      <c r="AB21" s="423">
        <f t="shared" si="20"/>
        <v>0</v>
      </c>
      <c r="AC21" s="423">
        <f t="shared" si="20"/>
        <v>0</v>
      </c>
      <c r="AD21" s="423">
        <f t="shared" si="20"/>
        <v>0</v>
      </c>
      <c r="AE21" s="423">
        <f t="shared" si="12"/>
        <v>0</v>
      </c>
      <c r="AF21" s="423">
        <f t="shared" si="21"/>
        <v>0</v>
      </c>
    </row>
    <row r="22" spans="1:32" outlineLevel="1">
      <c r="A22" s="418" t="s">
        <v>624</v>
      </c>
      <c r="B22" s="418" t="s">
        <v>625</v>
      </c>
      <c r="D22" s="423">
        <v>0</v>
      </c>
      <c r="E22" s="423">
        <v>0</v>
      </c>
      <c r="F22" s="423">
        <v>0</v>
      </c>
      <c r="G22" s="423">
        <v>0</v>
      </c>
      <c r="H22" s="423">
        <v>0</v>
      </c>
      <c r="I22" s="423">
        <v>0</v>
      </c>
      <c r="J22" s="423">
        <v>0</v>
      </c>
      <c r="K22" s="423">
        <v>0</v>
      </c>
      <c r="L22" s="423">
        <v>0</v>
      </c>
      <c r="M22" s="423">
        <v>0</v>
      </c>
      <c r="N22" s="423">
        <v>0</v>
      </c>
      <c r="O22" s="423">
        <v>0</v>
      </c>
      <c r="P22" s="423">
        <v>0</v>
      </c>
      <c r="Q22" s="423">
        <v>0</v>
      </c>
      <c r="R22" s="423">
        <v>0</v>
      </c>
      <c r="S22" s="423">
        <v>0</v>
      </c>
      <c r="T22" s="423">
        <v>0</v>
      </c>
      <c r="U22" s="423">
        <v>0</v>
      </c>
      <c r="W22" s="423">
        <f t="shared" si="17"/>
        <v>0</v>
      </c>
      <c r="X22" s="423">
        <f t="shared" si="18"/>
        <v>0</v>
      </c>
      <c r="Y22" s="423">
        <f t="shared" si="19"/>
        <v>0</v>
      </c>
      <c r="Z22" s="423">
        <f t="shared" si="19"/>
        <v>0</v>
      </c>
      <c r="AA22" s="423">
        <f t="shared" si="11"/>
        <v>0</v>
      </c>
      <c r="AB22" s="423">
        <f t="shared" si="20"/>
        <v>0</v>
      </c>
      <c r="AC22" s="423">
        <f t="shared" si="20"/>
        <v>0</v>
      </c>
      <c r="AD22" s="423">
        <f t="shared" si="20"/>
        <v>0</v>
      </c>
      <c r="AE22" s="423">
        <f t="shared" si="12"/>
        <v>0</v>
      </c>
      <c r="AF22" s="423">
        <f t="shared" si="21"/>
        <v>0</v>
      </c>
    </row>
    <row r="23" spans="1:32" outlineLevel="1">
      <c r="A23" s="418" t="s">
        <v>794</v>
      </c>
      <c r="B23" s="418" t="s">
        <v>795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0</v>
      </c>
      <c r="T23" s="423">
        <v>0</v>
      </c>
      <c r="U23" s="423">
        <v>0</v>
      </c>
      <c r="W23" s="423">
        <f t="shared" si="17"/>
        <v>0</v>
      </c>
      <c r="X23" s="423">
        <f t="shared" si="18"/>
        <v>0</v>
      </c>
      <c r="Y23" s="423">
        <f t="shared" si="19"/>
        <v>0</v>
      </c>
      <c r="Z23" s="423">
        <f t="shared" si="19"/>
        <v>0</v>
      </c>
      <c r="AA23" s="423">
        <f t="shared" si="11"/>
        <v>0</v>
      </c>
      <c r="AB23" s="423">
        <f t="shared" si="20"/>
        <v>0</v>
      </c>
      <c r="AC23" s="423">
        <f t="shared" si="20"/>
        <v>0</v>
      </c>
      <c r="AD23" s="423">
        <f t="shared" si="20"/>
        <v>0</v>
      </c>
      <c r="AE23" s="423">
        <f t="shared" si="12"/>
        <v>0</v>
      </c>
      <c r="AF23" s="423">
        <f t="shared" si="21"/>
        <v>0</v>
      </c>
    </row>
    <row r="24" spans="1:32" outlineLevel="1">
      <c r="A24" s="418" t="s">
        <v>796</v>
      </c>
      <c r="B24" s="418" t="s">
        <v>797</v>
      </c>
      <c r="D24" s="423">
        <v>0</v>
      </c>
      <c r="E24" s="423">
        <v>0</v>
      </c>
      <c r="F24" s="423">
        <v>0</v>
      </c>
      <c r="G24" s="423">
        <v>0</v>
      </c>
      <c r="H24" s="423">
        <v>0</v>
      </c>
      <c r="I24" s="423">
        <v>0</v>
      </c>
      <c r="J24" s="423">
        <v>0</v>
      </c>
      <c r="K24" s="423">
        <v>0</v>
      </c>
      <c r="L24" s="423">
        <v>0</v>
      </c>
      <c r="M24" s="423">
        <v>0</v>
      </c>
      <c r="N24" s="423">
        <v>0</v>
      </c>
      <c r="O24" s="423">
        <v>0</v>
      </c>
      <c r="P24" s="423">
        <v>0</v>
      </c>
      <c r="Q24" s="423">
        <v>0</v>
      </c>
      <c r="R24" s="423">
        <v>0</v>
      </c>
      <c r="S24" s="423">
        <v>0</v>
      </c>
      <c r="T24" s="423">
        <v>0</v>
      </c>
      <c r="U24" s="423">
        <v>0</v>
      </c>
      <c r="W24" s="423">
        <f t="shared" si="17"/>
        <v>0</v>
      </c>
      <c r="X24" s="423">
        <f t="shared" si="18"/>
        <v>0</v>
      </c>
      <c r="Y24" s="423">
        <f t="shared" si="19"/>
        <v>0</v>
      </c>
      <c r="Z24" s="423">
        <f t="shared" si="19"/>
        <v>0</v>
      </c>
      <c r="AA24" s="423">
        <f t="shared" si="11"/>
        <v>0</v>
      </c>
      <c r="AB24" s="423">
        <f t="shared" si="20"/>
        <v>0</v>
      </c>
      <c r="AC24" s="423">
        <f t="shared" si="20"/>
        <v>0</v>
      </c>
      <c r="AD24" s="423">
        <f t="shared" si="20"/>
        <v>0</v>
      </c>
      <c r="AE24" s="423">
        <f t="shared" si="12"/>
        <v>0</v>
      </c>
      <c r="AF24" s="423">
        <f t="shared" si="21"/>
        <v>0</v>
      </c>
    </row>
    <row r="25" spans="1:32" outlineLevel="1">
      <c r="A25" s="418" t="s">
        <v>614</v>
      </c>
      <c r="B25" s="418" t="s">
        <v>615</v>
      </c>
      <c r="D25" s="423">
        <v>101369</v>
      </c>
      <c r="E25" s="423">
        <v>141466</v>
      </c>
      <c r="F25" s="423">
        <v>180586</v>
      </c>
      <c r="G25" s="423">
        <v>222032</v>
      </c>
      <c r="H25" s="423">
        <v>54582</v>
      </c>
      <c r="I25" s="423">
        <v>119999</v>
      </c>
      <c r="J25" s="423">
        <v>187169</v>
      </c>
      <c r="K25" s="423">
        <v>299086</v>
      </c>
      <c r="L25" s="423">
        <v>71888</v>
      </c>
      <c r="M25" s="423">
        <v>148431</v>
      </c>
      <c r="N25" s="423">
        <v>237514</v>
      </c>
      <c r="O25" s="423">
        <v>268055</v>
      </c>
      <c r="P25" s="423">
        <v>63668</v>
      </c>
      <c r="Q25" s="423">
        <v>125649</v>
      </c>
      <c r="R25" s="423">
        <v>232678</v>
      </c>
      <c r="S25" s="423">
        <v>323091</v>
      </c>
      <c r="T25" s="423">
        <v>87848</v>
      </c>
      <c r="U25" s="423">
        <v>152773</v>
      </c>
      <c r="W25" s="423">
        <f t="shared" si="17"/>
        <v>71888</v>
      </c>
      <c r="X25" s="423">
        <f t="shared" si="18"/>
        <v>76543</v>
      </c>
      <c r="Y25" s="423">
        <f t="shared" si="19"/>
        <v>89083</v>
      </c>
      <c r="Z25" s="423">
        <f t="shared" si="19"/>
        <v>30541</v>
      </c>
      <c r="AA25" s="423">
        <f t="shared" si="11"/>
        <v>63668</v>
      </c>
      <c r="AB25" s="423">
        <f t="shared" si="20"/>
        <v>61981</v>
      </c>
      <c r="AC25" s="423">
        <f t="shared" si="20"/>
        <v>107029</v>
      </c>
      <c r="AD25" s="423">
        <f t="shared" si="20"/>
        <v>90413</v>
      </c>
      <c r="AE25" s="423">
        <f t="shared" si="12"/>
        <v>87848</v>
      </c>
      <c r="AF25" s="423">
        <f t="shared" si="21"/>
        <v>64925</v>
      </c>
    </row>
    <row r="26" spans="1:32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</row>
    <row r="27" spans="1:32">
      <c r="A27" s="429" t="s">
        <v>630</v>
      </c>
      <c r="B27" s="429" t="s">
        <v>631</v>
      </c>
      <c r="D27" s="420">
        <f t="shared" ref="D27:I27" si="22">SUM(D29:D37)</f>
        <v>-749683</v>
      </c>
      <c r="E27" s="420">
        <f t="shared" si="22"/>
        <v>-1476086</v>
      </c>
      <c r="F27" s="420">
        <f t="shared" si="22"/>
        <v>-2117428</v>
      </c>
      <c r="G27" s="420">
        <f t="shared" si="22"/>
        <v>-2748574</v>
      </c>
      <c r="H27" s="420">
        <f t="shared" si="22"/>
        <v>-636024</v>
      </c>
      <c r="I27" s="420">
        <f t="shared" si="22"/>
        <v>-1288400</v>
      </c>
      <c r="J27" s="420">
        <f t="shared" ref="J27:T27" si="23">SUM(J29:J37)</f>
        <v>-2096548</v>
      </c>
      <c r="K27" s="420">
        <f t="shared" si="23"/>
        <v>-2944276</v>
      </c>
      <c r="L27" s="420">
        <f t="shared" si="23"/>
        <v>-814859</v>
      </c>
      <c r="M27" s="420">
        <f t="shared" si="23"/>
        <v>-1648679</v>
      </c>
      <c r="N27" s="420">
        <f t="shared" si="23"/>
        <v>-2542327</v>
      </c>
      <c r="O27" s="420">
        <f t="shared" si="23"/>
        <v>-3440874</v>
      </c>
      <c r="P27" s="420">
        <f t="shared" si="23"/>
        <v>-721157</v>
      </c>
      <c r="Q27" s="420">
        <f t="shared" si="23"/>
        <v>-1597800</v>
      </c>
      <c r="R27" s="420">
        <f t="shared" si="23"/>
        <v>-2506896</v>
      </c>
      <c r="S27" s="420">
        <f t="shared" si="23"/>
        <v>-3556897</v>
      </c>
      <c r="T27" s="420">
        <f t="shared" si="23"/>
        <v>-859739</v>
      </c>
      <c r="U27" s="741">
        <f>SUM(U29:U37)</f>
        <v>-1828867</v>
      </c>
      <c r="W27" s="420">
        <f t="shared" ref="W27:AC27" si="24">SUM(W29:W37)</f>
        <v>-814859</v>
      </c>
      <c r="X27" s="420">
        <f t="shared" si="24"/>
        <v>-833820</v>
      </c>
      <c r="Y27" s="420">
        <f t="shared" si="24"/>
        <v>-893648</v>
      </c>
      <c r="Z27" s="420">
        <f t="shared" si="24"/>
        <v>-898547</v>
      </c>
      <c r="AA27" s="420">
        <f t="shared" si="24"/>
        <v>-721157</v>
      </c>
      <c r="AB27" s="420">
        <f t="shared" si="24"/>
        <v>-876643</v>
      </c>
      <c r="AC27" s="420">
        <f t="shared" si="24"/>
        <v>-909096</v>
      </c>
      <c r="AD27" s="420">
        <f t="shared" ref="AD27:AE27" si="25">SUM(AD29:AD37)</f>
        <v>-1050001</v>
      </c>
      <c r="AE27" s="420">
        <f t="shared" si="25"/>
        <v>-859739</v>
      </c>
      <c r="AF27" s="741">
        <f>SUM(AF29:AF37)</f>
        <v>-969128</v>
      </c>
    </row>
    <row r="28" spans="1:32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</row>
    <row r="29" spans="1:32" outlineLevel="1">
      <c r="A29" s="418" t="s">
        <v>632</v>
      </c>
      <c r="B29" s="418" t="s">
        <v>632</v>
      </c>
      <c r="D29" s="423">
        <v>-449368</v>
      </c>
      <c r="E29" s="423">
        <v>-865978</v>
      </c>
      <c r="F29" s="423">
        <v>-1170189</v>
      </c>
      <c r="G29" s="423">
        <v>-1484427</v>
      </c>
      <c r="H29" s="423">
        <v>-291462</v>
      </c>
      <c r="I29" s="423">
        <v>-626994</v>
      </c>
      <c r="J29" s="423">
        <v>-1035631</v>
      </c>
      <c r="K29" s="423">
        <v>-1529778</v>
      </c>
      <c r="L29" s="423">
        <v>-438044</v>
      </c>
      <c r="M29" s="423">
        <v>-895529</v>
      </c>
      <c r="N29" s="423">
        <v>-1396729</v>
      </c>
      <c r="O29" s="423">
        <v>-1940146</v>
      </c>
      <c r="P29" s="423">
        <v>-411831</v>
      </c>
      <c r="Q29" s="423">
        <v>-879762</v>
      </c>
      <c r="R29" s="423">
        <v>-1388359</v>
      </c>
      <c r="S29" s="423">
        <v>-1948013</v>
      </c>
      <c r="T29" s="423">
        <v>-454062</v>
      </c>
      <c r="U29" s="423">
        <v>-958544</v>
      </c>
      <c r="W29" s="423">
        <f t="shared" ref="W29:W37" si="26">L29</f>
        <v>-438044</v>
      </c>
      <c r="X29" s="423">
        <f t="shared" ref="X29:X37" si="27">M29-W29</f>
        <v>-457485</v>
      </c>
      <c r="Y29" s="423">
        <f t="shared" ref="Y29:Y37" si="28">N29-M29</f>
        <v>-501200</v>
      </c>
      <c r="Z29" s="423">
        <f t="shared" ref="Z29:Z37" si="29">O29-N29</f>
        <v>-543417</v>
      </c>
      <c r="AA29" s="423">
        <f t="shared" ref="AA29:AA37" si="30">P29</f>
        <v>-411831</v>
      </c>
      <c r="AB29" s="423">
        <f t="shared" ref="AB29:AB37" si="31">Q29-P29</f>
        <v>-467931</v>
      </c>
      <c r="AC29" s="423">
        <f t="shared" ref="AC29:AC37" si="32">R29-Q29</f>
        <v>-508597</v>
      </c>
      <c r="AD29" s="423">
        <f t="shared" ref="AD29:AD37" si="33">S29-R29</f>
        <v>-559654</v>
      </c>
      <c r="AE29" s="423">
        <f t="shared" ref="AE29:AE37" si="34">T29</f>
        <v>-454062</v>
      </c>
      <c r="AF29" s="423">
        <f t="shared" ref="AF29:AF37" si="35">U29-T29</f>
        <v>-504482</v>
      </c>
    </row>
    <row r="30" spans="1:32" outlineLevel="1">
      <c r="A30" s="418" t="s">
        <v>633</v>
      </c>
      <c r="B30" s="418" t="s">
        <v>634</v>
      </c>
      <c r="D30" s="423">
        <v>-151274</v>
      </c>
      <c r="E30" s="423">
        <v>-312538</v>
      </c>
      <c r="F30" s="423">
        <v>-508694</v>
      </c>
      <c r="G30" s="423">
        <v>-678977</v>
      </c>
      <c r="H30" s="423">
        <v>-192129</v>
      </c>
      <c r="I30" s="423">
        <v>-356095</v>
      </c>
      <c r="J30" s="423">
        <v>-593894</v>
      </c>
      <c r="K30" s="423">
        <v>-769933</v>
      </c>
      <c r="L30" s="423">
        <v>-194176</v>
      </c>
      <c r="M30" s="423">
        <v>-387803</v>
      </c>
      <c r="N30" s="423">
        <v>-605648</v>
      </c>
      <c r="O30" s="423">
        <v>-838615</v>
      </c>
      <c r="P30" s="423">
        <v>-149629</v>
      </c>
      <c r="Q30" s="423">
        <v>-395777</v>
      </c>
      <c r="R30" s="423">
        <v>-589622</v>
      </c>
      <c r="S30" s="423">
        <v>-867038</v>
      </c>
      <c r="T30" s="423">
        <v>-179963</v>
      </c>
      <c r="U30" s="423">
        <v>-416948</v>
      </c>
      <c r="W30" s="423">
        <f t="shared" si="26"/>
        <v>-194176</v>
      </c>
      <c r="X30" s="423">
        <f t="shared" si="27"/>
        <v>-193627</v>
      </c>
      <c r="Y30" s="423">
        <f t="shared" si="28"/>
        <v>-217845</v>
      </c>
      <c r="Z30" s="423">
        <f t="shared" si="29"/>
        <v>-232967</v>
      </c>
      <c r="AA30" s="423">
        <f t="shared" si="30"/>
        <v>-149629</v>
      </c>
      <c r="AB30" s="423">
        <f t="shared" si="31"/>
        <v>-246148</v>
      </c>
      <c r="AC30" s="423">
        <f t="shared" si="32"/>
        <v>-193845</v>
      </c>
      <c r="AD30" s="423">
        <f t="shared" si="33"/>
        <v>-277416</v>
      </c>
      <c r="AE30" s="423">
        <f t="shared" si="34"/>
        <v>-179963</v>
      </c>
      <c r="AF30" s="423">
        <f t="shared" si="35"/>
        <v>-236985</v>
      </c>
    </row>
    <row r="31" spans="1:32" outlineLevel="1">
      <c r="A31" s="418" t="s">
        <v>635</v>
      </c>
      <c r="B31" s="418" t="s">
        <v>636</v>
      </c>
      <c r="D31" s="423">
        <v>0</v>
      </c>
      <c r="E31" s="423">
        <v>0</v>
      </c>
      <c r="F31" s="423">
        <v>0</v>
      </c>
      <c r="G31" s="423">
        <v>0</v>
      </c>
      <c r="H31" s="423">
        <v>0</v>
      </c>
      <c r="I31" s="423">
        <v>0</v>
      </c>
      <c r="J31" s="423">
        <v>0</v>
      </c>
      <c r="K31" s="423">
        <v>0</v>
      </c>
      <c r="L31" s="423">
        <v>0</v>
      </c>
      <c r="M31" s="423">
        <v>0</v>
      </c>
      <c r="N31" s="423">
        <v>0</v>
      </c>
      <c r="O31" s="423">
        <v>0</v>
      </c>
      <c r="P31" s="423">
        <v>0</v>
      </c>
      <c r="Q31" s="423">
        <v>0</v>
      </c>
      <c r="R31" s="423">
        <v>0</v>
      </c>
      <c r="S31" s="423">
        <v>0</v>
      </c>
      <c r="T31" s="423">
        <v>0</v>
      </c>
      <c r="U31" s="423">
        <v>0</v>
      </c>
      <c r="W31" s="423">
        <f t="shared" si="26"/>
        <v>0</v>
      </c>
      <c r="X31" s="423">
        <f t="shared" si="27"/>
        <v>0</v>
      </c>
      <c r="Y31" s="423">
        <f t="shared" si="28"/>
        <v>0</v>
      </c>
      <c r="Z31" s="423">
        <f t="shared" si="29"/>
        <v>0</v>
      </c>
      <c r="AA31" s="423">
        <f t="shared" si="30"/>
        <v>0</v>
      </c>
      <c r="AB31" s="423">
        <f t="shared" si="31"/>
        <v>0</v>
      </c>
      <c r="AC31" s="423">
        <f t="shared" si="32"/>
        <v>0</v>
      </c>
      <c r="AD31" s="423">
        <f t="shared" si="33"/>
        <v>0</v>
      </c>
      <c r="AE31" s="423">
        <f t="shared" si="34"/>
        <v>0</v>
      </c>
      <c r="AF31" s="423">
        <f t="shared" si="35"/>
        <v>0</v>
      </c>
    </row>
    <row r="32" spans="1:32" outlineLevel="1">
      <c r="A32" s="418" t="s">
        <v>637</v>
      </c>
      <c r="B32" s="418" t="s">
        <v>638</v>
      </c>
      <c r="D32" s="423">
        <v>0</v>
      </c>
      <c r="E32" s="423">
        <v>0</v>
      </c>
      <c r="F32" s="423">
        <v>0</v>
      </c>
      <c r="G32" s="423">
        <v>0</v>
      </c>
      <c r="H32" s="423">
        <v>0</v>
      </c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>
        <v>0</v>
      </c>
      <c r="T32" s="423">
        <v>0</v>
      </c>
      <c r="U32" s="423">
        <v>0</v>
      </c>
      <c r="W32" s="423">
        <f t="shared" si="26"/>
        <v>0</v>
      </c>
      <c r="X32" s="423">
        <f t="shared" si="27"/>
        <v>0</v>
      </c>
      <c r="Y32" s="423">
        <f t="shared" si="28"/>
        <v>0</v>
      </c>
      <c r="Z32" s="423">
        <f t="shared" si="29"/>
        <v>0</v>
      </c>
      <c r="AA32" s="423">
        <f t="shared" si="30"/>
        <v>0</v>
      </c>
      <c r="AB32" s="423">
        <f t="shared" si="31"/>
        <v>0</v>
      </c>
      <c r="AC32" s="423">
        <f t="shared" si="32"/>
        <v>0</v>
      </c>
      <c r="AD32" s="423">
        <f t="shared" si="33"/>
        <v>0</v>
      </c>
      <c r="AE32" s="423">
        <f t="shared" si="34"/>
        <v>0</v>
      </c>
      <c r="AF32" s="423">
        <f t="shared" si="35"/>
        <v>0</v>
      </c>
    </row>
    <row r="33" spans="1:32" outlineLevel="1">
      <c r="A33" s="418" t="s">
        <v>639</v>
      </c>
      <c r="B33" s="418" t="s">
        <v>640</v>
      </c>
      <c r="D33" s="423">
        <v>-13512</v>
      </c>
      <c r="E33" s="423">
        <v>-27828</v>
      </c>
      <c r="F33" s="423">
        <v>-43568</v>
      </c>
      <c r="G33" s="423">
        <v>-60517</v>
      </c>
      <c r="H33" s="423">
        <v>-16033</v>
      </c>
      <c r="I33" s="423">
        <v>-32841</v>
      </c>
      <c r="J33" s="423">
        <v>-52386</v>
      </c>
      <c r="K33" s="423">
        <v>-79196</v>
      </c>
      <c r="L33" s="423">
        <v>-16473</v>
      </c>
      <c r="M33" s="423">
        <v>-35025</v>
      </c>
      <c r="N33" s="423">
        <v>-56698</v>
      </c>
      <c r="O33" s="423">
        <v>-77331</v>
      </c>
      <c r="P33" s="423">
        <v>-17918</v>
      </c>
      <c r="Q33" s="423">
        <v>-38532</v>
      </c>
      <c r="R33" s="423">
        <v>-60223</v>
      </c>
      <c r="S33" s="423">
        <v>-82333</v>
      </c>
      <c r="T33" s="423">
        <v>-20060</v>
      </c>
      <c r="U33" s="423">
        <v>-43547</v>
      </c>
      <c r="W33" s="423">
        <f t="shared" si="26"/>
        <v>-16473</v>
      </c>
      <c r="X33" s="423">
        <f t="shared" si="27"/>
        <v>-18552</v>
      </c>
      <c r="Y33" s="423">
        <f t="shared" si="28"/>
        <v>-21673</v>
      </c>
      <c r="Z33" s="423">
        <f t="shared" si="29"/>
        <v>-20633</v>
      </c>
      <c r="AA33" s="423">
        <f t="shared" si="30"/>
        <v>-17918</v>
      </c>
      <c r="AB33" s="423">
        <f t="shared" si="31"/>
        <v>-20614</v>
      </c>
      <c r="AC33" s="423">
        <f t="shared" si="32"/>
        <v>-21691</v>
      </c>
      <c r="AD33" s="423">
        <f t="shared" si="33"/>
        <v>-22110</v>
      </c>
      <c r="AE33" s="423">
        <f t="shared" si="34"/>
        <v>-20060</v>
      </c>
      <c r="AF33" s="423">
        <f t="shared" si="35"/>
        <v>-23487</v>
      </c>
    </row>
    <row r="34" spans="1:32" outlineLevel="1">
      <c r="A34" s="418" t="s">
        <v>798</v>
      </c>
      <c r="B34" s="418" t="s">
        <v>642</v>
      </c>
      <c r="D34" s="423">
        <v>-2402</v>
      </c>
      <c r="E34" s="423">
        <v>-4803</v>
      </c>
      <c r="F34" s="423">
        <v>-7475</v>
      </c>
      <c r="G34" s="423">
        <v>-10281</v>
      </c>
      <c r="H34" s="423">
        <v>-2806</v>
      </c>
      <c r="I34" s="423">
        <v>-5613</v>
      </c>
      <c r="J34" s="423">
        <v>-8338</v>
      </c>
      <c r="K34" s="423">
        <v>-11023</v>
      </c>
      <c r="L34" s="423">
        <v>-2685</v>
      </c>
      <c r="M34" s="423">
        <v>-5370</v>
      </c>
      <c r="N34" s="423">
        <v>-8139</v>
      </c>
      <c r="O34" s="423">
        <v>-11075</v>
      </c>
      <c r="P34" s="423">
        <v>-2936</v>
      </c>
      <c r="Q34" s="423">
        <v>-5873</v>
      </c>
      <c r="R34" s="423">
        <v>-8781</v>
      </c>
      <c r="S34" s="423">
        <v>-11632</v>
      </c>
      <c r="T34" s="423">
        <v>-2851</v>
      </c>
      <c r="U34" s="423">
        <v>-5702</v>
      </c>
      <c r="W34" s="423">
        <f t="shared" si="26"/>
        <v>-2685</v>
      </c>
      <c r="X34" s="423">
        <f t="shared" si="27"/>
        <v>-2685</v>
      </c>
      <c r="Y34" s="423">
        <f t="shared" si="28"/>
        <v>-2769</v>
      </c>
      <c r="Z34" s="423">
        <f t="shared" si="29"/>
        <v>-2936</v>
      </c>
      <c r="AA34" s="423">
        <f t="shared" si="30"/>
        <v>-2936</v>
      </c>
      <c r="AB34" s="423">
        <f t="shared" si="31"/>
        <v>-2937</v>
      </c>
      <c r="AC34" s="423">
        <f t="shared" si="32"/>
        <v>-2908</v>
      </c>
      <c r="AD34" s="423">
        <f t="shared" si="33"/>
        <v>-2851</v>
      </c>
      <c r="AE34" s="423">
        <f t="shared" si="34"/>
        <v>-2851</v>
      </c>
      <c r="AF34" s="423">
        <f t="shared" si="35"/>
        <v>-2851</v>
      </c>
    </row>
    <row r="35" spans="1:32" outlineLevel="1">
      <c r="A35" s="418" t="s">
        <v>643</v>
      </c>
      <c r="B35" s="418" t="s">
        <v>644</v>
      </c>
      <c r="D35" s="423">
        <v>-119622</v>
      </c>
      <c r="E35" s="423">
        <v>-237651</v>
      </c>
      <c r="F35" s="423">
        <v>-354884</v>
      </c>
      <c r="G35" s="423">
        <v>-472116</v>
      </c>
      <c r="H35" s="423">
        <v>-124744</v>
      </c>
      <c r="I35" s="423">
        <v>-249109</v>
      </c>
      <c r="J35" s="423">
        <v>-381923</v>
      </c>
      <c r="K35" s="423">
        <v>-518961</v>
      </c>
      <c r="L35" s="423">
        <v>-152761</v>
      </c>
      <c r="M35" s="423">
        <v>-305522</v>
      </c>
      <c r="N35" s="423">
        <v>-445694</v>
      </c>
      <c r="O35" s="423">
        <v>-527666</v>
      </c>
      <c r="P35" s="423">
        <v>-124853</v>
      </c>
      <c r="Q35" s="423">
        <v>-249705</v>
      </c>
      <c r="R35" s="423">
        <v>-409753</v>
      </c>
      <c r="S35" s="423">
        <v>-587399</v>
      </c>
      <c r="T35" s="423">
        <v>-192163</v>
      </c>
      <c r="U35" s="423">
        <v>-384326</v>
      </c>
      <c r="W35" s="423">
        <f t="shared" si="26"/>
        <v>-152761</v>
      </c>
      <c r="X35" s="423">
        <f t="shared" si="27"/>
        <v>-152761</v>
      </c>
      <c r="Y35" s="423">
        <f t="shared" si="28"/>
        <v>-140172</v>
      </c>
      <c r="Z35" s="423">
        <f t="shared" si="29"/>
        <v>-81972</v>
      </c>
      <c r="AA35" s="423">
        <f t="shared" si="30"/>
        <v>-124853</v>
      </c>
      <c r="AB35" s="423">
        <f t="shared" si="31"/>
        <v>-124852</v>
      </c>
      <c r="AC35" s="423">
        <f t="shared" si="32"/>
        <v>-160048</v>
      </c>
      <c r="AD35" s="423">
        <f t="shared" si="33"/>
        <v>-177646</v>
      </c>
      <c r="AE35" s="423">
        <f t="shared" si="34"/>
        <v>-192163</v>
      </c>
      <c r="AF35" s="423">
        <f t="shared" si="35"/>
        <v>-192163</v>
      </c>
    </row>
    <row r="36" spans="1:32" outlineLevel="1">
      <c r="A36" s="418" t="s">
        <v>645</v>
      </c>
      <c r="B36" s="418" t="s">
        <v>645</v>
      </c>
      <c r="D36" s="423">
        <v>-330</v>
      </c>
      <c r="E36" s="423">
        <v>-707</v>
      </c>
      <c r="F36" s="423">
        <v>-1114</v>
      </c>
      <c r="G36" s="423">
        <v>-1572</v>
      </c>
      <c r="H36" s="423">
        <v>-364</v>
      </c>
      <c r="I36" s="423">
        <v>-762</v>
      </c>
      <c r="J36" s="423">
        <v>-1238</v>
      </c>
      <c r="K36" s="423">
        <v>-1712</v>
      </c>
      <c r="L36" s="423">
        <v>-421</v>
      </c>
      <c r="M36" s="423">
        <v>-783</v>
      </c>
      <c r="N36" s="423">
        <v>-1159</v>
      </c>
      <c r="O36" s="423">
        <v>-1536</v>
      </c>
      <c r="P36" s="423">
        <v>-334</v>
      </c>
      <c r="Q36" s="423">
        <v>-631</v>
      </c>
      <c r="R36" s="423">
        <v>-949</v>
      </c>
      <c r="S36" s="423">
        <v>-1298</v>
      </c>
      <c r="T36" s="423">
        <v>-340</v>
      </c>
      <c r="U36" s="423">
        <v>-493</v>
      </c>
      <c r="W36" s="423">
        <f t="shared" si="26"/>
        <v>-421</v>
      </c>
      <c r="X36" s="423">
        <f t="shared" si="27"/>
        <v>-362</v>
      </c>
      <c r="Y36" s="423">
        <f t="shared" si="28"/>
        <v>-376</v>
      </c>
      <c r="Z36" s="423">
        <f t="shared" si="29"/>
        <v>-377</v>
      </c>
      <c r="AA36" s="423">
        <f t="shared" si="30"/>
        <v>-334</v>
      </c>
      <c r="AB36" s="423">
        <f t="shared" si="31"/>
        <v>-297</v>
      </c>
      <c r="AC36" s="423">
        <f t="shared" si="32"/>
        <v>-318</v>
      </c>
      <c r="AD36" s="423">
        <f t="shared" si="33"/>
        <v>-349</v>
      </c>
      <c r="AE36" s="423">
        <f t="shared" si="34"/>
        <v>-340</v>
      </c>
      <c r="AF36" s="423">
        <f t="shared" si="35"/>
        <v>-153</v>
      </c>
    </row>
    <row r="37" spans="1:32" outlineLevel="1">
      <c r="A37" s="418" t="s">
        <v>95</v>
      </c>
      <c r="B37" s="418" t="s">
        <v>96</v>
      </c>
      <c r="D37" s="423">
        <v>-13175</v>
      </c>
      <c r="E37" s="423">
        <v>-26581</v>
      </c>
      <c r="F37" s="423">
        <v>-31504</v>
      </c>
      <c r="G37" s="423">
        <v>-40684</v>
      </c>
      <c r="H37" s="423">
        <v>-8486</v>
      </c>
      <c r="I37" s="423">
        <v>-16986</v>
      </c>
      <c r="J37" s="423">
        <v>-23138</v>
      </c>
      <c r="K37" s="423">
        <v>-33673</v>
      </c>
      <c r="L37" s="423">
        <v>-10299</v>
      </c>
      <c r="M37" s="423">
        <v>-18647</v>
      </c>
      <c r="N37" s="423">
        <v>-28260</v>
      </c>
      <c r="O37" s="423">
        <v>-44505</v>
      </c>
      <c r="P37" s="423">
        <v>-13656</v>
      </c>
      <c r="Q37" s="423">
        <v>-27520</v>
      </c>
      <c r="R37" s="423">
        <v>-49209</v>
      </c>
      <c r="S37" s="423">
        <v>-59184</v>
      </c>
      <c r="T37" s="423">
        <v>-10300</v>
      </c>
      <c r="U37" s="423">
        <v>-19307</v>
      </c>
      <c r="W37" s="423">
        <f t="shared" si="26"/>
        <v>-10299</v>
      </c>
      <c r="X37" s="423">
        <f t="shared" si="27"/>
        <v>-8348</v>
      </c>
      <c r="Y37" s="423">
        <f t="shared" si="28"/>
        <v>-9613</v>
      </c>
      <c r="Z37" s="423">
        <f t="shared" si="29"/>
        <v>-16245</v>
      </c>
      <c r="AA37" s="423">
        <f t="shared" si="30"/>
        <v>-13656</v>
      </c>
      <c r="AB37" s="423">
        <f t="shared" si="31"/>
        <v>-13864</v>
      </c>
      <c r="AC37" s="423">
        <f t="shared" si="32"/>
        <v>-21689</v>
      </c>
      <c r="AD37" s="423">
        <f t="shared" si="33"/>
        <v>-9975</v>
      </c>
      <c r="AE37" s="423">
        <f t="shared" si="34"/>
        <v>-10300</v>
      </c>
      <c r="AF37" s="423">
        <f t="shared" si="35"/>
        <v>-9007</v>
      </c>
    </row>
    <row r="38" spans="1:32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</row>
    <row r="39" spans="1:32">
      <c r="A39" s="429" t="s">
        <v>646</v>
      </c>
      <c r="B39" s="429" t="s">
        <v>647</v>
      </c>
      <c r="D39" s="420">
        <f t="shared" ref="D39:I39" si="36">D27+D6</f>
        <v>1870704</v>
      </c>
      <c r="E39" s="420">
        <f t="shared" si="36"/>
        <v>4012507</v>
      </c>
      <c r="F39" s="420">
        <f t="shared" si="36"/>
        <v>6073171</v>
      </c>
      <c r="G39" s="420">
        <f t="shared" si="36"/>
        <v>8513222</v>
      </c>
      <c r="H39" s="420">
        <f t="shared" si="36"/>
        <v>2333956</v>
      </c>
      <c r="I39" s="420">
        <f t="shared" si="36"/>
        <v>4743886</v>
      </c>
      <c r="J39" s="420">
        <f t="shared" ref="J39:T39" si="37">J27+J6</f>
        <v>7523063</v>
      </c>
      <c r="K39" s="420">
        <f t="shared" si="37"/>
        <v>10378384</v>
      </c>
      <c r="L39" s="420">
        <f t="shared" si="37"/>
        <v>2394429</v>
      </c>
      <c r="M39" s="420">
        <f t="shared" si="37"/>
        <v>4971312</v>
      </c>
      <c r="N39" s="420">
        <f t="shared" si="37"/>
        <v>7876359</v>
      </c>
      <c r="O39" s="420">
        <f t="shared" si="37"/>
        <v>10861897</v>
      </c>
      <c r="P39" s="420">
        <f t="shared" si="37"/>
        <v>2694964</v>
      </c>
      <c r="Q39" s="420">
        <f t="shared" si="37"/>
        <v>5707792</v>
      </c>
      <c r="R39" s="420">
        <f t="shared" si="37"/>
        <v>8917069</v>
      </c>
      <c r="S39" s="420">
        <f t="shared" si="37"/>
        <v>12223744</v>
      </c>
      <c r="T39" s="420">
        <f t="shared" si="37"/>
        <v>3013408</v>
      </c>
      <c r="U39" s="741">
        <f>U27+U6</f>
        <v>6253783</v>
      </c>
      <c r="W39" s="420">
        <f t="shared" ref="W39:AC39" si="38">W27+W6</f>
        <v>2394429</v>
      </c>
      <c r="X39" s="420">
        <f t="shared" si="38"/>
        <v>2576883</v>
      </c>
      <c r="Y39" s="420">
        <f t="shared" si="38"/>
        <v>2905047</v>
      </c>
      <c r="Z39" s="420">
        <f t="shared" si="38"/>
        <v>2985538</v>
      </c>
      <c r="AA39" s="420">
        <f t="shared" si="38"/>
        <v>2694964</v>
      </c>
      <c r="AB39" s="420">
        <f t="shared" si="38"/>
        <v>3012828</v>
      </c>
      <c r="AC39" s="420">
        <f t="shared" si="38"/>
        <v>3209277</v>
      </c>
      <c r="AD39" s="420">
        <f t="shared" ref="AD39:AE39" si="39">AD27+AD6</f>
        <v>3306675</v>
      </c>
      <c r="AE39" s="420">
        <f t="shared" si="39"/>
        <v>3013408</v>
      </c>
      <c r="AF39" s="741">
        <f>AF27+AF6</f>
        <v>3240375</v>
      </c>
    </row>
    <row r="40" spans="1:32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</row>
    <row r="41" spans="1:32">
      <c r="A41" s="416" t="s">
        <v>648</v>
      </c>
      <c r="B41" s="416" t="s">
        <v>649</v>
      </c>
      <c r="D41" s="424">
        <f t="shared" ref="D41:I41" si="40">SUM(D43:D49)</f>
        <v>-1214615</v>
      </c>
      <c r="E41" s="424">
        <f t="shared" si="40"/>
        <v>-2544566</v>
      </c>
      <c r="F41" s="424">
        <f t="shared" si="40"/>
        <v>-4000301</v>
      </c>
      <c r="G41" s="424">
        <f t="shared" si="40"/>
        <v>-5588277</v>
      </c>
      <c r="H41" s="424">
        <f t="shared" si="40"/>
        <v>-1662600</v>
      </c>
      <c r="I41" s="424">
        <f t="shared" si="40"/>
        <v>-3198367</v>
      </c>
      <c r="J41" s="424">
        <f t="shared" ref="J41:T41" si="41">SUM(J43:J49)</f>
        <v>-4877064</v>
      </c>
      <c r="K41" s="424">
        <f t="shared" si="41"/>
        <v>-6869485</v>
      </c>
      <c r="L41" s="424">
        <f t="shared" si="41"/>
        <v>-1581708</v>
      </c>
      <c r="M41" s="424">
        <f t="shared" si="41"/>
        <v>-3272536</v>
      </c>
      <c r="N41" s="424">
        <f t="shared" si="41"/>
        <v>-5267952</v>
      </c>
      <c r="O41" s="424">
        <f t="shared" si="41"/>
        <v>-7404763</v>
      </c>
      <c r="P41" s="424">
        <f t="shared" si="41"/>
        <v>-1871976</v>
      </c>
      <c r="Q41" s="424">
        <f t="shared" si="41"/>
        <v>-4118916</v>
      </c>
      <c r="R41" s="424">
        <f t="shared" si="41"/>
        <v>-6450224</v>
      </c>
      <c r="S41" s="424">
        <f t="shared" si="41"/>
        <v>-8846555</v>
      </c>
      <c r="T41" s="424">
        <f t="shared" si="41"/>
        <v>-2073370</v>
      </c>
      <c r="U41" s="424">
        <f>SUM(U43:U49)</f>
        <v>-4377227</v>
      </c>
      <c r="W41" s="424">
        <f t="shared" ref="W41:AC41" si="42">SUM(W43:W49)</f>
        <v>-1581708</v>
      </c>
      <c r="X41" s="424">
        <f t="shared" si="42"/>
        <v>-1690828</v>
      </c>
      <c r="Y41" s="424">
        <f t="shared" si="42"/>
        <v>-1995416</v>
      </c>
      <c r="Z41" s="424">
        <f t="shared" si="42"/>
        <v>-2136811</v>
      </c>
      <c r="AA41" s="424">
        <f t="shared" si="42"/>
        <v>-1871976</v>
      </c>
      <c r="AB41" s="424">
        <f t="shared" si="42"/>
        <v>-2246940</v>
      </c>
      <c r="AC41" s="424">
        <f t="shared" si="42"/>
        <v>-2331308</v>
      </c>
      <c r="AD41" s="424">
        <f t="shared" ref="AD41:AE41" si="43">SUM(AD43:AD49)</f>
        <v>-2396331</v>
      </c>
      <c r="AE41" s="424">
        <f t="shared" si="43"/>
        <v>-2073370</v>
      </c>
      <c r="AF41" s="424">
        <f>SUM(AF43:AF49)</f>
        <v>-1822430</v>
      </c>
    </row>
    <row r="42" spans="1:32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</row>
    <row r="43" spans="1:32">
      <c r="A43" s="417" t="s">
        <v>650</v>
      </c>
      <c r="B43" s="417" t="s">
        <v>651</v>
      </c>
      <c r="D43" s="422">
        <v>-735511</v>
      </c>
      <c r="E43" s="422">
        <v>-1468504</v>
      </c>
      <c r="F43" s="422">
        <v>-2272614</v>
      </c>
      <c r="G43" s="422">
        <v>-3118443</v>
      </c>
      <c r="H43" s="422">
        <v>-853306</v>
      </c>
      <c r="I43" s="422">
        <v>-1725753</v>
      </c>
      <c r="J43" s="422">
        <v>-2621027</v>
      </c>
      <c r="K43" s="422">
        <v>-3627368</v>
      </c>
      <c r="L43" s="422">
        <v>-866641</v>
      </c>
      <c r="M43" s="422">
        <v>-1812782</v>
      </c>
      <c r="N43" s="422">
        <v>-2981073</v>
      </c>
      <c r="O43" s="422">
        <v>-4118927</v>
      </c>
      <c r="P43" s="422">
        <v>-937322</v>
      </c>
      <c r="Q43" s="422">
        <v>-1977886</v>
      </c>
      <c r="R43" s="422">
        <v>-3194800</v>
      </c>
      <c r="S43" s="422">
        <v>-4399380</v>
      </c>
      <c r="T43" s="422">
        <v>-1046016</v>
      </c>
      <c r="U43" s="422">
        <v>-1866675</v>
      </c>
      <c r="W43" s="422">
        <f>L43</f>
        <v>-866641</v>
      </c>
      <c r="X43" s="422">
        <f>M43-W43</f>
        <v>-946141</v>
      </c>
      <c r="Y43" s="422">
        <f>N43-M43</f>
        <v>-1168291</v>
      </c>
      <c r="Z43" s="422">
        <f>O43-N43</f>
        <v>-1137854</v>
      </c>
      <c r="AA43" s="422">
        <f>P43</f>
        <v>-937322</v>
      </c>
      <c r="AB43" s="422">
        <f>Q43-P43</f>
        <v>-1040564</v>
      </c>
      <c r="AC43" s="422">
        <f>R43-Q43</f>
        <v>-1216914</v>
      </c>
      <c r="AD43" s="422">
        <f>S43-R43</f>
        <v>-1204580</v>
      </c>
      <c r="AE43" s="422">
        <f>T43</f>
        <v>-1046016</v>
      </c>
      <c r="AF43" s="422">
        <f>U43-T43</f>
        <v>-820659</v>
      </c>
    </row>
    <row r="44" spans="1:32">
      <c r="A44" s="417" t="s">
        <v>2498</v>
      </c>
      <c r="B44" s="417" t="s">
        <v>2499</v>
      </c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>
        <v>-481427</v>
      </c>
      <c r="W44" s="422"/>
      <c r="X44" s="422"/>
      <c r="Y44" s="422"/>
      <c r="Z44" s="422"/>
      <c r="AA44" s="422"/>
      <c r="AB44" s="422"/>
      <c r="AC44" s="422"/>
      <c r="AD44" s="422"/>
      <c r="AE44" s="422"/>
      <c r="AF44" s="422"/>
    </row>
    <row r="45" spans="1:32">
      <c r="A45" s="417" t="s">
        <v>652</v>
      </c>
      <c r="B45" s="417" t="s">
        <v>653</v>
      </c>
      <c r="D45" s="422">
        <v>-334357</v>
      </c>
      <c r="E45" s="422">
        <v>-775002</v>
      </c>
      <c r="F45" s="422">
        <v>-1272350</v>
      </c>
      <c r="G45" s="422">
        <v>-1836399</v>
      </c>
      <c r="H45" s="422">
        <v>-614464</v>
      </c>
      <c r="I45" s="422">
        <v>-1092161</v>
      </c>
      <c r="J45" s="422">
        <v>-1696083</v>
      </c>
      <c r="K45" s="422">
        <v>-2469462</v>
      </c>
      <c r="L45" s="422">
        <v>-520677</v>
      </c>
      <c r="M45" s="422">
        <v>-1083978</v>
      </c>
      <c r="N45" s="422">
        <v>-1775331</v>
      </c>
      <c r="O45" s="422">
        <v>-2604300</v>
      </c>
      <c r="P45" s="422">
        <v>-719799</v>
      </c>
      <c r="Q45" s="422">
        <v>-1575963</v>
      </c>
      <c r="R45" s="422">
        <v>-2496137</v>
      </c>
      <c r="S45" s="422">
        <v>-3468594</v>
      </c>
      <c r="T45" s="422">
        <v>-786701</v>
      </c>
      <c r="U45" s="422">
        <v>-1502754</v>
      </c>
      <c r="W45" s="422">
        <f>L45</f>
        <v>-520677</v>
      </c>
      <c r="X45" s="422">
        <f>M45-W45</f>
        <v>-563301</v>
      </c>
      <c r="Y45" s="422">
        <f t="shared" ref="Y45:Z48" si="44">N45-M45</f>
        <v>-691353</v>
      </c>
      <c r="Z45" s="422">
        <f t="shared" si="44"/>
        <v>-828969</v>
      </c>
      <c r="AA45" s="422">
        <f>P45</f>
        <v>-719799</v>
      </c>
      <c r="AB45" s="422">
        <f t="shared" ref="AB45:AD48" si="45">Q45-P45</f>
        <v>-856164</v>
      </c>
      <c r="AC45" s="422">
        <f t="shared" si="45"/>
        <v>-920174</v>
      </c>
      <c r="AD45" s="422">
        <f t="shared" si="45"/>
        <v>-972457</v>
      </c>
      <c r="AE45" s="422">
        <f>T45</f>
        <v>-786701</v>
      </c>
      <c r="AF45" s="422">
        <f>U45-T45</f>
        <v>-716053</v>
      </c>
    </row>
    <row r="46" spans="1:32">
      <c r="A46" s="417" t="s">
        <v>654</v>
      </c>
      <c r="B46" s="417" t="s">
        <v>655</v>
      </c>
      <c r="D46" s="422">
        <v>0</v>
      </c>
      <c r="E46" s="422">
        <v>0</v>
      </c>
      <c r="F46" s="422">
        <v>0</v>
      </c>
      <c r="G46" s="422">
        <v>0</v>
      </c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>
        <v>0</v>
      </c>
      <c r="T46" s="422">
        <v>0</v>
      </c>
      <c r="U46" s="422">
        <v>0</v>
      </c>
      <c r="W46" s="422">
        <f>L46</f>
        <v>0</v>
      </c>
      <c r="X46" s="422">
        <f>M46-W46</f>
        <v>0</v>
      </c>
      <c r="Y46" s="422">
        <f t="shared" si="44"/>
        <v>0</v>
      </c>
      <c r="Z46" s="422">
        <f t="shared" si="44"/>
        <v>0</v>
      </c>
      <c r="AA46" s="422">
        <f>P46</f>
        <v>0</v>
      </c>
      <c r="AB46" s="422">
        <f t="shared" si="45"/>
        <v>0</v>
      </c>
      <c r="AC46" s="422">
        <f t="shared" si="45"/>
        <v>0</v>
      </c>
      <c r="AD46" s="422">
        <f t="shared" si="45"/>
        <v>0</v>
      </c>
      <c r="AE46" s="422">
        <f>T46</f>
        <v>0</v>
      </c>
      <c r="AF46" s="422">
        <f>U46-T46</f>
        <v>0</v>
      </c>
    </row>
    <row r="47" spans="1:32">
      <c r="A47" s="417" t="s">
        <v>656</v>
      </c>
      <c r="B47" s="417" t="s">
        <v>657</v>
      </c>
      <c r="D47" s="422">
        <v>0</v>
      </c>
      <c r="E47" s="422">
        <v>0</v>
      </c>
      <c r="F47" s="422">
        <v>0</v>
      </c>
      <c r="G47" s="422">
        <v>0</v>
      </c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>
        <v>0</v>
      </c>
      <c r="T47" s="422">
        <v>0</v>
      </c>
      <c r="U47" s="422">
        <v>0</v>
      </c>
      <c r="W47" s="422">
        <f>L47</f>
        <v>0</v>
      </c>
      <c r="X47" s="422">
        <f>M47-W47</f>
        <v>0</v>
      </c>
      <c r="Y47" s="422">
        <f t="shared" si="44"/>
        <v>0</v>
      </c>
      <c r="Z47" s="422">
        <f t="shared" si="44"/>
        <v>0</v>
      </c>
      <c r="AA47" s="422">
        <f>P47</f>
        <v>0</v>
      </c>
      <c r="AB47" s="422">
        <f t="shared" si="45"/>
        <v>0</v>
      </c>
      <c r="AC47" s="422">
        <f t="shared" si="45"/>
        <v>0</v>
      </c>
      <c r="AD47" s="422">
        <f t="shared" si="45"/>
        <v>0</v>
      </c>
      <c r="AE47" s="422">
        <f>T47</f>
        <v>0</v>
      </c>
      <c r="AF47" s="422">
        <f>U47-T47</f>
        <v>0</v>
      </c>
    </row>
    <row r="48" spans="1:32">
      <c r="A48" s="417" t="s">
        <v>799</v>
      </c>
      <c r="B48" s="417" t="s">
        <v>800</v>
      </c>
      <c r="D48" s="422">
        <v>0</v>
      </c>
      <c r="E48" s="422">
        <v>0</v>
      </c>
      <c r="F48" s="422">
        <v>0</v>
      </c>
      <c r="G48" s="422">
        <v>0</v>
      </c>
      <c r="H48" s="422">
        <v>0</v>
      </c>
      <c r="I48" s="422">
        <v>0</v>
      </c>
      <c r="J48" s="422">
        <v>0</v>
      </c>
      <c r="K48" s="422">
        <v>0</v>
      </c>
      <c r="L48" s="422">
        <v>0</v>
      </c>
      <c r="M48" s="422">
        <v>0</v>
      </c>
      <c r="N48" s="422">
        <v>0</v>
      </c>
      <c r="O48" s="422">
        <v>0</v>
      </c>
      <c r="P48" s="422">
        <v>0</v>
      </c>
      <c r="Q48" s="422">
        <v>0</v>
      </c>
      <c r="R48" s="422">
        <v>0</v>
      </c>
      <c r="S48" s="422">
        <v>0</v>
      </c>
      <c r="T48" s="422">
        <v>0</v>
      </c>
      <c r="U48" s="422">
        <v>0</v>
      </c>
      <c r="W48" s="422">
        <f>L48</f>
        <v>0</v>
      </c>
      <c r="X48" s="422">
        <f>M48-W48</f>
        <v>0</v>
      </c>
      <c r="Y48" s="422">
        <f t="shared" si="44"/>
        <v>0</v>
      </c>
      <c r="Z48" s="422">
        <f t="shared" si="44"/>
        <v>0</v>
      </c>
      <c r="AA48" s="422">
        <f>P48</f>
        <v>0</v>
      </c>
      <c r="AB48" s="422">
        <f t="shared" si="45"/>
        <v>0</v>
      </c>
      <c r="AC48" s="422">
        <f t="shared" si="45"/>
        <v>0</v>
      </c>
      <c r="AD48" s="422">
        <f t="shared" si="45"/>
        <v>0</v>
      </c>
      <c r="AE48" s="422">
        <f>T48</f>
        <v>0</v>
      </c>
      <c r="AF48" s="422">
        <f>U48-T48</f>
        <v>0</v>
      </c>
    </row>
    <row r="49" spans="1:32">
      <c r="A49" s="417" t="s">
        <v>660</v>
      </c>
      <c r="B49" s="417" t="s">
        <v>661</v>
      </c>
      <c r="D49" s="422">
        <f t="shared" ref="D49:I49" si="46">SUM(D50:D56)</f>
        <v>-144747</v>
      </c>
      <c r="E49" s="422">
        <f t="shared" si="46"/>
        <v>-301060</v>
      </c>
      <c r="F49" s="422">
        <f t="shared" si="46"/>
        <v>-455337</v>
      </c>
      <c r="G49" s="422">
        <f t="shared" si="46"/>
        <v>-633435</v>
      </c>
      <c r="H49" s="422">
        <f t="shared" si="46"/>
        <v>-194830</v>
      </c>
      <c r="I49" s="422">
        <f t="shared" si="46"/>
        <v>-380453</v>
      </c>
      <c r="J49" s="422">
        <f t="shared" ref="J49:T49" si="47">SUM(J50:J56)</f>
        <v>-559954</v>
      </c>
      <c r="K49" s="422">
        <f t="shared" si="47"/>
        <v>-772655</v>
      </c>
      <c r="L49" s="422">
        <f t="shared" si="47"/>
        <v>-194390</v>
      </c>
      <c r="M49" s="422">
        <f t="shared" si="47"/>
        <v>-375776</v>
      </c>
      <c r="N49" s="422">
        <f t="shared" si="47"/>
        <v>-511548</v>
      </c>
      <c r="O49" s="422">
        <f t="shared" si="47"/>
        <v>-681536</v>
      </c>
      <c r="P49" s="422">
        <f t="shared" si="47"/>
        <v>-214855</v>
      </c>
      <c r="Q49" s="422">
        <f t="shared" si="47"/>
        <v>-565067</v>
      </c>
      <c r="R49" s="422">
        <f t="shared" si="47"/>
        <v>-759287</v>
      </c>
      <c r="S49" s="422">
        <f t="shared" si="47"/>
        <v>-978581</v>
      </c>
      <c r="T49" s="422">
        <f t="shared" si="47"/>
        <v>-240653</v>
      </c>
      <c r="U49" s="422">
        <f>SUM(U50:U56)</f>
        <v>-526371</v>
      </c>
      <c r="W49" s="422">
        <f t="shared" ref="W49:AC49" si="48">SUM(W50:W56)</f>
        <v>-194390</v>
      </c>
      <c r="X49" s="422">
        <f t="shared" si="48"/>
        <v>-181386</v>
      </c>
      <c r="Y49" s="422">
        <f t="shared" si="48"/>
        <v>-135772</v>
      </c>
      <c r="Z49" s="422">
        <f t="shared" si="48"/>
        <v>-169988</v>
      </c>
      <c r="AA49" s="422">
        <f t="shared" si="48"/>
        <v>-214855</v>
      </c>
      <c r="AB49" s="422">
        <f t="shared" si="48"/>
        <v>-350212</v>
      </c>
      <c r="AC49" s="422">
        <f t="shared" si="48"/>
        <v>-194220</v>
      </c>
      <c r="AD49" s="422">
        <f t="shared" ref="AD49:AE49" si="49">SUM(AD50:AD56)</f>
        <v>-219294</v>
      </c>
      <c r="AE49" s="422">
        <f t="shared" si="49"/>
        <v>-240653</v>
      </c>
      <c r="AF49" s="422">
        <f>SUM(AF50:AF56)</f>
        <v>-285718</v>
      </c>
    </row>
    <row r="50" spans="1:32" outlineLevel="1">
      <c r="A50" s="418" t="s">
        <v>662</v>
      </c>
      <c r="B50" s="418" t="s">
        <v>663</v>
      </c>
      <c r="D50" s="423">
        <v>-12024</v>
      </c>
      <c r="E50" s="423">
        <v>-24257</v>
      </c>
      <c r="F50" s="423">
        <v>-36269</v>
      </c>
      <c r="G50" s="423">
        <v>-49036</v>
      </c>
      <c r="H50" s="423">
        <v>-13589</v>
      </c>
      <c r="I50" s="423">
        <v>-26965</v>
      </c>
      <c r="J50" s="423">
        <v>-39596</v>
      </c>
      <c r="K50" s="423">
        <v>-53450</v>
      </c>
      <c r="L50" s="423">
        <v>-14066</v>
      </c>
      <c r="M50" s="423">
        <v>-23914</v>
      </c>
      <c r="N50" s="423">
        <v>-33339</v>
      </c>
      <c r="O50" s="423">
        <v>-47867</v>
      </c>
      <c r="P50" s="423">
        <v>-21298</v>
      </c>
      <c r="Q50" s="423">
        <v>-42494</v>
      </c>
      <c r="R50" s="423">
        <v>-61908</v>
      </c>
      <c r="S50" s="423">
        <v>-84652</v>
      </c>
      <c r="T50" s="423">
        <v>-20615</v>
      </c>
      <c r="U50" s="423">
        <v>-41765</v>
      </c>
      <c r="W50" s="423">
        <f t="shared" ref="W50:W56" si="50">L50</f>
        <v>-14066</v>
      </c>
      <c r="X50" s="423">
        <f t="shared" ref="X50:X56" si="51">M50-W50</f>
        <v>-9848</v>
      </c>
      <c r="Y50" s="423">
        <f t="shared" ref="Y50:Z56" si="52">N50-M50</f>
        <v>-9425</v>
      </c>
      <c r="Z50" s="423">
        <f t="shared" si="52"/>
        <v>-14528</v>
      </c>
      <c r="AA50" s="423">
        <f t="shared" ref="AA50:AA56" si="53">P50</f>
        <v>-21298</v>
      </c>
      <c r="AB50" s="423">
        <f t="shared" ref="AB50:AB56" si="54">Q50-AA50</f>
        <v>-21196</v>
      </c>
      <c r="AC50" s="423">
        <f t="shared" ref="AC50:AD56" si="55">R50-Q50</f>
        <v>-19414</v>
      </c>
      <c r="AD50" s="423">
        <f t="shared" si="55"/>
        <v>-22744</v>
      </c>
      <c r="AE50" s="423">
        <f t="shared" ref="AE50:AE56" si="56">T50</f>
        <v>-20615</v>
      </c>
      <c r="AF50" s="423">
        <f t="shared" ref="AF50:AF56" si="57">U50-T50</f>
        <v>-21150</v>
      </c>
    </row>
    <row r="51" spans="1:32" outlineLevel="1">
      <c r="A51" s="418" t="s">
        <v>664</v>
      </c>
      <c r="B51" s="418" t="s">
        <v>665</v>
      </c>
      <c r="D51" s="423">
        <v>-3183</v>
      </c>
      <c r="E51" s="423">
        <v>-7797</v>
      </c>
      <c r="F51" s="423">
        <v>-11461</v>
      </c>
      <c r="G51" s="423">
        <v>-19861</v>
      </c>
      <c r="H51" s="423">
        <v>-4296</v>
      </c>
      <c r="I51" s="423">
        <v>-6540</v>
      </c>
      <c r="J51" s="423">
        <v>-10927</v>
      </c>
      <c r="K51" s="423">
        <v>-16830</v>
      </c>
      <c r="L51" s="423">
        <v>-1670</v>
      </c>
      <c r="M51" s="423">
        <v>-2123</v>
      </c>
      <c r="N51" s="423">
        <v>-6489</v>
      </c>
      <c r="O51" s="423">
        <v>-11221</v>
      </c>
      <c r="P51" s="423">
        <v>-6357</v>
      </c>
      <c r="Q51" s="423">
        <v>-10734</v>
      </c>
      <c r="R51" s="423">
        <v>-14633</v>
      </c>
      <c r="S51" s="423">
        <v>-17842</v>
      </c>
      <c r="T51" s="423">
        <v>-4818</v>
      </c>
      <c r="U51" s="423">
        <v>-8725</v>
      </c>
      <c r="W51" s="423">
        <f t="shared" si="50"/>
        <v>-1670</v>
      </c>
      <c r="X51" s="423">
        <f t="shared" si="51"/>
        <v>-453</v>
      </c>
      <c r="Y51" s="423">
        <f t="shared" si="52"/>
        <v>-4366</v>
      </c>
      <c r="Z51" s="423">
        <f t="shared" si="52"/>
        <v>-4732</v>
      </c>
      <c r="AA51" s="423">
        <f t="shared" si="53"/>
        <v>-6357</v>
      </c>
      <c r="AB51" s="423">
        <f t="shared" si="54"/>
        <v>-4377</v>
      </c>
      <c r="AC51" s="423">
        <f t="shared" si="55"/>
        <v>-3899</v>
      </c>
      <c r="AD51" s="423">
        <f t="shared" si="55"/>
        <v>-3209</v>
      </c>
      <c r="AE51" s="423">
        <f t="shared" si="56"/>
        <v>-4818</v>
      </c>
      <c r="AF51" s="423">
        <f t="shared" si="57"/>
        <v>-3907</v>
      </c>
    </row>
    <row r="52" spans="1:32" outlineLevel="1">
      <c r="A52" s="418" t="s">
        <v>666</v>
      </c>
      <c r="B52" s="418" t="s">
        <v>667</v>
      </c>
      <c r="D52" s="423">
        <v>-56932</v>
      </c>
      <c r="E52" s="423">
        <v>-118182</v>
      </c>
      <c r="F52" s="423">
        <v>-181474</v>
      </c>
      <c r="G52" s="423">
        <v>-255063</v>
      </c>
      <c r="H52" s="423">
        <v>-67340</v>
      </c>
      <c r="I52" s="423">
        <v>-145914</v>
      </c>
      <c r="J52" s="423">
        <v>-229771</v>
      </c>
      <c r="K52" s="423">
        <v>-318004</v>
      </c>
      <c r="L52" s="423">
        <v>-79761</v>
      </c>
      <c r="M52" s="423">
        <v>-144360</v>
      </c>
      <c r="N52" s="423">
        <v>-154870</v>
      </c>
      <c r="O52" s="423">
        <v>-213517</v>
      </c>
      <c r="P52" s="423">
        <v>-59803</v>
      </c>
      <c r="Q52" s="423">
        <v>-133781</v>
      </c>
      <c r="R52" s="423">
        <v>-207179</v>
      </c>
      <c r="S52" s="423">
        <v>-288088</v>
      </c>
      <c r="T52" s="423">
        <v>-55171</v>
      </c>
      <c r="U52" s="423">
        <v>-118486</v>
      </c>
      <c r="W52" s="423">
        <f t="shared" si="50"/>
        <v>-79761</v>
      </c>
      <c r="X52" s="423">
        <f t="shared" si="51"/>
        <v>-64599</v>
      </c>
      <c r="Y52" s="423">
        <f t="shared" si="52"/>
        <v>-10510</v>
      </c>
      <c r="Z52" s="423">
        <f t="shared" si="52"/>
        <v>-58647</v>
      </c>
      <c r="AA52" s="423">
        <f t="shared" si="53"/>
        <v>-59803</v>
      </c>
      <c r="AB52" s="423">
        <f t="shared" si="54"/>
        <v>-73978</v>
      </c>
      <c r="AC52" s="423">
        <f t="shared" si="55"/>
        <v>-73398</v>
      </c>
      <c r="AD52" s="423">
        <f t="shared" si="55"/>
        <v>-80909</v>
      </c>
      <c r="AE52" s="423">
        <f t="shared" si="56"/>
        <v>-55171</v>
      </c>
      <c r="AF52" s="423">
        <f t="shared" si="57"/>
        <v>-63315</v>
      </c>
    </row>
    <row r="53" spans="1:32" outlineLevel="1">
      <c r="A53" s="418" t="s">
        <v>801</v>
      </c>
      <c r="B53" s="418" t="s">
        <v>802</v>
      </c>
      <c r="D53" s="423">
        <v>-75275</v>
      </c>
      <c r="E53" s="423">
        <v>-155881</v>
      </c>
      <c r="F53" s="423">
        <v>-234452</v>
      </c>
      <c r="G53" s="423">
        <v>-326574</v>
      </c>
      <c r="H53" s="423">
        <v>-104498</v>
      </c>
      <c r="I53" s="423">
        <v>-198164</v>
      </c>
      <c r="J53" s="423">
        <v>-291990</v>
      </c>
      <c r="K53" s="423">
        <v>-394169</v>
      </c>
      <c r="L53" s="423">
        <v>-104652</v>
      </c>
      <c r="M53" s="423">
        <v>-214715</v>
      </c>
      <c r="N53" s="423">
        <v>-270927</v>
      </c>
      <c r="O53" s="423">
        <v>-345811</v>
      </c>
      <c r="P53" s="423">
        <v>-104920</v>
      </c>
      <c r="Q53" s="423">
        <v>-330161</v>
      </c>
      <c r="R53" s="423">
        <v>-403077</v>
      </c>
      <c r="S53" s="423">
        <v>-509614</v>
      </c>
      <c r="T53" s="423">
        <v>-127972</v>
      </c>
      <c r="U53" s="423">
        <v>-290014</v>
      </c>
      <c r="W53" s="423">
        <f t="shared" si="50"/>
        <v>-104652</v>
      </c>
      <c r="X53" s="423">
        <f t="shared" si="51"/>
        <v>-110063</v>
      </c>
      <c r="Y53" s="423">
        <f t="shared" si="52"/>
        <v>-56212</v>
      </c>
      <c r="Z53" s="423">
        <f t="shared" si="52"/>
        <v>-74884</v>
      </c>
      <c r="AA53" s="423">
        <f t="shared" si="53"/>
        <v>-104920</v>
      </c>
      <c r="AB53" s="423">
        <f t="shared" si="54"/>
        <v>-225241</v>
      </c>
      <c r="AC53" s="423">
        <f t="shared" si="55"/>
        <v>-72916</v>
      </c>
      <c r="AD53" s="423">
        <f t="shared" si="55"/>
        <v>-106537</v>
      </c>
      <c r="AE53" s="423">
        <f t="shared" si="56"/>
        <v>-127972</v>
      </c>
      <c r="AF53" s="423">
        <f t="shared" si="57"/>
        <v>-162042</v>
      </c>
    </row>
    <row r="54" spans="1:32" outlineLevel="1">
      <c r="A54" s="418" t="s">
        <v>670</v>
      </c>
      <c r="B54" s="418" t="s">
        <v>671</v>
      </c>
      <c r="D54" s="423">
        <v>2871</v>
      </c>
      <c r="E54" s="423">
        <v>5392</v>
      </c>
      <c r="F54" s="423">
        <v>8774</v>
      </c>
      <c r="G54" s="423">
        <v>17631</v>
      </c>
      <c r="H54" s="423">
        <v>-4768</v>
      </c>
      <c r="I54" s="423">
        <v>-2269</v>
      </c>
      <c r="J54" s="423">
        <v>11437</v>
      </c>
      <c r="K54" s="423">
        <v>9384</v>
      </c>
      <c r="L54" s="423">
        <v>5932</v>
      </c>
      <c r="M54" s="423">
        <v>9581</v>
      </c>
      <c r="N54" s="423">
        <v>-43416</v>
      </c>
      <c r="O54" s="423">
        <v>-58327</v>
      </c>
      <c r="P54" s="423">
        <v>-22456</v>
      </c>
      <c r="Q54" s="423">
        <v>-47409</v>
      </c>
      <c r="R54" s="423">
        <v>-71700</v>
      </c>
      <c r="S54" s="423">
        <v>-76843</v>
      </c>
      <c r="T54" s="423">
        <v>-31571</v>
      </c>
      <c r="U54" s="423">
        <v>-66471</v>
      </c>
      <c r="W54" s="423">
        <f t="shared" si="50"/>
        <v>5932</v>
      </c>
      <c r="X54" s="423">
        <f t="shared" si="51"/>
        <v>3649</v>
      </c>
      <c r="Y54" s="423">
        <f t="shared" si="52"/>
        <v>-52997</v>
      </c>
      <c r="Z54" s="423">
        <f t="shared" si="52"/>
        <v>-14911</v>
      </c>
      <c r="AA54" s="423">
        <f t="shared" si="53"/>
        <v>-22456</v>
      </c>
      <c r="AB54" s="423">
        <f t="shared" si="54"/>
        <v>-24953</v>
      </c>
      <c r="AC54" s="423">
        <f t="shared" si="55"/>
        <v>-24291</v>
      </c>
      <c r="AD54" s="423">
        <f t="shared" si="55"/>
        <v>-5143</v>
      </c>
      <c r="AE54" s="423">
        <f t="shared" si="56"/>
        <v>-31571</v>
      </c>
      <c r="AF54" s="423">
        <f t="shared" si="57"/>
        <v>-34900</v>
      </c>
    </row>
    <row r="55" spans="1:32" outlineLevel="1">
      <c r="A55" s="418" t="s">
        <v>672</v>
      </c>
      <c r="B55" s="418" t="s">
        <v>673</v>
      </c>
      <c r="D55" s="423">
        <v>-387</v>
      </c>
      <c r="E55" s="423">
        <v>-808</v>
      </c>
      <c r="F55" s="423">
        <v>-1373</v>
      </c>
      <c r="G55" s="423">
        <v>-2044</v>
      </c>
      <c r="H55" s="423">
        <v>-634</v>
      </c>
      <c r="I55" s="423">
        <v>-1331</v>
      </c>
      <c r="J55" s="423">
        <v>-2080</v>
      </c>
      <c r="K55" s="423">
        <v>-2801</v>
      </c>
      <c r="L55" s="423">
        <v>-887</v>
      </c>
      <c r="M55" s="423">
        <v>-1201</v>
      </c>
      <c r="N55" s="423">
        <v>-2463</v>
      </c>
      <c r="O55" s="423">
        <v>-3496</v>
      </c>
      <c r="P55" s="423">
        <v>-1321</v>
      </c>
      <c r="Q55" s="423">
        <v>-2633</v>
      </c>
      <c r="R55" s="423">
        <v>-4009</v>
      </c>
      <c r="S55" s="423">
        <v>-5524</v>
      </c>
      <c r="T55" s="423">
        <v>-1375</v>
      </c>
      <c r="U55" s="423">
        <v>-2848</v>
      </c>
      <c r="W55" s="423">
        <f t="shared" si="50"/>
        <v>-887</v>
      </c>
      <c r="X55" s="423">
        <f t="shared" si="51"/>
        <v>-314</v>
      </c>
      <c r="Y55" s="423">
        <f t="shared" si="52"/>
        <v>-1262</v>
      </c>
      <c r="Z55" s="423">
        <f t="shared" si="52"/>
        <v>-1033</v>
      </c>
      <c r="AA55" s="423">
        <f t="shared" si="53"/>
        <v>-1321</v>
      </c>
      <c r="AB55" s="423">
        <f t="shared" si="54"/>
        <v>-1312</v>
      </c>
      <c r="AC55" s="423">
        <f t="shared" si="55"/>
        <v>-1376</v>
      </c>
      <c r="AD55" s="423">
        <f t="shared" si="55"/>
        <v>-1515</v>
      </c>
      <c r="AE55" s="423">
        <f t="shared" si="56"/>
        <v>-1375</v>
      </c>
      <c r="AF55" s="423">
        <f t="shared" si="57"/>
        <v>-1473</v>
      </c>
    </row>
    <row r="56" spans="1:32" outlineLevel="1">
      <c r="A56" s="418" t="s">
        <v>674</v>
      </c>
      <c r="B56" s="418" t="s">
        <v>675</v>
      </c>
      <c r="D56" s="423">
        <v>183</v>
      </c>
      <c r="E56" s="423">
        <v>473</v>
      </c>
      <c r="F56" s="423">
        <v>918</v>
      </c>
      <c r="G56" s="423">
        <v>1512</v>
      </c>
      <c r="H56" s="423">
        <v>295</v>
      </c>
      <c r="I56" s="423">
        <v>730</v>
      </c>
      <c r="J56" s="423">
        <v>2973</v>
      </c>
      <c r="K56" s="423">
        <v>3215</v>
      </c>
      <c r="L56" s="423">
        <v>714</v>
      </c>
      <c r="M56" s="423">
        <v>956</v>
      </c>
      <c r="N56" s="423">
        <v>-44</v>
      </c>
      <c r="O56" s="423">
        <v>-1297</v>
      </c>
      <c r="P56" s="423">
        <v>1300</v>
      </c>
      <c r="Q56" s="423">
        <v>2145</v>
      </c>
      <c r="R56" s="423">
        <v>3219</v>
      </c>
      <c r="S56" s="423">
        <v>3982</v>
      </c>
      <c r="T56" s="423">
        <v>869</v>
      </c>
      <c r="U56" s="423">
        <v>1938</v>
      </c>
      <c r="W56" s="423">
        <f t="shared" si="50"/>
        <v>714</v>
      </c>
      <c r="X56" s="423">
        <f t="shared" si="51"/>
        <v>242</v>
      </c>
      <c r="Y56" s="423">
        <f t="shared" si="52"/>
        <v>-1000</v>
      </c>
      <c r="Z56" s="423">
        <f t="shared" si="52"/>
        <v>-1253</v>
      </c>
      <c r="AA56" s="423">
        <f t="shared" si="53"/>
        <v>1300</v>
      </c>
      <c r="AB56" s="423">
        <f t="shared" si="54"/>
        <v>845</v>
      </c>
      <c r="AC56" s="423">
        <f t="shared" si="55"/>
        <v>1074</v>
      </c>
      <c r="AD56" s="423">
        <f t="shared" si="55"/>
        <v>763</v>
      </c>
      <c r="AE56" s="423">
        <f t="shared" si="56"/>
        <v>869</v>
      </c>
      <c r="AF56" s="423">
        <f t="shared" si="57"/>
        <v>1069</v>
      </c>
    </row>
    <row r="57" spans="1:32">
      <c r="A57" s="417"/>
      <c r="B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</row>
    <row r="58" spans="1:32">
      <c r="A58" s="429" t="s">
        <v>676</v>
      </c>
      <c r="B58" s="429" t="s">
        <v>677</v>
      </c>
      <c r="D58" s="420">
        <f t="shared" ref="D58:I58" si="58">D39+D41</f>
        <v>656089</v>
      </c>
      <c r="E58" s="420">
        <f t="shared" si="58"/>
        <v>1467941</v>
      </c>
      <c r="F58" s="420">
        <f t="shared" si="58"/>
        <v>2072870</v>
      </c>
      <c r="G58" s="420">
        <f t="shared" si="58"/>
        <v>2924945</v>
      </c>
      <c r="H58" s="420">
        <f t="shared" si="58"/>
        <v>671356</v>
      </c>
      <c r="I58" s="420">
        <f t="shared" si="58"/>
        <v>1545519</v>
      </c>
      <c r="J58" s="420">
        <f t="shared" ref="J58:T58" si="59">J39+J41</f>
        <v>2645999</v>
      </c>
      <c r="K58" s="420">
        <f t="shared" si="59"/>
        <v>3508899</v>
      </c>
      <c r="L58" s="420">
        <f t="shared" si="59"/>
        <v>812721</v>
      </c>
      <c r="M58" s="420">
        <f t="shared" si="59"/>
        <v>1698776</v>
      </c>
      <c r="N58" s="420">
        <f t="shared" si="59"/>
        <v>2608407</v>
      </c>
      <c r="O58" s="420">
        <f t="shared" si="59"/>
        <v>3457134</v>
      </c>
      <c r="P58" s="420">
        <f t="shared" si="59"/>
        <v>822988</v>
      </c>
      <c r="Q58" s="420">
        <f t="shared" si="59"/>
        <v>1588876</v>
      </c>
      <c r="R58" s="420">
        <f t="shared" si="59"/>
        <v>2466845</v>
      </c>
      <c r="S58" s="420">
        <f t="shared" si="59"/>
        <v>3377189</v>
      </c>
      <c r="T58" s="420">
        <f t="shared" si="59"/>
        <v>940038</v>
      </c>
      <c r="U58" s="741">
        <f>U39+U41</f>
        <v>1876556</v>
      </c>
      <c r="W58" s="420">
        <f t="shared" ref="W58:AC58" si="60">W39+W41</f>
        <v>812721</v>
      </c>
      <c r="X58" s="420">
        <f t="shared" si="60"/>
        <v>886055</v>
      </c>
      <c r="Y58" s="420">
        <f t="shared" si="60"/>
        <v>909631</v>
      </c>
      <c r="Z58" s="420">
        <f t="shared" si="60"/>
        <v>848727</v>
      </c>
      <c r="AA58" s="420">
        <f t="shared" si="60"/>
        <v>822988</v>
      </c>
      <c r="AB58" s="420">
        <f t="shared" si="60"/>
        <v>765888</v>
      </c>
      <c r="AC58" s="420">
        <f t="shared" si="60"/>
        <v>877969</v>
      </c>
      <c r="AD58" s="420">
        <f t="shared" ref="AD58:AE58" si="61">AD39+AD41</f>
        <v>910344</v>
      </c>
      <c r="AE58" s="420">
        <f t="shared" si="61"/>
        <v>940038</v>
      </c>
      <c r="AF58" s="741">
        <f>AF39+AF41</f>
        <v>1417945</v>
      </c>
    </row>
    <row r="59" spans="1:32">
      <c r="A59" s="417"/>
      <c r="B59" s="417"/>
      <c r="D59" s="417"/>
      <c r="E59" s="417"/>
      <c r="F59" s="417"/>
      <c r="G59" s="417"/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</row>
    <row r="60" spans="1:32">
      <c r="A60" s="416" t="s">
        <v>678</v>
      </c>
      <c r="B60" s="416" t="s">
        <v>679</v>
      </c>
      <c r="D60" s="424">
        <f t="shared" ref="D60:I60" si="62">D62+D68+D69+D78+D79</f>
        <v>-184112</v>
      </c>
      <c r="E60" s="424">
        <f t="shared" si="62"/>
        <v>-410235</v>
      </c>
      <c r="F60" s="424">
        <f t="shared" si="62"/>
        <v>-601123</v>
      </c>
      <c r="G60" s="424">
        <f t="shared" si="62"/>
        <v>-906335</v>
      </c>
      <c r="H60" s="424">
        <f t="shared" si="62"/>
        <v>-94817</v>
      </c>
      <c r="I60" s="424">
        <f t="shared" si="62"/>
        <v>-229755</v>
      </c>
      <c r="J60" s="424">
        <f t="shared" ref="J60:T60" si="63">J62+J68+J69+J78+J79</f>
        <v>-441607</v>
      </c>
      <c r="K60" s="424">
        <f t="shared" si="63"/>
        <v>-624448</v>
      </c>
      <c r="L60" s="424">
        <f t="shared" si="63"/>
        <v>-191010</v>
      </c>
      <c r="M60" s="424">
        <f t="shared" si="63"/>
        <v>-413730</v>
      </c>
      <c r="N60" s="424">
        <f t="shared" si="63"/>
        <v>-592054</v>
      </c>
      <c r="O60" s="424">
        <f t="shared" si="63"/>
        <v>-925552</v>
      </c>
      <c r="P60" s="424">
        <f t="shared" si="63"/>
        <v>-189288</v>
      </c>
      <c r="Q60" s="424">
        <f t="shared" si="63"/>
        <v>-402348</v>
      </c>
      <c r="R60" s="424">
        <f t="shared" si="63"/>
        <v>-701107</v>
      </c>
      <c r="S60" s="424">
        <f t="shared" si="63"/>
        <v>-1042090</v>
      </c>
      <c r="T60" s="424">
        <f t="shared" si="63"/>
        <v>-306595</v>
      </c>
      <c r="U60" s="424">
        <f>U62+U68+U69+U78+U79</f>
        <v>-564903</v>
      </c>
      <c r="W60" s="424">
        <f t="shared" ref="W60:AC60" si="64">W62+W68+W69+W78+W79</f>
        <v>-191010</v>
      </c>
      <c r="X60" s="424">
        <f t="shared" si="64"/>
        <v>-222720</v>
      </c>
      <c r="Y60" s="424">
        <f t="shared" si="64"/>
        <v>-178324</v>
      </c>
      <c r="Z60" s="424">
        <f t="shared" si="64"/>
        <v>-333498</v>
      </c>
      <c r="AA60" s="424">
        <f t="shared" si="64"/>
        <v>-189288</v>
      </c>
      <c r="AB60" s="424">
        <f t="shared" si="64"/>
        <v>-213060</v>
      </c>
      <c r="AC60" s="424">
        <f t="shared" si="64"/>
        <v>-298759</v>
      </c>
      <c r="AD60" s="424">
        <f t="shared" ref="AD60:AE60" si="65">AD62+AD68+AD69+AD78+AD79</f>
        <v>-340983</v>
      </c>
      <c r="AE60" s="424">
        <f t="shared" si="65"/>
        <v>-306595</v>
      </c>
      <c r="AF60" s="424">
        <f>AF62+AF68+AF69+AF78+AF79</f>
        <v>-258308</v>
      </c>
    </row>
    <row r="61" spans="1:32">
      <c r="A61" s="416"/>
      <c r="B61" s="416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W61" s="421"/>
      <c r="X61" s="421"/>
      <c r="Y61" s="421"/>
      <c r="Z61" s="421"/>
      <c r="AA61" s="421"/>
      <c r="AB61" s="421"/>
      <c r="AC61" s="421"/>
      <c r="AD61" s="421"/>
      <c r="AE61" s="421"/>
      <c r="AF61" s="421"/>
    </row>
    <row r="62" spans="1:32">
      <c r="A62" s="419" t="s">
        <v>680</v>
      </c>
      <c r="B62" s="419" t="s">
        <v>681</v>
      </c>
      <c r="D62" s="422">
        <f t="shared" ref="D62:I62" si="66">SUM(D63:D67)</f>
        <v>-39253</v>
      </c>
      <c r="E62" s="422">
        <f t="shared" si="66"/>
        <v>-85974</v>
      </c>
      <c r="F62" s="422">
        <f t="shared" si="66"/>
        <v>-131866</v>
      </c>
      <c r="G62" s="422">
        <f t="shared" si="66"/>
        <v>-200564</v>
      </c>
      <c r="H62" s="422">
        <f t="shared" si="66"/>
        <v>-50691</v>
      </c>
      <c r="I62" s="422">
        <f t="shared" si="66"/>
        <v>-104926</v>
      </c>
      <c r="J62" s="422">
        <f t="shared" ref="J62:T62" si="67">SUM(J63:J67)</f>
        <v>-159569</v>
      </c>
      <c r="K62" s="422">
        <f t="shared" si="67"/>
        <v>-226428</v>
      </c>
      <c r="L62" s="422">
        <f t="shared" si="67"/>
        <v>-55052</v>
      </c>
      <c r="M62" s="422">
        <f t="shared" si="67"/>
        <v>-136896</v>
      </c>
      <c r="N62" s="422">
        <f t="shared" si="67"/>
        <v>-214530</v>
      </c>
      <c r="O62" s="422">
        <f t="shared" si="67"/>
        <v>-288935</v>
      </c>
      <c r="P62" s="422">
        <f t="shared" si="67"/>
        <v>-57186</v>
      </c>
      <c r="Q62" s="422">
        <f t="shared" si="67"/>
        <v>-120839</v>
      </c>
      <c r="R62" s="422">
        <f t="shared" si="67"/>
        <v>-191756</v>
      </c>
      <c r="S62" s="422">
        <f t="shared" si="67"/>
        <v>-258344</v>
      </c>
      <c r="T62" s="422">
        <f t="shared" si="67"/>
        <v>-67262</v>
      </c>
      <c r="U62" s="422">
        <f>SUM(U63:U67)</f>
        <v>-135073</v>
      </c>
      <c r="W62" s="422">
        <f t="shared" ref="W62:AC62" si="68">SUM(W63:W67)</f>
        <v>-55052</v>
      </c>
      <c r="X62" s="422">
        <f t="shared" si="68"/>
        <v>-81844</v>
      </c>
      <c r="Y62" s="422">
        <f t="shared" si="68"/>
        <v>-77634</v>
      </c>
      <c r="Z62" s="422">
        <f t="shared" si="68"/>
        <v>-74405</v>
      </c>
      <c r="AA62" s="422">
        <f t="shared" si="68"/>
        <v>-57186</v>
      </c>
      <c r="AB62" s="422">
        <f t="shared" si="68"/>
        <v>-63653</v>
      </c>
      <c r="AC62" s="422">
        <f t="shared" si="68"/>
        <v>-70917</v>
      </c>
      <c r="AD62" s="422">
        <f t="shared" ref="AD62:AE62" si="69">SUM(AD63:AD67)</f>
        <v>-66588</v>
      </c>
      <c r="AE62" s="422">
        <f t="shared" si="69"/>
        <v>-67262</v>
      </c>
      <c r="AF62" s="422">
        <f>SUM(AF63:AF67)</f>
        <v>-67811</v>
      </c>
    </row>
    <row r="63" spans="1:32" outlineLevel="1">
      <c r="A63" s="418" t="s">
        <v>682</v>
      </c>
      <c r="B63" s="418" t="s">
        <v>683</v>
      </c>
      <c r="D63" s="423">
        <v>-6584</v>
      </c>
      <c r="E63" s="423">
        <v>-12888</v>
      </c>
      <c r="F63" s="423">
        <v>-19698</v>
      </c>
      <c r="G63" s="423">
        <v>-24173</v>
      </c>
      <c r="H63" s="423">
        <v>-6554</v>
      </c>
      <c r="I63" s="423">
        <v>-13213</v>
      </c>
      <c r="J63" s="423">
        <v>-20123</v>
      </c>
      <c r="K63" s="423">
        <v>-27616</v>
      </c>
      <c r="L63" s="423">
        <v>-7413</v>
      </c>
      <c r="M63" s="423">
        <v>-19936</v>
      </c>
      <c r="N63" s="423">
        <v>-29276</v>
      </c>
      <c r="O63" s="423">
        <v>-37227</v>
      </c>
      <c r="P63" s="423">
        <v>-10097</v>
      </c>
      <c r="Q63" s="423">
        <v>-19608</v>
      </c>
      <c r="R63" s="423">
        <v>-28854</v>
      </c>
      <c r="S63" s="423">
        <v>-39154</v>
      </c>
      <c r="T63" s="423">
        <v>-10602</v>
      </c>
      <c r="U63" s="423">
        <v>-19495</v>
      </c>
      <c r="W63" s="423">
        <f t="shared" ref="W63:W68" si="70">L63</f>
        <v>-7413</v>
      </c>
      <c r="X63" s="423">
        <f t="shared" ref="X63:X68" si="71">M63-W63</f>
        <v>-12523</v>
      </c>
      <c r="Y63" s="423">
        <f t="shared" ref="Y63:Z68" si="72">N63-M63</f>
        <v>-9340</v>
      </c>
      <c r="Z63" s="423">
        <f t="shared" si="72"/>
        <v>-7951</v>
      </c>
      <c r="AA63" s="423">
        <f t="shared" ref="AA63:AA68" si="73">P63</f>
        <v>-10097</v>
      </c>
      <c r="AB63" s="423">
        <f t="shared" ref="AB63:AB68" si="74">Q63-AA63</f>
        <v>-9511</v>
      </c>
      <c r="AC63" s="423">
        <f t="shared" ref="AC63:AD68" si="75">R63-Q63</f>
        <v>-9246</v>
      </c>
      <c r="AD63" s="423">
        <f t="shared" si="75"/>
        <v>-10300</v>
      </c>
      <c r="AE63" s="423">
        <f t="shared" ref="AE63:AE68" si="76">T63</f>
        <v>-10602</v>
      </c>
      <c r="AF63" s="423">
        <f t="shared" ref="AF63:AF68" si="77">U63-T63</f>
        <v>-8893</v>
      </c>
    </row>
    <row r="64" spans="1:32" outlineLevel="1">
      <c r="A64" s="418" t="s">
        <v>684</v>
      </c>
      <c r="B64" s="418" t="s">
        <v>685</v>
      </c>
      <c r="D64" s="423">
        <v>-2810</v>
      </c>
      <c r="E64" s="423">
        <v>-5140</v>
      </c>
      <c r="F64" s="423">
        <v>-8194</v>
      </c>
      <c r="G64" s="423">
        <v>-11299</v>
      </c>
      <c r="H64" s="423">
        <v>-2370</v>
      </c>
      <c r="I64" s="423">
        <v>-5082</v>
      </c>
      <c r="J64" s="423">
        <v>-8942</v>
      </c>
      <c r="K64" s="423">
        <v>-14428</v>
      </c>
      <c r="L64" s="423">
        <v>-3870</v>
      </c>
      <c r="M64" s="423">
        <v>-7769</v>
      </c>
      <c r="N64" s="423">
        <v>-12805</v>
      </c>
      <c r="O64" s="423">
        <v>-17359</v>
      </c>
      <c r="P64" s="423">
        <v>-2279</v>
      </c>
      <c r="Q64" s="423">
        <v>-4060</v>
      </c>
      <c r="R64" s="423">
        <v>-6613</v>
      </c>
      <c r="S64" s="423">
        <v>-7854</v>
      </c>
      <c r="T64" s="423">
        <v>-4102</v>
      </c>
      <c r="U64" s="423">
        <v>-7615</v>
      </c>
      <c r="W64" s="423">
        <f t="shared" si="70"/>
        <v>-3870</v>
      </c>
      <c r="X64" s="423">
        <f t="shared" si="71"/>
        <v>-3899</v>
      </c>
      <c r="Y64" s="423">
        <f t="shared" si="72"/>
        <v>-5036</v>
      </c>
      <c r="Z64" s="423">
        <f t="shared" si="72"/>
        <v>-4554</v>
      </c>
      <c r="AA64" s="423">
        <f t="shared" si="73"/>
        <v>-2279</v>
      </c>
      <c r="AB64" s="423">
        <f t="shared" si="74"/>
        <v>-1781</v>
      </c>
      <c r="AC64" s="423">
        <f t="shared" si="75"/>
        <v>-2553</v>
      </c>
      <c r="AD64" s="423">
        <f t="shared" si="75"/>
        <v>-1241</v>
      </c>
      <c r="AE64" s="423">
        <f t="shared" si="76"/>
        <v>-4102</v>
      </c>
      <c r="AF64" s="423">
        <f t="shared" si="77"/>
        <v>-3513</v>
      </c>
    </row>
    <row r="65" spans="1:32" outlineLevel="1">
      <c r="A65" s="418" t="s">
        <v>686</v>
      </c>
      <c r="B65" s="418" t="s">
        <v>687</v>
      </c>
      <c r="D65" s="423">
        <v>-30299</v>
      </c>
      <c r="E65" s="423">
        <v>-66342</v>
      </c>
      <c r="F65" s="423">
        <v>-103539</v>
      </c>
      <c r="G65" s="423">
        <v>-159206</v>
      </c>
      <c r="H65" s="423">
        <v>-41628</v>
      </c>
      <c r="I65" s="423">
        <v>-84106</v>
      </c>
      <c r="J65" s="423">
        <v>-130044</v>
      </c>
      <c r="K65" s="423">
        <v>-178150</v>
      </c>
      <c r="L65" s="423">
        <v>-44748</v>
      </c>
      <c r="M65" s="423">
        <v>-108591</v>
      </c>
      <c r="N65" s="423">
        <v>-168495</v>
      </c>
      <c r="O65" s="423">
        <v>-229846</v>
      </c>
      <c r="P65" s="423">
        <v>-45395</v>
      </c>
      <c r="Q65" s="423">
        <v>-98682</v>
      </c>
      <c r="R65" s="423">
        <v>-158759</v>
      </c>
      <c r="S65" s="423">
        <v>-214581</v>
      </c>
      <c r="T65" s="423">
        <v>-53152</v>
      </c>
      <c r="U65" s="423">
        <v>-109297</v>
      </c>
      <c r="W65" s="423">
        <f t="shared" si="70"/>
        <v>-44748</v>
      </c>
      <c r="X65" s="423">
        <f t="shared" si="71"/>
        <v>-63843</v>
      </c>
      <c r="Y65" s="423">
        <f t="shared" si="72"/>
        <v>-59904</v>
      </c>
      <c r="Z65" s="423">
        <f t="shared" si="72"/>
        <v>-61351</v>
      </c>
      <c r="AA65" s="423">
        <f t="shared" si="73"/>
        <v>-45395</v>
      </c>
      <c r="AB65" s="423">
        <f t="shared" si="74"/>
        <v>-53287</v>
      </c>
      <c r="AC65" s="423">
        <f t="shared" si="75"/>
        <v>-60077</v>
      </c>
      <c r="AD65" s="423">
        <f t="shared" si="75"/>
        <v>-55822</v>
      </c>
      <c r="AE65" s="423">
        <f t="shared" si="76"/>
        <v>-53152</v>
      </c>
      <c r="AF65" s="423">
        <f t="shared" si="77"/>
        <v>-56145</v>
      </c>
    </row>
    <row r="66" spans="1:32" outlineLevel="1">
      <c r="A66" s="418" t="s">
        <v>688</v>
      </c>
      <c r="B66" s="418" t="s">
        <v>689</v>
      </c>
      <c r="D66" s="423">
        <v>-905</v>
      </c>
      <c r="E66" s="423">
        <v>-1736</v>
      </c>
      <c r="F66" s="423">
        <v>-2767</v>
      </c>
      <c r="G66" s="423">
        <v>-3866</v>
      </c>
      <c r="H66" s="423">
        <v>-1070</v>
      </c>
      <c r="I66" s="423">
        <v>-2251</v>
      </c>
      <c r="J66" s="423">
        <v>-3416</v>
      </c>
      <c r="K66" s="423">
        <v>-4540</v>
      </c>
      <c r="L66" s="423">
        <v>-1243</v>
      </c>
      <c r="M66" s="423">
        <v>-2129</v>
      </c>
      <c r="N66" s="423">
        <v>-3868</v>
      </c>
      <c r="O66" s="423">
        <v>-5177</v>
      </c>
      <c r="P66" s="423">
        <v>-1095</v>
      </c>
      <c r="Q66" s="423">
        <v>-2176</v>
      </c>
      <c r="R66" s="423">
        <v>-3465</v>
      </c>
      <c r="S66" s="423">
        <v>-4600</v>
      </c>
      <c r="T66" s="423">
        <v>-1097</v>
      </c>
      <c r="U66" s="423">
        <v>-2177</v>
      </c>
      <c r="W66" s="423">
        <f t="shared" si="70"/>
        <v>-1243</v>
      </c>
      <c r="X66" s="423">
        <f t="shared" si="71"/>
        <v>-886</v>
      </c>
      <c r="Y66" s="423">
        <f t="shared" si="72"/>
        <v>-1739</v>
      </c>
      <c r="Z66" s="423">
        <f t="shared" si="72"/>
        <v>-1309</v>
      </c>
      <c r="AA66" s="423">
        <f t="shared" si="73"/>
        <v>-1095</v>
      </c>
      <c r="AB66" s="423">
        <f t="shared" si="74"/>
        <v>-1081</v>
      </c>
      <c r="AC66" s="423">
        <f t="shared" si="75"/>
        <v>-1289</v>
      </c>
      <c r="AD66" s="423">
        <f t="shared" si="75"/>
        <v>-1135</v>
      </c>
      <c r="AE66" s="423">
        <f t="shared" si="76"/>
        <v>-1097</v>
      </c>
      <c r="AF66" s="423">
        <f t="shared" si="77"/>
        <v>-1080</v>
      </c>
    </row>
    <row r="67" spans="1:32" outlineLevel="1">
      <c r="A67" s="418" t="s">
        <v>690</v>
      </c>
      <c r="B67" s="418" t="s">
        <v>691</v>
      </c>
      <c r="D67" s="423">
        <v>1345</v>
      </c>
      <c r="E67" s="423">
        <v>132</v>
      </c>
      <c r="F67" s="423">
        <v>2332</v>
      </c>
      <c r="G67" s="423">
        <v>-2020</v>
      </c>
      <c r="H67" s="423">
        <v>931</v>
      </c>
      <c r="I67" s="423">
        <v>-274</v>
      </c>
      <c r="J67" s="423">
        <v>2956</v>
      </c>
      <c r="K67" s="423">
        <v>-1694</v>
      </c>
      <c r="L67" s="423">
        <v>2222</v>
      </c>
      <c r="M67" s="423">
        <v>1529</v>
      </c>
      <c r="N67" s="423">
        <v>-86</v>
      </c>
      <c r="O67" s="423">
        <v>674</v>
      </c>
      <c r="P67" s="423">
        <v>1680</v>
      </c>
      <c r="Q67" s="423">
        <v>3687</v>
      </c>
      <c r="R67" s="423">
        <v>5935</v>
      </c>
      <c r="S67" s="423">
        <v>7845</v>
      </c>
      <c r="T67" s="423">
        <v>1691</v>
      </c>
      <c r="U67" s="423">
        <v>3511</v>
      </c>
      <c r="W67" s="423">
        <f t="shared" si="70"/>
        <v>2222</v>
      </c>
      <c r="X67" s="423">
        <f t="shared" si="71"/>
        <v>-693</v>
      </c>
      <c r="Y67" s="423">
        <f t="shared" si="72"/>
        <v>-1615</v>
      </c>
      <c r="Z67" s="423">
        <f t="shared" si="72"/>
        <v>760</v>
      </c>
      <c r="AA67" s="423">
        <f t="shared" si="73"/>
        <v>1680</v>
      </c>
      <c r="AB67" s="423">
        <f t="shared" si="74"/>
        <v>2007</v>
      </c>
      <c r="AC67" s="423">
        <f t="shared" si="75"/>
        <v>2248</v>
      </c>
      <c r="AD67" s="423">
        <f t="shared" si="75"/>
        <v>1910</v>
      </c>
      <c r="AE67" s="423">
        <f t="shared" si="76"/>
        <v>1691</v>
      </c>
      <c r="AF67" s="423">
        <f t="shared" si="77"/>
        <v>1820</v>
      </c>
    </row>
    <row r="68" spans="1:32">
      <c r="A68" s="417" t="s">
        <v>692</v>
      </c>
      <c r="B68" s="417" t="s">
        <v>693</v>
      </c>
      <c r="D68" s="425">
        <v>-44904</v>
      </c>
      <c r="E68" s="425">
        <v>-79478</v>
      </c>
      <c r="F68" s="425">
        <v>-129421</v>
      </c>
      <c r="G68" s="425">
        <v>-95999</v>
      </c>
      <c r="H68" s="425">
        <v>-31861</v>
      </c>
      <c r="I68" s="425">
        <v>-57500</v>
      </c>
      <c r="J68" s="425">
        <v>-111447</v>
      </c>
      <c r="K68" s="425">
        <v>-149535</v>
      </c>
      <c r="L68" s="425">
        <v>-56755</v>
      </c>
      <c r="M68" s="425">
        <v>-105142</v>
      </c>
      <c r="N68" s="425">
        <v>-155766</v>
      </c>
      <c r="O68" s="425">
        <v>-217985</v>
      </c>
      <c r="P68" s="425">
        <v>-53297</v>
      </c>
      <c r="Q68" s="425">
        <v>-120753</v>
      </c>
      <c r="R68" s="425">
        <v>-188385</v>
      </c>
      <c r="S68" s="425">
        <v>-224416</v>
      </c>
      <c r="T68" s="425">
        <v>-78416</v>
      </c>
      <c r="U68" s="756">
        <v>-148863</v>
      </c>
      <c r="W68" s="425">
        <f t="shared" si="70"/>
        <v>-56755</v>
      </c>
      <c r="X68" s="425">
        <f t="shared" si="71"/>
        <v>-48387</v>
      </c>
      <c r="Y68" s="425">
        <f t="shared" si="72"/>
        <v>-50624</v>
      </c>
      <c r="Z68" s="425">
        <f t="shared" si="72"/>
        <v>-62219</v>
      </c>
      <c r="AA68" s="425">
        <f t="shared" si="73"/>
        <v>-53297</v>
      </c>
      <c r="AB68" s="425">
        <f t="shared" si="74"/>
        <v>-67456</v>
      </c>
      <c r="AC68" s="425">
        <f t="shared" si="75"/>
        <v>-67632</v>
      </c>
      <c r="AD68" s="425">
        <f t="shared" si="75"/>
        <v>-36031</v>
      </c>
      <c r="AE68" s="425">
        <f t="shared" si="76"/>
        <v>-78416</v>
      </c>
      <c r="AF68" s="756">
        <f t="shared" si="77"/>
        <v>-70447</v>
      </c>
    </row>
    <row r="69" spans="1:32">
      <c r="A69" s="417" t="s">
        <v>803</v>
      </c>
      <c r="B69" s="417" t="s">
        <v>804</v>
      </c>
      <c r="D69" s="422">
        <f t="shared" ref="D69:I69" si="78">SUM(D70:D77)</f>
        <v>-58020</v>
      </c>
      <c r="E69" s="422">
        <f t="shared" si="78"/>
        <v>-125780</v>
      </c>
      <c r="F69" s="422">
        <f t="shared" si="78"/>
        <v>-192203</v>
      </c>
      <c r="G69" s="422">
        <f t="shared" si="78"/>
        <v>-261035</v>
      </c>
      <c r="H69" s="422">
        <f t="shared" si="78"/>
        <v>-37263</v>
      </c>
      <c r="I69" s="422">
        <f t="shared" si="78"/>
        <v>-41615</v>
      </c>
      <c r="J69" s="422">
        <f t="shared" ref="J69:T69" si="79">SUM(J70:J77)</f>
        <v>-80561</v>
      </c>
      <c r="K69" s="422">
        <f t="shared" si="79"/>
        <v>-135218</v>
      </c>
      <c r="L69" s="422">
        <f t="shared" si="79"/>
        <v>-49770</v>
      </c>
      <c r="M69" s="422">
        <f t="shared" si="79"/>
        <v>-97327</v>
      </c>
      <c r="N69" s="422">
        <f t="shared" si="79"/>
        <v>-143117</v>
      </c>
      <c r="O69" s="422">
        <f t="shared" si="79"/>
        <v>-227622</v>
      </c>
      <c r="P69" s="422">
        <f t="shared" si="79"/>
        <v>-48594</v>
      </c>
      <c r="Q69" s="422">
        <f t="shared" si="79"/>
        <v>-100995</v>
      </c>
      <c r="R69" s="422">
        <f t="shared" si="79"/>
        <v>-155369</v>
      </c>
      <c r="S69" s="422">
        <f t="shared" si="79"/>
        <v>-337413</v>
      </c>
      <c r="T69" s="422">
        <f t="shared" si="79"/>
        <v>-102653</v>
      </c>
      <c r="U69" s="422">
        <f>SUM(U70:U77)</f>
        <v>-182948</v>
      </c>
      <c r="W69" s="422">
        <f t="shared" ref="W69:AC69" si="80">SUM(W70:W77)</f>
        <v>-49770</v>
      </c>
      <c r="X69" s="422">
        <f t="shared" si="80"/>
        <v>-47557</v>
      </c>
      <c r="Y69" s="422">
        <f t="shared" si="80"/>
        <v>-45790</v>
      </c>
      <c r="Z69" s="422">
        <f t="shared" si="80"/>
        <v>-84505</v>
      </c>
      <c r="AA69" s="422">
        <f t="shared" si="80"/>
        <v>-48594</v>
      </c>
      <c r="AB69" s="422">
        <f t="shared" si="80"/>
        <v>-52401</v>
      </c>
      <c r="AC69" s="422">
        <f t="shared" si="80"/>
        <v>-54374</v>
      </c>
      <c r="AD69" s="422">
        <f t="shared" ref="AD69:AE69" si="81">SUM(AD70:AD77)</f>
        <v>-182044</v>
      </c>
      <c r="AE69" s="422">
        <f t="shared" si="81"/>
        <v>-102653</v>
      </c>
      <c r="AF69" s="422">
        <f>SUM(AF70:AF77)</f>
        <v>-80295</v>
      </c>
    </row>
    <row r="70" spans="1:32" outlineLevel="1">
      <c r="A70" s="418" t="s">
        <v>696</v>
      </c>
      <c r="B70" s="418" t="s">
        <v>697</v>
      </c>
      <c r="D70" s="423">
        <v>-22111</v>
      </c>
      <c r="E70" s="423">
        <v>-47008</v>
      </c>
      <c r="F70" s="423">
        <v>-71763</v>
      </c>
      <c r="G70" s="423">
        <v>-104755</v>
      </c>
      <c r="H70" s="423">
        <v>-27735</v>
      </c>
      <c r="I70" s="423">
        <v>-52759</v>
      </c>
      <c r="J70" s="423">
        <v>-74904</v>
      </c>
      <c r="K70" s="423">
        <v>-111823</v>
      </c>
      <c r="L70" s="423">
        <v>-26364</v>
      </c>
      <c r="M70" s="423">
        <v>-52993</v>
      </c>
      <c r="N70" s="423">
        <v>-73516</v>
      </c>
      <c r="O70" s="423">
        <v>-103872</v>
      </c>
      <c r="P70" s="423">
        <v>-20822</v>
      </c>
      <c r="Q70" s="423">
        <v>-47053</v>
      </c>
      <c r="R70" s="423">
        <v>-76152</v>
      </c>
      <c r="S70" s="423">
        <v>-111786</v>
      </c>
      <c r="T70" s="423">
        <v>-33692</v>
      </c>
      <c r="U70" s="423">
        <v>-65705</v>
      </c>
      <c r="W70" s="423">
        <f t="shared" ref="W70:W78" si="82">L70</f>
        <v>-26364</v>
      </c>
      <c r="X70" s="423">
        <f t="shared" ref="X70:X77" si="83">M70-W70</f>
        <v>-26629</v>
      </c>
      <c r="Y70" s="423">
        <f t="shared" ref="Y70:Y78" si="84">N70-M70</f>
        <v>-20523</v>
      </c>
      <c r="Z70" s="423">
        <f t="shared" ref="Z70:Z78" si="85">O70-N70</f>
        <v>-30356</v>
      </c>
      <c r="AA70" s="423">
        <f t="shared" ref="AA70:AA78" si="86">P70</f>
        <v>-20822</v>
      </c>
      <c r="AB70" s="423">
        <f t="shared" ref="AB70:AB78" si="87">Q70-AA70</f>
        <v>-26231</v>
      </c>
      <c r="AC70" s="423">
        <f t="shared" ref="AC70:AC78" si="88">R70-Q70</f>
        <v>-29099</v>
      </c>
      <c r="AD70" s="423">
        <f t="shared" ref="AD70:AD78" si="89">S70-R70</f>
        <v>-35634</v>
      </c>
      <c r="AE70" s="423">
        <f t="shared" ref="AE70:AE78" si="90">T70</f>
        <v>-33692</v>
      </c>
      <c r="AF70" s="423">
        <f t="shared" ref="AF70:AF78" si="91">U70-T70</f>
        <v>-32013</v>
      </c>
    </row>
    <row r="71" spans="1:32" outlineLevel="1">
      <c r="A71" s="418" t="s">
        <v>698</v>
      </c>
      <c r="B71" s="418" t="s">
        <v>699</v>
      </c>
      <c r="D71" s="423">
        <v>-279</v>
      </c>
      <c r="E71" s="423">
        <v>-594</v>
      </c>
      <c r="F71" s="423">
        <v>-1100</v>
      </c>
      <c r="G71" s="423">
        <v>1016</v>
      </c>
      <c r="H71" s="423">
        <v>103</v>
      </c>
      <c r="I71" s="423">
        <v>1475</v>
      </c>
      <c r="J71" s="423">
        <v>4491</v>
      </c>
      <c r="K71" s="423">
        <v>733</v>
      </c>
      <c r="L71" s="423">
        <v>564</v>
      </c>
      <c r="M71" s="423">
        <v>1143</v>
      </c>
      <c r="N71" s="423">
        <v>-690</v>
      </c>
      <c r="O71" s="423">
        <v>-1078</v>
      </c>
      <c r="P71" s="423">
        <v>-387</v>
      </c>
      <c r="Q71" s="423">
        <v>-1028</v>
      </c>
      <c r="R71" s="423">
        <v>-1805</v>
      </c>
      <c r="S71" s="423">
        <v>-2194</v>
      </c>
      <c r="T71" s="423">
        <v>-800</v>
      </c>
      <c r="U71" s="423">
        <v>-2039</v>
      </c>
      <c r="W71" s="423">
        <f t="shared" si="82"/>
        <v>564</v>
      </c>
      <c r="X71" s="423">
        <f t="shared" si="83"/>
        <v>579</v>
      </c>
      <c r="Y71" s="423">
        <f t="shared" si="84"/>
        <v>-1833</v>
      </c>
      <c r="Z71" s="423">
        <f t="shared" si="85"/>
        <v>-388</v>
      </c>
      <c r="AA71" s="423">
        <f t="shared" si="86"/>
        <v>-387</v>
      </c>
      <c r="AB71" s="423">
        <f t="shared" si="87"/>
        <v>-641</v>
      </c>
      <c r="AC71" s="423">
        <f t="shared" si="88"/>
        <v>-777</v>
      </c>
      <c r="AD71" s="423">
        <f t="shared" si="89"/>
        <v>-389</v>
      </c>
      <c r="AE71" s="423">
        <f t="shared" si="90"/>
        <v>-800</v>
      </c>
      <c r="AF71" s="423">
        <f t="shared" si="91"/>
        <v>-1239</v>
      </c>
    </row>
    <row r="72" spans="1:32" outlineLevel="1">
      <c r="A72" s="418" t="s">
        <v>700</v>
      </c>
      <c r="B72" s="418" t="s">
        <v>701</v>
      </c>
      <c r="D72" s="423">
        <v>-18907</v>
      </c>
      <c r="E72" s="423">
        <v>-45237</v>
      </c>
      <c r="F72" s="423">
        <v>-65268</v>
      </c>
      <c r="G72" s="423">
        <v>-88874</v>
      </c>
      <c r="H72" s="423">
        <v>7789</v>
      </c>
      <c r="I72" s="423">
        <v>41535</v>
      </c>
      <c r="J72" s="423">
        <v>33958</v>
      </c>
      <c r="K72" s="423">
        <v>27975</v>
      </c>
      <c r="L72" s="423">
        <v>-6254</v>
      </c>
      <c r="M72" s="423">
        <v>-16184</v>
      </c>
      <c r="N72" s="423">
        <v>-26534</v>
      </c>
      <c r="O72" s="423">
        <v>-29075</v>
      </c>
      <c r="P72" s="423">
        <v>-13277</v>
      </c>
      <c r="Q72" s="423">
        <v>-37000</v>
      </c>
      <c r="R72" s="423">
        <v>-52116</v>
      </c>
      <c r="S72" s="423">
        <v>-66296</v>
      </c>
      <c r="T72" s="423">
        <v>-16101</v>
      </c>
      <c r="U72" s="423">
        <v>-40142</v>
      </c>
      <c r="W72" s="423">
        <f t="shared" si="82"/>
        <v>-6254</v>
      </c>
      <c r="X72" s="423">
        <f t="shared" si="83"/>
        <v>-9930</v>
      </c>
      <c r="Y72" s="423">
        <f t="shared" si="84"/>
        <v>-10350</v>
      </c>
      <c r="Z72" s="423">
        <f t="shared" si="85"/>
        <v>-2541</v>
      </c>
      <c r="AA72" s="423">
        <f t="shared" si="86"/>
        <v>-13277</v>
      </c>
      <c r="AB72" s="423">
        <f t="shared" si="87"/>
        <v>-23723</v>
      </c>
      <c r="AC72" s="423">
        <f t="shared" si="88"/>
        <v>-15116</v>
      </c>
      <c r="AD72" s="423">
        <f t="shared" si="89"/>
        <v>-14180</v>
      </c>
      <c r="AE72" s="423">
        <f t="shared" si="90"/>
        <v>-16101</v>
      </c>
      <c r="AF72" s="423">
        <f t="shared" si="91"/>
        <v>-24041</v>
      </c>
    </row>
    <row r="73" spans="1:32" outlineLevel="1">
      <c r="A73" s="418" t="s">
        <v>702</v>
      </c>
      <c r="B73" s="418" t="s">
        <v>703</v>
      </c>
      <c r="D73" s="423">
        <v>192</v>
      </c>
      <c r="E73" s="423">
        <v>487</v>
      </c>
      <c r="F73" s="423">
        <v>390</v>
      </c>
      <c r="G73" s="423">
        <v>-229</v>
      </c>
      <c r="H73" s="423">
        <v>-78</v>
      </c>
      <c r="I73" s="423">
        <v>-214</v>
      </c>
      <c r="J73" s="423">
        <v>-331</v>
      </c>
      <c r="K73" s="423">
        <v>-48</v>
      </c>
      <c r="L73" s="423">
        <v>487</v>
      </c>
      <c r="M73" s="423">
        <v>238</v>
      </c>
      <c r="N73" s="423">
        <v>1154</v>
      </c>
      <c r="O73" s="423">
        <v>1568</v>
      </c>
      <c r="P73" s="423">
        <v>466</v>
      </c>
      <c r="Q73" s="423">
        <v>913</v>
      </c>
      <c r="R73" s="423">
        <v>1293</v>
      </c>
      <c r="S73" s="423">
        <v>1704</v>
      </c>
      <c r="T73" s="423">
        <v>444</v>
      </c>
      <c r="U73" s="423">
        <v>753</v>
      </c>
      <c r="W73" s="423">
        <f t="shared" si="82"/>
        <v>487</v>
      </c>
      <c r="X73" s="423">
        <f t="shared" si="83"/>
        <v>-249</v>
      </c>
      <c r="Y73" s="423">
        <f t="shared" si="84"/>
        <v>916</v>
      </c>
      <c r="Z73" s="423">
        <f t="shared" si="85"/>
        <v>414</v>
      </c>
      <c r="AA73" s="423">
        <f t="shared" si="86"/>
        <v>466</v>
      </c>
      <c r="AB73" s="423">
        <f t="shared" si="87"/>
        <v>447</v>
      </c>
      <c r="AC73" s="423">
        <f t="shared" si="88"/>
        <v>380</v>
      </c>
      <c r="AD73" s="423">
        <f t="shared" si="89"/>
        <v>411</v>
      </c>
      <c r="AE73" s="423">
        <f t="shared" si="90"/>
        <v>444</v>
      </c>
      <c r="AF73" s="423">
        <f t="shared" si="91"/>
        <v>309</v>
      </c>
    </row>
    <row r="74" spans="1:32" outlineLevel="1">
      <c r="A74" s="418" t="s">
        <v>704</v>
      </c>
      <c r="B74" s="418" t="s">
        <v>705</v>
      </c>
      <c r="D74" s="423">
        <v>-958</v>
      </c>
      <c r="E74" s="423">
        <v>-1139</v>
      </c>
      <c r="F74" s="423">
        <v>-1652</v>
      </c>
      <c r="G74" s="423">
        <v>4695</v>
      </c>
      <c r="H74" s="423">
        <v>-1315</v>
      </c>
      <c r="I74" s="423">
        <v>1247</v>
      </c>
      <c r="J74" s="423">
        <v>247</v>
      </c>
      <c r="K74" s="423">
        <v>6275</v>
      </c>
      <c r="L74" s="423">
        <v>-2433</v>
      </c>
      <c r="M74" s="423">
        <v>-480</v>
      </c>
      <c r="N74" s="423">
        <v>-1725</v>
      </c>
      <c r="O74" s="423">
        <v>-2687</v>
      </c>
      <c r="P74" s="423">
        <v>-2722</v>
      </c>
      <c r="Q74" s="423">
        <v>-3943</v>
      </c>
      <c r="R74" s="423">
        <v>-8759</v>
      </c>
      <c r="S74" s="423">
        <v>-10492</v>
      </c>
      <c r="T74" s="423">
        <v>-3979</v>
      </c>
      <c r="U74" s="423">
        <v>-12300</v>
      </c>
      <c r="W74" s="423">
        <f t="shared" si="82"/>
        <v>-2433</v>
      </c>
      <c r="X74" s="423">
        <f t="shared" si="83"/>
        <v>1953</v>
      </c>
      <c r="Y74" s="423">
        <f t="shared" si="84"/>
        <v>-1245</v>
      </c>
      <c r="Z74" s="423">
        <f t="shared" si="85"/>
        <v>-962</v>
      </c>
      <c r="AA74" s="423">
        <f t="shared" si="86"/>
        <v>-2722</v>
      </c>
      <c r="AB74" s="423">
        <f t="shared" si="87"/>
        <v>-1221</v>
      </c>
      <c r="AC74" s="423">
        <f t="shared" si="88"/>
        <v>-4816</v>
      </c>
      <c r="AD74" s="423">
        <f t="shared" si="89"/>
        <v>-1733</v>
      </c>
      <c r="AE74" s="423">
        <f t="shared" si="90"/>
        <v>-3979</v>
      </c>
      <c r="AF74" s="423">
        <f t="shared" si="91"/>
        <v>-8321</v>
      </c>
    </row>
    <row r="75" spans="1:32" outlineLevel="1">
      <c r="A75" s="418" t="s">
        <v>706</v>
      </c>
      <c r="B75" s="418" t="s">
        <v>707</v>
      </c>
      <c r="D75" s="423">
        <v>-4486</v>
      </c>
      <c r="E75" s="423">
        <v>-7036</v>
      </c>
      <c r="F75" s="423">
        <v>-12293</v>
      </c>
      <c r="G75" s="423">
        <v>-19057</v>
      </c>
      <c r="H75" s="423">
        <v>-5630</v>
      </c>
      <c r="I75" s="423">
        <v>-11486</v>
      </c>
      <c r="J75" s="423">
        <v>-12653</v>
      </c>
      <c r="K75" s="423">
        <v>-13426</v>
      </c>
      <c r="L75" s="423">
        <v>-4932</v>
      </c>
      <c r="M75" s="423">
        <v>-7628</v>
      </c>
      <c r="N75" s="423">
        <v>-9978</v>
      </c>
      <c r="O75" s="423">
        <v>-13389</v>
      </c>
      <c r="P75" s="423">
        <v>-4893</v>
      </c>
      <c r="Q75" s="423">
        <v>-8319</v>
      </c>
      <c r="R75" s="423">
        <v>-13317</v>
      </c>
      <c r="S75" s="423">
        <v>-44061</v>
      </c>
      <c r="T75" s="423">
        <v>-9008</v>
      </c>
      <c r="U75" s="423">
        <v>-11908</v>
      </c>
      <c r="W75" s="423">
        <f t="shared" si="82"/>
        <v>-4932</v>
      </c>
      <c r="X75" s="423">
        <f t="shared" si="83"/>
        <v>-2696</v>
      </c>
      <c r="Y75" s="423">
        <f t="shared" si="84"/>
        <v>-2350</v>
      </c>
      <c r="Z75" s="423">
        <f t="shared" si="85"/>
        <v>-3411</v>
      </c>
      <c r="AA75" s="423">
        <f t="shared" si="86"/>
        <v>-4893</v>
      </c>
      <c r="AB75" s="423">
        <f t="shared" si="87"/>
        <v>-3426</v>
      </c>
      <c r="AC75" s="423">
        <f t="shared" si="88"/>
        <v>-4998</v>
      </c>
      <c r="AD75" s="423">
        <f t="shared" si="89"/>
        <v>-30744</v>
      </c>
      <c r="AE75" s="423">
        <f t="shared" si="90"/>
        <v>-9008</v>
      </c>
      <c r="AF75" s="423">
        <f t="shared" si="91"/>
        <v>-2900</v>
      </c>
    </row>
    <row r="76" spans="1:32" outlineLevel="1">
      <c r="A76" s="418" t="s">
        <v>805</v>
      </c>
      <c r="B76" s="418" t="s">
        <v>806</v>
      </c>
      <c r="D76" s="423">
        <v>-11471</v>
      </c>
      <c r="E76" s="423">
        <v>-25253</v>
      </c>
      <c r="F76" s="423">
        <v>-40517</v>
      </c>
      <c r="G76" s="423">
        <v>-53831</v>
      </c>
      <c r="H76" s="423">
        <v>-10397</v>
      </c>
      <c r="I76" s="423">
        <v>-21413</v>
      </c>
      <c r="J76" s="423">
        <v>-31369</v>
      </c>
      <c r="K76" s="423">
        <v>-44904</v>
      </c>
      <c r="L76" s="423">
        <v>-10838</v>
      </c>
      <c r="M76" s="423">
        <v>-21423</v>
      </c>
      <c r="N76" s="423">
        <v>-31828</v>
      </c>
      <c r="O76" s="423">
        <v>-79089</v>
      </c>
      <c r="P76" s="423">
        <v>-6959</v>
      </c>
      <c r="Q76" s="423">
        <v>-4565</v>
      </c>
      <c r="R76" s="423">
        <v>-4513</v>
      </c>
      <c r="S76" s="423">
        <v>-104288</v>
      </c>
      <c r="T76" s="423">
        <v>-39517</v>
      </c>
      <c r="U76" s="423">
        <v>-51607</v>
      </c>
      <c r="W76" s="423">
        <f t="shared" si="82"/>
        <v>-10838</v>
      </c>
      <c r="X76" s="423">
        <f t="shared" si="83"/>
        <v>-10585</v>
      </c>
      <c r="Y76" s="423">
        <f t="shared" si="84"/>
        <v>-10405</v>
      </c>
      <c r="Z76" s="423">
        <f t="shared" si="85"/>
        <v>-47261</v>
      </c>
      <c r="AA76" s="423">
        <f t="shared" si="86"/>
        <v>-6959</v>
      </c>
      <c r="AB76" s="423">
        <f t="shared" si="87"/>
        <v>2394</v>
      </c>
      <c r="AC76" s="423">
        <f t="shared" si="88"/>
        <v>52</v>
      </c>
      <c r="AD76" s="423">
        <f t="shared" si="89"/>
        <v>-99775</v>
      </c>
      <c r="AE76" s="423">
        <f t="shared" si="90"/>
        <v>-39517</v>
      </c>
      <c r="AF76" s="423">
        <f t="shared" si="91"/>
        <v>-12090</v>
      </c>
    </row>
    <row r="77" spans="1:32" outlineLevel="1">
      <c r="A77" s="418" t="s">
        <v>807</v>
      </c>
      <c r="B77" s="418" t="s">
        <v>808</v>
      </c>
      <c r="D77" s="423">
        <v>0</v>
      </c>
      <c r="E77" s="423">
        <v>0</v>
      </c>
      <c r="F77" s="423">
        <v>0</v>
      </c>
      <c r="G77" s="423">
        <v>0</v>
      </c>
      <c r="H77" s="423">
        <v>0</v>
      </c>
      <c r="I77" s="423">
        <v>0</v>
      </c>
      <c r="J77" s="423">
        <v>0</v>
      </c>
      <c r="K77" s="423">
        <v>0</v>
      </c>
      <c r="L77" s="423">
        <v>0</v>
      </c>
      <c r="M77" s="423">
        <v>0</v>
      </c>
      <c r="N77" s="423">
        <v>0</v>
      </c>
      <c r="O77" s="423">
        <v>0</v>
      </c>
      <c r="P77" s="423">
        <v>0</v>
      </c>
      <c r="Q77" s="423">
        <v>0</v>
      </c>
      <c r="R77" s="423">
        <v>0</v>
      </c>
      <c r="S77" s="423">
        <v>0</v>
      </c>
      <c r="T77" s="423">
        <v>0</v>
      </c>
      <c r="U77" s="423">
        <v>0</v>
      </c>
      <c r="W77" s="423">
        <f t="shared" si="82"/>
        <v>0</v>
      </c>
      <c r="X77" s="423">
        <f t="shared" si="83"/>
        <v>0</v>
      </c>
      <c r="Y77" s="423">
        <f t="shared" si="84"/>
        <v>0</v>
      </c>
      <c r="Z77" s="423">
        <f t="shared" si="85"/>
        <v>0</v>
      </c>
      <c r="AA77" s="423">
        <f t="shared" si="86"/>
        <v>0</v>
      </c>
      <c r="AB77" s="423">
        <f t="shared" si="87"/>
        <v>0</v>
      </c>
      <c r="AC77" s="423">
        <f t="shared" si="88"/>
        <v>0</v>
      </c>
      <c r="AD77" s="423">
        <f t="shared" si="89"/>
        <v>0</v>
      </c>
      <c r="AE77" s="423">
        <f t="shared" si="90"/>
        <v>0</v>
      </c>
      <c r="AF77" s="423">
        <f t="shared" si="91"/>
        <v>0</v>
      </c>
    </row>
    <row r="78" spans="1:32">
      <c r="A78" s="417" t="s">
        <v>712</v>
      </c>
      <c r="B78" s="417" t="s">
        <v>713</v>
      </c>
      <c r="D78" s="422">
        <v>0</v>
      </c>
      <c r="E78" s="422">
        <v>0</v>
      </c>
      <c r="F78" s="422">
        <v>0</v>
      </c>
      <c r="G78" s="422">
        <v>0</v>
      </c>
      <c r="H78" s="422">
        <v>0</v>
      </c>
      <c r="I78" s="422">
        <v>0</v>
      </c>
      <c r="J78" s="422">
        <v>0</v>
      </c>
      <c r="K78" s="422"/>
      <c r="L78" s="422">
        <v>0</v>
      </c>
      <c r="M78" s="422">
        <v>0</v>
      </c>
      <c r="N78" s="422">
        <v>0</v>
      </c>
      <c r="O78" s="422">
        <v>0</v>
      </c>
      <c r="P78" s="422">
        <v>0</v>
      </c>
      <c r="Q78" s="422">
        <v>0</v>
      </c>
      <c r="R78" s="422">
        <v>0</v>
      </c>
      <c r="S78" s="422">
        <v>0</v>
      </c>
      <c r="T78" s="422">
        <v>0</v>
      </c>
      <c r="U78" s="422">
        <v>0</v>
      </c>
      <c r="W78" s="422">
        <f t="shared" si="82"/>
        <v>0</v>
      </c>
      <c r="X78" s="422"/>
      <c r="Y78" s="422">
        <f t="shared" si="84"/>
        <v>0</v>
      </c>
      <c r="Z78" s="422">
        <f t="shared" si="85"/>
        <v>0</v>
      </c>
      <c r="AA78" s="422">
        <f t="shared" si="86"/>
        <v>0</v>
      </c>
      <c r="AB78" s="422">
        <f t="shared" si="87"/>
        <v>0</v>
      </c>
      <c r="AC78" s="422">
        <f t="shared" si="88"/>
        <v>0</v>
      </c>
      <c r="AD78" s="422">
        <f t="shared" si="89"/>
        <v>0</v>
      </c>
      <c r="AE78" s="422">
        <f t="shared" si="90"/>
        <v>0</v>
      </c>
      <c r="AF78" s="422">
        <f t="shared" si="91"/>
        <v>0</v>
      </c>
    </row>
    <row r="79" spans="1:32">
      <c r="A79" s="417" t="s">
        <v>714</v>
      </c>
      <c r="B79" s="417" t="s">
        <v>715</v>
      </c>
      <c r="D79" s="422">
        <f t="shared" ref="D79:L79" si="92">SUM(D80:D82)</f>
        <v>-41935</v>
      </c>
      <c r="E79" s="422">
        <f t="shared" si="92"/>
        <v>-119003</v>
      </c>
      <c r="F79" s="422">
        <f t="shared" si="92"/>
        <v>-147633</v>
      </c>
      <c r="G79" s="422">
        <f t="shared" si="92"/>
        <v>-348737</v>
      </c>
      <c r="H79" s="422">
        <f t="shared" si="92"/>
        <v>24998</v>
      </c>
      <c r="I79" s="422">
        <f t="shared" si="92"/>
        <v>-25714</v>
      </c>
      <c r="J79" s="422">
        <f t="shared" si="92"/>
        <v>-90030</v>
      </c>
      <c r="K79" s="422">
        <f t="shared" si="92"/>
        <v>-113267</v>
      </c>
      <c r="L79" s="422">
        <f t="shared" si="92"/>
        <v>-29433</v>
      </c>
      <c r="M79" s="422">
        <f t="shared" ref="M79:T79" si="93">SUM(M80:M82)</f>
        <v>-74365</v>
      </c>
      <c r="N79" s="422">
        <f t="shared" si="93"/>
        <v>-78641</v>
      </c>
      <c r="O79" s="422">
        <f t="shared" si="93"/>
        <v>-191010</v>
      </c>
      <c r="P79" s="422">
        <f t="shared" si="93"/>
        <v>-30211</v>
      </c>
      <c r="Q79" s="422">
        <f t="shared" si="93"/>
        <v>-59761</v>
      </c>
      <c r="R79" s="422">
        <f t="shared" si="93"/>
        <v>-165597</v>
      </c>
      <c r="S79" s="422">
        <f t="shared" si="93"/>
        <v>-221917</v>
      </c>
      <c r="T79" s="422">
        <f t="shared" si="93"/>
        <v>-58264</v>
      </c>
      <c r="U79" s="422">
        <f>SUM(U80:U82)</f>
        <v>-98019</v>
      </c>
      <c r="W79" s="422">
        <f t="shared" ref="W79:AC79" si="94">SUM(W80:W82)</f>
        <v>-29433</v>
      </c>
      <c r="X79" s="422">
        <f t="shared" si="94"/>
        <v>-44932</v>
      </c>
      <c r="Y79" s="422">
        <f t="shared" si="94"/>
        <v>-4276</v>
      </c>
      <c r="Z79" s="422">
        <f t="shared" si="94"/>
        <v>-112369</v>
      </c>
      <c r="AA79" s="422">
        <f t="shared" si="94"/>
        <v>-30211</v>
      </c>
      <c r="AB79" s="422">
        <f t="shared" si="94"/>
        <v>-29550</v>
      </c>
      <c r="AC79" s="422">
        <f t="shared" si="94"/>
        <v>-105836</v>
      </c>
      <c r="AD79" s="422">
        <f t="shared" ref="AD79:AE79" si="95">SUM(AD80:AD82)</f>
        <v>-56320</v>
      </c>
      <c r="AE79" s="422">
        <f t="shared" si="95"/>
        <v>-58264</v>
      </c>
      <c r="AF79" s="422">
        <f>SUM(AF80:AF82)</f>
        <v>-39755</v>
      </c>
    </row>
    <row r="80" spans="1:32" outlineLevel="1">
      <c r="A80" s="418" t="s">
        <v>716</v>
      </c>
      <c r="B80" s="418" t="s">
        <v>717</v>
      </c>
      <c r="D80" s="423">
        <v>-2613</v>
      </c>
      <c r="E80" s="423">
        <v>-5508</v>
      </c>
      <c r="F80" s="423">
        <v>-10537</v>
      </c>
      <c r="G80" s="423">
        <v>-18778</v>
      </c>
      <c r="H80" s="423">
        <v>-3129</v>
      </c>
      <c r="I80" s="423">
        <v>-5210</v>
      </c>
      <c r="J80" s="423">
        <v>-7775</v>
      </c>
      <c r="K80" s="423">
        <v>-16436</v>
      </c>
      <c r="L80" s="423">
        <v>-5438</v>
      </c>
      <c r="M80" s="423">
        <v>-9259</v>
      </c>
      <c r="N80" s="423">
        <v>-13277</v>
      </c>
      <c r="O80" s="423">
        <v>-50877</v>
      </c>
      <c r="P80" s="423">
        <v>-6547</v>
      </c>
      <c r="Q80" s="423">
        <v>-12720</v>
      </c>
      <c r="R80" s="423">
        <v>-18444</v>
      </c>
      <c r="S80" s="423">
        <v>-25323</v>
      </c>
      <c r="T80" s="423">
        <v>-7357</v>
      </c>
      <c r="U80" s="423">
        <v>-13901</v>
      </c>
      <c r="W80" s="423">
        <f>L80</f>
        <v>-5438</v>
      </c>
      <c r="X80" s="423">
        <f>M80-W80</f>
        <v>-3821</v>
      </c>
      <c r="Y80" s="423">
        <f t="shared" ref="Y80:Z82" si="96">N80-M80</f>
        <v>-4018</v>
      </c>
      <c r="Z80" s="423">
        <f t="shared" si="96"/>
        <v>-37600</v>
      </c>
      <c r="AA80" s="423">
        <f>P80</f>
        <v>-6547</v>
      </c>
      <c r="AB80" s="423">
        <f t="shared" ref="AB80:AB82" si="97">Q80-AA80</f>
        <v>-6173</v>
      </c>
      <c r="AC80" s="423">
        <f t="shared" ref="AC80:AD82" si="98">R80-Q80</f>
        <v>-5724</v>
      </c>
      <c r="AD80" s="423">
        <f t="shared" si="98"/>
        <v>-6879</v>
      </c>
      <c r="AE80" s="423">
        <f>T80</f>
        <v>-7357</v>
      </c>
      <c r="AF80" s="423">
        <f>U80-T80</f>
        <v>-6544</v>
      </c>
    </row>
    <row r="81" spans="1:32" outlineLevel="1">
      <c r="A81" s="418" t="s">
        <v>718</v>
      </c>
      <c r="B81" s="418" t="s">
        <v>719</v>
      </c>
      <c r="D81" s="423">
        <v>-39322</v>
      </c>
      <c r="E81" s="423">
        <v>-113495</v>
      </c>
      <c r="F81" s="423">
        <v>-137096</v>
      </c>
      <c r="G81" s="423">
        <v>-329959</v>
      </c>
      <c r="H81" s="423">
        <v>28127</v>
      </c>
      <c r="I81" s="423">
        <v>-20504</v>
      </c>
      <c r="J81" s="423">
        <v>-82255</v>
      </c>
      <c r="K81" s="423">
        <v>-96831</v>
      </c>
      <c r="L81" s="423">
        <v>-23995</v>
      </c>
      <c r="M81" s="423">
        <v>-44040</v>
      </c>
      <c r="N81" s="423">
        <v>-27841</v>
      </c>
      <c r="O81" s="423">
        <v>-54577</v>
      </c>
      <c r="P81" s="423">
        <v>-17489</v>
      </c>
      <c r="Q81" s="423">
        <v>-34613</v>
      </c>
      <c r="R81" s="423">
        <v>-131240</v>
      </c>
      <c r="S81" s="423">
        <v>-170868</v>
      </c>
      <c r="T81" s="423">
        <v>-43188</v>
      </c>
      <c r="U81" s="423">
        <v>-70743</v>
      </c>
      <c r="W81" s="423">
        <f>L81</f>
        <v>-23995</v>
      </c>
      <c r="X81" s="423">
        <f>M81-W81</f>
        <v>-20045</v>
      </c>
      <c r="Y81" s="423">
        <f t="shared" si="96"/>
        <v>16199</v>
      </c>
      <c r="Z81" s="423">
        <f t="shared" si="96"/>
        <v>-26736</v>
      </c>
      <c r="AA81" s="423">
        <f>P81</f>
        <v>-17489</v>
      </c>
      <c r="AB81" s="423">
        <f t="shared" si="97"/>
        <v>-17124</v>
      </c>
      <c r="AC81" s="423">
        <f t="shared" si="98"/>
        <v>-96627</v>
      </c>
      <c r="AD81" s="423">
        <f t="shared" si="98"/>
        <v>-39628</v>
      </c>
      <c r="AE81" s="423">
        <f>T81</f>
        <v>-43188</v>
      </c>
      <c r="AF81" s="423">
        <f>U81-T81</f>
        <v>-27555</v>
      </c>
    </row>
    <row r="82" spans="1:32" outlineLevel="1">
      <c r="A82" s="418" t="s">
        <v>720</v>
      </c>
      <c r="B82" s="418" t="s">
        <v>721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>
        <v>-21066</v>
      </c>
      <c r="N82" s="423">
        <v>-37523</v>
      </c>
      <c r="O82" s="423">
        <v>-85556</v>
      </c>
      <c r="P82" s="423">
        <v>-6175</v>
      </c>
      <c r="Q82" s="423">
        <v>-12428</v>
      </c>
      <c r="R82" s="423">
        <v>-15913</v>
      </c>
      <c r="S82" s="423">
        <v>-25726</v>
      </c>
      <c r="T82" s="423">
        <v>-7719</v>
      </c>
      <c r="U82" s="423">
        <v>-13375</v>
      </c>
      <c r="W82" s="423"/>
      <c r="X82" s="423">
        <f>M82-W82</f>
        <v>-21066</v>
      </c>
      <c r="Y82" s="423">
        <f t="shared" si="96"/>
        <v>-16457</v>
      </c>
      <c r="Z82" s="423">
        <f t="shared" si="96"/>
        <v>-48033</v>
      </c>
      <c r="AA82" s="423">
        <f>P82</f>
        <v>-6175</v>
      </c>
      <c r="AB82" s="423">
        <f t="shared" si="97"/>
        <v>-6253</v>
      </c>
      <c r="AC82" s="423">
        <f t="shared" si="98"/>
        <v>-3485</v>
      </c>
      <c r="AD82" s="423">
        <f t="shared" si="98"/>
        <v>-9813</v>
      </c>
      <c r="AE82" s="423">
        <f>T82</f>
        <v>-7719</v>
      </c>
      <c r="AF82" s="423">
        <f>U82-T82</f>
        <v>-5656</v>
      </c>
    </row>
    <row r="83" spans="1:32">
      <c r="A83" s="417"/>
      <c r="B83" s="417"/>
      <c r="D83" s="417"/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</row>
    <row r="84" spans="1:32">
      <c r="A84" s="429" t="s">
        <v>722</v>
      </c>
      <c r="B84" s="429" t="s">
        <v>722</v>
      </c>
      <c r="D84" s="420">
        <f t="shared" ref="D84:I84" si="99">D86-D76-D53-D77</f>
        <v>558723</v>
      </c>
      <c r="E84" s="420">
        <f t="shared" si="99"/>
        <v>1238840</v>
      </c>
      <c r="F84" s="420">
        <f t="shared" si="99"/>
        <v>1746716</v>
      </c>
      <c r="G84" s="420">
        <f t="shared" si="99"/>
        <v>2399015</v>
      </c>
      <c r="H84" s="420">
        <f t="shared" si="99"/>
        <v>691434</v>
      </c>
      <c r="I84" s="420">
        <f t="shared" si="99"/>
        <v>1535341</v>
      </c>
      <c r="J84" s="420">
        <f t="shared" ref="J84:T84" si="100">J86-J76-J53-J77</f>
        <v>2527751</v>
      </c>
      <c r="K84" s="420">
        <f t="shared" si="100"/>
        <v>3323524</v>
      </c>
      <c r="L84" s="420">
        <f t="shared" si="100"/>
        <v>737201</v>
      </c>
      <c r="M84" s="420">
        <f t="shared" si="100"/>
        <v>1521184</v>
      </c>
      <c r="N84" s="420">
        <f t="shared" si="100"/>
        <v>2319108</v>
      </c>
      <c r="O84" s="420">
        <f t="shared" si="100"/>
        <v>2956482</v>
      </c>
      <c r="P84" s="420">
        <f t="shared" si="100"/>
        <v>745579</v>
      </c>
      <c r="Q84" s="420">
        <f t="shared" si="100"/>
        <v>1521254</v>
      </c>
      <c r="R84" s="420">
        <f t="shared" si="100"/>
        <v>2173328</v>
      </c>
      <c r="S84" s="420">
        <f t="shared" si="100"/>
        <v>2949001</v>
      </c>
      <c r="T84" s="420">
        <f t="shared" si="100"/>
        <v>800932</v>
      </c>
      <c r="U84" s="741">
        <f>U86-U76-U53-U77</f>
        <v>1653274</v>
      </c>
      <c r="W84" s="420">
        <f t="shared" ref="W84:AC84" si="101">W86-W76-W53-W77</f>
        <v>737201</v>
      </c>
      <c r="X84" s="420">
        <f t="shared" si="101"/>
        <v>783983</v>
      </c>
      <c r="Y84" s="420">
        <f t="shared" si="101"/>
        <v>797924</v>
      </c>
      <c r="Z84" s="420">
        <f t="shared" si="101"/>
        <v>637374</v>
      </c>
      <c r="AA84" s="420">
        <f t="shared" si="101"/>
        <v>745579</v>
      </c>
      <c r="AB84" s="420">
        <f t="shared" si="101"/>
        <v>775675</v>
      </c>
      <c r="AC84" s="420">
        <f t="shared" si="101"/>
        <v>652074</v>
      </c>
      <c r="AD84" s="420">
        <f t="shared" ref="AD84:AE84" si="102">AD86-AD76-AD53-AD77</f>
        <v>775673</v>
      </c>
      <c r="AE84" s="420">
        <f t="shared" si="102"/>
        <v>800932</v>
      </c>
      <c r="AF84" s="741">
        <f>AF86-AF76-AF53-AF77</f>
        <v>1333769</v>
      </c>
    </row>
    <row r="85" spans="1:32">
      <c r="A85" s="417"/>
      <c r="B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</row>
    <row r="86" spans="1:32">
      <c r="A86" s="429" t="s">
        <v>723</v>
      </c>
      <c r="B86" s="429" t="s">
        <v>724</v>
      </c>
      <c r="D86" s="420">
        <f t="shared" ref="D86:I86" si="103">D58+D60</f>
        <v>471977</v>
      </c>
      <c r="E86" s="420">
        <f t="shared" si="103"/>
        <v>1057706</v>
      </c>
      <c r="F86" s="420">
        <f t="shared" si="103"/>
        <v>1471747</v>
      </c>
      <c r="G86" s="420">
        <f t="shared" si="103"/>
        <v>2018610</v>
      </c>
      <c r="H86" s="420">
        <f t="shared" si="103"/>
        <v>576539</v>
      </c>
      <c r="I86" s="420">
        <f t="shared" si="103"/>
        <v>1315764</v>
      </c>
      <c r="J86" s="420">
        <f t="shared" ref="J86:T86" si="104">J58+J60</f>
        <v>2204392</v>
      </c>
      <c r="K86" s="420">
        <f t="shared" si="104"/>
        <v>2884451</v>
      </c>
      <c r="L86" s="420">
        <f t="shared" si="104"/>
        <v>621711</v>
      </c>
      <c r="M86" s="420">
        <f t="shared" si="104"/>
        <v>1285046</v>
      </c>
      <c r="N86" s="420">
        <f t="shared" si="104"/>
        <v>2016353</v>
      </c>
      <c r="O86" s="420">
        <f t="shared" si="104"/>
        <v>2531582</v>
      </c>
      <c r="P86" s="420">
        <f t="shared" si="104"/>
        <v>633700</v>
      </c>
      <c r="Q86" s="420">
        <f t="shared" si="104"/>
        <v>1186528</v>
      </c>
      <c r="R86" s="420">
        <f t="shared" si="104"/>
        <v>1765738</v>
      </c>
      <c r="S86" s="420">
        <f t="shared" si="104"/>
        <v>2335099</v>
      </c>
      <c r="T86" s="420">
        <f t="shared" si="104"/>
        <v>633443</v>
      </c>
      <c r="U86" s="741">
        <f>U58+U60</f>
        <v>1311653</v>
      </c>
      <c r="W86" s="420">
        <f t="shared" ref="W86:AC86" si="105">W58+W60</f>
        <v>621711</v>
      </c>
      <c r="X86" s="420">
        <f t="shared" si="105"/>
        <v>663335</v>
      </c>
      <c r="Y86" s="420">
        <f t="shared" si="105"/>
        <v>731307</v>
      </c>
      <c r="Z86" s="420">
        <f t="shared" si="105"/>
        <v>515229</v>
      </c>
      <c r="AA86" s="420">
        <f t="shared" si="105"/>
        <v>633700</v>
      </c>
      <c r="AB86" s="420">
        <f t="shared" si="105"/>
        <v>552828</v>
      </c>
      <c r="AC86" s="420">
        <f t="shared" si="105"/>
        <v>579210</v>
      </c>
      <c r="AD86" s="420">
        <f t="shared" ref="AD86:AE86" si="106">AD58+AD60</f>
        <v>569361</v>
      </c>
      <c r="AE86" s="420">
        <f t="shared" si="106"/>
        <v>633443</v>
      </c>
      <c r="AF86" s="741">
        <f>AF58+AF60</f>
        <v>1159637</v>
      </c>
    </row>
    <row r="87" spans="1:32">
      <c r="A87" s="417"/>
      <c r="B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</row>
    <row r="88" spans="1:32">
      <c r="A88" s="429" t="s">
        <v>725</v>
      </c>
      <c r="B88" s="429" t="s">
        <v>726</v>
      </c>
      <c r="D88" s="420">
        <f t="shared" ref="D88:I88" si="107">D90+D100</f>
        <v>-90043</v>
      </c>
      <c r="E88" s="420">
        <f t="shared" si="107"/>
        <v>-200253</v>
      </c>
      <c r="F88" s="420">
        <f t="shared" si="107"/>
        <v>-213768</v>
      </c>
      <c r="G88" s="420">
        <f t="shared" si="107"/>
        <v>-282902</v>
      </c>
      <c r="H88" s="420">
        <f t="shared" si="107"/>
        <v>-103294</v>
      </c>
      <c r="I88" s="420">
        <f t="shared" si="107"/>
        <v>-213058</v>
      </c>
      <c r="J88" s="420">
        <f t="shared" ref="J88:T88" si="108">J90+J100</f>
        <v>-253692</v>
      </c>
      <c r="K88" s="420">
        <f t="shared" si="108"/>
        <v>-331382</v>
      </c>
      <c r="L88" s="420">
        <f t="shared" si="108"/>
        <v>-97114</v>
      </c>
      <c r="M88" s="420">
        <f t="shared" si="108"/>
        <v>-175089</v>
      </c>
      <c r="N88" s="420">
        <f t="shared" si="108"/>
        <v>-247427</v>
      </c>
      <c r="O88" s="420">
        <f t="shared" si="108"/>
        <v>-337454</v>
      </c>
      <c r="P88" s="420">
        <f t="shared" si="108"/>
        <v>-147247</v>
      </c>
      <c r="Q88" s="420">
        <f t="shared" si="108"/>
        <v>-275122</v>
      </c>
      <c r="R88" s="420">
        <f t="shared" si="108"/>
        <v>-401048</v>
      </c>
      <c r="S88" s="420">
        <f t="shared" si="108"/>
        <v>-530437</v>
      </c>
      <c r="T88" s="420">
        <f t="shared" si="108"/>
        <v>-175889</v>
      </c>
      <c r="U88" s="741">
        <f>U90+U100</f>
        <v>-383851</v>
      </c>
      <c r="W88" s="420">
        <f t="shared" ref="W88:AC88" si="109">W90+W100</f>
        <v>-97114</v>
      </c>
      <c r="X88" s="420">
        <f t="shared" si="109"/>
        <v>-77975</v>
      </c>
      <c r="Y88" s="420">
        <f t="shared" si="109"/>
        <v>-72338</v>
      </c>
      <c r="Z88" s="420">
        <f t="shared" si="109"/>
        <v>-90027</v>
      </c>
      <c r="AA88" s="420">
        <f t="shared" si="109"/>
        <v>-147247</v>
      </c>
      <c r="AB88" s="420">
        <f t="shared" si="109"/>
        <v>-127875</v>
      </c>
      <c r="AC88" s="420">
        <f t="shared" si="109"/>
        <v>-125926</v>
      </c>
      <c r="AD88" s="420">
        <f t="shared" ref="AD88:AE88" si="110">AD90+AD100</f>
        <v>-129389</v>
      </c>
      <c r="AE88" s="420">
        <f t="shared" si="110"/>
        <v>-175889</v>
      </c>
      <c r="AF88" s="741">
        <f>AF90+AF100</f>
        <v>-207962</v>
      </c>
    </row>
    <row r="89" spans="1:32">
      <c r="A89" s="416"/>
      <c r="B89" s="416"/>
      <c r="D89" s="417"/>
      <c r="E89" s="417"/>
      <c r="F89" s="417"/>
      <c r="G89" s="417"/>
      <c r="H89" s="422"/>
      <c r="I89" s="417"/>
      <c r="J89" s="422"/>
      <c r="K89" s="417"/>
      <c r="L89" s="417"/>
      <c r="M89" s="417"/>
      <c r="N89" s="417"/>
      <c r="O89" s="417"/>
      <c r="P89" s="417"/>
      <c r="Q89" s="417"/>
      <c r="R89" s="417"/>
      <c r="S89" s="417"/>
      <c r="T89" s="417"/>
      <c r="U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</row>
    <row r="90" spans="1:32">
      <c r="A90" s="417" t="s">
        <v>727</v>
      </c>
      <c r="B90" s="417" t="s">
        <v>728</v>
      </c>
      <c r="D90" s="424">
        <f t="shared" ref="D90:I90" si="111">SUM(D91:D99)</f>
        <v>264290</v>
      </c>
      <c r="E90" s="424">
        <f t="shared" si="111"/>
        <v>494974</v>
      </c>
      <c r="F90" s="424">
        <f t="shared" si="111"/>
        <v>669794</v>
      </c>
      <c r="G90" s="424">
        <f t="shared" si="111"/>
        <v>850279</v>
      </c>
      <c r="H90" s="424">
        <f t="shared" si="111"/>
        <v>147081</v>
      </c>
      <c r="I90" s="424">
        <f t="shared" si="111"/>
        <v>432645</v>
      </c>
      <c r="J90" s="424">
        <f t="shared" ref="J90:T90" si="112">SUM(J91:J99)</f>
        <v>511423</v>
      </c>
      <c r="K90" s="424">
        <f t="shared" si="112"/>
        <v>679121</v>
      </c>
      <c r="L90" s="424">
        <f t="shared" si="112"/>
        <v>106943</v>
      </c>
      <c r="M90" s="424">
        <f t="shared" si="112"/>
        <v>343067</v>
      </c>
      <c r="N90" s="424">
        <f t="shared" si="112"/>
        <v>454903</v>
      </c>
      <c r="O90" s="424">
        <f t="shared" si="112"/>
        <v>803330</v>
      </c>
      <c r="P90" s="424">
        <f t="shared" si="112"/>
        <v>265761</v>
      </c>
      <c r="Q90" s="424">
        <f t="shared" si="112"/>
        <v>539414</v>
      </c>
      <c r="R90" s="424">
        <f t="shared" si="112"/>
        <v>720248</v>
      </c>
      <c r="S90" s="424">
        <f t="shared" si="112"/>
        <v>942920</v>
      </c>
      <c r="T90" s="424">
        <f t="shared" si="112"/>
        <v>310629</v>
      </c>
      <c r="U90" s="424">
        <f>SUM(U91:U99)</f>
        <v>637235</v>
      </c>
      <c r="W90" s="424">
        <f t="shared" ref="W90:AC90" si="113">SUM(W91:W99)</f>
        <v>106943</v>
      </c>
      <c r="X90" s="424">
        <f t="shared" si="113"/>
        <v>236124</v>
      </c>
      <c r="Y90" s="424">
        <f t="shared" si="113"/>
        <v>111836</v>
      </c>
      <c r="Z90" s="424">
        <f t="shared" si="113"/>
        <v>348427</v>
      </c>
      <c r="AA90" s="424">
        <f t="shared" si="113"/>
        <v>265761</v>
      </c>
      <c r="AB90" s="424">
        <f t="shared" si="113"/>
        <v>273653</v>
      </c>
      <c r="AC90" s="424">
        <f t="shared" si="113"/>
        <v>180834</v>
      </c>
      <c r="AD90" s="424">
        <f t="shared" ref="AD90:AE90" si="114">SUM(AD91:AD99)</f>
        <v>222672</v>
      </c>
      <c r="AE90" s="424">
        <f t="shared" si="114"/>
        <v>310629</v>
      </c>
      <c r="AF90" s="424">
        <f>SUM(AF91:AF99)</f>
        <v>326606</v>
      </c>
    </row>
    <row r="91" spans="1:32" outlineLevel="1">
      <c r="A91" s="418" t="s">
        <v>729</v>
      </c>
      <c r="B91" s="418" t="s">
        <v>728</v>
      </c>
      <c r="D91" s="423">
        <v>34581</v>
      </c>
      <c r="E91" s="423">
        <v>89228</v>
      </c>
      <c r="F91" s="423">
        <v>151078</v>
      </c>
      <c r="G91" s="423">
        <v>215756</v>
      </c>
      <c r="H91" s="423">
        <v>52736</v>
      </c>
      <c r="I91" s="423">
        <v>101911</v>
      </c>
      <c r="J91" s="423">
        <v>148921</v>
      </c>
      <c r="K91" s="423">
        <v>193553</v>
      </c>
      <c r="L91" s="423">
        <v>34841</v>
      </c>
      <c r="M91" s="423">
        <v>81735</v>
      </c>
      <c r="N91" s="423">
        <v>150893</v>
      </c>
      <c r="O91" s="423">
        <v>224957</v>
      </c>
      <c r="P91" s="423">
        <v>92158</v>
      </c>
      <c r="Q91" s="423">
        <v>174382</v>
      </c>
      <c r="R91" s="423">
        <v>304824</v>
      </c>
      <c r="S91" s="423">
        <v>470604</v>
      </c>
      <c r="T91" s="423">
        <v>101345</v>
      </c>
      <c r="U91" s="423">
        <v>198174</v>
      </c>
      <c r="W91" s="423">
        <f t="shared" ref="W91:W99" si="115">L91</f>
        <v>34841</v>
      </c>
      <c r="X91" s="423">
        <f t="shared" ref="X91:X99" si="116">M91-W91</f>
        <v>46894</v>
      </c>
      <c r="Y91" s="423">
        <f t="shared" ref="Y91:Y99" si="117">N91-M91</f>
        <v>69158</v>
      </c>
      <c r="Z91" s="423">
        <f t="shared" ref="Z91:Z99" si="118">O91-N91</f>
        <v>74064</v>
      </c>
      <c r="AA91" s="423">
        <f t="shared" ref="AA91:AA99" si="119">P91</f>
        <v>92158</v>
      </c>
      <c r="AB91" s="423">
        <f t="shared" ref="AB91:AB99" si="120">Q91-AA91</f>
        <v>82224</v>
      </c>
      <c r="AC91" s="423">
        <f t="shared" ref="AC91:AC99" si="121">R91-Q91</f>
        <v>130442</v>
      </c>
      <c r="AD91" s="423">
        <f t="shared" ref="AD91:AD99" si="122">S91-R91</f>
        <v>165780</v>
      </c>
      <c r="AE91" s="423">
        <f t="shared" ref="AE91:AE99" si="123">T91</f>
        <v>101345</v>
      </c>
      <c r="AF91" s="423">
        <f t="shared" ref="AF91:AF99" si="124">U91-T91</f>
        <v>96829</v>
      </c>
    </row>
    <row r="92" spans="1:32" outlineLevel="1">
      <c r="A92" s="418" t="s">
        <v>730</v>
      </c>
      <c r="B92" s="418" t="s">
        <v>731</v>
      </c>
      <c r="D92" s="423">
        <v>-4961</v>
      </c>
      <c r="E92" s="423">
        <v>-11782</v>
      </c>
      <c r="F92" s="423">
        <v>-18508</v>
      </c>
      <c r="G92" s="423">
        <v>-25847</v>
      </c>
      <c r="H92" s="423">
        <v>-6307</v>
      </c>
      <c r="I92" s="423">
        <v>-11807</v>
      </c>
      <c r="J92" s="423">
        <v>-16980</v>
      </c>
      <c r="K92" s="423">
        <v>-21536</v>
      </c>
      <c r="L92" s="423">
        <v>-4077</v>
      </c>
      <c r="M92" s="423">
        <v>-8850</v>
      </c>
      <c r="N92" s="423">
        <v>-15309</v>
      </c>
      <c r="O92" s="423">
        <v>-23690</v>
      </c>
      <c r="P92" s="423">
        <v>-6925</v>
      </c>
      <c r="Q92" s="423">
        <v>-13202</v>
      </c>
      <c r="R92" s="423">
        <v>-22365</v>
      </c>
      <c r="S92" s="423">
        <v>-34095</v>
      </c>
      <c r="T92" s="423">
        <v>-7683</v>
      </c>
      <c r="U92" s="423">
        <v>-16242</v>
      </c>
      <c r="W92" s="423">
        <f t="shared" si="115"/>
        <v>-4077</v>
      </c>
      <c r="X92" s="423">
        <f t="shared" si="116"/>
        <v>-4773</v>
      </c>
      <c r="Y92" s="423">
        <f t="shared" si="117"/>
        <v>-6459</v>
      </c>
      <c r="Z92" s="423">
        <f t="shared" si="118"/>
        <v>-8381</v>
      </c>
      <c r="AA92" s="423">
        <f t="shared" si="119"/>
        <v>-6925</v>
      </c>
      <c r="AB92" s="423">
        <f t="shared" si="120"/>
        <v>-6277</v>
      </c>
      <c r="AC92" s="423">
        <f t="shared" si="121"/>
        <v>-9163</v>
      </c>
      <c r="AD92" s="423">
        <f t="shared" si="122"/>
        <v>-11730</v>
      </c>
      <c r="AE92" s="423">
        <f t="shared" si="123"/>
        <v>-7683</v>
      </c>
      <c r="AF92" s="423">
        <f t="shared" si="124"/>
        <v>-8559</v>
      </c>
    </row>
    <row r="93" spans="1:32" outlineLevel="1">
      <c r="A93" s="418" t="s">
        <v>2561</v>
      </c>
      <c r="B93" s="418" t="s">
        <v>2562</v>
      </c>
      <c r="D93" s="423" t="s">
        <v>2558</v>
      </c>
      <c r="E93" s="423">
        <v>70173</v>
      </c>
      <c r="F93" s="423">
        <v>108300</v>
      </c>
      <c r="G93" s="423">
        <v>108300</v>
      </c>
      <c r="H93" s="423">
        <v>0</v>
      </c>
      <c r="I93" s="423">
        <v>61229</v>
      </c>
      <c r="J93" s="423">
        <v>61229</v>
      </c>
      <c r="K93" s="423">
        <v>61229</v>
      </c>
      <c r="L93" s="423">
        <v>10988</v>
      </c>
      <c r="M93" s="423">
        <v>138681</v>
      </c>
      <c r="N93" s="423">
        <v>106292</v>
      </c>
      <c r="O93" s="423">
        <v>280509</v>
      </c>
      <c r="P93" s="423">
        <v>11287</v>
      </c>
      <c r="Q93" s="423">
        <v>77110</v>
      </c>
      <c r="R93" s="423">
        <v>260</v>
      </c>
      <c r="S93" s="423">
        <v>260</v>
      </c>
      <c r="T93" s="423">
        <v>132869</v>
      </c>
      <c r="U93" s="423">
        <v>119878</v>
      </c>
      <c r="W93" s="423">
        <f t="shared" si="115"/>
        <v>10988</v>
      </c>
      <c r="X93" s="423">
        <f t="shared" si="116"/>
        <v>127693</v>
      </c>
      <c r="Y93" s="423">
        <f t="shared" si="117"/>
        <v>-32389</v>
      </c>
      <c r="Z93" s="423">
        <f t="shared" si="118"/>
        <v>174217</v>
      </c>
      <c r="AA93" s="423">
        <f t="shared" si="119"/>
        <v>11287</v>
      </c>
      <c r="AB93" s="423">
        <f t="shared" si="120"/>
        <v>65823</v>
      </c>
      <c r="AC93" s="423">
        <f t="shared" si="121"/>
        <v>-76850</v>
      </c>
      <c r="AD93" s="423">
        <f t="shared" si="122"/>
        <v>0</v>
      </c>
      <c r="AE93" s="423">
        <f t="shared" si="123"/>
        <v>132869</v>
      </c>
      <c r="AF93" s="423">
        <f t="shared" si="124"/>
        <v>-12991</v>
      </c>
    </row>
    <row r="94" spans="1:32" outlineLevel="1">
      <c r="A94" s="418" t="s">
        <v>733</v>
      </c>
      <c r="B94" s="418" t="s">
        <v>734</v>
      </c>
      <c r="D94" s="423">
        <v>46381</v>
      </c>
      <c r="E94" s="423">
        <v>94008</v>
      </c>
      <c r="F94" s="423">
        <v>137923</v>
      </c>
      <c r="G94" s="423">
        <v>187158</v>
      </c>
      <c r="H94" s="423">
        <v>25377</v>
      </c>
      <c r="I94" s="423">
        <v>54488</v>
      </c>
      <c r="J94" s="423">
        <v>82450</v>
      </c>
      <c r="K94" s="423">
        <v>117060</v>
      </c>
      <c r="L94" s="423">
        <v>33638</v>
      </c>
      <c r="M94" s="423">
        <v>66795</v>
      </c>
      <c r="N94" s="423">
        <v>103646</v>
      </c>
      <c r="O94" s="423">
        <v>157560</v>
      </c>
      <c r="P94" s="423">
        <v>36388</v>
      </c>
      <c r="Q94" s="423">
        <v>71615</v>
      </c>
      <c r="R94" s="423">
        <v>108026</v>
      </c>
      <c r="S94" s="423">
        <v>145987</v>
      </c>
      <c r="T94" s="423">
        <v>38961</v>
      </c>
      <c r="U94" s="423">
        <v>88866</v>
      </c>
      <c r="W94" s="423">
        <f t="shared" si="115"/>
        <v>33638</v>
      </c>
      <c r="X94" s="423">
        <f t="shared" si="116"/>
        <v>33157</v>
      </c>
      <c r="Y94" s="423">
        <f t="shared" si="117"/>
        <v>36851</v>
      </c>
      <c r="Z94" s="423">
        <f t="shared" si="118"/>
        <v>53914</v>
      </c>
      <c r="AA94" s="423">
        <f t="shared" si="119"/>
        <v>36388</v>
      </c>
      <c r="AB94" s="423">
        <f t="shared" si="120"/>
        <v>35227</v>
      </c>
      <c r="AC94" s="423">
        <f t="shared" si="121"/>
        <v>36411</v>
      </c>
      <c r="AD94" s="423">
        <f t="shared" si="122"/>
        <v>37961</v>
      </c>
      <c r="AE94" s="423">
        <f t="shared" si="123"/>
        <v>38961</v>
      </c>
      <c r="AF94" s="423">
        <f t="shared" si="124"/>
        <v>49905</v>
      </c>
    </row>
    <row r="95" spans="1:32" outlineLevel="1">
      <c r="A95" s="418" t="s">
        <v>735</v>
      </c>
      <c r="B95" s="418" t="s">
        <v>736</v>
      </c>
      <c r="D95" s="423">
        <v>45869</v>
      </c>
      <c r="E95" s="423" t="s">
        <v>2558</v>
      </c>
      <c r="F95" s="423" t="s">
        <v>2558</v>
      </c>
      <c r="G95" s="423">
        <v>0</v>
      </c>
      <c r="H95" s="423">
        <v>0</v>
      </c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>
        <v>0</v>
      </c>
      <c r="T95" s="423">
        <v>0</v>
      </c>
      <c r="U95" s="423">
        <v>0</v>
      </c>
      <c r="W95" s="423">
        <f t="shared" si="115"/>
        <v>0</v>
      </c>
      <c r="X95" s="423">
        <f t="shared" si="116"/>
        <v>0</v>
      </c>
      <c r="Y95" s="423">
        <f t="shared" si="117"/>
        <v>0</v>
      </c>
      <c r="Z95" s="423">
        <f t="shared" si="118"/>
        <v>0</v>
      </c>
      <c r="AA95" s="423">
        <f t="shared" si="119"/>
        <v>0</v>
      </c>
      <c r="AB95" s="423">
        <f t="shared" si="120"/>
        <v>0</v>
      </c>
      <c r="AC95" s="423">
        <f t="shared" si="121"/>
        <v>0</v>
      </c>
      <c r="AD95" s="423">
        <f t="shared" si="122"/>
        <v>0</v>
      </c>
      <c r="AE95" s="423">
        <f t="shared" si="123"/>
        <v>0</v>
      </c>
      <c r="AF95" s="423">
        <f t="shared" si="124"/>
        <v>0</v>
      </c>
    </row>
    <row r="96" spans="1:32" outlineLevel="1">
      <c r="A96" s="418" t="s">
        <v>737</v>
      </c>
      <c r="B96" s="418" t="s">
        <v>738</v>
      </c>
      <c r="D96" s="423" t="s">
        <v>2558</v>
      </c>
      <c r="E96" s="423" t="s">
        <v>2558</v>
      </c>
      <c r="F96" s="423" t="s">
        <v>2558</v>
      </c>
      <c r="G96" s="423">
        <v>0</v>
      </c>
      <c r="H96" s="423">
        <v>0</v>
      </c>
      <c r="I96" s="423">
        <v>0</v>
      </c>
      <c r="J96" s="423">
        <v>0</v>
      </c>
      <c r="K96" s="423">
        <v>0</v>
      </c>
      <c r="L96" s="423">
        <v>0</v>
      </c>
      <c r="M96" s="423">
        <v>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>
        <v>0</v>
      </c>
      <c r="T96" s="423">
        <v>0</v>
      </c>
      <c r="U96" s="423">
        <v>0</v>
      </c>
      <c r="W96" s="423">
        <f t="shared" si="115"/>
        <v>0</v>
      </c>
      <c r="X96" s="423">
        <f t="shared" si="116"/>
        <v>0</v>
      </c>
      <c r="Y96" s="423">
        <f t="shared" si="117"/>
        <v>0</v>
      </c>
      <c r="Z96" s="423">
        <f t="shared" si="118"/>
        <v>0</v>
      </c>
      <c r="AA96" s="423">
        <f t="shared" si="119"/>
        <v>0</v>
      </c>
      <c r="AB96" s="423">
        <f t="shared" si="120"/>
        <v>0</v>
      </c>
      <c r="AC96" s="423">
        <f t="shared" si="121"/>
        <v>0</v>
      </c>
      <c r="AD96" s="423">
        <f t="shared" si="122"/>
        <v>0</v>
      </c>
      <c r="AE96" s="423">
        <f t="shared" si="123"/>
        <v>0</v>
      </c>
      <c r="AF96" s="423">
        <f t="shared" si="124"/>
        <v>0</v>
      </c>
    </row>
    <row r="97" spans="1:32" outlineLevel="1">
      <c r="A97" s="418" t="s">
        <v>739</v>
      </c>
      <c r="B97" s="418" t="s">
        <v>740</v>
      </c>
      <c r="D97" s="423">
        <v>31865</v>
      </c>
      <c r="E97" s="423">
        <v>75206</v>
      </c>
      <c r="F97" s="423">
        <v>112843</v>
      </c>
      <c r="G97" s="423">
        <v>156411</v>
      </c>
      <c r="H97" s="423">
        <v>56815</v>
      </c>
      <c r="I97" s="423">
        <v>109329</v>
      </c>
      <c r="J97" s="423">
        <v>149043</v>
      </c>
      <c r="K97" s="423">
        <v>201497</v>
      </c>
      <c r="L97" s="423">
        <v>28021</v>
      </c>
      <c r="M97" s="423">
        <v>61174</v>
      </c>
      <c r="N97" s="423">
        <v>105849</v>
      </c>
      <c r="O97" s="423">
        <v>160462</v>
      </c>
      <c r="P97" s="423">
        <v>25009</v>
      </c>
      <c r="Q97" s="423">
        <v>47392</v>
      </c>
      <c r="R97" s="423">
        <v>81227</v>
      </c>
      <c r="S97" s="423">
        <v>133910</v>
      </c>
      <c r="T97" s="423">
        <v>25261</v>
      </c>
      <c r="U97" s="423">
        <v>63093</v>
      </c>
      <c r="W97" s="423">
        <f t="shared" si="115"/>
        <v>28021</v>
      </c>
      <c r="X97" s="423">
        <f t="shared" si="116"/>
        <v>33153</v>
      </c>
      <c r="Y97" s="423">
        <f t="shared" si="117"/>
        <v>44675</v>
      </c>
      <c r="Z97" s="423">
        <f t="shared" si="118"/>
        <v>54613</v>
      </c>
      <c r="AA97" s="423">
        <f t="shared" si="119"/>
        <v>25009</v>
      </c>
      <c r="AB97" s="423">
        <f t="shared" si="120"/>
        <v>22383</v>
      </c>
      <c r="AC97" s="423">
        <f t="shared" si="121"/>
        <v>33835</v>
      </c>
      <c r="AD97" s="423">
        <f t="shared" si="122"/>
        <v>52683</v>
      </c>
      <c r="AE97" s="423">
        <f t="shared" si="123"/>
        <v>25261</v>
      </c>
      <c r="AF97" s="423">
        <f t="shared" si="124"/>
        <v>37832</v>
      </c>
    </row>
    <row r="98" spans="1:32" outlineLevel="1">
      <c r="A98" s="418" t="s">
        <v>741</v>
      </c>
      <c r="B98" s="418" t="s">
        <v>2536</v>
      </c>
      <c r="D98" s="423">
        <v>0</v>
      </c>
      <c r="E98" s="423">
        <v>0</v>
      </c>
      <c r="F98" s="423">
        <v>0</v>
      </c>
      <c r="G98" s="423">
        <v>0</v>
      </c>
      <c r="H98" s="423">
        <v>0</v>
      </c>
      <c r="I98" s="423">
        <v>0</v>
      </c>
      <c r="J98" s="423">
        <v>0</v>
      </c>
      <c r="K98" s="423">
        <v>0</v>
      </c>
      <c r="L98" s="423">
        <v>0</v>
      </c>
      <c r="M98" s="423">
        <v>0</v>
      </c>
      <c r="N98" s="423">
        <v>0</v>
      </c>
      <c r="O98" s="423">
        <v>0</v>
      </c>
      <c r="P98" s="423">
        <v>0</v>
      </c>
      <c r="Q98" s="423">
        <v>0</v>
      </c>
      <c r="R98" s="423">
        <v>24007</v>
      </c>
      <c r="S98" s="423">
        <v>25186</v>
      </c>
      <c r="T98" s="423">
        <v>0</v>
      </c>
      <c r="U98" s="423">
        <v>160186</v>
      </c>
      <c r="W98" s="423">
        <f>L98</f>
        <v>0</v>
      </c>
      <c r="X98" s="423">
        <f>M98-W98</f>
        <v>0</v>
      </c>
      <c r="Y98" s="423">
        <f t="shared" si="117"/>
        <v>0</v>
      </c>
      <c r="Z98" s="423">
        <f t="shared" si="118"/>
        <v>0</v>
      </c>
      <c r="AA98" s="423">
        <f>P98</f>
        <v>0</v>
      </c>
      <c r="AB98" s="423">
        <f>Q98-AA98</f>
        <v>0</v>
      </c>
      <c r="AC98" s="423">
        <f t="shared" si="121"/>
        <v>24007</v>
      </c>
      <c r="AD98" s="423">
        <f t="shared" si="122"/>
        <v>1179</v>
      </c>
      <c r="AE98" s="423">
        <f>T98</f>
        <v>0</v>
      </c>
      <c r="AF98" s="423">
        <f t="shared" si="124"/>
        <v>160186</v>
      </c>
    </row>
    <row r="99" spans="1:32" outlineLevel="1">
      <c r="A99" s="418" t="s">
        <v>742</v>
      </c>
      <c r="B99" s="418" t="s">
        <v>743</v>
      </c>
      <c r="D99" s="423">
        <v>110555</v>
      </c>
      <c r="E99" s="423">
        <v>178141</v>
      </c>
      <c r="F99" s="423">
        <v>178158</v>
      </c>
      <c r="G99" s="423">
        <v>208501</v>
      </c>
      <c r="H99" s="423">
        <v>18460</v>
      </c>
      <c r="I99" s="423">
        <v>117495</v>
      </c>
      <c r="J99" s="423">
        <v>86760</v>
      </c>
      <c r="K99" s="423">
        <v>127318</v>
      </c>
      <c r="L99" s="423">
        <v>3532</v>
      </c>
      <c r="M99" s="423">
        <v>3532</v>
      </c>
      <c r="N99" s="423">
        <v>3532</v>
      </c>
      <c r="O99" s="423">
        <v>3532</v>
      </c>
      <c r="P99" s="423">
        <v>107844</v>
      </c>
      <c r="Q99" s="423">
        <v>182117</v>
      </c>
      <c r="R99" s="423">
        <v>224269</v>
      </c>
      <c r="S99" s="423">
        <v>201068</v>
      </c>
      <c r="T99" s="423">
        <v>19876</v>
      </c>
      <c r="U99" s="423">
        <v>23280</v>
      </c>
      <c r="W99" s="423">
        <f t="shared" si="115"/>
        <v>3532</v>
      </c>
      <c r="X99" s="423">
        <f t="shared" si="116"/>
        <v>0</v>
      </c>
      <c r="Y99" s="423">
        <f t="shared" si="117"/>
        <v>0</v>
      </c>
      <c r="Z99" s="423">
        <f t="shared" si="118"/>
        <v>0</v>
      </c>
      <c r="AA99" s="423">
        <f t="shared" si="119"/>
        <v>107844</v>
      </c>
      <c r="AB99" s="423">
        <f t="shared" si="120"/>
        <v>74273</v>
      </c>
      <c r="AC99" s="423">
        <f t="shared" si="121"/>
        <v>42152</v>
      </c>
      <c r="AD99" s="423">
        <f t="shared" si="122"/>
        <v>-23201</v>
      </c>
      <c r="AE99" s="423">
        <f t="shared" si="123"/>
        <v>19876</v>
      </c>
      <c r="AF99" s="423">
        <f t="shared" si="124"/>
        <v>3404</v>
      </c>
    </row>
    <row r="100" spans="1:32">
      <c r="A100" s="417" t="s">
        <v>744</v>
      </c>
      <c r="B100" s="417" t="s">
        <v>745</v>
      </c>
      <c r="D100" s="422">
        <f t="shared" ref="D100:I100" si="125">SUM(D101:D110)</f>
        <v>-354333</v>
      </c>
      <c r="E100" s="422">
        <f t="shared" si="125"/>
        <v>-695227</v>
      </c>
      <c r="F100" s="422">
        <f t="shared" si="125"/>
        <v>-883562</v>
      </c>
      <c r="G100" s="422">
        <f t="shared" si="125"/>
        <v>-1133181</v>
      </c>
      <c r="H100" s="422">
        <f t="shared" si="125"/>
        <v>-250375</v>
      </c>
      <c r="I100" s="422">
        <f t="shared" si="125"/>
        <v>-645703</v>
      </c>
      <c r="J100" s="422">
        <f t="shared" ref="J100:T100" si="126">SUM(J101:J110)</f>
        <v>-765115</v>
      </c>
      <c r="K100" s="422">
        <f t="shared" si="126"/>
        <v>-1010503</v>
      </c>
      <c r="L100" s="422">
        <f t="shared" si="126"/>
        <v>-204057</v>
      </c>
      <c r="M100" s="422">
        <f t="shared" si="126"/>
        <v>-518156</v>
      </c>
      <c r="N100" s="422">
        <f t="shared" si="126"/>
        <v>-702330</v>
      </c>
      <c r="O100" s="422">
        <f t="shared" si="126"/>
        <v>-1140784</v>
      </c>
      <c r="P100" s="422">
        <f t="shared" si="126"/>
        <v>-413008</v>
      </c>
      <c r="Q100" s="422">
        <f t="shared" si="126"/>
        <v>-814536</v>
      </c>
      <c r="R100" s="422">
        <f t="shared" si="126"/>
        <v>-1121296</v>
      </c>
      <c r="S100" s="422">
        <f t="shared" si="126"/>
        <v>-1473357</v>
      </c>
      <c r="T100" s="422">
        <f t="shared" si="126"/>
        <v>-486518</v>
      </c>
      <c r="U100" s="422">
        <f>SUM(U101:U110)</f>
        <v>-1021086</v>
      </c>
      <c r="W100" s="422">
        <f t="shared" ref="W100:AC100" si="127">SUM(W101:W110)</f>
        <v>-204057</v>
      </c>
      <c r="X100" s="422">
        <f t="shared" si="127"/>
        <v>-314099</v>
      </c>
      <c r="Y100" s="422">
        <f t="shared" si="127"/>
        <v>-184174</v>
      </c>
      <c r="Z100" s="422">
        <f t="shared" si="127"/>
        <v>-438454</v>
      </c>
      <c r="AA100" s="422">
        <f t="shared" si="127"/>
        <v>-413008</v>
      </c>
      <c r="AB100" s="422">
        <f t="shared" si="127"/>
        <v>-401528</v>
      </c>
      <c r="AC100" s="422">
        <f t="shared" si="127"/>
        <v>-306760</v>
      </c>
      <c r="AD100" s="422">
        <f t="shared" ref="AD100:AE100" si="128">SUM(AD101:AD110)</f>
        <v>-352061</v>
      </c>
      <c r="AE100" s="422">
        <f t="shared" si="128"/>
        <v>-486518</v>
      </c>
      <c r="AF100" s="422">
        <f>SUM(AF101:AF110)</f>
        <v>-534568</v>
      </c>
    </row>
    <row r="101" spans="1:32" outlineLevel="1">
      <c r="A101" s="418" t="s">
        <v>746</v>
      </c>
      <c r="B101" s="418" t="s">
        <v>747</v>
      </c>
      <c r="D101" s="423">
        <v>-67687</v>
      </c>
      <c r="E101" s="423">
        <v>-257034</v>
      </c>
      <c r="F101" s="423">
        <v>-348149</v>
      </c>
      <c r="G101" s="423">
        <v>-420533</v>
      </c>
      <c r="H101" s="423">
        <v>-91611</v>
      </c>
      <c r="I101" s="423">
        <v>-199720</v>
      </c>
      <c r="J101" s="423">
        <v>-286715</v>
      </c>
      <c r="K101" s="423">
        <v>-371132</v>
      </c>
      <c r="L101" s="423">
        <v>-99875</v>
      </c>
      <c r="M101" s="423">
        <v>-253284</v>
      </c>
      <c r="N101" s="423">
        <v>-351149</v>
      </c>
      <c r="O101" s="423">
        <v>-558825</v>
      </c>
      <c r="P101" s="423">
        <v>-130863</v>
      </c>
      <c r="Q101" s="423">
        <v>-243493</v>
      </c>
      <c r="R101" s="423">
        <v>-395305</v>
      </c>
      <c r="S101" s="423">
        <v>-589710</v>
      </c>
      <c r="T101" s="423">
        <v>-180679</v>
      </c>
      <c r="U101" s="423">
        <v>-376121</v>
      </c>
      <c r="W101" s="423">
        <f t="shared" ref="W101:W110" si="129">L101</f>
        <v>-99875</v>
      </c>
      <c r="X101" s="423">
        <f t="shared" ref="X101:X110" si="130">M101-W101</f>
        <v>-153409</v>
      </c>
      <c r="Y101" s="423">
        <f t="shared" ref="Y101:Y110" si="131">N101-M101</f>
        <v>-97865</v>
      </c>
      <c r="Z101" s="423">
        <f t="shared" ref="Z101:Z110" si="132">O101-N101</f>
        <v>-207676</v>
      </c>
      <c r="AA101" s="423">
        <f t="shared" ref="AA101:AA110" si="133">P101</f>
        <v>-130863</v>
      </c>
      <c r="AB101" s="423">
        <f t="shared" ref="AB101:AB110" si="134">Q101-AA101</f>
        <v>-112630</v>
      </c>
      <c r="AC101" s="423">
        <f t="shared" ref="AC101:AC110" si="135">R101-Q101</f>
        <v>-151812</v>
      </c>
      <c r="AD101" s="423">
        <f t="shared" ref="AD101:AD110" si="136">S101-R101</f>
        <v>-194405</v>
      </c>
      <c r="AE101" s="423">
        <f t="shared" ref="AE101:AE110" si="137">T101</f>
        <v>-180679</v>
      </c>
      <c r="AF101" s="423">
        <f t="shared" ref="AF101:AF110" si="138">U101-T101</f>
        <v>-195442</v>
      </c>
    </row>
    <row r="102" spans="1:32" outlineLevel="1">
      <c r="A102" s="418" t="s">
        <v>748</v>
      </c>
      <c r="B102" s="418" t="s">
        <v>749</v>
      </c>
      <c r="D102" s="423">
        <v>-12994</v>
      </c>
      <c r="E102" s="423">
        <v>-25917</v>
      </c>
      <c r="F102" s="423">
        <v>-39073</v>
      </c>
      <c r="G102" s="423">
        <v>-52072</v>
      </c>
      <c r="H102" s="423">
        <v>-12439</v>
      </c>
      <c r="I102" s="423">
        <v>-24618</v>
      </c>
      <c r="J102" s="423">
        <v>-37277</v>
      </c>
      <c r="K102" s="423">
        <v>-49852</v>
      </c>
      <c r="L102" s="423">
        <v>-12437</v>
      </c>
      <c r="M102" s="423">
        <v>-24881</v>
      </c>
      <c r="N102" s="423">
        <v>-37436</v>
      </c>
      <c r="O102" s="423">
        <v>-50112</v>
      </c>
      <c r="P102" s="423">
        <v>-12672</v>
      </c>
      <c r="Q102" s="423">
        <v>-25445</v>
      </c>
      <c r="R102" s="423">
        <v>-38352</v>
      </c>
      <c r="S102" s="423">
        <v>-51265</v>
      </c>
      <c r="T102" s="423">
        <v>-12640</v>
      </c>
      <c r="U102" s="423">
        <v>-25255</v>
      </c>
      <c r="W102" s="423">
        <f t="shared" si="129"/>
        <v>-12437</v>
      </c>
      <c r="X102" s="423">
        <f t="shared" si="130"/>
        <v>-12444</v>
      </c>
      <c r="Y102" s="423">
        <f t="shared" si="131"/>
        <v>-12555</v>
      </c>
      <c r="Z102" s="423">
        <f t="shared" si="132"/>
        <v>-12676</v>
      </c>
      <c r="AA102" s="423">
        <f t="shared" si="133"/>
        <v>-12672</v>
      </c>
      <c r="AB102" s="423">
        <f t="shared" si="134"/>
        <v>-12773</v>
      </c>
      <c r="AC102" s="423">
        <f t="shared" si="135"/>
        <v>-12907</v>
      </c>
      <c r="AD102" s="423">
        <f t="shared" si="136"/>
        <v>-12913</v>
      </c>
      <c r="AE102" s="423">
        <f t="shared" si="137"/>
        <v>-12640</v>
      </c>
      <c r="AF102" s="423">
        <f t="shared" si="138"/>
        <v>-12615</v>
      </c>
    </row>
    <row r="103" spans="1:32" outlineLevel="1">
      <c r="A103" s="418" t="s">
        <v>750</v>
      </c>
      <c r="B103" s="418" t="s">
        <v>751</v>
      </c>
      <c r="D103" s="423">
        <v>-221345</v>
      </c>
      <c r="E103" s="423">
        <v>-298491</v>
      </c>
      <c r="F103" s="423">
        <v>-328612</v>
      </c>
      <c r="G103" s="423">
        <v>-382710</v>
      </c>
      <c r="H103" s="423">
        <v>-110837</v>
      </c>
      <c r="I103" s="423">
        <v>-313166</v>
      </c>
      <c r="J103" s="423">
        <v>-306955</v>
      </c>
      <c r="K103" s="423">
        <v>-389913</v>
      </c>
      <c r="L103" s="423">
        <v>-37447</v>
      </c>
      <c r="M103" s="423">
        <v>-131787</v>
      </c>
      <c r="N103" s="423">
        <v>-135469</v>
      </c>
      <c r="O103" s="423">
        <v>-264200</v>
      </c>
      <c r="P103" s="423">
        <v>-202574</v>
      </c>
      <c r="Q103" s="423">
        <v>-354729</v>
      </c>
      <c r="R103" s="423">
        <v>-512241</v>
      </c>
      <c r="S103" s="423">
        <v>-577925</v>
      </c>
      <c r="T103" s="423">
        <v>-193069</v>
      </c>
      <c r="U103" s="423">
        <v>-196362</v>
      </c>
      <c r="W103" s="423">
        <f t="shared" si="129"/>
        <v>-37447</v>
      </c>
      <c r="X103" s="423">
        <f t="shared" si="130"/>
        <v>-94340</v>
      </c>
      <c r="Y103" s="423">
        <f t="shared" si="131"/>
        <v>-3682</v>
      </c>
      <c r="Z103" s="423">
        <f t="shared" si="132"/>
        <v>-128731</v>
      </c>
      <c r="AA103" s="423">
        <f t="shared" si="133"/>
        <v>-202574</v>
      </c>
      <c r="AB103" s="423">
        <f t="shared" si="134"/>
        <v>-152155</v>
      </c>
      <c r="AC103" s="423">
        <f t="shared" si="135"/>
        <v>-157512</v>
      </c>
      <c r="AD103" s="423">
        <f t="shared" si="136"/>
        <v>-65684</v>
      </c>
      <c r="AE103" s="423">
        <f t="shared" si="137"/>
        <v>-193069</v>
      </c>
      <c r="AF103" s="423">
        <f t="shared" si="138"/>
        <v>-3293</v>
      </c>
    </row>
    <row r="104" spans="1:32" outlineLevel="1">
      <c r="A104" s="418" t="s">
        <v>741</v>
      </c>
      <c r="B104" s="418" t="s">
        <v>2536</v>
      </c>
      <c r="D104" s="423"/>
      <c r="E104" s="423"/>
      <c r="F104" s="423"/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>
        <v>-68520</v>
      </c>
      <c r="R104" s="423">
        <v>0</v>
      </c>
      <c r="S104" s="423">
        <v>0</v>
      </c>
      <c r="T104" s="423">
        <v>-42553</v>
      </c>
      <c r="U104" s="423">
        <v>-25186</v>
      </c>
      <c r="W104" s="423">
        <f>L104</f>
        <v>0</v>
      </c>
      <c r="X104" s="423">
        <f>M104-W104</f>
        <v>0</v>
      </c>
      <c r="Y104" s="423">
        <f t="shared" si="131"/>
        <v>0</v>
      </c>
      <c r="Z104" s="423">
        <f t="shared" si="132"/>
        <v>0</v>
      </c>
      <c r="AA104" s="423">
        <f>P104</f>
        <v>0</v>
      </c>
      <c r="AB104" s="423">
        <f>Q104-AA104</f>
        <v>-68520</v>
      </c>
      <c r="AC104" s="423">
        <f t="shared" si="135"/>
        <v>68520</v>
      </c>
      <c r="AD104" s="423">
        <f t="shared" si="136"/>
        <v>0</v>
      </c>
      <c r="AE104" s="423">
        <f>T104</f>
        <v>-42553</v>
      </c>
      <c r="AF104" s="423">
        <f t="shared" si="138"/>
        <v>17367</v>
      </c>
    </row>
    <row r="105" spans="1:32" outlineLevel="1">
      <c r="A105" s="418" t="s">
        <v>752</v>
      </c>
      <c r="B105" s="418" t="s">
        <v>753</v>
      </c>
      <c r="D105" s="423">
        <v>-2005</v>
      </c>
      <c r="E105" s="423">
        <v>-3420</v>
      </c>
      <c r="F105" s="423">
        <v>-5463</v>
      </c>
      <c r="G105" s="423">
        <v>-6879</v>
      </c>
      <c r="H105" s="423">
        <v>-1984</v>
      </c>
      <c r="I105" s="423">
        <v>-3361</v>
      </c>
      <c r="J105" s="423">
        <v>-5061</v>
      </c>
      <c r="K105" s="423">
        <v>-6738</v>
      </c>
      <c r="L105" s="423">
        <v>-1678</v>
      </c>
      <c r="M105" s="423">
        <v>-3332</v>
      </c>
      <c r="N105" s="423">
        <v>-5022</v>
      </c>
      <c r="O105" s="423">
        <v>-6700</v>
      </c>
      <c r="P105" s="423">
        <v>-1664</v>
      </c>
      <c r="Q105" s="423">
        <v>-3309</v>
      </c>
      <c r="R105" s="423">
        <v>-4980</v>
      </c>
      <c r="S105" s="423">
        <v>-6631</v>
      </c>
      <c r="T105" s="423">
        <v>-1628</v>
      </c>
      <c r="U105" s="423">
        <v>-3259</v>
      </c>
      <c r="W105" s="423">
        <f>L105</f>
        <v>-1678</v>
      </c>
      <c r="X105" s="423">
        <f>M105-W105</f>
        <v>-1654</v>
      </c>
      <c r="Y105" s="423">
        <f t="shared" si="131"/>
        <v>-1690</v>
      </c>
      <c r="Z105" s="423">
        <f t="shared" si="132"/>
        <v>-1678</v>
      </c>
      <c r="AA105" s="423">
        <f>P105</f>
        <v>-1664</v>
      </c>
      <c r="AB105" s="423">
        <f>Q105-AA105</f>
        <v>-1645</v>
      </c>
      <c r="AC105" s="423">
        <f t="shared" si="135"/>
        <v>-1671</v>
      </c>
      <c r="AD105" s="423">
        <f t="shared" si="136"/>
        <v>-1651</v>
      </c>
      <c r="AE105" s="423">
        <f>T105</f>
        <v>-1628</v>
      </c>
      <c r="AF105" s="423">
        <f t="shared" si="138"/>
        <v>-1631</v>
      </c>
    </row>
    <row r="106" spans="1:32" outlineLevel="1">
      <c r="A106" s="418" t="s">
        <v>754</v>
      </c>
      <c r="B106" s="418" t="s">
        <v>755</v>
      </c>
      <c r="D106" s="423">
        <v>-19613</v>
      </c>
      <c r="E106" s="423">
        <v>-44638</v>
      </c>
      <c r="F106" s="423">
        <v>-55989</v>
      </c>
      <c r="G106" s="423">
        <v>-61614</v>
      </c>
      <c r="H106" s="423">
        <v>-9451</v>
      </c>
      <c r="I106" s="423">
        <v>-20734</v>
      </c>
      <c r="J106" s="423">
        <v>-34123</v>
      </c>
      <c r="K106" s="423">
        <v>-46156</v>
      </c>
      <c r="L106" s="423">
        <v>-12424</v>
      </c>
      <c r="M106" s="423">
        <v>-25613</v>
      </c>
      <c r="N106" s="423">
        <v>-45653</v>
      </c>
      <c r="O106" s="423">
        <v>-55931</v>
      </c>
      <c r="P106" s="423">
        <v>-12241</v>
      </c>
      <c r="Q106" s="423">
        <v>-35162</v>
      </c>
      <c r="R106" s="423">
        <v>-40125</v>
      </c>
      <c r="S106" s="423">
        <v>-56305</v>
      </c>
      <c r="T106" s="423">
        <v>-14191</v>
      </c>
      <c r="U106" s="423">
        <v>-36150</v>
      </c>
      <c r="W106" s="423">
        <f t="shared" si="129"/>
        <v>-12424</v>
      </c>
      <c r="X106" s="423">
        <f t="shared" si="130"/>
        <v>-13189</v>
      </c>
      <c r="Y106" s="423">
        <f t="shared" si="131"/>
        <v>-20040</v>
      </c>
      <c r="Z106" s="423">
        <f t="shared" si="132"/>
        <v>-10278</v>
      </c>
      <c r="AA106" s="423">
        <f t="shared" si="133"/>
        <v>-12241</v>
      </c>
      <c r="AB106" s="423">
        <f t="shared" si="134"/>
        <v>-22921</v>
      </c>
      <c r="AC106" s="423">
        <f t="shared" si="135"/>
        <v>-4963</v>
      </c>
      <c r="AD106" s="423">
        <f t="shared" si="136"/>
        <v>-16180</v>
      </c>
      <c r="AE106" s="423">
        <f t="shared" si="137"/>
        <v>-14191</v>
      </c>
      <c r="AF106" s="423">
        <f t="shared" si="138"/>
        <v>-21959</v>
      </c>
    </row>
    <row r="107" spans="1:32" outlineLevel="1">
      <c r="A107" s="418" t="s">
        <v>756</v>
      </c>
      <c r="B107" s="418" t="s">
        <v>757</v>
      </c>
      <c r="D107" s="423">
        <v>-268</v>
      </c>
      <c r="E107" s="423">
        <v>-3385</v>
      </c>
      <c r="F107" s="423">
        <v>-2061</v>
      </c>
      <c r="G107" s="423">
        <v>-2091</v>
      </c>
      <c r="H107" s="423">
        <v>-107</v>
      </c>
      <c r="I107" s="423">
        <v>-586</v>
      </c>
      <c r="J107" s="423">
        <v>-648</v>
      </c>
      <c r="K107" s="423">
        <v>-1046</v>
      </c>
      <c r="L107" s="423">
        <v>-55</v>
      </c>
      <c r="M107" s="423">
        <v>-81</v>
      </c>
      <c r="N107" s="423">
        <v>-378</v>
      </c>
      <c r="O107" s="423">
        <v>-391</v>
      </c>
      <c r="P107" s="423">
        <v>-579</v>
      </c>
      <c r="Q107" s="423">
        <v>-2004</v>
      </c>
      <c r="R107" s="423">
        <v>-8441</v>
      </c>
      <c r="S107" s="423">
        <v>-8686</v>
      </c>
      <c r="T107" s="423">
        <v>-43</v>
      </c>
      <c r="U107" s="423">
        <v>-121</v>
      </c>
      <c r="W107" s="423">
        <f t="shared" si="129"/>
        <v>-55</v>
      </c>
      <c r="X107" s="423">
        <f t="shared" si="130"/>
        <v>-26</v>
      </c>
      <c r="Y107" s="423">
        <f t="shared" si="131"/>
        <v>-297</v>
      </c>
      <c r="Z107" s="423">
        <f t="shared" si="132"/>
        <v>-13</v>
      </c>
      <c r="AA107" s="423">
        <f t="shared" si="133"/>
        <v>-579</v>
      </c>
      <c r="AB107" s="423">
        <f t="shared" si="134"/>
        <v>-1425</v>
      </c>
      <c r="AC107" s="423">
        <f t="shared" si="135"/>
        <v>-6437</v>
      </c>
      <c r="AD107" s="423">
        <f t="shared" si="136"/>
        <v>-245</v>
      </c>
      <c r="AE107" s="423">
        <f t="shared" si="137"/>
        <v>-43</v>
      </c>
      <c r="AF107" s="423">
        <f t="shared" si="138"/>
        <v>-78</v>
      </c>
    </row>
    <row r="108" spans="1:32" outlineLevel="1">
      <c r="A108" s="418" t="s">
        <v>758</v>
      </c>
      <c r="B108" s="418" t="s">
        <v>759</v>
      </c>
      <c r="D108" s="423">
        <v>0</v>
      </c>
      <c r="E108" s="423">
        <v>0</v>
      </c>
      <c r="F108" s="423">
        <v>0</v>
      </c>
      <c r="G108" s="423">
        <v>0</v>
      </c>
      <c r="H108" s="423">
        <v>0</v>
      </c>
      <c r="I108" s="423">
        <v>0</v>
      </c>
      <c r="J108" s="423">
        <v>0</v>
      </c>
      <c r="K108" s="423">
        <v>0</v>
      </c>
      <c r="L108" s="423">
        <v>0</v>
      </c>
      <c r="M108" s="423">
        <v>0</v>
      </c>
      <c r="N108" s="423">
        <v>0</v>
      </c>
      <c r="O108" s="423">
        <v>0</v>
      </c>
      <c r="P108" s="423">
        <v>0</v>
      </c>
      <c r="Q108" s="423">
        <v>0</v>
      </c>
      <c r="R108" s="423">
        <v>0</v>
      </c>
      <c r="S108" s="423">
        <v>0</v>
      </c>
      <c r="T108" s="423">
        <v>0</v>
      </c>
      <c r="U108" s="423">
        <v>-274466</v>
      </c>
      <c r="W108" s="423">
        <f t="shared" si="129"/>
        <v>0</v>
      </c>
      <c r="X108" s="423">
        <f t="shared" si="130"/>
        <v>0</v>
      </c>
      <c r="Y108" s="423">
        <f t="shared" si="131"/>
        <v>0</v>
      </c>
      <c r="Z108" s="423">
        <f t="shared" si="132"/>
        <v>0</v>
      </c>
      <c r="AA108" s="423">
        <f t="shared" si="133"/>
        <v>0</v>
      </c>
      <c r="AB108" s="423">
        <f t="shared" si="134"/>
        <v>0</v>
      </c>
      <c r="AC108" s="423">
        <f t="shared" si="135"/>
        <v>0</v>
      </c>
      <c r="AD108" s="423">
        <f t="shared" si="136"/>
        <v>0</v>
      </c>
      <c r="AE108" s="423">
        <f t="shared" si="137"/>
        <v>0</v>
      </c>
      <c r="AF108" s="423">
        <f t="shared" si="138"/>
        <v>-274466</v>
      </c>
    </row>
    <row r="109" spans="1:32" outlineLevel="1">
      <c r="A109" s="418" t="s">
        <v>760</v>
      </c>
      <c r="B109" s="418" t="s">
        <v>761</v>
      </c>
      <c r="D109" s="423">
        <v>-1301</v>
      </c>
      <c r="E109" s="423">
        <v>-1742</v>
      </c>
      <c r="F109" s="423">
        <v>-2032</v>
      </c>
      <c r="G109" s="423">
        <v>-2302</v>
      </c>
      <c r="H109" s="423">
        <v>-13</v>
      </c>
      <c r="I109" s="423">
        <v>-19</v>
      </c>
      <c r="J109" s="423">
        <v>-126</v>
      </c>
      <c r="K109" s="423">
        <v>-247</v>
      </c>
      <c r="L109" s="423">
        <v>-14</v>
      </c>
      <c r="M109" s="423">
        <v>-657</v>
      </c>
      <c r="N109" s="423">
        <v>-1239</v>
      </c>
      <c r="O109" s="423">
        <v>-2472</v>
      </c>
      <c r="P109" s="423">
        <v>-427</v>
      </c>
      <c r="Q109" s="423">
        <v>-341</v>
      </c>
      <c r="R109" s="423">
        <v>-637</v>
      </c>
      <c r="S109" s="423">
        <v>-1002</v>
      </c>
      <c r="T109" s="423">
        <v>-429</v>
      </c>
      <c r="U109" s="423">
        <v>-1692</v>
      </c>
      <c r="W109" s="423">
        <f t="shared" si="129"/>
        <v>-14</v>
      </c>
      <c r="X109" s="423">
        <f t="shared" si="130"/>
        <v>-643</v>
      </c>
      <c r="Y109" s="423">
        <f t="shared" si="131"/>
        <v>-582</v>
      </c>
      <c r="Z109" s="423">
        <f t="shared" si="132"/>
        <v>-1233</v>
      </c>
      <c r="AA109" s="423">
        <f t="shared" si="133"/>
        <v>-427</v>
      </c>
      <c r="AB109" s="423">
        <f t="shared" si="134"/>
        <v>86</v>
      </c>
      <c r="AC109" s="423">
        <f t="shared" si="135"/>
        <v>-296</v>
      </c>
      <c r="AD109" s="423">
        <f t="shared" si="136"/>
        <v>-365</v>
      </c>
      <c r="AE109" s="423">
        <f t="shared" si="137"/>
        <v>-429</v>
      </c>
      <c r="AF109" s="423">
        <f t="shared" si="138"/>
        <v>-1263</v>
      </c>
    </row>
    <row r="110" spans="1:32" outlineLevel="1">
      <c r="A110" s="418" t="s">
        <v>762</v>
      </c>
      <c r="B110" s="418" t="s">
        <v>763</v>
      </c>
      <c r="D110" s="423">
        <v>-29120</v>
      </c>
      <c r="E110" s="423">
        <v>-60600</v>
      </c>
      <c r="F110" s="423">
        <v>-102183</v>
      </c>
      <c r="G110" s="423">
        <v>-204980</v>
      </c>
      <c r="H110" s="423">
        <v>-23933</v>
      </c>
      <c r="I110" s="423">
        <v>-83499</v>
      </c>
      <c r="J110" s="423">
        <v>-94210</v>
      </c>
      <c r="K110" s="423">
        <v>-145419</v>
      </c>
      <c r="L110" s="423">
        <v>-40127</v>
      </c>
      <c r="M110" s="423">
        <v>-78521</v>
      </c>
      <c r="N110" s="423">
        <v>-125984</v>
      </c>
      <c r="O110" s="423">
        <v>-202153</v>
      </c>
      <c r="P110" s="423">
        <v>-51988</v>
      </c>
      <c r="Q110" s="423">
        <v>-81533</v>
      </c>
      <c r="R110" s="423">
        <v>-121215</v>
      </c>
      <c r="S110" s="423">
        <v>-181833</v>
      </c>
      <c r="T110" s="423">
        <v>-41286</v>
      </c>
      <c r="U110" s="423">
        <v>-82474</v>
      </c>
      <c r="W110" s="423">
        <f t="shared" si="129"/>
        <v>-40127</v>
      </c>
      <c r="X110" s="423">
        <f t="shared" si="130"/>
        <v>-38394</v>
      </c>
      <c r="Y110" s="423">
        <f t="shared" si="131"/>
        <v>-47463</v>
      </c>
      <c r="Z110" s="423">
        <f t="shared" si="132"/>
        <v>-76169</v>
      </c>
      <c r="AA110" s="423">
        <f t="shared" si="133"/>
        <v>-51988</v>
      </c>
      <c r="AB110" s="423">
        <f t="shared" si="134"/>
        <v>-29545</v>
      </c>
      <c r="AC110" s="423">
        <f t="shared" si="135"/>
        <v>-39682</v>
      </c>
      <c r="AD110" s="423">
        <f t="shared" si="136"/>
        <v>-60618</v>
      </c>
      <c r="AE110" s="423">
        <f t="shared" si="137"/>
        <v>-41286</v>
      </c>
      <c r="AF110" s="423">
        <f t="shared" si="138"/>
        <v>-41188</v>
      </c>
    </row>
    <row r="111" spans="1:32">
      <c r="A111" s="417"/>
      <c r="B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</row>
    <row r="112" spans="1:32">
      <c r="A112" s="429" t="s">
        <v>764</v>
      </c>
      <c r="B112" s="429" t="s">
        <v>765</v>
      </c>
      <c r="D112" s="420">
        <f t="shared" ref="D112:I112" si="139">D86+D88</f>
        <v>381934</v>
      </c>
      <c r="E112" s="420">
        <f t="shared" si="139"/>
        <v>857453</v>
      </c>
      <c r="F112" s="420">
        <f t="shared" si="139"/>
        <v>1257979</v>
      </c>
      <c r="G112" s="420">
        <f t="shared" si="139"/>
        <v>1735708</v>
      </c>
      <c r="H112" s="420">
        <f t="shared" si="139"/>
        <v>473245</v>
      </c>
      <c r="I112" s="420">
        <f t="shared" si="139"/>
        <v>1102706</v>
      </c>
      <c r="J112" s="420">
        <f t="shared" ref="J112:T112" si="140">J86+J88</f>
        <v>1950700</v>
      </c>
      <c r="K112" s="420">
        <f t="shared" si="140"/>
        <v>2553069</v>
      </c>
      <c r="L112" s="420">
        <f t="shared" si="140"/>
        <v>524597</v>
      </c>
      <c r="M112" s="420">
        <f t="shared" si="140"/>
        <v>1109957</v>
      </c>
      <c r="N112" s="420">
        <f t="shared" si="140"/>
        <v>1768926</v>
      </c>
      <c r="O112" s="420">
        <f t="shared" si="140"/>
        <v>2194128</v>
      </c>
      <c r="P112" s="420">
        <f t="shared" si="140"/>
        <v>486453</v>
      </c>
      <c r="Q112" s="420">
        <f t="shared" si="140"/>
        <v>911406</v>
      </c>
      <c r="R112" s="420">
        <f t="shared" si="140"/>
        <v>1364690</v>
      </c>
      <c r="S112" s="420">
        <f t="shared" si="140"/>
        <v>1804662</v>
      </c>
      <c r="T112" s="420">
        <f t="shared" si="140"/>
        <v>457554</v>
      </c>
      <c r="U112" s="741">
        <f>U86+U88</f>
        <v>927802</v>
      </c>
      <c r="W112" s="420">
        <f t="shared" ref="W112:AC112" si="141">W86+W88</f>
        <v>524597</v>
      </c>
      <c r="X112" s="420">
        <f t="shared" si="141"/>
        <v>585360</v>
      </c>
      <c r="Y112" s="420">
        <f t="shared" si="141"/>
        <v>658969</v>
      </c>
      <c r="Z112" s="420">
        <f t="shared" si="141"/>
        <v>425202</v>
      </c>
      <c r="AA112" s="420">
        <f t="shared" si="141"/>
        <v>486453</v>
      </c>
      <c r="AB112" s="420">
        <f t="shared" si="141"/>
        <v>424953</v>
      </c>
      <c r="AC112" s="420">
        <f t="shared" si="141"/>
        <v>453284</v>
      </c>
      <c r="AD112" s="420">
        <f t="shared" ref="AD112:AE112" si="142">AD86+AD88</f>
        <v>439972</v>
      </c>
      <c r="AE112" s="420">
        <f t="shared" si="142"/>
        <v>457554</v>
      </c>
      <c r="AF112" s="741">
        <f>AF86+AF88</f>
        <v>951675</v>
      </c>
    </row>
    <row r="114" spans="1:32">
      <c r="A114" s="416" t="s">
        <v>766</v>
      </c>
      <c r="B114" s="416" t="s">
        <v>767</v>
      </c>
      <c r="D114" s="424">
        <f t="shared" ref="D114:K114" si="143">SUM(D116:D119)</f>
        <v>-67131</v>
      </c>
      <c r="E114" s="424">
        <f t="shared" si="143"/>
        <v>-157398</v>
      </c>
      <c r="F114" s="424">
        <f t="shared" si="143"/>
        <v>-189808</v>
      </c>
      <c r="G114" s="424">
        <f t="shared" si="143"/>
        <v>-179309</v>
      </c>
      <c r="H114" s="424">
        <f t="shared" si="143"/>
        <v>-48273</v>
      </c>
      <c r="I114" s="424">
        <f t="shared" si="143"/>
        <v>-158478</v>
      </c>
      <c r="J114" s="424">
        <f t="shared" si="143"/>
        <v>-328818</v>
      </c>
      <c r="K114" s="424">
        <f t="shared" si="143"/>
        <v>-327258</v>
      </c>
      <c r="L114" s="424">
        <f t="shared" ref="L114:T114" si="144">SUM(L116:L119)</f>
        <v>-94561</v>
      </c>
      <c r="M114" s="424">
        <f t="shared" si="144"/>
        <v>-196066</v>
      </c>
      <c r="N114" s="424">
        <f t="shared" si="144"/>
        <v>-298579</v>
      </c>
      <c r="O114" s="424">
        <f t="shared" si="144"/>
        <v>-218054</v>
      </c>
      <c r="P114" s="424">
        <f t="shared" si="144"/>
        <v>-93309</v>
      </c>
      <c r="Q114" s="424">
        <f t="shared" si="144"/>
        <v>-157582</v>
      </c>
      <c r="R114" s="424">
        <f t="shared" si="144"/>
        <v>-222181</v>
      </c>
      <c r="S114" s="424">
        <f t="shared" si="144"/>
        <v>-252008</v>
      </c>
      <c r="T114" s="424">
        <f t="shared" si="144"/>
        <v>-73139</v>
      </c>
      <c r="U114" s="424">
        <f>SUM(U116:U119)</f>
        <v>-156989</v>
      </c>
      <c r="W114" s="424">
        <f t="shared" ref="W114:AC114" si="145">SUM(W116:W119)</f>
        <v>-94561</v>
      </c>
      <c r="X114" s="424">
        <f t="shared" si="145"/>
        <v>-101505</v>
      </c>
      <c r="Y114" s="424">
        <f t="shared" si="145"/>
        <v>-102513</v>
      </c>
      <c r="Z114" s="424">
        <f t="shared" si="145"/>
        <v>80525</v>
      </c>
      <c r="AA114" s="424">
        <f t="shared" si="145"/>
        <v>-93309</v>
      </c>
      <c r="AB114" s="424">
        <f t="shared" si="145"/>
        <v>-64273</v>
      </c>
      <c r="AC114" s="424">
        <f t="shared" si="145"/>
        <v>-64599</v>
      </c>
      <c r="AD114" s="424">
        <f t="shared" ref="AD114:AE114" si="146">SUM(AD116:AD119)</f>
        <v>-29827</v>
      </c>
      <c r="AE114" s="424">
        <f t="shared" si="146"/>
        <v>-73139</v>
      </c>
      <c r="AF114" s="424">
        <f>SUM(AF116:AF119)</f>
        <v>-83850</v>
      </c>
    </row>
    <row r="115" spans="1:32">
      <c r="A115" s="417"/>
      <c r="B115" s="417"/>
      <c r="D115" s="417"/>
      <c r="E115" s="417"/>
      <c r="F115" s="417"/>
      <c r="G115" s="417"/>
      <c r="H115" s="417"/>
      <c r="I115" s="417"/>
      <c r="J115" s="417"/>
      <c r="K115" s="417"/>
      <c r="L115" s="417"/>
      <c r="M115" s="417"/>
      <c r="N115" s="417"/>
      <c r="P115" s="417"/>
      <c r="Q115" s="417"/>
      <c r="R115" s="417"/>
      <c r="S115" s="417"/>
      <c r="T115" s="417"/>
      <c r="U115" s="417"/>
      <c r="W115" s="417"/>
      <c r="X115" s="417"/>
      <c r="Y115" s="417"/>
      <c r="AA115" s="417"/>
      <c r="AB115" s="417"/>
      <c r="AC115" s="417"/>
      <c r="AD115" s="417"/>
      <c r="AE115" s="417"/>
      <c r="AF115" s="417"/>
    </row>
    <row r="116" spans="1:32">
      <c r="A116" s="417" t="s">
        <v>768</v>
      </c>
      <c r="B116" s="417" t="s">
        <v>769</v>
      </c>
      <c r="D116" s="425">
        <v>-44200</v>
      </c>
      <c r="E116" s="425">
        <v>-75407</v>
      </c>
      <c r="F116" s="425">
        <v>-129288</v>
      </c>
      <c r="G116" s="425">
        <v>-170333</v>
      </c>
      <c r="H116" s="425">
        <v>-49808</v>
      </c>
      <c r="I116" s="425">
        <v>-110431</v>
      </c>
      <c r="J116" s="425">
        <v>-161407</v>
      </c>
      <c r="K116" s="425">
        <v>-143316</v>
      </c>
      <c r="L116" s="425">
        <v>-37599</v>
      </c>
      <c r="M116" s="425">
        <v>-69256</v>
      </c>
      <c r="N116" s="425">
        <v>-127321</v>
      </c>
      <c r="O116" s="425">
        <v>-143923</v>
      </c>
      <c r="P116" s="425">
        <v>-25561</v>
      </c>
      <c r="Q116" s="425">
        <v>-62696</v>
      </c>
      <c r="R116" s="425">
        <v>-106501</v>
      </c>
      <c r="S116" s="425">
        <v>-154904</v>
      </c>
      <c r="T116" s="425">
        <v>-28717</v>
      </c>
      <c r="U116" s="756">
        <v>-57087</v>
      </c>
      <c r="W116" s="425">
        <f>L116</f>
        <v>-37599</v>
      </c>
      <c r="X116" s="425">
        <f>M116-W116</f>
        <v>-31657</v>
      </c>
      <c r="Y116" s="425">
        <f t="shared" ref="Y116:Z119" si="147">N116-M116</f>
        <v>-58065</v>
      </c>
      <c r="Z116" s="425">
        <f t="shared" si="147"/>
        <v>-16602</v>
      </c>
      <c r="AA116" s="425">
        <f>P116</f>
        <v>-25561</v>
      </c>
      <c r="AB116" s="425">
        <f t="shared" ref="AB116:AB119" si="148">Q116-AA116</f>
        <v>-37135</v>
      </c>
      <c r="AC116" s="425">
        <f t="shared" ref="AC116:AD119" si="149">R116-Q116</f>
        <v>-43805</v>
      </c>
      <c r="AD116" s="425">
        <f t="shared" si="149"/>
        <v>-48403</v>
      </c>
      <c r="AE116" s="425">
        <f>T116</f>
        <v>-28717</v>
      </c>
      <c r="AF116" s="756">
        <f>U116-T116</f>
        <v>-28370</v>
      </c>
    </row>
    <row r="117" spans="1:32">
      <c r="A117" s="417" t="s">
        <v>770</v>
      </c>
      <c r="B117" s="417" t="s">
        <v>771</v>
      </c>
      <c r="D117" s="425">
        <v>-125980</v>
      </c>
      <c r="E117" s="425">
        <v>-214302</v>
      </c>
      <c r="F117" s="425">
        <v>-368854</v>
      </c>
      <c r="G117" s="425">
        <v>-489309</v>
      </c>
      <c r="H117" s="425">
        <v>-142848</v>
      </c>
      <c r="I117" s="425">
        <v>-314843</v>
      </c>
      <c r="J117" s="425">
        <v>-461312</v>
      </c>
      <c r="K117" s="425">
        <v>-434373</v>
      </c>
      <c r="L117" s="425">
        <v>-107417</v>
      </c>
      <c r="M117" s="425">
        <v>-198478</v>
      </c>
      <c r="N117" s="425">
        <v>-363282</v>
      </c>
      <c r="O117" s="425">
        <v>-442620</v>
      </c>
      <c r="P117" s="425">
        <v>-74382</v>
      </c>
      <c r="Q117" s="425">
        <v>-182012</v>
      </c>
      <c r="R117" s="425">
        <v>-271935</v>
      </c>
      <c r="S117" s="425">
        <v>-408212</v>
      </c>
      <c r="T117" s="425">
        <v>-82456</v>
      </c>
      <c r="U117" s="756">
        <v>-163599</v>
      </c>
      <c r="W117" s="425">
        <f>L117</f>
        <v>-107417</v>
      </c>
      <c r="X117" s="425">
        <f>M117-W117</f>
        <v>-91061</v>
      </c>
      <c r="Y117" s="425">
        <f t="shared" si="147"/>
        <v>-164804</v>
      </c>
      <c r="Z117" s="425">
        <f t="shared" si="147"/>
        <v>-79338</v>
      </c>
      <c r="AA117" s="425">
        <f>P117</f>
        <v>-74382</v>
      </c>
      <c r="AB117" s="425">
        <f t="shared" si="148"/>
        <v>-107630</v>
      </c>
      <c r="AC117" s="425">
        <f t="shared" si="149"/>
        <v>-89923</v>
      </c>
      <c r="AD117" s="425">
        <f t="shared" si="149"/>
        <v>-136277</v>
      </c>
      <c r="AE117" s="425">
        <f>T117</f>
        <v>-82456</v>
      </c>
      <c r="AF117" s="756">
        <f>U117-T117</f>
        <v>-81143</v>
      </c>
    </row>
    <row r="118" spans="1:32">
      <c r="A118" s="417" t="s">
        <v>772</v>
      </c>
      <c r="B118" s="417" t="s">
        <v>773</v>
      </c>
      <c r="D118" s="425">
        <v>62623</v>
      </c>
      <c r="E118" s="425">
        <v>134243</v>
      </c>
      <c r="F118" s="425">
        <v>240397</v>
      </c>
      <c r="G118" s="425">
        <v>393033</v>
      </c>
      <c r="H118" s="425">
        <v>109829</v>
      </c>
      <c r="I118" s="425">
        <v>213031</v>
      </c>
      <c r="J118" s="425">
        <v>331041</v>
      </c>
      <c r="K118" s="425">
        <v>473230</v>
      </c>
      <c r="L118" s="425">
        <v>83488</v>
      </c>
      <c r="M118" s="425">
        <v>176126</v>
      </c>
      <c r="N118" s="425">
        <v>293828</v>
      </c>
      <c r="O118" s="425">
        <v>500420</v>
      </c>
      <c r="P118" s="425">
        <v>71799</v>
      </c>
      <c r="Q118" s="425">
        <v>153015</v>
      </c>
      <c r="R118" s="425">
        <v>238585</v>
      </c>
      <c r="S118" s="425">
        <v>363647</v>
      </c>
      <c r="T118" s="425">
        <v>81956</v>
      </c>
      <c r="U118" s="756">
        <v>156831</v>
      </c>
      <c r="W118" s="425">
        <f>L118</f>
        <v>83488</v>
      </c>
      <c r="X118" s="425">
        <f>M118-W118</f>
        <v>92638</v>
      </c>
      <c r="Y118" s="425">
        <f t="shared" si="147"/>
        <v>117702</v>
      </c>
      <c r="Z118" s="425">
        <f t="shared" si="147"/>
        <v>206592</v>
      </c>
      <c r="AA118" s="425">
        <f>P118</f>
        <v>71799</v>
      </c>
      <c r="AB118" s="425">
        <f t="shared" si="148"/>
        <v>81216</v>
      </c>
      <c r="AC118" s="425">
        <f t="shared" si="149"/>
        <v>85570</v>
      </c>
      <c r="AD118" s="425">
        <f t="shared" si="149"/>
        <v>125062</v>
      </c>
      <c r="AE118" s="425">
        <f>T118</f>
        <v>81956</v>
      </c>
      <c r="AF118" s="756">
        <f>U118-T118</f>
        <v>74875</v>
      </c>
    </row>
    <row r="119" spans="1:32">
      <c r="A119" s="417" t="s">
        <v>774</v>
      </c>
      <c r="B119" s="417" t="s">
        <v>775</v>
      </c>
      <c r="D119" s="425">
        <v>40426</v>
      </c>
      <c r="E119" s="425">
        <v>-1932</v>
      </c>
      <c r="F119" s="425">
        <v>67937</v>
      </c>
      <c r="G119" s="425">
        <v>87300</v>
      </c>
      <c r="H119" s="425">
        <v>34554</v>
      </c>
      <c r="I119" s="425">
        <v>53765</v>
      </c>
      <c r="J119" s="425">
        <v>-37140</v>
      </c>
      <c r="K119" s="425">
        <v>-222799</v>
      </c>
      <c r="L119" s="425">
        <v>-33033</v>
      </c>
      <c r="M119" s="425">
        <v>-104458</v>
      </c>
      <c r="N119" s="425">
        <v>-101804</v>
      </c>
      <c r="O119" s="425">
        <v>-131931</v>
      </c>
      <c r="P119" s="425">
        <v>-65165</v>
      </c>
      <c r="Q119" s="425">
        <v>-65889</v>
      </c>
      <c r="R119" s="425">
        <v>-82330</v>
      </c>
      <c r="S119" s="425">
        <v>-52539</v>
      </c>
      <c r="T119" s="425">
        <v>-43922</v>
      </c>
      <c r="U119" s="756">
        <v>-93134</v>
      </c>
      <c r="W119" s="425">
        <f>L119</f>
        <v>-33033</v>
      </c>
      <c r="X119" s="425">
        <f>M119-W119</f>
        <v>-71425</v>
      </c>
      <c r="Y119" s="425">
        <f t="shared" si="147"/>
        <v>2654</v>
      </c>
      <c r="Z119" s="425">
        <f t="shared" si="147"/>
        <v>-30127</v>
      </c>
      <c r="AA119" s="425">
        <f>P119</f>
        <v>-65165</v>
      </c>
      <c r="AB119" s="425">
        <f t="shared" si="148"/>
        <v>-724</v>
      </c>
      <c r="AC119" s="425">
        <f t="shared" si="149"/>
        <v>-16441</v>
      </c>
      <c r="AD119" s="425">
        <f t="shared" si="149"/>
        <v>29791</v>
      </c>
      <c r="AE119" s="425">
        <f>T119</f>
        <v>-43922</v>
      </c>
      <c r="AF119" s="756">
        <f>U119-T119</f>
        <v>-49212</v>
      </c>
    </row>
    <row r="120" spans="1:32">
      <c r="A120" s="417"/>
      <c r="B120" s="417"/>
      <c r="D120" s="417"/>
      <c r="E120" s="417"/>
      <c r="F120" s="417"/>
      <c r="G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</row>
    <row r="121" spans="1:32" ht="15" thickBot="1">
      <c r="A121" s="430" t="s">
        <v>776</v>
      </c>
      <c r="B121" s="430" t="s">
        <v>777</v>
      </c>
      <c r="D121" s="426">
        <f t="shared" ref="D121:K121" si="150">D112+D114</f>
        <v>314803</v>
      </c>
      <c r="E121" s="426">
        <f t="shared" si="150"/>
        <v>700055</v>
      </c>
      <c r="F121" s="426">
        <f t="shared" si="150"/>
        <v>1068171</v>
      </c>
      <c r="G121" s="426">
        <f t="shared" si="150"/>
        <v>1556399</v>
      </c>
      <c r="H121" s="426">
        <f t="shared" si="150"/>
        <v>424972</v>
      </c>
      <c r="I121" s="426">
        <f t="shared" si="150"/>
        <v>944228</v>
      </c>
      <c r="J121" s="426">
        <f t="shared" si="150"/>
        <v>1621882</v>
      </c>
      <c r="K121" s="426">
        <f t="shared" si="150"/>
        <v>2225811</v>
      </c>
      <c r="L121" s="426">
        <f t="shared" ref="L121:T121" si="151">L112+L114</f>
        <v>430036</v>
      </c>
      <c r="M121" s="426">
        <f t="shared" si="151"/>
        <v>913891</v>
      </c>
      <c r="N121" s="426">
        <f t="shared" si="151"/>
        <v>1470347</v>
      </c>
      <c r="O121" s="426">
        <f t="shared" si="151"/>
        <v>1976074</v>
      </c>
      <c r="P121" s="426">
        <f t="shared" si="151"/>
        <v>393144</v>
      </c>
      <c r="Q121" s="426">
        <f t="shared" si="151"/>
        <v>753824</v>
      </c>
      <c r="R121" s="426">
        <f t="shared" si="151"/>
        <v>1142509</v>
      </c>
      <c r="S121" s="426">
        <f t="shared" si="151"/>
        <v>1552654</v>
      </c>
      <c r="T121" s="426">
        <f t="shared" si="151"/>
        <v>384415</v>
      </c>
      <c r="U121" s="426">
        <f>U112+U114</f>
        <v>770813</v>
      </c>
      <c r="W121" s="426">
        <f t="shared" ref="W121:AC121" si="152">W112+W114</f>
        <v>430036</v>
      </c>
      <c r="X121" s="426">
        <f t="shared" si="152"/>
        <v>483855</v>
      </c>
      <c r="Y121" s="426">
        <f t="shared" si="152"/>
        <v>556456</v>
      </c>
      <c r="Z121" s="426">
        <f t="shared" si="152"/>
        <v>505727</v>
      </c>
      <c r="AA121" s="426">
        <f t="shared" si="152"/>
        <v>393144</v>
      </c>
      <c r="AB121" s="426">
        <f t="shared" si="152"/>
        <v>360680</v>
      </c>
      <c r="AC121" s="426">
        <f t="shared" si="152"/>
        <v>388685</v>
      </c>
      <c r="AD121" s="426">
        <f t="shared" ref="AD121:AE121" si="153">AD112+AD114</f>
        <v>410145</v>
      </c>
      <c r="AE121" s="426">
        <f t="shared" si="153"/>
        <v>384415</v>
      </c>
      <c r="AF121" s="426">
        <f>AF112+AF114</f>
        <v>867825</v>
      </c>
    </row>
    <row r="122" spans="1:32" ht="15" thickTop="1">
      <c r="A122" s="417"/>
      <c r="B122" s="417"/>
      <c r="D122" s="417"/>
      <c r="E122" s="417"/>
      <c r="F122" s="417"/>
      <c r="G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S122" s="417"/>
      <c r="T122" s="417"/>
      <c r="U122" s="417"/>
      <c r="W122" s="417"/>
      <c r="X122" s="417"/>
      <c r="Y122" s="417"/>
      <c r="Z122" s="417"/>
      <c r="AA122" s="417"/>
      <c r="AB122" s="417"/>
      <c r="AC122" s="417"/>
      <c r="AD122" s="417"/>
      <c r="AE122" s="417"/>
      <c r="AF122" s="417"/>
    </row>
    <row r="123" spans="1:32">
      <c r="A123" s="416" t="s">
        <v>778</v>
      </c>
      <c r="B123" s="416" t="s">
        <v>779</v>
      </c>
      <c r="D123" s="425"/>
      <c r="E123" s="425"/>
      <c r="F123" s="425"/>
      <c r="G123" s="425"/>
      <c r="H123" s="425"/>
      <c r="I123" s="425"/>
      <c r="J123" s="425"/>
      <c r="K123" s="425"/>
      <c r="L123" s="425"/>
      <c r="M123" s="425"/>
      <c r="N123" s="425"/>
      <c r="O123" s="425"/>
      <c r="P123" s="425"/>
      <c r="Q123" s="425"/>
      <c r="R123" s="425"/>
      <c r="S123" s="425"/>
      <c r="T123" s="425"/>
      <c r="U123" s="756"/>
      <c r="W123" s="425"/>
      <c r="X123" s="425"/>
      <c r="Y123" s="425"/>
      <c r="Z123" s="425"/>
      <c r="AA123" s="425"/>
      <c r="AB123" s="425"/>
      <c r="AC123" s="425"/>
      <c r="AD123" s="425"/>
      <c r="AE123" s="425"/>
      <c r="AF123" s="756"/>
    </row>
    <row r="124" spans="1:32">
      <c r="A124" s="417" t="s">
        <v>780</v>
      </c>
      <c r="B124" s="417" t="s">
        <v>781</v>
      </c>
      <c r="D124" s="425">
        <f t="shared" ref="D124:J124" si="154">D121-D125</f>
        <v>303782.37812032929</v>
      </c>
      <c r="E124" s="425">
        <f t="shared" si="154"/>
        <v>675547.47799426026</v>
      </c>
      <c r="F124" s="425">
        <f t="shared" si="154"/>
        <v>1030776.4748721272</v>
      </c>
      <c r="G124" s="425">
        <f t="shared" si="154"/>
        <v>1501912.5914432276</v>
      </c>
      <c r="H124" s="425">
        <f t="shared" si="154"/>
        <v>410094.58230878547</v>
      </c>
      <c r="I124" s="425">
        <f t="shared" si="154"/>
        <v>911172.47080809996</v>
      </c>
      <c r="J124" s="425">
        <f t="shared" si="154"/>
        <v>1565103.1629004676</v>
      </c>
      <c r="K124" s="425">
        <f>K121-K125</f>
        <v>2147889.8194311624</v>
      </c>
      <c r="L124" s="425">
        <v>414981</v>
      </c>
      <c r="M124" s="425">
        <v>881898</v>
      </c>
      <c r="N124" s="425">
        <v>1418873</v>
      </c>
      <c r="O124" s="425">
        <v>1906896</v>
      </c>
      <c r="P124" s="425">
        <v>379381</v>
      </c>
      <c r="Q124" s="425">
        <v>727434</v>
      </c>
      <c r="R124" s="425">
        <v>1102512</v>
      </c>
      <c r="S124" s="425">
        <v>1498299</v>
      </c>
      <c r="T124" s="425">
        <v>370957</v>
      </c>
      <c r="U124" s="756">
        <v>743829</v>
      </c>
      <c r="W124" s="425">
        <f>L124</f>
        <v>414981</v>
      </c>
      <c r="X124" s="425">
        <f>M124-W124</f>
        <v>466917</v>
      </c>
      <c r="Y124" s="425">
        <f>N124-M124</f>
        <v>536975</v>
      </c>
      <c r="Z124" s="425">
        <f>O124-N124</f>
        <v>488023</v>
      </c>
      <c r="AA124" s="425">
        <f>P124</f>
        <v>379381</v>
      </c>
      <c r="AB124" s="425">
        <f>Q124-AA124</f>
        <v>348053</v>
      </c>
      <c r="AC124" s="425">
        <f>R124-Q124</f>
        <v>375078</v>
      </c>
      <c r="AD124" s="425">
        <f>S124-R124</f>
        <v>395787</v>
      </c>
      <c r="AE124" s="425">
        <f>T124</f>
        <v>370957</v>
      </c>
      <c r="AF124" s="756">
        <f>U124-T124</f>
        <v>372872</v>
      </c>
    </row>
    <row r="125" spans="1:32">
      <c r="A125" s="417" t="s">
        <v>782</v>
      </c>
      <c r="B125" s="417" t="s">
        <v>783</v>
      </c>
      <c r="D125" s="425">
        <f t="shared" ref="D125:J125" si="155">D121*D130</f>
        <v>11020.621879670702</v>
      </c>
      <c r="E125" s="425">
        <f t="shared" si="155"/>
        <v>24507.522005739695</v>
      </c>
      <c r="F125" s="425">
        <f t="shared" si="155"/>
        <v>37394.525127872774</v>
      </c>
      <c r="G125" s="425">
        <f t="shared" si="155"/>
        <v>54486.40855677233</v>
      </c>
      <c r="H125" s="425">
        <f t="shared" si="155"/>
        <v>14877.417691214561</v>
      </c>
      <c r="I125" s="425">
        <f t="shared" si="155"/>
        <v>33055.529191900037</v>
      </c>
      <c r="J125" s="425">
        <f t="shared" si="155"/>
        <v>56778.837099532335</v>
      </c>
      <c r="K125" s="425">
        <f>K121*K130</f>
        <v>77921.180568837415</v>
      </c>
      <c r="L125" s="425">
        <v>15055</v>
      </c>
      <c r="M125" s="425">
        <v>31993</v>
      </c>
      <c r="N125" s="425">
        <v>51474</v>
      </c>
      <c r="O125" s="425">
        <v>69178</v>
      </c>
      <c r="P125" s="425">
        <v>13763</v>
      </c>
      <c r="Q125" s="425">
        <v>26390</v>
      </c>
      <c r="R125" s="425">
        <v>39997</v>
      </c>
      <c r="S125" s="425">
        <v>54355</v>
      </c>
      <c r="T125" s="425">
        <v>13458</v>
      </c>
      <c r="U125" s="756">
        <v>26984</v>
      </c>
      <c r="W125" s="425">
        <f>L125</f>
        <v>15055</v>
      </c>
      <c r="X125" s="425">
        <f>M125-W125</f>
        <v>16938</v>
      </c>
      <c r="Y125" s="425">
        <f>N125-M125</f>
        <v>19481</v>
      </c>
      <c r="Z125" s="425">
        <f>O125-N125</f>
        <v>17704</v>
      </c>
      <c r="AA125" s="425">
        <f>P125</f>
        <v>13763</v>
      </c>
      <c r="AB125" s="425">
        <f>Q125-AA125</f>
        <v>12627</v>
      </c>
      <c r="AC125" s="425">
        <f>R125-Q125</f>
        <v>13607</v>
      </c>
      <c r="AD125" s="425">
        <f>S124-R125</f>
        <v>1458302</v>
      </c>
      <c r="AE125" s="425">
        <f>T125</f>
        <v>13458</v>
      </c>
      <c r="AF125" s="756">
        <f>U125-T125</f>
        <v>13526</v>
      </c>
    </row>
    <row r="126" spans="1:32">
      <c r="A126" s="417"/>
      <c r="B126" s="417"/>
      <c r="D126" s="417"/>
      <c r="E126" s="417"/>
      <c r="F126" s="417"/>
      <c r="G126" s="417"/>
      <c r="H126" s="417"/>
      <c r="I126" s="417"/>
      <c r="J126" s="417"/>
      <c r="K126" s="417"/>
      <c r="L126" s="417"/>
      <c r="M126" s="417"/>
      <c r="N126" s="417"/>
      <c r="Q126" s="417"/>
      <c r="R126" s="417"/>
      <c r="S126" s="417"/>
      <c r="T126" s="417"/>
      <c r="U126" s="417"/>
      <c r="W126" s="417"/>
      <c r="X126" s="417"/>
      <c r="Y126" s="417"/>
      <c r="AA126" s="417"/>
      <c r="AB126" s="417"/>
      <c r="AC126" s="417"/>
      <c r="AD126" s="417"/>
      <c r="AE126" s="417"/>
      <c r="AF126" s="417"/>
    </row>
    <row r="127" spans="1:32" ht="15" thickBot="1">
      <c r="A127" s="430" t="s">
        <v>776</v>
      </c>
      <c r="B127" s="430" t="s">
        <v>784</v>
      </c>
      <c r="D127" s="426">
        <f t="shared" ref="D127:K127" si="156">SUM(D124:D125)</f>
        <v>314803</v>
      </c>
      <c r="E127" s="426">
        <f t="shared" si="156"/>
        <v>700055</v>
      </c>
      <c r="F127" s="426">
        <f t="shared" si="156"/>
        <v>1068171</v>
      </c>
      <c r="G127" s="426">
        <f t="shared" si="156"/>
        <v>1556399</v>
      </c>
      <c r="H127" s="426">
        <f t="shared" si="156"/>
        <v>424972</v>
      </c>
      <c r="I127" s="426">
        <f t="shared" si="156"/>
        <v>944228</v>
      </c>
      <c r="J127" s="426">
        <f t="shared" si="156"/>
        <v>1621882</v>
      </c>
      <c r="K127" s="426">
        <f t="shared" si="156"/>
        <v>2225811</v>
      </c>
      <c r="L127" s="426">
        <f t="shared" ref="L127:T127" si="157">SUM(L124:L125)</f>
        <v>430036</v>
      </c>
      <c r="M127" s="426">
        <f t="shared" si="157"/>
        <v>913891</v>
      </c>
      <c r="N127" s="426">
        <f t="shared" si="157"/>
        <v>1470347</v>
      </c>
      <c r="O127" s="426">
        <f t="shared" si="157"/>
        <v>1976074</v>
      </c>
      <c r="P127" s="426">
        <f t="shared" si="157"/>
        <v>393144</v>
      </c>
      <c r="Q127" s="426">
        <f t="shared" si="157"/>
        <v>753824</v>
      </c>
      <c r="R127" s="426">
        <f t="shared" si="157"/>
        <v>1142509</v>
      </c>
      <c r="S127" s="426">
        <f t="shared" si="157"/>
        <v>1552654</v>
      </c>
      <c r="T127" s="426">
        <f t="shared" si="157"/>
        <v>384415</v>
      </c>
      <c r="U127" s="426">
        <f>SUM(U124:U125)</f>
        <v>770813</v>
      </c>
      <c r="W127" s="426">
        <f t="shared" ref="W127:AC127" si="158">SUM(W124:W125)</f>
        <v>430036</v>
      </c>
      <c r="X127" s="426">
        <f t="shared" si="158"/>
        <v>483855</v>
      </c>
      <c r="Y127" s="426">
        <f t="shared" si="158"/>
        <v>556456</v>
      </c>
      <c r="Z127" s="426">
        <f t="shared" si="158"/>
        <v>505727</v>
      </c>
      <c r="AA127" s="426">
        <f t="shared" si="158"/>
        <v>393144</v>
      </c>
      <c r="AB127" s="426">
        <f t="shared" si="158"/>
        <v>360680</v>
      </c>
      <c r="AC127" s="426">
        <f t="shared" si="158"/>
        <v>388685</v>
      </c>
      <c r="AD127" s="426">
        <f t="shared" ref="AD127:AE127" si="159">SUM(AD124:AD125)</f>
        <v>1854089</v>
      </c>
      <c r="AE127" s="426">
        <f t="shared" si="159"/>
        <v>384415</v>
      </c>
      <c r="AF127" s="426">
        <f>SUM(AF124:AF125)</f>
        <v>386398</v>
      </c>
    </row>
    <row r="129" spans="1:32">
      <c r="A129" s="431" t="s">
        <v>785</v>
      </c>
      <c r="B129" s="431" t="s">
        <v>786</v>
      </c>
      <c r="D129" s="433">
        <v>0.96499200490570103</v>
      </c>
      <c r="E129" s="433">
        <v>0.96499200490570103</v>
      </c>
      <c r="F129" s="433">
        <v>0.96499200490570103</v>
      </c>
      <c r="G129" s="433">
        <v>0.96499200490570103</v>
      </c>
      <c r="H129" s="433">
        <v>0.96499200490570103</v>
      </c>
      <c r="I129" s="433">
        <v>0.96499200490570103</v>
      </c>
      <c r="J129" s="433">
        <v>0.96499200490570103</v>
      </c>
      <c r="K129" s="433">
        <f t="shared" ref="K129:T130" si="160">J129</f>
        <v>0.96499200490570103</v>
      </c>
      <c r="L129" s="433">
        <f t="shared" si="160"/>
        <v>0.96499200490570103</v>
      </c>
      <c r="M129" s="433">
        <f t="shared" si="160"/>
        <v>0.96499200490570103</v>
      </c>
      <c r="N129" s="433">
        <f t="shared" si="160"/>
        <v>0.96499200490570103</v>
      </c>
      <c r="O129" s="433">
        <f t="shared" si="160"/>
        <v>0.96499200490570103</v>
      </c>
      <c r="P129" s="433">
        <f t="shared" si="160"/>
        <v>0.96499200490570103</v>
      </c>
      <c r="Q129" s="433">
        <f t="shared" si="160"/>
        <v>0.96499200490570103</v>
      </c>
      <c r="R129" s="433">
        <f t="shared" si="160"/>
        <v>0.96499200490570103</v>
      </c>
      <c r="S129" s="433">
        <f t="shared" si="160"/>
        <v>0.96499200490570103</v>
      </c>
      <c r="T129" s="433">
        <f t="shared" si="160"/>
        <v>0.96499200490570103</v>
      </c>
      <c r="U129" s="433">
        <f>S129</f>
        <v>0.96499200490570103</v>
      </c>
      <c r="V129" s="433"/>
      <c r="W129" s="433">
        <f>L129</f>
        <v>0.96499200490570103</v>
      </c>
      <c r="X129" s="433">
        <f t="shared" ref="X129:Z130" si="161">W129</f>
        <v>0.96499200490570103</v>
      </c>
      <c r="Y129" s="433">
        <f t="shared" si="161"/>
        <v>0.96499200490570103</v>
      </c>
      <c r="Z129" s="433">
        <f t="shared" si="161"/>
        <v>0.96499200490570103</v>
      </c>
      <c r="AA129" s="433">
        <f>P129</f>
        <v>0.96499200490570103</v>
      </c>
      <c r="AB129" s="433">
        <f t="shared" ref="AB129:AD130" si="162">AA129</f>
        <v>0.96499200490570103</v>
      </c>
      <c r="AC129" s="433">
        <f t="shared" si="162"/>
        <v>0.96499200490570103</v>
      </c>
      <c r="AD129" s="433">
        <f t="shared" si="162"/>
        <v>0.96499200490570103</v>
      </c>
      <c r="AE129" s="433">
        <f>T129</f>
        <v>0.96499200490570103</v>
      </c>
      <c r="AF129" s="433">
        <f>U129</f>
        <v>0.96499200490570103</v>
      </c>
    </row>
    <row r="130" spans="1:32">
      <c r="A130" s="431" t="s">
        <v>787</v>
      </c>
      <c r="B130" s="431" t="s">
        <v>788</v>
      </c>
      <c r="D130" s="433">
        <v>3.5007995094299298E-2</v>
      </c>
      <c r="E130" s="433">
        <v>3.5007995094299298E-2</v>
      </c>
      <c r="F130" s="433">
        <v>3.5007995094299298E-2</v>
      </c>
      <c r="G130" s="433">
        <v>3.5007995094299298E-2</v>
      </c>
      <c r="H130" s="433">
        <v>3.5007995094299298E-2</v>
      </c>
      <c r="I130" s="433">
        <v>3.5007995094299298E-2</v>
      </c>
      <c r="J130" s="433">
        <v>3.5007995094299298E-2</v>
      </c>
      <c r="K130" s="433">
        <f t="shared" si="160"/>
        <v>3.5007995094299298E-2</v>
      </c>
      <c r="L130" s="433">
        <f t="shared" si="160"/>
        <v>3.5007995094299298E-2</v>
      </c>
      <c r="M130" s="433">
        <f t="shared" si="160"/>
        <v>3.5007995094299298E-2</v>
      </c>
      <c r="N130" s="433">
        <f t="shared" si="160"/>
        <v>3.5007995094299298E-2</v>
      </c>
      <c r="O130" s="433">
        <f t="shared" si="160"/>
        <v>3.5007995094299298E-2</v>
      </c>
      <c r="P130" s="433">
        <f t="shared" si="160"/>
        <v>3.5007995094299298E-2</v>
      </c>
      <c r="Q130" s="433">
        <f t="shared" si="160"/>
        <v>3.5007995094299298E-2</v>
      </c>
      <c r="R130" s="433">
        <f t="shared" si="160"/>
        <v>3.5007995094299298E-2</v>
      </c>
      <c r="S130" s="433">
        <f t="shared" si="160"/>
        <v>3.5007995094299298E-2</v>
      </c>
      <c r="T130" s="433">
        <f t="shared" si="160"/>
        <v>3.5007995094299298E-2</v>
      </c>
      <c r="U130" s="433">
        <f>S130</f>
        <v>3.5007995094299298E-2</v>
      </c>
      <c r="V130" s="433"/>
      <c r="W130" s="433">
        <f>L130</f>
        <v>3.5007995094299298E-2</v>
      </c>
      <c r="X130" s="433">
        <f t="shared" si="161"/>
        <v>3.5007995094299298E-2</v>
      </c>
      <c r="Y130" s="433">
        <f t="shared" si="161"/>
        <v>3.5007995094299298E-2</v>
      </c>
      <c r="Z130" s="433">
        <f t="shared" si="161"/>
        <v>3.5007995094299298E-2</v>
      </c>
      <c r="AA130" s="433">
        <f>P130</f>
        <v>3.5007995094299298E-2</v>
      </c>
      <c r="AB130" s="433">
        <f t="shared" si="162"/>
        <v>3.5007995094299298E-2</v>
      </c>
      <c r="AC130" s="433">
        <f t="shared" si="162"/>
        <v>3.5007995094299298E-2</v>
      </c>
      <c r="AD130" s="433">
        <f t="shared" si="162"/>
        <v>3.5007995094299298E-2</v>
      </c>
      <c r="AE130" s="433">
        <f>T130</f>
        <v>3.5007995094299298E-2</v>
      </c>
      <c r="AF130" s="433">
        <f>U130</f>
        <v>3.5007995094299298E-2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0.79998168889431442"/>
  </sheetPr>
  <dimension ref="A4:AF130"/>
  <sheetViews>
    <sheetView showGridLines="0" zoomScale="55" zoomScaleNormal="55" workbookViewId="0">
      <pane xSplit="2" ySplit="5" topLeftCell="C49" activePane="bottomRight" state="frozen"/>
      <selection pane="topRight" activeCell="C1" sqref="C1"/>
      <selection pane="bottomLeft" activeCell="A6" sqref="A6"/>
      <selection pane="bottomRight" activeCell="A93" sqref="A93:B93"/>
    </sheetView>
  </sheetViews>
  <sheetFormatPr defaultRowHeight="14.4" outlineLevelRow="1"/>
  <cols>
    <col min="1" max="1" width="65.5546875" bestFit="1" customWidth="1"/>
    <col min="2" max="2" width="65.5546875" customWidth="1"/>
    <col min="3" max="3" width="1.5546875" customWidth="1"/>
    <col min="4" max="18" width="15.21875" customWidth="1"/>
    <col min="19" max="21" width="15.33203125" customWidth="1"/>
    <col min="22" max="22" width="1.5546875" customWidth="1"/>
    <col min="23" max="32" width="15.21875" customWidth="1"/>
  </cols>
  <sheetData>
    <row r="4" spans="1:32">
      <c r="A4" s="428" t="s">
        <v>809</v>
      </c>
      <c r="B4" s="428" t="s">
        <v>810</v>
      </c>
      <c r="D4" s="427" t="s">
        <v>584</v>
      </c>
      <c r="E4" s="427" t="s">
        <v>585</v>
      </c>
      <c r="F4" s="427" t="s">
        <v>586</v>
      </c>
      <c r="G4" s="427">
        <v>2022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T4" s="427" t="s">
        <v>2488</v>
      </c>
      <c r="U4" s="427" t="s">
        <v>2497</v>
      </c>
      <c r="W4" s="427" t="s">
        <v>83</v>
      </c>
      <c r="X4" s="427" t="s">
        <v>84</v>
      </c>
      <c r="Y4" s="427" t="s">
        <v>85</v>
      </c>
      <c r="Z4" s="427" t="s">
        <v>86</v>
      </c>
      <c r="AA4" s="427" t="s">
        <v>87</v>
      </c>
      <c r="AB4" s="427" t="s">
        <v>88</v>
      </c>
      <c r="AC4" s="427" t="s">
        <v>2074</v>
      </c>
      <c r="AD4" s="427" t="s">
        <v>2127</v>
      </c>
      <c r="AE4" s="427" t="s">
        <v>2360</v>
      </c>
      <c r="AF4" s="427" t="s">
        <v>2494</v>
      </c>
    </row>
    <row r="5" spans="1:32" ht="6.75" customHeight="1"/>
    <row r="6" spans="1:32">
      <c r="A6" s="429" t="s">
        <v>596</v>
      </c>
      <c r="B6" s="429" t="s">
        <v>597</v>
      </c>
      <c r="D6" s="420">
        <f t="shared" ref="D6:T6" si="0">SUM(D8,D11:D17)</f>
        <v>890407</v>
      </c>
      <c r="E6" s="420">
        <f t="shared" si="0"/>
        <v>1883170</v>
      </c>
      <c r="F6" s="420">
        <f t="shared" si="0"/>
        <v>2935071</v>
      </c>
      <c r="G6" s="420">
        <f t="shared" si="0"/>
        <v>4018724</v>
      </c>
      <c r="H6" s="420">
        <f t="shared" si="0"/>
        <v>1038321</v>
      </c>
      <c r="I6" s="420">
        <f t="shared" si="0"/>
        <v>2270917</v>
      </c>
      <c r="J6" s="420">
        <f t="shared" si="0"/>
        <v>3373927</v>
      </c>
      <c r="K6" s="420">
        <f t="shared" si="0"/>
        <v>4757947</v>
      </c>
      <c r="L6" s="420">
        <f t="shared" si="0"/>
        <v>1138172</v>
      </c>
      <c r="M6" s="420">
        <f t="shared" si="0"/>
        <v>2385813</v>
      </c>
      <c r="N6" s="420">
        <f t="shared" si="0"/>
        <v>3722881</v>
      </c>
      <c r="O6" s="420">
        <f t="shared" si="0"/>
        <v>5110574</v>
      </c>
      <c r="P6" s="420">
        <f t="shared" si="0"/>
        <v>1193373</v>
      </c>
      <c r="Q6" s="420">
        <f t="shared" si="0"/>
        <v>2556370</v>
      </c>
      <c r="R6" s="420">
        <f t="shared" si="0"/>
        <v>4166087</v>
      </c>
      <c r="S6" s="420">
        <f t="shared" si="0"/>
        <v>5982008</v>
      </c>
      <c r="T6" s="420">
        <f t="shared" si="0"/>
        <v>1458224</v>
      </c>
      <c r="U6" s="741">
        <f>SUM(U8,U11:U17)</f>
        <v>3032209</v>
      </c>
      <c r="W6" s="420">
        <f t="shared" ref="W6:AC6" si="1">SUM(W8,W11:W17)</f>
        <v>1138172</v>
      </c>
      <c r="X6" s="420">
        <f t="shared" si="1"/>
        <v>1247641</v>
      </c>
      <c r="Y6" s="420">
        <f t="shared" si="1"/>
        <v>1337068</v>
      </c>
      <c r="Z6" s="420">
        <f t="shared" si="1"/>
        <v>1387693</v>
      </c>
      <c r="AA6" s="420">
        <f t="shared" si="1"/>
        <v>1193373</v>
      </c>
      <c r="AB6" s="420">
        <f t="shared" si="1"/>
        <v>1362997</v>
      </c>
      <c r="AC6" s="420">
        <f t="shared" si="1"/>
        <v>1609717</v>
      </c>
      <c r="AD6" s="420">
        <f t="shared" ref="AD6:AE6" si="2">SUM(AD8,AD11:AD17)</f>
        <v>1815921</v>
      </c>
      <c r="AE6" s="420">
        <f t="shared" si="2"/>
        <v>1458224</v>
      </c>
      <c r="AF6" s="741">
        <f>SUM(AF8,AF11:AF17)</f>
        <v>1573985</v>
      </c>
    </row>
    <row r="7" spans="1:32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W7" s="421"/>
      <c r="X7" s="421"/>
      <c r="Y7" s="421"/>
      <c r="Z7" s="421"/>
      <c r="AA7" s="421"/>
      <c r="AB7" s="421"/>
      <c r="AC7" s="421"/>
      <c r="AD7" s="421"/>
      <c r="AE7" s="421"/>
      <c r="AF7" s="421"/>
    </row>
    <row r="8" spans="1:32">
      <c r="A8" s="417" t="s">
        <v>598</v>
      </c>
      <c r="B8" s="417" t="s">
        <v>599</v>
      </c>
      <c r="D8" s="422">
        <f t="shared" ref="D8:I8" si="3">SUM(D9:D10)</f>
        <v>723232</v>
      </c>
      <c r="E8" s="422">
        <f t="shared" si="3"/>
        <v>1455016</v>
      </c>
      <c r="F8" s="422">
        <f t="shared" si="3"/>
        <v>2235121</v>
      </c>
      <c r="G8" s="422">
        <f t="shared" si="3"/>
        <v>3026897</v>
      </c>
      <c r="H8" s="422">
        <f t="shared" si="3"/>
        <v>797387</v>
      </c>
      <c r="I8" s="422">
        <f t="shared" si="3"/>
        <v>1673221</v>
      </c>
      <c r="J8" s="422">
        <f t="shared" ref="J8:T8" si="4">SUM(J9:J10)</f>
        <v>2555795</v>
      </c>
      <c r="K8" s="422">
        <f t="shared" si="4"/>
        <v>3585829</v>
      </c>
      <c r="L8" s="422">
        <f t="shared" si="4"/>
        <v>928910</v>
      </c>
      <c r="M8" s="422">
        <f t="shared" si="4"/>
        <v>1899506</v>
      </c>
      <c r="N8" s="422">
        <f t="shared" si="4"/>
        <v>2937722</v>
      </c>
      <c r="O8" s="422">
        <f t="shared" si="4"/>
        <v>4066740</v>
      </c>
      <c r="P8" s="422">
        <f t="shared" si="4"/>
        <v>924535</v>
      </c>
      <c r="Q8" s="422">
        <f t="shared" si="4"/>
        <v>1974124</v>
      </c>
      <c r="R8" s="422">
        <f t="shared" si="4"/>
        <v>3213952</v>
      </c>
      <c r="S8" s="422">
        <f t="shared" si="4"/>
        <v>4688460</v>
      </c>
      <c r="T8" s="422">
        <f t="shared" si="4"/>
        <v>1090472</v>
      </c>
      <c r="U8" s="422">
        <f>SUM(U9:U10)</f>
        <v>2360991</v>
      </c>
      <c r="W8" s="422">
        <f t="shared" ref="W8:AC8" si="5">SUM(W9:W10)</f>
        <v>928910</v>
      </c>
      <c r="X8" s="422">
        <f t="shared" si="5"/>
        <v>970596</v>
      </c>
      <c r="Y8" s="422">
        <f t="shared" si="5"/>
        <v>1038216</v>
      </c>
      <c r="Z8" s="422">
        <f t="shared" si="5"/>
        <v>1129018</v>
      </c>
      <c r="AA8" s="422">
        <f t="shared" si="5"/>
        <v>924535</v>
      </c>
      <c r="AB8" s="422">
        <f t="shared" si="5"/>
        <v>1049589</v>
      </c>
      <c r="AC8" s="422">
        <f t="shared" si="5"/>
        <v>1239828</v>
      </c>
      <c r="AD8" s="422">
        <f t="shared" ref="AD8:AE8" si="6">SUM(AD9:AD10)</f>
        <v>1474508</v>
      </c>
      <c r="AE8" s="422">
        <f t="shared" si="6"/>
        <v>1090472</v>
      </c>
      <c r="AF8" s="422">
        <f>SUM(AF9:AF10)</f>
        <v>1270519</v>
      </c>
    </row>
    <row r="9" spans="1:32" outlineLevel="1">
      <c r="A9" s="418" t="s">
        <v>598</v>
      </c>
      <c r="B9" s="418" t="s">
        <v>599</v>
      </c>
      <c r="D9" s="423">
        <v>734525</v>
      </c>
      <c r="E9" s="423">
        <v>1427358</v>
      </c>
      <c r="F9" s="423">
        <v>2097918</v>
      </c>
      <c r="G9" s="423">
        <v>2828658</v>
      </c>
      <c r="H9" s="423">
        <v>731621</v>
      </c>
      <c r="I9" s="423">
        <v>1559863</v>
      </c>
      <c r="J9" s="423">
        <v>2432063</v>
      </c>
      <c r="K9" s="423">
        <v>3483418</v>
      </c>
      <c r="L9" s="423">
        <v>919724</v>
      </c>
      <c r="M9" s="423">
        <v>1868318</v>
      </c>
      <c r="N9" s="423">
        <v>2884570</v>
      </c>
      <c r="O9" s="423">
        <v>4067443</v>
      </c>
      <c r="P9" s="423">
        <v>890790</v>
      </c>
      <c r="Q9" s="423">
        <v>1897633</v>
      </c>
      <c r="R9" s="423">
        <v>3045324</v>
      </c>
      <c r="S9" s="423">
        <v>4244256</v>
      </c>
      <c r="T9" s="423">
        <v>1087608</v>
      </c>
      <c r="U9" s="423">
        <v>2292428</v>
      </c>
      <c r="W9" s="423">
        <f t="shared" ref="W9:W16" si="7">L9</f>
        <v>919724</v>
      </c>
      <c r="X9" s="423">
        <f t="shared" ref="X9:X16" si="8">M9-W9</f>
        <v>948594</v>
      </c>
      <c r="Y9" s="423">
        <f t="shared" ref="Y9:Z16" si="9">N9-M9</f>
        <v>1016252</v>
      </c>
      <c r="Z9" s="423">
        <f t="shared" si="9"/>
        <v>1182873</v>
      </c>
      <c r="AA9" s="423">
        <f t="shared" ref="AA9:AA16" si="10">P9</f>
        <v>890790</v>
      </c>
      <c r="AB9" s="423">
        <f t="shared" ref="AB9:AD16" si="11">Q9-P9</f>
        <v>1006843</v>
      </c>
      <c r="AC9" s="423">
        <f t="shared" si="11"/>
        <v>1147691</v>
      </c>
      <c r="AD9" s="423">
        <f t="shared" si="11"/>
        <v>1198932</v>
      </c>
      <c r="AE9" s="423">
        <f t="shared" ref="AE9:AE16" si="12">T9</f>
        <v>1087608</v>
      </c>
      <c r="AF9" s="423">
        <f t="shared" ref="AF9:AF16" si="13">U9-T9</f>
        <v>1204820</v>
      </c>
    </row>
    <row r="10" spans="1:32" outlineLevel="1">
      <c r="A10" s="418" t="s">
        <v>600</v>
      </c>
      <c r="B10" s="418" t="s">
        <v>601</v>
      </c>
      <c r="D10" s="423">
        <v>-11293</v>
      </c>
      <c r="E10" s="423">
        <v>27658</v>
      </c>
      <c r="F10" s="423">
        <v>137203</v>
      </c>
      <c r="G10" s="423">
        <v>198239</v>
      </c>
      <c r="H10" s="423">
        <v>65766</v>
      </c>
      <c r="I10" s="423">
        <v>113358</v>
      </c>
      <c r="J10" s="423">
        <v>123732</v>
      </c>
      <c r="K10" s="423">
        <v>102411</v>
      </c>
      <c r="L10" s="423">
        <v>9186</v>
      </c>
      <c r="M10" s="423">
        <v>31188</v>
      </c>
      <c r="N10" s="423">
        <v>53152</v>
      </c>
      <c r="O10" s="423">
        <v>-703</v>
      </c>
      <c r="P10" s="423">
        <v>33745</v>
      </c>
      <c r="Q10" s="423">
        <v>76491</v>
      </c>
      <c r="R10" s="423">
        <v>168628</v>
      </c>
      <c r="S10" s="423">
        <v>444204</v>
      </c>
      <c r="T10" s="423">
        <v>2864</v>
      </c>
      <c r="U10" s="423">
        <v>68563</v>
      </c>
      <c r="W10" s="423">
        <f t="shared" si="7"/>
        <v>9186</v>
      </c>
      <c r="X10" s="423">
        <f t="shared" si="8"/>
        <v>22002</v>
      </c>
      <c r="Y10" s="423">
        <f t="shared" si="9"/>
        <v>21964</v>
      </c>
      <c r="Z10" s="423">
        <f t="shared" si="9"/>
        <v>-53855</v>
      </c>
      <c r="AA10" s="423">
        <f t="shared" si="10"/>
        <v>33745</v>
      </c>
      <c r="AB10" s="423">
        <f t="shared" si="11"/>
        <v>42746</v>
      </c>
      <c r="AC10" s="423">
        <f t="shared" si="11"/>
        <v>92137</v>
      </c>
      <c r="AD10" s="423">
        <f t="shared" si="11"/>
        <v>275576</v>
      </c>
      <c r="AE10" s="423">
        <f t="shared" si="12"/>
        <v>2864</v>
      </c>
      <c r="AF10" s="423">
        <f t="shared" si="13"/>
        <v>65699</v>
      </c>
    </row>
    <row r="11" spans="1:32">
      <c r="A11" s="417" t="s">
        <v>602</v>
      </c>
      <c r="B11" s="417" t="s">
        <v>603</v>
      </c>
      <c r="D11" s="422">
        <v>5957</v>
      </c>
      <c r="E11" s="422">
        <v>17053</v>
      </c>
      <c r="F11" s="422">
        <v>22901</v>
      </c>
      <c r="G11" s="422">
        <v>27695</v>
      </c>
      <c r="H11" s="422">
        <v>11032</v>
      </c>
      <c r="I11" s="422">
        <v>19465</v>
      </c>
      <c r="J11" s="422">
        <v>27120</v>
      </c>
      <c r="K11" s="422">
        <v>32016</v>
      </c>
      <c r="L11" s="422">
        <v>4550</v>
      </c>
      <c r="M11" s="422">
        <v>7403</v>
      </c>
      <c r="N11" s="422">
        <v>25550</v>
      </c>
      <c r="O11" s="422">
        <v>23501</v>
      </c>
      <c r="P11" s="422">
        <v>6409</v>
      </c>
      <c r="Q11" s="422">
        <v>21650</v>
      </c>
      <c r="R11" s="422">
        <v>46277</v>
      </c>
      <c r="S11" s="422">
        <v>50483</v>
      </c>
      <c r="T11" s="422">
        <v>27879</v>
      </c>
      <c r="U11" s="422">
        <v>-1610</v>
      </c>
      <c r="W11" s="422">
        <f t="shared" si="7"/>
        <v>4550</v>
      </c>
      <c r="X11" s="422">
        <f t="shared" si="8"/>
        <v>2853</v>
      </c>
      <c r="Y11" s="422">
        <f t="shared" si="9"/>
        <v>18147</v>
      </c>
      <c r="Z11" s="422">
        <f t="shared" si="9"/>
        <v>-2049</v>
      </c>
      <c r="AA11" s="422">
        <f t="shared" si="10"/>
        <v>6409</v>
      </c>
      <c r="AB11" s="422">
        <f t="shared" si="11"/>
        <v>15241</v>
      </c>
      <c r="AC11" s="422">
        <f t="shared" si="11"/>
        <v>24627</v>
      </c>
      <c r="AD11" s="422">
        <f t="shared" si="11"/>
        <v>4206</v>
      </c>
      <c r="AE11" s="422">
        <f t="shared" si="12"/>
        <v>27879</v>
      </c>
      <c r="AF11" s="422">
        <f t="shared" si="13"/>
        <v>-29489</v>
      </c>
    </row>
    <row r="12" spans="1:32">
      <c r="A12" s="417" t="s">
        <v>604</v>
      </c>
      <c r="B12" s="417" t="s">
        <v>605</v>
      </c>
      <c r="D12" s="422">
        <v>0</v>
      </c>
      <c r="E12" s="422">
        <v>0</v>
      </c>
      <c r="F12" s="422">
        <v>0</v>
      </c>
      <c r="G12" s="422">
        <v>0</v>
      </c>
      <c r="H12" s="422">
        <v>0</v>
      </c>
      <c r="I12" s="422">
        <v>0</v>
      </c>
      <c r="J12" s="422">
        <v>0</v>
      </c>
      <c r="K12" s="422">
        <v>0</v>
      </c>
      <c r="L12" s="422">
        <v>0</v>
      </c>
      <c r="M12" s="422">
        <v>0</v>
      </c>
      <c r="N12" s="422">
        <v>0</v>
      </c>
      <c r="O12" s="422">
        <v>0</v>
      </c>
      <c r="P12" s="422">
        <v>0</v>
      </c>
      <c r="Q12" s="422">
        <v>0</v>
      </c>
      <c r="R12" s="422">
        <v>0</v>
      </c>
      <c r="S12" s="422">
        <v>0</v>
      </c>
      <c r="T12" s="422">
        <v>0</v>
      </c>
      <c r="U12" s="422">
        <v>0</v>
      </c>
      <c r="W12" s="422">
        <f t="shared" si="7"/>
        <v>0</v>
      </c>
      <c r="X12" s="422">
        <f t="shared" si="8"/>
        <v>0</v>
      </c>
      <c r="Y12" s="422">
        <f t="shared" si="9"/>
        <v>0</v>
      </c>
      <c r="Z12" s="422">
        <f t="shared" si="9"/>
        <v>0</v>
      </c>
      <c r="AA12" s="422">
        <f t="shared" si="10"/>
        <v>0</v>
      </c>
      <c r="AB12" s="422">
        <f t="shared" si="11"/>
        <v>0</v>
      </c>
      <c r="AC12" s="422">
        <f t="shared" si="11"/>
        <v>0</v>
      </c>
      <c r="AD12" s="422">
        <f t="shared" si="11"/>
        <v>0</v>
      </c>
      <c r="AE12" s="422">
        <f t="shared" si="12"/>
        <v>0</v>
      </c>
      <c r="AF12" s="422">
        <f t="shared" si="13"/>
        <v>0</v>
      </c>
    </row>
    <row r="13" spans="1:32">
      <c r="A13" s="417" t="s">
        <v>606</v>
      </c>
      <c r="B13" s="417" t="s">
        <v>607</v>
      </c>
      <c r="D13" s="422">
        <v>90999</v>
      </c>
      <c r="E13" s="422">
        <v>248057</v>
      </c>
      <c r="F13" s="422">
        <v>481311</v>
      </c>
      <c r="G13" s="422">
        <v>732174</v>
      </c>
      <c r="H13" s="422">
        <v>179768</v>
      </c>
      <c r="I13" s="422">
        <v>454778</v>
      </c>
      <c r="J13" s="422">
        <v>605202</v>
      </c>
      <c r="K13" s="422">
        <v>826100</v>
      </c>
      <c r="L13" s="422">
        <v>132093</v>
      </c>
      <c r="M13" s="422">
        <v>328666</v>
      </c>
      <c r="N13" s="422">
        <v>520092</v>
      </c>
      <c r="O13" s="422">
        <v>725821</v>
      </c>
      <c r="P13" s="422">
        <v>190499</v>
      </c>
      <c r="Q13" s="422">
        <v>414538</v>
      </c>
      <c r="R13" s="422">
        <v>672047</v>
      </c>
      <c r="S13" s="422">
        <v>917051</v>
      </c>
      <c r="T13" s="422">
        <v>231237</v>
      </c>
      <c r="U13" s="422">
        <v>470197</v>
      </c>
      <c r="W13" s="422">
        <f t="shared" si="7"/>
        <v>132093</v>
      </c>
      <c r="X13" s="422">
        <f t="shared" si="8"/>
        <v>196573</v>
      </c>
      <c r="Y13" s="422">
        <f t="shared" si="9"/>
        <v>191426</v>
      </c>
      <c r="Z13" s="422">
        <f t="shared" si="9"/>
        <v>205729</v>
      </c>
      <c r="AA13" s="422">
        <f t="shared" si="10"/>
        <v>190499</v>
      </c>
      <c r="AB13" s="422">
        <f t="shared" si="11"/>
        <v>224039</v>
      </c>
      <c r="AC13" s="422">
        <f t="shared" si="11"/>
        <v>257509</v>
      </c>
      <c r="AD13" s="422">
        <f t="shared" si="11"/>
        <v>245004</v>
      </c>
      <c r="AE13" s="422">
        <f t="shared" si="12"/>
        <v>231237</v>
      </c>
      <c r="AF13" s="422">
        <f t="shared" si="13"/>
        <v>238960</v>
      </c>
    </row>
    <row r="14" spans="1:32">
      <c r="A14" s="417" t="s">
        <v>608</v>
      </c>
      <c r="B14" s="417" t="s">
        <v>609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>
        <v>0</v>
      </c>
      <c r="T14" s="422">
        <v>0</v>
      </c>
      <c r="U14" s="422">
        <v>0</v>
      </c>
      <c r="W14" s="422">
        <f t="shared" si="7"/>
        <v>0</v>
      </c>
      <c r="X14" s="422">
        <f t="shared" si="8"/>
        <v>0</v>
      </c>
      <c r="Y14" s="422">
        <f t="shared" si="9"/>
        <v>0</v>
      </c>
      <c r="Z14" s="422">
        <f t="shared" si="9"/>
        <v>0</v>
      </c>
      <c r="AA14" s="422">
        <f t="shared" si="10"/>
        <v>0</v>
      </c>
      <c r="AB14" s="422">
        <f t="shared" si="11"/>
        <v>0</v>
      </c>
      <c r="AC14" s="422">
        <f t="shared" si="11"/>
        <v>0</v>
      </c>
      <c r="AD14" s="422">
        <f t="shared" si="11"/>
        <v>0</v>
      </c>
      <c r="AE14" s="422">
        <f t="shared" si="12"/>
        <v>0</v>
      </c>
      <c r="AF14" s="422">
        <f t="shared" si="13"/>
        <v>0</v>
      </c>
    </row>
    <row r="15" spans="1:32">
      <c r="A15" s="417" t="s">
        <v>610</v>
      </c>
      <c r="B15" s="417" t="s">
        <v>611</v>
      </c>
      <c r="D15" s="422">
        <v>0</v>
      </c>
      <c r="E15" s="422">
        <v>0</v>
      </c>
      <c r="F15" s="422">
        <v>0</v>
      </c>
      <c r="G15" s="422">
        <v>0</v>
      </c>
      <c r="H15" s="422">
        <v>0</v>
      </c>
      <c r="I15" s="422">
        <v>0</v>
      </c>
      <c r="J15" s="422">
        <v>0</v>
      </c>
      <c r="K15" s="422">
        <v>0</v>
      </c>
      <c r="L15" s="422">
        <v>0</v>
      </c>
      <c r="M15" s="422">
        <v>0</v>
      </c>
      <c r="N15" s="422">
        <v>0</v>
      </c>
      <c r="O15" s="422">
        <v>0</v>
      </c>
      <c r="P15" s="422">
        <v>0</v>
      </c>
      <c r="Q15" s="422">
        <v>0</v>
      </c>
      <c r="R15" s="422">
        <v>0</v>
      </c>
      <c r="S15" s="422">
        <v>0</v>
      </c>
      <c r="T15" s="422">
        <v>0</v>
      </c>
      <c r="U15" s="422">
        <v>0</v>
      </c>
      <c r="W15" s="422">
        <f t="shared" si="7"/>
        <v>0</v>
      </c>
      <c r="X15" s="422">
        <f t="shared" si="8"/>
        <v>0</v>
      </c>
      <c r="Y15" s="422">
        <f t="shared" si="9"/>
        <v>0</v>
      </c>
      <c r="Z15" s="422">
        <f t="shared" si="9"/>
        <v>0</v>
      </c>
      <c r="AA15" s="422">
        <f t="shared" si="10"/>
        <v>0</v>
      </c>
      <c r="AB15" s="422">
        <f t="shared" si="11"/>
        <v>0</v>
      </c>
      <c r="AC15" s="422">
        <f t="shared" si="11"/>
        <v>0</v>
      </c>
      <c r="AD15" s="422">
        <f t="shared" si="11"/>
        <v>0</v>
      </c>
      <c r="AE15" s="422">
        <f t="shared" si="12"/>
        <v>0</v>
      </c>
      <c r="AF15" s="422">
        <f t="shared" si="13"/>
        <v>0</v>
      </c>
    </row>
    <row r="16" spans="1:32">
      <c r="A16" s="417" t="s">
        <v>612</v>
      </c>
      <c r="B16" s="417" t="s">
        <v>613</v>
      </c>
      <c r="D16" s="422">
        <v>0</v>
      </c>
      <c r="E16" s="422">
        <v>0</v>
      </c>
      <c r="F16" s="422">
        <v>0</v>
      </c>
      <c r="G16" s="422">
        <v>0</v>
      </c>
      <c r="H16" s="422">
        <v>0</v>
      </c>
      <c r="I16" s="422">
        <v>0</v>
      </c>
      <c r="J16" s="422">
        <v>0</v>
      </c>
      <c r="K16" s="422">
        <v>0</v>
      </c>
      <c r="L16" s="422">
        <v>0</v>
      </c>
      <c r="M16" s="422">
        <v>0</v>
      </c>
      <c r="N16" s="422">
        <v>0</v>
      </c>
      <c r="O16" s="422">
        <v>0</v>
      </c>
      <c r="P16" s="422">
        <v>0</v>
      </c>
      <c r="Q16" s="422">
        <v>0</v>
      </c>
      <c r="R16" s="422">
        <v>0</v>
      </c>
      <c r="S16" s="422">
        <v>0</v>
      </c>
      <c r="T16" s="422">
        <v>0</v>
      </c>
      <c r="U16" s="422">
        <v>0</v>
      </c>
      <c r="W16" s="422">
        <f t="shared" si="7"/>
        <v>0</v>
      </c>
      <c r="X16" s="422">
        <f t="shared" si="8"/>
        <v>0</v>
      </c>
      <c r="Y16" s="422">
        <f t="shared" si="9"/>
        <v>0</v>
      </c>
      <c r="Z16" s="422">
        <f t="shared" si="9"/>
        <v>0</v>
      </c>
      <c r="AA16" s="422">
        <f t="shared" si="10"/>
        <v>0</v>
      </c>
      <c r="AB16" s="422">
        <f t="shared" si="11"/>
        <v>0</v>
      </c>
      <c r="AC16" s="422">
        <f t="shared" si="11"/>
        <v>0</v>
      </c>
      <c r="AD16" s="422">
        <f t="shared" si="11"/>
        <v>0</v>
      </c>
      <c r="AE16" s="422">
        <f t="shared" si="12"/>
        <v>0</v>
      </c>
      <c r="AF16" s="422">
        <f t="shared" si="13"/>
        <v>0</v>
      </c>
    </row>
    <row r="17" spans="1:32">
      <c r="A17" s="417" t="s">
        <v>614</v>
      </c>
      <c r="B17" s="417" t="s">
        <v>615</v>
      </c>
      <c r="D17" s="422">
        <f t="shared" ref="D17:I17" si="14">SUM(D18:D25)</f>
        <v>70219</v>
      </c>
      <c r="E17" s="422">
        <f t="shared" si="14"/>
        <v>163044</v>
      </c>
      <c r="F17" s="422">
        <f t="shared" si="14"/>
        <v>195738</v>
      </c>
      <c r="G17" s="422">
        <f t="shared" si="14"/>
        <v>231958</v>
      </c>
      <c r="H17" s="422">
        <f t="shared" si="14"/>
        <v>50134</v>
      </c>
      <c r="I17" s="422">
        <f t="shared" si="14"/>
        <v>123453</v>
      </c>
      <c r="J17" s="422">
        <f t="shared" ref="J17:T17" si="15">SUM(J18:J25)</f>
        <v>185810</v>
      </c>
      <c r="K17" s="422">
        <f t="shared" si="15"/>
        <v>314002</v>
      </c>
      <c r="L17" s="422">
        <f t="shared" si="15"/>
        <v>72619</v>
      </c>
      <c r="M17" s="422">
        <f t="shared" si="15"/>
        <v>150238</v>
      </c>
      <c r="N17" s="422">
        <f t="shared" si="15"/>
        <v>239517</v>
      </c>
      <c r="O17" s="422">
        <f t="shared" si="15"/>
        <v>294512</v>
      </c>
      <c r="P17" s="422">
        <f t="shared" si="15"/>
        <v>71930</v>
      </c>
      <c r="Q17" s="422">
        <f t="shared" si="15"/>
        <v>146058</v>
      </c>
      <c r="R17" s="422">
        <f t="shared" si="15"/>
        <v>233811</v>
      </c>
      <c r="S17" s="422">
        <f t="shared" si="15"/>
        <v>326014</v>
      </c>
      <c r="T17" s="422">
        <f t="shared" si="15"/>
        <v>108636</v>
      </c>
      <c r="U17" s="422">
        <f>SUM(U18:U25)</f>
        <v>202631</v>
      </c>
      <c r="W17" s="422">
        <f t="shared" ref="W17:AC17" si="16">SUM(W18:W25)</f>
        <v>72619</v>
      </c>
      <c r="X17" s="422">
        <f t="shared" si="16"/>
        <v>77619</v>
      </c>
      <c r="Y17" s="422">
        <f t="shared" si="16"/>
        <v>89279</v>
      </c>
      <c r="Z17" s="422">
        <f t="shared" si="16"/>
        <v>54995</v>
      </c>
      <c r="AA17" s="422">
        <f t="shared" si="16"/>
        <v>71930</v>
      </c>
      <c r="AB17" s="422">
        <f t="shared" si="16"/>
        <v>74128</v>
      </c>
      <c r="AC17" s="422">
        <f t="shared" si="16"/>
        <v>87753</v>
      </c>
      <c r="AD17" s="422">
        <f t="shared" ref="AD17:AE17" si="17">SUM(AD18:AD25)</f>
        <v>92203</v>
      </c>
      <c r="AE17" s="422">
        <f t="shared" si="17"/>
        <v>108636</v>
      </c>
      <c r="AF17" s="422">
        <f>SUM(AF18:AF25)</f>
        <v>93995</v>
      </c>
    </row>
    <row r="18" spans="1:32" outlineLevel="1">
      <c r="A18" s="418" t="s">
        <v>616</v>
      </c>
      <c r="B18" s="418" t="s">
        <v>617</v>
      </c>
      <c r="D18" s="423">
        <v>26453</v>
      </c>
      <c r="E18" s="423">
        <v>53892</v>
      </c>
      <c r="F18" s="423">
        <v>76377</v>
      </c>
      <c r="G18" s="423">
        <v>96126</v>
      </c>
      <c r="H18" s="423">
        <v>29496</v>
      </c>
      <c r="I18" s="423">
        <v>60643</v>
      </c>
      <c r="J18" s="423">
        <v>93801</v>
      </c>
      <c r="K18" s="423">
        <v>130397</v>
      </c>
      <c r="L18" s="423">
        <v>35107</v>
      </c>
      <c r="M18" s="423">
        <v>72272</v>
      </c>
      <c r="N18" s="423">
        <v>108463</v>
      </c>
      <c r="O18" s="423">
        <v>149043</v>
      </c>
      <c r="P18" s="423">
        <v>37090</v>
      </c>
      <c r="Q18" s="423">
        <v>78305</v>
      </c>
      <c r="R18" s="423">
        <v>130382</v>
      </c>
      <c r="S18" s="423">
        <v>188969</v>
      </c>
      <c r="T18" s="423">
        <v>55384</v>
      </c>
      <c r="U18" s="423">
        <v>110480</v>
      </c>
      <c r="W18" s="423">
        <f t="shared" ref="W18:W25" si="18">L18</f>
        <v>35107</v>
      </c>
      <c r="X18" s="423">
        <f t="shared" ref="X18:X25" si="19">M18-W18</f>
        <v>37165</v>
      </c>
      <c r="Y18" s="423">
        <f t="shared" ref="Y18:Z25" si="20">N18-M18</f>
        <v>36191</v>
      </c>
      <c r="Z18" s="423">
        <f t="shared" si="20"/>
        <v>40580</v>
      </c>
      <c r="AA18" s="423">
        <f t="shared" ref="AA18:AA25" si="21">P18</f>
        <v>37090</v>
      </c>
      <c r="AB18" s="423">
        <f t="shared" ref="AB18:AD25" si="22">Q18-P18</f>
        <v>41215</v>
      </c>
      <c r="AC18" s="423">
        <f t="shared" si="22"/>
        <v>52077</v>
      </c>
      <c r="AD18" s="423">
        <f t="shared" si="22"/>
        <v>58587</v>
      </c>
      <c r="AE18" s="423">
        <f t="shared" ref="AE18:AE25" si="23">T18</f>
        <v>55384</v>
      </c>
      <c r="AF18" s="423">
        <f t="shared" ref="AF18:AF25" si="24">U18-T18</f>
        <v>55096</v>
      </c>
    </row>
    <row r="19" spans="1:32" outlineLevel="1">
      <c r="A19" s="418" t="s">
        <v>618</v>
      </c>
      <c r="B19" s="418" t="s">
        <v>619</v>
      </c>
      <c r="D19" s="423">
        <v>1214</v>
      </c>
      <c r="E19" s="423">
        <v>3243</v>
      </c>
      <c r="F19" s="423">
        <v>201</v>
      </c>
      <c r="G19" s="423">
        <v>1129</v>
      </c>
      <c r="H19" s="423">
        <v>2219</v>
      </c>
      <c r="I19" s="423">
        <v>3116</v>
      </c>
      <c r="J19" s="423">
        <v>4423</v>
      </c>
      <c r="K19" s="423">
        <v>19057</v>
      </c>
      <c r="L19" s="423">
        <v>2588</v>
      </c>
      <c r="M19" s="423">
        <v>4745</v>
      </c>
      <c r="N19" s="423">
        <v>4956</v>
      </c>
      <c r="O19" s="423">
        <v>8254</v>
      </c>
      <c r="P19" s="423">
        <v>5518</v>
      </c>
      <c r="Q19" s="423">
        <v>8344</v>
      </c>
      <c r="R19" s="423">
        <v>12118</v>
      </c>
      <c r="S19" s="423">
        <v>12572</v>
      </c>
      <c r="T19" s="423">
        <v>5560</v>
      </c>
      <c r="U19" s="423">
        <v>13003</v>
      </c>
      <c r="W19" s="423">
        <f t="shared" si="18"/>
        <v>2588</v>
      </c>
      <c r="X19" s="423">
        <f t="shared" si="19"/>
        <v>2157</v>
      </c>
      <c r="Y19" s="423">
        <f t="shared" si="20"/>
        <v>211</v>
      </c>
      <c r="Z19" s="423">
        <f t="shared" si="20"/>
        <v>3298</v>
      </c>
      <c r="AA19" s="423">
        <f t="shared" si="21"/>
        <v>5518</v>
      </c>
      <c r="AB19" s="423">
        <f t="shared" si="22"/>
        <v>2826</v>
      </c>
      <c r="AC19" s="423">
        <f t="shared" si="22"/>
        <v>3774</v>
      </c>
      <c r="AD19" s="423">
        <f t="shared" si="22"/>
        <v>454</v>
      </c>
      <c r="AE19" s="423">
        <f t="shared" si="23"/>
        <v>5560</v>
      </c>
      <c r="AF19" s="423">
        <f t="shared" si="24"/>
        <v>7443</v>
      </c>
    </row>
    <row r="20" spans="1:32" outlineLevel="1">
      <c r="A20" s="418" t="s">
        <v>620</v>
      </c>
      <c r="B20" s="418" t="s">
        <v>621</v>
      </c>
      <c r="D20" s="423">
        <v>0</v>
      </c>
      <c r="E20" s="423">
        <v>0</v>
      </c>
      <c r="F20" s="423">
        <v>0</v>
      </c>
      <c r="G20" s="423">
        <v>0</v>
      </c>
      <c r="H20" s="423">
        <v>0</v>
      </c>
      <c r="I20" s="423">
        <v>0</v>
      </c>
      <c r="J20" s="423">
        <v>0</v>
      </c>
      <c r="K20" s="423">
        <v>0</v>
      </c>
      <c r="L20" s="423">
        <v>0</v>
      </c>
      <c r="M20" s="423">
        <v>0</v>
      </c>
      <c r="N20" s="423">
        <v>0</v>
      </c>
      <c r="O20" s="423">
        <v>0</v>
      </c>
      <c r="P20" s="423">
        <v>0</v>
      </c>
      <c r="Q20" s="423">
        <v>0</v>
      </c>
      <c r="R20" s="423">
        <v>0</v>
      </c>
      <c r="S20" s="423">
        <v>0</v>
      </c>
      <c r="T20" s="423">
        <v>0</v>
      </c>
      <c r="U20" s="423">
        <v>0</v>
      </c>
      <c r="W20" s="423">
        <f t="shared" si="18"/>
        <v>0</v>
      </c>
      <c r="X20" s="423">
        <f t="shared" si="19"/>
        <v>0</v>
      </c>
      <c r="Y20" s="423">
        <f t="shared" si="20"/>
        <v>0</v>
      </c>
      <c r="Z20" s="423">
        <f t="shared" si="20"/>
        <v>0</v>
      </c>
      <c r="AA20" s="423">
        <f t="shared" si="21"/>
        <v>0</v>
      </c>
      <c r="AB20" s="423">
        <f t="shared" si="22"/>
        <v>0</v>
      </c>
      <c r="AC20" s="423">
        <f t="shared" si="22"/>
        <v>0</v>
      </c>
      <c r="AD20" s="423">
        <f t="shared" si="22"/>
        <v>0</v>
      </c>
      <c r="AE20" s="423">
        <f t="shared" si="23"/>
        <v>0</v>
      </c>
      <c r="AF20" s="423">
        <f t="shared" si="24"/>
        <v>0</v>
      </c>
    </row>
    <row r="21" spans="1:32" outlineLevel="1">
      <c r="A21" s="418" t="s">
        <v>622</v>
      </c>
      <c r="B21" s="418" t="s">
        <v>623</v>
      </c>
      <c r="D21" s="423">
        <v>0</v>
      </c>
      <c r="E21" s="423">
        <v>0</v>
      </c>
      <c r="F21" s="423">
        <v>0</v>
      </c>
      <c r="G21" s="423">
        <v>0</v>
      </c>
      <c r="H21" s="423">
        <v>0</v>
      </c>
      <c r="I21" s="423">
        <v>0</v>
      </c>
      <c r="J21" s="423">
        <v>0</v>
      </c>
      <c r="K21" s="423">
        <v>0</v>
      </c>
      <c r="L21" s="423">
        <v>0</v>
      </c>
      <c r="M21" s="423">
        <v>0</v>
      </c>
      <c r="N21" s="423">
        <v>0</v>
      </c>
      <c r="O21" s="423">
        <v>0</v>
      </c>
      <c r="P21" s="423">
        <v>0</v>
      </c>
      <c r="Q21" s="423">
        <v>0</v>
      </c>
      <c r="R21" s="423">
        <v>0</v>
      </c>
      <c r="S21" s="423">
        <v>0</v>
      </c>
      <c r="T21" s="423">
        <v>0</v>
      </c>
      <c r="U21" s="423">
        <v>0</v>
      </c>
      <c r="W21" s="423">
        <f t="shared" si="18"/>
        <v>0</v>
      </c>
      <c r="X21" s="423">
        <f t="shared" si="19"/>
        <v>0</v>
      </c>
      <c r="Y21" s="423">
        <f t="shared" si="20"/>
        <v>0</v>
      </c>
      <c r="Z21" s="423">
        <f t="shared" si="20"/>
        <v>0</v>
      </c>
      <c r="AA21" s="423">
        <f t="shared" si="21"/>
        <v>0</v>
      </c>
      <c r="AB21" s="423">
        <f t="shared" si="22"/>
        <v>0</v>
      </c>
      <c r="AC21" s="423">
        <f t="shared" si="22"/>
        <v>0</v>
      </c>
      <c r="AD21" s="423">
        <f t="shared" si="22"/>
        <v>0</v>
      </c>
      <c r="AE21" s="423">
        <f t="shared" si="23"/>
        <v>0</v>
      </c>
      <c r="AF21" s="423">
        <f t="shared" si="24"/>
        <v>0</v>
      </c>
    </row>
    <row r="22" spans="1:32" outlineLevel="1">
      <c r="A22" s="418" t="s">
        <v>624</v>
      </c>
      <c r="B22" s="418" t="s">
        <v>625</v>
      </c>
      <c r="D22" s="423">
        <v>0</v>
      </c>
      <c r="E22" s="423">
        <v>0</v>
      </c>
      <c r="F22" s="423">
        <v>0</v>
      </c>
      <c r="G22" s="423">
        <v>0</v>
      </c>
      <c r="H22" s="423">
        <v>0</v>
      </c>
      <c r="I22" s="423">
        <v>0</v>
      </c>
      <c r="J22" s="423">
        <v>0</v>
      </c>
      <c r="K22" s="423">
        <v>0</v>
      </c>
      <c r="L22" s="423">
        <v>0</v>
      </c>
      <c r="M22" s="423">
        <v>0</v>
      </c>
      <c r="N22" s="423">
        <v>0</v>
      </c>
      <c r="O22" s="423">
        <v>0</v>
      </c>
      <c r="P22" s="423">
        <v>0</v>
      </c>
      <c r="Q22" s="423">
        <v>0</v>
      </c>
      <c r="R22" s="423">
        <v>0</v>
      </c>
      <c r="S22" s="423">
        <v>0</v>
      </c>
      <c r="T22" s="423">
        <v>0</v>
      </c>
      <c r="U22" s="423">
        <v>0</v>
      </c>
      <c r="W22" s="423">
        <f t="shared" si="18"/>
        <v>0</v>
      </c>
      <c r="X22" s="423">
        <f t="shared" si="19"/>
        <v>0</v>
      </c>
      <c r="Y22" s="423">
        <f t="shared" si="20"/>
        <v>0</v>
      </c>
      <c r="Z22" s="423">
        <f t="shared" si="20"/>
        <v>0</v>
      </c>
      <c r="AA22" s="423">
        <f t="shared" si="21"/>
        <v>0</v>
      </c>
      <c r="AB22" s="423">
        <f t="shared" si="22"/>
        <v>0</v>
      </c>
      <c r="AC22" s="423">
        <f t="shared" si="22"/>
        <v>0</v>
      </c>
      <c r="AD22" s="423">
        <f t="shared" si="22"/>
        <v>0</v>
      </c>
      <c r="AE22" s="423">
        <f t="shared" si="23"/>
        <v>0</v>
      </c>
      <c r="AF22" s="423">
        <f t="shared" si="24"/>
        <v>0</v>
      </c>
    </row>
    <row r="23" spans="1:32" outlineLevel="1">
      <c r="A23" s="418" t="s">
        <v>626</v>
      </c>
      <c r="B23" s="418" t="s">
        <v>811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0</v>
      </c>
      <c r="T23" s="423">
        <v>0</v>
      </c>
      <c r="U23" s="423">
        <v>0</v>
      </c>
      <c r="W23" s="423">
        <f t="shared" si="18"/>
        <v>0</v>
      </c>
      <c r="X23" s="423">
        <f t="shared" si="19"/>
        <v>0</v>
      </c>
      <c r="Y23" s="423">
        <f t="shared" si="20"/>
        <v>0</v>
      </c>
      <c r="Z23" s="423">
        <f t="shared" si="20"/>
        <v>0</v>
      </c>
      <c r="AA23" s="423">
        <f t="shared" si="21"/>
        <v>0</v>
      </c>
      <c r="AB23" s="423">
        <f t="shared" si="22"/>
        <v>0</v>
      </c>
      <c r="AC23" s="423">
        <f t="shared" si="22"/>
        <v>0</v>
      </c>
      <c r="AD23" s="423">
        <f t="shared" si="22"/>
        <v>0</v>
      </c>
      <c r="AE23" s="423">
        <f t="shared" si="23"/>
        <v>0</v>
      </c>
      <c r="AF23" s="423">
        <f t="shared" si="24"/>
        <v>0</v>
      </c>
    </row>
    <row r="24" spans="1:32" outlineLevel="1">
      <c r="A24" s="418" t="s">
        <v>628</v>
      </c>
      <c r="B24" s="418" t="s">
        <v>629</v>
      </c>
      <c r="D24" s="423">
        <v>0</v>
      </c>
      <c r="E24" s="423">
        <v>0</v>
      </c>
      <c r="F24" s="423">
        <v>0</v>
      </c>
      <c r="G24" s="423">
        <v>0</v>
      </c>
      <c r="H24" s="423">
        <v>0</v>
      </c>
      <c r="I24" s="423">
        <v>0</v>
      </c>
      <c r="J24" s="423">
        <v>0</v>
      </c>
      <c r="K24" s="423">
        <v>0</v>
      </c>
      <c r="L24" s="423">
        <v>0</v>
      </c>
      <c r="M24" s="423">
        <v>0</v>
      </c>
      <c r="N24" s="423">
        <v>0</v>
      </c>
      <c r="O24" s="423">
        <v>0</v>
      </c>
      <c r="P24" s="423">
        <v>0</v>
      </c>
      <c r="Q24" s="423">
        <v>0</v>
      </c>
      <c r="R24" s="423">
        <v>0</v>
      </c>
      <c r="S24" s="423">
        <v>0</v>
      </c>
      <c r="T24" s="423">
        <v>0</v>
      </c>
      <c r="U24" s="423">
        <v>0</v>
      </c>
      <c r="W24" s="423">
        <f t="shared" si="18"/>
        <v>0</v>
      </c>
      <c r="X24" s="423">
        <f t="shared" si="19"/>
        <v>0</v>
      </c>
      <c r="Y24" s="423">
        <f t="shared" si="20"/>
        <v>0</v>
      </c>
      <c r="Z24" s="423">
        <f t="shared" si="20"/>
        <v>0</v>
      </c>
      <c r="AA24" s="423">
        <f t="shared" si="21"/>
        <v>0</v>
      </c>
      <c r="AB24" s="423">
        <f t="shared" si="22"/>
        <v>0</v>
      </c>
      <c r="AC24" s="423">
        <f t="shared" si="22"/>
        <v>0</v>
      </c>
      <c r="AD24" s="423">
        <f t="shared" si="22"/>
        <v>0</v>
      </c>
      <c r="AE24" s="423">
        <f t="shared" si="23"/>
        <v>0</v>
      </c>
      <c r="AF24" s="423">
        <f t="shared" si="24"/>
        <v>0</v>
      </c>
    </row>
    <row r="25" spans="1:32" outlineLevel="1">
      <c r="A25" s="418" t="s">
        <v>614</v>
      </c>
      <c r="B25" s="418" t="s">
        <v>615</v>
      </c>
      <c r="D25" s="423">
        <v>42552</v>
      </c>
      <c r="E25" s="423">
        <v>105909</v>
      </c>
      <c r="F25" s="423">
        <v>119160</v>
      </c>
      <c r="G25" s="423">
        <v>134703</v>
      </c>
      <c r="H25" s="423">
        <v>18419</v>
      </c>
      <c r="I25" s="423">
        <v>59694</v>
      </c>
      <c r="J25" s="423">
        <v>87586</v>
      </c>
      <c r="K25" s="423">
        <v>164548</v>
      </c>
      <c r="L25" s="423">
        <v>34924</v>
      </c>
      <c r="M25" s="423">
        <v>73221</v>
      </c>
      <c r="N25" s="423">
        <v>126098</v>
      </c>
      <c r="O25" s="423">
        <v>137215</v>
      </c>
      <c r="P25" s="423">
        <v>29322</v>
      </c>
      <c r="Q25" s="423">
        <v>59409</v>
      </c>
      <c r="R25" s="423">
        <v>91311</v>
      </c>
      <c r="S25" s="423">
        <v>124473</v>
      </c>
      <c r="T25" s="423">
        <v>47692</v>
      </c>
      <c r="U25" s="423">
        <v>79148</v>
      </c>
      <c r="W25" s="423">
        <f t="shared" si="18"/>
        <v>34924</v>
      </c>
      <c r="X25" s="423">
        <f t="shared" si="19"/>
        <v>38297</v>
      </c>
      <c r="Y25" s="423">
        <f t="shared" si="20"/>
        <v>52877</v>
      </c>
      <c r="Z25" s="423">
        <f t="shared" si="20"/>
        <v>11117</v>
      </c>
      <c r="AA25" s="423">
        <f t="shared" si="21"/>
        <v>29322</v>
      </c>
      <c r="AB25" s="423">
        <f t="shared" si="22"/>
        <v>30087</v>
      </c>
      <c r="AC25" s="423">
        <f t="shared" si="22"/>
        <v>31902</v>
      </c>
      <c r="AD25" s="423">
        <f t="shared" si="22"/>
        <v>33162</v>
      </c>
      <c r="AE25" s="423">
        <f t="shared" si="23"/>
        <v>47692</v>
      </c>
      <c r="AF25" s="423">
        <f t="shared" si="24"/>
        <v>31456</v>
      </c>
    </row>
    <row r="26" spans="1:32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</row>
    <row r="27" spans="1:32">
      <c r="A27" s="429" t="s">
        <v>630</v>
      </c>
      <c r="B27" s="429" t="s">
        <v>631</v>
      </c>
      <c r="D27" s="420">
        <f t="shared" ref="D27:I27" si="25">SUM(D29:D37)</f>
        <v>-302491</v>
      </c>
      <c r="E27" s="420">
        <f t="shared" si="25"/>
        <v>-581007</v>
      </c>
      <c r="F27" s="420">
        <f t="shared" si="25"/>
        <v>-835521</v>
      </c>
      <c r="G27" s="420">
        <f t="shared" si="25"/>
        <v>-1075047</v>
      </c>
      <c r="H27" s="420">
        <f t="shared" si="25"/>
        <v>-259237</v>
      </c>
      <c r="I27" s="420">
        <f t="shared" si="25"/>
        <v>-585471</v>
      </c>
      <c r="J27" s="420">
        <f t="shared" ref="J27:T27" si="26">SUM(J29:J37)</f>
        <v>-913148</v>
      </c>
      <c r="K27" s="420">
        <f t="shared" si="26"/>
        <v>-1299120</v>
      </c>
      <c r="L27" s="420">
        <f t="shared" si="26"/>
        <v>-339706</v>
      </c>
      <c r="M27" s="420">
        <f t="shared" si="26"/>
        <v>-694964</v>
      </c>
      <c r="N27" s="420">
        <f t="shared" si="26"/>
        <v>-1056032</v>
      </c>
      <c r="O27" s="420">
        <f t="shared" si="26"/>
        <v>-1430983</v>
      </c>
      <c r="P27" s="420">
        <f t="shared" si="26"/>
        <v>-314706</v>
      </c>
      <c r="Q27" s="420">
        <f t="shared" si="26"/>
        <v>-666929</v>
      </c>
      <c r="R27" s="420">
        <f t="shared" si="26"/>
        <v>-1124226</v>
      </c>
      <c r="S27" s="420">
        <f t="shared" si="26"/>
        <v>-1567477</v>
      </c>
      <c r="T27" s="420">
        <f t="shared" si="26"/>
        <v>-429593</v>
      </c>
      <c r="U27" s="741">
        <f>SUM(U29:U37)</f>
        <v>-913141</v>
      </c>
      <c r="W27" s="420">
        <f t="shared" ref="W27:AC27" si="27">SUM(W29:W37)</f>
        <v>-339706</v>
      </c>
      <c r="X27" s="420">
        <f t="shared" si="27"/>
        <v>-355258</v>
      </c>
      <c r="Y27" s="420">
        <f t="shared" si="27"/>
        <v>-361068</v>
      </c>
      <c r="Z27" s="420">
        <f t="shared" si="27"/>
        <v>-374951</v>
      </c>
      <c r="AA27" s="420">
        <f t="shared" si="27"/>
        <v>-314706</v>
      </c>
      <c r="AB27" s="420">
        <f t="shared" si="27"/>
        <v>-352223</v>
      </c>
      <c r="AC27" s="420">
        <f t="shared" si="27"/>
        <v>-457297</v>
      </c>
      <c r="AD27" s="420">
        <f t="shared" ref="AD27:AE27" si="28">SUM(AD29:AD37)</f>
        <v>-443251</v>
      </c>
      <c r="AE27" s="420">
        <f t="shared" si="28"/>
        <v>-429593</v>
      </c>
      <c r="AF27" s="741">
        <f>SUM(AF29:AF37)</f>
        <v>-483548</v>
      </c>
    </row>
    <row r="28" spans="1:32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</row>
    <row r="29" spans="1:32" outlineLevel="1">
      <c r="A29" s="418" t="s">
        <v>632</v>
      </c>
      <c r="B29" s="418" t="s">
        <v>632</v>
      </c>
      <c r="D29" s="423">
        <v>-181039</v>
      </c>
      <c r="E29" s="423">
        <v>-347249</v>
      </c>
      <c r="F29" s="423">
        <v>-478138</v>
      </c>
      <c r="G29" s="423">
        <v>-598820</v>
      </c>
      <c r="H29" s="423">
        <v>-138211</v>
      </c>
      <c r="I29" s="423">
        <v>-330662</v>
      </c>
      <c r="J29" s="423">
        <v>-541090</v>
      </c>
      <c r="K29" s="423">
        <v>-783081</v>
      </c>
      <c r="L29" s="423">
        <v>-186419</v>
      </c>
      <c r="M29" s="423">
        <v>-380066</v>
      </c>
      <c r="N29" s="423">
        <v>-585879</v>
      </c>
      <c r="O29" s="423">
        <v>-817911</v>
      </c>
      <c r="P29" s="423">
        <v>-182611</v>
      </c>
      <c r="Q29" s="423">
        <v>-399551</v>
      </c>
      <c r="R29" s="423">
        <v>-656987</v>
      </c>
      <c r="S29" s="423">
        <v>-920339</v>
      </c>
      <c r="T29" s="423">
        <v>-234244</v>
      </c>
      <c r="U29" s="423">
        <v>-494075</v>
      </c>
      <c r="W29" s="423">
        <f t="shared" ref="W29:W37" si="29">L29</f>
        <v>-186419</v>
      </c>
      <c r="X29" s="423">
        <f t="shared" ref="X29:X37" si="30">M29-W29</f>
        <v>-193647</v>
      </c>
      <c r="Y29" s="423">
        <f t="shared" ref="Y29:Y37" si="31">N29-M29</f>
        <v>-205813</v>
      </c>
      <c r="Z29" s="423">
        <f t="shared" ref="Z29:Z37" si="32">O29-N29</f>
        <v>-232032</v>
      </c>
      <c r="AA29" s="423">
        <f t="shared" ref="AA29:AA37" si="33">P29</f>
        <v>-182611</v>
      </c>
      <c r="AB29" s="423">
        <f t="shared" ref="AB29:AB37" si="34">Q29-P29</f>
        <v>-216940</v>
      </c>
      <c r="AC29" s="423">
        <f t="shared" ref="AC29:AC37" si="35">R29-Q29</f>
        <v>-257436</v>
      </c>
      <c r="AD29" s="423">
        <f t="shared" ref="AD29:AD37" si="36">S29-R29</f>
        <v>-263352</v>
      </c>
      <c r="AE29" s="423">
        <f t="shared" ref="AE29:AE37" si="37">T29</f>
        <v>-234244</v>
      </c>
      <c r="AF29" s="423">
        <f t="shared" ref="AF29:AF37" si="38">U29-T29</f>
        <v>-259831</v>
      </c>
    </row>
    <row r="30" spans="1:32" outlineLevel="1">
      <c r="A30" s="418" t="s">
        <v>633</v>
      </c>
      <c r="B30" s="418" t="s">
        <v>634</v>
      </c>
      <c r="D30" s="423">
        <v>-58324</v>
      </c>
      <c r="E30" s="423">
        <v>-111394</v>
      </c>
      <c r="F30" s="423">
        <v>-175965</v>
      </c>
      <c r="G30" s="423">
        <v>-234533</v>
      </c>
      <c r="H30" s="423">
        <v>-59538</v>
      </c>
      <c r="I30" s="423">
        <v>-129112</v>
      </c>
      <c r="J30" s="423">
        <v>-187016</v>
      </c>
      <c r="K30" s="423">
        <v>-262297</v>
      </c>
      <c r="L30" s="423">
        <v>-70159</v>
      </c>
      <c r="M30" s="423">
        <v>-145498</v>
      </c>
      <c r="N30" s="423">
        <v>-219875</v>
      </c>
      <c r="O30" s="423">
        <v>-315296</v>
      </c>
      <c r="P30" s="423">
        <v>-64054</v>
      </c>
      <c r="Q30" s="423">
        <v>-131231</v>
      </c>
      <c r="R30" s="423">
        <v>-239444</v>
      </c>
      <c r="S30" s="423">
        <v>-318968</v>
      </c>
      <c r="T30" s="423">
        <v>-98004</v>
      </c>
      <c r="U30" s="423">
        <v>-226515</v>
      </c>
      <c r="W30" s="423">
        <f t="shared" si="29"/>
        <v>-70159</v>
      </c>
      <c r="X30" s="423">
        <f t="shared" si="30"/>
        <v>-75339</v>
      </c>
      <c r="Y30" s="423">
        <f t="shared" si="31"/>
        <v>-74377</v>
      </c>
      <c r="Z30" s="423">
        <f t="shared" si="32"/>
        <v>-95421</v>
      </c>
      <c r="AA30" s="423">
        <f t="shared" si="33"/>
        <v>-64054</v>
      </c>
      <c r="AB30" s="423">
        <f t="shared" si="34"/>
        <v>-67177</v>
      </c>
      <c r="AC30" s="423">
        <f t="shared" si="35"/>
        <v>-108213</v>
      </c>
      <c r="AD30" s="423">
        <f t="shared" si="36"/>
        <v>-79524</v>
      </c>
      <c r="AE30" s="423">
        <f t="shared" si="37"/>
        <v>-98004</v>
      </c>
      <c r="AF30" s="423">
        <f t="shared" si="38"/>
        <v>-128511</v>
      </c>
    </row>
    <row r="31" spans="1:32" outlineLevel="1">
      <c r="A31" s="418" t="s">
        <v>635</v>
      </c>
      <c r="B31" s="418" t="s">
        <v>636</v>
      </c>
      <c r="D31" s="423">
        <v>0</v>
      </c>
      <c r="E31" s="423">
        <v>0</v>
      </c>
      <c r="F31" s="423">
        <v>0</v>
      </c>
      <c r="G31" s="423">
        <v>0</v>
      </c>
      <c r="H31" s="423">
        <v>0</v>
      </c>
      <c r="I31" s="423">
        <v>0</v>
      </c>
      <c r="J31" s="423">
        <v>0</v>
      </c>
      <c r="K31" s="423">
        <v>0</v>
      </c>
      <c r="L31" s="423">
        <v>0</v>
      </c>
      <c r="M31" s="423">
        <v>0</v>
      </c>
      <c r="N31" s="423">
        <v>0</v>
      </c>
      <c r="O31" s="423">
        <v>0</v>
      </c>
      <c r="P31" s="423">
        <v>0</v>
      </c>
      <c r="Q31" s="423">
        <v>0</v>
      </c>
      <c r="R31" s="423">
        <v>0</v>
      </c>
      <c r="S31" s="423">
        <v>0</v>
      </c>
      <c r="T31" s="423">
        <v>0</v>
      </c>
      <c r="U31" s="423">
        <v>0</v>
      </c>
      <c r="W31" s="423">
        <f t="shared" si="29"/>
        <v>0</v>
      </c>
      <c r="X31" s="423">
        <f t="shared" si="30"/>
        <v>0</v>
      </c>
      <c r="Y31" s="423">
        <f t="shared" si="31"/>
        <v>0</v>
      </c>
      <c r="Z31" s="423">
        <f t="shared" si="32"/>
        <v>0</v>
      </c>
      <c r="AA31" s="423">
        <f t="shared" si="33"/>
        <v>0</v>
      </c>
      <c r="AB31" s="423">
        <f t="shared" si="34"/>
        <v>0</v>
      </c>
      <c r="AC31" s="423">
        <f t="shared" si="35"/>
        <v>0</v>
      </c>
      <c r="AD31" s="423">
        <f t="shared" si="36"/>
        <v>0</v>
      </c>
      <c r="AE31" s="423">
        <f t="shared" si="37"/>
        <v>0</v>
      </c>
      <c r="AF31" s="423">
        <f t="shared" si="38"/>
        <v>0</v>
      </c>
    </row>
    <row r="32" spans="1:32" outlineLevel="1">
      <c r="A32" s="418" t="s">
        <v>637</v>
      </c>
      <c r="B32" s="418" t="s">
        <v>638</v>
      </c>
      <c r="D32" s="423">
        <v>0</v>
      </c>
      <c r="E32" s="423">
        <v>0</v>
      </c>
      <c r="F32" s="423">
        <v>0</v>
      </c>
      <c r="G32" s="423">
        <v>0</v>
      </c>
      <c r="H32" s="423">
        <v>0</v>
      </c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>
        <v>0</v>
      </c>
      <c r="T32" s="423">
        <v>0</v>
      </c>
      <c r="U32" s="423">
        <v>0</v>
      </c>
      <c r="W32" s="423">
        <f t="shared" si="29"/>
        <v>0</v>
      </c>
      <c r="X32" s="423">
        <f t="shared" si="30"/>
        <v>0</v>
      </c>
      <c r="Y32" s="423">
        <f t="shared" si="31"/>
        <v>0</v>
      </c>
      <c r="Z32" s="423">
        <f t="shared" si="32"/>
        <v>0</v>
      </c>
      <c r="AA32" s="423">
        <f t="shared" si="33"/>
        <v>0</v>
      </c>
      <c r="AB32" s="423">
        <f t="shared" si="34"/>
        <v>0</v>
      </c>
      <c r="AC32" s="423">
        <f t="shared" si="35"/>
        <v>0</v>
      </c>
      <c r="AD32" s="423">
        <f t="shared" si="36"/>
        <v>0</v>
      </c>
      <c r="AE32" s="423">
        <f t="shared" si="37"/>
        <v>0</v>
      </c>
      <c r="AF32" s="423">
        <f t="shared" si="38"/>
        <v>0</v>
      </c>
    </row>
    <row r="33" spans="1:32" outlineLevel="1">
      <c r="A33" s="418" t="s">
        <v>639</v>
      </c>
      <c r="B33" s="418" t="s">
        <v>640</v>
      </c>
      <c r="D33" s="423">
        <v>-4757</v>
      </c>
      <c r="E33" s="423">
        <v>-10085</v>
      </c>
      <c r="F33" s="423">
        <v>-15509</v>
      </c>
      <c r="G33" s="423">
        <v>-21313</v>
      </c>
      <c r="H33" s="423">
        <v>-5736</v>
      </c>
      <c r="I33" s="423">
        <v>-11603</v>
      </c>
      <c r="J33" s="423">
        <v>-17453</v>
      </c>
      <c r="K33" s="423">
        <v>-24074</v>
      </c>
      <c r="L33" s="423">
        <v>-6476</v>
      </c>
      <c r="M33" s="423">
        <v>-13231</v>
      </c>
      <c r="N33" s="423">
        <v>-20802</v>
      </c>
      <c r="O33" s="423">
        <v>-28933</v>
      </c>
      <c r="P33" s="423">
        <v>-6963</v>
      </c>
      <c r="Q33" s="423">
        <v>-14961</v>
      </c>
      <c r="R33" s="423">
        <v>-23707</v>
      </c>
      <c r="S33" s="423">
        <v>-34878</v>
      </c>
      <c r="T33" s="423">
        <v>-7831</v>
      </c>
      <c r="U33" s="423">
        <v>-16144</v>
      </c>
      <c r="W33" s="423">
        <f t="shared" si="29"/>
        <v>-6476</v>
      </c>
      <c r="X33" s="423">
        <f t="shared" si="30"/>
        <v>-6755</v>
      </c>
      <c r="Y33" s="423">
        <f t="shared" si="31"/>
        <v>-7571</v>
      </c>
      <c r="Z33" s="423">
        <f t="shared" si="32"/>
        <v>-8131</v>
      </c>
      <c r="AA33" s="423">
        <f t="shared" si="33"/>
        <v>-6963</v>
      </c>
      <c r="AB33" s="423">
        <f t="shared" si="34"/>
        <v>-7998</v>
      </c>
      <c r="AC33" s="423">
        <f t="shared" si="35"/>
        <v>-8746</v>
      </c>
      <c r="AD33" s="423">
        <f t="shared" si="36"/>
        <v>-11171</v>
      </c>
      <c r="AE33" s="423">
        <f t="shared" si="37"/>
        <v>-7831</v>
      </c>
      <c r="AF33" s="423">
        <f t="shared" si="38"/>
        <v>-8313</v>
      </c>
    </row>
    <row r="34" spans="1:32" outlineLevel="1">
      <c r="A34" s="418" t="s">
        <v>641</v>
      </c>
      <c r="B34" s="418" t="s">
        <v>642</v>
      </c>
      <c r="D34" s="423">
        <v>-923</v>
      </c>
      <c r="E34" s="423">
        <v>-1801</v>
      </c>
      <c r="F34" s="423">
        <v>-2678</v>
      </c>
      <c r="G34" s="423">
        <v>-3559</v>
      </c>
      <c r="H34" s="423">
        <v>-889</v>
      </c>
      <c r="I34" s="423">
        <v>-1777</v>
      </c>
      <c r="J34" s="423">
        <v>-2666</v>
      </c>
      <c r="K34" s="423">
        <v>-3554</v>
      </c>
      <c r="L34" s="423">
        <v>-1192</v>
      </c>
      <c r="M34" s="423">
        <v>-2307</v>
      </c>
      <c r="N34" s="423">
        <v>-3348</v>
      </c>
      <c r="O34" s="423">
        <v>-4463</v>
      </c>
      <c r="P34" s="423">
        <v>-1228</v>
      </c>
      <c r="Q34" s="423">
        <v>-2456</v>
      </c>
      <c r="R34" s="423">
        <v>-3684</v>
      </c>
      <c r="S34" s="423">
        <v>-4912</v>
      </c>
      <c r="T34" s="423">
        <v>-1282</v>
      </c>
      <c r="U34" s="423">
        <v>-2564</v>
      </c>
      <c r="W34" s="423">
        <f t="shared" si="29"/>
        <v>-1192</v>
      </c>
      <c r="X34" s="423">
        <f t="shared" si="30"/>
        <v>-1115</v>
      </c>
      <c r="Y34" s="423">
        <f t="shared" si="31"/>
        <v>-1041</v>
      </c>
      <c r="Z34" s="423">
        <f t="shared" si="32"/>
        <v>-1115</v>
      </c>
      <c r="AA34" s="423">
        <f t="shared" si="33"/>
        <v>-1228</v>
      </c>
      <c r="AB34" s="423">
        <f t="shared" si="34"/>
        <v>-1228</v>
      </c>
      <c r="AC34" s="423">
        <f t="shared" si="35"/>
        <v>-1228</v>
      </c>
      <c r="AD34" s="423">
        <f t="shared" si="36"/>
        <v>-1228</v>
      </c>
      <c r="AE34" s="423">
        <f t="shared" si="37"/>
        <v>-1282</v>
      </c>
      <c r="AF34" s="423">
        <f t="shared" si="38"/>
        <v>-1282</v>
      </c>
    </row>
    <row r="35" spans="1:32" outlineLevel="1">
      <c r="A35" s="418" t="s">
        <v>643</v>
      </c>
      <c r="B35" s="418" t="s">
        <v>644</v>
      </c>
      <c r="D35" s="423">
        <v>-49192</v>
      </c>
      <c r="E35" s="423">
        <v>-97696</v>
      </c>
      <c r="F35" s="423">
        <v>-145855</v>
      </c>
      <c r="G35" s="423">
        <v>-194015</v>
      </c>
      <c r="H35" s="423">
        <v>-48820</v>
      </c>
      <c r="I35" s="423">
        <v>-97490</v>
      </c>
      <c r="J35" s="423">
        <v>-146160</v>
      </c>
      <c r="K35" s="423">
        <v>-199438</v>
      </c>
      <c r="L35" s="423">
        <v>-68209</v>
      </c>
      <c r="M35" s="423">
        <v>-136418</v>
      </c>
      <c r="N35" s="423">
        <v>-204627</v>
      </c>
      <c r="O35" s="423">
        <v>-230982</v>
      </c>
      <c r="P35" s="423">
        <v>-48940</v>
      </c>
      <c r="Q35" s="423">
        <v>-97880</v>
      </c>
      <c r="R35" s="423">
        <v>-156758</v>
      </c>
      <c r="S35" s="423">
        <v>-222685</v>
      </c>
      <c r="T35" s="423">
        <v>-77712</v>
      </c>
      <c r="U35" s="423">
        <v>-155424</v>
      </c>
      <c r="W35" s="423">
        <f t="shared" si="29"/>
        <v>-68209</v>
      </c>
      <c r="X35" s="423">
        <f t="shared" si="30"/>
        <v>-68209</v>
      </c>
      <c r="Y35" s="423">
        <f t="shared" si="31"/>
        <v>-68209</v>
      </c>
      <c r="Z35" s="423">
        <f t="shared" si="32"/>
        <v>-26355</v>
      </c>
      <c r="AA35" s="423">
        <f t="shared" si="33"/>
        <v>-48940</v>
      </c>
      <c r="AB35" s="423">
        <f t="shared" si="34"/>
        <v>-48940</v>
      </c>
      <c r="AC35" s="423">
        <f t="shared" si="35"/>
        <v>-58878</v>
      </c>
      <c r="AD35" s="423">
        <f t="shared" si="36"/>
        <v>-65927</v>
      </c>
      <c r="AE35" s="423">
        <f t="shared" si="37"/>
        <v>-77712</v>
      </c>
      <c r="AF35" s="423">
        <f t="shared" si="38"/>
        <v>-77712</v>
      </c>
    </row>
    <row r="36" spans="1:32" outlineLevel="1">
      <c r="A36" s="418" t="s">
        <v>645</v>
      </c>
      <c r="B36" s="418" t="s">
        <v>645</v>
      </c>
      <c r="D36" s="423">
        <v>-122</v>
      </c>
      <c r="E36" s="423">
        <v>-296</v>
      </c>
      <c r="F36" s="423">
        <v>-369</v>
      </c>
      <c r="G36" s="423">
        <v>-549</v>
      </c>
      <c r="H36" s="423">
        <v>-50</v>
      </c>
      <c r="I36" s="423">
        <v>-174</v>
      </c>
      <c r="J36" s="423">
        <v>-231</v>
      </c>
      <c r="K36" s="423">
        <v>-402</v>
      </c>
      <c r="L36" s="423">
        <v>-116</v>
      </c>
      <c r="M36" s="423">
        <v>-215</v>
      </c>
      <c r="N36" s="423">
        <v>-374</v>
      </c>
      <c r="O36" s="423">
        <v>-582</v>
      </c>
      <c r="P36" s="423">
        <v>-121</v>
      </c>
      <c r="Q36" s="423">
        <v>-331</v>
      </c>
      <c r="R36" s="423">
        <v>-532</v>
      </c>
      <c r="S36" s="423">
        <v>-666</v>
      </c>
      <c r="T36" s="423">
        <v>-200</v>
      </c>
      <c r="U36" s="423">
        <v>-384</v>
      </c>
      <c r="W36" s="423">
        <f t="shared" si="29"/>
        <v>-116</v>
      </c>
      <c r="X36" s="423">
        <f t="shared" si="30"/>
        <v>-99</v>
      </c>
      <c r="Y36" s="423">
        <f t="shared" si="31"/>
        <v>-159</v>
      </c>
      <c r="Z36" s="423">
        <f t="shared" si="32"/>
        <v>-208</v>
      </c>
      <c r="AA36" s="423">
        <f t="shared" si="33"/>
        <v>-121</v>
      </c>
      <c r="AB36" s="423">
        <f t="shared" si="34"/>
        <v>-210</v>
      </c>
      <c r="AC36" s="423">
        <f t="shared" si="35"/>
        <v>-201</v>
      </c>
      <c r="AD36" s="423">
        <f t="shared" si="36"/>
        <v>-134</v>
      </c>
      <c r="AE36" s="423">
        <f t="shared" si="37"/>
        <v>-200</v>
      </c>
      <c r="AF36" s="423">
        <f t="shared" si="38"/>
        <v>-184</v>
      </c>
    </row>
    <row r="37" spans="1:32" outlineLevel="1">
      <c r="A37" s="418" t="s">
        <v>95</v>
      </c>
      <c r="B37" s="418" t="s">
        <v>96</v>
      </c>
      <c r="D37" s="423">
        <v>-8134</v>
      </c>
      <c r="E37" s="423">
        <v>-12486</v>
      </c>
      <c r="F37" s="423">
        <v>-17007</v>
      </c>
      <c r="G37" s="423">
        <v>-22258</v>
      </c>
      <c r="H37" s="423">
        <v>-5993</v>
      </c>
      <c r="I37" s="423">
        <v>-14653</v>
      </c>
      <c r="J37" s="423">
        <v>-18532</v>
      </c>
      <c r="K37" s="423">
        <v>-26274</v>
      </c>
      <c r="L37" s="423">
        <v>-7135</v>
      </c>
      <c r="M37" s="423">
        <v>-17229</v>
      </c>
      <c r="N37" s="423">
        <v>-21127</v>
      </c>
      <c r="O37" s="423">
        <v>-32816</v>
      </c>
      <c r="P37" s="423">
        <v>-10789</v>
      </c>
      <c r="Q37" s="423">
        <v>-20519</v>
      </c>
      <c r="R37" s="423">
        <v>-43114</v>
      </c>
      <c r="S37" s="423">
        <v>-65029</v>
      </c>
      <c r="T37" s="423">
        <v>-10320</v>
      </c>
      <c r="U37" s="423">
        <v>-18035</v>
      </c>
      <c r="W37" s="423">
        <f t="shared" si="29"/>
        <v>-7135</v>
      </c>
      <c r="X37" s="423">
        <f t="shared" si="30"/>
        <v>-10094</v>
      </c>
      <c r="Y37" s="423">
        <f t="shared" si="31"/>
        <v>-3898</v>
      </c>
      <c r="Z37" s="423">
        <f t="shared" si="32"/>
        <v>-11689</v>
      </c>
      <c r="AA37" s="423">
        <f t="shared" si="33"/>
        <v>-10789</v>
      </c>
      <c r="AB37" s="423">
        <f t="shared" si="34"/>
        <v>-9730</v>
      </c>
      <c r="AC37" s="423">
        <f t="shared" si="35"/>
        <v>-22595</v>
      </c>
      <c r="AD37" s="423">
        <f t="shared" si="36"/>
        <v>-21915</v>
      </c>
      <c r="AE37" s="423">
        <f t="shared" si="37"/>
        <v>-10320</v>
      </c>
      <c r="AF37" s="423">
        <f t="shared" si="38"/>
        <v>-7715</v>
      </c>
    </row>
    <row r="38" spans="1:32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</row>
    <row r="39" spans="1:32">
      <c r="A39" s="429" t="s">
        <v>646</v>
      </c>
      <c r="B39" s="429" t="s">
        <v>647</v>
      </c>
      <c r="D39" s="420">
        <f t="shared" ref="D39:I39" si="39">D27+D6</f>
        <v>587916</v>
      </c>
      <c r="E39" s="420">
        <f t="shared" si="39"/>
        <v>1302163</v>
      </c>
      <c r="F39" s="420">
        <f t="shared" si="39"/>
        <v>2099550</v>
      </c>
      <c r="G39" s="420">
        <f t="shared" si="39"/>
        <v>2943677</v>
      </c>
      <c r="H39" s="420">
        <f t="shared" si="39"/>
        <v>779084</v>
      </c>
      <c r="I39" s="420">
        <f t="shared" si="39"/>
        <v>1685446</v>
      </c>
      <c r="J39" s="420">
        <f t="shared" ref="J39:Q39" si="40">J27+J6</f>
        <v>2460779</v>
      </c>
      <c r="K39" s="420">
        <f t="shared" si="40"/>
        <v>3458827</v>
      </c>
      <c r="L39" s="420">
        <f t="shared" si="40"/>
        <v>798466</v>
      </c>
      <c r="M39" s="420">
        <f t="shared" si="40"/>
        <v>1690849</v>
      </c>
      <c r="N39" s="420">
        <f t="shared" si="40"/>
        <v>2666849</v>
      </c>
      <c r="O39" s="420">
        <f t="shared" si="40"/>
        <v>3679591</v>
      </c>
      <c r="P39" s="420">
        <f t="shared" si="40"/>
        <v>878667</v>
      </c>
      <c r="Q39" s="420">
        <f t="shared" si="40"/>
        <v>1889441</v>
      </c>
      <c r="R39" s="420">
        <f t="shared" ref="R39:T39" si="41">R27+R6</f>
        <v>3041861</v>
      </c>
      <c r="S39" s="420">
        <f t="shared" si="41"/>
        <v>4414531</v>
      </c>
      <c r="T39" s="420">
        <f t="shared" si="41"/>
        <v>1028631</v>
      </c>
      <c r="U39" s="741">
        <f>U27+U6</f>
        <v>2119068</v>
      </c>
      <c r="W39" s="420">
        <f t="shared" ref="W39:AC39" si="42">W27+W6</f>
        <v>798466</v>
      </c>
      <c r="X39" s="420">
        <f t="shared" si="42"/>
        <v>892383</v>
      </c>
      <c r="Y39" s="420">
        <f t="shared" si="42"/>
        <v>976000</v>
      </c>
      <c r="Z39" s="420">
        <f t="shared" si="42"/>
        <v>1012742</v>
      </c>
      <c r="AA39" s="420">
        <f t="shared" si="42"/>
        <v>878667</v>
      </c>
      <c r="AB39" s="420">
        <f t="shared" si="42"/>
        <v>1010774</v>
      </c>
      <c r="AC39" s="420">
        <f t="shared" si="42"/>
        <v>1152420</v>
      </c>
      <c r="AD39" s="420">
        <f t="shared" ref="AD39:AE39" si="43">AD27+AD6</f>
        <v>1372670</v>
      </c>
      <c r="AE39" s="420">
        <f t="shared" si="43"/>
        <v>1028631</v>
      </c>
      <c r="AF39" s="741">
        <f>AF27+AF6</f>
        <v>1090437</v>
      </c>
    </row>
    <row r="40" spans="1:32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</row>
    <row r="41" spans="1:32">
      <c r="A41" s="416" t="s">
        <v>648</v>
      </c>
      <c r="B41" s="416" t="s">
        <v>649</v>
      </c>
      <c r="D41" s="424">
        <f t="shared" ref="D41:I41" si="44">SUM(D43:D49)</f>
        <v>-409926</v>
      </c>
      <c r="E41" s="424">
        <f t="shared" si="44"/>
        <v>-918065</v>
      </c>
      <c r="F41" s="424">
        <f t="shared" si="44"/>
        <v>-1521777</v>
      </c>
      <c r="G41" s="424">
        <f t="shared" si="44"/>
        <v>-2163328</v>
      </c>
      <c r="H41" s="424">
        <f t="shared" si="44"/>
        <v>-569208</v>
      </c>
      <c r="I41" s="424">
        <f t="shared" si="44"/>
        <v>-1231632</v>
      </c>
      <c r="J41" s="424">
        <f t="shared" ref="J41:Q41" si="45">SUM(J43:J49)</f>
        <v>-1785154</v>
      </c>
      <c r="K41" s="424">
        <f t="shared" si="45"/>
        <v>-2499122</v>
      </c>
      <c r="L41" s="424">
        <f t="shared" si="45"/>
        <v>-548460</v>
      </c>
      <c r="M41" s="424">
        <f t="shared" si="45"/>
        <v>-1183186</v>
      </c>
      <c r="N41" s="424">
        <f t="shared" si="45"/>
        <v>-1859297</v>
      </c>
      <c r="O41" s="424">
        <f t="shared" si="45"/>
        <v>-2597763</v>
      </c>
      <c r="P41" s="424">
        <f t="shared" si="45"/>
        <v>-632949</v>
      </c>
      <c r="Q41" s="424">
        <f t="shared" si="45"/>
        <v>-1330334</v>
      </c>
      <c r="R41" s="424">
        <f t="shared" ref="R41:T41" si="46">SUM(R43:R49)</f>
        <v>-2144446</v>
      </c>
      <c r="S41" s="424">
        <f t="shared" si="46"/>
        <v>-2977807</v>
      </c>
      <c r="T41" s="424">
        <f t="shared" si="46"/>
        <v>-711478</v>
      </c>
      <c r="U41" s="424">
        <f>SUM(U43:U49)</f>
        <v>-1474808</v>
      </c>
      <c r="W41" s="424">
        <f t="shared" ref="W41:AC41" si="47">SUM(W43:W49)</f>
        <v>-548460</v>
      </c>
      <c r="X41" s="424">
        <f t="shared" si="47"/>
        <v>-634726</v>
      </c>
      <c r="Y41" s="424">
        <f t="shared" si="47"/>
        <v>-676111</v>
      </c>
      <c r="Z41" s="424">
        <f t="shared" si="47"/>
        <v>-738466</v>
      </c>
      <c r="AA41" s="424">
        <f t="shared" si="47"/>
        <v>-632949</v>
      </c>
      <c r="AB41" s="424">
        <f t="shared" si="47"/>
        <v>-697385</v>
      </c>
      <c r="AC41" s="424">
        <f t="shared" si="47"/>
        <v>-814112</v>
      </c>
      <c r="AD41" s="424">
        <f t="shared" ref="AD41:AE41" si="48">SUM(AD43:AD49)</f>
        <v>-833361</v>
      </c>
      <c r="AE41" s="424">
        <f t="shared" si="48"/>
        <v>-711478</v>
      </c>
      <c r="AF41" s="424">
        <f>SUM(AF43:AF49)</f>
        <v>-594642</v>
      </c>
    </row>
    <row r="42" spans="1:32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</row>
    <row r="43" spans="1:32">
      <c r="A43" s="417" t="s">
        <v>650</v>
      </c>
      <c r="B43" s="417" t="s">
        <v>651</v>
      </c>
      <c r="D43" s="422">
        <v>-269185</v>
      </c>
      <c r="E43" s="422">
        <v>-571606</v>
      </c>
      <c r="F43" s="422">
        <v>-890263</v>
      </c>
      <c r="G43" s="422">
        <v>-1208408</v>
      </c>
      <c r="H43" s="422">
        <v>-332629</v>
      </c>
      <c r="I43" s="422">
        <v>-653685</v>
      </c>
      <c r="J43" s="422">
        <v>-991899</v>
      </c>
      <c r="K43" s="422">
        <v>-1407240</v>
      </c>
      <c r="L43" s="422">
        <v>-333675</v>
      </c>
      <c r="M43" s="422">
        <v>-694430</v>
      </c>
      <c r="N43" s="422">
        <v>-1103006</v>
      </c>
      <c r="O43" s="422">
        <v>-1548427</v>
      </c>
      <c r="P43" s="422">
        <v>-349730</v>
      </c>
      <c r="Q43" s="422">
        <v>-741570</v>
      </c>
      <c r="R43" s="422">
        <v>-1213738</v>
      </c>
      <c r="S43" s="422">
        <v>-1700053</v>
      </c>
      <c r="T43" s="422">
        <v>-386780</v>
      </c>
      <c r="U43" s="422">
        <v>-637750</v>
      </c>
      <c r="W43" s="422">
        <f>L43</f>
        <v>-333675</v>
      </c>
      <c r="X43" s="422">
        <f>M43-W43</f>
        <v>-360755</v>
      </c>
      <c r="Y43" s="422">
        <f>N43-M43</f>
        <v>-408576</v>
      </c>
      <c r="Z43" s="422">
        <f>O43-N43</f>
        <v>-445421</v>
      </c>
      <c r="AA43" s="422">
        <f>P43</f>
        <v>-349730</v>
      </c>
      <c r="AB43" s="422">
        <f>Q43-P43</f>
        <v>-391840</v>
      </c>
      <c r="AC43" s="422">
        <f>R43-Q43</f>
        <v>-472168</v>
      </c>
      <c r="AD43" s="422">
        <f>S43-R43</f>
        <v>-486315</v>
      </c>
      <c r="AE43" s="422">
        <f>T43</f>
        <v>-386780</v>
      </c>
      <c r="AF43" s="422">
        <f>U43-T43</f>
        <v>-250970</v>
      </c>
    </row>
    <row r="44" spans="1:32">
      <c r="A44" s="417" t="s">
        <v>2498</v>
      </c>
      <c r="B44" s="417" t="s">
        <v>2499</v>
      </c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>
        <v>-168688</v>
      </c>
      <c r="W44" s="422"/>
      <c r="X44" s="422"/>
      <c r="Y44" s="422"/>
      <c r="Z44" s="422"/>
      <c r="AA44" s="422"/>
      <c r="AB44" s="422"/>
      <c r="AC44" s="422"/>
      <c r="AD44" s="422"/>
      <c r="AE44" s="422"/>
      <c r="AF44" s="422"/>
    </row>
    <row r="45" spans="1:32">
      <c r="A45" s="417" t="s">
        <v>652</v>
      </c>
      <c r="B45" s="417" t="s">
        <v>653</v>
      </c>
      <c r="D45" s="422">
        <v>-90999</v>
      </c>
      <c r="E45" s="422">
        <v>-248057</v>
      </c>
      <c r="F45" s="422">
        <v>-481311</v>
      </c>
      <c r="G45" s="422">
        <v>-732174</v>
      </c>
      <c r="H45" s="422">
        <v>-179768</v>
      </c>
      <c r="I45" s="422">
        <v>-454778</v>
      </c>
      <c r="J45" s="422">
        <v>-605202</v>
      </c>
      <c r="K45" s="422">
        <v>-826100</v>
      </c>
      <c r="L45" s="422">
        <v>-132093</v>
      </c>
      <c r="M45" s="422">
        <v>-328666</v>
      </c>
      <c r="N45" s="422">
        <v>-520092</v>
      </c>
      <c r="O45" s="422">
        <v>-725821</v>
      </c>
      <c r="P45" s="422">
        <v>-190499</v>
      </c>
      <c r="Q45" s="422">
        <v>-414537</v>
      </c>
      <c r="R45" s="422">
        <v>-672046</v>
      </c>
      <c r="S45" s="422">
        <v>-917051</v>
      </c>
      <c r="T45" s="422">
        <v>-231237</v>
      </c>
      <c r="U45" s="422">
        <v>-470197</v>
      </c>
      <c r="W45" s="422">
        <f>L45</f>
        <v>-132093</v>
      </c>
      <c r="X45" s="422">
        <f>M45-W45</f>
        <v>-196573</v>
      </c>
      <c r="Y45" s="422">
        <f t="shared" ref="Y45:Z48" si="49">N45-M45</f>
        <v>-191426</v>
      </c>
      <c r="Z45" s="422">
        <f t="shared" si="49"/>
        <v>-205729</v>
      </c>
      <c r="AA45" s="422">
        <f>P45</f>
        <v>-190499</v>
      </c>
      <c r="AB45" s="422">
        <f t="shared" ref="AB45:AD48" si="50">Q45-P45</f>
        <v>-224038</v>
      </c>
      <c r="AC45" s="422">
        <f t="shared" si="50"/>
        <v>-257509</v>
      </c>
      <c r="AD45" s="422">
        <f t="shared" si="50"/>
        <v>-245005</v>
      </c>
      <c r="AE45" s="422">
        <f>T45</f>
        <v>-231237</v>
      </c>
      <c r="AF45" s="422">
        <f>U45-T45</f>
        <v>-238960</v>
      </c>
    </row>
    <row r="46" spans="1:32">
      <c r="A46" s="417" t="s">
        <v>654</v>
      </c>
      <c r="B46" s="417" t="s">
        <v>655</v>
      </c>
      <c r="D46" s="422">
        <v>0</v>
      </c>
      <c r="E46" s="422">
        <v>0</v>
      </c>
      <c r="F46" s="422">
        <v>0</v>
      </c>
      <c r="G46" s="422">
        <v>0</v>
      </c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>
        <v>0</v>
      </c>
      <c r="T46" s="422">
        <v>0</v>
      </c>
      <c r="U46" s="422">
        <v>0</v>
      </c>
      <c r="W46" s="422">
        <f>L46</f>
        <v>0</v>
      </c>
      <c r="X46" s="422">
        <f>M46-W46</f>
        <v>0</v>
      </c>
      <c r="Y46" s="422">
        <f t="shared" si="49"/>
        <v>0</v>
      </c>
      <c r="Z46" s="422">
        <f t="shared" si="49"/>
        <v>0</v>
      </c>
      <c r="AA46" s="422">
        <f>P46</f>
        <v>0</v>
      </c>
      <c r="AB46" s="422">
        <f t="shared" si="50"/>
        <v>0</v>
      </c>
      <c r="AC46" s="422">
        <f t="shared" si="50"/>
        <v>0</v>
      </c>
      <c r="AD46" s="422">
        <f t="shared" si="50"/>
        <v>0</v>
      </c>
      <c r="AE46" s="422">
        <f>T46</f>
        <v>0</v>
      </c>
      <c r="AF46" s="422">
        <f>U46-T46</f>
        <v>0</v>
      </c>
    </row>
    <row r="47" spans="1:32">
      <c r="A47" s="417" t="s">
        <v>656</v>
      </c>
      <c r="B47" s="417" t="s">
        <v>657</v>
      </c>
      <c r="D47" s="422">
        <v>0</v>
      </c>
      <c r="E47" s="422">
        <v>0</v>
      </c>
      <c r="F47" s="422">
        <v>0</v>
      </c>
      <c r="G47" s="422">
        <v>0</v>
      </c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>
        <v>0</v>
      </c>
      <c r="T47" s="422">
        <v>0</v>
      </c>
      <c r="U47" s="422">
        <v>0</v>
      </c>
      <c r="W47" s="422">
        <f>L47</f>
        <v>0</v>
      </c>
      <c r="X47" s="422">
        <f>M47-W47</f>
        <v>0</v>
      </c>
      <c r="Y47" s="422">
        <f t="shared" si="49"/>
        <v>0</v>
      </c>
      <c r="Z47" s="422">
        <f t="shared" si="49"/>
        <v>0</v>
      </c>
      <c r="AA47" s="422">
        <f>P47</f>
        <v>0</v>
      </c>
      <c r="AB47" s="422">
        <f t="shared" si="50"/>
        <v>0</v>
      </c>
      <c r="AC47" s="422">
        <f t="shared" si="50"/>
        <v>0</v>
      </c>
      <c r="AD47" s="422">
        <f t="shared" si="50"/>
        <v>0</v>
      </c>
      <c r="AE47" s="422">
        <f>T47</f>
        <v>0</v>
      </c>
      <c r="AF47" s="422">
        <f>U47-T47</f>
        <v>0</v>
      </c>
    </row>
    <row r="48" spans="1:32">
      <c r="A48" s="417" t="s">
        <v>658</v>
      </c>
      <c r="B48" s="417" t="s">
        <v>659</v>
      </c>
      <c r="D48" s="422">
        <v>0</v>
      </c>
      <c r="E48" s="422">
        <v>0</v>
      </c>
      <c r="F48" s="422">
        <v>0</v>
      </c>
      <c r="G48" s="422">
        <v>0</v>
      </c>
      <c r="H48" s="422">
        <v>0</v>
      </c>
      <c r="I48" s="422">
        <v>0</v>
      </c>
      <c r="J48" s="422">
        <v>0</v>
      </c>
      <c r="K48" s="422">
        <v>0</v>
      </c>
      <c r="L48" s="422">
        <v>0</v>
      </c>
      <c r="M48" s="422">
        <v>0</v>
      </c>
      <c r="N48" s="422">
        <v>0</v>
      </c>
      <c r="O48" s="422">
        <v>0</v>
      </c>
      <c r="P48" s="422">
        <v>0</v>
      </c>
      <c r="Q48" s="422">
        <v>0</v>
      </c>
      <c r="R48" s="422">
        <v>0</v>
      </c>
      <c r="S48" s="422">
        <v>0</v>
      </c>
      <c r="T48" s="422">
        <v>0</v>
      </c>
      <c r="U48" s="422">
        <v>0</v>
      </c>
      <c r="W48" s="422">
        <f>L48</f>
        <v>0</v>
      </c>
      <c r="X48" s="422">
        <f>M48-W48</f>
        <v>0</v>
      </c>
      <c r="Y48" s="422">
        <f t="shared" si="49"/>
        <v>0</v>
      </c>
      <c r="Z48" s="422">
        <f t="shared" si="49"/>
        <v>0</v>
      </c>
      <c r="AA48" s="422">
        <f>P48</f>
        <v>0</v>
      </c>
      <c r="AB48" s="422">
        <f t="shared" si="50"/>
        <v>0</v>
      </c>
      <c r="AC48" s="422">
        <f t="shared" si="50"/>
        <v>0</v>
      </c>
      <c r="AD48" s="422">
        <f t="shared" si="50"/>
        <v>0</v>
      </c>
      <c r="AE48" s="422">
        <f>T48</f>
        <v>0</v>
      </c>
      <c r="AF48" s="422">
        <f>U48-T48</f>
        <v>0</v>
      </c>
    </row>
    <row r="49" spans="1:32">
      <c r="A49" s="417" t="s">
        <v>660</v>
      </c>
      <c r="B49" s="417" t="s">
        <v>661</v>
      </c>
      <c r="D49" s="422">
        <f t="shared" ref="D49:I49" si="51">SUM(D50:D56)</f>
        <v>-49742</v>
      </c>
      <c r="E49" s="422">
        <f t="shared" si="51"/>
        <v>-98402</v>
      </c>
      <c r="F49" s="422">
        <f t="shared" si="51"/>
        <v>-150203</v>
      </c>
      <c r="G49" s="422">
        <f t="shared" si="51"/>
        <v>-222746</v>
      </c>
      <c r="H49" s="422">
        <f t="shared" si="51"/>
        <v>-56811</v>
      </c>
      <c r="I49" s="422">
        <f t="shared" si="51"/>
        <v>-123169</v>
      </c>
      <c r="J49" s="422">
        <f t="shared" ref="J49:T49" si="52">SUM(J50:J56)</f>
        <v>-188053</v>
      </c>
      <c r="K49" s="422">
        <f t="shared" si="52"/>
        <v>-265782</v>
      </c>
      <c r="L49" s="422">
        <f t="shared" si="52"/>
        <v>-82692</v>
      </c>
      <c r="M49" s="422">
        <f t="shared" si="52"/>
        <v>-160090</v>
      </c>
      <c r="N49" s="422">
        <f t="shared" si="52"/>
        <v>-236199</v>
      </c>
      <c r="O49" s="422">
        <f t="shared" si="52"/>
        <v>-323515</v>
      </c>
      <c r="P49" s="422">
        <f t="shared" si="52"/>
        <v>-92720</v>
      </c>
      <c r="Q49" s="422">
        <f t="shared" si="52"/>
        <v>-174227</v>
      </c>
      <c r="R49" s="422">
        <f t="shared" si="52"/>
        <v>-258662</v>
      </c>
      <c r="S49" s="422">
        <f t="shared" si="52"/>
        <v>-360703</v>
      </c>
      <c r="T49" s="422">
        <f t="shared" si="52"/>
        <v>-93461</v>
      </c>
      <c r="U49" s="422">
        <f>SUM(U50:U56)</f>
        <v>-198173</v>
      </c>
      <c r="W49" s="422">
        <f t="shared" ref="W49:AC49" si="53">SUM(W50:W56)</f>
        <v>-82692</v>
      </c>
      <c r="X49" s="422">
        <f t="shared" si="53"/>
        <v>-77398</v>
      </c>
      <c r="Y49" s="422">
        <f t="shared" si="53"/>
        <v>-76109</v>
      </c>
      <c r="Z49" s="422">
        <f t="shared" si="53"/>
        <v>-87316</v>
      </c>
      <c r="AA49" s="422">
        <f t="shared" si="53"/>
        <v>-92720</v>
      </c>
      <c r="AB49" s="422">
        <f t="shared" si="53"/>
        <v>-81507</v>
      </c>
      <c r="AC49" s="422">
        <f t="shared" si="53"/>
        <v>-84435</v>
      </c>
      <c r="AD49" s="422">
        <f t="shared" ref="AD49:AE49" si="54">SUM(AD50:AD56)</f>
        <v>-102041</v>
      </c>
      <c r="AE49" s="422">
        <f t="shared" si="54"/>
        <v>-93461</v>
      </c>
      <c r="AF49" s="422">
        <f>SUM(AF50:AF56)</f>
        <v>-104712</v>
      </c>
    </row>
    <row r="50" spans="1:32" outlineLevel="1">
      <c r="A50" s="418" t="s">
        <v>662</v>
      </c>
      <c r="B50" s="418" t="s">
        <v>663</v>
      </c>
      <c r="D50" s="423">
        <v>-4042</v>
      </c>
      <c r="E50" s="423">
        <v>-8630</v>
      </c>
      <c r="F50" s="423">
        <v>-14116</v>
      </c>
      <c r="G50" s="423">
        <v>-20537</v>
      </c>
      <c r="H50" s="423">
        <v>-4929</v>
      </c>
      <c r="I50" s="423">
        <v>-10143</v>
      </c>
      <c r="J50" s="423">
        <v>-15577</v>
      </c>
      <c r="K50" s="423">
        <v>-19361</v>
      </c>
      <c r="L50" s="423">
        <v>-4706</v>
      </c>
      <c r="M50" s="423">
        <v>-9599</v>
      </c>
      <c r="N50" s="423">
        <v>-15539</v>
      </c>
      <c r="O50" s="423">
        <v>-20532</v>
      </c>
      <c r="P50" s="423">
        <v>-7222</v>
      </c>
      <c r="Q50" s="423">
        <v>-13152</v>
      </c>
      <c r="R50" s="423">
        <v>-19045</v>
      </c>
      <c r="S50" s="423">
        <v>-25358</v>
      </c>
      <c r="T50" s="423">
        <v>-8814</v>
      </c>
      <c r="U50" s="423">
        <v>-17727</v>
      </c>
      <c r="W50" s="423">
        <f t="shared" ref="W50:W56" si="55">L50</f>
        <v>-4706</v>
      </c>
      <c r="X50" s="423">
        <f t="shared" ref="X50:X56" si="56">M50-W50</f>
        <v>-4893</v>
      </c>
      <c r="Y50" s="423">
        <f t="shared" ref="Y50:Z56" si="57">N50-M50</f>
        <v>-5940</v>
      </c>
      <c r="Z50" s="423">
        <f t="shared" si="57"/>
        <v>-4993</v>
      </c>
      <c r="AA50" s="423">
        <f t="shared" ref="AA50:AA56" si="58">P50</f>
        <v>-7222</v>
      </c>
      <c r="AB50" s="423">
        <f t="shared" ref="AB50:AB56" si="59">Q50-AA50</f>
        <v>-5930</v>
      </c>
      <c r="AC50" s="423">
        <f t="shared" ref="AC50:AD56" si="60">R50-Q50</f>
        <v>-5893</v>
      </c>
      <c r="AD50" s="423">
        <f t="shared" si="60"/>
        <v>-6313</v>
      </c>
      <c r="AE50" s="423">
        <f t="shared" ref="AE50:AE56" si="61">T50</f>
        <v>-8814</v>
      </c>
      <c r="AF50" s="423">
        <f t="shared" ref="AF50:AF56" si="62">U50-T50</f>
        <v>-8913</v>
      </c>
    </row>
    <row r="51" spans="1:32" outlineLevel="1">
      <c r="A51" s="418" t="s">
        <v>664</v>
      </c>
      <c r="B51" s="418" t="s">
        <v>665</v>
      </c>
      <c r="D51" s="423">
        <v>-2931</v>
      </c>
      <c r="E51" s="423">
        <v>-4602</v>
      </c>
      <c r="F51" s="423">
        <v>-6066</v>
      </c>
      <c r="G51" s="423">
        <v>-9226</v>
      </c>
      <c r="H51" s="423">
        <v>-1214</v>
      </c>
      <c r="I51" s="423">
        <v>-3034</v>
      </c>
      <c r="J51" s="423">
        <v>-4925</v>
      </c>
      <c r="K51" s="423">
        <v>-7904</v>
      </c>
      <c r="L51" s="423">
        <v>-1468</v>
      </c>
      <c r="M51" s="423">
        <v>-2637</v>
      </c>
      <c r="N51" s="423">
        <v>-4045</v>
      </c>
      <c r="O51" s="423">
        <v>-5692</v>
      </c>
      <c r="P51" s="423">
        <v>-1789</v>
      </c>
      <c r="Q51" s="423">
        <v>-3251</v>
      </c>
      <c r="R51" s="423">
        <v>-5393</v>
      </c>
      <c r="S51" s="423">
        <v>-7819</v>
      </c>
      <c r="T51" s="423">
        <v>-2724</v>
      </c>
      <c r="U51" s="423">
        <v>-5413</v>
      </c>
      <c r="W51" s="423">
        <f t="shared" si="55"/>
        <v>-1468</v>
      </c>
      <c r="X51" s="423">
        <f t="shared" si="56"/>
        <v>-1169</v>
      </c>
      <c r="Y51" s="423">
        <f t="shared" si="57"/>
        <v>-1408</v>
      </c>
      <c r="Z51" s="423">
        <f t="shared" si="57"/>
        <v>-1647</v>
      </c>
      <c r="AA51" s="423">
        <f t="shared" si="58"/>
        <v>-1789</v>
      </c>
      <c r="AB51" s="423">
        <f t="shared" si="59"/>
        <v>-1462</v>
      </c>
      <c r="AC51" s="423">
        <f t="shared" si="60"/>
        <v>-2142</v>
      </c>
      <c r="AD51" s="423">
        <f t="shared" si="60"/>
        <v>-2426</v>
      </c>
      <c r="AE51" s="423">
        <f t="shared" si="61"/>
        <v>-2724</v>
      </c>
      <c r="AF51" s="423">
        <f t="shared" si="62"/>
        <v>-2689</v>
      </c>
    </row>
    <row r="52" spans="1:32" outlineLevel="1">
      <c r="A52" s="418" t="s">
        <v>666</v>
      </c>
      <c r="B52" s="418" t="s">
        <v>667</v>
      </c>
      <c r="D52" s="423">
        <v>-24288</v>
      </c>
      <c r="E52" s="423">
        <v>-47874</v>
      </c>
      <c r="F52" s="423">
        <v>-73144</v>
      </c>
      <c r="G52" s="423">
        <v>-99482</v>
      </c>
      <c r="H52" s="423">
        <v>-31705</v>
      </c>
      <c r="I52" s="423">
        <v>-63139</v>
      </c>
      <c r="J52" s="423">
        <v>-90166</v>
      </c>
      <c r="K52" s="423">
        <v>-129432</v>
      </c>
      <c r="L52" s="423">
        <v>-43870</v>
      </c>
      <c r="M52" s="423">
        <v>-79640</v>
      </c>
      <c r="N52" s="423">
        <v>-113323</v>
      </c>
      <c r="O52" s="423">
        <v>-156557</v>
      </c>
      <c r="P52" s="423">
        <v>-40145</v>
      </c>
      <c r="Q52" s="423">
        <v>-73392</v>
      </c>
      <c r="R52" s="423">
        <v>-106884</v>
      </c>
      <c r="S52" s="423">
        <v>-159301</v>
      </c>
      <c r="T52" s="423">
        <v>-37311</v>
      </c>
      <c r="U52" s="423">
        <v>-72162</v>
      </c>
      <c r="W52" s="423">
        <f t="shared" si="55"/>
        <v>-43870</v>
      </c>
      <c r="X52" s="423">
        <f t="shared" si="56"/>
        <v>-35770</v>
      </c>
      <c r="Y52" s="423">
        <f t="shared" si="57"/>
        <v>-33683</v>
      </c>
      <c r="Z52" s="423">
        <f t="shared" si="57"/>
        <v>-43234</v>
      </c>
      <c r="AA52" s="423">
        <f t="shared" si="58"/>
        <v>-40145</v>
      </c>
      <c r="AB52" s="423">
        <f t="shared" si="59"/>
        <v>-33247</v>
      </c>
      <c r="AC52" s="423">
        <f t="shared" si="60"/>
        <v>-33492</v>
      </c>
      <c r="AD52" s="423">
        <f t="shared" si="60"/>
        <v>-52417</v>
      </c>
      <c r="AE52" s="423">
        <f t="shared" si="61"/>
        <v>-37311</v>
      </c>
      <c r="AF52" s="423">
        <f t="shared" si="62"/>
        <v>-34851</v>
      </c>
    </row>
    <row r="53" spans="1:32" outlineLevel="1">
      <c r="A53" s="418" t="s">
        <v>668</v>
      </c>
      <c r="B53" s="418" t="s">
        <v>669</v>
      </c>
      <c r="D53" s="423">
        <v>-18440</v>
      </c>
      <c r="E53" s="423">
        <v>-37327</v>
      </c>
      <c r="F53" s="423">
        <v>-57017</v>
      </c>
      <c r="G53" s="423">
        <v>-93794</v>
      </c>
      <c r="H53" s="423">
        <v>-19078</v>
      </c>
      <c r="I53" s="423">
        <v>-47323</v>
      </c>
      <c r="J53" s="423">
        <v>-78032</v>
      </c>
      <c r="K53" s="423">
        <v>-109897</v>
      </c>
      <c r="L53" s="423">
        <v>-32755</v>
      </c>
      <c r="M53" s="423">
        <v>-68659</v>
      </c>
      <c r="N53" s="423">
        <v>-104099</v>
      </c>
      <c r="O53" s="423">
        <v>-141388</v>
      </c>
      <c r="P53" s="423">
        <v>-43444</v>
      </c>
      <c r="Q53" s="423">
        <v>-84104</v>
      </c>
      <c r="R53" s="423">
        <v>-126931</v>
      </c>
      <c r="S53" s="423">
        <v>-167414</v>
      </c>
      <c r="T53" s="423">
        <v>-44582</v>
      </c>
      <c r="U53" s="423">
        <v>-102843</v>
      </c>
      <c r="W53" s="423">
        <f t="shared" si="55"/>
        <v>-32755</v>
      </c>
      <c r="X53" s="423">
        <f t="shared" si="56"/>
        <v>-35904</v>
      </c>
      <c r="Y53" s="423">
        <f t="shared" si="57"/>
        <v>-35440</v>
      </c>
      <c r="Z53" s="423">
        <f t="shared" si="57"/>
        <v>-37289</v>
      </c>
      <c r="AA53" s="423">
        <f t="shared" si="58"/>
        <v>-43444</v>
      </c>
      <c r="AB53" s="423">
        <f t="shared" si="59"/>
        <v>-40660</v>
      </c>
      <c r="AC53" s="423">
        <f t="shared" si="60"/>
        <v>-42827</v>
      </c>
      <c r="AD53" s="423">
        <f t="shared" si="60"/>
        <v>-40483</v>
      </c>
      <c r="AE53" s="423">
        <f t="shared" si="61"/>
        <v>-44582</v>
      </c>
      <c r="AF53" s="423">
        <f t="shared" si="62"/>
        <v>-58261</v>
      </c>
    </row>
    <row r="54" spans="1:32" outlineLevel="1">
      <c r="A54" s="418" t="s">
        <v>670</v>
      </c>
      <c r="B54" s="418" t="s">
        <v>671</v>
      </c>
      <c r="D54" s="423">
        <v>0</v>
      </c>
      <c r="E54" s="423">
        <v>0</v>
      </c>
      <c r="F54" s="423">
        <v>0</v>
      </c>
      <c r="G54" s="423">
        <v>0</v>
      </c>
      <c r="H54" s="423">
        <v>0</v>
      </c>
      <c r="I54" s="423">
        <v>0</v>
      </c>
      <c r="J54" s="423">
        <v>0</v>
      </c>
      <c r="K54" s="423">
        <v>0</v>
      </c>
      <c r="L54" s="423">
        <v>0</v>
      </c>
      <c r="M54" s="423">
        <v>0</v>
      </c>
      <c r="N54" s="423">
        <v>0</v>
      </c>
      <c r="O54" s="423">
        <v>0</v>
      </c>
      <c r="P54" s="423">
        <v>0</v>
      </c>
      <c r="Q54" s="423">
        <v>0</v>
      </c>
      <c r="R54" s="423">
        <v>0</v>
      </c>
      <c r="S54" s="423">
        <v>0</v>
      </c>
      <c r="T54" s="423">
        <v>0</v>
      </c>
      <c r="U54" s="423">
        <v>0</v>
      </c>
      <c r="W54" s="423">
        <f t="shared" si="55"/>
        <v>0</v>
      </c>
      <c r="X54" s="423">
        <f t="shared" si="56"/>
        <v>0</v>
      </c>
      <c r="Y54" s="423">
        <f t="shared" si="57"/>
        <v>0</v>
      </c>
      <c r="Z54" s="423">
        <f t="shared" si="57"/>
        <v>0</v>
      </c>
      <c r="AA54" s="423">
        <f t="shared" si="58"/>
        <v>0</v>
      </c>
      <c r="AB54" s="423">
        <f t="shared" si="59"/>
        <v>0</v>
      </c>
      <c r="AC54" s="423">
        <f t="shared" si="60"/>
        <v>0</v>
      </c>
      <c r="AD54" s="423">
        <f t="shared" si="60"/>
        <v>0</v>
      </c>
      <c r="AE54" s="423">
        <f t="shared" si="61"/>
        <v>0</v>
      </c>
      <c r="AF54" s="423">
        <f t="shared" si="62"/>
        <v>0</v>
      </c>
    </row>
    <row r="55" spans="1:32" outlineLevel="1">
      <c r="A55" s="418" t="s">
        <v>672</v>
      </c>
      <c r="B55" s="418" t="s">
        <v>673</v>
      </c>
      <c r="D55" s="423">
        <v>-58</v>
      </c>
      <c r="E55" s="423">
        <v>-32</v>
      </c>
      <c r="F55" s="423">
        <v>-113</v>
      </c>
      <c r="G55" s="423">
        <v>-230</v>
      </c>
      <c r="H55" s="423">
        <v>-53</v>
      </c>
      <c r="I55" s="423">
        <v>-123</v>
      </c>
      <c r="J55" s="423">
        <v>-204</v>
      </c>
      <c r="K55" s="423">
        <v>-267</v>
      </c>
      <c r="L55" s="423">
        <v>-73</v>
      </c>
      <c r="M55" s="423">
        <v>-159</v>
      </c>
      <c r="N55" s="423">
        <v>-229</v>
      </c>
      <c r="O55" s="423">
        <v>-420</v>
      </c>
      <c r="P55" s="423">
        <v>-216</v>
      </c>
      <c r="Q55" s="423">
        <v>-647</v>
      </c>
      <c r="R55" s="423">
        <v>-993</v>
      </c>
      <c r="S55" s="423">
        <v>-1446</v>
      </c>
      <c r="T55" s="423">
        <v>-135</v>
      </c>
      <c r="U55" s="423">
        <v>-421</v>
      </c>
      <c r="W55" s="423">
        <f t="shared" si="55"/>
        <v>-73</v>
      </c>
      <c r="X55" s="423">
        <f t="shared" si="56"/>
        <v>-86</v>
      </c>
      <c r="Y55" s="423">
        <f t="shared" si="57"/>
        <v>-70</v>
      </c>
      <c r="Z55" s="423">
        <f t="shared" si="57"/>
        <v>-191</v>
      </c>
      <c r="AA55" s="423">
        <f t="shared" si="58"/>
        <v>-216</v>
      </c>
      <c r="AB55" s="423">
        <f t="shared" si="59"/>
        <v>-431</v>
      </c>
      <c r="AC55" s="423">
        <f t="shared" si="60"/>
        <v>-346</v>
      </c>
      <c r="AD55" s="423">
        <f t="shared" si="60"/>
        <v>-453</v>
      </c>
      <c r="AE55" s="423">
        <f t="shared" si="61"/>
        <v>-135</v>
      </c>
      <c r="AF55" s="423">
        <f t="shared" si="62"/>
        <v>-286</v>
      </c>
    </row>
    <row r="56" spans="1:32" outlineLevel="1">
      <c r="A56" s="418" t="s">
        <v>674</v>
      </c>
      <c r="B56" s="418" t="s">
        <v>675</v>
      </c>
      <c r="D56" s="423">
        <v>17</v>
      </c>
      <c r="E56" s="423">
        <v>63</v>
      </c>
      <c r="F56" s="423">
        <v>253</v>
      </c>
      <c r="G56" s="423">
        <v>523</v>
      </c>
      <c r="H56" s="423">
        <v>168</v>
      </c>
      <c r="I56" s="423">
        <v>593</v>
      </c>
      <c r="J56" s="423">
        <v>851</v>
      </c>
      <c r="K56" s="423">
        <v>1079</v>
      </c>
      <c r="L56" s="423">
        <v>180</v>
      </c>
      <c r="M56" s="423">
        <v>604</v>
      </c>
      <c r="N56" s="423">
        <v>1036</v>
      </c>
      <c r="O56" s="423">
        <v>1074</v>
      </c>
      <c r="P56" s="423">
        <v>96</v>
      </c>
      <c r="Q56" s="423">
        <v>319</v>
      </c>
      <c r="R56" s="423">
        <v>584</v>
      </c>
      <c r="S56" s="423">
        <v>635</v>
      </c>
      <c r="T56" s="423">
        <v>105</v>
      </c>
      <c r="U56" s="423">
        <v>393</v>
      </c>
      <c r="W56" s="423">
        <f t="shared" si="55"/>
        <v>180</v>
      </c>
      <c r="X56" s="423">
        <f t="shared" si="56"/>
        <v>424</v>
      </c>
      <c r="Y56" s="423">
        <f t="shared" si="57"/>
        <v>432</v>
      </c>
      <c r="Z56" s="423">
        <f t="shared" si="57"/>
        <v>38</v>
      </c>
      <c r="AA56" s="423">
        <f t="shared" si="58"/>
        <v>96</v>
      </c>
      <c r="AB56" s="423">
        <f t="shared" si="59"/>
        <v>223</v>
      </c>
      <c r="AC56" s="423">
        <f t="shared" si="60"/>
        <v>265</v>
      </c>
      <c r="AD56" s="423">
        <f t="shared" si="60"/>
        <v>51</v>
      </c>
      <c r="AE56" s="423">
        <f t="shared" si="61"/>
        <v>105</v>
      </c>
      <c r="AF56" s="423">
        <f t="shared" si="62"/>
        <v>288</v>
      </c>
    </row>
    <row r="57" spans="1:32">
      <c r="A57" s="417"/>
      <c r="B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</row>
    <row r="58" spans="1:32">
      <c r="A58" s="429" t="s">
        <v>676</v>
      </c>
      <c r="B58" s="429" t="s">
        <v>677</v>
      </c>
      <c r="D58" s="420">
        <f t="shared" ref="D58:I58" si="63">D39+D41</f>
        <v>177990</v>
      </c>
      <c r="E58" s="420">
        <f t="shared" si="63"/>
        <v>384098</v>
      </c>
      <c r="F58" s="420">
        <f t="shared" si="63"/>
        <v>577773</v>
      </c>
      <c r="G58" s="420">
        <f t="shared" si="63"/>
        <v>780349</v>
      </c>
      <c r="H58" s="420">
        <f t="shared" si="63"/>
        <v>209876</v>
      </c>
      <c r="I58" s="420">
        <f t="shared" si="63"/>
        <v>453814</v>
      </c>
      <c r="J58" s="420">
        <f t="shared" ref="J58:Q58" si="64">J39+J41</f>
        <v>675625</v>
      </c>
      <c r="K58" s="420">
        <f t="shared" si="64"/>
        <v>959705</v>
      </c>
      <c r="L58" s="420">
        <f t="shared" si="64"/>
        <v>250006</v>
      </c>
      <c r="M58" s="420">
        <f t="shared" si="64"/>
        <v>507663</v>
      </c>
      <c r="N58" s="420">
        <f t="shared" si="64"/>
        <v>807552</v>
      </c>
      <c r="O58" s="420">
        <f t="shared" si="64"/>
        <v>1081828</v>
      </c>
      <c r="P58" s="420">
        <f t="shared" si="64"/>
        <v>245718</v>
      </c>
      <c r="Q58" s="420">
        <f t="shared" si="64"/>
        <v>559107</v>
      </c>
      <c r="R58" s="420">
        <f t="shared" ref="R58:T58" si="65">R39+R41</f>
        <v>897415</v>
      </c>
      <c r="S58" s="420">
        <f t="shared" si="65"/>
        <v>1436724</v>
      </c>
      <c r="T58" s="420">
        <f t="shared" si="65"/>
        <v>317153</v>
      </c>
      <c r="U58" s="741">
        <f>U39+U41</f>
        <v>644260</v>
      </c>
      <c r="W58" s="420">
        <f t="shared" ref="W58:AC58" si="66">W39+W41</f>
        <v>250006</v>
      </c>
      <c r="X58" s="420">
        <f t="shared" si="66"/>
        <v>257657</v>
      </c>
      <c r="Y58" s="420">
        <f t="shared" si="66"/>
        <v>299889</v>
      </c>
      <c r="Z58" s="420">
        <f t="shared" si="66"/>
        <v>274276</v>
      </c>
      <c r="AA58" s="420">
        <f t="shared" si="66"/>
        <v>245718</v>
      </c>
      <c r="AB58" s="420">
        <f t="shared" si="66"/>
        <v>313389</v>
      </c>
      <c r="AC58" s="420">
        <f t="shared" si="66"/>
        <v>338308</v>
      </c>
      <c r="AD58" s="420">
        <f t="shared" ref="AD58:AE58" si="67">AD39+AD41</f>
        <v>539309</v>
      </c>
      <c r="AE58" s="420">
        <f t="shared" si="67"/>
        <v>317153</v>
      </c>
      <c r="AF58" s="741">
        <f>AF39+AF41</f>
        <v>495795</v>
      </c>
    </row>
    <row r="59" spans="1:32">
      <c r="A59" s="417"/>
      <c r="B59" s="417"/>
      <c r="D59" s="417"/>
      <c r="E59" s="417"/>
      <c r="F59" s="417"/>
      <c r="G59" s="417"/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</row>
    <row r="60" spans="1:32">
      <c r="A60" s="416" t="s">
        <v>678</v>
      </c>
      <c r="B60" s="416" t="s">
        <v>679</v>
      </c>
      <c r="D60" s="424">
        <f t="shared" ref="D60:I60" si="68">D62+D68+D69+D78+D79</f>
        <v>-70694</v>
      </c>
      <c r="E60" s="424">
        <f t="shared" si="68"/>
        <v>-180559</v>
      </c>
      <c r="F60" s="424">
        <f t="shared" si="68"/>
        <v>-253140</v>
      </c>
      <c r="G60" s="424">
        <f t="shared" si="68"/>
        <v>-368161</v>
      </c>
      <c r="H60" s="424">
        <f t="shared" si="68"/>
        <v>-82936</v>
      </c>
      <c r="I60" s="424">
        <f t="shared" si="68"/>
        <v>-152184</v>
      </c>
      <c r="J60" s="424">
        <f t="shared" ref="J60:Q60" si="69">J62+J68+J69+J78+J79</f>
        <v>-230299</v>
      </c>
      <c r="K60" s="424">
        <f t="shared" si="69"/>
        <v>-313158</v>
      </c>
      <c r="L60" s="424">
        <f t="shared" si="69"/>
        <v>-85012</v>
      </c>
      <c r="M60" s="424">
        <f t="shared" si="69"/>
        <v>-165111</v>
      </c>
      <c r="N60" s="424">
        <f t="shared" si="69"/>
        <v>-258138</v>
      </c>
      <c r="O60" s="424">
        <f t="shared" si="69"/>
        <v>-395029</v>
      </c>
      <c r="P60" s="424">
        <f t="shared" si="69"/>
        <v>-86278</v>
      </c>
      <c r="Q60" s="424">
        <f t="shared" si="69"/>
        <v>-176642</v>
      </c>
      <c r="R60" s="424">
        <f t="shared" ref="R60:T60" si="70">R62+R68+R69+R78+R79</f>
        <v>-269729</v>
      </c>
      <c r="S60" s="424">
        <f t="shared" si="70"/>
        <v>-417937</v>
      </c>
      <c r="T60" s="424">
        <f t="shared" si="70"/>
        <v>-122367</v>
      </c>
      <c r="U60" s="424">
        <f>U62+U68+U69+U78+U79</f>
        <v>-215337</v>
      </c>
      <c r="W60" s="424">
        <f t="shared" ref="W60:AC60" si="71">W62+W68+W69+W78+W79</f>
        <v>-85012</v>
      </c>
      <c r="X60" s="424">
        <f t="shared" si="71"/>
        <v>-80099</v>
      </c>
      <c r="Y60" s="424">
        <f t="shared" si="71"/>
        <v>-93027</v>
      </c>
      <c r="Z60" s="424">
        <f t="shared" si="71"/>
        <v>-136891</v>
      </c>
      <c r="AA60" s="424">
        <f t="shared" si="71"/>
        <v>-86278</v>
      </c>
      <c r="AB60" s="424">
        <f t="shared" si="71"/>
        <v>-90364</v>
      </c>
      <c r="AC60" s="424">
        <f t="shared" si="71"/>
        <v>-93087</v>
      </c>
      <c r="AD60" s="424">
        <f t="shared" ref="AD60:AE60" si="72">AD62+AD68+AD69+AD78+AD79</f>
        <v>-148208</v>
      </c>
      <c r="AE60" s="424">
        <f t="shared" si="72"/>
        <v>-122367</v>
      </c>
      <c r="AF60" s="424">
        <f>AF62+AF68+AF69+AF78+AF79</f>
        <v>-92970</v>
      </c>
    </row>
    <row r="61" spans="1:32">
      <c r="A61" s="416"/>
      <c r="B61" s="416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W61" s="421"/>
      <c r="X61" s="421"/>
      <c r="Y61" s="421"/>
      <c r="Z61" s="421"/>
      <c r="AA61" s="421"/>
      <c r="AB61" s="421"/>
      <c r="AC61" s="421"/>
      <c r="AD61" s="421"/>
      <c r="AE61" s="421"/>
      <c r="AF61" s="421"/>
    </row>
    <row r="62" spans="1:32">
      <c r="A62" s="419" t="s">
        <v>680</v>
      </c>
      <c r="B62" s="419" t="s">
        <v>681</v>
      </c>
      <c r="D62" s="422">
        <f t="shared" ref="D62:I62" si="73">SUM(D63:D67)</f>
        <v>-25875</v>
      </c>
      <c r="E62" s="422">
        <f t="shared" si="73"/>
        <v>-51062</v>
      </c>
      <c r="F62" s="422">
        <f t="shared" si="73"/>
        <v>-77304</v>
      </c>
      <c r="G62" s="422">
        <f t="shared" si="73"/>
        <v>-104138</v>
      </c>
      <c r="H62" s="422">
        <f t="shared" si="73"/>
        <v>-24315</v>
      </c>
      <c r="I62" s="422">
        <f t="shared" si="73"/>
        <v>-49551</v>
      </c>
      <c r="J62" s="422">
        <f t="shared" ref="J62:T62" si="74">SUM(J63:J67)</f>
        <v>-74580</v>
      </c>
      <c r="K62" s="422">
        <f t="shared" si="74"/>
        <v>-101329</v>
      </c>
      <c r="L62" s="422">
        <f t="shared" si="74"/>
        <v>-27499</v>
      </c>
      <c r="M62" s="422">
        <f t="shared" si="74"/>
        <v>-55077</v>
      </c>
      <c r="N62" s="422">
        <f t="shared" si="74"/>
        <v>-89378</v>
      </c>
      <c r="O62" s="422">
        <f t="shared" si="74"/>
        <v>-116005</v>
      </c>
      <c r="P62" s="422">
        <f t="shared" si="74"/>
        <v>-27593</v>
      </c>
      <c r="Q62" s="422">
        <f t="shared" si="74"/>
        <v>-54807</v>
      </c>
      <c r="R62" s="422">
        <f t="shared" si="74"/>
        <v>-81999</v>
      </c>
      <c r="S62" s="422">
        <f t="shared" si="74"/>
        <v>-110209</v>
      </c>
      <c r="T62" s="422">
        <f t="shared" si="74"/>
        <v>-27031</v>
      </c>
      <c r="U62" s="422">
        <f>SUM(U63:U67)</f>
        <v>-54491</v>
      </c>
      <c r="W62" s="422">
        <f t="shared" ref="W62:AC62" si="75">SUM(W63:W67)</f>
        <v>-27499</v>
      </c>
      <c r="X62" s="422">
        <f t="shared" si="75"/>
        <v>-27578</v>
      </c>
      <c r="Y62" s="422">
        <f t="shared" si="75"/>
        <v>-34301</v>
      </c>
      <c r="Z62" s="422">
        <f t="shared" si="75"/>
        <v>-26627</v>
      </c>
      <c r="AA62" s="422">
        <f t="shared" si="75"/>
        <v>-27593</v>
      </c>
      <c r="AB62" s="422">
        <f t="shared" si="75"/>
        <v>-27214</v>
      </c>
      <c r="AC62" s="422">
        <f t="shared" si="75"/>
        <v>-27192</v>
      </c>
      <c r="AD62" s="422">
        <f t="shared" ref="AD62:AE62" si="76">SUM(AD63:AD67)</f>
        <v>-28210</v>
      </c>
      <c r="AE62" s="422">
        <f t="shared" si="76"/>
        <v>-27031</v>
      </c>
      <c r="AF62" s="422">
        <f>SUM(AF63:AF67)</f>
        <v>-27460</v>
      </c>
    </row>
    <row r="63" spans="1:32" outlineLevel="1">
      <c r="A63" s="418" t="s">
        <v>682</v>
      </c>
      <c r="B63" s="418" t="s">
        <v>683</v>
      </c>
      <c r="D63" s="423">
        <v>-5443</v>
      </c>
      <c r="E63" s="423">
        <v>-10608</v>
      </c>
      <c r="F63" s="423">
        <v>-13420</v>
      </c>
      <c r="G63" s="423">
        <v>-19582</v>
      </c>
      <c r="H63" s="423">
        <v>-4213</v>
      </c>
      <c r="I63" s="423">
        <v>-8763</v>
      </c>
      <c r="J63" s="423">
        <v>-12882</v>
      </c>
      <c r="K63" s="423">
        <v>-16199</v>
      </c>
      <c r="L63" s="423">
        <v>-4208</v>
      </c>
      <c r="M63" s="423">
        <v>-8631</v>
      </c>
      <c r="N63" s="423">
        <v>-13513</v>
      </c>
      <c r="O63" s="423">
        <v>-19103</v>
      </c>
      <c r="P63" s="423">
        <v>-5524</v>
      </c>
      <c r="Q63" s="423">
        <v>-10963</v>
      </c>
      <c r="R63" s="423">
        <v>-15114</v>
      </c>
      <c r="S63" s="423">
        <v>-19457</v>
      </c>
      <c r="T63" s="423">
        <v>-5450</v>
      </c>
      <c r="U63" s="423">
        <v>-10905</v>
      </c>
      <c r="W63" s="423">
        <f t="shared" ref="W63:W68" si="77">L63</f>
        <v>-4208</v>
      </c>
      <c r="X63" s="423">
        <f t="shared" ref="X63:X68" si="78">M63-W63</f>
        <v>-4423</v>
      </c>
      <c r="Y63" s="423">
        <f t="shared" ref="Y63:Z68" si="79">N63-M63</f>
        <v>-4882</v>
      </c>
      <c r="Z63" s="423">
        <f t="shared" si="79"/>
        <v>-5590</v>
      </c>
      <c r="AA63" s="423">
        <f t="shared" ref="AA63:AA68" si="80">P63</f>
        <v>-5524</v>
      </c>
      <c r="AB63" s="423">
        <f t="shared" ref="AB63:AB68" si="81">Q63-AA63</f>
        <v>-5439</v>
      </c>
      <c r="AC63" s="423">
        <f t="shared" ref="AC63:AD68" si="82">R63-Q63</f>
        <v>-4151</v>
      </c>
      <c r="AD63" s="423">
        <f t="shared" si="82"/>
        <v>-4343</v>
      </c>
      <c r="AE63" s="423">
        <f t="shared" ref="AE63:AE68" si="83">T63</f>
        <v>-5450</v>
      </c>
      <c r="AF63" s="423">
        <f t="shared" ref="AF63:AF68" si="84">U63-T63</f>
        <v>-5455</v>
      </c>
    </row>
    <row r="64" spans="1:32" outlineLevel="1">
      <c r="A64" s="418" t="s">
        <v>684</v>
      </c>
      <c r="B64" s="418" t="s">
        <v>685</v>
      </c>
      <c r="D64" s="423">
        <v>-555</v>
      </c>
      <c r="E64" s="423">
        <v>-1229</v>
      </c>
      <c r="F64" s="423">
        <v>-2086</v>
      </c>
      <c r="G64" s="423">
        <v>-3320</v>
      </c>
      <c r="H64" s="423">
        <v>-1051</v>
      </c>
      <c r="I64" s="423">
        <v>-3126</v>
      </c>
      <c r="J64" s="423">
        <v>-4388</v>
      </c>
      <c r="K64" s="423">
        <v>-5667</v>
      </c>
      <c r="L64" s="423">
        <v>-1590</v>
      </c>
      <c r="M64" s="423">
        <v>-2701</v>
      </c>
      <c r="N64" s="423">
        <v>-4339</v>
      </c>
      <c r="O64" s="423">
        <v>-6317</v>
      </c>
      <c r="P64" s="423">
        <v>-718</v>
      </c>
      <c r="Q64" s="423">
        <v>-1778</v>
      </c>
      <c r="R64" s="423">
        <v>-2326</v>
      </c>
      <c r="S64" s="423">
        <v>-2612</v>
      </c>
      <c r="T64" s="423">
        <v>-1097</v>
      </c>
      <c r="U64" s="423">
        <v>-2092</v>
      </c>
      <c r="W64" s="423">
        <f t="shared" si="77"/>
        <v>-1590</v>
      </c>
      <c r="X64" s="423">
        <f t="shared" si="78"/>
        <v>-1111</v>
      </c>
      <c r="Y64" s="423">
        <f t="shared" si="79"/>
        <v>-1638</v>
      </c>
      <c r="Z64" s="423">
        <f t="shared" si="79"/>
        <v>-1978</v>
      </c>
      <c r="AA64" s="423">
        <f t="shared" si="80"/>
        <v>-718</v>
      </c>
      <c r="AB64" s="423">
        <f t="shared" si="81"/>
        <v>-1060</v>
      </c>
      <c r="AC64" s="423">
        <f t="shared" si="82"/>
        <v>-548</v>
      </c>
      <c r="AD64" s="423">
        <f t="shared" si="82"/>
        <v>-286</v>
      </c>
      <c r="AE64" s="423">
        <f t="shared" si="83"/>
        <v>-1097</v>
      </c>
      <c r="AF64" s="423">
        <f t="shared" si="84"/>
        <v>-995</v>
      </c>
    </row>
    <row r="65" spans="1:32" outlineLevel="1">
      <c r="A65" s="418" t="s">
        <v>686</v>
      </c>
      <c r="B65" s="418" t="s">
        <v>687</v>
      </c>
      <c r="D65" s="423">
        <v>-18980</v>
      </c>
      <c r="E65" s="423">
        <v>-37732</v>
      </c>
      <c r="F65" s="423">
        <v>-59633</v>
      </c>
      <c r="G65" s="423">
        <v>-78566</v>
      </c>
      <c r="H65" s="423">
        <v>-18431</v>
      </c>
      <c r="I65" s="423">
        <v>-36444</v>
      </c>
      <c r="J65" s="423">
        <v>-55556</v>
      </c>
      <c r="K65" s="423">
        <v>-77148</v>
      </c>
      <c r="L65" s="423">
        <v>-21011</v>
      </c>
      <c r="M65" s="423">
        <v>-42457</v>
      </c>
      <c r="N65" s="423">
        <v>-69681</v>
      </c>
      <c r="O65" s="423">
        <v>-87738</v>
      </c>
      <c r="P65" s="423">
        <v>-20658</v>
      </c>
      <c r="Q65" s="423">
        <v>-40558</v>
      </c>
      <c r="R65" s="423">
        <v>-62376</v>
      </c>
      <c r="S65" s="423">
        <v>-85268</v>
      </c>
      <c r="T65" s="423">
        <v>-20176</v>
      </c>
      <c r="U65" s="423">
        <v>-41387</v>
      </c>
      <c r="W65" s="423">
        <f t="shared" si="77"/>
        <v>-21011</v>
      </c>
      <c r="X65" s="423">
        <f t="shared" si="78"/>
        <v>-21446</v>
      </c>
      <c r="Y65" s="423">
        <f t="shared" si="79"/>
        <v>-27224</v>
      </c>
      <c r="Z65" s="423">
        <f t="shared" si="79"/>
        <v>-18057</v>
      </c>
      <c r="AA65" s="423">
        <f t="shared" si="80"/>
        <v>-20658</v>
      </c>
      <c r="AB65" s="423">
        <f t="shared" si="81"/>
        <v>-19900</v>
      </c>
      <c r="AC65" s="423">
        <f t="shared" si="82"/>
        <v>-21818</v>
      </c>
      <c r="AD65" s="423">
        <f t="shared" si="82"/>
        <v>-22892</v>
      </c>
      <c r="AE65" s="423">
        <f t="shared" si="83"/>
        <v>-20176</v>
      </c>
      <c r="AF65" s="423">
        <f t="shared" si="84"/>
        <v>-21211</v>
      </c>
    </row>
    <row r="66" spans="1:32" outlineLevel="1">
      <c r="A66" s="418" t="s">
        <v>688</v>
      </c>
      <c r="B66" s="418" t="s">
        <v>689</v>
      </c>
      <c r="D66" s="423">
        <v>-631</v>
      </c>
      <c r="E66" s="423">
        <v>-1131</v>
      </c>
      <c r="F66" s="423">
        <v>-1847</v>
      </c>
      <c r="G66" s="423">
        <v>-2567</v>
      </c>
      <c r="H66" s="423">
        <v>-611</v>
      </c>
      <c r="I66" s="423">
        <v>-1041</v>
      </c>
      <c r="J66" s="423">
        <v>-1748</v>
      </c>
      <c r="K66" s="423">
        <v>-2371</v>
      </c>
      <c r="L66" s="423">
        <v>-648</v>
      </c>
      <c r="M66" s="423">
        <v>-1319</v>
      </c>
      <c r="N66" s="423">
        <v>-1742</v>
      </c>
      <c r="O66" s="423">
        <v>-2529</v>
      </c>
      <c r="P66" s="423">
        <v>-494</v>
      </c>
      <c r="Q66" s="423">
        <v>-1168</v>
      </c>
      <c r="R66" s="423">
        <v>-1734</v>
      </c>
      <c r="S66" s="423">
        <v>-2340</v>
      </c>
      <c r="T66" s="423">
        <v>-303</v>
      </c>
      <c r="U66" s="423">
        <v>-754</v>
      </c>
      <c r="W66" s="423">
        <f t="shared" si="77"/>
        <v>-648</v>
      </c>
      <c r="X66" s="423">
        <f t="shared" si="78"/>
        <v>-671</v>
      </c>
      <c r="Y66" s="423">
        <f t="shared" si="79"/>
        <v>-423</v>
      </c>
      <c r="Z66" s="423">
        <f t="shared" si="79"/>
        <v>-787</v>
      </c>
      <c r="AA66" s="423">
        <f t="shared" si="80"/>
        <v>-494</v>
      </c>
      <c r="AB66" s="423">
        <f t="shared" si="81"/>
        <v>-674</v>
      </c>
      <c r="AC66" s="423">
        <f t="shared" si="82"/>
        <v>-566</v>
      </c>
      <c r="AD66" s="423">
        <f t="shared" si="82"/>
        <v>-606</v>
      </c>
      <c r="AE66" s="423">
        <f t="shared" si="83"/>
        <v>-303</v>
      </c>
      <c r="AF66" s="423">
        <f t="shared" si="84"/>
        <v>-451</v>
      </c>
    </row>
    <row r="67" spans="1:32" outlineLevel="1">
      <c r="A67" s="418" t="s">
        <v>690</v>
      </c>
      <c r="B67" s="418" t="s">
        <v>691</v>
      </c>
      <c r="D67" s="423">
        <v>-266</v>
      </c>
      <c r="E67" s="423">
        <v>-362</v>
      </c>
      <c r="F67" s="423">
        <v>-318</v>
      </c>
      <c r="G67" s="423">
        <v>-103</v>
      </c>
      <c r="H67" s="423">
        <v>-9</v>
      </c>
      <c r="I67" s="423">
        <v>-177</v>
      </c>
      <c r="J67" s="423">
        <v>-6</v>
      </c>
      <c r="K67" s="423">
        <v>56</v>
      </c>
      <c r="L67" s="423">
        <v>-42</v>
      </c>
      <c r="M67" s="423">
        <v>31</v>
      </c>
      <c r="N67" s="423">
        <v>-103</v>
      </c>
      <c r="O67" s="423">
        <v>-318</v>
      </c>
      <c r="P67" s="423">
        <v>-199</v>
      </c>
      <c r="Q67" s="423">
        <v>-340</v>
      </c>
      <c r="R67" s="423">
        <v>-449</v>
      </c>
      <c r="S67" s="423">
        <v>-532</v>
      </c>
      <c r="T67" s="423">
        <v>-5</v>
      </c>
      <c r="U67" s="423">
        <v>647</v>
      </c>
      <c r="W67" s="423">
        <f t="shared" si="77"/>
        <v>-42</v>
      </c>
      <c r="X67" s="423">
        <f t="shared" si="78"/>
        <v>73</v>
      </c>
      <c r="Y67" s="423">
        <f t="shared" si="79"/>
        <v>-134</v>
      </c>
      <c r="Z67" s="423">
        <f t="shared" si="79"/>
        <v>-215</v>
      </c>
      <c r="AA67" s="423">
        <f t="shared" si="80"/>
        <v>-199</v>
      </c>
      <c r="AB67" s="423">
        <f t="shared" si="81"/>
        <v>-141</v>
      </c>
      <c r="AC67" s="423">
        <f t="shared" si="82"/>
        <v>-109</v>
      </c>
      <c r="AD67" s="423">
        <f t="shared" si="82"/>
        <v>-83</v>
      </c>
      <c r="AE67" s="423">
        <f t="shared" si="83"/>
        <v>-5</v>
      </c>
      <c r="AF67" s="423">
        <f t="shared" si="84"/>
        <v>652</v>
      </c>
    </row>
    <row r="68" spans="1:32">
      <c r="A68" s="417" t="s">
        <v>692</v>
      </c>
      <c r="B68" s="417" t="s">
        <v>693</v>
      </c>
      <c r="D68" s="425">
        <v>-10332</v>
      </c>
      <c r="E68" s="425">
        <v>-22012</v>
      </c>
      <c r="F68" s="425">
        <v>-33891</v>
      </c>
      <c r="G68" s="425">
        <v>-73796</v>
      </c>
      <c r="H68" s="425">
        <v>-18889</v>
      </c>
      <c r="I68" s="425">
        <v>-22928</v>
      </c>
      <c r="J68" s="425">
        <v>-28617</v>
      </c>
      <c r="K68" s="425">
        <v>-41300</v>
      </c>
      <c r="L68" s="425">
        <v>-14794</v>
      </c>
      <c r="M68" s="425">
        <v>-25157</v>
      </c>
      <c r="N68" s="425">
        <v>-36775</v>
      </c>
      <c r="O68" s="425">
        <v>-71575</v>
      </c>
      <c r="P68" s="425">
        <v>-20543</v>
      </c>
      <c r="Q68" s="425">
        <v>-33600</v>
      </c>
      <c r="R68" s="425">
        <v>-50004</v>
      </c>
      <c r="S68" s="425">
        <v>-75336</v>
      </c>
      <c r="T68" s="425">
        <v>-20648</v>
      </c>
      <c r="U68" s="756">
        <v>-44393</v>
      </c>
      <c r="W68" s="425">
        <f t="shared" si="77"/>
        <v>-14794</v>
      </c>
      <c r="X68" s="425">
        <f t="shared" si="78"/>
        <v>-10363</v>
      </c>
      <c r="Y68" s="425">
        <f t="shared" si="79"/>
        <v>-11618</v>
      </c>
      <c r="Z68" s="425">
        <f t="shared" si="79"/>
        <v>-34800</v>
      </c>
      <c r="AA68" s="425">
        <f t="shared" si="80"/>
        <v>-20543</v>
      </c>
      <c r="AB68" s="425">
        <f t="shared" si="81"/>
        <v>-13057</v>
      </c>
      <c r="AC68" s="425">
        <f t="shared" si="82"/>
        <v>-16404</v>
      </c>
      <c r="AD68" s="425">
        <f t="shared" si="82"/>
        <v>-25332</v>
      </c>
      <c r="AE68" s="425">
        <f t="shared" si="83"/>
        <v>-20648</v>
      </c>
      <c r="AF68" s="756">
        <f t="shared" si="84"/>
        <v>-23745</v>
      </c>
    </row>
    <row r="69" spans="1:32">
      <c r="A69" s="417" t="s">
        <v>694</v>
      </c>
      <c r="B69" s="417" t="s">
        <v>695</v>
      </c>
      <c r="D69" s="422">
        <f t="shared" ref="D69:I69" si="85">SUM(D70:D77)</f>
        <v>-31925</v>
      </c>
      <c r="E69" s="422">
        <f t="shared" si="85"/>
        <v>-68700</v>
      </c>
      <c r="F69" s="422">
        <f t="shared" si="85"/>
        <v>-98245</v>
      </c>
      <c r="G69" s="422">
        <f t="shared" si="85"/>
        <v>-139700</v>
      </c>
      <c r="H69" s="422">
        <f t="shared" si="85"/>
        <v>-22698</v>
      </c>
      <c r="I69" s="422">
        <f t="shared" si="85"/>
        <v>-45830</v>
      </c>
      <c r="J69" s="422">
        <f t="shared" ref="J69:T69" si="86">SUM(J70:J77)</f>
        <v>-76893</v>
      </c>
      <c r="K69" s="422">
        <f t="shared" si="86"/>
        <v>-113882</v>
      </c>
      <c r="L69" s="422">
        <f t="shared" si="86"/>
        <v>-20364</v>
      </c>
      <c r="M69" s="422">
        <f t="shared" si="86"/>
        <v>-48706</v>
      </c>
      <c r="N69" s="422">
        <f t="shared" si="86"/>
        <v>-82451</v>
      </c>
      <c r="O69" s="422">
        <f t="shared" si="86"/>
        <v>-113097</v>
      </c>
      <c r="P69" s="422">
        <f t="shared" si="86"/>
        <v>-21798</v>
      </c>
      <c r="Q69" s="422">
        <f t="shared" si="86"/>
        <v>-59126</v>
      </c>
      <c r="R69" s="422">
        <f t="shared" si="86"/>
        <v>-95194</v>
      </c>
      <c r="S69" s="422">
        <f t="shared" si="86"/>
        <v>-160967</v>
      </c>
      <c r="T69" s="422">
        <f t="shared" si="86"/>
        <v>-46380</v>
      </c>
      <c r="U69" s="422">
        <f>SUM(U70:U77)</f>
        <v>-79815</v>
      </c>
      <c r="W69" s="422">
        <f t="shared" ref="W69:AC69" si="87">SUM(W70:W77)</f>
        <v>-20364</v>
      </c>
      <c r="X69" s="422">
        <f t="shared" si="87"/>
        <v>-28342</v>
      </c>
      <c r="Y69" s="422">
        <f t="shared" si="87"/>
        <v>-33745</v>
      </c>
      <c r="Z69" s="422">
        <f t="shared" si="87"/>
        <v>-30646</v>
      </c>
      <c r="AA69" s="422">
        <f t="shared" si="87"/>
        <v>-21798</v>
      </c>
      <c r="AB69" s="422">
        <f t="shared" si="87"/>
        <v>-37328</v>
      </c>
      <c r="AC69" s="422">
        <f t="shared" si="87"/>
        <v>-36068</v>
      </c>
      <c r="AD69" s="422">
        <f t="shared" ref="AD69:AE69" si="88">SUM(AD70:AD77)</f>
        <v>-65773</v>
      </c>
      <c r="AE69" s="422">
        <f t="shared" si="88"/>
        <v>-46380</v>
      </c>
      <c r="AF69" s="422">
        <f>SUM(AF70:AF77)</f>
        <v>-33435</v>
      </c>
    </row>
    <row r="70" spans="1:32" outlineLevel="1">
      <c r="A70" s="418" t="s">
        <v>696</v>
      </c>
      <c r="B70" s="418" t="s">
        <v>697</v>
      </c>
      <c r="D70" s="423">
        <v>-11305</v>
      </c>
      <c r="E70" s="423">
        <v>-21388</v>
      </c>
      <c r="F70" s="423">
        <v>-32009</v>
      </c>
      <c r="G70" s="423">
        <v>-46787</v>
      </c>
      <c r="H70" s="423">
        <v>-11860</v>
      </c>
      <c r="I70" s="423">
        <v>-28101</v>
      </c>
      <c r="J70" s="423">
        <v>-44920</v>
      </c>
      <c r="K70" s="423">
        <v>-59600</v>
      </c>
      <c r="L70" s="423">
        <v>-7686</v>
      </c>
      <c r="M70" s="423">
        <v>-19909</v>
      </c>
      <c r="N70" s="423">
        <v>-31829</v>
      </c>
      <c r="O70" s="423">
        <v>-44567</v>
      </c>
      <c r="P70" s="423">
        <v>-3080</v>
      </c>
      <c r="Q70" s="423">
        <v>-16806</v>
      </c>
      <c r="R70" s="423">
        <v>-29551</v>
      </c>
      <c r="S70" s="423">
        <v>-50016</v>
      </c>
      <c r="T70" s="423">
        <v>-20526</v>
      </c>
      <c r="U70" s="423">
        <v>-40900</v>
      </c>
      <c r="W70" s="423">
        <f t="shared" ref="W70:W78" si="89">L70</f>
        <v>-7686</v>
      </c>
      <c r="X70" s="423">
        <f t="shared" ref="X70:X78" si="90">M70-W70</f>
        <v>-12223</v>
      </c>
      <c r="Y70" s="423">
        <f t="shared" ref="Y70:Y78" si="91">N70-M70</f>
        <v>-11920</v>
      </c>
      <c r="Z70" s="423">
        <f t="shared" ref="Z70:Z78" si="92">O70-N70</f>
        <v>-12738</v>
      </c>
      <c r="AA70" s="423">
        <f t="shared" ref="AA70:AA78" si="93">P70</f>
        <v>-3080</v>
      </c>
      <c r="AB70" s="423">
        <f t="shared" ref="AB70:AB78" si="94">Q70-AA70</f>
        <v>-13726</v>
      </c>
      <c r="AC70" s="423">
        <f t="shared" ref="AC70:AC78" si="95">R70-Q70</f>
        <v>-12745</v>
      </c>
      <c r="AD70" s="423">
        <f t="shared" ref="AD70:AD78" si="96">S70-R70</f>
        <v>-20465</v>
      </c>
      <c r="AE70" s="423">
        <f t="shared" ref="AE70:AE78" si="97">T70</f>
        <v>-20526</v>
      </c>
      <c r="AF70" s="423">
        <f t="shared" ref="AF70:AF78" si="98">U70-T70</f>
        <v>-20374</v>
      </c>
    </row>
    <row r="71" spans="1:32" outlineLevel="1">
      <c r="A71" s="418" t="s">
        <v>698</v>
      </c>
      <c r="B71" s="418" t="s">
        <v>699</v>
      </c>
      <c r="D71" s="423">
        <v>-150</v>
      </c>
      <c r="E71" s="423">
        <v>-1010</v>
      </c>
      <c r="F71" s="423">
        <v>-3245</v>
      </c>
      <c r="G71" s="423">
        <v>-3559</v>
      </c>
      <c r="H71" s="423">
        <v>-226</v>
      </c>
      <c r="I71" s="423">
        <v>356</v>
      </c>
      <c r="J71" s="423">
        <v>1759</v>
      </c>
      <c r="K71" s="423">
        <v>707</v>
      </c>
      <c r="L71" s="423">
        <v>903</v>
      </c>
      <c r="M71" s="423">
        <v>1205</v>
      </c>
      <c r="N71" s="423">
        <v>-486</v>
      </c>
      <c r="O71" s="423">
        <v>-439</v>
      </c>
      <c r="P71" s="423">
        <v>-740</v>
      </c>
      <c r="Q71" s="423">
        <v>-383</v>
      </c>
      <c r="R71" s="423">
        <v>-743</v>
      </c>
      <c r="S71" s="423">
        <v>-754</v>
      </c>
      <c r="T71" s="423">
        <v>-144</v>
      </c>
      <c r="U71" s="423">
        <v>-645</v>
      </c>
      <c r="W71" s="423">
        <f t="shared" si="89"/>
        <v>903</v>
      </c>
      <c r="X71" s="423">
        <f t="shared" si="90"/>
        <v>302</v>
      </c>
      <c r="Y71" s="423">
        <f t="shared" si="91"/>
        <v>-1691</v>
      </c>
      <c r="Z71" s="423">
        <f t="shared" si="92"/>
        <v>47</v>
      </c>
      <c r="AA71" s="423">
        <f t="shared" si="93"/>
        <v>-740</v>
      </c>
      <c r="AB71" s="423">
        <f t="shared" si="94"/>
        <v>357</v>
      </c>
      <c r="AC71" s="423">
        <f t="shared" si="95"/>
        <v>-360</v>
      </c>
      <c r="AD71" s="423">
        <f t="shared" si="96"/>
        <v>-11</v>
      </c>
      <c r="AE71" s="423">
        <f t="shared" si="97"/>
        <v>-144</v>
      </c>
      <c r="AF71" s="423">
        <f t="shared" si="98"/>
        <v>-501</v>
      </c>
    </row>
    <row r="72" spans="1:32" outlineLevel="1">
      <c r="A72" s="418" t="s">
        <v>700</v>
      </c>
      <c r="B72" s="418" t="s">
        <v>701</v>
      </c>
      <c r="D72" s="423">
        <v>-13589</v>
      </c>
      <c r="E72" s="423">
        <v>-33108</v>
      </c>
      <c r="F72" s="423">
        <v>-41538</v>
      </c>
      <c r="G72" s="423">
        <v>-68798</v>
      </c>
      <c r="H72" s="423">
        <v>-5518</v>
      </c>
      <c r="I72" s="423">
        <v>-2964</v>
      </c>
      <c r="J72" s="423">
        <v>-13218</v>
      </c>
      <c r="K72" s="423">
        <v>-24964</v>
      </c>
      <c r="L72" s="423">
        <v>-7024</v>
      </c>
      <c r="M72" s="423">
        <v>-16007</v>
      </c>
      <c r="N72" s="423">
        <v>-24855</v>
      </c>
      <c r="O72" s="423">
        <v>-33812</v>
      </c>
      <c r="P72" s="423">
        <v>-10279</v>
      </c>
      <c r="Q72" s="423">
        <v>-26362</v>
      </c>
      <c r="R72" s="423">
        <v>-39596</v>
      </c>
      <c r="S72" s="423">
        <v>-51840</v>
      </c>
      <c r="T72" s="423">
        <v>-12427</v>
      </c>
      <c r="U72" s="423">
        <v>-20247</v>
      </c>
      <c r="W72" s="423">
        <f t="shared" si="89"/>
        <v>-7024</v>
      </c>
      <c r="X72" s="423">
        <f t="shared" si="90"/>
        <v>-8983</v>
      </c>
      <c r="Y72" s="423">
        <f t="shared" si="91"/>
        <v>-8848</v>
      </c>
      <c r="Z72" s="423">
        <f t="shared" si="92"/>
        <v>-8957</v>
      </c>
      <c r="AA72" s="423">
        <f t="shared" si="93"/>
        <v>-10279</v>
      </c>
      <c r="AB72" s="423">
        <f t="shared" si="94"/>
        <v>-16083</v>
      </c>
      <c r="AC72" s="423">
        <f t="shared" si="95"/>
        <v>-13234</v>
      </c>
      <c r="AD72" s="423">
        <f t="shared" si="96"/>
        <v>-12244</v>
      </c>
      <c r="AE72" s="423">
        <f t="shared" si="97"/>
        <v>-12427</v>
      </c>
      <c r="AF72" s="423">
        <f t="shared" si="98"/>
        <v>-7820</v>
      </c>
    </row>
    <row r="73" spans="1:32" outlineLevel="1">
      <c r="A73" s="418" t="s">
        <v>702</v>
      </c>
      <c r="B73" s="418" t="s">
        <v>703</v>
      </c>
      <c r="D73" s="423">
        <v>-184</v>
      </c>
      <c r="E73" s="423">
        <v>-198</v>
      </c>
      <c r="F73" s="423">
        <v>-152</v>
      </c>
      <c r="G73" s="423">
        <v>235</v>
      </c>
      <c r="H73" s="423">
        <v>3</v>
      </c>
      <c r="I73" s="423">
        <v>64</v>
      </c>
      <c r="J73" s="423">
        <v>119</v>
      </c>
      <c r="K73" s="423">
        <v>183</v>
      </c>
      <c r="L73" s="423">
        <v>63</v>
      </c>
      <c r="M73" s="423">
        <v>75</v>
      </c>
      <c r="N73" s="423">
        <v>147</v>
      </c>
      <c r="O73" s="423">
        <v>143</v>
      </c>
      <c r="P73" s="423">
        <v>48</v>
      </c>
      <c r="Q73" s="423">
        <v>84</v>
      </c>
      <c r="R73" s="423">
        <v>130</v>
      </c>
      <c r="S73" s="423">
        <v>144</v>
      </c>
      <c r="T73" s="423">
        <v>-515</v>
      </c>
      <c r="U73" s="423">
        <v>-477</v>
      </c>
      <c r="W73" s="423">
        <f t="shared" si="89"/>
        <v>63</v>
      </c>
      <c r="X73" s="423">
        <f t="shared" si="90"/>
        <v>12</v>
      </c>
      <c r="Y73" s="423">
        <f t="shared" si="91"/>
        <v>72</v>
      </c>
      <c r="Z73" s="423">
        <f t="shared" si="92"/>
        <v>-4</v>
      </c>
      <c r="AA73" s="423">
        <f t="shared" si="93"/>
        <v>48</v>
      </c>
      <c r="AB73" s="423">
        <f t="shared" si="94"/>
        <v>36</v>
      </c>
      <c r="AC73" s="423">
        <f t="shared" si="95"/>
        <v>46</v>
      </c>
      <c r="AD73" s="423">
        <f t="shared" si="96"/>
        <v>14</v>
      </c>
      <c r="AE73" s="423">
        <f t="shared" si="97"/>
        <v>-515</v>
      </c>
      <c r="AF73" s="423">
        <f t="shared" si="98"/>
        <v>38</v>
      </c>
    </row>
    <row r="74" spans="1:32" outlineLevel="1">
      <c r="A74" s="418" t="s">
        <v>704</v>
      </c>
      <c r="B74" s="418" t="s">
        <v>705</v>
      </c>
      <c r="D74" s="423">
        <v>362</v>
      </c>
      <c r="E74" s="423">
        <v>445</v>
      </c>
      <c r="F74" s="423">
        <v>452</v>
      </c>
      <c r="G74" s="423">
        <v>199</v>
      </c>
      <c r="H74" s="423">
        <v>-90</v>
      </c>
      <c r="I74" s="423">
        <v>-965</v>
      </c>
      <c r="J74" s="423">
        <v>-913</v>
      </c>
      <c r="K74" s="423">
        <v>65</v>
      </c>
      <c r="L74" s="423">
        <v>-188</v>
      </c>
      <c r="M74" s="423">
        <v>-458</v>
      </c>
      <c r="N74" s="423">
        <v>-4563</v>
      </c>
      <c r="O74" s="423">
        <v>-4862</v>
      </c>
      <c r="P74" s="423">
        <v>-887</v>
      </c>
      <c r="Q74" s="423">
        <v>-1788</v>
      </c>
      <c r="R74" s="423">
        <v>-4451</v>
      </c>
      <c r="S74" s="423">
        <v>-4948</v>
      </c>
      <c r="T74" s="423">
        <v>-2137</v>
      </c>
      <c r="U74" s="423">
        <v>-5283</v>
      </c>
      <c r="W74" s="423">
        <f t="shared" si="89"/>
        <v>-188</v>
      </c>
      <c r="X74" s="423">
        <f t="shared" si="90"/>
        <v>-270</v>
      </c>
      <c r="Y74" s="423">
        <f t="shared" si="91"/>
        <v>-4105</v>
      </c>
      <c r="Z74" s="423">
        <f t="shared" si="92"/>
        <v>-299</v>
      </c>
      <c r="AA74" s="423">
        <f t="shared" si="93"/>
        <v>-887</v>
      </c>
      <c r="AB74" s="423">
        <f t="shared" si="94"/>
        <v>-901</v>
      </c>
      <c r="AC74" s="423">
        <f t="shared" si="95"/>
        <v>-2663</v>
      </c>
      <c r="AD74" s="423">
        <f t="shared" si="96"/>
        <v>-497</v>
      </c>
      <c r="AE74" s="423">
        <f t="shared" si="97"/>
        <v>-2137</v>
      </c>
      <c r="AF74" s="423">
        <f t="shared" si="98"/>
        <v>-3146</v>
      </c>
    </row>
    <row r="75" spans="1:32" outlineLevel="1">
      <c r="A75" s="418" t="s">
        <v>706</v>
      </c>
      <c r="B75" s="418" t="s">
        <v>707</v>
      </c>
      <c r="D75" s="423">
        <v>-2852</v>
      </c>
      <c r="E75" s="423">
        <v>-1153</v>
      </c>
      <c r="F75" s="423">
        <v>-2753</v>
      </c>
      <c r="G75" s="423">
        <v>-3859</v>
      </c>
      <c r="H75" s="423">
        <v>-1653</v>
      </c>
      <c r="I75" s="423">
        <v>-2840</v>
      </c>
      <c r="J75" s="423">
        <v>-2343</v>
      </c>
      <c r="K75" s="423">
        <v>-6694</v>
      </c>
      <c r="L75" s="423">
        <v>-1101</v>
      </c>
      <c r="M75" s="423">
        <v>-2967</v>
      </c>
      <c r="N75" s="423">
        <v>-4903</v>
      </c>
      <c r="O75" s="423">
        <v>-8121</v>
      </c>
      <c r="P75" s="423">
        <v>-1686</v>
      </c>
      <c r="Q75" s="423">
        <v>-3516</v>
      </c>
      <c r="R75" s="423">
        <v>-5464</v>
      </c>
      <c r="S75" s="423">
        <v>-17783</v>
      </c>
      <c r="T75" s="423">
        <v>-832</v>
      </c>
      <c r="U75" s="423">
        <v>-3157</v>
      </c>
      <c r="W75" s="423">
        <f t="shared" si="89"/>
        <v>-1101</v>
      </c>
      <c r="X75" s="423">
        <f t="shared" si="90"/>
        <v>-1866</v>
      </c>
      <c r="Y75" s="423">
        <f t="shared" si="91"/>
        <v>-1936</v>
      </c>
      <c r="Z75" s="423">
        <f t="shared" si="92"/>
        <v>-3218</v>
      </c>
      <c r="AA75" s="423">
        <f t="shared" si="93"/>
        <v>-1686</v>
      </c>
      <c r="AB75" s="423">
        <f t="shared" si="94"/>
        <v>-1830</v>
      </c>
      <c r="AC75" s="423">
        <f t="shared" si="95"/>
        <v>-1948</v>
      </c>
      <c r="AD75" s="423">
        <f t="shared" si="96"/>
        <v>-12319</v>
      </c>
      <c r="AE75" s="423">
        <f t="shared" si="97"/>
        <v>-832</v>
      </c>
      <c r="AF75" s="423">
        <f t="shared" si="98"/>
        <v>-2325</v>
      </c>
    </row>
    <row r="76" spans="1:32" outlineLevel="1">
      <c r="A76" s="418" t="s">
        <v>708</v>
      </c>
      <c r="B76" s="418" t="s">
        <v>709</v>
      </c>
      <c r="D76" s="423">
        <v>-4207</v>
      </c>
      <c r="E76" s="423">
        <v>-12288</v>
      </c>
      <c r="F76" s="423">
        <v>-19000</v>
      </c>
      <c r="G76" s="423">
        <v>-17131</v>
      </c>
      <c r="H76" s="423">
        <v>-3354</v>
      </c>
      <c r="I76" s="423">
        <v>-11380</v>
      </c>
      <c r="J76" s="423">
        <v>-17377</v>
      </c>
      <c r="K76" s="423">
        <v>-23579</v>
      </c>
      <c r="L76" s="423">
        <v>-5331</v>
      </c>
      <c r="M76" s="423">
        <v>-10645</v>
      </c>
      <c r="N76" s="423">
        <v>-15962</v>
      </c>
      <c r="O76" s="423">
        <v>-21439</v>
      </c>
      <c r="P76" s="423">
        <v>-5174</v>
      </c>
      <c r="Q76" s="423">
        <v>-10355</v>
      </c>
      <c r="R76" s="423">
        <v>-15519</v>
      </c>
      <c r="S76" s="423">
        <v>-35770</v>
      </c>
      <c r="T76" s="423">
        <v>-9799</v>
      </c>
      <c r="U76" s="423">
        <v>-9106</v>
      </c>
      <c r="W76" s="423">
        <f t="shared" si="89"/>
        <v>-5331</v>
      </c>
      <c r="X76" s="423">
        <f t="shared" si="90"/>
        <v>-5314</v>
      </c>
      <c r="Y76" s="423">
        <f t="shared" si="91"/>
        <v>-5317</v>
      </c>
      <c r="Z76" s="423">
        <f t="shared" si="92"/>
        <v>-5477</v>
      </c>
      <c r="AA76" s="423">
        <f t="shared" si="93"/>
        <v>-5174</v>
      </c>
      <c r="AB76" s="423">
        <f t="shared" si="94"/>
        <v>-5181</v>
      </c>
      <c r="AC76" s="423">
        <f t="shared" si="95"/>
        <v>-5164</v>
      </c>
      <c r="AD76" s="423">
        <f t="shared" si="96"/>
        <v>-20251</v>
      </c>
      <c r="AE76" s="423">
        <f t="shared" si="97"/>
        <v>-9799</v>
      </c>
      <c r="AF76" s="423">
        <f t="shared" si="98"/>
        <v>693</v>
      </c>
    </row>
    <row r="77" spans="1:32" outlineLevel="1">
      <c r="A77" s="418" t="s">
        <v>710</v>
      </c>
      <c r="B77" s="418" t="s">
        <v>711</v>
      </c>
      <c r="D77" s="423">
        <v>0</v>
      </c>
      <c r="E77" s="423">
        <v>0</v>
      </c>
      <c r="F77" s="423">
        <v>0</v>
      </c>
      <c r="G77" s="423">
        <v>0</v>
      </c>
      <c r="H77" s="423">
        <v>0</v>
      </c>
      <c r="I77" s="423">
        <v>0</v>
      </c>
      <c r="J77" s="423">
        <v>0</v>
      </c>
      <c r="K77" s="423">
        <v>0</v>
      </c>
      <c r="L77" s="423">
        <v>0</v>
      </c>
      <c r="M77" s="423">
        <v>0</v>
      </c>
      <c r="N77" s="423">
        <v>0</v>
      </c>
      <c r="O77" s="423">
        <v>0</v>
      </c>
      <c r="P77" s="423">
        <v>0</v>
      </c>
      <c r="Q77" s="423">
        <v>0</v>
      </c>
      <c r="R77" s="423">
        <v>0</v>
      </c>
      <c r="S77" s="423">
        <v>0</v>
      </c>
      <c r="T77" s="423">
        <v>0</v>
      </c>
      <c r="U77" s="423">
        <v>0</v>
      </c>
      <c r="W77" s="423">
        <f t="shared" si="89"/>
        <v>0</v>
      </c>
      <c r="X77" s="423">
        <f t="shared" si="90"/>
        <v>0</v>
      </c>
      <c r="Y77" s="423">
        <f t="shared" si="91"/>
        <v>0</v>
      </c>
      <c r="Z77" s="423">
        <f t="shared" si="92"/>
        <v>0</v>
      </c>
      <c r="AA77" s="423">
        <f t="shared" si="93"/>
        <v>0</v>
      </c>
      <c r="AB77" s="423">
        <f t="shared" si="94"/>
        <v>0</v>
      </c>
      <c r="AC77" s="423">
        <f t="shared" si="95"/>
        <v>0</v>
      </c>
      <c r="AD77" s="423">
        <f t="shared" si="96"/>
        <v>0</v>
      </c>
      <c r="AE77" s="423">
        <f t="shared" si="97"/>
        <v>0</v>
      </c>
      <c r="AF77" s="423">
        <f t="shared" si="98"/>
        <v>0</v>
      </c>
    </row>
    <row r="78" spans="1:32">
      <c r="A78" s="417" t="s">
        <v>712</v>
      </c>
      <c r="B78" s="417" t="s">
        <v>713</v>
      </c>
      <c r="D78" s="422">
        <v>0</v>
      </c>
      <c r="E78" s="422">
        <v>0</v>
      </c>
      <c r="F78" s="422">
        <v>0</v>
      </c>
      <c r="G78" s="422">
        <v>0</v>
      </c>
      <c r="H78" s="422">
        <v>0</v>
      </c>
      <c r="I78" s="422">
        <v>0</v>
      </c>
      <c r="J78" s="422">
        <v>0</v>
      </c>
      <c r="K78" s="422">
        <v>0</v>
      </c>
      <c r="L78" s="422">
        <v>0</v>
      </c>
      <c r="M78" s="422">
        <v>0</v>
      </c>
      <c r="N78" s="422">
        <v>0</v>
      </c>
      <c r="O78" s="422">
        <v>0</v>
      </c>
      <c r="P78" s="422">
        <v>0</v>
      </c>
      <c r="Q78" s="422">
        <v>0</v>
      </c>
      <c r="R78" s="422">
        <v>0</v>
      </c>
      <c r="S78" s="422">
        <v>0</v>
      </c>
      <c r="T78" s="422">
        <v>0</v>
      </c>
      <c r="U78" s="422">
        <v>0</v>
      </c>
      <c r="W78" s="422">
        <f t="shared" si="89"/>
        <v>0</v>
      </c>
      <c r="X78" s="422">
        <f t="shared" si="90"/>
        <v>0</v>
      </c>
      <c r="Y78" s="422">
        <f t="shared" si="91"/>
        <v>0</v>
      </c>
      <c r="Z78" s="422">
        <f t="shared" si="92"/>
        <v>0</v>
      </c>
      <c r="AA78" s="422">
        <f t="shared" si="93"/>
        <v>0</v>
      </c>
      <c r="AB78" s="422">
        <f t="shared" si="94"/>
        <v>0</v>
      </c>
      <c r="AC78" s="422">
        <f t="shared" si="95"/>
        <v>0</v>
      </c>
      <c r="AD78" s="422">
        <f t="shared" si="96"/>
        <v>0</v>
      </c>
      <c r="AE78" s="422">
        <f t="shared" si="97"/>
        <v>0</v>
      </c>
      <c r="AF78" s="422">
        <f t="shared" si="98"/>
        <v>0</v>
      </c>
    </row>
    <row r="79" spans="1:32">
      <c r="A79" s="417" t="s">
        <v>714</v>
      </c>
      <c r="B79" s="417" t="s">
        <v>715</v>
      </c>
      <c r="D79" s="422">
        <f>SUM(D80:D82)</f>
        <v>-2562</v>
      </c>
      <c r="E79" s="422">
        <f t="shared" ref="E79:M79" si="99">SUM(E80:E82)</f>
        <v>-38785</v>
      </c>
      <c r="F79" s="422">
        <f t="shared" si="99"/>
        <v>-43700</v>
      </c>
      <c r="G79" s="422">
        <f t="shared" si="99"/>
        <v>-50527</v>
      </c>
      <c r="H79" s="422">
        <f t="shared" si="99"/>
        <v>-17034</v>
      </c>
      <c r="I79" s="422">
        <f t="shared" si="99"/>
        <v>-33875</v>
      </c>
      <c r="J79" s="422">
        <f t="shared" si="99"/>
        <v>-50209</v>
      </c>
      <c r="K79" s="422">
        <f t="shared" si="99"/>
        <v>-56647</v>
      </c>
      <c r="L79" s="422">
        <f t="shared" si="99"/>
        <v>-22355</v>
      </c>
      <c r="M79" s="422">
        <f t="shared" si="99"/>
        <v>-36171</v>
      </c>
      <c r="N79" s="422">
        <f t="shared" ref="N79:T79" si="100">SUM(N80:N82)</f>
        <v>-49534</v>
      </c>
      <c r="O79" s="422">
        <f t="shared" si="100"/>
        <v>-94352</v>
      </c>
      <c r="P79" s="422">
        <f t="shared" si="100"/>
        <v>-16344</v>
      </c>
      <c r="Q79" s="422">
        <f t="shared" si="100"/>
        <v>-29109</v>
      </c>
      <c r="R79" s="422">
        <f t="shared" si="100"/>
        <v>-42532</v>
      </c>
      <c r="S79" s="422">
        <f t="shared" si="100"/>
        <v>-71425</v>
      </c>
      <c r="T79" s="422">
        <f t="shared" si="100"/>
        <v>-28308</v>
      </c>
      <c r="U79" s="422">
        <f>SUM(U80:U82)</f>
        <v>-36638</v>
      </c>
      <c r="W79" s="422">
        <f t="shared" ref="W79:AC79" si="101">SUM(W80:W82)</f>
        <v>-22355</v>
      </c>
      <c r="X79" s="422">
        <f t="shared" si="101"/>
        <v>-13816</v>
      </c>
      <c r="Y79" s="422">
        <f t="shared" si="101"/>
        <v>-13363</v>
      </c>
      <c r="Z79" s="422">
        <f t="shared" si="101"/>
        <v>-44818</v>
      </c>
      <c r="AA79" s="422">
        <f t="shared" si="101"/>
        <v>-16344</v>
      </c>
      <c r="AB79" s="422">
        <f t="shared" si="101"/>
        <v>-12765</v>
      </c>
      <c r="AC79" s="422">
        <f t="shared" si="101"/>
        <v>-13423</v>
      </c>
      <c r="AD79" s="422">
        <f t="shared" ref="AD79:AE79" si="102">SUM(AD80:AD82)</f>
        <v>-28893</v>
      </c>
      <c r="AE79" s="422">
        <f t="shared" si="102"/>
        <v>-28308</v>
      </c>
      <c r="AF79" s="422">
        <f>SUM(AF80:AF82)</f>
        <v>-8330</v>
      </c>
    </row>
    <row r="80" spans="1:32" outlineLevel="1">
      <c r="A80" s="418" t="s">
        <v>716</v>
      </c>
      <c r="B80" s="418" t="s">
        <v>717</v>
      </c>
      <c r="D80" s="423">
        <v>-970</v>
      </c>
      <c r="E80" s="423">
        <v>-2499</v>
      </c>
      <c r="F80" s="423">
        <v>-4677</v>
      </c>
      <c r="G80" s="423">
        <v>-7444</v>
      </c>
      <c r="H80" s="423">
        <v>-1159</v>
      </c>
      <c r="I80" s="423">
        <v>9395</v>
      </c>
      <c r="J80" s="423">
        <v>7480</v>
      </c>
      <c r="K80" s="423">
        <v>1280</v>
      </c>
      <c r="L80" s="423">
        <v>-1799</v>
      </c>
      <c r="M80" s="423">
        <v>-3627</v>
      </c>
      <c r="N80" s="423">
        <v>-6436</v>
      </c>
      <c r="O80" s="423">
        <v>-6279</v>
      </c>
      <c r="P80" s="423">
        <v>-2007</v>
      </c>
      <c r="Q80" s="423">
        <v>-6515</v>
      </c>
      <c r="R80" s="423">
        <v>-6376</v>
      </c>
      <c r="S80" s="423">
        <v>-8994</v>
      </c>
      <c r="T80" s="423">
        <v>-3019</v>
      </c>
      <c r="U80" s="423">
        <v>-6431</v>
      </c>
      <c r="W80" s="423">
        <f>L80</f>
        <v>-1799</v>
      </c>
      <c r="X80" s="423">
        <f>M80-W80</f>
        <v>-1828</v>
      </c>
      <c r="Y80" s="423">
        <f t="shared" ref="Y80:Z82" si="103">N80-M80</f>
        <v>-2809</v>
      </c>
      <c r="Z80" s="423">
        <f t="shared" si="103"/>
        <v>157</v>
      </c>
      <c r="AA80" s="423">
        <f>P80</f>
        <v>-2007</v>
      </c>
      <c r="AB80" s="423">
        <f>Q80-AA80</f>
        <v>-4508</v>
      </c>
      <c r="AC80" s="423">
        <f t="shared" ref="AC80:AD82" si="104">R80-Q80</f>
        <v>139</v>
      </c>
      <c r="AD80" s="423">
        <f t="shared" si="104"/>
        <v>-2618</v>
      </c>
      <c r="AE80" s="423">
        <f>T80</f>
        <v>-3019</v>
      </c>
      <c r="AF80" s="423">
        <f>U80-T80</f>
        <v>-3412</v>
      </c>
    </row>
    <row r="81" spans="1:32" outlineLevel="1">
      <c r="A81" s="418" t="s">
        <v>718</v>
      </c>
      <c r="B81" s="418" t="s">
        <v>719</v>
      </c>
      <c r="D81" s="423">
        <v>-1592</v>
      </c>
      <c r="E81" s="423">
        <v>-36286</v>
      </c>
      <c r="F81" s="423">
        <v>-39023</v>
      </c>
      <c r="G81" s="423">
        <v>-43083</v>
      </c>
      <c r="H81" s="423">
        <v>-15875</v>
      </c>
      <c r="I81" s="423">
        <v>-43270</v>
      </c>
      <c r="J81" s="423">
        <v>-57689</v>
      </c>
      <c r="K81" s="423">
        <v>-57927</v>
      </c>
      <c r="L81" s="423">
        <v>-20556</v>
      </c>
      <c r="M81" s="423">
        <v>-18330</v>
      </c>
      <c r="N81" s="423">
        <v>-21209</v>
      </c>
      <c r="O81" s="423">
        <v>-29599</v>
      </c>
      <c r="P81" s="423">
        <v>-8209</v>
      </c>
      <c r="Q81" s="423">
        <v>-12499</v>
      </c>
      <c r="R81" s="423">
        <v>-23345</v>
      </c>
      <c r="S81" s="423">
        <v>-46572</v>
      </c>
      <c r="T81" s="423">
        <v>-19281</v>
      </c>
      <c r="U81" s="423">
        <v>-18436</v>
      </c>
      <c r="W81" s="423">
        <f>L81</f>
        <v>-20556</v>
      </c>
      <c r="X81" s="423">
        <f>M81-W81</f>
        <v>2226</v>
      </c>
      <c r="Y81" s="423">
        <f t="shared" si="103"/>
        <v>-2879</v>
      </c>
      <c r="Z81" s="423">
        <f t="shared" si="103"/>
        <v>-8390</v>
      </c>
      <c r="AA81" s="423">
        <f>P81</f>
        <v>-8209</v>
      </c>
      <c r="AB81" s="423">
        <f>Q81-AA81</f>
        <v>-4290</v>
      </c>
      <c r="AC81" s="423">
        <f t="shared" si="104"/>
        <v>-10846</v>
      </c>
      <c r="AD81" s="423">
        <f t="shared" si="104"/>
        <v>-23227</v>
      </c>
      <c r="AE81" s="423">
        <f>T81</f>
        <v>-19281</v>
      </c>
      <c r="AF81" s="423">
        <f>U81-T81</f>
        <v>845</v>
      </c>
    </row>
    <row r="82" spans="1:32" outlineLevel="1">
      <c r="A82" s="418" t="s">
        <v>720</v>
      </c>
      <c r="B82" s="418" t="s">
        <v>721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>
        <v>-14214</v>
      </c>
      <c r="N82" s="423">
        <v>-21889</v>
      </c>
      <c r="O82" s="423">
        <v>-58474</v>
      </c>
      <c r="P82" s="423">
        <v>-6128</v>
      </c>
      <c r="Q82" s="423">
        <v>-10095</v>
      </c>
      <c r="R82" s="423">
        <v>-12811</v>
      </c>
      <c r="S82" s="423">
        <v>-15859</v>
      </c>
      <c r="T82" s="423">
        <v>-6008</v>
      </c>
      <c r="U82" s="423">
        <v>-11771</v>
      </c>
      <c r="W82" s="423"/>
      <c r="X82" s="423">
        <f>M82-W82</f>
        <v>-14214</v>
      </c>
      <c r="Y82" s="423">
        <f t="shared" si="103"/>
        <v>-7675</v>
      </c>
      <c r="Z82" s="423">
        <f t="shared" si="103"/>
        <v>-36585</v>
      </c>
      <c r="AA82" s="423">
        <f>P82</f>
        <v>-6128</v>
      </c>
      <c r="AB82" s="423">
        <f>Q82-AA82</f>
        <v>-3967</v>
      </c>
      <c r="AC82" s="423">
        <f t="shared" si="104"/>
        <v>-2716</v>
      </c>
      <c r="AD82" s="423">
        <f t="shared" si="104"/>
        <v>-3048</v>
      </c>
      <c r="AE82" s="423">
        <f>T82</f>
        <v>-6008</v>
      </c>
      <c r="AF82" s="423">
        <f>U82-T82</f>
        <v>-5763</v>
      </c>
    </row>
    <row r="83" spans="1:32">
      <c r="A83" s="417"/>
      <c r="B83" s="417"/>
      <c r="D83" s="417"/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</row>
    <row r="84" spans="1:32">
      <c r="A84" s="429" t="s">
        <v>722</v>
      </c>
      <c r="B84" s="429" t="s">
        <v>722</v>
      </c>
      <c r="D84" s="420">
        <f t="shared" ref="D84:I84" si="105">D86-D76-D53-D77</f>
        <v>129943</v>
      </c>
      <c r="E84" s="420">
        <f t="shared" si="105"/>
        <v>253154</v>
      </c>
      <c r="F84" s="420">
        <f t="shared" si="105"/>
        <v>400650</v>
      </c>
      <c r="G84" s="420">
        <f t="shared" si="105"/>
        <v>523113</v>
      </c>
      <c r="H84" s="420">
        <f t="shared" si="105"/>
        <v>149372</v>
      </c>
      <c r="I84" s="420">
        <f t="shared" si="105"/>
        <v>360333</v>
      </c>
      <c r="J84" s="420">
        <f t="shared" ref="J84:Q84" si="106">J86-J76-J53-J77</f>
        <v>540735</v>
      </c>
      <c r="K84" s="420">
        <f t="shared" si="106"/>
        <v>780023</v>
      </c>
      <c r="L84" s="420">
        <f t="shared" si="106"/>
        <v>203080</v>
      </c>
      <c r="M84" s="420">
        <f t="shared" si="106"/>
        <v>421856</v>
      </c>
      <c r="N84" s="420">
        <f t="shared" si="106"/>
        <v>669475</v>
      </c>
      <c r="O84" s="420">
        <f t="shared" si="106"/>
        <v>849626</v>
      </c>
      <c r="P84" s="420">
        <f t="shared" si="106"/>
        <v>208058</v>
      </c>
      <c r="Q84" s="420">
        <f t="shared" si="106"/>
        <v>476924</v>
      </c>
      <c r="R84" s="420">
        <f t="shared" ref="R84:T84" si="107">R86-R76-R53-R77</f>
        <v>770136</v>
      </c>
      <c r="S84" s="420">
        <f t="shared" si="107"/>
        <v>1221971</v>
      </c>
      <c r="T84" s="420">
        <f t="shared" si="107"/>
        <v>249167</v>
      </c>
      <c r="U84" s="741">
        <f>U86-U76-U53-U77</f>
        <v>540872</v>
      </c>
      <c r="W84" s="420">
        <f t="shared" ref="W84:AC84" si="108">W86-W76-W53-W77</f>
        <v>203080</v>
      </c>
      <c r="X84" s="420">
        <f t="shared" si="108"/>
        <v>218776</v>
      </c>
      <c r="Y84" s="420">
        <f t="shared" si="108"/>
        <v>247619</v>
      </c>
      <c r="Z84" s="420">
        <f t="shared" si="108"/>
        <v>180151</v>
      </c>
      <c r="AA84" s="420">
        <f t="shared" si="108"/>
        <v>208058</v>
      </c>
      <c r="AB84" s="420">
        <f t="shared" si="108"/>
        <v>268866</v>
      </c>
      <c r="AC84" s="420">
        <f t="shared" si="108"/>
        <v>293212</v>
      </c>
      <c r="AD84" s="420">
        <f t="shared" ref="AD84:AE84" si="109">AD86-AD76-AD53-AD77</f>
        <v>451835</v>
      </c>
      <c r="AE84" s="420">
        <f t="shared" si="109"/>
        <v>249167</v>
      </c>
      <c r="AF84" s="741">
        <f>AF86-AF76-AF53-AF77</f>
        <v>460393</v>
      </c>
    </row>
    <row r="85" spans="1:32">
      <c r="A85" s="417"/>
      <c r="B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</row>
    <row r="86" spans="1:32">
      <c r="A86" s="429" t="s">
        <v>723</v>
      </c>
      <c r="B86" s="429" t="s">
        <v>724</v>
      </c>
      <c r="D86" s="420">
        <f t="shared" ref="D86:I86" si="110">D58+D60</f>
        <v>107296</v>
      </c>
      <c r="E86" s="420">
        <f t="shared" si="110"/>
        <v>203539</v>
      </c>
      <c r="F86" s="420">
        <f t="shared" si="110"/>
        <v>324633</v>
      </c>
      <c r="G86" s="420">
        <f t="shared" si="110"/>
        <v>412188</v>
      </c>
      <c r="H86" s="420">
        <f t="shared" si="110"/>
        <v>126940</v>
      </c>
      <c r="I86" s="420">
        <f t="shared" si="110"/>
        <v>301630</v>
      </c>
      <c r="J86" s="420">
        <f t="shared" ref="J86:Q86" si="111">J58+J60</f>
        <v>445326</v>
      </c>
      <c r="K86" s="420">
        <f t="shared" si="111"/>
        <v>646547</v>
      </c>
      <c r="L86" s="420">
        <f t="shared" si="111"/>
        <v>164994</v>
      </c>
      <c r="M86" s="420">
        <f t="shared" si="111"/>
        <v>342552</v>
      </c>
      <c r="N86" s="420">
        <f t="shared" si="111"/>
        <v>549414</v>
      </c>
      <c r="O86" s="420">
        <f t="shared" si="111"/>
        <v>686799</v>
      </c>
      <c r="P86" s="420">
        <f t="shared" si="111"/>
        <v>159440</v>
      </c>
      <c r="Q86" s="420">
        <f t="shared" si="111"/>
        <v>382465</v>
      </c>
      <c r="R86" s="420">
        <f t="shared" ref="R86:T86" si="112">R58+R60</f>
        <v>627686</v>
      </c>
      <c r="S86" s="420">
        <f t="shared" si="112"/>
        <v>1018787</v>
      </c>
      <c r="T86" s="420">
        <f t="shared" si="112"/>
        <v>194786</v>
      </c>
      <c r="U86" s="741">
        <f>U58+U60</f>
        <v>428923</v>
      </c>
      <c r="W86" s="420">
        <f t="shared" ref="W86:AC86" si="113">W58+W60</f>
        <v>164994</v>
      </c>
      <c r="X86" s="420">
        <f t="shared" si="113"/>
        <v>177558</v>
      </c>
      <c r="Y86" s="420">
        <f t="shared" si="113"/>
        <v>206862</v>
      </c>
      <c r="Z86" s="420">
        <f t="shared" si="113"/>
        <v>137385</v>
      </c>
      <c r="AA86" s="420">
        <f t="shared" si="113"/>
        <v>159440</v>
      </c>
      <c r="AB86" s="420">
        <f t="shared" si="113"/>
        <v>223025</v>
      </c>
      <c r="AC86" s="420">
        <f t="shared" si="113"/>
        <v>245221</v>
      </c>
      <c r="AD86" s="420">
        <f t="shared" ref="AD86:AE86" si="114">AD58+AD60</f>
        <v>391101</v>
      </c>
      <c r="AE86" s="420">
        <f t="shared" si="114"/>
        <v>194786</v>
      </c>
      <c r="AF86" s="741">
        <f>AF58+AF60</f>
        <v>402825</v>
      </c>
    </row>
    <row r="87" spans="1:32">
      <c r="A87" s="417"/>
      <c r="B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</row>
    <row r="88" spans="1:32">
      <c r="A88" s="429" t="s">
        <v>725</v>
      </c>
      <c r="B88" s="429" t="s">
        <v>726</v>
      </c>
      <c r="D88" s="420">
        <f t="shared" ref="D88:I88" si="115">D90+D100</f>
        <v>-36490</v>
      </c>
      <c r="E88" s="420">
        <f t="shared" si="115"/>
        <v>-101105</v>
      </c>
      <c r="F88" s="420">
        <f t="shared" si="115"/>
        <v>-133339</v>
      </c>
      <c r="G88" s="420">
        <f t="shared" si="115"/>
        <v>-157586</v>
      </c>
      <c r="H88" s="420">
        <f t="shared" si="115"/>
        <v>-94132</v>
      </c>
      <c r="I88" s="420">
        <f t="shared" si="115"/>
        <v>-181742</v>
      </c>
      <c r="J88" s="420">
        <f t="shared" ref="J88:Q88" si="116">J90+J100</f>
        <v>-250870</v>
      </c>
      <c r="K88" s="420">
        <f t="shared" si="116"/>
        <v>-352757</v>
      </c>
      <c r="L88" s="420">
        <f t="shared" si="116"/>
        <v>-90055</v>
      </c>
      <c r="M88" s="420">
        <f t="shared" si="116"/>
        <v>-168265</v>
      </c>
      <c r="N88" s="420">
        <f t="shared" si="116"/>
        <v>-245819</v>
      </c>
      <c r="O88" s="420">
        <f t="shared" si="116"/>
        <v>-314990</v>
      </c>
      <c r="P88" s="420">
        <f t="shared" si="116"/>
        <v>-105958</v>
      </c>
      <c r="Q88" s="420">
        <f t="shared" si="116"/>
        <v>-192164</v>
      </c>
      <c r="R88" s="420">
        <f t="shared" ref="R88:T88" si="117">R90+R100</f>
        <v>-304366</v>
      </c>
      <c r="S88" s="420">
        <f t="shared" si="117"/>
        <v>-399424</v>
      </c>
      <c r="T88" s="420">
        <f t="shared" si="117"/>
        <v>-96428</v>
      </c>
      <c r="U88" s="741">
        <f>U90+U100</f>
        <v>-194783</v>
      </c>
      <c r="W88" s="420">
        <f t="shared" ref="W88:AC88" si="118">W90+W100</f>
        <v>-90055</v>
      </c>
      <c r="X88" s="420">
        <f t="shared" si="118"/>
        <v>-78210</v>
      </c>
      <c r="Y88" s="420">
        <f t="shared" si="118"/>
        <v>-77554</v>
      </c>
      <c r="Z88" s="420">
        <f t="shared" si="118"/>
        <v>-69171</v>
      </c>
      <c r="AA88" s="420">
        <f t="shared" si="118"/>
        <v>-105958</v>
      </c>
      <c r="AB88" s="420">
        <f t="shared" si="118"/>
        <v>-86206</v>
      </c>
      <c r="AC88" s="420">
        <f t="shared" si="118"/>
        <v>-112202</v>
      </c>
      <c r="AD88" s="420">
        <f t="shared" ref="AD88:AE88" si="119">AD90+AD100</f>
        <v>-95058</v>
      </c>
      <c r="AE88" s="420">
        <f t="shared" si="119"/>
        <v>-96428</v>
      </c>
      <c r="AF88" s="741">
        <f>AF90+AF100</f>
        <v>-98355</v>
      </c>
    </row>
    <row r="89" spans="1:32">
      <c r="A89" s="416"/>
      <c r="B89" s="416"/>
      <c r="D89" s="417"/>
      <c r="E89" s="422"/>
      <c r="F89" s="422"/>
      <c r="G89" s="422"/>
      <c r="H89" s="422"/>
      <c r="I89" s="422"/>
      <c r="J89" s="422"/>
      <c r="K89" s="422"/>
      <c r="L89" s="422"/>
      <c r="M89" s="422"/>
      <c r="N89" s="422"/>
      <c r="O89" s="422"/>
      <c r="P89" s="417"/>
      <c r="Q89" s="422"/>
      <c r="R89" s="422"/>
      <c r="S89" s="422"/>
      <c r="T89" s="417"/>
      <c r="U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</row>
    <row r="90" spans="1:32">
      <c r="A90" s="417" t="s">
        <v>727</v>
      </c>
      <c r="B90" s="417" t="s">
        <v>728</v>
      </c>
      <c r="D90" s="424">
        <f t="shared" ref="D90:I90" si="120">SUM(D91:D99)</f>
        <v>226125</v>
      </c>
      <c r="E90" s="424">
        <f t="shared" si="120"/>
        <v>398501</v>
      </c>
      <c r="F90" s="424">
        <f t="shared" si="120"/>
        <v>469753</v>
      </c>
      <c r="G90" s="424">
        <f t="shared" si="120"/>
        <v>565487</v>
      </c>
      <c r="H90" s="424">
        <f t="shared" si="120"/>
        <v>127593</v>
      </c>
      <c r="I90" s="424">
        <f t="shared" si="120"/>
        <v>256053</v>
      </c>
      <c r="J90" s="424">
        <f t="shared" ref="J90:T90" si="121">SUM(J91:J99)</f>
        <v>355574</v>
      </c>
      <c r="K90" s="424">
        <f t="shared" si="121"/>
        <v>427242</v>
      </c>
      <c r="L90" s="424">
        <f t="shared" si="121"/>
        <v>106781</v>
      </c>
      <c r="M90" s="424">
        <f t="shared" si="121"/>
        <v>208592</v>
      </c>
      <c r="N90" s="424">
        <f t="shared" si="121"/>
        <v>265150</v>
      </c>
      <c r="O90" s="424">
        <f t="shared" si="121"/>
        <v>458012</v>
      </c>
      <c r="P90" s="424">
        <f t="shared" si="121"/>
        <v>204959</v>
      </c>
      <c r="Q90" s="424">
        <f t="shared" si="121"/>
        <v>316649</v>
      </c>
      <c r="R90" s="424">
        <f t="shared" si="121"/>
        <v>390847</v>
      </c>
      <c r="S90" s="424">
        <f t="shared" si="121"/>
        <v>651803</v>
      </c>
      <c r="T90" s="424">
        <f t="shared" si="121"/>
        <v>317138</v>
      </c>
      <c r="U90" s="424">
        <f>SUM(U91:U99)</f>
        <v>415101</v>
      </c>
      <c r="W90" s="424">
        <f t="shared" ref="W90:AC90" si="122">SUM(W91:W99)</f>
        <v>106781</v>
      </c>
      <c r="X90" s="424">
        <f t="shared" si="122"/>
        <v>101811</v>
      </c>
      <c r="Y90" s="424">
        <f t="shared" si="122"/>
        <v>56558</v>
      </c>
      <c r="Z90" s="424">
        <f t="shared" si="122"/>
        <v>192862</v>
      </c>
      <c r="AA90" s="424">
        <f t="shared" si="122"/>
        <v>204959</v>
      </c>
      <c r="AB90" s="424">
        <f t="shared" si="122"/>
        <v>111690</v>
      </c>
      <c r="AC90" s="424">
        <f t="shared" si="122"/>
        <v>74198</v>
      </c>
      <c r="AD90" s="424">
        <f t="shared" ref="AD90:AE90" si="123">SUM(AD91:AD99)</f>
        <v>260956</v>
      </c>
      <c r="AE90" s="424">
        <f t="shared" si="123"/>
        <v>317138</v>
      </c>
      <c r="AF90" s="424">
        <f>SUM(AF91:AF99)</f>
        <v>97963</v>
      </c>
    </row>
    <row r="91" spans="1:32" outlineLevel="1">
      <c r="A91" s="418" t="s">
        <v>729</v>
      </c>
      <c r="B91" s="418" t="s">
        <v>728</v>
      </c>
      <c r="D91" s="423">
        <v>36959</v>
      </c>
      <c r="E91" s="423">
        <v>71767</v>
      </c>
      <c r="F91" s="423">
        <v>106824</v>
      </c>
      <c r="G91" s="423">
        <v>133614</v>
      </c>
      <c r="H91" s="423">
        <v>25594</v>
      </c>
      <c r="I91" s="423">
        <v>44935</v>
      </c>
      <c r="J91" s="423">
        <v>56409</v>
      </c>
      <c r="K91" s="423">
        <v>65472</v>
      </c>
      <c r="L91" s="423">
        <v>20108</v>
      </c>
      <c r="M91" s="423">
        <v>39253</v>
      </c>
      <c r="N91" s="423">
        <v>61012</v>
      </c>
      <c r="O91" s="423">
        <v>86068</v>
      </c>
      <c r="P91" s="423">
        <v>23235</v>
      </c>
      <c r="Q91" s="423">
        <v>46255</v>
      </c>
      <c r="R91" s="423">
        <v>79391</v>
      </c>
      <c r="S91" s="423">
        <v>122953</v>
      </c>
      <c r="T91" s="423">
        <v>37494</v>
      </c>
      <c r="U91" s="423">
        <v>73706</v>
      </c>
      <c r="W91" s="423">
        <f t="shared" ref="W91:W99" si="124">L91</f>
        <v>20108</v>
      </c>
      <c r="X91" s="423">
        <f t="shared" ref="X91:X99" si="125">M91-W91</f>
        <v>19145</v>
      </c>
      <c r="Y91" s="423">
        <f t="shared" ref="Y91:Y99" si="126">N91-M91</f>
        <v>21759</v>
      </c>
      <c r="Z91" s="423">
        <f t="shared" ref="Z91:Z99" si="127">O91-N91</f>
        <v>25056</v>
      </c>
      <c r="AA91" s="423">
        <f t="shared" ref="AA91:AA99" si="128">P91</f>
        <v>23235</v>
      </c>
      <c r="AB91" s="423">
        <f t="shared" ref="AB91:AB99" si="129">Q91-AA91</f>
        <v>23020</v>
      </c>
      <c r="AC91" s="423">
        <f t="shared" ref="AC91:AC99" si="130">R91-Q91</f>
        <v>33136</v>
      </c>
      <c r="AD91" s="423">
        <f t="shared" ref="AD91:AD99" si="131">S91-R91</f>
        <v>43562</v>
      </c>
      <c r="AE91" s="423">
        <f t="shared" ref="AE91:AE99" si="132">T91</f>
        <v>37494</v>
      </c>
      <c r="AF91" s="423">
        <f t="shared" ref="AF91:AF99" si="133">U91-T91</f>
        <v>36212</v>
      </c>
    </row>
    <row r="92" spans="1:32" outlineLevel="1">
      <c r="A92" s="418" t="s">
        <v>730</v>
      </c>
      <c r="B92" s="418" t="s">
        <v>731</v>
      </c>
      <c r="D92" s="423">
        <v>-4140</v>
      </c>
      <c r="E92" s="423">
        <v>-8149</v>
      </c>
      <c r="F92" s="423">
        <v>-12280</v>
      </c>
      <c r="G92" s="423">
        <v>-15740</v>
      </c>
      <c r="H92" s="423">
        <v>-1894</v>
      </c>
      <c r="I92" s="423">
        <v>-3832</v>
      </c>
      <c r="J92" s="423">
        <v>-5670</v>
      </c>
      <c r="K92" s="423">
        <v>-6758</v>
      </c>
      <c r="L92" s="423">
        <v>-2988</v>
      </c>
      <c r="M92" s="423">
        <v>-3161</v>
      </c>
      <c r="N92" s="423">
        <v>-5056</v>
      </c>
      <c r="O92" s="423">
        <v>-7391</v>
      </c>
      <c r="P92" s="423">
        <v>-2013</v>
      </c>
      <c r="Q92" s="423">
        <v>-4056</v>
      </c>
      <c r="R92" s="423">
        <v>-6609</v>
      </c>
      <c r="S92" s="423">
        <v>-18562</v>
      </c>
      <c r="T92" s="423">
        <v>-3442</v>
      </c>
      <c r="U92" s="423">
        <v>-7296</v>
      </c>
      <c r="W92" s="423">
        <f t="shared" si="124"/>
        <v>-2988</v>
      </c>
      <c r="X92" s="423">
        <f t="shared" si="125"/>
        <v>-173</v>
      </c>
      <c r="Y92" s="423">
        <f t="shared" si="126"/>
        <v>-1895</v>
      </c>
      <c r="Z92" s="423">
        <f t="shared" si="127"/>
        <v>-2335</v>
      </c>
      <c r="AA92" s="423">
        <f t="shared" si="128"/>
        <v>-2013</v>
      </c>
      <c r="AB92" s="423">
        <f t="shared" si="129"/>
        <v>-2043</v>
      </c>
      <c r="AC92" s="423">
        <f t="shared" si="130"/>
        <v>-2553</v>
      </c>
      <c r="AD92" s="423">
        <f t="shared" si="131"/>
        <v>-11953</v>
      </c>
      <c r="AE92" s="423">
        <f t="shared" si="132"/>
        <v>-3442</v>
      </c>
      <c r="AF92" s="423">
        <f t="shared" si="133"/>
        <v>-3854</v>
      </c>
    </row>
    <row r="93" spans="1:32" outlineLevel="1">
      <c r="A93" s="418" t="s">
        <v>2561</v>
      </c>
      <c r="B93" s="418" t="s">
        <v>2562</v>
      </c>
      <c r="D93" s="423" t="s">
        <v>2558</v>
      </c>
      <c r="E93" s="423">
        <v>60035</v>
      </c>
      <c r="F93" s="423">
        <v>60034</v>
      </c>
      <c r="G93" s="423">
        <v>60255</v>
      </c>
      <c r="H93" s="423">
        <v>45926</v>
      </c>
      <c r="I93" s="423">
        <v>45926</v>
      </c>
      <c r="J93" s="423">
        <v>45926</v>
      </c>
      <c r="K93" s="423">
        <v>45926</v>
      </c>
      <c r="L93" s="423">
        <v>74261</v>
      </c>
      <c r="M93" s="423">
        <v>141572</v>
      </c>
      <c r="N93" s="423">
        <v>124660</v>
      </c>
      <c r="O93" s="423">
        <v>274367</v>
      </c>
      <c r="P93" s="423">
        <v>74963</v>
      </c>
      <c r="Q93" s="423">
        <v>91669</v>
      </c>
      <c r="R93" s="423">
        <v>35911</v>
      </c>
      <c r="S93" s="423">
        <v>90401</v>
      </c>
      <c r="T93" s="423">
        <v>124502</v>
      </c>
      <c r="U93" s="423">
        <v>112673</v>
      </c>
      <c r="W93" s="423">
        <f t="shared" si="124"/>
        <v>74261</v>
      </c>
      <c r="X93" s="423">
        <f t="shared" si="125"/>
        <v>67311</v>
      </c>
      <c r="Y93" s="423">
        <f t="shared" si="126"/>
        <v>-16912</v>
      </c>
      <c r="Z93" s="423">
        <f t="shared" si="127"/>
        <v>149707</v>
      </c>
      <c r="AA93" s="423">
        <f t="shared" si="128"/>
        <v>74963</v>
      </c>
      <c r="AB93" s="423">
        <f t="shared" si="129"/>
        <v>16706</v>
      </c>
      <c r="AC93" s="423">
        <f t="shared" si="130"/>
        <v>-55758</v>
      </c>
      <c r="AD93" s="423">
        <f t="shared" si="131"/>
        <v>54490</v>
      </c>
      <c r="AE93" s="423">
        <f t="shared" si="132"/>
        <v>124502</v>
      </c>
      <c r="AF93" s="423">
        <f t="shared" si="133"/>
        <v>-11829</v>
      </c>
    </row>
    <row r="94" spans="1:32" outlineLevel="1">
      <c r="A94" s="418" t="s">
        <v>733</v>
      </c>
      <c r="B94" s="418" t="s">
        <v>734</v>
      </c>
      <c r="D94" s="423">
        <v>26756</v>
      </c>
      <c r="E94" s="423">
        <v>52924</v>
      </c>
      <c r="F94" s="423">
        <v>73513</v>
      </c>
      <c r="G94" s="423">
        <v>88319</v>
      </c>
      <c r="H94" s="423">
        <v>8544</v>
      </c>
      <c r="I94" s="423">
        <v>18230</v>
      </c>
      <c r="J94" s="423">
        <v>30501</v>
      </c>
      <c r="K94" s="423">
        <v>39937</v>
      </c>
      <c r="L94" s="423">
        <v>10913</v>
      </c>
      <c r="M94" s="423">
        <v>22385</v>
      </c>
      <c r="N94" s="423">
        <v>34116</v>
      </c>
      <c r="O94" s="423">
        <v>50780</v>
      </c>
      <c r="P94" s="423">
        <v>12619</v>
      </c>
      <c r="Q94" s="423">
        <v>25533</v>
      </c>
      <c r="R94" s="423">
        <v>38277</v>
      </c>
      <c r="S94" s="423">
        <v>49896</v>
      </c>
      <c r="T94" s="423">
        <v>12110</v>
      </c>
      <c r="U94" s="423">
        <v>30257</v>
      </c>
      <c r="W94" s="423">
        <f t="shared" si="124"/>
        <v>10913</v>
      </c>
      <c r="X94" s="423">
        <f t="shared" si="125"/>
        <v>11472</v>
      </c>
      <c r="Y94" s="423">
        <f t="shared" si="126"/>
        <v>11731</v>
      </c>
      <c r="Z94" s="423">
        <f t="shared" si="127"/>
        <v>16664</v>
      </c>
      <c r="AA94" s="423">
        <f t="shared" si="128"/>
        <v>12619</v>
      </c>
      <c r="AB94" s="423">
        <f t="shared" si="129"/>
        <v>12914</v>
      </c>
      <c r="AC94" s="423">
        <f t="shared" si="130"/>
        <v>12744</v>
      </c>
      <c r="AD94" s="423">
        <f t="shared" si="131"/>
        <v>11619</v>
      </c>
      <c r="AE94" s="423">
        <f t="shared" si="132"/>
        <v>12110</v>
      </c>
      <c r="AF94" s="423">
        <f t="shared" si="133"/>
        <v>18147</v>
      </c>
    </row>
    <row r="95" spans="1:32" outlineLevel="1">
      <c r="A95" s="418" t="s">
        <v>735</v>
      </c>
      <c r="B95" s="418" t="s">
        <v>736</v>
      </c>
      <c r="D95" s="423" t="s">
        <v>2558</v>
      </c>
      <c r="E95" s="423" t="s">
        <v>2558</v>
      </c>
      <c r="F95" s="423" t="s">
        <v>2558</v>
      </c>
      <c r="G95" s="423">
        <v>0</v>
      </c>
      <c r="H95" s="423">
        <v>0</v>
      </c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>
        <v>0</v>
      </c>
      <c r="T95" s="423">
        <v>0</v>
      </c>
      <c r="U95" s="423">
        <v>0</v>
      </c>
      <c r="W95" s="423">
        <f t="shared" si="124"/>
        <v>0</v>
      </c>
      <c r="X95" s="423">
        <f t="shared" si="125"/>
        <v>0</v>
      </c>
      <c r="Y95" s="423">
        <f t="shared" si="126"/>
        <v>0</v>
      </c>
      <c r="Z95" s="423">
        <f t="shared" si="127"/>
        <v>0</v>
      </c>
      <c r="AA95" s="423">
        <f t="shared" si="128"/>
        <v>0</v>
      </c>
      <c r="AB95" s="423">
        <f t="shared" si="129"/>
        <v>0</v>
      </c>
      <c r="AC95" s="423">
        <f t="shared" si="130"/>
        <v>0</v>
      </c>
      <c r="AD95" s="423">
        <f t="shared" si="131"/>
        <v>0</v>
      </c>
      <c r="AE95" s="423">
        <f t="shared" si="132"/>
        <v>0</v>
      </c>
      <c r="AF95" s="423">
        <f t="shared" si="133"/>
        <v>0</v>
      </c>
    </row>
    <row r="96" spans="1:32" outlineLevel="1">
      <c r="A96" s="418" t="s">
        <v>737</v>
      </c>
      <c r="B96" s="418" t="s">
        <v>738</v>
      </c>
      <c r="D96" s="423" t="s">
        <v>2558</v>
      </c>
      <c r="E96" s="423" t="s">
        <v>2558</v>
      </c>
      <c r="F96" s="423" t="s">
        <v>2558</v>
      </c>
      <c r="G96" s="423">
        <v>0</v>
      </c>
      <c r="H96" s="423">
        <v>0</v>
      </c>
      <c r="I96" s="423">
        <v>0</v>
      </c>
      <c r="J96" s="423">
        <v>0</v>
      </c>
      <c r="K96" s="423">
        <v>0</v>
      </c>
      <c r="L96" s="423">
        <v>0</v>
      </c>
      <c r="M96" s="423">
        <v>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>
        <v>0</v>
      </c>
      <c r="T96" s="423">
        <v>0</v>
      </c>
      <c r="U96" s="423">
        <v>0</v>
      </c>
      <c r="W96" s="423">
        <f t="shared" si="124"/>
        <v>0</v>
      </c>
      <c r="X96" s="423">
        <f t="shared" si="125"/>
        <v>0</v>
      </c>
      <c r="Y96" s="423">
        <f t="shared" si="126"/>
        <v>0</v>
      </c>
      <c r="Z96" s="423">
        <f t="shared" si="127"/>
        <v>0</v>
      </c>
      <c r="AA96" s="423">
        <f t="shared" si="128"/>
        <v>0</v>
      </c>
      <c r="AB96" s="423">
        <f t="shared" si="129"/>
        <v>0</v>
      </c>
      <c r="AC96" s="423">
        <f t="shared" si="130"/>
        <v>0</v>
      </c>
      <c r="AD96" s="423">
        <f t="shared" si="131"/>
        <v>0</v>
      </c>
      <c r="AE96" s="423">
        <f t="shared" si="132"/>
        <v>0</v>
      </c>
      <c r="AF96" s="423">
        <f t="shared" si="133"/>
        <v>0</v>
      </c>
    </row>
    <row r="97" spans="1:32" outlineLevel="1">
      <c r="A97" s="418" t="s">
        <v>739</v>
      </c>
      <c r="B97" s="418" t="s">
        <v>740</v>
      </c>
      <c r="D97" s="423">
        <v>27409</v>
      </c>
      <c r="E97" s="423">
        <v>50566</v>
      </c>
      <c r="F97" s="423">
        <v>85029</v>
      </c>
      <c r="G97" s="423">
        <v>126991</v>
      </c>
      <c r="H97" s="423">
        <v>7857</v>
      </c>
      <c r="I97" s="423">
        <v>21664</v>
      </c>
      <c r="J97" s="423">
        <v>38462</v>
      </c>
      <c r="K97" s="423">
        <v>44360</v>
      </c>
      <c r="L97" s="423">
        <v>4487</v>
      </c>
      <c r="M97" s="423">
        <v>8423</v>
      </c>
      <c r="N97" s="423">
        <f>16302-O89</f>
        <v>16302</v>
      </c>
      <c r="O97" s="423">
        <v>27173</v>
      </c>
      <c r="P97" s="423">
        <v>8215</v>
      </c>
      <c r="Q97" s="423">
        <v>16949</v>
      </c>
      <c r="R97" s="423">
        <v>29772</v>
      </c>
      <c r="S97" s="423">
        <v>234111</v>
      </c>
      <c r="T97" s="423">
        <v>26350</v>
      </c>
      <c r="U97" s="423">
        <v>56717</v>
      </c>
      <c r="W97" s="423">
        <f t="shared" si="124"/>
        <v>4487</v>
      </c>
      <c r="X97" s="423">
        <f t="shared" si="125"/>
        <v>3936</v>
      </c>
      <c r="Y97" s="423">
        <f t="shared" si="126"/>
        <v>7879</v>
      </c>
      <c r="Z97" s="423">
        <f t="shared" si="127"/>
        <v>10871</v>
      </c>
      <c r="AA97" s="423">
        <f t="shared" si="128"/>
        <v>8215</v>
      </c>
      <c r="AB97" s="423">
        <f t="shared" si="129"/>
        <v>8734</v>
      </c>
      <c r="AC97" s="423">
        <f t="shared" si="130"/>
        <v>12823</v>
      </c>
      <c r="AD97" s="423">
        <f t="shared" si="131"/>
        <v>204339</v>
      </c>
      <c r="AE97" s="423">
        <f t="shared" si="132"/>
        <v>26350</v>
      </c>
      <c r="AF97" s="423">
        <f t="shared" si="133"/>
        <v>30367</v>
      </c>
    </row>
    <row r="98" spans="1:32" outlineLevel="1">
      <c r="A98" s="418" t="s">
        <v>741</v>
      </c>
      <c r="B98" s="418" t="s">
        <v>2536</v>
      </c>
      <c r="D98" s="423"/>
      <c r="E98" s="423"/>
      <c r="F98" s="423"/>
      <c r="G98" s="423"/>
      <c r="H98" s="423"/>
      <c r="I98" s="423"/>
      <c r="J98" s="423"/>
      <c r="K98" s="423"/>
      <c r="L98" s="423"/>
      <c r="M98" s="423"/>
      <c r="N98" s="423"/>
      <c r="O98" s="423"/>
      <c r="P98" s="423"/>
      <c r="Q98" s="423">
        <v>9080</v>
      </c>
      <c r="R98" s="423">
        <v>53750</v>
      </c>
      <c r="S98" s="423">
        <v>34286</v>
      </c>
      <c r="T98" s="423">
        <v>63555</v>
      </c>
      <c r="U98" s="423">
        <v>75618</v>
      </c>
      <c r="W98" s="423">
        <f t="shared" si="124"/>
        <v>0</v>
      </c>
      <c r="X98" s="423">
        <f t="shared" si="125"/>
        <v>0</v>
      </c>
      <c r="Y98" s="423">
        <f t="shared" si="126"/>
        <v>0</v>
      </c>
      <c r="Z98" s="423">
        <f t="shared" si="127"/>
        <v>0</v>
      </c>
      <c r="AA98" s="423">
        <f t="shared" si="128"/>
        <v>0</v>
      </c>
      <c r="AB98" s="423">
        <f t="shared" si="129"/>
        <v>9080</v>
      </c>
      <c r="AC98" s="423">
        <f t="shared" si="130"/>
        <v>44670</v>
      </c>
      <c r="AD98" s="423">
        <f t="shared" si="131"/>
        <v>-19464</v>
      </c>
      <c r="AE98" s="423">
        <f t="shared" si="132"/>
        <v>63555</v>
      </c>
      <c r="AF98" s="423">
        <f t="shared" si="133"/>
        <v>12063</v>
      </c>
    </row>
    <row r="99" spans="1:32" outlineLevel="1">
      <c r="A99" s="418" t="s">
        <v>742</v>
      </c>
      <c r="B99" s="418" t="s">
        <v>743</v>
      </c>
      <c r="D99" s="423">
        <v>139141</v>
      </c>
      <c r="E99" s="423">
        <v>171358</v>
      </c>
      <c r="F99" s="423">
        <v>156633</v>
      </c>
      <c r="G99" s="423">
        <v>172048</v>
      </c>
      <c r="H99" s="423">
        <v>41566</v>
      </c>
      <c r="I99" s="423">
        <v>129130</v>
      </c>
      <c r="J99" s="423">
        <v>189946</v>
      </c>
      <c r="K99" s="423">
        <v>238305</v>
      </c>
      <c r="L99" s="423">
        <v>0</v>
      </c>
      <c r="M99" s="423">
        <v>120</v>
      </c>
      <c r="N99" s="423">
        <v>34116</v>
      </c>
      <c r="O99" s="423">
        <v>27015</v>
      </c>
      <c r="P99" s="423">
        <v>87940</v>
      </c>
      <c r="Q99" s="423">
        <v>131219</v>
      </c>
      <c r="R99" s="423">
        <v>160355</v>
      </c>
      <c r="S99" s="423">
        <v>138718</v>
      </c>
      <c r="T99" s="423">
        <v>56569</v>
      </c>
      <c r="U99" s="423">
        <v>73426</v>
      </c>
      <c r="W99" s="423">
        <f t="shared" si="124"/>
        <v>0</v>
      </c>
      <c r="X99" s="423">
        <f t="shared" si="125"/>
        <v>120</v>
      </c>
      <c r="Y99" s="423">
        <f t="shared" si="126"/>
        <v>33996</v>
      </c>
      <c r="Z99" s="423">
        <f t="shared" si="127"/>
        <v>-7101</v>
      </c>
      <c r="AA99" s="423">
        <f t="shared" si="128"/>
        <v>87940</v>
      </c>
      <c r="AB99" s="423">
        <f t="shared" si="129"/>
        <v>43279</v>
      </c>
      <c r="AC99" s="423">
        <f t="shared" si="130"/>
        <v>29136</v>
      </c>
      <c r="AD99" s="423">
        <f t="shared" si="131"/>
        <v>-21637</v>
      </c>
      <c r="AE99" s="423">
        <f t="shared" si="132"/>
        <v>56569</v>
      </c>
      <c r="AF99" s="423">
        <f t="shared" si="133"/>
        <v>16857</v>
      </c>
    </row>
    <row r="100" spans="1:32">
      <c r="A100" s="417" t="s">
        <v>744</v>
      </c>
      <c r="B100" s="417" t="s">
        <v>745</v>
      </c>
      <c r="D100" s="422">
        <f t="shared" ref="D100:I100" si="134">SUM(D101:D110)</f>
        <v>-262615</v>
      </c>
      <c r="E100" s="422">
        <f t="shared" si="134"/>
        <v>-499606</v>
      </c>
      <c r="F100" s="422">
        <f t="shared" si="134"/>
        <v>-603092</v>
      </c>
      <c r="G100" s="422">
        <f t="shared" si="134"/>
        <v>-723073</v>
      </c>
      <c r="H100" s="422">
        <f t="shared" si="134"/>
        <v>-221725</v>
      </c>
      <c r="I100" s="422">
        <f t="shared" si="134"/>
        <v>-437795</v>
      </c>
      <c r="J100" s="422">
        <f t="shared" ref="J100:T100" si="135">SUM(J101:J110)</f>
        <v>-606444</v>
      </c>
      <c r="K100" s="422">
        <f t="shared" si="135"/>
        <v>-779999</v>
      </c>
      <c r="L100" s="422">
        <f t="shared" si="135"/>
        <v>-196836</v>
      </c>
      <c r="M100" s="422">
        <f t="shared" si="135"/>
        <v>-376857</v>
      </c>
      <c r="N100" s="422">
        <f t="shared" si="135"/>
        <v>-510969</v>
      </c>
      <c r="O100" s="422">
        <f t="shared" si="135"/>
        <v>-773002</v>
      </c>
      <c r="P100" s="422">
        <f t="shared" si="135"/>
        <v>-310917</v>
      </c>
      <c r="Q100" s="422">
        <f t="shared" si="135"/>
        <v>-508813</v>
      </c>
      <c r="R100" s="422">
        <f t="shared" si="135"/>
        <v>-695213</v>
      </c>
      <c r="S100" s="422">
        <f t="shared" si="135"/>
        <v>-1051227</v>
      </c>
      <c r="T100" s="422">
        <f t="shared" si="135"/>
        <v>-413566</v>
      </c>
      <c r="U100" s="422">
        <f>SUM(U101:U110)</f>
        <v>-609884</v>
      </c>
      <c r="W100" s="422">
        <f t="shared" ref="W100:AC100" si="136">SUM(W101:W110)</f>
        <v>-196836</v>
      </c>
      <c r="X100" s="422">
        <f t="shared" si="136"/>
        <v>-180021</v>
      </c>
      <c r="Y100" s="422">
        <f t="shared" si="136"/>
        <v>-134112</v>
      </c>
      <c r="Z100" s="422">
        <f t="shared" si="136"/>
        <v>-262033</v>
      </c>
      <c r="AA100" s="422">
        <f t="shared" si="136"/>
        <v>-310917</v>
      </c>
      <c r="AB100" s="422">
        <f t="shared" si="136"/>
        <v>-197896</v>
      </c>
      <c r="AC100" s="422">
        <f t="shared" si="136"/>
        <v>-186400</v>
      </c>
      <c r="AD100" s="422">
        <f t="shared" ref="AD100:AE100" si="137">SUM(AD101:AD110)</f>
        <v>-356014</v>
      </c>
      <c r="AE100" s="422">
        <f t="shared" si="137"/>
        <v>-413566</v>
      </c>
      <c r="AF100" s="422">
        <f>SUM(AF101:AF110)</f>
        <v>-196318</v>
      </c>
    </row>
    <row r="101" spans="1:32" outlineLevel="1">
      <c r="A101" s="418" t="s">
        <v>746</v>
      </c>
      <c r="B101" s="418" t="s">
        <v>747</v>
      </c>
      <c r="D101" s="423">
        <v>-67731</v>
      </c>
      <c r="E101" s="423">
        <v>-207218</v>
      </c>
      <c r="F101" s="423">
        <v>-280779</v>
      </c>
      <c r="G101" s="423">
        <v>-344850</v>
      </c>
      <c r="H101" s="423">
        <v>-77745</v>
      </c>
      <c r="I101" s="423">
        <v>-193830</v>
      </c>
      <c r="J101" s="423">
        <v>-334699</v>
      </c>
      <c r="K101" s="423">
        <v>-408671</v>
      </c>
      <c r="L101" s="423">
        <v>-64055</v>
      </c>
      <c r="M101" s="423">
        <v>-160271</v>
      </c>
      <c r="N101" s="423">
        <v>-232134</v>
      </c>
      <c r="O101" s="423">
        <v>-543239</v>
      </c>
      <c r="P101" s="423">
        <v>-65432</v>
      </c>
      <c r="Q101" s="423">
        <v>-139455</v>
      </c>
      <c r="R101" s="423">
        <v>-211324</v>
      </c>
      <c r="S101" s="423">
        <v>-308797</v>
      </c>
      <c r="T101" s="423">
        <v>-77685</v>
      </c>
      <c r="U101" s="423">
        <v>-151472</v>
      </c>
      <c r="W101" s="423">
        <f t="shared" ref="W101:W110" si="138">L101</f>
        <v>-64055</v>
      </c>
      <c r="X101" s="423">
        <f t="shared" ref="X101:X110" si="139">M101-W101</f>
        <v>-96216</v>
      </c>
      <c r="Y101" s="423">
        <f t="shared" ref="Y101:Y110" si="140">N101-M101</f>
        <v>-71863</v>
      </c>
      <c r="Z101" s="423">
        <f t="shared" ref="Z101:Z110" si="141">O101-N101</f>
        <v>-311105</v>
      </c>
      <c r="AA101" s="423">
        <f t="shared" ref="AA101:AA110" si="142">P101</f>
        <v>-65432</v>
      </c>
      <c r="AB101" s="423">
        <f t="shared" ref="AB101:AB110" si="143">Q101-AA101</f>
        <v>-74023</v>
      </c>
      <c r="AC101" s="423">
        <f t="shared" ref="AC101:AC110" si="144">R101-Q101</f>
        <v>-71869</v>
      </c>
      <c r="AD101" s="423">
        <f t="shared" ref="AD101:AD110" si="145">S101-R101</f>
        <v>-97473</v>
      </c>
      <c r="AE101" s="423">
        <f t="shared" ref="AE101:AE110" si="146">T101</f>
        <v>-77685</v>
      </c>
      <c r="AF101" s="423">
        <f t="shared" ref="AF101:AF110" si="147">U101-T101</f>
        <v>-73787</v>
      </c>
    </row>
    <row r="102" spans="1:32" outlineLevel="1">
      <c r="A102" s="418" t="s">
        <v>748</v>
      </c>
      <c r="B102" s="418" t="s">
        <v>749</v>
      </c>
      <c r="D102" s="423">
        <v>0</v>
      </c>
      <c r="E102" s="423">
        <v>0</v>
      </c>
      <c r="F102" s="423">
        <v>0</v>
      </c>
      <c r="G102" s="423">
        <v>0</v>
      </c>
      <c r="H102" s="423">
        <v>0</v>
      </c>
      <c r="I102" s="423">
        <v>0</v>
      </c>
      <c r="J102" s="423">
        <v>0</v>
      </c>
      <c r="K102" s="423">
        <v>0</v>
      </c>
      <c r="L102" s="423">
        <v>0</v>
      </c>
      <c r="M102" s="423">
        <v>0</v>
      </c>
      <c r="N102" s="423">
        <v>0</v>
      </c>
      <c r="O102" s="423">
        <v>0</v>
      </c>
      <c r="P102" s="423">
        <v>0</v>
      </c>
      <c r="Q102" s="423">
        <v>0</v>
      </c>
      <c r="R102" s="423">
        <v>0</v>
      </c>
      <c r="S102" s="423">
        <v>0</v>
      </c>
      <c r="T102" s="423">
        <v>0</v>
      </c>
      <c r="U102" s="423">
        <v>0</v>
      </c>
      <c r="W102" s="423">
        <f t="shared" si="138"/>
        <v>0</v>
      </c>
      <c r="X102" s="423">
        <f t="shared" si="139"/>
        <v>0</v>
      </c>
      <c r="Y102" s="423">
        <f t="shared" si="140"/>
        <v>0</v>
      </c>
      <c r="Z102" s="423">
        <f t="shared" si="141"/>
        <v>0</v>
      </c>
      <c r="AA102" s="423">
        <f t="shared" si="142"/>
        <v>0</v>
      </c>
      <c r="AB102" s="423">
        <f t="shared" si="143"/>
        <v>0</v>
      </c>
      <c r="AC102" s="423">
        <f t="shared" si="144"/>
        <v>0</v>
      </c>
      <c r="AD102" s="423">
        <f t="shared" si="145"/>
        <v>0</v>
      </c>
      <c r="AE102" s="423">
        <f t="shared" si="146"/>
        <v>0</v>
      </c>
      <c r="AF102" s="423">
        <f t="shared" si="147"/>
        <v>0</v>
      </c>
    </row>
    <row r="103" spans="1:32" outlineLevel="1">
      <c r="A103" s="418" t="s">
        <v>750</v>
      </c>
      <c r="B103" s="418" t="s">
        <v>751</v>
      </c>
      <c r="D103" s="423">
        <v>-177266</v>
      </c>
      <c r="E103" s="423">
        <v>-244564</v>
      </c>
      <c r="F103" s="423">
        <v>-247347</v>
      </c>
      <c r="G103" s="423">
        <v>-284237</v>
      </c>
      <c r="H103" s="423">
        <v>-113461</v>
      </c>
      <c r="I103" s="423">
        <v>-184368</v>
      </c>
      <c r="J103" s="423">
        <v>-184777</v>
      </c>
      <c r="K103" s="423">
        <v>-237236</v>
      </c>
      <c r="L103" s="423">
        <v>-106732</v>
      </c>
      <c r="M103" s="423">
        <v>-166528</v>
      </c>
      <c r="N103" s="423">
        <v>-206353</v>
      </c>
      <c r="O103" s="423">
        <v>-140957</v>
      </c>
      <c r="P103" s="423">
        <v>-218768</v>
      </c>
      <c r="Q103" s="423">
        <v>-298762</v>
      </c>
      <c r="R103" s="423">
        <v>-394732</v>
      </c>
      <c r="S103" s="423">
        <v>-435855</v>
      </c>
      <c r="T103" s="423">
        <v>-265546</v>
      </c>
      <c r="U103" s="423">
        <v>-111646</v>
      </c>
      <c r="W103" s="423">
        <f t="shared" si="138"/>
        <v>-106732</v>
      </c>
      <c r="X103" s="423">
        <f t="shared" si="139"/>
        <v>-59796</v>
      </c>
      <c r="Y103" s="423">
        <f t="shared" si="140"/>
        <v>-39825</v>
      </c>
      <c r="Z103" s="423">
        <f t="shared" si="141"/>
        <v>65396</v>
      </c>
      <c r="AA103" s="423">
        <f t="shared" si="142"/>
        <v>-218768</v>
      </c>
      <c r="AB103" s="423">
        <f t="shared" si="143"/>
        <v>-79994</v>
      </c>
      <c r="AC103" s="423">
        <f t="shared" si="144"/>
        <v>-95970</v>
      </c>
      <c r="AD103" s="423">
        <f t="shared" si="145"/>
        <v>-41123</v>
      </c>
      <c r="AE103" s="423">
        <f t="shared" si="146"/>
        <v>-265546</v>
      </c>
      <c r="AF103" s="423">
        <f t="shared" si="147"/>
        <v>153900</v>
      </c>
    </row>
    <row r="104" spans="1:32" outlineLevel="1">
      <c r="A104" s="418" t="s">
        <v>741</v>
      </c>
      <c r="B104" s="418" t="s">
        <v>2536</v>
      </c>
      <c r="D104" s="423"/>
      <c r="E104" s="423"/>
      <c r="F104" s="423"/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>
        <v>-23716</v>
      </c>
      <c r="R104" s="423">
        <v>-1424</v>
      </c>
      <c r="S104" s="423">
        <v>-23847</v>
      </c>
      <c r="T104" s="423">
        <v>-48921</v>
      </c>
      <c r="U104" s="423">
        <v>-33864</v>
      </c>
      <c r="W104" s="423">
        <f t="shared" si="138"/>
        <v>0</v>
      </c>
      <c r="X104" s="423">
        <f t="shared" si="139"/>
        <v>0</v>
      </c>
      <c r="Y104" s="423">
        <f t="shared" si="140"/>
        <v>0</v>
      </c>
      <c r="Z104" s="423">
        <f t="shared" si="141"/>
        <v>0</v>
      </c>
      <c r="AA104" s="423">
        <f t="shared" si="142"/>
        <v>0</v>
      </c>
      <c r="AB104" s="423">
        <f t="shared" si="143"/>
        <v>-23716</v>
      </c>
      <c r="AC104" s="423">
        <f t="shared" si="144"/>
        <v>22292</v>
      </c>
      <c r="AD104" s="423">
        <f t="shared" si="145"/>
        <v>-22423</v>
      </c>
      <c r="AE104" s="423">
        <f t="shared" si="146"/>
        <v>-48921</v>
      </c>
      <c r="AF104" s="423">
        <f t="shared" si="147"/>
        <v>15057</v>
      </c>
    </row>
    <row r="105" spans="1:32" outlineLevel="1">
      <c r="A105" s="418" t="s">
        <v>752</v>
      </c>
      <c r="B105" s="418" t="s">
        <v>753</v>
      </c>
      <c r="D105" s="423">
        <v>0</v>
      </c>
      <c r="E105" s="423">
        <v>0</v>
      </c>
      <c r="F105" s="423">
        <v>0</v>
      </c>
      <c r="G105" s="423">
        <v>0</v>
      </c>
      <c r="H105" s="423">
        <v>0</v>
      </c>
      <c r="I105" s="423">
        <v>0</v>
      </c>
      <c r="J105" s="423">
        <v>0</v>
      </c>
      <c r="K105" s="423">
        <v>0</v>
      </c>
      <c r="L105" s="423">
        <v>0</v>
      </c>
      <c r="M105" s="423">
        <v>0</v>
      </c>
      <c r="N105" s="423">
        <v>0</v>
      </c>
      <c r="O105" s="423">
        <v>0</v>
      </c>
      <c r="P105" s="423">
        <v>0</v>
      </c>
      <c r="Q105" s="423">
        <v>0</v>
      </c>
      <c r="R105" s="423">
        <v>0</v>
      </c>
      <c r="S105" s="423">
        <v>0</v>
      </c>
      <c r="T105" s="423">
        <v>0</v>
      </c>
      <c r="U105" s="423">
        <v>0</v>
      </c>
      <c r="W105" s="423">
        <f t="shared" si="138"/>
        <v>0</v>
      </c>
      <c r="X105" s="423">
        <f t="shared" si="139"/>
        <v>0</v>
      </c>
      <c r="Y105" s="423">
        <f t="shared" si="140"/>
        <v>0</v>
      </c>
      <c r="Z105" s="423">
        <f t="shared" si="141"/>
        <v>0</v>
      </c>
      <c r="AA105" s="423">
        <f t="shared" si="142"/>
        <v>0</v>
      </c>
      <c r="AB105" s="423">
        <f t="shared" si="143"/>
        <v>0</v>
      </c>
      <c r="AC105" s="423">
        <f t="shared" si="144"/>
        <v>0</v>
      </c>
      <c r="AD105" s="423">
        <f t="shared" si="145"/>
        <v>0</v>
      </c>
      <c r="AE105" s="423">
        <f t="shared" si="146"/>
        <v>0</v>
      </c>
      <c r="AF105" s="423">
        <f t="shared" si="147"/>
        <v>0</v>
      </c>
    </row>
    <row r="106" spans="1:32" outlineLevel="1">
      <c r="A106" s="418" t="s">
        <v>754</v>
      </c>
      <c r="B106" s="418" t="s">
        <v>755</v>
      </c>
      <c r="D106" s="423">
        <v>-5535</v>
      </c>
      <c r="E106" s="423">
        <v>-13990</v>
      </c>
      <c r="F106" s="423">
        <v>-29078</v>
      </c>
      <c r="G106" s="423">
        <v>-38889</v>
      </c>
      <c r="H106" s="423">
        <v>-4256</v>
      </c>
      <c r="I106" s="423">
        <v>-8399</v>
      </c>
      <c r="J106" s="423">
        <v>-12012</v>
      </c>
      <c r="K106" s="423">
        <v>-29506</v>
      </c>
      <c r="L106" s="423">
        <v>-4870</v>
      </c>
      <c r="M106" s="423">
        <v>-9401</v>
      </c>
      <c r="N106" s="423">
        <v>-16502</v>
      </c>
      <c r="O106" s="423">
        <v>-21519</v>
      </c>
      <c r="P106" s="423">
        <v>-5483</v>
      </c>
      <c r="Q106" s="423">
        <v>-11580</v>
      </c>
      <c r="R106" s="423">
        <v>-17832</v>
      </c>
      <c r="S106" s="423">
        <v>-33222</v>
      </c>
      <c r="T106" s="423">
        <v>-4239</v>
      </c>
      <c r="U106" s="423">
        <v>-8995</v>
      </c>
      <c r="W106" s="423">
        <f t="shared" si="138"/>
        <v>-4870</v>
      </c>
      <c r="X106" s="423">
        <f t="shared" si="139"/>
        <v>-4531</v>
      </c>
      <c r="Y106" s="423">
        <f t="shared" si="140"/>
        <v>-7101</v>
      </c>
      <c r="Z106" s="423">
        <f t="shared" si="141"/>
        <v>-5017</v>
      </c>
      <c r="AA106" s="423">
        <f t="shared" si="142"/>
        <v>-5483</v>
      </c>
      <c r="AB106" s="423">
        <f t="shared" si="143"/>
        <v>-6097</v>
      </c>
      <c r="AC106" s="423">
        <f t="shared" si="144"/>
        <v>-6252</v>
      </c>
      <c r="AD106" s="423">
        <f t="shared" si="145"/>
        <v>-15390</v>
      </c>
      <c r="AE106" s="423">
        <f t="shared" si="146"/>
        <v>-4239</v>
      </c>
      <c r="AF106" s="423">
        <f t="shared" si="147"/>
        <v>-4756</v>
      </c>
    </row>
    <row r="107" spans="1:32" outlineLevel="1">
      <c r="A107" s="418" t="s">
        <v>756</v>
      </c>
      <c r="B107" s="418" t="s">
        <v>757</v>
      </c>
      <c r="D107" s="423">
        <v>-492</v>
      </c>
      <c r="E107" s="423">
        <v>-1385</v>
      </c>
      <c r="F107" s="423">
        <v>-2117</v>
      </c>
      <c r="G107" s="423">
        <v>-2830</v>
      </c>
      <c r="H107" s="423">
        <v>-1082</v>
      </c>
      <c r="I107" s="423">
        <v>-2480</v>
      </c>
      <c r="J107" s="423">
        <v>-3432</v>
      </c>
      <c r="K107" s="423">
        <v>-4157</v>
      </c>
      <c r="L107" s="423">
        <v>-694</v>
      </c>
      <c r="M107" s="423">
        <v>-1367</v>
      </c>
      <c r="N107" s="423">
        <v>-2226</v>
      </c>
      <c r="O107" s="423">
        <v>-2956</v>
      </c>
      <c r="P107" s="423">
        <v>-938</v>
      </c>
      <c r="Q107" s="423">
        <v>-1959</v>
      </c>
      <c r="R107" s="423">
        <v>-3101</v>
      </c>
      <c r="S107" s="423">
        <v>-4254</v>
      </c>
      <c r="T107" s="423">
        <v>-1117</v>
      </c>
      <c r="U107" s="423">
        <v>-2218</v>
      </c>
      <c r="W107" s="423">
        <f t="shared" si="138"/>
        <v>-694</v>
      </c>
      <c r="X107" s="423">
        <f t="shared" si="139"/>
        <v>-673</v>
      </c>
      <c r="Y107" s="423">
        <f t="shared" si="140"/>
        <v>-859</v>
      </c>
      <c r="Z107" s="423">
        <f t="shared" si="141"/>
        <v>-730</v>
      </c>
      <c r="AA107" s="423">
        <f t="shared" si="142"/>
        <v>-938</v>
      </c>
      <c r="AB107" s="423">
        <f t="shared" si="143"/>
        <v>-1021</v>
      </c>
      <c r="AC107" s="423">
        <f t="shared" si="144"/>
        <v>-1142</v>
      </c>
      <c r="AD107" s="423">
        <f t="shared" si="145"/>
        <v>-1153</v>
      </c>
      <c r="AE107" s="423">
        <f t="shared" si="146"/>
        <v>-1117</v>
      </c>
      <c r="AF107" s="423">
        <f t="shared" si="147"/>
        <v>-1101</v>
      </c>
    </row>
    <row r="108" spans="1:32" outlineLevel="1">
      <c r="A108" s="418" t="s">
        <v>758</v>
      </c>
      <c r="B108" s="418" t="s">
        <v>759</v>
      </c>
      <c r="D108" s="423">
        <v>0</v>
      </c>
      <c r="E108" s="423">
        <v>0</v>
      </c>
      <c r="F108" s="423">
        <v>0</v>
      </c>
      <c r="G108" s="423">
        <v>0</v>
      </c>
      <c r="H108" s="423">
        <v>0</v>
      </c>
      <c r="I108" s="423">
        <v>0</v>
      </c>
      <c r="J108" s="423">
        <v>0</v>
      </c>
      <c r="K108" s="423">
        <v>0</v>
      </c>
      <c r="L108" s="423">
        <v>0</v>
      </c>
      <c r="M108" s="423">
        <v>0</v>
      </c>
      <c r="N108" s="423">
        <v>0</v>
      </c>
      <c r="O108" s="423">
        <v>0</v>
      </c>
      <c r="P108" s="423">
        <v>0</v>
      </c>
      <c r="Q108" s="423">
        <v>0</v>
      </c>
      <c r="R108" s="423">
        <v>0</v>
      </c>
      <c r="S108" s="423">
        <v>0</v>
      </c>
      <c r="T108" s="423">
        <v>0</v>
      </c>
      <c r="U108" s="423">
        <v>-271594</v>
      </c>
      <c r="W108" s="423">
        <f t="shared" si="138"/>
        <v>0</v>
      </c>
      <c r="X108" s="423">
        <f t="shared" si="139"/>
        <v>0</v>
      </c>
      <c r="Y108" s="423">
        <f t="shared" si="140"/>
        <v>0</v>
      </c>
      <c r="Z108" s="423">
        <f t="shared" si="141"/>
        <v>0</v>
      </c>
      <c r="AA108" s="423">
        <f t="shared" si="142"/>
        <v>0</v>
      </c>
      <c r="AB108" s="423">
        <f t="shared" si="143"/>
        <v>0</v>
      </c>
      <c r="AC108" s="423">
        <f t="shared" si="144"/>
        <v>0</v>
      </c>
      <c r="AD108" s="423">
        <f t="shared" si="145"/>
        <v>0</v>
      </c>
      <c r="AE108" s="423">
        <f t="shared" si="146"/>
        <v>0</v>
      </c>
      <c r="AF108" s="423">
        <f t="shared" si="147"/>
        <v>-271594</v>
      </c>
    </row>
    <row r="109" spans="1:32" outlineLevel="1">
      <c r="A109" s="418" t="s">
        <v>760</v>
      </c>
      <c r="B109" s="418" t="s">
        <v>761</v>
      </c>
      <c r="D109" s="423">
        <v>-693</v>
      </c>
      <c r="E109" s="423">
        <v>-1329</v>
      </c>
      <c r="F109" s="423">
        <v>-2704</v>
      </c>
      <c r="G109" s="423">
        <v>-2337</v>
      </c>
      <c r="H109" s="423">
        <v>-503</v>
      </c>
      <c r="I109" s="423">
        <v>-816</v>
      </c>
      <c r="J109" s="423">
        <v>-1275</v>
      </c>
      <c r="K109" s="423">
        <v>-1784</v>
      </c>
      <c r="L109" s="423">
        <v>-269</v>
      </c>
      <c r="M109" s="423">
        <v>-710</v>
      </c>
      <c r="N109" s="423">
        <v>-1131</v>
      </c>
      <c r="O109" s="423">
        <v>-1685</v>
      </c>
      <c r="P109" s="423">
        <v>-474</v>
      </c>
      <c r="Q109" s="423">
        <v>-902</v>
      </c>
      <c r="R109" s="423">
        <v>-1081</v>
      </c>
      <c r="S109" s="423">
        <v>-1076</v>
      </c>
      <c r="T109" s="423">
        <v>-8</v>
      </c>
      <c r="U109" s="423">
        <v>-473</v>
      </c>
      <c r="W109" s="423">
        <f t="shared" si="138"/>
        <v>-269</v>
      </c>
      <c r="X109" s="423">
        <f t="shared" si="139"/>
        <v>-441</v>
      </c>
      <c r="Y109" s="423">
        <f t="shared" si="140"/>
        <v>-421</v>
      </c>
      <c r="Z109" s="423">
        <f t="shared" si="141"/>
        <v>-554</v>
      </c>
      <c r="AA109" s="423">
        <f t="shared" si="142"/>
        <v>-474</v>
      </c>
      <c r="AB109" s="423">
        <f t="shared" si="143"/>
        <v>-428</v>
      </c>
      <c r="AC109" s="423">
        <f t="shared" si="144"/>
        <v>-179</v>
      </c>
      <c r="AD109" s="423">
        <f t="shared" si="145"/>
        <v>5</v>
      </c>
      <c r="AE109" s="423">
        <f t="shared" si="146"/>
        <v>-8</v>
      </c>
      <c r="AF109" s="423">
        <f t="shared" si="147"/>
        <v>-465</v>
      </c>
    </row>
    <row r="110" spans="1:32" outlineLevel="1">
      <c r="A110" s="418" t="s">
        <v>762</v>
      </c>
      <c r="B110" s="418" t="s">
        <v>763</v>
      </c>
      <c r="D110" s="423">
        <v>-10898</v>
      </c>
      <c r="E110" s="423">
        <v>-31120</v>
      </c>
      <c r="F110" s="423">
        <v>-41067</v>
      </c>
      <c r="G110" s="423">
        <v>-49930</v>
      </c>
      <c r="H110" s="423">
        <v>-24678</v>
      </c>
      <c r="I110" s="423">
        <v>-47902</v>
      </c>
      <c r="J110" s="423">
        <v>-70249</v>
      </c>
      <c r="K110" s="423">
        <v>-98645</v>
      </c>
      <c r="L110" s="423">
        <v>-20216</v>
      </c>
      <c r="M110" s="423">
        <v>-38580</v>
      </c>
      <c r="N110" s="423">
        <v>-52623</v>
      </c>
      <c r="O110" s="423">
        <v>-62646</v>
      </c>
      <c r="P110" s="423">
        <v>-19822</v>
      </c>
      <c r="Q110" s="423">
        <v>-32439</v>
      </c>
      <c r="R110" s="423">
        <v>-65719</v>
      </c>
      <c r="S110" s="423">
        <v>-244176</v>
      </c>
      <c r="T110" s="423">
        <v>-16050</v>
      </c>
      <c r="U110" s="423">
        <v>-29622</v>
      </c>
      <c r="W110" s="423">
        <f t="shared" si="138"/>
        <v>-20216</v>
      </c>
      <c r="X110" s="423">
        <f t="shared" si="139"/>
        <v>-18364</v>
      </c>
      <c r="Y110" s="423">
        <f t="shared" si="140"/>
        <v>-14043</v>
      </c>
      <c r="Z110" s="423">
        <f t="shared" si="141"/>
        <v>-10023</v>
      </c>
      <c r="AA110" s="423">
        <f t="shared" si="142"/>
        <v>-19822</v>
      </c>
      <c r="AB110" s="423">
        <f t="shared" si="143"/>
        <v>-12617</v>
      </c>
      <c r="AC110" s="423">
        <f t="shared" si="144"/>
        <v>-33280</v>
      </c>
      <c r="AD110" s="423">
        <f t="shared" si="145"/>
        <v>-178457</v>
      </c>
      <c r="AE110" s="423">
        <f t="shared" si="146"/>
        <v>-16050</v>
      </c>
      <c r="AF110" s="423">
        <f t="shared" si="147"/>
        <v>-13572</v>
      </c>
    </row>
    <row r="111" spans="1:32">
      <c r="A111" s="417"/>
      <c r="B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</row>
    <row r="112" spans="1:32">
      <c r="A112" s="429" t="s">
        <v>764</v>
      </c>
      <c r="B112" s="429" t="s">
        <v>765</v>
      </c>
      <c r="D112" s="420">
        <f t="shared" ref="D112:I112" si="148">D86+D88</f>
        <v>70806</v>
      </c>
      <c r="E112" s="420">
        <f t="shared" si="148"/>
        <v>102434</v>
      </c>
      <c r="F112" s="420">
        <f t="shared" si="148"/>
        <v>191294</v>
      </c>
      <c r="G112" s="420">
        <f t="shared" si="148"/>
        <v>254602</v>
      </c>
      <c r="H112" s="420">
        <f t="shared" si="148"/>
        <v>32808</v>
      </c>
      <c r="I112" s="420">
        <f t="shared" si="148"/>
        <v>119888</v>
      </c>
      <c r="J112" s="420">
        <f t="shared" ref="J112:T112" si="149">J86+J88</f>
        <v>194456</v>
      </c>
      <c r="K112" s="420">
        <f t="shared" si="149"/>
        <v>293790</v>
      </c>
      <c r="L112" s="420">
        <f t="shared" si="149"/>
        <v>74939</v>
      </c>
      <c r="M112" s="420">
        <f t="shared" si="149"/>
        <v>174287</v>
      </c>
      <c r="N112" s="420">
        <f t="shared" si="149"/>
        <v>303595</v>
      </c>
      <c r="O112" s="420">
        <f t="shared" si="149"/>
        <v>371809</v>
      </c>
      <c r="P112" s="420">
        <f t="shared" si="149"/>
        <v>53482</v>
      </c>
      <c r="Q112" s="420">
        <f t="shared" si="149"/>
        <v>190301</v>
      </c>
      <c r="R112" s="420">
        <f t="shared" si="149"/>
        <v>323320</v>
      </c>
      <c r="S112" s="420">
        <f t="shared" si="149"/>
        <v>619363</v>
      </c>
      <c r="T112" s="420">
        <f t="shared" si="149"/>
        <v>98358</v>
      </c>
      <c r="U112" s="741">
        <f>U86+U88</f>
        <v>234140</v>
      </c>
      <c r="W112" s="420">
        <f t="shared" ref="W112:AC112" si="150">W86+W88</f>
        <v>74939</v>
      </c>
      <c r="X112" s="420">
        <f t="shared" si="150"/>
        <v>99348</v>
      </c>
      <c r="Y112" s="420">
        <f t="shared" si="150"/>
        <v>129308</v>
      </c>
      <c r="Z112" s="420">
        <f t="shared" si="150"/>
        <v>68214</v>
      </c>
      <c r="AA112" s="420">
        <f t="shared" si="150"/>
        <v>53482</v>
      </c>
      <c r="AB112" s="420">
        <f t="shared" si="150"/>
        <v>136819</v>
      </c>
      <c r="AC112" s="420">
        <f t="shared" si="150"/>
        <v>133019</v>
      </c>
      <c r="AD112" s="420">
        <f t="shared" ref="AD112:AE112" si="151">AD86+AD88</f>
        <v>296043</v>
      </c>
      <c r="AE112" s="420">
        <f t="shared" si="151"/>
        <v>98358</v>
      </c>
      <c r="AF112" s="741">
        <f>AF86+AF88</f>
        <v>304470</v>
      </c>
    </row>
    <row r="114" spans="1:32">
      <c r="A114" s="416" t="s">
        <v>766</v>
      </c>
      <c r="B114" s="416" t="s">
        <v>767</v>
      </c>
      <c r="D114" s="424">
        <f t="shared" ref="D114:J114" si="152">SUM(D116:D119)</f>
        <v>-3286</v>
      </c>
      <c r="E114" s="424">
        <f t="shared" si="152"/>
        <v>-15154</v>
      </c>
      <c r="F114" s="424">
        <f t="shared" si="152"/>
        <v>-32238</v>
      </c>
      <c r="G114" s="424">
        <f t="shared" si="152"/>
        <v>-29344</v>
      </c>
      <c r="H114" s="424">
        <f t="shared" si="152"/>
        <v>-3836</v>
      </c>
      <c r="I114" s="424">
        <f t="shared" si="152"/>
        <v>-17360</v>
      </c>
      <c r="J114" s="424">
        <f t="shared" si="152"/>
        <v>-30042</v>
      </c>
      <c r="K114" s="424">
        <f t="shared" ref="K114:T114" si="153">SUM(K116:K119)</f>
        <v>-39019</v>
      </c>
      <c r="L114" s="424">
        <f t="shared" si="153"/>
        <v>-10121</v>
      </c>
      <c r="M114" s="424">
        <f t="shared" si="153"/>
        <v>-43450</v>
      </c>
      <c r="N114" s="424">
        <f t="shared" si="153"/>
        <v>-66264</v>
      </c>
      <c r="O114" s="424">
        <f t="shared" si="153"/>
        <v>-7717</v>
      </c>
      <c r="P114" s="424">
        <f t="shared" si="153"/>
        <v>-6620</v>
      </c>
      <c r="Q114" s="424">
        <f t="shared" si="153"/>
        <v>-47602</v>
      </c>
      <c r="R114" s="424">
        <f t="shared" si="153"/>
        <v>-82589</v>
      </c>
      <c r="S114" s="424">
        <f t="shared" si="153"/>
        <v>-104099</v>
      </c>
      <c r="T114" s="424">
        <f t="shared" si="153"/>
        <v>-65312</v>
      </c>
      <c r="U114" s="424">
        <f>SUM(U116:U119)</f>
        <v>-89651</v>
      </c>
      <c r="W114" s="424">
        <f t="shared" ref="W114:AC114" si="154">SUM(W116:W119)</f>
        <v>-10121</v>
      </c>
      <c r="X114" s="424">
        <f t="shared" si="154"/>
        <v>-33329</v>
      </c>
      <c r="Y114" s="424">
        <f t="shared" si="154"/>
        <v>-22814</v>
      </c>
      <c r="Z114" s="424">
        <f t="shared" si="154"/>
        <v>58547</v>
      </c>
      <c r="AA114" s="424">
        <f t="shared" si="154"/>
        <v>-6620</v>
      </c>
      <c r="AB114" s="424">
        <f t="shared" si="154"/>
        <v>-40982</v>
      </c>
      <c r="AC114" s="424">
        <f t="shared" si="154"/>
        <v>-34987</v>
      </c>
      <c r="AD114" s="424">
        <f t="shared" ref="AD114:AE114" si="155">SUM(AD116:AD119)</f>
        <v>-21510</v>
      </c>
      <c r="AE114" s="424">
        <f t="shared" si="155"/>
        <v>-65312</v>
      </c>
      <c r="AF114" s="424">
        <f>SUM(AF116:AF119)</f>
        <v>-24339</v>
      </c>
    </row>
    <row r="115" spans="1:32">
      <c r="A115" s="417"/>
      <c r="B115" s="417"/>
      <c r="D115" s="417"/>
      <c r="E115" s="417"/>
      <c r="F115" s="417"/>
      <c r="G115" s="417"/>
      <c r="H115" s="417"/>
      <c r="I115" s="417"/>
      <c r="J115" s="417"/>
      <c r="K115" s="417"/>
      <c r="L115" s="417"/>
      <c r="M115" s="417"/>
      <c r="N115" s="417"/>
      <c r="P115" s="417"/>
      <c r="Q115" s="417"/>
      <c r="R115" s="417"/>
      <c r="S115" s="417"/>
      <c r="T115" s="417"/>
      <c r="U115" s="417"/>
      <c r="W115" s="417"/>
      <c r="X115" s="417"/>
      <c r="Y115" s="417"/>
      <c r="AA115" s="417"/>
      <c r="AB115" s="417"/>
      <c r="AC115" s="417"/>
      <c r="AD115" s="417"/>
      <c r="AE115" s="417"/>
      <c r="AF115" s="417"/>
    </row>
    <row r="116" spans="1:32">
      <c r="A116" s="417" t="s">
        <v>768</v>
      </c>
      <c r="B116" s="417" t="s">
        <v>769</v>
      </c>
      <c r="D116" s="425">
        <v>-10609</v>
      </c>
      <c r="E116" s="425">
        <v>-13348</v>
      </c>
      <c r="F116" s="425">
        <v>-18690</v>
      </c>
      <c r="G116" s="425">
        <v>-22549</v>
      </c>
      <c r="H116" s="425">
        <v>-4491</v>
      </c>
      <c r="I116" s="425">
        <v>-11131</v>
      </c>
      <c r="J116" s="425">
        <v>-15998</v>
      </c>
      <c r="K116" s="425">
        <v>-19073</v>
      </c>
      <c r="L116" s="425">
        <v>-4785</v>
      </c>
      <c r="M116" s="425">
        <v>-4044</v>
      </c>
      <c r="N116" s="425">
        <v>-13647</v>
      </c>
      <c r="O116" s="425">
        <v>-10970</v>
      </c>
      <c r="P116" s="425">
        <v>-13204</v>
      </c>
      <c r="Q116" s="425">
        <v>-18106</v>
      </c>
      <c r="R116" s="425">
        <v>-28076</v>
      </c>
      <c r="S116" s="425">
        <v>-58555</v>
      </c>
      <c r="T116" s="425">
        <v>-5539</v>
      </c>
      <c r="U116" s="756">
        <v>-12049</v>
      </c>
      <c r="W116" s="425">
        <f>L116</f>
        <v>-4785</v>
      </c>
      <c r="X116" s="425">
        <f>M116-W116</f>
        <v>741</v>
      </c>
      <c r="Y116" s="425">
        <f t="shared" ref="Y116:Z119" si="156">N116-M116</f>
        <v>-9603</v>
      </c>
      <c r="Z116" s="425">
        <f t="shared" si="156"/>
        <v>2677</v>
      </c>
      <c r="AA116" s="425">
        <f>P116</f>
        <v>-13204</v>
      </c>
      <c r="AB116" s="425">
        <f>Q116-AA116</f>
        <v>-4902</v>
      </c>
      <c r="AC116" s="425">
        <f t="shared" ref="AC116:AD119" si="157">R116-Q116</f>
        <v>-9970</v>
      </c>
      <c r="AD116" s="425">
        <f t="shared" si="157"/>
        <v>-30479</v>
      </c>
      <c r="AE116" s="425">
        <f>T116</f>
        <v>-5539</v>
      </c>
      <c r="AF116" s="756">
        <f>U116-T116</f>
        <v>-6510</v>
      </c>
    </row>
    <row r="117" spans="1:32">
      <c r="A117" s="417" t="s">
        <v>770</v>
      </c>
      <c r="B117" s="417" t="s">
        <v>771</v>
      </c>
      <c r="D117" s="425">
        <v>-29620</v>
      </c>
      <c r="E117" s="425">
        <v>-37195</v>
      </c>
      <c r="F117" s="425">
        <v>-52406</v>
      </c>
      <c r="G117" s="425">
        <v>-63552</v>
      </c>
      <c r="H117" s="425">
        <v>-12586</v>
      </c>
      <c r="I117" s="425">
        <v>-31222</v>
      </c>
      <c r="J117" s="425">
        <v>-44924</v>
      </c>
      <c r="K117" s="425">
        <v>-59132</v>
      </c>
      <c r="L117" s="425">
        <v>-15679</v>
      </c>
      <c r="M117" s="425">
        <v>-16255</v>
      </c>
      <c r="N117" s="425">
        <v>-37868</v>
      </c>
      <c r="O117" s="425">
        <v>-77160</v>
      </c>
      <c r="P117" s="425">
        <v>-36639</v>
      </c>
      <c r="Q117" s="425">
        <v>-50202</v>
      </c>
      <c r="R117" s="425">
        <v>-76966</v>
      </c>
      <c r="S117" s="425">
        <v>-161394</v>
      </c>
      <c r="T117" s="425">
        <v>-15412</v>
      </c>
      <c r="U117" s="756">
        <v>-33285</v>
      </c>
      <c r="W117" s="425">
        <f>L117</f>
        <v>-15679</v>
      </c>
      <c r="X117" s="425">
        <f>M117-W117</f>
        <v>-576</v>
      </c>
      <c r="Y117" s="425">
        <f t="shared" si="156"/>
        <v>-21613</v>
      </c>
      <c r="Z117" s="425">
        <f t="shared" si="156"/>
        <v>-39292</v>
      </c>
      <c r="AA117" s="425">
        <f>P117</f>
        <v>-36639</v>
      </c>
      <c r="AB117" s="425">
        <f>Q117-AA117</f>
        <v>-13563</v>
      </c>
      <c r="AC117" s="425">
        <f t="shared" si="157"/>
        <v>-26764</v>
      </c>
      <c r="AD117" s="425">
        <f t="shared" si="157"/>
        <v>-84428</v>
      </c>
      <c r="AE117" s="425">
        <f>T117</f>
        <v>-15412</v>
      </c>
      <c r="AF117" s="756">
        <f>U117-T117</f>
        <v>-17873</v>
      </c>
    </row>
    <row r="118" spans="1:32">
      <c r="A118" s="417" t="s">
        <v>772</v>
      </c>
      <c r="B118" s="417" t="s">
        <v>773</v>
      </c>
      <c r="D118" s="425">
        <v>12873</v>
      </c>
      <c r="E118" s="425">
        <v>20358</v>
      </c>
      <c r="F118" s="425">
        <v>34429</v>
      </c>
      <c r="G118" s="425">
        <v>52060</v>
      </c>
      <c r="H118" s="425">
        <v>8602</v>
      </c>
      <c r="I118" s="425">
        <v>25307</v>
      </c>
      <c r="J118" s="425">
        <v>38395</v>
      </c>
      <c r="K118" s="425">
        <v>57972</v>
      </c>
      <c r="L118" s="425">
        <v>15679</v>
      </c>
      <c r="M118" s="425">
        <v>16255</v>
      </c>
      <c r="N118" s="425">
        <v>37793</v>
      </c>
      <c r="O118" s="425">
        <v>75727</v>
      </c>
      <c r="P118" s="425">
        <v>11775</v>
      </c>
      <c r="Q118" s="425">
        <v>17898</v>
      </c>
      <c r="R118" s="425">
        <v>28550</v>
      </c>
      <c r="S118" s="425">
        <v>107607</v>
      </c>
      <c r="T118" s="425">
        <v>7839</v>
      </c>
      <c r="U118" s="756">
        <v>29819</v>
      </c>
      <c r="W118" s="425">
        <f>L118</f>
        <v>15679</v>
      </c>
      <c r="X118" s="425">
        <f>M118-W118</f>
        <v>576</v>
      </c>
      <c r="Y118" s="425">
        <f t="shared" si="156"/>
        <v>21538</v>
      </c>
      <c r="Z118" s="425">
        <f t="shared" si="156"/>
        <v>37934</v>
      </c>
      <c r="AA118" s="425">
        <f>P118</f>
        <v>11775</v>
      </c>
      <c r="AB118" s="425">
        <f>Q118-AA118</f>
        <v>6123</v>
      </c>
      <c r="AC118" s="425">
        <f t="shared" si="157"/>
        <v>10652</v>
      </c>
      <c r="AD118" s="425">
        <f t="shared" si="157"/>
        <v>79057</v>
      </c>
      <c r="AE118" s="425">
        <f>T118</f>
        <v>7839</v>
      </c>
      <c r="AF118" s="756">
        <f>U118-T118</f>
        <v>21980</v>
      </c>
    </row>
    <row r="119" spans="1:32">
      <c r="A119" s="417" t="s">
        <v>774</v>
      </c>
      <c r="B119" s="417" t="s">
        <v>775</v>
      </c>
      <c r="D119" s="425">
        <v>24070</v>
      </c>
      <c r="E119" s="425">
        <v>15031</v>
      </c>
      <c r="F119" s="425">
        <v>4429</v>
      </c>
      <c r="G119" s="425">
        <v>4697</v>
      </c>
      <c r="H119" s="425">
        <v>4639</v>
      </c>
      <c r="I119" s="425">
        <v>-314</v>
      </c>
      <c r="J119" s="425">
        <v>-7515</v>
      </c>
      <c r="K119" s="425">
        <v>-18786</v>
      </c>
      <c r="L119" s="425">
        <v>-5336</v>
      </c>
      <c r="M119" s="425">
        <v>-39406</v>
      </c>
      <c r="N119" s="425">
        <v>-52542</v>
      </c>
      <c r="O119" s="425">
        <v>4686</v>
      </c>
      <c r="P119" s="425">
        <v>31448</v>
      </c>
      <c r="Q119" s="425">
        <v>2808</v>
      </c>
      <c r="R119" s="425">
        <v>-6097</v>
      </c>
      <c r="S119" s="425">
        <v>8243</v>
      </c>
      <c r="T119" s="425">
        <v>-52200</v>
      </c>
      <c r="U119" s="756">
        <v>-74136</v>
      </c>
      <c r="W119" s="425">
        <f>L119</f>
        <v>-5336</v>
      </c>
      <c r="X119" s="425">
        <f>M119-W119</f>
        <v>-34070</v>
      </c>
      <c r="Y119" s="425">
        <f t="shared" si="156"/>
        <v>-13136</v>
      </c>
      <c r="Z119" s="425">
        <f t="shared" si="156"/>
        <v>57228</v>
      </c>
      <c r="AA119" s="425">
        <f>P119</f>
        <v>31448</v>
      </c>
      <c r="AB119" s="425">
        <f>Q119-AA119</f>
        <v>-28640</v>
      </c>
      <c r="AC119" s="425">
        <f t="shared" si="157"/>
        <v>-8905</v>
      </c>
      <c r="AD119" s="425">
        <f t="shared" si="157"/>
        <v>14340</v>
      </c>
      <c r="AE119" s="425">
        <f>T119</f>
        <v>-52200</v>
      </c>
      <c r="AF119" s="756">
        <f>U119-T119</f>
        <v>-21936</v>
      </c>
    </row>
    <row r="120" spans="1:32">
      <c r="A120" s="417"/>
      <c r="B120" s="417"/>
      <c r="D120" s="417"/>
      <c r="E120" s="417"/>
      <c r="F120" s="417"/>
      <c r="G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</row>
    <row r="121" spans="1:32" ht="15" thickBot="1">
      <c r="A121" s="430" t="s">
        <v>776</v>
      </c>
      <c r="B121" s="430" t="s">
        <v>777</v>
      </c>
      <c r="D121" s="426">
        <f t="shared" ref="D121:K121" si="158">D112+D114</f>
        <v>67520</v>
      </c>
      <c r="E121" s="426">
        <f t="shared" si="158"/>
        <v>87280</v>
      </c>
      <c r="F121" s="426">
        <f t="shared" si="158"/>
        <v>159056</v>
      </c>
      <c r="G121" s="426">
        <f t="shared" si="158"/>
        <v>225258</v>
      </c>
      <c r="H121" s="426">
        <f t="shared" si="158"/>
        <v>28972</v>
      </c>
      <c r="I121" s="426">
        <f t="shared" si="158"/>
        <v>102528</v>
      </c>
      <c r="J121" s="426">
        <f t="shared" si="158"/>
        <v>164414</v>
      </c>
      <c r="K121" s="426">
        <f t="shared" si="158"/>
        <v>254771</v>
      </c>
      <c r="L121" s="426">
        <f t="shared" ref="L121:T121" si="159">L112+L114</f>
        <v>64818</v>
      </c>
      <c r="M121" s="426">
        <f t="shared" si="159"/>
        <v>130837</v>
      </c>
      <c r="N121" s="426">
        <f t="shared" si="159"/>
        <v>237331</v>
      </c>
      <c r="O121" s="426">
        <f t="shared" si="159"/>
        <v>364092</v>
      </c>
      <c r="P121" s="426">
        <f t="shared" si="159"/>
        <v>46862</v>
      </c>
      <c r="Q121" s="426">
        <f t="shared" si="159"/>
        <v>142699</v>
      </c>
      <c r="R121" s="426">
        <f t="shared" si="159"/>
        <v>240731</v>
      </c>
      <c r="S121" s="426">
        <f t="shared" si="159"/>
        <v>515264</v>
      </c>
      <c r="T121" s="426">
        <f t="shared" si="159"/>
        <v>33046</v>
      </c>
      <c r="U121" s="426">
        <f>U112+U114</f>
        <v>144489</v>
      </c>
      <c r="W121" s="426">
        <f t="shared" ref="W121:AC121" si="160">W112+W114</f>
        <v>64818</v>
      </c>
      <c r="X121" s="426">
        <f t="shared" si="160"/>
        <v>66019</v>
      </c>
      <c r="Y121" s="426">
        <f t="shared" si="160"/>
        <v>106494</v>
      </c>
      <c r="Z121" s="426">
        <f t="shared" si="160"/>
        <v>126761</v>
      </c>
      <c r="AA121" s="426">
        <f t="shared" si="160"/>
        <v>46862</v>
      </c>
      <c r="AB121" s="426">
        <f t="shared" si="160"/>
        <v>95837</v>
      </c>
      <c r="AC121" s="426">
        <f t="shared" si="160"/>
        <v>98032</v>
      </c>
      <c r="AD121" s="426">
        <f t="shared" ref="AD121:AE121" si="161">AD112+AD114</f>
        <v>274533</v>
      </c>
      <c r="AE121" s="426">
        <f t="shared" si="161"/>
        <v>33046</v>
      </c>
      <c r="AF121" s="426">
        <f>AF112+AF114</f>
        <v>280131</v>
      </c>
    </row>
    <row r="122" spans="1:32" ht="15" thickTop="1">
      <c r="A122" s="417"/>
      <c r="B122" s="417"/>
      <c r="D122" s="417"/>
      <c r="E122" s="417"/>
      <c r="F122" s="417"/>
      <c r="G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S122" s="417"/>
      <c r="T122" s="417"/>
      <c r="U122" s="417"/>
      <c r="W122" s="417"/>
      <c r="X122" s="417"/>
      <c r="Y122" s="417"/>
      <c r="Z122" s="417"/>
      <c r="AA122" s="417"/>
      <c r="AB122" s="417"/>
      <c r="AC122" s="417"/>
      <c r="AD122" s="417"/>
      <c r="AE122" s="417"/>
      <c r="AF122" s="417"/>
    </row>
    <row r="123" spans="1:32">
      <c r="A123" s="416" t="s">
        <v>778</v>
      </c>
      <c r="B123" s="416" t="s">
        <v>779</v>
      </c>
      <c r="D123" s="425"/>
      <c r="E123" s="425"/>
      <c r="F123" s="425"/>
      <c r="G123" s="425"/>
      <c r="H123" s="425"/>
      <c r="I123" s="425"/>
      <c r="J123" s="425"/>
      <c r="K123" s="425"/>
      <c r="L123" s="425"/>
      <c r="M123" s="425"/>
      <c r="N123" s="425"/>
      <c r="O123" s="425"/>
      <c r="P123" s="425"/>
      <c r="Q123" s="425"/>
      <c r="R123" s="425"/>
      <c r="S123" s="425"/>
      <c r="T123" s="425"/>
      <c r="U123" s="756"/>
      <c r="W123" s="425"/>
      <c r="X123" s="425"/>
      <c r="Y123" s="425"/>
      <c r="Z123" s="425"/>
      <c r="AA123" s="425"/>
      <c r="AB123" s="425"/>
      <c r="AC123" s="425"/>
      <c r="AD123" s="425"/>
      <c r="AE123" s="425"/>
      <c r="AF123" s="756"/>
    </row>
    <row r="124" spans="1:32">
      <c r="A124" s="417" t="s">
        <v>780</v>
      </c>
      <c r="B124" s="417" t="s">
        <v>781</v>
      </c>
      <c r="D124" s="425">
        <f t="shared" ref="D124:J124" si="162">D121-D125</f>
        <v>64100.773885142757</v>
      </c>
      <c r="E124" s="425">
        <f t="shared" si="162"/>
        <v>82860.12358849615</v>
      </c>
      <c r="F124" s="425">
        <f t="shared" si="162"/>
        <v>151001.37279436117</v>
      </c>
      <c r="G124" s="425">
        <f t="shared" si="162"/>
        <v>213850.89045941184</v>
      </c>
      <c r="H124" s="425">
        <f t="shared" si="162"/>
        <v>27504.852206758827</v>
      </c>
      <c r="I124" s="425">
        <f t="shared" si="162"/>
        <v>97335.961861610151</v>
      </c>
      <c r="J124" s="425">
        <f t="shared" si="162"/>
        <v>156088.04261777046</v>
      </c>
      <c r="K124" s="425">
        <f>K121-K125</f>
        <v>241869.34631948618</v>
      </c>
      <c r="L124" s="425">
        <v>61536</v>
      </c>
      <c r="M124" s="425">
        <v>124211</v>
      </c>
      <c r="N124" s="425">
        <v>224565</v>
      </c>
      <c r="O124" s="425">
        <v>345654</v>
      </c>
      <c r="P124" s="425">
        <v>44489</v>
      </c>
      <c r="Q124" s="425">
        <v>135473</v>
      </c>
      <c r="R124" s="425">
        <v>228540</v>
      </c>
      <c r="S124" s="425">
        <v>489171</v>
      </c>
      <c r="T124" s="425">
        <v>31375</v>
      </c>
      <c r="U124" s="756">
        <v>137172</v>
      </c>
      <c r="W124" s="425">
        <f>L124</f>
        <v>61536</v>
      </c>
      <c r="X124" s="425">
        <f>M124-W124</f>
        <v>62675</v>
      </c>
      <c r="Y124" s="425">
        <f>N124-M124</f>
        <v>100354</v>
      </c>
      <c r="Z124" s="425">
        <f>O124-N124</f>
        <v>121089</v>
      </c>
      <c r="AA124" s="425">
        <f>P124</f>
        <v>44489</v>
      </c>
      <c r="AB124" s="425">
        <f>Q124-AA124</f>
        <v>90984</v>
      </c>
      <c r="AC124" s="425">
        <f>R124-Q124</f>
        <v>93067</v>
      </c>
      <c r="AD124" s="425">
        <f>S124-R124</f>
        <v>260631</v>
      </c>
      <c r="AE124" s="425">
        <f>T124</f>
        <v>31375</v>
      </c>
      <c r="AF124" s="756">
        <f>U124-T124</f>
        <v>105797</v>
      </c>
    </row>
    <row r="125" spans="1:32">
      <c r="A125" s="417" t="s">
        <v>782</v>
      </c>
      <c r="B125" s="417" t="s">
        <v>783</v>
      </c>
      <c r="D125" s="425">
        <f t="shared" ref="D125:J125" si="163">D121*D130</f>
        <v>3419.2261148572397</v>
      </c>
      <c r="E125" s="425">
        <f t="shared" si="163"/>
        <v>4419.8764115038493</v>
      </c>
      <c r="F125" s="425">
        <f t="shared" si="163"/>
        <v>8054.6272056388198</v>
      </c>
      <c r="G125" s="425">
        <f t="shared" si="163"/>
        <v>11407.109540588153</v>
      </c>
      <c r="H125" s="425">
        <f t="shared" si="163"/>
        <v>1467.1477932411722</v>
      </c>
      <c r="I125" s="425">
        <f t="shared" si="163"/>
        <v>5192.0381383898557</v>
      </c>
      <c r="J125" s="425">
        <f t="shared" si="163"/>
        <v>8325.9573822295351</v>
      </c>
      <c r="K125" s="425">
        <f>K121*K130</f>
        <v>12901.653680513829</v>
      </c>
      <c r="L125" s="425">
        <v>3282</v>
      </c>
      <c r="M125" s="425">
        <v>6626</v>
      </c>
      <c r="N125" s="425">
        <v>11981</v>
      </c>
      <c r="O125" s="425">
        <v>18438</v>
      </c>
      <c r="P125" s="425">
        <v>2373</v>
      </c>
      <c r="Q125" s="425">
        <v>7226</v>
      </c>
      <c r="R125" s="425">
        <v>12191</v>
      </c>
      <c r="S125" s="425">
        <v>26093</v>
      </c>
      <c r="T125" s="425">
        <v>1671</v>
      </c>
      <c r="U125" s="756">
        <v>7317</v>
      </c>
      <c r="W125" s="425">
        <f>L125</f>
        <v>3282</v>
      </c>
      <c r="X125" s="425">
        <f>M125-W125</f>
        <v>3344</v>
      </c>
      <c r="Y125" s="425">
        <f>N125-M125</f>
        <v>5355</v>
      </c>
      <c r="Z125" s="425">
        <f>O125-N125</f>
        <v>6457</v>
      </c>
      <c r="AA125" s="425">
        <f>P125</f>
        <v>2373</v>
      </c>
      <c r="AB125" s="425">
        <f>Q125-AA125</f>
        <v>4853</v>
      </c>
      <c r="AC125" s="425">
        <f>R125-Q125</f>
        <v>4965</v>
      </c>
      <c r="AD125" s="425">
        <f>S125-R125</f>
        <v>13902</v>
      </c>
      <c r="AE125" s="425">
        <f>T125</f>
        <v>1671</v>
      </c>
      <c r="AF125" s="756">
        <f>U125-T125</f>
        <v>5646</v>
      </c>
    </row>
    <row r="126" spans="1:32">
      <c r="A126" s="417"/>
      <c r="B126" s="417"/>
      <c r="D126" s="417"/>
      <c r="E126" s="417"/>
      <c r="F126" s="417"/>
      <c r="G126" s="417"/>
      <c r="H126" s="417"/>
      <c r="I126" s="417"/>
      <c r="J126" s="417"/>
      <c r="K126" s="417"/>
      <c r="L126" s="417"/>
      <c r="M126" s="417"/>
      <c r="N126" s="417"/>
      <c r="P126" s="417"/>
      <c r="Q126" s="417"/>
      <c r="R126" s="417"/>
      <c r="S126" s="417"/>
      <c r="T126" s="417"/>
      <c r="U126" s="417"/>
      <c r="W126" s="417"/>
      <c r="X126" s="417"/>
      <c r="Y126" s="417"/>
      <c r="Z126" s="417"/>
      <c r="AA126" s="417"/>
      <c r="AB126" s="417"/>
      <c r="AC126" s="417"/>
      <c r="AD126" s="417"/>
      <c r="AE126" s="417"/>
      <c r="AF126" s="417"/>
    </row>
    <row r="127" spans="1:32" ht="15" thickBot="1">
      <c r="A127" s="430" t="s">
        <v>776</v>
      </c>
      <c r="B127" s="430" t="s">
        <v>784</v>
      </c>
      <c r="D127" s="426">
        <f t="shared" ref="D127:J127" si="164">SUM(D124:D125)</f>
        <v>67520</v>
      </c>
      <c r="E127" s="426">
        <f t="shared" si="164"/>
        <v>87280</v>
      </c>
      <c r="F127" s="426">
        <f t="shared" si="164"/>
        <v>159056</v>
      </c>
      <c r="G127" s="426">
        <f t="shared" si="164"/>
        <v>225258</v>
      </c>
      <c r="H127" s="426">
        <f t="shared" si="164"/>
        <v>28972</v>
      </c>
      <c r="I127" s="426">
        <f t="shared" si="164"/>
        <v>102528</v>
      </c>
      <c r="J127" s="426">
        <f t="shared" si="164"/>
        <v>164414</v>
      </c>
      <c r="K127" s="426">
        <f t="shared" ref="K127:T127" si="165">SUM(K124:K125)</f>
        <v>254771</v>
      </c>
      <c r="L127" s="426">
        <f t="shared" si="165"/>
        <v>64818</v>
      </c>
      <c r="M127" s="426">
        <f t="shared" si="165"/>
        <v>130837</v>
      </c>
      <c r="N127" s="426">
        <f t="shared" si="165"/>
        <v>236546</v>
      </c>
      <c r="O127" s="426">
        <f t="shared" si="165"/>
        <v>364092</v>
      </c>
      <c r="P127" s="426">
        <f t="shared" si="165"/>
        <v>46862</v>
      </c>
      <c r="Q127" s="426">
        <f t="shared" si="165"/>
        <v>142699</v>
      </c>
      <c r="R127" s="426">
        <f t="shared" si="165"/>
        <v>240731</v>
      </c>
      <c r="S127" s="426">
        <f t="shared" si="165"/>
        <v>515264</v>
      </c>
      <c r="T127" s="426">
        <f t="shared" si="165"/>
        <v>33046</v>
      </c>
      <c r="U127" s="426">
        <f>SUM(U124:U125)</f>
        <v>144489</v>
      </c>
      <c r="W127" s="426">
        <f t="shared" ref="W127:AC127" si="166">SUM(W124:W125)</f>
        <v>64818</v>
      </c>
      <c r="X127" s="426">
        <f t="shared" si="166"/>
        <v>66019</v>
      </c>
      <c r="Y127" s="426">
        <f t="shared" si="166"/>
        <v>105709</v>
      </c>
      <c r="Z127" s="426">
        <f t="shared" si="166"/>
        <v>127546</v>
      </c>
      <c r="AA127" s="426">
        <f t="shared" si="166"/>
        <v>46862</v>
      </c>
      <c r="AB127" s="426">
        <f t="shared" si="166"/>
        <v>95837</v>
      </c>
      <c r="AC127" s="426">
        <f t="shared" si="166"/>
        <v>98032</v>
      </c>
      <c r="AD127" s="426">
        <f t="shared" ref="AD127:AE127" si="167">SUM(AD124:AD125)</f>
        <v>274533</v>
      </c>
      <c r="AE127" s="426">
        <f t="shared" si="167"/>
        <v>33046</v>
      </c>
      <c r="AF127" s="426">
        <f>SUM(AF124:AF125)</f>
        <v>111443</v>
      </c>
    </row>
    <row r="129" spans="1:32" s="432" customFormat="1" ht="10.199999999999999">
      <c r="A129" s="431" t="s">
        <v>785</v>
      </c>
      <c r="B129" s="431" t="s">
        <v>786</v>
      </c>
      <c r="D129" s="433">
        <v>0.94935980280128496</v>
      </c>
      <c r="E129" s="433">
        <v>0.94935980280128496</v>
      </c>
      <c r="F129" s="433">
        <v>0.94935980280128496</v>
      </c>
      <c r="G129" s="433">
        <v>0.94935980280128496</v>
      </c>
      <c r="H129" s="433">
        <v>0.94935980280128496</v>
      </c>
      <c r="I129" s="433">
        <v>0.94935980280128496</v>
      </c>
      <c r="J129" s="433">
        <v>0.94935980280128496</v>
      </c>
      <c r="K129" s="433">
        <v>0.94935980280128496</v>
      </c>
      <c r="L129" s="433">
        <v>0.94935980280128496</v>
      </c>
      <c r="M129" s="433">
        <v>0.94935980280128496</v>
      </c>
      <c r="N129" s="433">
        <f t="shared" ref="N129:Q130" si="168">M129</f>
        <v>0.94935980280128496</v>
      </c>
      <c r="O129" s="433">
        <f t="shared" si="168"/>
        <v>0.94935980280128496</v>
      </c>
      <c r="P129" s="433">
        <f t="shared" si="168"/>
        <v>0.94935980280128496</v>
      </c>
      <c r="Q129" s="433">
        <f t="shared" si="168"/>
        <v>0.94935980280128496</v>
      </c>
      <c r="R129" s="433">
        <f>Q129</f>
        <v>0.94935980280128496</v>
      </c>
      <c r="S129" s="433">
        <f t="shared" ref="S129:T130" si="169">R129</f>
        <v>0.94935980280128496</v>
      </c>
      <c r="T129" s="433">
        <f t="shared" si="169"/>
        <v>0.94935980280128496</v>
      </c>
      <c r="U129" s="433">
        <f>S129</f>
        <v>0.94935980280128496</v>
      </c>
      <c r="W129" s="433">
        <f>L129</f>
        <v>0.94935980280128496</v>
      </c>
      <c r="X129" s="433">
        <f>M129</f>
        <v>0.94935980280128496</v>
      </c>
      <c r="Y129" s="433">
        <f>X129</f>
        <v>0.94935980280128496</v>
      </c>
      <c r="Z129" s="433">
        <f>Y129</f>
        <v>0.94935980280128496</v>
      </c>
      <c r="AA129" s="433">
        <f>P129</f>
        <v>0.94935980280128496</v>
      </c>
      <c r="AB129" s="433">
        <f t="shared" ref="AB129:AD130" si="170">AA129</f>
        <v>0.94935980280128496</v>
      </c>
      <c r="AC129" s="433">
        <f t="shared" si="170"/>
        <v>0.94935980280128496</v>
      </c>
      <c r="AD129" s="433">
        <f t="shared" si="170"/>
        <v>0.94935980280128496</v>
      </c>
      <c r="AE129" s="433">
        <f>T129</f>
        <v>0.94935980280128496</v>
      </c>
      <c r="AF129" s="433">
        <f>U129</f>
        <v>0.94935980280128496</v>
      </c>
    </row>
    <row r="130" spans="1:32" s="432" customFormat="1" ht="10.199999999999999">
      <c r="A130" s="431" t="s">
        <v>787</v>
      </c>
      <c r="B130" s="431" t="s">
        <v>788</v>
      </c>
      <c r="D130" s="433">
        <v>5.0640197198715042E-2</v>
      </c>
      <c r="E130" s="433">
        <v>5.0640197198715042E-2</v>
      </c>
      <c r="F130" s="433">
        <v>5.0640197198715042E-2</v>
      </c>
      <c r="G130" s="433">
        <v>5.0640197198715042E-2</v>
      </c>
      <c r="H130" s="433">
        <v>5.0640197198715042E-2</v>
      </c>
      <c r="I130" s="433">
        <v>5.0640197198715042E-2</v>
      </c>
      <c r="J130" s="433">
        <v>5.0640197198715042E-2</v>
      </c>
      <c r="K130" s="433">
        <v>5.0640197198715042E-2</v>
      </c>
      <c r="L130" s="433">
        <v>5.0640197198715042E-2</v>
      </c>
      <c r="M130" s="433">
        <v>5.0640197198715042E-2</v>
      </c>
      <c r="N130" s="433">
        <f t="shared" si="168"/>
        <v>5.0640197198715042E-2</v>
      </c>
      <c r="O130" s="433">
        <f t="shared" si="168"/>
        <v>5.0640197198715042E-2</v>
      </c>
      <c r="P130" s="433">
        <f t="shared" si="168"/>
        <v>5.0640197198715042E-2</v>
      </c>
      <c r="Q130" s="433">
        <f t="shared" si="168"/>
        <v>5.0640197198715042E-2</v>
      </c>
      <c r="R130" s="433">
        <f>Q130</f>
        <v>5.0640197198715042E-2</v>
      </c>
      <c r="S130" s="433">
        <f t="shared" si="169"/>
        <v>5.0640197198715042E-2</v>
      </c>
      <c r="T130" s="433">
        <f t="shared" si="169"/>
        <v>5.0640197198715042E-2</v>
      </c>
      <c r="U130" s="433">
        <f>S130</f>
        <v>5.0640197198715042E-2</v>
      </c>
      <c r="W130" s="433">
        <f>L130</f>
        <v>5.0640197198715042E-2</v>
      </c>
      <c r="X130" s="433">
        <f>M130</f>
        <v>5.0640197198715042E-2</v>
      </c>
      <c r="Y130" s="433">
        <f>X130</f>
        <v>5.0640197198715042E-2</v>
      </c>
      <c r="Z130" s="433">
        <f>Y130</f>
        <v>5.0640197198715042E-2</v>
      </c>
      <c r="AA130" s="433">
        <f>P130</f>
        <v>5.0640197198715042E-2</v>
      </c>
      <c r="AB130" s="433">
        <f t="shared" si="170"/>
        <v>5.0640197198715042E-2</v>
      </c>
      <c r="AC130" s="433">
        <f t="shared" si="170"/>
        <v>5.0640197198715042E-2</v>
      </c>
      <c r="AD130" s="433">
        <f t="shared" si="170"/>
        <v>5.0640197198715042E-2</v>
      </c>
      <c r="AE130" s="433">
        <f>T130</f>
        <v>5.0640197198715042E-2</v>
      </c>
      <c r="AF130" s="433">
        <f>U130</f>
        <v>5.0640197198715042E-2</v>
      </c>
    </row>
  </sheetData>
  <pageMargins left="0.511811024" right="0.511811024" top="0.78740157499999996" bottom="0.78740157499999996" header="0.31496062000000002" footer="0.31496062000000002"/>
  <ignoredErrors>
    <ignoredError sqref="D8:J8" formulaRange="1"/>
  </ignoredError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0.79998168889431442"/>
  </sheetPr>
  <dimension ref="A4:AF130"/>
  <sheetViews>
    <sheetView showGridLines="0" zoomScale="40" zoomScaleNormal="40" workbookViewId="0">
      <pane xSplit="2" ySplit="5" topLeftCell="F6" activePane="bottomRight" state="frozen"/>
      <selection pane="topRight" activeCell="C1" sqref="C1"/>
      <selection pane="bottomLeft" activeCell="A6" sqref="A6"/>
      <selection pane="bottomRight" activeCell="A93" sqref="A93:B93"/>
    </sheetView>
  </sheetViews>
  <sheetFormatPr defaultRowHeight="14.4" outlineLevelRow="1"/>
  <cols>
    <col min="1" max="1" width="65.5546875" bestFit="1" customWidth="1"/>
    <col min="2" max="2" width="48.21875" customWidth="1"/>
    <col min="3" max="3" width="1.5546875" customWidth="1"/>
    <col min="4" max="18" width="15.21875" customWidth="1"/>
    <col min="19" max="21" width="15.33203125" customWidth="1"/>
    <col min="22" max="22" width="1.5546875" customWidth="1"/>
    <col min="23" max="32" width="15.21875" customWidth="1"/>
  </cols>
  <sheetData>
    <row r="4" spans="1:32">
      <c r="A4" s="428" t="s">
        <v>812</v>
      </c>
      <c r="B4" s="428" t="s">
        <v>813</v>
      </c>
      <c r="D4" s="427" t="s">
        <v>584</v>
      </c>
      <c r="E4" s="427" t="s">
        <v>585</v>
      </c>
      <c r="F4" s="427" t="s">
        <v>586</v>
      </c>
      <c r="G4" s="427">
        <v>2022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T4" s="427" t="s">
        <v>2488</v>
      </c>
      <c r="U4" s="427" t="s">
        <v>2497</v>
      </c>
      <c r="W4" s="427" t="s">
        <v>83</v>
      </c>
      <c r="X4" s="427" t="s">
        <v>84</v>
      </c>
      <c r="Y4" s="427" t="s">
        <v>85</v>
      </c>
      <c r="Z4" s="427" t="s">
        <v>86</v>
      </c>
      <c r="AA4" s="427" t="s">
        <v>87</v>
      </c>
      <c r="AB4" s="427" t="s">
        <v>88</v>
      </c>
      <c r="AC4" s="427" t="s">
        <v>2074</v>
      </c>
      <c r="AD4" s="427" t="s">
        <v>2127</v>
      </c>
      <c r="AE4" s="427" t="s">
        <v>2360</v>
      </c>
      <c r="AF4" s="427" t="s">
        <v>2494</v>
      </c>
    </row>
    <row r="5" spans="1:32" ht="6.75" customHeight="1"/>
    <row r="6" spans="1:32">
      <c r="A6" s="429" t="s">
        <v>596</v>
      </c>
      <c r="B6" s="429" t="s">
        <v>597</v>
      </c>
      <c r="D6" s="420">
        <f>SUM(D8,D11:D17)</f>
        <v>912420</v>
      </c>
      <c r="E6" s="420">
        <f t="shared" ref="E6:T6" si="0">SUM(E8,E11:E17)</f>
        <v>1864992</v>
      </c>
      <c r="F6" s="420">
        <f t="shared" si="0"/>
        <v>2717846</v>
      </c>
      <c r="G6" s="420">
        <f t="shared" si="0"/>
        <v>3702051</v>
      </c>
      <c r="H6" s="420">
        <f t="shared" si="0"/>
        <v>965315</v>
      </c>
      <c r="I6" s="420">
        <f t="shared" si="0"/>
        <v>1981897</v>
      </c>
      <c r="J6" s="420">
        <f t="shared" si="0"/>
        <v>3061322</v>
      </c>
      <c r="K6" s="420">
        <f t="shared" si="0"/>
        <v>4294609</v>
      </c>
      <c r="L6" s="420">
        <f t="shared" si="0"/>
        <v>1068099</v>
      </c>
      <c r="M6" s="420">
        <f t="shared" si="0"/>
        <v>2145791</v>
      </c>
      <c r="N6" s="420">
        <f t="shared" si="0"/>
        <v>3300673</v>
      </c>
      <c r="O6" s="420">
        <f t="shared" si="0"/>
        <v>4409391</v>
      </c>
      <c r="P6" s="420">
        <f t="shared" si="0"/>
        <v>1102940</v>
      </c>
      <c r="Q6" s="420">
        <f t="shared" si="0"/>
        <v>2309526</v>
      </c>
      <c r="R6" s="420">
        <f t="shared" si="0"/>
        <v>3460465</v>
      </c>
      <c r="S6" s="420">
        <f t="shared" si="0"/>
        <v>4698058</v>
      </c>
      <c r="T6" s="420">
        <f t="shared" si="0"/>
        <v>1277235</v>
      </c>
      <c r="U6" s="741">
        <f>SUM(U8,U11:U17)</f>
        <v>2625573</v>
      </c>
      <c r="W6" s="420">
        <f t="shared" ref="W6:AC6" si="1">SUM(W8,W11:W17)</f>
        <v>1068099</v>
      </c>
      <c r="X6" s="420">
        <f t="shared" si="1"/>
        <v>1077692</v>
      </c>
      <c r="Y6" s="420">
        <f t="shared" si="1"/>
        <v>1154882</v>
      </c>
      <c r="Z6" s="420">
        <f t="shared" si="1"/>
        <v>1108718</v>
      </c>
      <c r="AA6" s="420">
        <f t="shared" si="1"/>
        <v>1102940</v>
      </c>
      <c r="AB6" s="420">
        <f t="shared" si="1"/>
        <v>1206586</v>
      </c>
      <c r="AC6" s="420">
        <f t="shared" si="1"/>
        <v>1150939</v>
      </c>
      <c r="AD6" s="420">
        <f t="shared" ref="AD6:AE6" si="2">SUM(AD8,AD11:AD17)</f>
        <v>1237593</v>
      </c>
      <c r="AE6" s="420">
        <f t="shared" si="2"/>
        <v>1277235</v>
      </c>
      <c r="AF6" s="741">
        <f>SUM(AF8,AF11:AF17)</f>
        <v>1348338</v>
      </c>
    </row>
    <row r="7" spans="1:32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W7" s="421"/>
      <c r="X7" s="421"/>
      <c r="Y7" s="421"/>
      <c r="Z7" s="421"/>
      <c r="AA7" s="421"/>
      <c r="AB7" s="421"/>
      <c r="AC7" s="421"/>
      <c r="AD7" s="421"/>
      <c r="AE7" s="421"/>
      <c r="AF7" s="421"/>
    </row>
    <row r="8" spans="1:32">
      <c r="A8" s="417" t="s">
        <v>598</v>
      </c>
      <c r="B8" s="417" t="s">
        <v>599</v>
      </c>
      <c r="D8" s="422">
        <f t="shared" ref="D8:I8" si="3">SUM(D9:D10)</f>
        <v>770238</v>
      </c>
      <c r="E8" s="422">
        <f t="shared" si="3"/>
        <v>1532927</v>
      </c>
      <c r="F8" s="422">
        <f t="shared" si="3"/>
        <v>2200279</v>
      </c>
      <c r="G8" s="422">
        <f t="shared" si="3"/>
        <v>2973637</v>
      </c>
      <c r="H8" s="422">
        <f t="shared" si="3"/>
        <v>777512</v>
      </c>
      <c r="I8" s="422">
        <f t="shared" si="3"/>
        <v>1550975</v>
      </c>
      <c r="J8" s="422">
        <f t="shared" ref="J8:T8" si="4">SUM(J9:J10)</f>
        <v>2365677</v>
      </c>
      <c r="K8" s="422">
        <f t="shared" si="4"/>
        <v>3253993</v>
      </c>
      <c r="L8" s="422">
        <f t="shared" si="4"/>
        <v>867869</v>
      </c>
      <c r="M8" s="422">
        <f t="shared" si="4"/>
        <v>1724069</v>
      </c>
      <c r="N8" s="422">
        <f t="shared" si="4"/>
        <v>2596298</v>
      </c>
      <c r="O8" s="422">
        <f t="shared" si="4"/>
        <v>3474023</v>
      </c>
      <c r="P8" s="422">
        <f t="shared" si="4"/>
        <v>835685</v>
      </c>
      <c r="Q8" s="422">
        <f t="shared" si="4"/>
        <v>1744322</v>
      </c>
      <c r="R8" s="422">
        <f t="shared" si="4"/>
        <v>2581339</v>
      </c>
      <c r="S8" s="422">
        <f t="shared" si="4"/>
        <v>3518424</v>
      </c>
      <c r="T8" s="422">
        <f t="shared" si="4"/>
        <v>970307</v>
      </c>
      <c r="U8" s="422">
        <f>SUM(U9:U10)</f>
        <v>2047344</v>
      </c>
      <c r="W8" s="422">
        <f t="shared" ref="W8:AC8" si="5">SUM(W9:W10)</f>
        <v>867869</v>
      </c>
      <c r="X8" s="422">
        <f t="shared" si="5"/>
        <v>856200</v>
      </c>
      <c r="Y8" s="422">
        <f t="shared" si="5"/>
        <v>872229</v>
      </c>
      <c r="Z8" s="422">
        <f t="shared" si="5"/>
        <v>877725</v>
      </c>
      <c r="AA8" s="422">
        <f t="shared" si="5"/>
        <v>835685</v>
      </c>
      <c r="AB8" s="422">
        <f t="shared" si="5"/>
        <v>908637</v>
      </c>
      <c r="AC8" s="422">
        <f t="shared" si="5"/>
        <v>837017</v>
      </c>
      <c r="AD8" s="422">
        <f t="shared" ref="AD8:AE8" si="6">SUM(AD9:AD10)</f>
        <v>937085</v>
      </c>
      <c r="AE8" s="422">
        <f t="shared" si="6"/>
        <v>970307</v>
      </c>
      <c r="AF8" s="422">
        <f>SUM(AF9:AF10)</f>
        <v>1077037</v>
      </c>
    </row>
    <row r="9" spans="1:32" outlineLevel="1">
      <c r="A9" s="418" t="s">
        <v>598</v>
      </c>
      <c r="B9" s="418" t="s">
        <v>599</v>
      </c>
      <c r="D9" s="423">
        <v>787969</v>
      </c>
      <c r="E9" s="423">
        <v>1486340</v>
      </c>
      <c r="F9" s="423">
        <v>2112884</v>
      </c>
      <c r="G9" s="423">
        <v>2866104</v>
      </c>
      <c r="H9" s="423">
        <v>775339</v>
      </c>
      <c r="I9" s="423">
        <v>1552191</v>
      </c>
      <c r="J9" s="423">
        <v>2330175</v>
      </c>
      <c r="K9" s="423">
        <v>3257455</v>
      </c>
      <c r="L9" s="423">
        <v>959108</v>
      </c>
      <c r="M9" s="423">
        <v>1857135</v>
      </c>
      <c r="N9" s="423">
        <v>2662192</v>
      </c>
      <c r="O9" s="423">
        <v>3605582</v>
      </c>
      <c r="P9" s="423">
        <v>915049</v>
      </c>
      <c r="Q9" s="423">
        <v>1799301</v>
      </c>
      <c r="R9" s="423">
        <v>2571318</v>
      </c>
      <c r="S9" s="423">
        <v>3461341</v>
      </c>
      <c r="T9" s="423">
        <v>905983</v>
      </c>
      <c r="U9" s="423">
        <v>1828918</v>
      </c>
      <c r="W9" s="423">
        <f>L9</f>
        <v>959108</v>
      </c>
      <c r="X9" s="423">
        <f>M9-W9</f>
        <v>898027</v>
      </c>
      <c r="Y9" s="423">
        <f t="shared" ref="Y9:Z16" si="7">N9-M9</f>
        <v>805057</v>
      </c>
      <c r="Z9" s="423">
        <f t="shared" si="7"/>
        <v>943390</v>
      </c>
      <c r="AA9" s="423">
        <f>P9</f>
        <v>915049</v>
      </c>
      <c r="AB9" s="423">
        <f t="shared" ref="AB9:AD16" si="8">Q9-P9</f>
        <v>884252</v>
      </c>
      <c r="AC9" s="423">
        <f t="shared" si="8"/>
        <v>772017</v>
      </c>
      <c r="AD9" s="423">
        <f t="shared" si="8"/>
        <v>890023</v>
      </c>
      <c r="AE9" s="423">
        <f>T9</f>
        <v>905983</v>
      </c>
      <c r="AF9" s="423">
        <f t="shared" ref="AF9:AF16" si="9">U9-T9</f>
        <v>922935</v>
      </c>
    </row>
    <row r="10" spans="1:32" outlineLevel="1">
      <c r="A10" s="418" t="s">
        <v>600</v>
      </c>
      <c r="B10" s="418" t="s">
        <v>601</v>
      </c>
      <c r="D10" s="423">
        <v>-17731</v>
      </c>
      <c r="E10" s="423">
        <v>46587</v>
      </c>
      <c r="F10" s="423">
        <v>87395</v>
      </c>
      <c r="G10" s="423">
        <v>107533</v>
      </c>
      <c r="H10" s="423">
        <v>2173</v>
      </c>
      <c r="I10" s="423">
        <v>-1216</v>
      </c>
      <c r="J10" s="423">
        <v>35502</v>
      </c>
      <c r="K10" s="423">
        <v>-3462</v>
      </c>
      <c r="L10" s="423">
        <v>-91239</v>
      </c>
      <c r="M10" s="423">
        <v>-133066</v>
      </c>
      <c r="N10" s="423">
        <v>-65894</v>
      </c>
      <c r="O10" s="423">
        <v>-131559</v>
      </c>
      <c r="P10" s="423">
        <v>-79364</v>
      </c>
      <c r="Q10" s="423">
        <v>-54979</v>
      </c>
      <c r="R10" s="423">
        <v>10021</v>
      </c>
      <c r="S10" s="423">
        <v>57083</v>
      </c>
      <c r="T10" s="423">
        <v>64324</v>
      </c>
      <c r="U10" s="423">
        <v>218426</v>
      </c>
      <c r="W10" s="423">
        <f t="shared" ref="W10:W25" si="10">L10</f>
        <v>-91239</v>
      </c>
      <c r="X10" s="423">
        <f t="shared" ref="X10:X16" si="11">M10-W10</f>
        <v>-41827</v>
      </c>
      <c r="Y10" s="423">
        <f t="shared" si="7"/>
        <v>67172</v>
      </c>
      <c r="Z10" s="423">
        <f t="shared" si="7"/>
        <v>-65665</v>
      </c>
      <c r="AA10" s="423">
        <f t="shared" ref="AA10:AA25" si="12">P10</f>
        <v>-79364</v>
      </c>
      <c r="AB10" s="423">
        <f t="shared" si="8"/>
        <v>24385</v>
      </c>
      <c r="AC10" s="423">
        <f t="shared" si="8"/>
        <v>65000</v>
      </c>
      <c r="AD10" s="423">
        <f t="shared" si="8"/>
        <v>47062</v>
      </c>
      <c r="AE10" s="423">
        <f t="shared" ref="AE10:AE25" si="13">T10</f>
        <v>64324</v>
      </c>
      <c r="AF10" s="423">
        <f t="shared" si="9"/>
        <v>154102</v>
      </c>
    </row>
    <row r="11" spans="1:32">
      <c r="A11" s="417" t="s">
        <v>602</v>
      </c>
      <c r="B11" s="417" t="s">
        <v>603</v>
      </c>
      <c r="D11" s="422">
        <v>13455</v>
      </c>
      <c r="E11" s="422">
        <v>29326</v>
      </c>
      <c r="F11" s="422">
        <v>57572</v>
      </c>
      <c r="G11" s="422">
        <v>76855</v>
      </c>
      <c r="H11" s="422">
        <v>4076</v>
      </c>
      <c r="I11" s="422">
        <v>9064</v>
      </c>
      <c r="J11" s="422">
        <v>25183</v>
      </c>
      <c r="K11" s="422">
        <v>35760</v>
      </c>
      <c r="L11" s="422">
        <v>2455</v>
      </c>
      <c r="M11" s="422">
        <v>7082</v>
      </c>
      <c r="N11" s="422">
        <v>42517</v>
      </c>
      <c r="O11" s="422">
        <v>70690</v>
      </c>
      <c r="P11" s="422">
        <v>8138</v>
      </c>
      <c r="Q11" s="422">
        <v>32719</v>
      </c>
      <c r="R11" s="422">
        <v>84843</v>
      </c>
      <c r="S11" s="422">
        <v>122256</v>
      </c>
      <c r="T11" s="422">
        <v>17199</v>
      </c>
      <c r="U11" s="422">
        <v>15831</v>
      </c>
      <c r="W11" s="422">
        <f t="shared" si="10"/>
        <v>2455</v>
      </c>
      <c r="X11" s="422">
        <f t="shared" si="11"/>
        <v>4627</v>
      </c>
      <c r="Y11" s="422">
        <f t="shared" si="7"/>
        <v>35435</v>
      </c>
      <c r="Z11" s="422">
        <f t="shared" si="7"/>
        <v>28173</v>
      </c>
      <c r="AA11" s="422">
        <f>P11</f>
        <v>8138</v>
      </c>
      <c r="AB11" s="422">
        <f t="shared" si="8"/>
        <v>24581</v>
      </c>
      <c r="AC11" s="422">
        <f t="shared" si="8"/>
        <v>52124</v>
      </c>
      <c r="AD11" s="422">
        <f t="shared" si="8"/>
        <v>37413</v>
      </c>
      <c r="AE11" s="422">
        <f>T11</f>
        <v>17199</v>
      </c>
      <c r="AF11" s="422">
        <f t="shared" si="9"/>
        <v>-1368</v>
      </c>
    </row>
    <row r="12" spans="1:32">
      <c r="A12" s="417" t="s">
        <v>604</v>
      </c>
      <c r="B12" s="417" t="s">
        <v>605</v>
      </c>
      <c r="D12" s="422">
        <v>0</v>
      </c>
      <c r="E12" s="422">
        <v>0</v>
      </c>
      <c r="F12" s="422">
        <v>0</v>
      </c>
      <c r="G12" s="422">
        <v>0</v>
      </c>
      <c r="H12" s="422">
        <v>0</v>
      </c>
      <c r="I12" s="422">
        <v>0</v>
      </c>
      <c r="J12" s="422">
        <v>0</v>
      </c>
      <c r="K12" s="422">
        <v>0</v>
      </c>
      <c r="L12" s="422">
        <v>0</v>
      </c>
      <c r="M12" s="422">
        <v>0</v>
      </c>
      <c r="N12" s="422">
        <v>0</v>
      </c>
      <c r="O12" s="422">
        <v>0</v>
      </c>
      <c r="P12" s="422">
        <v>0</v>
      </c>
      <c r="Q12" s="422">
        <v>0</v>
      </c>
      <c r="R12" s="422">
        <v>0</v>
      </c>
      <c r="S12" s="422">
        <v>0</v>
      </c>
      <c r="T12" s="422">
        <v>0</v>
      </c>
      <c r="U12" s="422">
        <v>0</v>
      </c>
      <c r="W12" s="422">
        <f t="shared" si="10"/>
        <v>0</v>
      </c>
      <c r="X12" s="422">
        <f t="shared" si="11"/>
        <v>0</v>
      </c>
      <c r="Y12" s="422">
        <f t="shared" si="7"/>
        <v>0</v>
      </c>
      <c r="Z12" s="422">
        <f t="shared" si="7"/>
        <v>0</v>
      </c>
      <c r="AA12" s="422">
        <f t="shared" si="12"/>
        <v>0</v>
      </c>
      <c r="AB12" s="422">
        <f t="shared" si="8"/>
        <v>0</v>
      </c>
      <c r="AC12" s="422">
        <f t="shared" si="8"/>
        <v>0</v>
      </c>
      <c r="AD12" s="422">
        <f t="shared" si="8"/>
        <v>0</v>
      </c>
      <c r="AE12" s="422">
        <f t="shared" si="13"/>
        <v>0</v>
      </c>
      <c r="AF12" s="422">
        <f t="shared" si="9"/>
        <v>0</v>
      </c>
    </row>
    <row r="13" spans="1:32">
      <c r="A13" s="417" t="s">
        <v>606</v>
      </c>
      <c r="B13" s="417" t="s">
        <v>607</v>
      </c>
      <c r="D13" s="422">
        <v>70196</v>
      </c>
      <c r="E13" s="422">
        <v>174684</v>
      </c>
      <c r="F13" s="422">
        <v>284629</v>
      </c>
      <c r="G13" s="422">
        <v>426115</v>
      </c>
      <c r="H13" s="422">
        <v>120198</v>
      </c>
      <c r="I13" s="422">
        <v>288401</v>
      </c>
      <c r="J13" s="422">
        <v>454369</v>
      </c>
      <c r="K13" s="422">
        <v>671007</v>
      </c>
      <c r="L13" s="422">
        <v>99137</v>
      </c>
      <c r="M13" s="422">
        <v>230705</v>
      </c>
      <c r="N13" s="422">
        <v>380899</v>
      </c>
      <c r="O13" s="422">
        <v>508374</v>
      </c>
      <c r="P13" s="422">
        <v>159905</v>
      </c>
      <c r="Q13" s="422">
        <v>338538</v>
      </c>
      <c r="R13" s="422">
        <v>500946</v>
      </c>
      <c r="S13" s="422">
        <v>659636</v>
      </c>
      <c r="T13" s="422">
        <v>168673</v>
      </c>
      <c r="U13" s="422">
        <v>356517</v>
      </c>
      <c r="W13" s="422">
        <f t="shared" si="10"/>
        <v>99137</v>
      </c>
      <c r="X13" s="422">
        <f t="shared" si="11"/>
        <v>131568</v>
      </c>
      <c r="Y13" s="422">
        <f t="shared" si="7"/>
        <v>150194</v>
      </c>
      <c r="Z13" s="422">
        <f t="shared" si="7"/>
        <v>127475</v>
      </c>
      <c r="AA13" s="422">
        <f t="shared" si="12"/>
        <v>159905</v>
      </c>
      <c r="AB13" s="422">
        <f t="shared" si="8"/>
        <v>178633</v>
      </c>
      <c r="AC13" s="422">
        <f t="shared" si="8"/>
        <v>162408</v>
      </c>
      <c r="AD13" s="422">
        <f t="shared" si="8"/>
        <v>158690</v>
      </c>
      <c r="AE13" s="422">
        <f t="shared" si="13"/>
        <v>168673</v>
      </c>
      <c r="AF13" s="422">
        <f t="shared" si="9"/>
        <v>187844</v>
      </c>
    </row>
    <row r="14" spans="1:32">
      <c r="A14" s="417" t="s">
        <v>608</v>
      </c>
      <c r="B14" s="417" t="s">
        <v>609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>
        <v>0</v>
      </c>
      <c r="T14" s="422">
        <v>0</v>
      </c>
      <c r="U14" s="422">
        <v>0</v>
      </c>
      <c r="W14" s="422">
        <f t="shared" si="10"/>
        <v>0</v>
      </c>
      <c r="X14" s="422">
        <f t="shared" si="11"/>
        <v>0</v>
      </c>
      <c r="Y14" s="422">
        <f t="shared" si="7"/>
        <v>0</v>
      </c>
      <c r="Z14" s="422">
        <f t="shared" si="7"/>
        <v>0</v>
      </c>
      <c r="AA14" s="422">
        <f t="shared" si="12"/>
        <v>0</v>
      </c>
      <c r="AB14" s="422">
        <f t="shared" si="8"/>
        <v>0</v>
      </c>
      <c r="AC14" s="422">
        <f t="shared" si="8"/>
        <v>0</v>
      </c>
      <c r="AD14" s="422">
        <f t="shared" si="8"/>
        <v>0</v>
      </c>
      <c r="AE14" s="422">
        <f t="shared" si="13"/>
        <v>0</v>
      </c>
      <c r="AF14" s="422">
        <f t="shared" si="9"/>
        <v>0</v>
      </c>
    </row>
    <row r="15" spans="1:32">
      <c r="A15" s="417" t="s">
        <v>610</v>
      </c>
      <c r="B15" s="417" t="s">
        <v>611</v>
      </c>
      <c r="D15" s="422">
        <v>0</v>
      </c>
      <c r="E15" s="422">
        <v>0</v>
      </c>
      <c r="F15" s="422">
        <v>0</v>
      </c>
      <c r="G15" s="422">
        <v>0</v>
      </c>
      <c r="H15" s="422">
        <v>0</v>
      </c>
      <c r="I15" s="422">
        <v>0</v>
      </c>
      <c r="J15" s="422">
        <v>0</v>
      </c>
      <c r="K15" s="422">
        <v>0</v>
      </c>
      <c r="L15" s="422">
        <v>0</v>
      </c>
      <c r="M15" s="422">
        <v>0</v>
      </c>
      <c r="N15" s="422">
        <v>0</v>
      </c>
      <c r="O15" s="422">
        <v>0</v>
      </c>
      <c r="P15" s="422">
        <v>0</v>
      </c>
      <c r="Q15" s="422">
        <v>0</v>
      </c>
      <c r="R15" s="422">
        <v>0</v>
      </c>
      <c r="S15" s="422">
        <v>0</v>
      </c>
      <c r="T15" s="422">
        <v>0</v>
      </c>
      <c r="U15" s="422">
        <v>0</v>
      </c>
      <c r="W15" s="422">
        <f t="shared" si="10"/>
        <v>0</v>
      </c>
      <c r="X15" s="422">
        <f t="shared" si="11"/>
        <v>0</v>
      </c>
      <c r="Y15" s="422">
        <f t="shared" si="7"/>
        <v>0</v>
      </c>
      <c r="Z15" s="422">
        <f t="shared" si="7"/>
        <v>0</v>
      </c>
      <c r="AA15" s="422">
        <f t="shared" si="12"/>
        <v>0</v>
      </c>
      <c r="AB15" s="422">
        <f t="shared" si="8"/>
        <v>0</v>
      </c>
      <c r="AC15" s="422">
        <f t="shared" si="8"/>
        <v>0</v>
      </c>
      <c r="AD15" s="422">
        <f t="shared" si="8"/>
        <v>0</v>
      </c>
      <c r="AE15" s="422">
        <f t="shared" si="13"/>
        <v>0</v>
      </c>
      <c r="AF15" s="422">
        <f t="shared" si="9"/>
        <v>0</v>
      </c>
    </row>
    <row r="16" spans="1:32">
      <c r="A16" s="417" t="s">
        <v>612</v>
      </c>
      <c r="B16" s="417" t="s">
        <v>613</v>
      </c>
      <c r="D16" s="422">
        <v>0</v>
      </c>
      <c r="E16" s="422">
        <v>0</v>
      </c>
      <c r="F16" s="422">
        <v>0</v>
      </c>
      <c r="G16" s="422">
        <v>0</v>
      </c>
      <c r="H16" s="422">
        <v>0</v>
      </c>
      <c r="I16" s="422">
        <v>0</v>
      </c>
      <c r="J16" s="422">
        <v>0</v>
      </c>
      <c r="K16" s="422">
        <v>0</v>
      </c>
      <c r="L16" s="422">
        <v>0</v>
      </c>
      <c r="M16" s="422">
        <v>0</v>
      </c>
      <c r="N16" s="422">
        <v>0</v>
      </c>
      <c r="O16" s="422">
        <v>0</v>
      </c>
      <c r="P16" s="422">
        <v>0</v>
      </c>
      <c r="Q16" s="422">
        <v>0</v>
      </c>
      <c r="R16" s="422">
        <v>0</v>
      </c>
      <c r="S16" s="422">
        <v>0</v>
      </c>
      <c r="T16" s="422">
        <v>0</v>
      </c>
      <c r="U16" s="422">
        <v>0</v>
      </c>
      <c r="W16" s="422">
        <f t="shared" si="10"/>
        <v>0</v>
      </c>
      <c r="X16" s="422">
        <f t="shared" si="11"/>
        <v>0</v>
      </c>
      <c r="Y16" s="422">
        <f t="shared" si="7"/>
        <v>0</v>
      </c>
      <c r="Z16" s="422">
        <f t="shared" si="7"/>
        <v>0</v>
      </c>
      <c r="AA16" s="422">
        <f t="shared" si="12"/>
        <v>0</v>
      </c>
      <c r="AB16" s="422">
        <f t="shared" si="8"/>
        <v>0</v>
      </c>
      <c r="AC16" s="422">
        <f t="shared" si="8"/>
        <v>0</v>
      </c>
      <c r="AD16" s="422">
        <f t="shared" si="8"/>
        <v>0</v>
      </c>
      <c r="AE16" s="422">
        <f t="shared" si="13"/>
        <v>0</v>
      </c>
      <c r="AF16" s="422">
        <f t="shared" si="9"/>
        <v>0</v>
      </c>
    </row>
    <row r="17" spans="1:32">
      <c r="A17" s="417" t="s">
        <v>614</v>
      </c>
      <c r="B17" s="417" t="s">
        <v>615</v>
      </c>
      <c r="D17" s="422">
        <f t="shared" ref="D17:I17" si="14">SUM(D18:D25)</f>
        <v>58531</v>
      </c>
      <c r="E17" s="422">
        <f t="shared" si="14"/>
        <v>128055</v>
      </c>
      <c r="F17" s="422">
        <f t="shared" si="14"/>
        <v>175366</v>
      </c>
      <c r="G17" s="422">
        <f t="shared" si="14"/>
        <v>225444</v>
      </c>
      <c r="H17" s="422">
        <f t="shared" si="14"/>
        <v>63529</v>
      </c>
      <c r="I17" s="422">
        <f t="shared" si="14"/>
        <v>133457</v>
      </c>
      <c r="J17" s="422">
        <f t="shared" ref="J17:T17" si="15">SUM(J18:J25)</f>
        <v>216093</v>
      </c>
      <c r="K17" s="422">
        <f t="shared" si="15"/>
        <v>333849</v>
      </c>
      <c r="L17" s="422">
        <f t="shared" si="15"/>
        <v>98638</v>
      </c>
      <c r="M17" s="422">
        <f t="shared" si="15"/>
        <v>183935</v>
      </c>
      <c r="N17" s="422">
        <f t="shared" si="15"/>
        <v>280959</v>
      </c>
      <c r="O17" s="422">
        <f t="shared" si="15"/>
        <v>356304</v>
      </c>
      <c r="P17" s="422">
        <f t="shared" si="15"/>
        <v>99212</v>
      </c>
      <c r="Q17" s="422">
        <f t="shared" si="15"/>
        <v>193947</v>
      </c>
      <c r="R17" s="422">
        <f t="shared" si="15"/>
        <v>293337</v>
      </c>
      <c r="S17" s="422">
        <f t="shared" si="15"/>
        <v>397742</v>
      </c>
      <c r="T17" s="422">
        <f t="shared" si="15"/>
        <v>121056</v>
      </c>
      <c r="U17" s="422">
        <f>SUM(U18:U25)</f>
        <v>205881</v>
      </c>
      <c r="W17" s="422">
        <f t="shared" ref="W17:AC17" si="16">SUM(W18:W25)</f>
        <v>98638</v>
      </c>
      <c r="X17" s="422">
        <f t="shared" si="16"/>
        <v>85297</v>
      </c>
      <c r="Y17" s="422">
        <f t="shared" si="16"/>
        <v>97024</v>
      </c>
      <c r="Z17" s="422">
        <f t="shared" si="16"/>
        <v>75345</v>
      </c>
      <c r="AA17" s="422">
        <f t="shared" si="16"/>
        <v>99212</v>
      </c>
      <c r="AB17" s="422">
        <f t="shared" si="16"/>
        <v>94735</v>
      </c>
      <c r="AC17" s="422">
        <f t="shared" si="16"/>
        <v>99390</v>
      </c>
      <c r="AD17" s="422">
        <f t="shared" ref="AD17:AE17" si="17">SUM(AD18:AD25)</f>
        <v>104405</v>
      </c>
      <c r="AE17" s="422">
        <f t="shared" si="17"/>
        <v>121056</v>
      </c>
      <c r="AF17" s="422">
        <f>SUM(AF18:AF25)</f>
        <v>84825</v>
      </c>
    </row>
    <row r="18" spans="1:32" outlineLevel="1">
      <c r="A18" s="418" t="s">
        <v>616</v>
      </c>
      <c r="B18" s="418" t="s">
        <v>617</v>
      </c>
      <c r="D18" s="423">
        <v>37310</v>
      </c>
      <c r="E18" s="423">
        <v>79465</v>
      </c>
      <c r="F18" s="423">
        <v>116181</v>
      </c>
      <c r="G18" s="423">
        <v>156213</v>
      </c>
      <c r="H18" s="423">
        <v>41848</v>
      </c>
      <c r="I18" s="423">
        <v>90246</v>
      </c>
      <c r="J18" s="423">
        <v>151509</v>
      </c>
      <c r="K18" s="423">
        <v>216167</v>
      </c>
      <c r="L18" s="423">
        <v>67138</v>
      </c>
      <c r="M18" s="423">
        <v>129706</v>
      </c>
      <c r="N18" s="423">
        <v>191554</v>
      </c>
      <c r="O18" s="423">
        <v>263305</v>
      </c>
      <c r="P18" s="423">
        <v>71117</v>
      </c>
      <c r="Q18" s="423">
        <v>141475</v>
      </c>
      <c r="R18" s="423">
        <v>213345</v>
      </c>
      <c r="S18" s="423">
        <v>290024</v>
      </c>
      <c r="T18" s="423">
        <v>78392</v>
      </c>
      <c r="U18" s="423">
        <v>133339</v>
      </c>
      <c r="W18" s="423">
        <f t="shared" si="10"/>
        <v>67138</v>
      </c>
      <c r="X18" s="423">
        <f t="shared" ref="X18:X25" si="18">M18-W18</f>
        <v>62568</v>
      </c>
      <c r="Y18" s="423">
        <f t="shared" ref="Y18:Z25" si="19">N18-M18</f>
        <v>61848</v>
      </c>
      <c r="Z18" s="423">
        <f t="shared" si="19"/>
        <v>71751</v>
      </c>
      <c r="AA18" s="423">
        <f t="shared" si="12"/>
        <v>71117</v>
      </c>
      <c r="AB18" s="423">
        <f t="shared" ref="AB18:AD25" si="20">Q18-P18</f>
        <v>70358</v>
      </c>
      <c r="AC18" s="423">
        <f t="shared" si="20"/>
        <v>71870</v>
      </c>
      <c r="AD18" s="423">
        <f t="shared" si="20"/>
        <v>76679</v>
      </c>
      <c r="AE18" s="423">
        <f t="shared" si="13"/>
        <v>78392</v>
      </c>
      <c r="AF18" s="423">
        <f t="shared" ref="AF18:AF25" si="21">U18-T18</f>
        <v>54947</v>
      </c>
    </row>
    <row r="19" spans="1:32" outlineLevel="1">
      <c r="A19" s="418" t="s">
        <v>618</v>
      </c>
      <c r="B19" s="418" t="s">
        <v>619</v>
      </c>
      <c r="D19" s="423">
        <v>313</v>
      </c>
      <c r="E19" s="423">
        <v>2659</v>
      </c>
      <c r="F19" s="423">
        <v>2265</v>
      </c>
      <c r="G19" s="423">
        <v>1587</v>
      </c>
      <c r="H19" s="423">
        <v>2387</v>
      </c>
      <c r="I19" s="423">
        <v>3236</v>
      </c>
      <c r="J19" s="423">
        <v>4189</v>
      </c>
      <c r="K19" s="423">
        <v>6049</v>
      </c>
      <c r="L19" s="423">
        <v>3533</v>
      </c>
      <c r="M19" s="423">
        <v>-628</v>
      </c>
      <c r="N19" s="423">
        <v>886</v>
      </c>
      <c r="O19" s="423">
        <v>3512</v>
      </c>
      <c r="P19" s="423">
        <v>4879</v>
      </c>
      <c r="Q19" s="423">
        <v>7147</v>
      </c>
      <c r="R19" s="423">
        <v>8848</v>
      </c>
      <c r="S19" s="423">
        <v>10221</v>
      </c>
      <c r="T19" s="423">
        <v>4388</v>
      </c>
      <c r="U19" s="423">
        <v>10652</v>
      </c>
      <c r="W19" s="423">
        <f t="shared" si="10"/>
        <v>3533</v>
      </c>
      <c r="X19" s="423">
        <f t="shared" si="18"/>
        <v>-4161</v>
      </c>
      <c r="Y19" s="423">
        <f t="shared" si="19"/>
        <v>1514</v>
      </c>
      <c r="Z19" s="423">
        <f t="shared" si="19"/>
        <v>2626</v>
      </c>
      <c r="AA19" s="423">
        <f t="shared" si="12"/>
        <v>4879</v>
      </c>
      <c r="AB19" s="423">
        <f t="shared" si="20"/>
        <v>2268</v>
      </c>
      <c r="AC19" s="423">
        <f t="shared" si="20"/>
        <v>1701</v>
      </c>
      <c r="AD19" s="423">
        <f t="shared" si="20"/>
        <v>1373</v>
      </c>
      <c r="AE19" s="423">
        <f t="shared" si="13"/>
        <v>4388</v>
      </c>
      <c r="AF19" s="423">
        <f t="shared" si="21"/>
        <v>6264</v>
      </c>
    </row>
    <row r="20" spans="1:32" outlineLevel="1">
      <c r="A20" s="418" t="s">
        <v>620</v>
      </c>
      <c r="B20" s="418" t="s">
        <v>621</v>
      </c>
      <c r="D20" s="423">
        <v>0</v>
      </c>
      <c r="E20" s="423">
        <v>0</v>
      </c>
      <c r="F20" s="423">
        <v>0</v>
      </c>
      <c r="G20" s="423">
        <v>0</v>
      </c>
      <c r="H20" s="423">
        <v>0</v>
      </c>
      <c r="I20" s="423">
        <v>0</v>
      </c>
      <c r="J20" s="423">
        <v>0</v>
      </c>
      <c r="K20" s="423">
        <v>0</v>
      </c>
      <c r="L20" s="423">
        <v>0</v>
      </c>
      <c r="M20" s="423">
        <v>0</v>
      </c>
      <c r="N20" s="423">
        <v>0</v>
      </c>
      <c r="O20" s="423">
        <v>0</v>
      </c>
      <c r="P20" s="423">
        <v>0</v>
      </c>
      <c r="Q20" s="423">
        <v>0</v>
      </c>
      <c r="R20" s="423">
        <v>0</v>
      </c>
      <c r="S20" s="423">
        <v>0</v>
      </c>
      <c r="T20" s="423">
        <v>0</v>
      </c>
      <c r="U20" s="423">
        <v>0</v>
      </c>
      <c r="W20" s="423">
        <f t="shared" si="10"/>
        <v>0</v>
      </c>
      <c r="X20" s="423">
        <f t="shared" si="18"/>
        <v>0</v>
      </c>
      <c r="Y20" s="423">
        <f t="shared" si="19"/>
        <v>0</v>
      </c>
      <c r="Z20" s="423">
        <f t="shared" si="19"/>
        <v>0</v>
      </c>
      <c r="AA20" s="423">
        <f t="shared" si="12"/>
        <v>0</v>
      </c>
      <c r="AB20" s="423">
        <f t="shared" si="20"/>
        <v>0</v>
      </c>
      <c r="AC20" s="423">
        <f t="shared" si="20"/>
        <v>0</v>
      </c>
      <c r="AD20" s="423">
        <f t="shared" si="20"/>
        <v>0</v>
      </c>
      <c r="AE20" s="423">
        <f t="shared" si="13"/>
        <v>0</v>
      </c>
      <c r="AF20" s="423">
        <f t="shared" si="21"/>
        <v>0</v>
      </c>
    </row>
    <row r="21" spans="1:32" outlineLevel="1">
      <c r="A21" s="418" t="s">
        <v>622</v>
      </c>
      <c r="B21" s="418" t="s">
        <v>623</v>
      </c>
      <c r="D21" s="423">
        <v>0</v>
      </c>
      <c r="E21" s="423">
        <v>0</v>
      </c>
      <c r="F21" s="423">
        <v>0</v>
      </c>
      <c r="G21" s="423">
        <v>0</v>
      </c>
      <c r="H21" s="423">
        <v>0</v>
      </c>
      <c r="I21" s="423">
        <v>0</v>
      </c>
      <c r="J21" s="423">
        <v>0</v>
      </c>
      <c r="K21" s="423">
        <v>0</v>
      </c>
      <c r="L21" s="423">
        <v>0</v>
      </c>
      <c r="M21" s="423">
        <v>0</v>
      </c>
      <c r="N21" s="423">
        <v>0</v>
      </c>
      <c r="O21" s="423">
        <v>0</v>
      </c>
      <c r="P21" s="423">
        <v>0</v>
      </c>
      <c r="Q21" s="423">
        <v>0</v>
      </c>
      <c r="R21" s="423">
        <v>0</v>
      </c>
      <c r="S21" s="423">
        <v>0</v>
      </c>
      <c r="T21" s="423">
        <v>0</v>
      </c>
      <c r="U21" s="423">
        <v>0</v>
      </c>
      <c r="W21" s="423">
        <f t="shared" si="10"/>
        <v>0</v>
      </c>
      <c r="X21" s="423">
        <f t="shared" si="18"/>
        <v>0</v>
      </c>
      <c r="Y21" s="423">
        <f t="shared" si="19"/>
        <v>0</v>
      </c>
      <c r="Z21" s="423">
        <f t="shared" si="19"/>
        <v>0</v>
      </c>
      <c r="AA21" s="423">
        <f t="shared" si="12"/>
        <v>0</v>
      </c>
      <c r="AB21" s="423">
        <f t="shared" si="20"/>
        <v>0</v>
      </c>
      <c r="AC21" s="423">
        <f t="shared" si="20"/>
        <v>0</v>
      </c>
      <c r="AD21" s="423">
        <f t="shared" si="20"/>
        <v>0</v>
      </c>
      <c r="AE21" s="423">
        <f t="shared" si="13"/>
        <v>0</v>
      </c>
      <c r="AF21" s="423">
        <f t="shared" si="21"/>
        <v>0</v>
      </c>
    </row>
    <row r="22" spans="1:32" outlineLevel="1">
      <c r="A22" s="418" t="s">
        <v>624</v>
      </c>
      <c r="B22" s="418" t="s">
        <v>625</v>
      </c>
      <c r="D22" s="423">
        <v>0</v>
      </c>
      <c r="E22" s="423">
        <v>0</v>
      </c>
      <c r="F22" s="423">
        <v>0</v>
      </c>
      <c r="G22" s="423">
        <v>0</v>
      </c>
      <c r="H22" s="423">
        <v>0</v>
      </c>
      <c r="I22" s="423">
        <v>0</v>
      </c>
      <c r="J22" s="423">
        <v>0</v>
      </c>
      <c r="K22" s="423">
        <v>0</v>
      </c>
      <c r="L22" s="423">
        <v>0</v>
      </c>
      <c r="M22" s="423">
        <v>0</v>
      </c>
      <c r="N22" s="423">
        <v>0</v>
      </c>
      <c r="O22" s="423">
        <v>0</v>
      </c>
      <c r="P22" s="423">
        <v>0</v>
      </c>
      <c r="Q22" s="423">
        <v>0</v>
      </c>
      <c r="R22" s="423">
        <v>0</v>
      </c>
      <c r="S22" s="423">
        <v>0</v>
      </c>
      <c r="T22" s="423">
        <v>0</v>
      </c>
      <c r="U22" s="423">
        <v>0</v>
      </c>
      <c r="W22" s="423">
        <f t="shared" si="10"/>
        <v>0</v>
      </c>
      <c r="X22" s="423">
        <f t="shared" si="18"/>
        <v>0</v>
      </c>
      <c r="Y22" s="423">
        <f t="shared" si="19"/>
        <v>0</v>
      </c>
      <c r="Z22" s="423">
        <f t="shared" si="19"/>
        <v>0</v>
      </c>
      <c r="AA22" s="423">
        <f t="shared" si="12"/>
        <v>0</v>
      </c>
      <c r="AB22" s="423">
        <f t="shared" si="20"/>
        <v>0</v>
      </c>
      <c r="AC22" s="423">
        <f t="shared" si="20"/>
        <v>0</v>
      </c>
      <c r="AD22" s="423">
        <f t="shared" si="20"/>
        <v>0</v>
      </c>
      <c r="AE22" s="423">
        <f t="shared" si="13"/>
        <v>0</v>
      </c>
      <c r="AF22" s="423">
        <f t="shared" si="21"/>
        <v>0</v>
      </c>
    </row>
    <row r="23" spans="1:32" outlineLevel="1">
      <c r="A23" s="418" t="s">
        <v>626</v>
      </c>
      <c r="B23" s="418" t="s">
        <v>811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0</v>
      </c>
      <c r="T23" s="423">
        <v>0</v>
      </c>
      <c r="U23" s="423">
        <v>0</v>
      </c>
      <c r="W23" s="423">
        <f t="shared" si="10"/>
        <v>0</v>
      </c>
      <c r="X23" s="423">
        <f t="shared" si="18"/>
        <v>0</v>
      </c>
      <c r="Y23" s="423">
        <f t="shared" si="19"/>
        <v>0</v>
      </c>
      <c r="Z23" s="423">
        <f t="shared" si="19"/>
        <v>0</v>
      </c>
      <c r="AA23" s="423">
        <f t="shared" si="12"/>
        <v>0</v>
      </c>
      <c r="AB23" s="423">
        <f t="shared" si="20"/>
        <v>0</v>
      </c>
      <c r="AC23" s="423">
        <f t="shared" si="20"/>
        <v>0</v>
      </c>
      <c r="AD23" s="423">
        <f t="shared" si="20"/>
        <v>0</v>
      </c>
      <c r="AE23" s="423">
        <f t="shared" si="13"/>
        <v>0</v>
      </c>
      <c r="AF23" s="423">
        <f t="shared" si="21"/>
        <v>0</v>
      </c>
    </row>
    <row r="24" spans="1:32" outlineLevel="1">
      <c r="A24" s="418" t="s">
        <v>628</v>
      </c>
      <c r="B24" s="418" t="s">
        <v>629</v>
      </c>
      <c r="D24" s="423">
        <v>0</v>
      </c>
      <c r="E24" s="423">
        <v>0</v>
      </c>
      <c r="F24" s="423">
        <v>0</v>
      </c>
      <c r="G24" s="423">
        <v>0</v>
      </c>
      <c r="H24" s="423">
        <v>0</v>
      </c>
      <c r="I24" s="423">
        <v>0</v>
      </c>
      <c r="J24" s="423">
        <v>0</v>
      </c>
      <c r="K24" s="423">
        <v>0</v>
      </c>
      <c r="L24" s="423">
        <v>0</v>
      </c>
      <c r="M24" s="423">
        <v>0</v>
      </c>
      <c r="N24" s="423">
        <v>0</v>
      </c>
      <c r="O24" s="423">
        <v>0</v>
      </c>
      <c r="P24" s="423">
        <v>0</v>
      </c>
      <c r="Q24" s="423">
        <v>0</v>
      </c>
      <c r="R24" s="423">
        <v>0</v>
      </c>
      <c r="S24" s="423">
        <v>0</v>
      </c>
      <c r="T24" s="423">
        <v>0</v>
      </c>
      <c r="U24" s="423">
        <v>0</v>
      </c>
      <c r="W24" s="423">
        <f t="shared" si="10"/>
        <v>0</v>
      </c>
      <c r="X24" s="423">
        <f t="shared" si="18"/>
        <v>0</v>
      </c>
      <c r="Y24" s="423">
        <f t="shared" si="19"/>
        <v>0</v>
      </c>
      <c r="Z24" s="423">
        <f t="shared" si="19"/>
        <v>0</v>
      </c>
      <c r="AA24" s="423">
        <f t="shared" si="12"/>
        <v>0</v>
      </c>
      <c r="AB24" s="423">
        <f t="shared" si="20"/>
        <v>0</v>
      </c>
      <c r="AC24" s="423">
        <f t="shared" si="20"/>
        <v>0</v>
      </c>
      <c r="AD24" s="423">
        <f t="shared" si="20"/>
        <v>0</v>
      </c>
      <c r="AE24" s="423">
        <f t="shared" si="13"/>
        <v>0</v>
      </c>
      <c r="AF24" s="423">
        <f t="shared" si="21"/>
        <v>0</v>
      </c>
    </row>
    <row r="25" spans="1:32" outlineLevel="1">
      <c r="A25" s="418" t="s">
        <v>614</v>
      </c>
      <c r="B25" s="418" t="s">
        <v>615</v>
      </c>
      <c r="D25" s="423">
        <v>20908</v>
      </c>
      <c r="E25" s="423">
        <v>45931</v>
      </c>
      <c r="F25" s="423">
        <v>56920</v>
      </c>
      <c r="G25" s="423">
        <v>67644</v>
      </c>
      <c r="H25" s="423">
        <v>19294</v>
      </c>
      <c r="I25" s="423">
        <v>39975</v>
      </c>
      <c r="J25" s="423">
        <v>60395</v>
      </c>
      <c r="K25" s="423">
        <v>111633</v>
      </c>
      <c r="L25" s="423">
        <v>27967</v>
      </c>
      <c r="M25" s="423">
        <v>54857</v>
      </c>
      <c r="N25" s="423">
        <v>88519</v>
      </c>
      <c r="O25" s="423">
        <v>89487</v>
      </c>
      <c r="P25" s="423">
        <v>23216</v>
      </c>
      <c r="Q25" s="423">
        <v>45325</v>
      </c>
      <c r="R25" s="423">
        <v>71144</v>
      </c>
      <c r="S25" s="423">
        <v>97497</v>
      </c>
      <c r="T25" s="423">
        <v>38276</v>
      </c>
      <c r="U25" s="423">
        <v>61890</v>
      </c>
      <c r="W25" s="423">
        <f t="shared" si="10"/>
        <v>27967</v>
      </c>
      <c r="X25" s="423">
        <f t="shared" si="18"/>
        <v>26890</v>
      </c>
      <c r="Y25" s="423">
        <f t="shared" si="19"/>
        <v>33662</v>
      </c>
      <c r="Z25" s="423">
        <f t="shared" si="19"/>
        <v>968</v>
      </c>
      <c r="AA25" s="423">
        <f t="shared" si="12"/>
        <v>23216</v>
      </c>
      <c r="AB25" s="423">
        <f t="shared" si="20"/>
        <v>22109</v>
      </c>
      <c r="AC25" s="423">
        <f t="shared" si="20"/>
        <v>25819</v>
      </c>
      <c r="AD25" s="423">
        <f t="shared" si="20"/>
        <v>26353</v>
      </c>
      <c r="AE25" s="423">
        <f t="shared" si="13"/>
        <v>38276</v>
      </c>
      <c r="AF25" s="423">
        <f t="shared" si="21"/>
        <v>23614</v>
      </c>
    </row>
    <row r="26" spans="1:32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</row>
    <row r="27" spans="1:32">
      <c r="A27" s="429" t="s">
        <v>630</v>
      </c>
      <c r="B27" s="429" t="s">
        <v>631</v>
      </c>
      <c r="D27" s="420">
        <f t="shared" ref="D27:I27" si="22">SUM(D29:D37)</f>
        <v>-330329</v>
      </c>
      <c r="E27" s="420">
        <f t="shared" si="22"/>
        <v>-661019</v>
      </c>
      <c r="F27" s="420">
        <f t="shared" si="22"/>
        <v>-890660</v>
      </c>
      <c r="G27" s="420">
        <f t="shared" si="22"/>
        <v>-1145729</v>
      </c>
      <c r="H27" s="420">
        <f t="shared" si="22"/>
        <v>-262443</v>
      </c>
      <c r="I27" s="420">
        <f t="shared" si="22"/>
        <v>-563709</v>
      </c>
      <c r="J27" s="420">
        <f t="shared" ref="J27:T27" si="23">SUM(J29:J37)</f>
        <v>-870274</v>
      </c>
      <c r="K27" s="420">
        <f t="shared" si="23"/>
        <v>-1231635</v>
      </c>
      <c r="L27" s="420">
        <f t="shared" si="23"/>
        <v>-346691</v>
      </c>
      <c r="M27" s="420">
        <f t="shared" si="23"/>
        <v>-689234</v>
      </c>
      <c r="N27" s="420">
        <f t="shared" si="23"/>
        <v>-1009722</v>
      </c>
      <c r="O27" s="420">
        <f t="shared" si="23"/>
        <v>-1299655</v>
      </c>
      <c r="P27" s="420">
        <f t="shared" si="23"/>
        <v>-290087</v>
      </c>
      <c r="Q27" s="420">
        <f t="shared" si="23"/>
        <v>-598973</v>
      </c>
      <c r="R27" s="420">
        <f t="shared" si="23"/>
        <v>-900057</v>
      </c>
      <c r="S27" s="420">
        <f t="shared" si="23"/>
        <v>-1236096</v>
      </c>
      <c r="T27" s="420">
        <f t="shared" si="23"/>
        <v>-341495</v>
      </c>
      <c r="U27" s="741">
        <f>SUM(U29:U37)</f>
        <v>-694240</v>
      </c>
      <c r="W27" s="420">
        <f t="shared" ref="W27:AC27" si="24">SUM(W29:W37)</f>
        <v>-346691</v>
      </c>
      <c r="X27" s="420">
        <f t="shared" si="24"/>
        <v>-342543</v>
      </c>
      <c r="Y27" s="420">
        <f t="shared" si="24"/>
        <v>-320488</v>
      </c>
      <c r="Z27" s="420">
        <f t="shared" si="24"/>
        <v>-289933</v>
      </c>
      <c r="AA27" s="420">
        <f t="shared" si="24"/>
        <v>-290087</v>
      </c>
      <c r="AB27" s="420">
        <f t="shared" si="24"/>
        <v>-308886</v>
      </c>
      <c r="AC27" s="420">
        <f t="shared" si="24"/>
        <v>-301084</v>
      </c>
      <c r="AD27" s="420">
        <f t="shared" ref="AD27:AE27" si="25">SUM(AD29:AD37)</f>
        <v>-336039</v>
      </c>
      <c r="AE27" s="420">
        <f t="shared" si="25"/>
        <v>-341495</v>
      </c>
      <c r="AF27" s="741">
        <f>SUM(AF29:AF37)</f>
        <v>-352745</v>
      </c>
    </row>
    <row r="28" spans="1:32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</row>
    <row r="29" spans="1:32" outlineLevel="1">
      <c r="A29" s="418" t="s">
        <v>632</v>
      </c>
      <c r="B29" s="418" t="s">
        <v>632</v>
      </c>
      <c r="D29" s="423">
        <v>-169058</v>
      </c>
      <c r="E29" s="423">
        <v>-325257</v>
      </c>
      <c r="F29" s="423">
        <v>-428417</v>
      </c>
      <c r="G29" s="423">
        <v>-549391</v>
      </c>
      <c r="H29" s="423">
        <v>-126714</v>
      </c>
      <c r="I29" s="423">
        <v>-270854</v>
      </c>
      <c r="J29" s="423">
        <v>-409511</v>
      </c>
      <c r="K29" s="423">
        <v>-579480</v>
      </c>
      <c r="L29" s="423">
        <v>-171838</v>
      </c>
      <c r="M29" s="423">
        <v>-332782</v>
      </c>
      <c r="N29" s="423">
        <v>-479523</v>
      </c>
      <c r="O29" s="423">
        <v>-653986</v>
      </c>
      <c r="P29" s="423">
        <v>-170520</v>
      </c>
      <c r="Q29" s="423">
        <v>-336157</v>
      </c>
      <c r="R29" s="423">
        <v>-481961</v>
      </c>
      <c r="S29" s="423">
        <v>-651393</v>
      </c>
      <c r="T29" s="423">
        <v>-171623</v>
      </c>
      <c r="U29" s="423">
        <v>-350466</v>
      </c>
      <c r="W29" s="423">
        <f t="shared" ref="W29:W37" si="26">L29</f>
        <v>-171838</v>
      </c>
      <c r="X29" s="423">
        <f t="shared" ref="X29:X37" si="27">M29-W29</f>
        <v>-160944</v>
      </c>
      <c r="Y29" s="423">
        <f t="shared" ref="Y29:Y37" si="28">N29-M29</f>
        <v>-146741</v>
      </c>
      <c r="Z29" s="423">
        <f t="shared" ref="Z29:Z37" si="29">O29-N29</f>
        <v>-174463</v>
      </c>
      <c r="AA29" s="423">
        <f t="shared" ref="AA29:AA37" si="30">P29</f>
        <v>-170520</v>
      </c>
      <c r="AB29" s="423">
        <f t="shared" ref="AB29:AB37" si="31">Q29-P29</f>
        <v>-165637</v>
      </c>
      <c r="AC29" s="423">
        <f t="shared" ref="AC29:AC37" si="32">R29-Q29</f>
        <v>-145804</v>
      </c>
      <c r="AD29" s="423">
        <f t="shared" ref="AD29:AD37" si="33">S29-R29</f>
        <v>-169432</v>
      </c>
      <c r="AE29" s="423">
        <f t="shared" ref="AE29:AE37" si="34">T29</f>
        <v>-171623</v>
      </c>
      <c r="AF29" s="423">
        <f t="shared" ref="AF29:AF37" si="35">U29-T29</f>
        <v>-178843</v>
      </c>
    </row>
    <row r="30" spans="1:32" outlineLevel="1">
      <c r="A30" s="418" t="s">
        <v>633</v>
      </c>
      <c r="B30" s="418" t="s">
        <v>634</v>
      </c>
      <c r="D30" s="423">
        <v>-83730</v>
      </c>
      <c r="E30" s="423">
        <v>-140606</v>
      </c>
      <c r="F30" s="423">
        <v>-196833</v>
      </c>
      <c r="G30" s="423">
        <v>-260714</v>
      </c>
      <c r="H30" s="423">
        <v>-62940</v>
      </c>
      <c r="I30" s="423">
        <v>-123957</v>
      </c>
      <c r="J30" s="423">
        <v>-185882</v>
      </c>
      <c r="K30" s="423">
        <v>-267816</v>
      </c>
      <c r="L30" s="423">
        <v>-60213</v>
      </c>
      <c r="M30" s="423">
        <v>-135442</v>
      </c>
      <c r="N30" s="423">
        <v>-207377</v>
      </c>
      <c r="O30" s="423">
        <v>-284526</v>
      </c>
      <c r="P30" s="423">
        <v>-60636</v>
      </c>
      <c r="Q30" s="423">
        <v>-135568</v>
      </c>
      <c r="R30" s="423">
        <v>-209408</v>
      </c>
      <c r="S30" s="423">
        <v>-291839</v>
      </c>
      <c r="T30" s="423">
        <v>-78796</v>
      </c>
      <c r="U30" s="423">
        <v>-165278</v>
      </c>
      <c r="W30" s="423">
        <f t="shared" si="26"/>
        <v>-60213</v>
      </c>
      <c r="X30" s="423">
        <f t="shared" si="27"/>
        <v>-75229</v>
      </c>
      <c r="Y30" s="423">
        <f t="shared" si="28"/>
        <v>-71935</v>
      </c>
      <c r="Z30" s="423">
        <f t="shared" si="29"/>
        <v>-77149</v>
      </c>
      <c r="AA30" s="423">
        <f t="shared" si="30"/>
        <v>-60636</v>
      </c>
      <c r="AB30" s="423">
        <f t="shared" si="31"/>
        <v>-74932</v>
      </c>
      <c r="AC30" s="423">
        <f t="shared" si="32"/>
        <v>-73840</v>
      </c>
      <c r="AD30" s="423">
        <f t="shared" si="33"/>
        <v>-82431</v>
      </c>
      <c r="AE30" s="423">
        <f t="shared" si="34"/>
        <v>-78796</v>
      </c>
      <c r="AF30" s="423">
        <f t="shared" si="35"/>
        <v>-86482</v>
      </c>
    </row>
    <row r="31" spans="1:32" outlineLevel="1">
      <c r="A31" s="418" t="s">
        <v>635</v>
      </c>
      <c r="B31" s="418" t="s">
        <v>636</v>
      </c>
      <c r="D31" s="423">
        <v>0</v>
      </c>
      <c r="E31" s="423">
        <v>0</v>
      </c>
      <c r="F31" s="423">
        <v>0</v>
      </c>
      <c r="G31" s="423">
        <v>0</v>
      </c>
      <c r="H31" s="423">
        <v>0</v>
      </c>
      <c r="I31" s="423">
        <v>0</v>
      </c>
      <c r="J31" s="423">
        <v>0</v>
      </c>
      <c r="K31" s="423">
        <v>0</v>
      </c>
      <c r="L31" s="423">
        <v>0</v>
      </c>
      <c r="M31" s="423">
        <v>0</v>
      </c>
      <c r="N31" s="423">
        <v>0</v>
      </c>
      <c r="O31" s="423">
        <v>0</v>
      </c>
      <c r="P31" s="423">
        <v>0</v>
      </c>
      <c r="Q31" s="423">
        <v>0</v>
      </c>
      <c r="R31" s="423">
        <v>0</v>
      </c>
      <c r="S31" s="423">
        <v>0</v>
      </c>
      <c r="T31" s="423">
        <v>0</v>
      </c>
      <c r="U31" s="423">
        <v>0</v>
      </c>
      <c r="W31" s="423">
        <f t="shared" si="26"/>
        <v>0</v>
      </c>
      <c r="X31" s="423">
        <f t="shared" si="27"/>
        <v>0</v>
      </c>
      <c r="Y31" s="423">
        <f t="shared" si="28"/>
        <v>0</v>
      </c>
      <c r="Z31" s="423">
        <f t="shared" si="29"/>
        <v>0</v>
      </c>
      <c r="AA31" s="423">
        <f t="shared" si="30"/>
        <v>0</v>
      </c>
      <c r="AB31" s="423">
        <f t="shared" si="31"/>
        <v>0</v>
      </c>
      <c r="AC31" s="423">
        <f t="shared" si="32"/>
        <v>0</v>
      </c>
      <c r="AD31" s="423">
        <f t="shared" si="33"/>
        <v>0</v>
      </c>
      <c r="AE31" s="423">
        <f t="shared" si="34"/>
        <v>0</v>
      </c>
      <c r="AF31" s="423">
        <f t="shared" si="35"/>
        <v>0</v>
      </c>
    </row>
    <row r="32" spans="1:32" outlineLevel="1">
      <c r="A32" s="418" t="s">
        <v>637</v>
      </c>
      <c r="B32" s="418" t="s">
        <v>638</v>
      </c>
      <c r="D32" s="423">
        <v>0</v>
      </c>
      <c r="E32" s="423">
        <v>0</v>
      </c>
      <c r="F32" s="423">
        <v>0</v>
      </c>
      <c r="G32" s="423">
        <v>0</v>
      </c>
      <c r="H32" s="423">
        <v>0</v>
      </c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>
        <v>0</v>
      </c>
      <c r="T32" s="423">
        <v>0</v>
      </c>
      <c r="U32" s="423">
        <v>0</v>
      </c>
      <c r="W32" s="423">
        <f t="shared" si="26"/>
        <v>0</v>
      </c>
      <c r="X32" s="423">
        <f t="shared" si="27"/>
        <v>0</v>
      </c>
      <c r="Y32" s="423">
        <f t="shared" si="28"/>
        <v>0</v>
      </c>
      <c r="Z32" s="423">
        <f t="shared" si="29"/>
        <v>0</v>
      </c>
      <c r="AA32" s="423">
        <f t="shared" si="30"/>
        <v>0</v>
      </c>
      <c r="AB32" s="423">
        <f t="shared" si="31"/>
        <v>0</v>
      </c>
      <c r="AC32" s="423">
        <f t="shared" si="32"/>
        <v>0</v>
      </c>
      <c r="AD32" s="423">
        <f t="shared" si="33"/>
        <v>0</v>
      </c>
      <c r="AE32" s="423">
        <f t="shared" si="34"/>
        <v>0</v>
      </c>
      <c r="AF32" s="423">
        <f t="shared" si="35"/>
        <v>0</v>
      </c>
    </row>
    <row r="33" spans="1:32" outlineLevel="1">
      <c r="A33" s="418" t="s">
        <v>639</v>
      </c>
      <c r="B33" s="418" t="s">
        <v>640</v>
      </c>
      <c r="D33" s="423">
        <v>-4947</v>
      </c>
      <c r="E33" s="423">
        <v>-9789</v>
      </c>
      <c r="F33" s="423">
        <v>-14765</v>
      </c>
      <c r="G33" s="423">
        <v>-20374</v>
      </c>
      <c r="H33" s="423">
        <v>-5483</v>
      </c>
      <c r="I33" s="423">
        <v>-10623</v>
      </c>
      <c r="J33" s="423">
        <v>-16343</v>
      </c>
      <c r="K33" s="423">
        <v>-22141</v>
      </c>
      <c r="L33" s="423">
        <v>-5993</v>
      </c>
      <c r="M33" s="423">
        <v>-11888</v>
      </c>
      <c r="N33" s="423">
        <v>-18510</v>
      </c>
      <c r="O33" s="423">
        <v>-25416</v>
      </c>
      <c r="P33" s="423">
        <v>-6301</v>
      </c>
      <c r="Q33" s="423">
        <v>-14315</v>
      </c>
      <c r="R33" s="423">
        <v>-21024</v>
      </c>
      <c r="S33" s="423">
        <v>-28302</v>
      </c>
      <c r="T33" s="423">
        <v>-7317</v>
      </c>
      <c r="U33" s="423">
        <v>-15050</v>
      </c>
      <c r="W33" s="423">
        <f t="shared" si="26"/>
        <v>-5993</v>
      </c>
      <c r="X33" s="423">
        <f t="shared" si="27"/>
        <v>-5895</v>
      </c>
      <c r="Y33" s="423">
        <f t="shared" si="28"/>
        <v>-6622</v>
      </c>
      <c r="Z33" s="423">
        <f t="shared" si="29"/>
        <v>-6906</v>
      </c>
      <c r="AA33" s="423">
        <f t="shared" si="30"/>
        <v>-6301</v>
      </c>
      <c r="AB33" s="423">
        <f t="shared" si="31"/>
        <v>-8014</v>
      </c>
      <c r="AC33" s="423">
        <f t="shared" si="32"/>
        <v>-6709</v>
      </c>
      <c r="AD33" s="423">
        <f t="shared" si="33"/>
        <v>-7278</v>
      </c>
      <c r="AE33" s="423">
        <f t="shared" si="34"/>
        <v>-7317</v>
      </c>
      <c r="AF33" s="423">
        <f t="shared" si="35"/>
        <v>-7733</v>
      </c>
    </row>
    <row r="34" spans="1:32" outlineLevel="1">
      <c r="A34" s="418" t="s">
        <v>641</v>
      </c>
      <c r="B34" s="418" t="s">
        <v>642</v>
      </c>
      <c r="D34" s="423">
        <v>-612</v>
      </c>
      <c r="E34" s="423">
        <v>-1250</v>
      </c>
      <c r="F34" s="423">
        <v>-1970</v>
      </c>
      <c r="G34" s="423">
        <v>-2662</v>
      </c>
      <c r="H34" s="423">
        <v>-692</v>
      </c>
      <c r="I34" s="423">
        <v>-1401</v>
      </c>
      <c r="J34" s="423">
        <v>-2160</v>
      </c>
      <c r="K34" s="423">
        <v>-2902</v>
      </c>
      <c r="L34" s="423">
        <v>-742</v>
      </c>
      <c r="M34" s="423">
        <v>-1585</v>
      </c>
      <c r="N34" s="423">
        <v>-2427</v>
      </c>
      <c r="O34" s="423">
        <v>-3320</v>
      </c>
      <c r="P34" s="423">
        <v>-893</v>
      </c>
      <c r="Q34" s="423">
        <v>-1796</v>
      </c>
      <c r="R34" s="423">
        <v>-2720</v>
      </c>
      <c r="S34" s="423">
        <v>-3643</v>
      </c>
      <c r="T34" s="423">
        <v>-923</v>
      </c>
      <c r="U34" s="423">
        <v>-1869</v>
      </c>
      <c r="W34" s="423">
        <f t="shared" si="26"/>
        <v>-742</v>
      </c>
      <c r="X34" s="423">
        <f t="shared" si="27"/>
        <v>-843</v>
      </c>
      <c r="Y34" s="423">
        <f t="shared" si="28"/>
        <v>-842</v>
      </c>
      <c r="Z34" s="423">
        <f t="shared" si="29"/>
        <v>-893</v>
      </c>
      <c r="AA34" s="423">
        <f t="shared" si="30"/>
        <v>-893</v>
      </c>
      <c r="AB34" s="423">
        <f t="shared" si="31"/>
        <v>-903</v>
      </c>
      <c r="AC34" s="423">
        <f t="shared" si="32"/>
        <v>-924</v>
      </c>
      <c r="AD34" s="423">
        <f t="shared" si="33"/>
        <v>-923</v>
      </c>
      <c r="AE34" s="423">
        <f t="shared" si="34"/>
        <v>-923</v>
      </c>
      <c r="AF34" s="423">
        <f t="shared" si="35"/>
        <v>-946</v>
      </c>
    </row>
    <row r="35" spans="1:32" outlineLevel="1">
      <c r="A35" s="418" t="s">
        <v>643</v>
      </c>
      <c r="B35" s="418" t="s">
        <v>644</v>
      </c>
      <c r="D35" s="423">
        <v>-62615</v>
      </c>
      <c r="E35" s="423">
        <v>-124527</v>
      </c>
      <c r="F35" s="423">
        <v>-186085</v>
      </c>
      <c r="G35" s="423">
        <v>-247644</v>
      </c>
      <c r="H35" s="423">
        <v>-63377</v>
      </c>
      <c r="I35" s="423">
        <v>-148493</v>
      </c>
      <c r="J35" s="423">
        <v>-244558</v>
      </c>
      <c r="K35" s="423">
        <v>-340624</v>
      </c>
      <c r="L35" s="423">
        <v>-102720</v>
      </c>
      <c r="M35" s="423">
        <v>-197253</v>
      </c>
      <c r="N35" s="423">
        <v>-287693</v>
      </c>
      <c r="O35" s="423">
        <v>-311011</v>
      </c>
      <c r="P35" s="423">
        <v>-50539</v>
      </c>
      <c r="Q35" s="423">
        <v>-100168</v>
      </c>
      <c r="R35" s="423">
        <v>-171205</v>
      </c>
      <c r="S35" s="423">
        <v>-242753</v>
      </c>
      <c r="T35" s="423">
        <v>-79105</v>
      </c>
      <c r="U35" s="423">
        <v>-152669</v>
      </c>
      <c r="W35" s="423">
        <f t="shared" si="26"/>
        <v>-102720</v>
      </c>
      <c r="X35" s="423">
        <f t="shared" si="27"/>
        <v>-94533</v>
      </c>
      <c r="Y35" s="423">
        <f t="shared" si="28"/>
        <v>-90440</v>
      </c>
      <c r="Z35" s="423">
        <f t="shared" si="29"/>
        <v>-23318</v>
      </c>
      <c r="AA35" s="423">
        <f t="shared" si="30"/>
        <v>-50539</v>
      </c>
      <c r="AB35" s="423">
        <f t="shared" si="31"/>
        <v>-49629</v>
      </c>
      <c r="AC35" s="423">
        <f t="shared" si="32"/>
        <v>-71037</v>
      </c>
      <c r="AD35" s="423">
        <f t="shared" si="33"/>
        <v>-71548</v>
      </c>
      <c r="AE35" s="423">
        <f t="shared" si="34"/>
        <v>-79105</v>
      </c>
      <c r="AF35" s="423">
        <f t="shared" si="35"/>
        <v>-73564</v>
      </c>
    </row>
    <row r="36" spans="1:32" outlineLevel="1">
      <c r="A36" s="418" t="s">
        <v>645</v>
      </c>
      <c r="B36" s="418" t="s">
        <v>645</v>
      </c>
      <c r="D36" s="423">
        <v>-369</v>
      </c>
      <c r="E36" s="423">
        <v>-572</v>
      </c>
      <c r="F36" s="423">
        <v>-729</v>
      </c>
      <c r="G36" s="423">
        <v>-904</v>
      </c>
      <c r="H36" s="423">
        <v>-283</v>
      </c>
      <c r="I36" s="423">
        <v>-471</v>
      </c>
      <c r="J36" s="423">
        <v>-678</v>
      </c>
      <c r="K36" s="423">
        <v>-899</v>
      </c>
      <c r="L36" s="423">
        <v>-258</v>
      </c>
      <c r="M36" s="423">
        <v>-509</v>
      </c>
      <c r="N36" s="423">
        <v>-748</v>
      </c>
      <c r="O36" s="423">
        <v>-1006</v>
      </c>
      <c r="P36" s="423">
        <v>-261</v>
      </c>
      <c r="Q36" s="423">
        <v>-527</v>
      </c>
      <c r="R36" s="423">
        <v>-768</v>
      </c>
      <c r="S36" s="423">
        <v>-1035</v>
      </c>
      <c r="T36" s="423">
        <v>-275</v>
      </c>
      <c r="U36" s="423">
        <v>-533</v>
      </c>
      <c r="W36" s="423">
        <f t="shared" si="26"/>
        <v>-258</v>
      </c>
      <c r="X36" s="423">
        <f t="shared" si="27"/>
        <v>-251</v>
      </c>
      <c r="Y36" s="423">
        <f t="shared" si="28"/>
        <v>-239</v>
      </c>
      <c r="Z36" s="423">
        <f t="shared" si="29"/>
        <v>-258</v>
      </c>
      <c r="AA36" s="423">
        <f t="shared" si="30"/>
        <v>-261</v>
      </c>
      <c r="AB36" s="423">
        <f t="shared" si="31"/>
        <v>-266</v>
      </c>
      <c r="AC36" s="423">
        <f t="shared" si="32"/>
        <v>-241</v>
      </c>
      <c r="AD36" s="423">
        <f t="shared" si="33"/>
        <v>-267</v>
      </c>
      <c r="AE36" s="423">
        <f t="shared" si="34"/>
        <v>-275</v>
      </c>
      <c r="AF36" s="423">
        <f t="shared" si="35"/>
        <v>-258</v>
      </c>
    </row>
    <row r="37" spans="1:32" outlineLevel="1">
      <c r="A37" s="418" t="s">
        <v>95</v>
      </c>
      <c r="B37" s="418" t="s">
        <v>96</v>
      </c>
      <c r="D37" s="423">
        <v>-8998</v>
      </c>
      <c r="E37" s="423">
        <v>-59018</v>
      </c>
      <c r="F37" s="423">
        <v>-61861</v>
      </c>
      <c r="G37" s="423">
        <v>-64040</v>
      </c>
      <c r="H37" s="423">
        <v>-2954</v>
      </c>
      <c r="I37" s="423">
        <v>-7910</v>
      </c>
      <c r="J37" s="423">
        <v>-11142</v>
      </c>
      <c r="K37" s="423">
        <v>-17773</v>
      </c>
      <c r="L37" s="423">
        <v>-4927</v>
      </c>
      <c r="M37" s="423">
        <v>-9775</v>
      </c>
      <c r="N37" s="423">
        <v>-13444</v>
      </c>
      <c r="O37" s="423">
        <v>-20390</v>
      </c>
      <c r="P37" s="423">
        <v>-937</v>
      </c>
      <c r="Q37" s="423">
        <v>-10442</v>
      </c>
      <c r="R37" s="423">
        <v>-12971</v>
      </c>
      <c r="S37" s="423">
        <v>-17131</v>
      </c>
      <c r="T37" s="423">
        <v>-3456</v>
      </c>
      <c r="U37" s="423">
        <v>-8375</v>
      </c>
      <c r="W37" s="423">
        <f t="shared" si="26"/>
        <v>-4927</v>
      </c>
      <c r="X37" s="423">
        <f t="shared" si="27"/>
        <v>-4848</v>
      </c>
      <c r="Y37" s="423">
        <f t="shared" si="28"/>
        <v>-3669</v>
      </c>
      <c r="Z37" s="423">
        <f t="shared" si="29"/>
        <v>-6946</v>
      </c>
      <c r="AA37" s="423">
        <f t="shared" si="30"/>
        <v>-937</v>
      </c>
      <c r="AB37" s="423">
        <f t="shared" si="31"/>
        <v>-9505</v>
      </c>
      <c r="AC37" s="423">
        <f t="shared" si="32"/>
        <v>-2529</v>
      </c>
      <c r="AD37" s="423">
        <f t="shared" si="33"/>
        <v>-4160</v>
      </c>
      <c r="AE37" s="423">
        <f t="shared" si="34"/>
        <v>-3456</v>
      </c>
      <c r="AF37" s="423">
        <f t="shared" si="35"/>
        <v>-4919</v>
      </c>
    </row>
    <row r="38" spans="1:32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</row>
    <row r="39" spans="1:32">
      <c r="A39" s="429" t="s">
        <v>646</v>
      </c>
      <c r="B39" s="429" t="s">
        <v>647</v>
      </c>
      <c r="D39" s="420">
        <f t="shared" ref="D39:Q39" si="36">D27+D6</f>
        <v>582091</v>
      </c>
      <c r="E39" s="420">
        <f t="shared" si="36"/>
        <v>1203973</v>
      </c>
      <c r="F39" s="420">
        <f t="shared" si="36"/>
        <v>1827186</v>
      </c>
      <c r="G39" s="420">
        <f t="shared" si="36"/>
        <v>2556322</v>
      </c>
      <c r="H39" s="420">
        <f t="shared" si="36"/>
        <v>702872</v>
      </c>
      <c r="I39" s="420">
        <f t="shared" si="36"/>
        <v>1418188</v>
      </c>
      <c r="J39" s="420">
        <f t="shared" si="36"/>
        <v>2191048</v>
      </c>
      <c r="K39" s="420">
        <f t="shared" si="36"/>
        <v>3062974</v>
      </c>
      <c r="L39" s="420">
        <f t="shared" si="36"/>
        <v>721408</v>
      </c>
      <c r="M39" s="420">
        <f t="shared" si="36"/>
        <v>1456557</v>
      </c>
      <c r="N39" s="420">
        <f t="shared" si="36"/>
        <v>2290951</v>
      </c>
      <c r="O39" s="420">
        <f t="shared" si="36"/>
        <v>3109736</v>
      </c>
      <c r="P39" s="420">
        <f t="shared" si="36"/>
        <v>812853</v>
      </c>
      <c r="Q39" s="420">
        <f t="shared" si="36"/>
        <v>1710553</v>
      </c>
      <c r="R39" s="420">
        <f t="shared" ref="R39:T39" si="37">R27+R6</f>
        <v>2560408</v>
      </c>
      <c r="S39" s="420">
        <f t="shared" si="37"/>
        <v>3461962</v>
      </c>
      <c r="T39" s="420">
        <f t="shared" si="37"/>
        <v>935740</v>
      </c>
      <c r="U39" s="741">
        <f>U27+U6</f>
        <v>1931333</v>
      </c>
      <c r="W39" s="420">
        <f t="shared" ref="W39:AC39" si="38">W27+W6</f>
        <v>721408</v>
      </c>
      <c r="X39" s="420">
        <f t="shared" si="38"/>
        <v>735149</v>
      </c>
      <c r="Y39" s="420">
        <f t="shared" si="38"/>
        <v>834394</v>
      </c>
      <c r="Z39" s="420">
        <f t="shared" si="38"/>
        <v>818785</v>
      </c>
      <c r="AA39" s="420">
        <f t="shared" si="38"/>
        <v>812853</v>
      </c>
      <c r="AB39" s="420">
        <f t="shared" si="38"/>
        <v>897700</v>
      </c>
      <c r="AC39" s="420">
        <f t="shared" si="38"/>
        <v>849855</v>
      </c>
      <c r="AD39" s="420">
        <f t="shared" ref="AD39:AE39" si="39">AD27+AD6</f>
        <v>901554</v>
      </c>
      <c r="AE39" s="420">
        <f t="shared" si="39"/>
        <v>935740</v>
      </c>
      <c r="AF39" s="741">
        <f>AF27+AF6</f>
        <v>995593</v>
      </c>
    </row>
    <row r="40" spans="1:32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</row>
    <row r="41" spans="1:32">
      <c r="A41" s="416" t="s">
        <v>648</v>
      </c>
      <c r="B41" s="416" t="s">
        <v>649</v>
      </c>
      <c r="D41" s="424">
        <f t="shared" ref="D41:Q41" si="40">SUM(D43:D49)</f>
        <v>-418272</v>
      </c>
      <c r="E41" s="424">
        <f t="shared" si="40"/>
        <v>-857706</v>
      </c>
      <c r="F41" s="424">
        <f t="shared" si="40"/>
        <v>-1318448</v>
      </c>
      <c r="G41" s="424">
        <f t="shared" si="40"/>
        <v>-1837564</v>
      </c>
      <c r="H41" s="424">
        <f t="shared" si="40"/>
        <v>-484274</v>
      </c>
      <c r="I41" s="424">
        <f t="shared" si="40"/>
        <v>-1032457</v>
      </c>
      <c r="J41" s="424">
        <f t="shared" si="40"/>
        <v>-1572314</v>
      </c>
      <c r="K41" s="424">
        <f t="shared" si="40"/>
        <v>-2249339</v>
      </c>
      <c r="L41" s="424">
        <f t="shared" si="40"/>
        <v>-485779</v>
      </c>
      <c r="M41" s="424">
        <f t="shared" si="40"/>
        <v>-979197</v>
      </c>
      <c r="N41" s="424">
        <f t="shared" si="40"/>
        <v>-1578556</v>
      </c>
      <c r="O41" s="424">
        <f t="shared" si="40"/>
        <v>-2222535</v>
      </c>
      <c r="P41" s="424">
        <f t="shared" si="40"/>
        <v>-587950</v>
      </c>
      <c r="Q41" s="424">
        <f t="shared" si="40"/>
        <v>-1194006</v>
      </c>
      <c r="R41" s="424">
        <f t="shared" ref="R41:T41" si="41">SUM(R43:R49)</f>
        <v>-1831426</v>
      </c>
      <c r="S41" s="424">
        <f t="shared" si="41"/>
        <v>-2456510</v>
      </c>
      <c r="T41" s="424">
        <f t="shared" si="41"/>
        <v>-642715</v>
      </c>
      <c r="U41" s="424">
        <f>SUM(U43:U49)</f>
        <v>-1368271</v>
      </c>
      <c r="W41" s="424">
        <f t="shared" ref="W41:AC41" si="42">SUM(W43:W49)</f>
        <v>-485779</v>
      </c>
      <c r="X41" s="424">
        <f t="shared" si="42"/>
        <v>-493418</v>
      </c>
      <c r="Y41" s="424">
        <f t="shared" si="42"/>
        <v>-599359</v>
      </c>
      <c r="Z41" s="424">
        <f t="shared" si="42"/>
        <v>-643979</v>
      </c>
      <c r="AA41" s="424">
        <f t="shared" si="42"/>
        <v>-587950</v>
      </c>
      <c r="AB41" s="424">
        <f t="shared" si="42"/>
        <v>-606056</v>
      </c>
      <c r="AC41" s="424">
        <f t="shared" si="42"/>
        <v>-637420</v>
      </c>
      <c r="AD41" s="424">
        <f t="shared" ref="AD41:AE41" si="43">SUM(AD43:AD49)</f>
        <v>-625084</v>
      </c>
      <c r="AE41" s="424">
        <f t="shared" si="43"/>
        <v>-642715</v>
      </c>
      <c r="AF41" s="424">
        <f>SUM(AF43:AF49)</f>
        <v>-543159</v>
      </c>
    </row>
    <row r="42" spans="1:32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</row>
    <row r="43" spans="1:32">
      <c r="A43" s="417" t="s">
        <v>650</v>
      </c>
      <c r="B43" s="417" t="s">
        <v>651</v>
      </c>
      <c r="D43" s="422">
        <v>-319672</v>
      </c>
      <c r="E43" s="422">
        <v>-625069</v>
      </c>
      <c r="F43" s="422">
        <v>-938703</v>
      </c>
      <c r="G43" s="422">
        <v>-1277954</v>
      </c>
      <c r="H43" s="422">
        <v>-334591</v>
      </c>
      <c r="I43" s="422">
        <v>-664881</v>
      </c>
      <c r="J43" s="422">
        <v>-998819</v>
      </c>
      <c r="K43" s="422">
        <v>-1379405</v>
      </c>
      <c r="L43" s="422">
        <v>-326651</v>
      </c>
      <c r="M43" s="422">
        <v>-654323</v>
      </c>
      <c r="N43" s="422">
        <v>-1060090</v>
      </c>
      <c r="O43" s="422">
        <v>-1502019</v>
      </c>
      <c r="P43" s="422">
        <v>-369630</v>
      </c>
      <c r="Q43" s="422">
        <v>-743484</v>
      </c>
      <c r="R43" s="422">
        <v>-1158978</v>
      </c>
      <c r="S43" s="422">
        <v>-1572527</v>
      </c>
      <c r="T43" s="422">
        <v>-414653</v>
      </c>
      <c r="U43" s="422">
        <v>-701134</v>
      </c>
      <c r="W43" s="422">
        <f>L43</f>
        <v>-326651</v>
      </c>
      <c r="X43" s="422">
        <f>M43-W43</f>
        <v>-327672</v>
      </c>
      <c r="Y43" s="422">
        <f>N43-M43</f>
        <v>-405767</v>
      </c>
      <c r="Z43" s="422">
        <f>O43-N43</f>
        <v>-441929</v>
      </c>
      <c r="AA43" s="422">
        <f>P43</f>
        <v>-369630</v>
      </c>
      <c r="AB43" s="422">
        <f>Q43-P43</f>
        <v>-373854</v>
      </c>
      <c r="AC43" s="422">
        <f>R43-Q43</f>
        <v>-415494</v>
      </c>
      <c r="AD43" s="422">
        <f>S43-R43</f>
        <v>-413549</v>
      </c>
      <c r="AE43" s="422">
        <f>T43</f>
        <v>-414653</v>
      </c>
      <c r="AF43" s="422">
        <f>U43-T43</f>
        <v>-286481</v>
      </c>
    </row>
    <row r="44" spans="1:32">
      <c r="A44" s="417" t="s">
        <v>2498</v>
      </c>
      <c r="B44" s="417" t="s">
        <v>2499</v>
      </c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>
        <v>-182397</v>
      </c>
      <c r="W44" s="422"/>
      <c r="X44" s="422"/>
      <c r="Y44" s="422"/>
      <c r="Z44" s="422"/>
      <c r="AA44" s="422"/>
      <c r="AB44" s="422"/>
      <c r="AC44" s="422"/>
      <c r="AD44" s="422"/>
      <c r="AE44" s="422"/>
      <c r="AF44" s="422"/>
    </row>
    <row r="45" spans="1:32">
      <c r="A45" s="417" t="s">
        <v>652</v>
      </c>
      <c r="B45" s="417" t="s">
        <v>653</v>
      </c>
      <c r="D45" s="422">
        <v>-70196</v>
      </c>
      <c r="E45" s="422">
        <v>-174684</v>
      </c>
      <c r="F45" s="422">
        <v>-284629</v>
      </c>
      <c r="G45" s="422">
        <v>-426115</v>
      </c>
      <c r="H45" s="422">
        <v>-120198</v>
      </c>
      <c r="I45" s="422">
        <v>-288401</v>
      </c>
      <c r="J45" s="422">
        <v>-454369</v>
      </c>
      <c r="K45" s="422">
        <v>-671007</v>
      </c>
      <c r="L45" s="422">
        <v>-99137</v>
      </c>
      <c r="M45" s="422">
        <v>-230705</v>
      </c>
      <c r="N45" s="422">
        <v>-380899</v>
      </c>
      <c r="O45" s="422">
        <v>-508374</v>
      </c>
      <c r="P45" s="422">
        <v>-159905</v>
      </c>
      <c r="Q45" s="422">
        <v>-338538</v>
      </c>
      <c r="R45" s="422">
        <v>-500946</v>
      </c>
      <c r="S45" s="422">
        <v>-659636</v>
      </c>
      <c r="T45" s="422">
        <v>-168673</v>
      </c>
      <c r="U45" s="422">
        <v>-356517</v>
      </c>
      <c r="W45" s="422">
        <f>L45</f>
        <v>-99137</v>
      </c>
      <c r="X45" s="422">
        <f>M45-W45</f>
        <v>-131568</v>
      </c>
      <c r="Y45" s="422">
        <f t="shared" ref="Y45:Z48" si="44">N45-M45</f>
        <v>-150194</v>
      </c>
      <c r="Z45" s="422">
        <f t="shared" si="44"/>
        <v>-127475</v>
      </c>
      <c r="AA45" s="422">
        <f>P45</f>
        <v>-159905</v>
      </c>
      <c r="AB45" s="422">
        <f t="shared" ref="AB45:AD48" si="45">Q45-P45</f>
        <v>-178633</v>
      </c>
      <c r="AC45" s="422">
        <f t="shared" si="45"/>
        <v>-162408</v>
      </c>
      <c r="AD45" s="422">
        <f t="shared" si="45"/>
        <v>-158690</v>
      </c>
      <c r="AE45" s="422">
        <f>T45</f>
        <v>-168673</v>
      </c>
      <c r="AF45" s="422">
        <f>U45-T45</f>
        <v>-187844</v>
      </c>
    </row>
    <row r="46" spans="1:32">
      <c r="A46" s="417" t="s">
        <v>654</v>
      </c>
      <c r="B46" s="417" t="s">
        <v>655</v>
      </c>
      <c r="D46" s="422">
        <v>0</v>
      </c>
      <c r="E46" s="422">
        <v>0</v>
      </c>
      <c r="F46" s="422">
        <v>0</v>
      </c>
      <c r="G46" s="422">
        <v>0</v>
      </c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>
        <v>0</v>
      </c>
      <c r="T46" s="422">
        <v>0</v>
      </c>
      <c r="U46" s="422">
        <v>0</v>
      </c>
      <c r="W46" s="422">
        <f>L46</f>
        <v>0</v>
      </c>
      <c r="X46" s="422">
        <f>M46-W46</f>
        <v>0</v>
      </c>
      <c r="Y46" s="422">
        <f t="shared" si="44"/>
        <v>0</v>
      </c>
      <c r="Z46" s="422">
        <f t="shared" si="44"/>
        <v>0</v>
      </c>
      <c r="AA46" s="422">
        <f>P46</f>
        <v>0</v>
      </c>
      <c r="AB46" s="422">
        <f t="shared" si="45"/>
        <v>0</v>
      </c>
      <c r="AC46" s="422">
        <f t="shared" si="45"/>
        <v>0</v>
      </c>
      <c r="AD46" s="422">
        <f t="shared" si="45"/>
        <v>0</v>
      </c>
      <c r="AE46" s="422">
        <f>T46</f>
        <v>0</v>
      </c>
      <c r="AF46" s="422">
        <f>U46-T46</f>
        <v>0</v>
      </c>
    </row>
    <row r="47" spans="1:32">
      <c r="A47" s="417" t="s">
        <v>656</v>
      </c>
      <c r="B47" s="417" t="s">
        <v>657</v>
      </c>
      <c r="D47" s="422">
        <v>0</v>
      </c>
      <c r="E47" s="422">
        <v>0</v>
      </c>
      <c r="F47" s="422">
        <v>0</v>
      </c>
      <c r="G47" s="422">
        <v>0</v>
      </c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>
        <v>0</v>
      </c>
      <c r="T47" s="422">
        <v>0</v>
      </c>
      <c r="U47" s="422">
        <v>0</v>
      </c>
      <c r="W47" s="422">
        <f>L47</f>
        <v>0</v>
      </c>
      <c r="X47" s="422">
        <f>M47-W47</f>
        <v>0</v>
      </c>
      <c r="Y47" s="422">
        <f t="shared" si="44"/>
        <v>0</v>
      </c>
      <c r="Z47" s="422">
        <f t="shared" si="44"/>
        <v>0</v>
      </c>
      <c r="AA47" s="422">
        <f>P47</f>
        <v>0</v>
      </c>
      <c r="AB47" s="422">
        <f t="shared" si="45"/>
        <v>0</v>
      </c>
      <c r="AC47" s="422">
        <f t="shared" si="45"/>
        <v>0</v>
      </c>
      <c r="AD47" s="422">
        <f t="shared" si="45"/>
        <v>0</v>
      </c>
      <c r="AE47" s="422">
        <f>T47</f>
        <v>0</v>
      </c>
      <c r="AF47" s="422">
        <f>U47-T47</f>
        <v>0</v>
      </c>
    </row>
    <row r="48" spans="1:32">
      <c r="A48" s="417" t="s">
        <v>658</v>
      </c>
      <c r="B48" s="417" t="s">
        <v>659</v>
      </c>
      <c r="D48" s="422">
        <v>0</v>
      </c>
      <c r="E48" s="422">
        <v>0</v>
      </c>
      <c r="F48" s="422">
        <v>0</v>
      </c>
      <c r="G48" s="422">
        <v>0</v>
      </c>
      <c r="H48" s="422">
        <v>0</v>
      </c>
      <c r="I48" s="422">
        <v>0</v>
      </c>
      <c r="J48" s="422">
        <v>0</v>
      </c>
      <c r="K48" s="422">
        <v>0</v>
      </c>
      <c r="L48" s="422">
        <v>0</v>
      </c>
      <c r="M48" s="422">
        <v>0</v>
      </c>
      <c r="N48" s="422">
        <v>0</v>
      </c>
      <c r="O48" s="422">
        <v>0</v>
      </c>
      <c r="P48" s="422">
        <v>0</v>
      </c>
      <c r="Q48" s="422">
        <v>0</v>
      </c>
      <c r="R48" s="422">
        <v>0</v>
      </c>
      <c r="S48" s="422">
        <v>0</v>
      </c>
      <c r="T48" s="422">
        <v>0</v>
      </c>
      <c r="U48" s="422">
        <v>0</v>
      </c>
      <c r="W48" s="422">
        <f>L48</f>
        <v>0</v>
      </c>
      <c r="X48" s="422">
        <f>M48-W48</f>
        <v>0</v>
      </c>
      <c r="Y48" s="422">
        <f t="shared" si="44"/>
        <v>0</v>
      </c>
      <c r="Z48" s="422">
        <f t="shared" si="44"/>
        <v>0</v>
      </c>
      <c r="AA48" s="422">
        <f>P48</f>
        <v>0</v>
      </c>
      <c r="AB48" s="422">
        <f t="shared" si="45"/>
        <v>0</v>
      </c>
      <c r="AC48" s="422">
        <f t="shared" si="45"/>
        <v>0</v>
      </c>
      <c r="AD48" s="422">
        <f t="shared" si="45"/>
        <v>0</v>
      </c>
      <c r="AE48" s="422">
        <f>T48</f>
        <v>0</v>
      </c>
      <c r="AF48" s="422">
        <f>U48-T48</f>
        <v>0</v>
      </c>
    </row>
    <row r="49" spans="1:32">
      <c r="A49" s="417" t="s">
        <v>660</v>
      </c>
      <c r="B49" s="417" t="s">
        <v>661</v>
      </c>
      <c r="D49" s="422">
        <f t="shared" ref="D49:I49" si="46">SUM(D50:D56)</f>
        <v>-28404</v>
      </c>
      <c r="E49" s="422">
        <f t="shared" si="46"/>
        <v>-57953</v>
      </c>
      <c r="F49" s="422">
        <f t="shared" si="46"/>
        <v>-95116</v>
      </c>
      <c r="G49" s="422">
        <f t="shared" si="46"/>
        <v>-133495</v>
      </c>
      <c r="H49" s="422">
        <f t="shared" si="46"/>
        <v>-29485</v>
      </c>
      <c r="I49" s="422">
        <f t="shared" si="46"/>
        <v>-79175</v>
      </c>
      <c r="J49" s="422">
        <f t="shared" ref="J49:T49" si="47">SUM(J50:J56)</f>
        <v>-119126</v>
      </c>
      <c r="K49" s="422">
        <f t="shared" si="47"/>
        <v>-198927</v>
      </c>
      <c r="L49" s="422">
        <f t="shared" si="47"/>
        <v>-59991</v>
      </c>
      <c r="M49" s="422">
        <f t="shared" si="47"/>
        <v>-94169</v>
      </c>
      <c r="N49" s="422">
        <f t="shared" si="47"/>
        <v>-137567</v>
      </c>
      <c r="O49" s="422">
        <f t="shared" si="47"/>
        <v>-212142</v>
      </c>
      <c r="P49" s="422">
        <f t="shared" si="47"/>
        <v>-58415</v>
      </c>
      <c r="Q49" s="422">
        <f t="shared" si="47"/>
        <v>-111984</v>
      </c>
      <c r="R49" s="422">
        <f t="shared" si="47"/>
        <v>-171502</v>
      </c>
      <c r="S49" s="422">
        <f t="shared" si="47"/>
        <v>-224347</v>
      </c>
      <c r="T49" s="422">
        <f t="shared" si="47"/>
        <v>-59389</v>
      </c>
      <c r="U49" s="422">
        <f>SUM(U50:U56)</f>
        <v>-128223</v>
      </c>
      <c r="W49" s="422">
        <f t="shared" ref="W49:AC49" si="48">SUM(W50:W56)</f>
        <v>-59991</v>
      </c>
      <c r="X49" s="422">
        <f t="shared" si="48"/>
        <v>-34178</v>
      </c>
      <c r="Y49" s="422">
        <f t="shared" si="48"/>
        <v>-43398</v>
      </c>
      <c r="Z49" s="422">
        <f t="shared" si="48"/>
        <v>-74575</v>
      </c>
      <c r="AA49" s="422">
        <f t="shared" si="48"/>
        <v>-58415</v>
      </c>
      <c r="AB49" s="422">
        <f t="shared" si="48"/>
        <v>-53569</v>
      </c>
      <c r="AC49" s="422">
        <f t="shared" si="48"/>
        <v>-59518</v>
      </c>
      <c r="AD49" s="422">
        <f t="shared" ref="AD49:AE49" si="49">SUM(AD50:AD56)</f>
        <v>-52845</v>
      </c>
      <c r="AE49" s="422">
        <f t="shared" si="49"/>
        <v>-59389</v>
      </c>
      <c r="AF49" s="422">
        <f>SUM(AF50:AF56)</f>
        <v>-68834</v>
      </c>
    </row>
    <row r="50" spans="1:32" outlineLevel="1">
      <c r="A50" s="418" t="s">
        <v>662</v>
      </c>
      <c r="B50" s="418" t="s">
        <v>663</v>
      </c>
      <c r="D50" s="423">
        <v>-2375</v>
      </c>
      <c r="E50" s="423">
        <v>-5620</v>
      </c>
      <c r="F50" s="423">
        <v>-9333</v>
      </c>
      <c r="G50" s="423">
        <v>-8872</v>
      </c>
      <c r="H50" s="423">
        <v>-4721</v>
      </c>
      <c r="I50" s="423">
        <v>-8722</v>
      </c>
      <c r="J50" s="423">
        <v>-12520</v>
      </c>
      <c r="K50" s="423">
        <v>-16709</v>
      </c>
      <c r="L50" s="423">
        <v>-4106</v>
      </c>
      <c r="M50" s="423">
        <v>-7140</v>
      </c>
      <c r="N50" s="423">
        <v>-13688</v>
      </c>
      <c r="O50" s="423">
        <v>-34135</v>
      </c>
      <c r="P50" s="423">
        <v>-9410</v>
      </c>
      <c r="Q50" s="423">
        <v>-19397</v>
      </c>
      <c r="R50" s="423">
        <v>-33247</v>
      </c>
      <c r="S50" s="423">
        <v>-46026</v>
      </c>
      <c r="T50" s="423">
        <v>-13530</v>
      </c>
      <c r="U50" s="423">
        <v>-26454</v>
      </c>
      <c r="W50" s="423">
        <f t="shared" ref="W50:W56" si="50">L50</f>
        <v>-4106</v>
      </c>
      <c r="X50" s="423">
        <f t="shared" ref="X50:X56" si="51">M50-W50</f>
        <v>-3034</v>
      </c>
      <c r="Y50" s="423">
        <f t="shared" ref="Y50:Z56" si="52">N50-M50</f>
        <v>-6548</v>
      </c>
      <c r="Z50" s="423">
        <f t="shared" si="52"/>
        <v>-20447</v>
      </c>
      <c r="AA50" s="423">
        <f t="shared" ref="AA50:AA56" si="53">P50</f>
        <v>-9410</v>
      </c>
      <c r="AB50" s="423">
        <f t="shared" ref="AB50:AB56" si="54">Q50-AA50</f>
        <v>-9987</v>
      </c>
      <c r="AC50" s="423">
        <f t="shared" ref="AC50:AD56" si="55">R50-Q50</f>
        <v>-13850</v>
      </c>
      <c r="AD50" s="423">
        <f t="shared" si="55"/>
        <v>-12779</v>
      </c>
      <c r="AE50" s="423">
        <f t="shared" ref="AE50:AE56" si="56">T50</f>
        <v>-13530</v>
      </c>
      <c r="AF50" s="423">
        <f t="shared" ref="AF50:AF56" si="57">U50-T50</f>
        <v>-12924</v>
      </c>
    </row>
    <row r="51" spans="1:32" outlineLevel="1">
      <c r="A51" s="418" t="s">
        <v>664</v>
      </c>
      <c r="B51" s="418" t="s">
        <v>665</v>
      </c>
      <c r="D51" s="423">
        <v>-560</v>
      </c>
      <c r="E51" s="423">
        <v>-1477</v>
      </c>
      <c r="F51" s="423">
        <v>-2395</v>
      </c>
      <c r="G51" s="423">
        <v>-4206</v>
      </c>
      <c r="H51" s="423">
        <v>-1136</v>
      </c>
      <c r="I51" s="423">
        <v>-2583</v>
      </c>
      <c r="J51" s="423">
        <v>-3587</v>
      </c>
      <c r="K51" s="423">
        <v>-4391</v>
      </c>
      <c r="L51" s="423">
        <v>-1359</v>
      </c>
      <c r="M51" s="423">
        <v>-169</v>
      </c>
      <c r="N51" s="423">
        <v>-4383</v>
      </c>
      <c r="O51" s="423">
        <v>-2004</v>
      </c>
      <c r="P51" s="423">
        <v>-3267</v>
      </c>
      <c r="Q51" s="423">
        <v>-6185</v>
      </c>
      <c r="R51" s="423">
        <v>-9494</v>
      </c>
      <c r="S51" s="423">
        <v>-12350</v>
      </c>
      <c r="T51" s="423">
        <v>-2905</v>
      </c>
      <c r="U51" s="423">
        <v>-5118</v>
      </c>
      <c r="W51" s="423">
        <f t="shared" si="50"/>
        <v>-1359</v>
      </c>
      <c r="X51" s="423">
        <f t="shared" si="51"/>
        <v>1190</v>
      </c>
      <c r="Y51" s="423">
        <f t="shared" si="52"/>
        <v>-4214</v>
      </c>
      <c r="Z51" s="423">
        <f t="shared" si="52"/>
        <v>2379</v>
      </c>
      <c r="AA51" s="423">
        <f t="shared" si="53"/>
        <v>-3267</v>
      </c>
      <c r="AB51" s="423">
        <f t="shared" si="54"/>
        <v>-2918</v>
      </c>
      <c r="AC51" s="423">
        <f t="shared" si="55"/>
        <v>-3309</v>
      </c>
      <c r="AD51" s="423">
        <f t="shared" si="55"/>
        <v>-2856</v>
      </c>
      <c r="AE51" s="423">
        <f t="shared" si="56"/>
        <v>-2905</v>
      </c>
      <c r="AF51" s="423">
        <f t="shared" si="57"/>
        <v>-2213</v>
      </c>
    </row>
    <row r="52" spans="1:32" outlineLevel="1">
      <c r="A52" s="418" t="s">
        <v>666</v>
      </c>
      <c r="B52" s="418" t="s">
        <v>667</v>
      </c>
      <c r="D52" s="423">
        <v>-8859</v>
      </c>
      <c r="E52" s="423">
        <v>-20203</v>
      </c>
      <c r="F52" s="423">
        <v>-31674</v>
      </c>
      <c r="G52" s="423">
        <v>-48912</v>
      </c>
      <c r="H52" s="423">
        <v>-16720</v>
      </c>
      <c r="I52" s="423">
        <v>-41547</v>
      </c>
      <c r="J52" s="423">
        <v>-62302</v>
      </c>
      <c r="K52" s="423">
        <v>-86658</v>
      </c>
      <c r="L52" s="423">
        <v>-26791</v>
      </c>
      <c r="M52" s="423">
        <v>-31577</v>
      </c>
      <c r="N52" s="423">
        <v>-35676</v>
      </c>
      <c r="O52" s="423">
        <v>-61187</v>
      </c>
      <c r="P52" s="423">
        <v>-11796</v>
      </c>
      <c r="Q52" s="423">
        <v>-20172</v>
      </c>
      <c r="R52" s="423">
        <v>-29883</v>
      </c>
      <c r="S52" s="423">
        <v>-40934</v>
      </c>
      <c r="T52" s="423">
        <v>-9264</v>
      </c>
      <c r="U52" s="423">
        <v>-17239</v>
      </c>
      <c r="W52" s="423">
        <f t="shared" si="50"/>
        <v>-26791</v>
      </c>
      <c r="X52" s="423">
        <f t="shared" si="51"/>
        <v>-4786</v>
      </c>
      <c r="Y52" s="423">
        <f t="shared" si="52"/>
        <v>-4099</v>
      </c>
      <c r="Z52" s="423">
        <f t="shared" si="52"/>
        <v>-25511</v>
      </c>
      <c r="AA52" s="423">
        <f t="shared" si="53"/>
        <v>-11796</v>
      </c>
      <c r="AB52" s="423">
        <f t="shared" si="54"/>
        <v>-8376</v>
      </c>
      <c r="AC52" s="423">
        <f t="shared" si="55"/>
        <v>-9711</v>
      </c>
      <c r="AD52" s="423">
        <f t="shared" si="55"/>
        <v>-11051</v>
      </c>
      <c r="AE52" s="423">
        <f t="shared" si="56"/>
        <v>-9264</v>
      </c>
      <c r="AF52" s="423">
        <f t="shared" si="57"/>
        <v>-7975</v>
      </c>
    </row>
    <row r="53" spans="1:32" outlineLevel="1">
      <c r="A53" s="418" t="s">
        <v>668</v>
      </c>
      <c r="B53" s="418" t="s">
        <v>669</v>
      </c>
      <c r="D53" s="423">
        <v>-16591</v>
      </c>
      <c r="E53" s="423">
        <v>-30486</v>
      </c>
      <c r="F53" s="423">
        <v>-51620</v>
      </c>
      <c r="G53" s="423">
        <v>-71669</v>
      </c>
      <c r="H53" s="423">
        <v>-7078</v>
      </c>
      <c r="I53" s="423">
        <v>-26646</v>
      </c>
      <c r="J53" s="423">
        <v>-41300</v>
      </c>
      <c r="K53" s="423">
        <v>-91840</v>
      </c>
      <c r="L53" s="423">
        <v>-27926</v>
      </c>
      <c r="M53" s="423">
        <v>-55768</v>
      </c>
      <c r="N53" s="423">
        <v>-84595</v>
      </c>
      <c r="O53" s="423">
        <v>-115327</v>
      </c>
      <c r="P53" s="423">
        <v>-33192</v>
      </c>
      <c r="Q53" s="423">
        <v>-65312</v>
      </c>
      <c r="R53" s="423">
        <v>-98333</v>
      </c>
      <c r="S53" s="423">
        <v>-124313</v>
      </c>
      <c r="T53" s="423">
        <v>-32753</v>
      </c>
      <c r="U53" s="423">
        <v>-78606</v>
      </c>
      <c r="W53" s="423">
        <f t="shared" si="50"/>
        <v>-27926</v>
      </c>
      <c r="X53" s="423">
        <f t="shared" si="51"/>
        <v>-27842</v>
      </c>
      <c r="Y53" s="423">
        <f t="shared" si="52"/>
        <v>-28827</v>
      </c>
      <c r="Z53" s="423">
        <f t="shared" si="52"/>
        <v>-30732</v>
      </c>
      <c r="AA53" s="423">
        <f t="shared" si="53"/>
        <v>-33192</v>
      </c>
      <c r="AB53" s="423">
        <f t="shared" si="54"/>
        <v>-32120</v>
      </c>
      <c r="AC53" s="423">
        <f t="shared" si="55"/>
        <v>-33021</v>
      </c>
      <c r="AD53" s="423">
        <f t="shared" si="55"/>
        <v>-25980</v>
      </c>
      <c r="AE53" s="423">
        <f t="shared" si="56"/>
        <v>-32753</v>
      </c>
      <c r="AF53" s="423">
        <f t="shared" si="57"/>
        <v>-45853</v>
      </c>
    </row>
    <row r="54" spans="1:32" outlineLevel="1">
      <c r="A54" s="418" t="s">
        <v>670</v>
      </c>
      <c r="B54" s="418" t="s">
        <v>671</v>
      </c>
      <c r="D54" s="423">
        <v>0</v>
      </c>
      <c r="E54" s="423">
        <v>0</v>
      </c>
      <c r="F54" s="423">
        <v>0</v>
      </c>
      <c r="G54" s="423">
        <v>0</v>
      </c>
      <c r="H54" s="423">
        <v>0</v>
      </c>
      <c r="I54" s="423">
        <v>0</v>
      </c>
      <c r="J54" s="423">
        <v>0</v>
      </c>
      <c r="K54" s="423">
        <v>0</v>
      </c>
      <c r="L54" s="423">
        <v>0</v>
      </c>
      <c r="M54" s="423">
        <v>0</v>
      </c>
      <c r="N54" s="423">
        <v>0</v>
      </c>
      <c r="O54" s="423">
        <v>0</v>
      </c>
      <c r="P54" s="423">
        <v>0</v>
      </c>
      <c r="Q54" s="423">
        <v>0</v>
      </c>
      <c r="R54" s="423">
        <v>0</v>
      </c>
      <c r="S54" s="423">
        <v>0</v>
      </c>
      <c r="T54" s="423">
        <v>0</v>
      </c>
      <c r="U54" s="423">
        <v>0</v>
      </c>
      <c r="W54" s="423">
        <f t="shared" si="50"/>
        <v>0</v>
      </c>
      <c r="X54" s="423">
        <f t="shared" si="51"/>
        <v>0</v>
      </c>
      <c r="Y54" s="423">
        <f t="shared" si="52"/>
        <v>0</v>
      </c>
      <c r="Z54" s="423">
        <f t="shared" si="52"/>
        <v>0</v>
      </c>
      <c r="AA54" s="423">
        <f t="shared" si="53"/>
        <v>0</v>
      </c>
      <c r="AB54" s="423">
        <f t="shared" si="54"/>
        <v>0</v>
      </c>
      <c r="AC54" s="423">
        <f t="shared" si="55"/>
        <v>0</v>
      </c>
      <c r="AD54" s="423">
        <f t="shared" si="55"/>
        <v>0</v>
      </c>
      <c r="AE54" s="423">
        <f t="shared" si="56"/>
        <v>0</v>
      </c>
      <c r="AF54" s="423">
        <f t="shared" si="57"/>
        <v>0</v>
      </c>
    </row>
    <row r="55" spans="1:32" outlineLevel="1">
      <c r="A55" s="418" t="s">
        <v>672</v>
      </c>
      <c r="B55" s="418" t="s">
        <v>673</v>
      </c>
      <c r="D55" s="423">
        <v>-18</v>
      </c>
      <c r="E55" s="423">
        <v>-181</v>
      </c>
      <c r="F55" s="423">
        <v>-288</v>
      </c>
      <c r="G55" s="423">
        <v>-388</v>
      </c>
      <c r="H55" s="423">
        <v>-28</v>
      </c>
      <c r="I55" s="423">
        <v>-53</v>
      </c>
      <c r="J55" s="423">
        <v>-79</v>
      </c>
      <c r="K55" s="423">
        <v>-106</v>
      </c>
      <c r="L55" s="423">
        <v>-43</v>
      </c>
      <c r="M55" s="423">
        <v>-90</v>
      </c>
      <c r="N55" s="423">
        <v>-125</v>
      </c>
      <c r="O55" s="423">
        <v>-468</v>
      </c>
      <c r="P55" s="423">
        <v>-397</v>
      </c>
      <c r="Q55" s="423">
        <v>-651</v>
      </c>
      <c r="R55" s="423">
        <v>-986</v>
      </c>
      <c r="S55" s="423">
        <v>-1397</v>
      </c>
      <c r="T55" s="423">
        <v>-256</v>
      </c>
      <c r="U55" s="423">
        <v>-495</v>
      </c>
      <c r="W55" s="423">
        <f t="shared" si="50"/>
        <v>-43</v>
      </c>
      <c r="X55" s="423">
        <f t="shared" si="51"/>
        <v>-47</v>
      </c>
      <c r="Y55" s="423">
        <f t="shared" si="52"/>
        <v>-35</v>
      </c>
      <c r="Z55" s="423">
        <f t="shared" si="52"/>
        <v>-343</v>
      </c>
      <c r="AA55" s="423">
        <f t="shared" si="53"/>
        <v>-397</v>
      </c>
      <c r="AB55" s="423">
        <f t="shared" si="54"/>
        <v>-254</v>
      </c>
      <c r="AC55" s="423">
        <f t="shared" si="55"/>
        <v>-335</v>
      </c>
      <c r="AD55" s="423">
        <f t="shared" si="55"/>
        <v>-411</v>
      </c>
      <c r="AE55" s="423">
        <f t="shared" si="56"/>
        <v>-256</v>
      </c>
      <c r="AF55" s="423">
        <f t="shared" si="57"/>
        <v>-239</v>
      </c>
    </row>
    <row r="56" spans="1:32" outlineLevel="1">
      <c r="A56" s="418" t="s">
        <v>674</v>
      </c>
      <c r="B56" s="418" t="s">
        <v>675</v>
      </c>
      <c r="D56" s="423">
        <v>-1</v>
      </c>
      <c r="E56" s="423">
        <v>14</v>
      </c>
      <c r="F56" s="423">
        <v>194</v>
      </c>
      <c r="G56" s="423">
        <v>552</v>
      </c>
      <c r="H56" s="423">
        <v>198</v>
      </c>
      <c r="I56" s="423">
        <v>376</v>
      </c>
      <c r="J56" s="423">
        <v>662</v>
      </c>
      <c r="K56" s="423">
        <v>777</v>
      </c>
      <c r="L56" s="423">
        <v>234</v>
      </c>
      <c r="M56" s="423">
        <v>575</v>
      </c>
      <c r="N56" s="423">
        <v>900</v>
      </c>
      <c r="O56" s="423">
        <v>979</v>
      </c>
      <c r="P56" s="423">
        <v>-353</v>
      </c>
      <c r="Q56" s="423">
        <v>-267</v>
      </c>
      <c r="R56" s="423">
        <v>441</v>
      </c>
      <c r="S56" s="423">
        <v>673</v>
      </c>
      <c r="T56" s="423">
        <v>-681</v>
      </c>
      <c r="U56" s="423">
        <v>-311</v>
      </c>
      <c r="W56" s="423">
        <f t="shared" si="50"/>
        <v>234</v>
      </c>
      <c r="X56" s="423">
        <f t="shared" si="51"/>
        <v>341</v>
      </c>
      <c r="Y56" s="423">
        <f t="shared" si="52"/>
        <v>325</v>
      </c>
      <c r="Z56" s="423">
        <f t="shared" si="52"/>
        <v>79</v>
      </c>
      <c r="AA56" s="423">
        <f t="shared" si="53"/>
        <v>-353</v>
      </c>
      <c r="AB56" s="423">
        <f t="shared" si="54"/>
        <v>86</v>
      </c>
      <c r="AC56" s="423">
        <f t="shared" si="55"/>
        <v>708</v>
      </c>
      <c r="AD56" s="423">
        <f t="shared" si="55"/>
        <v>232</v>
      </c>
      <c r="AE56" s="423">
        <f t="shared" si="56"/>
        <v>-681</v>
      </c>
      <c r="AF56" s="423">
        <f t="shared" si="57"/>
        <v>370</v>
      </c>
    </row>
    <row r="57" spans="1:32">
      <c r="A57" s="417"/>
      <c r="B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</row>
    <row r="58" spans="1:32">
      <c r="A58" s="429" t="s">
        <v>676</v>
      </c>
      <c r="B58" s="429" t="s">
        <v>677</v>
      </c>
      <c r="D58" s="420">
        <f t="shared" ref="D58:I58" si="58">D39+D41</f>
        <v>163819</v>
      </c>
      <c r="E58" s="420">
        <f t="shared" si="58"/>
        <v>346267</v>
      </c>
      <c r="F58" s="420">
        <f t="shared" si="58"/>
        <v>508738</v>
      </c>
      <c r="G58" s="420">
        <f t="shared" si="58"/>
        <v>718758</v>
      </c>
      <c r="H58" s="420">
        <f t="shared" si="58"/>
        <v>218598</v>
      </c>
      <c r="I58" s="420">
        <f t="shared" si="58"/>
        <v>385731</v>
      </c>
      <c r="J58" s="420">
        <f t="shared" ref="J58:T58" si="59">J39+J41</f>
        <v>618734</v>
      </c>
      <c r="K58" s="420">
        <f t="shared" si="59"/>
        <v>813635</v>
      </c>
      <c r="L58" s="420">
        <f t="shared" si="59"/>
        <v>235629</v>
      </c>
      <c r="M58" s="420">
        <f t="shared" si="59"/>
        <v>477360</v>
      </c>
      <c r="N58" s="420">
        <f t="shared" si="59"/>
        <v>712395</v>
      </c>
      <c r="O58" s="420">
        <f t="shared" si="59"/>
        <v>887201</v>
      </c>
      <c r="P58" s="420">
        <f t="shared" si="59"/>
        <v>224903</v>
      </c>
      <c r="Q58" s="420">
        <f t="shared" si="59"/>
        <v>516547</v>
      </c>
      <c r="R58" s="420">
        <f t="shared" si="59"/>
        <v>728982</v>
      </c>
      <c r="S58" s="420">
        <f t="shared" si="59"/>
        <v>1005452</v>
      </c>
      <c r="T58" s="420">
        <f t="shared" si="59"/>
        <v>293025</v>
      </c>
      <c r="U58" s="741">
        <f>U39+U41</f>
        <v>563062</v>
      </c>
      <c r="W58" s="420">
        <f t="shared" ref="W58:AC58" si="60">W39+W41</f>
        <v>235629</v>
      </c>
      <c r="X58" s="420">
        <f t="shared" si="60"/>
        <v>241731</v>
      </c>
      <c r="Y58" s="420">
        <f t="shared" si="60"/>
        <v>235035</v>
      </c>
      <c r="Z58" s="420">
        <f t="shared" si="60"/>
        <v>174806</v>
      </c>
      <c r="AA58" s="420">
        <f t="shared" si="60"/>
        <v>224903</v>
      </c>
      <c r="AB58" s="420">
        <f t="shared" si="60"/>
        <v>291644</v>
      </c>
      <c r="AC58" s="420">
        <f t="shared" si="60"/>
        <v>212435</v>
      </c>
      <c r="AD58" s="420">
        <f t="shared" ref="AD58:AE58" si="61">AD39+AD41</f>
        <v>276470</v>
      </c>
      <c r="AE58" s="420">
        <f t="shared" si="61"/>
        <v>293025</v>
      </c>
      <c r="AF58" s="741">
        <f>AF39+AF41</f>
        <v>452434</v>
      </c>
    </row>
    <row r="59" spans="1:32">
      <c r="A59" s="417"/>
      <c r="B59" s="417"/>
      <c r="D59" s="417"/>
      <c r="E59" s="417"/>
      <c r="F59" s="417"/>
      <c r="G59" s="417"/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</row>
    <row r="60" spans="1:32">
      <c r="A60" s="416" t="s">
        <v>678</v>
      </c>
      <c r="B60" s="416" t="s">
        <v>679</v>
      </c>
      <c r="D60" s="424">
        <f t="shared" ref="D60:I60" si="62">D62+D68+D69+D78+D79</f>
        <v>-73631</v>
      </c>
      <c r="E60" s="424">
        <f t="shared" si="62"/>
        <v>-138133</v>
      </c>
      <c r="F60" s="424">
        <f t="shared" si="62"/>
        <v>-216470</v>
      </c>
      <c r="G60" s="424">
        <f t="shared" si="62"/>
        <v>-323798</v>
      </c>
      <c r="H60" s="424">
        <f t="shared" si="62"/>
        <v>-69415</v>
      </c>
      <c r="I60" s="424">
        <f t="shared" si="62"/>
        <v>-105742</v>
      </c>
      <c r="J60" s="424">
        <f t="shared" ref="J60:T60" si="63">J62+J68+J69+J78+J79</f>
        <v>-174395</v>
      </c>
      <c r="K60" s="424">
        <f t="shared" si="63"/>
        <v>-250601</v>
      </c>
      <c r="L60" s="424">
        <f t="shared" si="63"/>
        <v>-64661</v>
      </c>
      <c r="M60" s="424">
        <f t="shared" si="63"/>
        <v>-137248</v>
      </c>
      <c r="N60" s="424">
        <f t="shared" si="63"/>
        <v>-208456</v>
      </c>
      <c r="O60" s="424">
        <f t="shared" si="63"/>
        <v>-348658</v>
      </c>
      <c r="P60" s="424">
        <f t="shared" si="63"/>
        <v>-78827</v>
      </c>
      <c r="Q60" s="424">
        <f t="shared" si="63"/>
        <v>-164054</v>
      </c>
      <c r="R60" s="424">
        <f t="shared" si="63"/>
        <v>-248296</v>
      </c>
      <c r="S60" s="424">
        <f t="shared" si="63"/>
        <v>-393695</v>
      </c>
      <c r="T60" s="424">
        <f t="shared" si="63"/>
        <v>-71322</v>
      </c>
      <c r="U60" s="424">
        <f>U62+U68+U69+U78+U79</f>
        <v>-136656</v>
      </c>
      <c r="W60" s="424">
        <f t="shared" ref="W60:AC60" si="64">W62+W68+W69+W78+W79</f>
        <v>-64661</v>
      </c>
      <c r="X60" s="424">
        <f t="shared" si="64"/>
        <v>-72587</v>
      </c>
      <c r="Y60" s="424">
        <f t="shared" si="64"/>
        <v>-71208</v>
      </c>
      <c r="Z60" s="424">
        <f t="shared" si="64"/>
        <v>-140202</v>
      </c>
      <c r="AA60" s="424">
        <f t="shared" si="64"/>
        <v>-78827</v>
      </c>
      <c r="AB60" s="424">
        <f t="shared" si="64"/>
        <v>-85227</v>
      </c>
      <c r="AC60" s="424">
        <f t="shared" si="64"/>
        <v>-84242</v>
      </c>
      <c r="AD60" s="424">
        <f t="shared" ref="AD60:AE60" si="65">AD62+AD68+AD69+AD78+AD79</f>
        <v>-145399</v>
      </c>
      <c r="AE60" s="424">
        <f t="shared" si="65"/>
        <v>-71322</v>
      </c>
      <c r="AF60" s="424">
        <f>AF62+AF68+AF69+AF78+AF79</f>
        <v>-65334</v>
      </c>
    </row>
    <row r="61" spans="1:32">
      <c r="A61" s="416"/>
      <c r="B61" s="416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W61" s="421"/>
      <c r="X61" s="421"/>
      <c r="Y61" s="421"/>
      <c r="Z61" s="421"/>
      <c r="AA61" s="421"/>
      <c r="AB61" s="421"/>
      <c r="AC61" s="421"/>
      <c r="AD61" s="421"/>
      <c r="AE61" s="421"/>
      <c r="AF61" s="421"/>
    </row>
    <row r="62" spans="1:32">
      <c r="A62" s="419" t="s">
        <v>680</v>
      </c>
      <c r="B62" s="419" t="s">
        <v>681</v>
      </c>
      <c r="D62" s="422">
        <f t="shared" ref="D62:T62" si="66">SUM(D63:D67)</f>
        <v>-26024</v>
      </c>
      <c r="E62" s="422">
        <f t="shared" si="66"/>
        <v>-52184</v>
      </c>
      <c r="F62" s="422">
        <f t="shared" si="66"/>
        <v>-85683</v>
      </c>
      <c r="G62" s="422">
        <f t="shared" si="66"/>
        <v>-123721</v>
      </c>
      <c r="H62" s="422">
        <f t="shared" si="66"/>
        <v>-28087</v>
      </c>
      <c r="I62" s="422">
        <f t="shared" si="66"/>
        <v>-44480</v>
      </c>
      <c r="J62" s="422">
        <f t="shared" si="66"/>
        <v>-66869</v>
      </c>
      <c r="K62" s="422">
        <f t="shared" si="66"/>
        <v>-92460</v>
      </c>
      <c r="L62" s="422">
        <f t="shared" si="66"/>
        <v>-22534</v>
      </c>
      <c r="M62" s="422">
        <f t="shared" si="66"/>
        <v>-70296</v>
      </c>
      <c r="N62" s="422">
        <f t="shared" si="66"/>
        <v>-114663</v>
      </c>
      <c r="O62" s="422">
        <f t="shared" si="66"/>
        <v>-142190</v>
      </c>
      <c r="P62" s="422">
        <f t="shared" si="66"/>
        <v>-27057</v>
      </c>
      <c r="Q62" s="422">
        <f t="shared" si="66"/>
        <v>-57030</v>
      </c>
      <c r="R62" s="422">
        <f t="shared" si="66"/>
        <v>-88899</v>
      </c>
      <c r="S62" s="422">
        <f t="shared" si="66"/>
        <v>-123307</v>
      </c>
      <c r="T62" s="422">
        <f t="shared" si="66"/>
        <v>-26507</v>
      </c>
      <c r="U62" s="422">
        <f>SUM(U63:U67)</f>
        <v>-53979</v>
      </c>
      <c r="W62" s="422">
        <f t="shared" ref="W62:AC62" si="67">SUM(W63:W67)</f>
        <v>-22534</v>
      </c>
      <c r="X62" s="422">
        <f t="shared" si="67"/>
        <v>-47762</v>
      </c>
      <c r="Y62" s="422">
        <f t="shared" si="67"/>
        <v>-44367</v>
      </c>
      <c r="Z62" s="422">
        <f t="shared" si="67"/>
        <v>-27527</v>
      </c>
      <c r="AA62" s="422">
        <f t="shared" si="67"/>
        <v>-27057</v>
      </c>
      <c r="AB62" s="422">
        <f t="shared" si="67"/>
        <v>-29973</v>
      </c>
      <c r="AC62" s="422">
        <f t="shared" si="67"/>
        <v>-31869</v>
      </c>
      <c r="AD62" s="422">
        <f t="shared" ref="AD62:AE62" si="68">SUM(AD63:AD67)</f>
        <v>-34408</v>
      </c>
      <c r="AE62" s="422">
        <f t="shared" si="68"/>
        <v>-26507</v>
      </c>
      <c r="AF62" s="422">
        <f>SUM(AF63:AF67)</f>
        <v>-27472</v>
      </c>
    </row>
    <row r="63" spans="1:32" outlineLevel="1">
      <c r="A63" s="418" t="s">
        <v>682</v>
      </c>
      <c r="B63" s="418" t="s">
        <v>683</v>
      </c>
      <c r="D63" s="423">
        <v>-4395</v>
      </c>
      <c r="E63" s="423">
        <v>-9513</v>
      </c>
      <c r="F63" s="423">
        <v>-13999</v>
      </c>
      <c r="G63" s="423">
        <v>-19555</v>
      </c>
      <c r="H63" s="423">
        <v>-4504</v>
      </c>
      <c r="I63" s="423">
        <v>-7777</v>
      </c>
      <c r="J63" s="423">
        <v>-10805</v>
      </c>
      <c r="K63" s="423">
        <v>-14325</v>
      </c>
      <c r="L63" s="423">
        <v>-2953</v>
      </c>
      <c r="M63" s="423">
        <v>-9248</v>
      </c>
      <c r="N63" s="423">
        <v>-14803</v>
      </c>
      <c r="O63" s="423">
        <v>-14810</v>
      </c>
      <c r="P63" s="423">
        <v>-2608</v>
      </c>
      <c r="Q63" s="423">
        <v>-4067</v>
      </c>
      <c r="R63" s="423">
        <v>-7722</v>
      </c>
      <c r="S63" s="423">
        <v>-11776</v>
      </c>
      <c r="T63" s="423">
        <v>-2878</v>
      </c>
      <c r="U63" s="423">
        <v>-6136</v>
      </c>
      <c r="W63" s="423">
        <f t="shared" ref="W63:W68" si="69">L63</f>
        <v>-2953</v>
      </c>
      <c r="X63" s="423">
        <f t="shared" ref="X63:X68" si="70">M63-W63</f>
        <v>-6295</v>
      </c>
      <c r="Y63" s="423">
        <f t="shared" ref="Y63:Z68" si="71">N63-M63</f>
        <v>-5555</v>
      </c>
      <c r="Z63" s="423">
        <f t="shared" si="71"/>
        <v>-7</v>
      </c>
      <c r="AA63" s="423">
        <f t="shared" ref="AA63:AA68" si="72">P63</f>
        <v>-2608</v>
      </c>
      <c r="AB63" s="423">
        <f t="shared" ref="AB63:AB68" si="73">Q63-AA63</f>
        <v>-1459</v>
      </c>
      <c r="AC63" s="423">
        <f t="shared" ref="AC63:AD68" si="74">R63-Q63</f>
        <v>-3655</v>
      </c>
      <c r="AD63" s="423">
        <f t="shared" si="74"/>
        <v>-4054</v>
      </c>
      <c r="AE63" s="423">
        <f t="shared" ref="AE63:AE68" si="75">T63</f>
        <v>-2878</v>
      </c>
      <c r="AF63" s="423">
        <f t="shared" ref="AF63:AF68" si="76">U63-T63</f>
        <v>-3258</v>
      </c>
    </row>
    <row r="64" spans="1:32" outlineLevel="1">
      <c r="A64" s="418" t="s">
        <v>684</v>
      </c>
      <c r="B64" s="418" t="s">
        <v>685</v>
      </c>
      <c r="D64" s="423">
        <v>-602</v>
      </c>
      <c r="E64" s="423">
        <v>-1670</v>
      </c>
      <c r="F64" s="423">
        <v>-3246</v>
      </c>
      <c r="G64" s="423">
        <v>-4479</v>
      </c>
      <c r="H64" s="423">
        <v>-1130</v>
      </c>
      <c r="I64" s="423">
        <v>-2321</v>
      </c>
      <c r="J64" s="423">
        <v>-3639</v>
      </c>
      <c r="K64" s="423">
        <v>-5043</v>
      </c>
      <c r="L64" s="423">
        <v>-1476</v>
      </c>
      <c r="M64" s="423">
        <v>-6928</v>
      </c>
      <c r="N64" s="423">
        <v>-8113</v>
      </c>
      <c r="O64" s="423">
        <v>-19414</v>
      </c>
      <c r="P64" s="423">
        <v>-1215</v>
      </c>
      <c r="Q64" s="423">
        <v>-2648</v>
      </c>
      <c r="R64" s="423">
        <v>-3956</v>
      </c>
      <c r="S64" s="423">
        <v>-5542</v>
      </c>
      <c r="T64" s="423">
        <v>-1282</v>
      </c>
      <c r="U64" s="423">
        <v>-2526</v>
      </c>
      <c r="W64" s="423">
        <f t="shared" si="69"/>
        <v>-1476</v>
      </c>
      <c r="X64" s="423">
        <f t="shared" si="70"/>
        <v>-5452</v>
      </c>
      <c r="Y64" s="423">
        <f t="shared" si="71"/>
        <v>-1185</v>
      </c>
      <c r="Z64" s="423">
        <f t="shared" si="71"/>
        <v>-11301</v>
      </c>
      <c r="AA64" s="423">
        <f t="shared" si="72"/>
        <v>-1215</v>
      </c>
      <c r="AB64" s="423">
        <f t="shared" si="73"/>
        <v>-1433</v>
      </c>
      <c r="AC64" s="423">
        <f t="shared" si="74"/>
        <v>-1308</v>
      </c>
      <c r="AD64" s="423">
        <f t="shared" si="74"/>
        <v>-1586</v>
      </c>
      <c r="AE64" s="423">
        <f t="shared" si="75"/>
        <v>-1282</v>
      </c>
      <c r="AF64" s="423">
        <f t="shared" si="76"/>
        <v>-1244</v>
      </c>
    </row>
    <row r="65" spans="1:32" outlineLevel="1">
      <c r="A65" s="418" t="s">
        <v>686</v>
      </c>
      <c r="B65" s="418" t="s">
        <v>687</v>
      </c>
      <c r="D65" s="423">
        <v>-20429</v>
      </c>
      <c r="E65" s="423">
        <v>-40057</v>
      </c>
      <c r="F65" s="423">
        <v>-67052</v>
      </c>
      <c r="G65" s="423">
        <v>-98031</v>
      </c>
      <c r="H65" s="423">
        <v>-22160</v>
      </c>
      <c r="I65" s="423">
        <v>-33841</v>
      </c>
      <c r="J65" s="423">
        <v>-51713</v>
      </c>
      <c r="K65" s="423">
        <v>-72029</v>
      </c>
      <c r="L65" s="423">
        <v>-17827</v>
      </c>
      <c r="M65" s="423">
        <v>-53070</v>
      </c>
      <c r="N65" s="423">
        <v>-90463</v>
      </c>
      <c r="O65" s="423">
        <v>-106214</v>
      </c>
      <c r="P65" s="423">
        <v>-22886</v>
      </c>
      <c r="Q65" s="423">
        <v>-49502</v>
      </c>
      <c r="R65" s="423">
        <v>-75874</v>
      </c>
      <c r="S65" s="423">
        <v>-104362</v>
      </c>
      <c r="T65" s="423">
        <v>-21846</v>
      </c>
      <c r="U65" s="423">
        <v>-44705</v>
      </c>
      <c r="W65" s="423">
        <f t="shared" si="69"/>
        <v>-17827</v>
      </c>
      <c r="X65" s="423">
        <f t="shared" si="70"/>
        <v>-35243</v>
      </c>
      <c r="Y65" s="423">
        <f t="shared" si="71"/>
        <v>-37393</v>
      </c>
      <c r="Z65" s="423">
        <f t="shared" si="71"/>
        <v>-15751</v>
      </c>
      <c r="AA65" s="423">
        <f t="shared" si="72"/>
        <v>-22886</v>
      </c>
      <c r="AB65" s="423">
        <f t="shared" si="73"/>
        <v>-26616</v>
      </c>
      <c r="AC65" s="423">
        <f t="shared" si="74"/>
        <v>-26372</v>
      </c>
      <c r="AD65" s="423">
        <f t="shared" si="74"/>
        <v>-28488</v>
      </c>
      <c r="AE65" s="423">
        <f t="shared" si="75"/>
        <v>-21846</v>
      </c>
      <c r="AF65" s="423">
        <f t="shared" si="76"/>
        <v>-22859</v>
      </c>
    </row>
    <row r="66" spans="1:32" outlineLevel="1">
      <c r="A66" s="418" t="s">
        <v>688</v>
      </c>
      <c r="B66" s="418" t="s">
        <v>689</v>
      </c>
      <c r="D66" s="423">
        <v>-228</v>
      </c>
      <c r="E66" s="423">
        <v>-419</v>
      </c>
      <c r="F66" s="423">
        <v>-801</v>
      </c>
      <c r="G66" s="423">
        <v>-1132</v>
      </c>
      <c r="H66" s="423">
        <v>-305</v>
      </c>
      <c r="I66" s="423">
        <v>-604</v>
      </c>
      <c r="J66" s="423">
        <v>-896</v>
      </c>
      <c r="K66" s="423">
        <v>-1211</v>
      </c>
      <c r="L66" s="423">
        <v>-237</v>
      </c>
      <c r="M66" s="423">
        <v>-660</v>
      </c>
      <c r="N66" s="423">
        <v>-1078</v>
      </c>
      <c r="O66" s="423">
        <v>-1276</v>
      </c>
      <c r="P66" s="423">
        <v>-323</v>
      </c>
      <c r="Q66" s="423">
        <v>-643</v>
      </c>
      <c r="R66" s="423">
        <v>-974</v>
      </c>
      <c r="S66" s="423">
        <v>-1305</v>
      </c>
      <c r="T66" s="423">
        <v>-352</v>
      </c>
      <c r="U66" s="423">
        <v>-610</v>
      </c>
      <c r="W66" s="423">
        <f t="shared" si="69"/>
        <v>-237</v>
      </c>
      <c r="X66" s="423">
        <f t="shared" si="70"/>
        <v>-423</v>
      </c>
      <c r="Y66" s="423">
        <f t="shared" si="71"/>
        <v>-418</v>
      </c>
      <c r="Z66" s="423">
        <f t="shared" si="71"/>
        <v>-198</v>
      </c>
      <c r="AA66" s="423">
        <f t="shared" si="72"/>
        <v>-323</v>
      </c>
      <c r="AB66" s="423">
        <f t="shared" si="73"/>
        <v>-320</v>
      </c>
      <c r="AC66" s="423">
        <f t="shared" si="74"/>
        <v>-331</v>
      </c>
      <c r="AD66" s="423">
        <f t="shared" si="74"/>
        <v>-331</v>
      </c>
      <c r="AE66" s="423">
        <f t="shared" si="75"/>
        <v>-352</v>
      </c>
      <c r="AF66" s="423">
        <f t="shared" si="76"/>
        <v>-258</v>
      </c>
    </row>
    <row r="67" spans="1:32" outlineLevel="1">
      <c r="A67" s="418" t="s">
        <v>690</v>
      </c>
      <c r="B67" s="418" t="s">
        <v>691</v>
      </c>
      <c r="D67" s="423">
        <v>-370</v>
      </c>
      <c r="E67" s="423">
        <v>-525</v>
      </c>
      <c r="F67" s="423">
        <v>-585</v>
      </c>
      <c r="G67" s="423">
        <v>-524</v>
      </c>
      <c r="H67" s="423">
        <v>12</v>
      </c>
      <c r="I67" s="423">
        <v>63</v>
      </c>
      <c r="J67" s="423">
        <v>184</v>
      </c>
      <c r="K67" s="423">
        <v>148</v>
      </c>
      <c r="L67" s="423">
        <v>-41</v>
      </c>
      <c r="M67" s="423">
        <v>-390</v>
      </c>
      <c r="N67" s="423">
        <v>-206</v>
      </c>
      <c r="O67" s="423">
        <v>-476</v>
      </c>
      <c r="P67" s="423">
        <v>-25</v>
      </c>
      <c r="Q67" s="423">
        <v>-170</v>
      </c>
      <c r="R67" s="423">
        <v>-373</v>
      </c>
      <c r="S67" s="423">
        <v>-322</v>
      </c>
      <c r="T67" s="423">
        <v>-149</v>
      </c>
      <c r="U67" s="423">
        <v>-2</v>
      </c>
      <c r="W67" s="423">
        <f t="shared" si="69"/>
        <v>-41</v>
      </c>
      <c r="X67" s="423">
        <f t="shared" si="70"/>
        <v>-349</v>
      </c>
      <c r="Y67" s="423">
        <f t="shared" si="71"/>
        <v>184</v>
      </c>
      <c r="Z67" s="423">
        <f t="shared" si="71"/>
        <v>-270</v>
      </c>
      <c r="AA67" s="423">
        <f t="shared" si="72"/>
        <v>-25</v>
      </c>
      <c r="AB67" s="423">
        <f t="shared" si="73"/>
        <v>-145</v>
      </c>
      <c r="AC67" s="423">
        <f t="shared" si="74"/>
        <v>-203</v>
      </c>
      <c r="AD67" s="423">
        <f t="shared" si="74"/>
        <v>51</v>
      </c>
      <c r="AE67" s="423">
        <f t="shared" si="75"/>
        <v>-149</v>
      </c>
      <c r="AF67" s="423">
        <f t="shared" si="76"/>
        <v>147</v>
      </c>
    </row>
    <row r="68" spans="1:32">
      <c r="A68" s="417" t="s">
        <v>692</v>
      </c>
      <c r="B68" s="417" t="s">
        <v>693</v>
      </c>
      <c r="D68" s="425">
        <v>-15467</v>
      </c>
      <c r="E68" s="425">
        <v>-20090</v>
      </c>
      <c r="F68" s="425">
        <v>-35044</v>
      </c>
      <c r="G68" s="425">
        <v>-48348</v>
      </c>
      <c r="H68" s="425">
        <v>-12595</v>
      </c>
      <c r="I68" s="425">
        <v>-11796</v>
      </c>
      <c r="J68" s="425">
        <v>-15780</v>
      </c>
      <c r="K68" s="425">
        <v>-23456</v>
      </c>
      <c r="L68" s="425">
        <v>-7082</v>
      </c>
      <c r="M68" s="425">
        <v>-9019</v>
      </c>
      <c r="N68" s="425">
        <v>11574</v>
      </c>
      <c r="O68" s="425">
        <v>-551</v>
      </c>
      <c r="P68" s="425">
        <v>-14673</v>
      </c>
      <c r="Q68" s="425">
        <v>-24732</v>
      </c>
      <c r="R68" s="425">
        <v>-19205</v>
      </c>
      <c r="S68" s="425">
        <v>-47098</v>
      </c>
      <c r="T68" s="425">
        <v>-5700</v>
      </c>
      <c r="U68" s="756">
        <v>-1540</v>
      </c>
      <c r="W68" s="425">
        <f t="shared" si="69"/>
        <v>-7082</v>
      </c>
      <c r="X68" s="425">
        <f t="shared" si="70"/>
        <v>-1937</v>
      </c>
      <c r="Y68" s="425">
        <f t="shared" si="71"/>
        <v>20593</v>
      </c>
      <c r="Z68" s="425">
        <f t="shared" si="71"/>
        <v>-12125</v>
      </c>
      <c r="AA68" s="425">
        <f t="shared" si="72"/>
        <v>-14673</v>
      </c>
      <c r="AB68" s="425">
        <f t="shared" si="73"/>
        <v>-10059</v>
      </c>
      <c r="AC68" s="425">
        <f t="shared" si="74"/>
        <v>5527</v>
      </c>
      <c r="AD68" s="425">
        <f t="shared" si="74"/>
        <v>-27893</v>
      </c>
      <c r="AE68" s="425">
        <f t="shared" si="75"/>
        <v>-5700</v>
      </c>
      <c r="AF68" s="756">
        <f t="shared" si="76"/>
        <v>4160</v>
      </c>
    </row>
    <row r="69" spans="1:32">
      <c r="A69" s="417" t="s">
        <v>694</v>
      </c>
      <c r="B69" s="417" t="s">
        <v>695</v>
      </c>
      <c r="D69" s="422">
        <f t="shared" ref="D69:I69" si="77">SUM(D70:D77)</f>
        <v>-30745</v>
      </c>
      <c r="E69" s="422">
        <f t="shared" si="77"/>
        <v>-58843</v>
      </c>
      <c r="F69" s="422">
        <f t="shared" si="77"/>
        <v>-73299</v>
      </c>
      <c r="G69" s="422">
        <f t="shared" si="77"/>
        <v>-123852</v>
      </c>
      <c r="H69" s="422">
        <f t="shared" si="77"/>
        <v>-18876</v>
      </c>
      <c r="I69" s="422">
        <f t="shared" si="77"/>
        <v>-37325</v>
      </c>
      <c r="J69" s="422">
        <f t="shared" ref="J69:T69" si="78">SUM(J70:J77)</f>
        <v>-68398</v>
      </c>
      <c r="K69" s="422">
        <f t="shared" si="78"/>
        <v>-87650</v>
      </c>
      <c r="L69" s="422">
        <f t="shared" si="78"/>
        <v>-21480</v>
      </c>
      <c r="M69" s="422">
        <f t="shared" si="78"/>
        <v>-45625</v>
      </c>
      <c r="N69" s="422">
        <f t="shared" si="78"/>
        <v>-75133</v>
      </c>
      <c r="O69" s="422">
        <f t="shared" si="78"/>
        <v>-117746</v>
      </c>
      <c r="P69" s="422">
        <f t="shared" si="78"/>
        <v>-27244</v>
      </c>
      <c r="Q69" s="422">
        <f t="shared" si="78"/>
        <v>-58723</v>
      </c>
      <c r="R69" s="422">
        <f t="shared" si="78"/>
        <v>-94392</v>
      </c>
      <c r="S69" s="422">
        <f t="shared" si="78"/>
        <v>-149787</v>
      </c>
      <c r="T69" s="422">
        <f t="shared" si="78"/>
        <v>-29084</v>
      </c>
      <c r="U69" s="422">
        <f>SUM(U70:U77)</f>
        <v>-60598</v>
      </c>
      <c r="W69" s="422">
        <f t="shared" ref="W69:AC69" si="79">SUM(W70:W77)</f>
        <v>-21480</v>
      </c>
      <c r="X69" s="422">
        <f t="shared" si="79"/>
        <v>-24145</v>
      </c>
      <c r="Y69" s="422">
        <f t="shared" si="79"/>
        <v>-29508</v>
      </c>
      <c r="Z69" s="422">
        <f t="shared" si="79"/>
        <v>-42613</v>
      </c>
      <c r="AA69" s="422">
        <f t="shared" si="79"/>
        <v>-27244</v>
      </c>
      <c r="AB69" s="422">
        <f t="shared" si="79"/>
        <v>-31479</v>
      </c>
      <c r="AC69" s="422">
        <f t="shared" si="79"/>
        <v>-35669</v>
      </c>
      <c r="AD69" s="422">
        <f t="shared" ref="AD69:AE69" si="80">SUM(AD70:AD77)</f>
        <v>-55395</v>
      </c>
      <c r="AE69" s="422">
        <f t="shared" si="80"/>
        <v>-29084</v>
      </c>
      <c r="AF69" s="422">
        <f>SUM(AF70:AF77)</f>
        <v>-31514</v>
      </c>
    </row>
    <row r="70" spans="1:32" outlineLevel="1">
      <c r="A70" s="418" t="s">
        <v>696</v>
      </c>
      <c r="B70" s="418" t="s">
        <v>697</v>
      </c>
      <c r="D70" s="423">
        <v>-10812</v>
      </c>
      <c r="E70" s="423">
        <v>-19265</v>
      </c>
      <c r="F70" s="423">
        <v>-29618</v>
      </c>
      <c r="G70" s="423">
        <v>-46711</v>
      </c>
      <c r="H70" s="423">
        <v>-9984</v>
      </c>
      <c r="I70" s="423">
        <v>-23448</v>
      </c>
      <c r="J70" s="423">
        <v>-37603</v>
      </c>
      <c r="K70" s="423">
        <v>-42037</v>
      </c>
      <c r="L70" s="423">
        <v>-7728</v>
      </c>
      <c r="M70" s="423">
        <v>-18014</v>
      </c>
      <c r="N70" s="423">
        <v>-29805</v>
      </c>
      <c r="O70" s="423">
        <v>-40574</v>
      </c>
      <c r="P70" s="423">
        <v>-14374</v>
      </c>
      <c r="Q70" s="423">
        <v>-28178</v>
      </c>
      <c r="R70" s="423">
        <v>-46643</v>
      </c>
      <c r="S70" s="423">
        <v>-67200</v>
      </c>
      <c r="T70" s="423">
        <v>-19902</v>
      </c>
      <c r="U70" s="423">
        <v>-41090</v>
      </c>
      <c r="W70" s="423">
        <f t="shared" ref="W70:W78" si="81">L70</f>
        <v>-7728</v>
      </c>
      <c r="X70" s="423">
        <f t="shared" ref="X70:X78" si="82">M70-W70</f>
        <v>-10286</v>
      </c>
      <c r="Y70" s="423">
        <f t="shared" ref="Y70:Y78" si="83">N70-M70</f>
        <v>-11791</v>
      </c>
      <c r="Z70" s="423">
        <f t="shared" ref="Z70:Z78" si="84">O70-N70</f>
        <v>-10769</v>
      </c>
      <c r="AA70" s="423">
        <f t="shared" ref="AA70:AA78" si="85">P70</f>
        <v>-14374</v>
      </c>
      <c r="AB70" s="423">
        <f t="shared" ref="AB70:AB78" si="86">Q70-AA70</f>
        <v>-13804</v>
      </c>
      <c r="AC70" s="423">
        <f t="shared" ref="AC70:AC78" si="87">R70-Q70</f>
        <v>-18465</v>
      </c>
      <c r="AD70" s="423">
        <f t="shared" ref="AD70:AD78" si="88">S70-R70</f>
        <v>-20557</v>
      </c>
      <c r="AE70" s="423">
        <f t="shared" ref="AE70:AE78" si="89">T70</f>
        <v>-19902</v>
      </c>
      <c r="AF70" s="423">
        <f t="shared" ref="AF70:AF78" si="90">U70-T70</f>
        <v>-21188</v>
      </c>
    </row>
    <row r="71" spans="1:32" outlineLevel="1">
      <c r="A71" s="418" t="s">
        <v>698</v>
      </c>
      <c r="B71" s="418" t="s">
        <v>699</v>
      </c>
      <c r="D71" s="423">
        <v>-3641</v>
      </c>
      <c r="E71" s="423">
        <v>-3950</v>
      </c>
      <c r="F71" s="423">
        <v>-3799</v>
      </c>
      <c r="G71" s="423">
        <v>-4329</v>
      </c>
      <c r="H71" s="423">
        <v>-133</v>
      </c>
      <c r="I71" s="423">
        <v>810</v>
      </c>
      <c r="J71" s="423">
        <v>1380</v>
      </c>
      <c r="K71" s="423">
        <v>-371</v>
      </c>
      <c r="L71" s="423">
        <v>463</v>
      </c>
      <c r="M71" s="423">
        <v>185</v>
      </c>
      <c r="N71" s="423">
        <v>-1105</v>
      </c>
      <c r="O71" s="423">
        <v>-1607</v>
      </c>
      <c r="P71" s="423">
        <v>-390</v>
      </c>
      <c r="Q71" s="423">
        <v>-644</v>
      </c>
      <c r="R71" s="423">
        <v>-205</v>
      </c>
      <c r="S71" s="423">
        <v>-337</v>
      </c>
      <c r="T71" s="423">
        <v>-215</v>
      </c>
      <c r="U71" s="423">
        <v>-419</v>
      </c>
      <c r="W71" s="423">
        <f t="shared" si="81"/>
        <v>463</v>
      </c>
      <c r="X71" s="423">
        <f t="shared" si="82"/>
        <v>-278</v>
      </c>
      <c r="Y71" s="423">
        <f t="shared" si="83"/>
        <v>-1290</v>
      </c>
      <c r="Z71" s="423">
        <f t="shared" si="84"/>
        <v>-502</v>
      </c>
      <c r="AA71" s="423">
        <f t="shared" si="85"/>
        <v>-390</v>
      </c>
      <c r="AB71" s="423">
        <f t="shared" si="86"/>
        <v>-254</v>
      </c>
      <c r="AC71" s="423">
        <f t="shared" si="87"/>
        <v>439</v>
      </c>
      <c r="AD71" s="423">
        <f t="shared" si="88"/>
        <v>-132</v>
      </c>
      <c r="AE71" s="423">
        <f t="shared" si="89"/>
        <v>-215</v>
      </c>
      <c r="AF71" s="423">
        <f t="shared" si="90"/>
        <v>-204</v>
      </c>
    </row>
    <row r="72" spans="1:32" outlineLevel="1">
      <c r="A72" s="418" t="s">
        <v>700</v>
      </c>
      <c r="B72" s="418" t="s">
        <v>701</v>
      </c>
      <c r="D72" s="423">
        <v>-10882</v>
      </c>
      <c r="E72" s="423">
        <v>-22761</v>
      </c>
      <c r="F72" s="423">
        <v>-26251</v>
      </c>
      <c r="G72" s="423">
        <v>-52898</v>
      </c>
      <c r="H72" s="423">
        <v>-4380</v>
      </c>
      <c r="I72" s="423">
        <v>-6118</v>
      </c>
      <c r="J72" s="423">
        <v>-13700</v>
      </c>
      <c r="K72" s="423">
        <v>-17549</v>
      </c>
      <c r="L72" s="423">
        <v>-7415</v>
      </c>
      <c r="M72" s="423">
        <v>-15022</v>
      </c>
      <c r="N72" s="423">
        <v>-22967</v>
      </c>
      <c r="O72" s="423">
        <v>-47242</v>
      </c>
      <c r="P72" s="423">
        <v>-5810</v>
      </c>
      <c r="Q72" s="423">
        <v>-15685</v>
      </c>
      <c r="R72" s="423">
        <v>-22106</v>
      </c>
      <c r="S72" s="423">
        <v>-33102</v>
      </c>
      <c r="T72" s="423">
        <v>-7819</v>
      </c>
      <c r="U72" s="423">
        <v>-16389</v>
      </c>
      <c r="W72" s="423">
        <f t="shared" si="81"/>
        <v>-7415</v>
      </c>
      <c r="X72" s="423">
        <f t="shared" si="82"/>
        <v>-7607</v>
      </c>
      <c r="Y72" s="423">
        <f t="shared" si="83"/>
        <v>-7945</v>
      </c>
      <c r="Z72" s="423">
        <f t="shared" si="84"/>
        <v>-24275</v>
      </c>
      <c r="AA72" s="423">
        <f t="shared" si="85"/>
        <v>-5810</v>
      </c>
      <c r="AB72" s="423">
        <f t="shared" si="86"/>
        <v>-9875</v>
      </c>
      <c r="AC72" s="423">
        <f t="shared" si="87"/>
        <v>-6421</v>
      </c>
      <c r="AD72" s="423">
        <f t="shared" si="88"/>
        <v>-10996</v>
      </c>
      <c r="AE72" s="423">
        <f t="shared" si="89"/>
        <v>-7819</v>
      </c>
      <c r="AF72" s="423">
        <f t="shared" si="90"/>
        <v>-8570</v>
      </c>
    </row>
    <row r="73" spans="1:32" outlineLevel="1">
      <c r="A73" s="418" t="s">
        <v>702</v>
      </c>
      <c r="B73" s="418" t="s">
        <v>703</v>
      </c>
      <c r="D73" s="423">
        <v>-101</v>
      </c>
      <c r="E73" s="423">
        <v>-85</v>
      </c>
      <c r="F73" s="423">
        <v>60</v>
      </c>
      <c r="G73" s="423">
        <v>19</v>
      </c>
      <c r="H73" s="423">
        <v>-66</v>
      </c>
      <c r="I73" s="423">
        <v>-274</v>
      </c>
      <c r="J73" s="423">
        <v>-390</v>
      </c>
      <c r="K73" s="423">
        <v>-508</v>
      </c>
      <c r="L73" s="423">
        <v>-60</v>
      </c>
      <c r="M73" s="423">
        <v>-215</v>
      </c>
      <c r="N73" s="423">
        <v>-243</v>
      </c>
      <c r="O73" s="423">
        <v>-257</v>
      </c>
      <c r="P73" s="423">
        <v>57</v>
      </c>
      <c r="Q73" s="423">
        <v>98</v>
      </c>
      <c r="R73" s="423">
        <v>192</v>
      </c>
      <c r="S73" s="423">
        <v>268</v>
      </c>
      <c r="T73" s="423">
        <v>-23</v>
      </c>
      <c r="U73" s="423">
        <v>-25</v>
      </c>
      <c r="W73" s="423">
        <f t="shared" si="81"/>
        <v>-60</v>
      </c>
      <c r="X73" s="423">
        <f t="shared" si="82"/>
        <v>-155</v>
      </c>
      <c r="Y73" s="423">
        <f t="shared" si="83"/>
        <v>-28</v>
      </c>
      <c r="Z73" s="423">
        <f t="shared" si="84"/>
        <v>-14</v>
      </c>
      <c r="AA73" s="423">
        <f t="shared" si="85"/>
        <v>57</v>
      </c>
      <c r="AB73" s="423">
        <f t="shared" si="86"/>
        <v>41</v>
      </c>
      <c r="AC73" s="423">
        <f t="shared" si="87"/>
        <v>94</v>
      </c>
      <c r="AD73" s="423">
        <f t="shared" si="88"/>
        <v>76</v>
      </c>
      <c r="AE73" s="423">
        <f t="shared" si="89"/>
        <v>-23</v>
      </c>
      <c r="AF73" s="423">
        <f t="shared" si="90"/>
        <v>-2</v>
      </c>
    </row>
    <row r="74" spans="1:32" outlineLevel="1">
      <c r="A74" s="418" t="s">
        <v>704</v>
      </c>
      <c r="B74" s="418" t="s">
        <v>705</v>
      </c>
      <c r="D74" s="423">
        <v>-183</v>
      </c>
      <c r="E74" s="423">
        <v>998</v>
      </c>
      <c r="F74" s="423">
        <v>1782</v>
      </c>
      <c r="G74" s="423">
        <v>3516</v>
      </c>
      <c r="H74" s="423">
        <v>226</v>
      </c>
      <c r="I74" s="423">
        <v>1391</v>
      </c>
      <c r="J74" s="423">
        <v>2521</v>
      </c>
      <c r="K74" s="423">
        <v>3769</v>
      </c>
      <c r="L74" s="423">
        <v>-126</v>
      </c>
      <c r="M74" s="423">
        <v>627</v>
      </c>
      <c r="N74" s="423">
        <v>-495</v>
      </c>
      <c r="O74" s="423">
        <v>153</v>
      </c>
      <c r="P74" s="423">
        <v>-312</v>
      </c>
      <c r="Q74" s="423">
        <v>-1452</v>
      </c>
      <c r="R74" s="423">
        <v>-1195</v>
      </c>
      <c r="S74" s="423">
        <v>-742</v>
      </c>
      <c r="T74" s="423">
        <v>-858</v>
      </c>
      <c r="U74" s="423">
        <v>-2542</v>
      </c>
      <c r="W74" s="423">
        <f t="shared" si="81"/>
        <v>-126</v>
      </c>
      <c r="X74" s="423">
        <f t="shared" si="82"/>
        <v>753</v>
      </c>
      <c r="Y74" s="423">
        <f t="shared" si="83"/>
        <v>-1122</v>
      </c>
      <c r="Z74" s="423">
        <f t="shared" si="84"/>
        <v>648</v>
      </c>
      <c r="AA74" s="423">
        <f t="shared" si="85"/>
        <v>-312</v>
      </c>
      <c r="AB74" s="423">
        <f t="shared" si="86"/>
        <v>-1140</v>
      </c>
      <c r="AC74" s="423">
        <f t="shared" si="87"/>
        <v>257</v>
      </c>
      <c r="AD74" s="423">
        <f t="shared" si="88"/>
        <v>453</v>
      </c>
      <c r="AE74" s="423">
        <f t="shared" si="89"/>
        <v>-858</v>
      </c>
      <c r="AF74" s="423">
        <f t="shared" si="90"/>
        <v>-1684</v>
      </c>
    </row>
    <row r="75" spans="1:32" outlineLevel="1">
      <c r="A75" s="418" t="s">
        <v>706</v>
      </c>
      <c r="B75" s="418" t="s">
        <v>707</v>
      </c>
      <c r="D75" s="423">
        <v>-2698</v>
      </c>
      <c r="E75" s="423">
        <v>-5664</v>
      </c>
      <c r="F75" s="423">
        <v>-8529</v>
      </c>
      <c r="G75" s="423">
        <v>-11881</v>
      </c>
      <c r="H75" s="423">
        <v>-2061</v>
      </c>
      <c r="I75" s="423">
        <v>-4876</v>
      </c>
      <c r="J75" s="423">
        <v>-6811</v>
      </c>
      <c r="K75" s="423">
        <v>-9075</v>
      </c>
      <c r="L75" s="423">
        <v>-2983</v>
      </c>
      <c r="M75" s="423">
        <v>-6233</v>
      </c>
      <c r="N75" s="423">
        <v>-10199</v>
      </c>
      <c r="O75" s="423">
        <v>-12685</v>
      </c>
      <c r="P75" s="423">
        <v>-3338</v>
      </c>
      <c r="Q75" s="423">
        <v>-6767</v>
      </c>
      <c r="R75" s="423">
        <v>-14908</v>
      </c>
      <c r="S75" s="423">
        <v>-19303</v>
      </c>
      <c r="T75" s="423">
        <v>6648</v>
      </c>
      <c r="U75" s="423">
        <v>6540</v>
      </c>
      <c r="W75" s="423">
        <f t="shared" si="81"/>
        <v>-2983</v>
      </c>
      <c r="X75" s="423">
        <f t="shared" si="82"/>
        <v>-3250</v>
      </c>
      <c r="Y75" s="423">
        <f t="shared" si="83"/>
        <v>-3966</v>
      </c>
      <c r="Z75" s="423">
        <f t="shared" si="84"/>
        <v>-2486</v>
      </c>
      <c r="AA75" s="423">
        <f t="shared" si="85"/>
        <v>-3338</v>
      </c>
      <c r="AB75" s="423">
        <f t="shared" si="86"/>
        <v>-3429</v>
      </c>
      <c r="AC75" s="423">
        <f t="shared" si="87"/>
        <v>-8141</v>
      </c>
      <c r="AD75" s="423">
        <f t="shared" si="88"/>
        <v>-4395</v>
      </c>
      <c r="AE75" s="423">
        <f t="shared" si="89"/>
        <v>6648</v>
      </c>
      <c r="AF75" s="423">
        <f t="shared" si="90"/>
        <v>-108</v>
      </c>
    </row>
    <row r="76" spans="1:32" outlineLevel="1">
      <c r="A76" s="418" t="s">
        <v>708</v>
      </c>
      <c r="B76" s="418" t="s">
        <v>709</v>
      </c>
      <c r="D76" s="423">
        <v>-2428</v>
      </c>
      <c r="E76" s="423">
        <v>-8116</v>
      </c>
      <c r="F76" s="423">
        <v>-6944</v>
      </c>
      <c r="G76" s="423">
        <v>-11568</v>
      </c>
      <c r="H76" s="423">
        <v>-2478</v>
      </c>
      <c r="I76" s="423">
        <v>-4810</v>
      </c>
      <c r="J76" s="423">
        <v>-13795</v>
      </c>
      <c r="K76" s="423">
        <v>-21879</v>
      </c>
      <c r="L76" s="423">
        <v>-3631</v>
      </c>
      <c r="M76" s="423">
        <v>-6953</v>
      </c>
      <c r="N76" s="423">
        <v>-10319</v>
      </c>
      <c r="O76" s="423">
        <v>-15534</v>
      </c>
      <c r="P76" s="423">
        <v>-3077</v>
      </c>
      <c r="Q76" s="423">
        <v>-6095</v>
      </c>
      <c r="R76" s="423">
        <v>-9527</v>
      </c>
      <c r="S76" s="423">
        <v>-29371</v>
      </c>
      <c r="T76" s="423">
        <v>-6915</v>
      </c>
      <c r="U76" s="423">
        <v>-6673</v>
      </c>
      <c r="W76" s="423">
        <f t="shared" si="81"/>
        <v>-3631</v>
      </c>
      <c r="X76" s="423">
        <f t="shared" si="82"/>
        <v>-3322</v>
      </c>
      <c r="Y76" s="423">
        <f t="shared" si="83"/>
        <v>-3366</v>
      </c>
      <c r="Z76" s="423">
        <f t="shared" si="84"/>
        <v>-5215</v>
      </c>
      <c r="AA76" s="423">
        <f t="shared" si="85"/>
        <v>-3077</v>
      </c>
      <c r="AB76" s="423">
        <f t="shared" si="86"/>
        <v>-3018</v>
      </c>
      <c r="AC76" s="423">
        <f t="shared" si="87"/>
        <v>-3432</v>
      </c>
      <c r="AD76" s="423">
        <f t="shared" si="88"/>
        <v>-19844</v>
      </c>
      <c r="AE76" s="423">
        <f t="shared" si="89"/>
        <v>-6915</v>
      </c>
      <c r="AF76" s="423">
        <f t="shared" si="90"/>
        <v>242</v>
      </c>
    </row>
    <row r="77" spans="1:32" outlineLevel="1">
      <c r="A77" s="418" t="s">
        <v>710</v>
      </c>
      <c r="B77" s="418" t="s">
        <v>711</v>
      </c>
      <c r="D77" s="423">
        <v>0</v>
      </c>
      <c r="E77" s="423">
        <v>0</v>
      </c>
      <c r="F77" s="423">
        <v>0</v>
      </c>
      <c r="G77" s="423">
        <v>0</v>
      </c>
      <c r="H77" s="423">
        <v>0</v>
      </c>
      <c r="I77" s="423">
        <v>0</v>
      </c>
      <c r="J77" s="423">
        <v>0</v>
      </c>
      <c r="K77" s="423">
        <v>0</v>
      </c>
      <c r="L77" s="423">
        <v>0</v>
      </c>
      <c r="M77" s="423">
        <v>0</v>
      </c>
      <c r="N77" s="423">
        <v>0</v>
      </c>
      <c r="O77" s="423">
        <v>0</v>
      </c>
      <c r="P77" s="423">
        <v>0</v>
      </c>
      <c r="Q77" s="423">
        <v>0</v>
      </c>
      <c r="R77" s="423">
        <v>0</v>
      </c>
      <c r="S77" s="423">
        <v>0</v>
      </c>
      <c r="T77" s="423">
        <v>0</v>
      </c>
      <c r="U77" s="423">
        <v>0</v>
      </c>
      <c r="W77" s="423">
        <f t="shared" si="81"/>
        <v>0</v>
      </c>
      <c r="X77" s="423">
        <f t="shared" si="82"/>
        <v>0</v>
      </c>
      <c r="Y77" s="423">
        <f t="shared" si="83"/>
        <v>0</v>
      </c>
      <c r="Z77" s="423">
        <f t="shared" si="84"/>
        <v>0</v>
      </c>
      <c r="AA77" s="423">
        <f t="shared" si="85"/>
        <v>0</v>
      </c>
      <c r="AB77" s="423">
        <f t="shared" si="86"/>
        <v>0</v>
      </c>
      <c r="AC77" s="423">
        <f t="shared" si="87"/>
        <v>0</v>
      </c>
      <c r="AD77" s="423">
        <f t="shared" si="88"/>
        <v>0</v>
      </c>
      <c r="AE77" s="423">
        <f t="shared" si="89"/>
        <v>0</v>
      </c>
      <c r="AF77" s="423">
        <f t="shared" si="90"/>
        <v>0</v>
      </c>
    </row>
    <row r="78" spans="1:32">
      <c r="A78" s="417" t="s">
        <v>712</v>
      </c>
      <c r="B78" s="417" t="s">
        <v>713</v>
      </c>
      <c r="D78" s="422">
        <v>0</v>
      </c>
      <c r="E78" s="422">
        <v>0</v>
      </c>
      <c r="F78" s="422">
        <v>0</v>
      </c>
      <c r="G78" s="422">
        <v>0</v>
      </c>
      <c r="H78" s="422">
        <v>0</v>
      </c>
      <c r="I78" s="422">
        <v>0</v>
      </c>
      <c r="J78" s="422">
        <v>0</v>
      </c>
      <c r="K78" s="422">
        <v>0</v>
      </c>
      <c r="L78" s="422">
        <v>0</v>
      </c>
      <c r="M78" s="422">
        <v>0</v>
      </c>
      <c r="N78" s="422">
        <v>0</v>
      </c>
      <c r="O78" s="422">
        <v>0</v>
      </c>
      <c r="P78" s="422">
        <v>0</v>
      </c>
      <c r="Q78" s="422">
        <v>0</v>
      </c>
      <c r="R78" s="422">
        <v>0</v>
      </c>
      <c r="S78" s="422">
        <v>0</v>
      </c>
      <c r="T78" s="422">
        <v>0</v>
      </c>
      <c r="U78" s="422">
        <v>0</v>
      </c>
      <c r="W78" s="422">
        <f t="shared" si="81"/>
        <v>0</v>
      </c>
      <c r="X78" s="422">
        <f t="shared" si="82"/>
        <v>0</v>
      </c>
      <c r="Y78" s="422">
        <f t="shared" si="83"/>
        <v>0</v>
      </c>
      <c r="Z78" s="422">
        <f t="shared" si="84"/>
        <v>0</v>
      </c>
      <c r="AA78" s="422">
        <f t="shared" si="85"/>
        <v>0</v>
      </c>
      <c r="AB78" s="422">
        <f t="shared" si="86"/>
        <v>0</v>
      </c>
      <c r="AC78" s="422">
        <f t="shared" si="87"/>
        <v>0</v>
      </c>
      <c r="AD78" s="422">
        <f t="shared" si="88"/>
        <v>0</v>
      </c>
      <c r="AE78" s="422">
        <f t="shared" si="89"/>
        <v>0</v>
      </c>
      <c r="AF78" s="422">
        <f t="shared" si="90"/>
        <v>0</v>
      </c>
    </row>
    <row r="79" spans="1:32">
      <c r="A79" s="417" t="s">
        <v>714</v>
      </c>
      <c r="B79" s="417" t="s">
        <v>715</v>
      </c>
      <c r="D79" s="422">
        <f t="shared" ref="D79:K79" si="91">SUM(D80:D82)</f>
        <v>-1395</v>
      </c>
      <c r="E79" s="422">
        <f t="shared" si="91"/>
        <v>-7016</v>
      </c>
      <c r="F79" s="422">
        <f t="shared" si="91"/>
        <v>-22444</v>
      </c>
      <c r="G79" s="422">
        <f t="shared" si="91"/>
        <v>-27877</v>
      </c>
      <c r="H79" s="422">
        <f t="shared" si="91"/>
        <v>-9857</v>
      </c>
      <c r="I79" s="422">
        <f t="shared" si="91"/>
        <v>-12141</v>
      </c>
      <c r="J79" s="422">
        <f t="shared" si="91"/>
        <v>-23348</v>
      </c>
      <c r="K79" s="422">
        <f t="shared" si="91"/>
        <v>-47035</v>
      </c>
      <c r="L79" s="422">
        <f t="shared" ref="L79:T79" si="92">SUM(L80:L82)</f>
        <v>-13565</v>
      </c>
      <c r="M79" s="422">
        <f t="shared" si="92"/>
        <v>-12308</v>
      </c>
      <c r="N79" s="422">
        <f t="shared" si="92"/>
        <v>-30234</v>
      </c>
      <c r="O79" s="422">
        <f t="shared" si="92"/>
        <v>-88171</v>
      </c>
      <c r="P79" s="422">
        <f t="shared" si="92"/>
        <v>-9853</v>
      </c>
      <c r="Q79" s="422">
        <f t="shared" si="92"/>
        <v>-23569</v>
      </c>
      <c r="R79" s="422">
        <f t="shared" si="92"/>
        <v>-45800</v>
      </c>
      <c r="S79" s="422">
        <f t="shared" si="92"/>
        <v>-73503</v>
      </c>
      <c r="T79" s="422">
        <f t="shared" si="92"/>
        <v>-10031</v>
      </c>
      <c r="U79" s="422">
        <f>SUM(U80:U82)</f>
        <v>-20539</v>
      </c>
      <c r="W79" s="422">
        <f t="shared" ref="W79:AC79" si="93">SUM(W80:W82)</f>
        <v>-13565</v>
      </c>
      <c r="X79" s="422">
        <f t="shared" si="93"/>
        <v>1257</v>
      </c>
      <c r="Y79" s="422">
        <f t="shared" si="93"/>
        <v>-17926</v>
      </c>
      <c r="Z79" s="422">
        <f t="shared" si="93"/>
        <v>-57937</v>
      </c>
      <c r="AA79" s="422">
        <f t="shared" si="93"/>
        <v>-9853</v>
      </c>
      <c r="AB79" s="422">
        <f t="shared" si="93"/>
        <v>-13716</v>
      </c>
      <c r="AC79" s="422">
        <f t="shared" si="93"/>
        <v>-22231</v>
      </c>
      <c r="AD79" s="422">
        <f t="shared" ref="AD79:AE79" si="94">SUM(AD80:AD82)</f>
        <v>-27703</v>
      </c>
      <c r="AE79" s="422">
        <f t="shared" si="94"/>
        <v>-10031</v>
      </c>
      <c r="AF79" s="422">
        <f>SUM(AF80:AF82)</f>
        <v>-10508</v>
      </c>
    </row>
    <row r="80" spans="1:32" outlineLevel="1">
      <c r="A80" s="418" t="s">
        <v>716</v>
      </c>
      <c r="B80" s="418" t="s">
        <v>717</v>
      </c>
      <c r="D80" s="423">
        <v>-1048</v>
      </c>
      <c r="E80" s="423">
        <v>-2571</v>
      </c>
      <c r="F80" s="423">
        <v>-4472</v>
      </c>
      <c r="G80" s="423">
        <v>-8143</v>
      </c>
      <c r="H80" s="423">
        <v>-1080</v>
      </c>
      <c r="I80" s="423">
        <v>-2288</v>
      </c>
      <c r="J80" s="423">
        <v>-3704</v>
      </c>
      <c r="K80" s="423">
        <v>-11221</v>
      </c>
      <c r="L80" s="423">
        <v>-1543</v>
      </c>
      <c r="M80" s="423">
        <v>-3475</v>
      </c>
      <c r="N80" s="423">
        <v>-6574</v>
      </c>
      <c r="O80" s="423">
        <v>-22111</v>
      </c>
      <c r="P80" s="423">
        <v>-1455</v>
      </c>
      <c r="Q80" s="423">
        <v>-4156</v>
      </c>
      <c r="R80" s="423">
        <v>-1939</v>
      </c>
      <c r="S80" s="423">
        <v>-18108</v>
      </c>
      <c r="T80" s="423">
        <v>-1733</v>
      </c>
      <c r="U80" s="423">
        <v>-3910</v>
      </c>
      <c r="W80" s="423">
        <f>L80</f>
        <v>-1543</v>
      </c>
      <c r="X80" s="423">
        <f>M80-W80</f>
        <v>-1932</v>
      </c>
      <c r="Y80" s="423">
        <f t="shared" ref="Y80:Z82" si="95">N80-M80</f>
        <v>-3099</v>
      </c>
      <c r="Z80" s="423">
        <f t="shared" si="95"/>
        <v>-15537</v>
      </c>
      <c r="AA80" s="423">
        <f>P80</f>
        <v>-1455</v>
      </c>
      <c r="AB80" s="423">
        <f t="shared" ref="AB80:AB82" si="96">Q80-AA80</f>
        <v>-2701</v>
      </c>
      <c r="AC80" s="423">
        <f t="shared" ref="AC80:AD82" si="97">R80-Q80</f>
        <v>2217</v>
      </c>
      <c r="AD80" s="423">
        <f t="shared" si="97"/>
        <v>-16169</v>
      </c>
      <c r="AE80" s="423">
        <f>T80</f>
        <v>-1733</v>
      </c>
      <c r="AF80" s="423">
        <f>U80-T80</f>
        <v>-2177</v>
      </c>
    </row>
    <row r="81" spans="1:32" outlineLevel="1">
      <c r="A81" s="418" t="s">
        <v>718</v>
      </c>
      <c r="B81" s="418" t="s">
        <v>719</v>
      </c>
      <c r="D81" s="423">
        <v>-347</v>
      </c>
      <c r="E81" s="423">
        <v>-4445</v>
      </c>
      <c r="F81" s="423">
        <v>-17972</v>
      </c>
      <c r="G81" s="423">
        <v>-19734</v>
      </c>
      <c r="H81" s="423">
        <v>-8777</v>
      </c>
      <c r="I81" s="423">
        <v>-9853</v>
      </c>
      <c r="J81" s="423">
        <v>-19644</v>
      </c>
      <c r="K81" s="423">
        <v>-35814</v>
      </c>
      <c r="L81" s="423">
        <v>-12022</v>
      </c>
      <c r="M81" s="423">
        <v>1781</v>
      </c>
      <c r="N81" s="423">
        <v>-2843</v>
      </c>
      <c r="O81" s="423">
        <v>-15640</v>
      </c>
      <c r="P81" s="423">
        <v>-5839</v>
      </c>
      <c r="Q81" s="423">
        <v>-14993</v>
      </c>
      <c r="R81" s="423">
        <v>-38601</v>
      </c>
      <c r="S81" s="423">
        <v>-49148</v>
      </c>
      <c r="T81" s="423">
        <v>-8814</v>
      </c>
      <c r="U81" s="423">
        <v>-11178</v>
      </c>
      <c r="W81" s="423">
        <f>L81</f>
        <v>-12022</v>
      </c>
      <c r="X81" s="423">
        <f>M81-W81</f>
        <v>13803</v>
      </c>
      <c r="Y81" s="423">
        <f t="shared" si="95"/>
        <v>-4624</v>
      </c>
      <c r="Z81" s="423">
        <f t="shared" si="95"/>
        <v>-12797</v>
      </c>
      <c r="AA81" s="423">
        <f>P81</f>
        <v>-5839</v>
      </c>
      <c r="AB81" s="423">
        <f t="shared" si="96"/>
        <v>-9154</v>
      </c>
      <c r="AC81" s="423">
        <f t="shared" si="97"/>
        <v>-23608</v>
      </c>
      <c r="AD81" s="423">
        <f t="shared" si="97"/>
        <v>-10547</v>
      </c>
      <c r="AE81" s="423">
        <f>T81</f>
        <v>-8814</v>
      </c>
      <c r="AF81" s="423">
        <f>U81-T81</f>
        <v>-2364</v>
      </c>
    </row>
    <row r="82" spans="1:32" outlineLevel="1">
      <c r="A82" s="418" t="s">
        <v>720</v>
      </c>
      <c r="B82" s="418" t="s">
        <v>721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>
        <v>-10614</v>
      </c>
      <c r="N82" s="423">
        <v>-20817</v>
      </c>
      <c r="O82" s="423">
        <v>-50420</v>
      </c>
      <c r="P82" s="423">
        <v>-2559</v>
      </c>
      <c r="Q82" s="423">
        <v>-4420</v>
      </c>
      <c r="R82" s="423">
        <v>-5260</v>
      </c>
      <c r="S82" s="423">
        <v>-6247</v>
      </c>
      <c r="T82" s="423">
        <v>516</v>
      </c>
      <c r="U82" s="423">
        <v>-5451</v>
      </c>
      <c r="W82" s="423"/>
      <c r="X82" s="423">
        <f>M82-W82</f>
        <v>-10614</v>
      </c>
      <c r="Y82" s="423">
        <f t="shared" si="95"/>
        <v>-10203</v>
      </c>
      <c r="Z82" s="423">
        <f t="shared" si="95"/>
        <v>-29603</v>
      </c>
      <c r="AA82" s="423">
        <f>P82</f>
        <v>-2559</v>
      </c>
      <c r="AB82" s="423">
        <f t="shared" si="96"/>
        <v>-1861</v>
      </c>
      <c r="AC82" s="423">
        <f t="shared" si="97"/>
        <v>-840</v>
      </c>
      <c r="AD82" s="423">
        <f t="shared" si="97"/>
        <v>-987</v>
      </c>
      <c r="AE82" s="423">
        <f>T82</f>
        <v>516</v>
      </c>
      <c r="AF82" s="423">
        <f>U82-T82</f>
        <v>-5967</v>
      </c>
    </row>
    <row r="83" spans="1:32">
      <c r="A83" s="417"/>
      <c r="B83" s="417"/>
      <c r="D83" s="417"/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</row>
    <row r="84" spans="1:32">
      <c r="A84" s="429" t="s">
        <v>722</v>
      </c>
      <c r="B84" s="429" t="s">
        <v>722</v>
      </c>
      <c r="D84" s="420">
        <f t="shared" ref="D84:I84" si="98">D86-D76-D53-D77</f>
        <v>109207</v>
      </c>
      <c r="E84" s="420">
        <f t="shared" si="98"/>
        <v>246736</v>
      </c>
      <c r="F84" s="420">
        <f t="shared" si="98"/>
        <v>350832</v>
      </c>
      <c r="G84" s="420">
        <f t="shared" si="98"/>
        <v>478197</v>
      </c>
      <c r="H84" s="420">
        <f t="shared" si="98"/>
        <v>158739</v>
      </c>
      <c r="I84" s="420">
        <f t="shared" si="98"/>
        <v>311445</v>
      </c>
      <c r="J84" s="420">
        <f t="shared" ref="J84:Q84" si="99">J86-J76-J53-J77</f>
        <v>499434</v>
      </c>
      <c r="K84" s="420">
        <f t="shared" si="99"/>
        <v>676753</v>
      </c>
      <c r="L84" s="420">
        <f t="shared" si="99"/>
        <v>202525</v>
      </c>
      <c r="M84" s="420">
        <f t="shared" si="99"/>
        <v>402833</v>
      </c>
      <c r="N84" s="420">
        <f t="shared" si="99"/>
        <v>598853</v>
      </c>
      <c r="O84" s="420">
        <f t="shared" si="99"/>
        <v>669404</v>
      </c>
      <c r="P84" s="420">
        <f t="shared" si="99"/>
        <v>182345</v>
      </c>
      <c r="Q84" s="420">
        <f t="shared" si="99"/>
        <v>423900</v>
      </c>
      <c r="R84" s="420">
        <f t="shared" ref="R84:T84" si="100">R86-R76-R53-R77</f>
        <v>588546</v>
      </c>
      <c r="S84" s="420">
        <f t="shared" si="100"/>
        <v>765441</v>
      </c>
      <c r="T84" s="420">
        <f t="shared" si="100"/>
        <v>261371</v>
      </c>
      <c r="U84" s="741">
        <f>U86-U76-U53-U77</f>
        <v>511685</v>
      </c>
      <c r="W84" s="420">
        <f t="shared" ref="W84:AC84" si="101">W86-W76-W53-W77</f>
        <v>202525</v>
      </c>
      <c r="X84" s="420">
        <f t="shared" si="101"/>
        <v>200308</v>
      </c>
      <c r="Y84" s="420">
        <f t="shared" si="101"/>
        <v>196020</v>
      </c>
      <c r="Z84" s="420">
        <f t="shared" si="101"/>
        <v>70551</v>
      </c>
      <c r="AA84" s="420">
        <f t="shared" si="101"/>
        <v>182345</v>
      </c>
      <c r="AB84" s="420">
        <f t="shared" si="101"/>
        <v>241555</v>
      </c>
      <c r="AC84" s="420">
        <f t="shared" si="101"/>
        <v>164646</v>
      </c>
      <c r="AD84" s="420">
        <f t="shared" ref="AD84:AE84" si="102">AD86-AD76-AD53-AD77</f>
        <v>176895</v>
      </c>
      <c r="AE84" s="420">
        <f t="shared" si="102"/>
        <v>261371</v>
      </c>
      <c r="AF84" s="741">
        <f>AF86-AF76-AF53-AF77</f>
        <v>432711</v>
      </c>
    </row>
    <row r="85" spans="1:32">
      <c r="A85" s="417"/>
      <c r="B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</row>
    <row r="86" spans="1:32">
      <c r="A86" s="429" t="s">
        <v>723</v>
      </c>
      <c r="B86" s="429" t="s">
        <v>724</v>
      </c>
      <c r="D86" s="420">
        <f t="shared" ref="D86:I86" si="103">D58+D60</f>
        <v>90188</v>
      </c>
      <c r="E86" s="420">
        <f t="shared" si="103"/>
        <v>208134</v>
      </c>
      <c r="F86" s="420">
        <f t="shared" si="103"/>
        <v>292268</v>
      </c>
      <c r="G86" s="420">
        <f t="shared" si="103"/>
        <v>394960</v>
      </c>
      <c r="H86" s="420">
        <f t="shared" si="103"/>
        <v>149183</v>
      </c>
      <c r="I86" s="420">
        <f t="shared" si="103"/>
        <v>279989</v>
      </c>
      <c r="J86" s="420">
        <f t="shared" ref="J86:Q86" si="104">J58+J60</f>
        <v>444339</v>
      </c>
      <c r="K86" s="420">
        <f t="shared" si="104"/>
        <v>563034</v>
      </c>
      <c r="L86" s="420">
        <f t="shared" si="104"/>
        <v>170968</v>
      </c>
      <c r="M86" s="420">
        <f t="shared" si="104"/>
        <v>340112</v>
      </c>
      <c r="N86" s="420">
        <f t="shared" si="104"/>
        <v>503939</v>
      </c>
      <c r="O86" s="420">
        <f t="shared" si="104"/>
        <v>538543</v>
      </c>
      <c r="P86" s="420">
        <f t="shared" si="104"/>
        <v>146076</v>
      </c>
      <c r="Q86" s="420">
        <f t="shared" si="104"/>
        <v>352493</v>
      </c>
      <c r="R86" s="420">
        <f t="shared" ref="R86:T86" si="105">R58+R60</f>
        <v>480686</v>
      </c>
      <c r="S86" s="420">
        <f t="shared" si="105"/>
        <v>611757</v>
      </c>
      <c r="T86" s="420">
        <f t="shared" si="105"/>
        <v>221703</v>
      </c>
      <c r="U86" s="741">
        <f>U58+U60</f>
        <v>426406</v>
      </c>
      <c r="W86" s="420">
        <f t="shared" ref="W86:AC86" si="106">W58+W60</f>
        <v>170968</v>
      </c>
      <c r="X86" s="420">
        <f t="shared" si="106"/>
        <v>169144</v>
      </c>
      <c r="Y86" s="420">
        <f t="shared" si="106"/>
        <v>163827</v>
      </c>
      <c r="Z86" s="420">
        <f t="shared" si="106"/>
        <v>34604</v>
      </c>
      <c r="AA86" s="420">
        <f t="shared" si="106"/>
        <v>146076</v>
      </c>
      <c r="AB86" s="420">
        <f t="shared" si="106"/>
        <v>206417</v>
      </c>
      <c r="AC86" s="420">
        <f t="shared" si="106"/>
        <v>128193</v>
      </c>
      <c r="AD86" s="420">
        <f t="shared" ref="AD86:AE86" si="107">AD58+AD60</f>
        <v>131071</v>
      </c>
      <c r="AE86" s="420">
        <f t="shared" si="107"/>
        <v>221703</v>
      </c>
      <c r="AF86" s="741">
        <f>AF58+AF60</f>
        <v>387100</v>
      </c>
    </row>
    <row r="87" spans="1:32">
      <c r="A87" s="417"/>
      <c r="B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</row>
    <row r="88" spans="1:32">
      <c r="A88" s="429" t="s">
        <v>725</v>
      </c>
      <c r="B88" s="429" t="s">
        <v>726</v>
      </c>
      <c r="D88" s="420">
        <f t="shared" ref="D88:I88" si="108">D90+D100</f>
        <v>2149</v>
      </c>
      <c r="E88" s="420">
        <f t="shared" si="108"/>
        <v>7818</v>
      </c>
      <c r="F88" s="420">
        <f t="shared" si="108"/>
        <v>13080</v>
      </c>
      <c r="G88" s="420">
        <f t="shared" si="108"/>
        <v>-5843</v>
      </c>
      <c r="H88" s="420">
        <f t="shared" si="108"/>
        <v>-45066</v>
      </c>
      <c r="I88" s="420">
        <f t="shared" si="108"/>
        <v>-82271</v>
      </c>
      <c r="J88" s="420">
        <f t="shared" ref="J88:Q88" si="109">J90+J100</f>
        <v>-104906</v>
      </c>
      <c r="K88" s="420">
        <f t="shared" si="109"/>
        <v>-150938</v>
      </c>
      <c r="L88" s="420">
        <f t="shared" si="109"/>
        <v>-48693</v>
      </c>
      <c r="M88" s="420">
        <f t="shared" si="109"/>
        <v>-87618</v>
      </c>
      <c r="N88" s="420">
        <f t="shared" si="109"/>
        <v>-129273</v>
      </c>
      <c r="O88" s="420">
        <f t="shared" si="109"/>
        <v>-171400</v>
      </c>
      <c r="P88" s="420">
        <f t="shared" si="109"/>
        <v>-62139</v>
      </c>
      <c r="Q88" s="420">
        <f t="shared" si="109"/>
        <v>-128429</v>
      </c>
      <c r="R88" s="420">
        <f t="shared" ref="R88:T88" si="110">R90+R100</f>
        <v>-186556</v>
      </c>
      <c r="S88" s="420">
        <f t="shared" si="110"/>
        <v>-257589</v>
      </c>
      <c r="T88" s="420">
        <f t="shared" si="110"/>
        <v>-55289</v>
      </c>
      <c r="U88" s="741">
        <f>U90+U100</f>
        <v>-142313</v>
      </c>
      <c r="W88" s="420">
        <f t="shared" ref="W88:AC88" si="111">W90+W100</f>
        <v>-48693</v>
      </c>
      <c r="X88" s="420">
        <f t="shared" si="111"/>
        <v>-38925</v>
      </c>
      <c r="Y88" s="420">
        <f t="shared" si="111"/>
        <v>-41655</v>
      </c>
      <c r="Z88" s="420">
        <f t="shared" si="111"/>
        <v>-42127</v>
      </c>
      <c r="AA88" s="420">
        <f t="shared" si="111"/>
        <v>-62139</v>
      </c>
      <c r="AB88" s="420">
        <f t="shared" si="111"/>
        <v>-66290</v>
      </c>
      <c r="AC88" s="420">
        <f t="shared" si="111"/>
        <v>-58127</v>
      </c>
      <c r="AD88" s="420">
        <f t="shared" ref="AD88:AE88" si="112">AD90+AD100</f>
        <v>-71033</v>
      </c>
      <c r="AE88" s="420">
        <f t="shared" si="112"/>
        <v>-55289</v>
      </c>
      <c r="AF88" s="741">
        <f>AF90+AF100</f>
        <v>-87024</v>
      </c>
    </row>
    <row r="89" spans="1:32">
      <c r="A89" s="416"/>
      <c r="B89" s="416"/>
      <c r="D89" s="417"/>
      <c r="E89" s="417"/>
      <c r="F89" s="417"/>
      <c r="G89" s="417"/>
      <c r="H89" s="417"/>
      <c r="I89" s="417"/>
      <c r="J89" s="417"/>
      <c r="K89" s="417"/>
      <c r="L89" s="417"/>
      <c r="M89" s="422"/>
      <c r="N89" s="417"/>
      <c r="O89" s="417"/>
      <c r="P89" s="417"/>
      <c r="Q89" s="422"/>
      <c r="R89" s="417"/>
      <c r="S89" s="417"/>
      <c r="T89" s="417"/>
      <c r="U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</row>
    <row r="90" spans="1:32">
      <c r="A90" s="417" t="s">
        <v>727</v>
      </c>
      <c r="B90" s="417" t="s">
        <v>728</v>
      </c>
      <c r="D90" s="424">
        <f t="shared" ref="D90:I90" si="113">SUM(D91:D99)</f>
        <v>58418</v>
      </c>
      <c r="E90" s="424">
        <f t="shared" si="113"/>
        <v>134329</v>
      </c>
      <c r="F90" s="424">
        <f t="shared" si="113"/>
        <v>188138</v>
      </c>
      <c r="G90" s="424">
        <f t="shared" si="113"/>
        <v>242264</v>
      </c>
      <c r="H90" s="424">
        <f t="shared" si="113"/>
        <v>45786</v>
      </c>
      <c r="I90" s="424">
        <f t="shared" si="113"/>
        <v>92020</v>
      </c>
      <c r="J90" s="424">
        <f t="shared" ref="J90:T90" si="114">SUM(J91:J99)</f>
        <v>108267</v>
      </c>
      <c r="K90" s="424">
        <f t="shared" si="114"/>
        <v>161745</v>
      </c>
      <c r="L90" s="424">
        <f t="shared" si="114"/>
        <v>64631</v>
      </c>
      <c r="M90" s="424">
        <f t="shared" si="114"/>
        <v>149483</v>
      </c>
      <c r="N90" s="424">
        <f t="shared" si="114"/>
        <v>170621</v>
      </c>
      <c r="O90" s="424">
        <f t="shared" si="114"/>
        <v>357870</v>
      </c>
      <c r="P90" s="424">
        <f t="shared" si="114"/>
        <v>231933</v>
      </c>
      <c r="Q90" s="424">
        <f t="shared" si="114"/>
        <v>357421</v>
      </c>
      <c r="R90" s="424">
        <f t="shared" si="114"/>
        <v>464371</v>
      </c>
      <c r="S90" s="424">
        <f t="shared" si="114"/>
        <v>463783</v>
      </c>
      <c r="T90" s="424">
        <f t="shared" si="114"/>
        <v>297881</v>
      </c>
      <c r="U90" s="424">
        <f>SUM(U91:U99)</f>
        <v>421587</v>
      </c>
      <c r="W90" s="424">
        <f t="shared" ref="W90:AC90" si="115">SUM(W91:W99)</f>
        <v>64631</v>
      </c>
      <c r="X90" s="424">
        <f t="shared" si="115"/>
        <v>84852</v>
      </c>
      <c r="Y90" s="424">
        <f t="shared" si="115"/>
        <v>21138</v>
      </c>
      <c r="Z90" s="424">
        <f t="shared" si="115"/>
        <v>187249</v>
      </c>
      <c r="AA90" s="424">
        <f t="shared" si="115"/>
        <v>231933</v>
      </c>
      <c r="AB90" s="424">
        <f t="shared" si="115"/>
        <v>125488</v>
      </c>
      <c r="AC90" s="424">
        <f t="shared" si="115"/>
        <v>106950</v>
      </c>
      <c r="AD90" s="424">
        <f t="shared" ref="AD90:AE90" si="116">SUM(AD91:AD99)</f>
        <v>-588</v>
      </c>
      <c r="AE90" s="424">
        <f t="shared" si="116"/>
        <v>297881</v>
      </c>
      <c r="AF90" s="424">
        <f>SUM(AF91:AF99)</f>
        <v>123706</v>
      </c>
    </row>
    <row r="91" spans="1:32" outlineLevel="1">
      <c r="A91" s="418" t="s">
        <v>729</v>
      </c>
      <c r="B91" s="418" t="s">
        <v>728</v>
      </c>
      <c r="D91" s="423">
        <v>16582</v>
      </c>
      <c r="E91" s="423">
        <v>42296</v>
      </c>
      <c r="F91" s="423">
        <v>72133</v>
      </c>
      <c r="G91" s="423">
        <v>101251</v>
      </c>
      <c r="H91" s="423">
        <v>12401</v>
      </c>
      <c r="I91" s="423">
        <v>21915</v>
      </c>
      <c r="J91" s="423">
        <v>29572</v>
      </c>
      <c r="K91" s="423">
        <v>35219</v>
      </c>
      <c r="L91" s="423">
        <v>6864</v>
      </c>
      <c r="M91" s="423">
        <v>15858</v>
      </c>
      <c r="N91" s="423">
        <v>26566</v>
      </c>
      <c r="O91" s="423">
        <v>41810</v>
      </c>
      <c r="P91" s="423">
        <v>23606</v>
      </c>
      <c r="Q91" s="423">
        <v>51349</v>
      </c>
      <c r="R91" s="423">
        <v>87391</v>
      </c>
      <c r="S91" s="423">
        <v>114335</v>
      </c>
      <c r="T91" s="423">
        <v>33511</v>
      </c>
      <c r="U91" s="423">
        <v>59026</v>
      </c>
      <c r="W91" s="423">
        <f t="shared" ref="W91:W99" si="117">L91</f>
        <v>6864</v>
      </c>
      <c r="X91" s="423">
        <f t="shared" ref="X91:X110" si="118">M91-W91</f>
        <v>8994</v>
      </c>
      <c r="Y91" s="423">
        <f t="shared" ref="Y91:Y99" si="119">N91-M91</f>
        <v>10708</v>
      </c>
      <c r="Z91" s="423">
        <f t="shared" ref="Z91:Z99" si="120">O91-N91</f>
        <v>15244</v>
      </c>
      <c r="AA91" s="423">
        <f t="shared" ref="AA91:AA99" si="121">P91</f>
        <v>23606</v>
      </c>
      <c r="AB91" s="423">
        <f t="shared" ref="AB91:AB99" si="122">Q91-AA91</f>
        <v>27743</v>
      </c>
      <c r="AC91" s="423">
        <f t="shared" ref="AC91:AC99" si="123">R91-Q91</f>
        <v>36042</v>
      </c>
      <c r="AD91" s="423">
        <f t="shared" ref="AD91:AD99" si="124">S91-R91</f>
        <v>26944</v>
      </c>
      <c r="AE91" s="423">
        <f t="shared" ref="AE91:AE99" si="125">T91</f>
        <v>33511</v>
      </c>
      <c r="AF91" s="423">
        <f t="shared" ref="AF91:AF99" si="126">U91-T91</f>
        <v>25515</v>
      </c>
    </row>
    <row r="92" spans="1:32" outlineLevel="1">
      <c r="A92" s="418" t="s">
        <v>730</v>
      </c>
      <c r="B92" s="418" t="s">
        <v>731</v>
      </c>
      <c r="D92" s="423">
        <v>-2847</v>
      </c>
      <c r="E92" s="423">
        <v>-6547</v>
      </c>
      <c r="F92" s="423">
        <v>-9148</v>
      </c>
      <c r="G92" s="423">
        <v>-11616</v>
      </c>
      <c r="H92" s="423">
        <v>-1597</v>
      </c>
      <c r="I92" s="423">
        <v>-3026</v>
      </c>
      <c r="J92" s="423">
        <v>-4244</v>
      </c>
      <c r="K92" s="423">
        <v>-5502</v>
      </c>
      <c r="L92" s="423">
        <v>-3188</v>
      </c>
      <c r="M92" s="423">
        <v>-4311</v>
      </c>
      <c r="N92" s="423">
        <v>-3354</v>
      </c>
      <c r="O92" s="423">
        <v>-4996</v>
      </c>
      <c r="P92" s="423">
        <v>-1771</v>
      </c>
      <c r="Q92" s="423">
        <v>-3841</v>
      </c>
      <c r="R92" s="423">
        <v>-6550</v>
      </c>
      <c r="S92" s="423">
        <v>-8711</v>
      </c>
      <c r="T92" s="423">
        <v>-2575</v>
      </c>
      <c r="U92" s="423">
        <v>-5025</v>
      </c>
      <c r="W92" s="423">
        <f t="shared" si="117"/>
        <v>-3188</v>
      </c>
      <c r="X92" s="423">
        <f t="shared" si="118"/>
        <v>-1123</v>
      </c>
      <c r="Y92" s="423">
        <f t="shared" si="119"/>
        <v>957</v>
      </c>
      <c r="Z92" s="423">
        <f t="shared" si="120"/>
        <v>-1642</v>
      </c>
      <c r="AA92" s="423">
        <f t="shared" si="121"/>
        <v>-1771</v>
      </c>
      <c r="AB92" s="423">
        <f t="shared" si="122"/>
        <v>-2070</v>
      </c>
      <c r="AC92" s="423">
        <f t="shared" si="123"/>
        <v>-2709</v>
      </c>
      <c r="AD92" s="423">
        <f t="shared" si="124"/>
        <v>-2161</v>
      </c>
      <c r="AE92" s="423">
        <f t="shared" si="125"/>
        <v>-2575</v>
      </c>
      <c r="AF92" s="423">
        <f t="shared" si="126"/>
        <v>-2450</v>
      </c>
    </row>
    <row r="93" spans="1:32" outlineLevel="1">
      <c r="A93" s="418" t="s">
        <v>2561</v>
      </c>
      <c r="B93" s="418" t="s">
        <v>2562</v>
      </c>
      <c r="D93" s="423" t="s">
        <v>2558</v>
      </c>
      <c r="E93" s="423" t="s">
        <v>2558</v>
      </c>
      <c r="F93" s="423" t="s">
        <v>2558</v>
      </c>
      <c r="G93" s="423">
        <v>0</v>
      </c>
      <c r="H93" s="423">
        <v>8210</v>
      </c>
      <c r="I93" s="423">
        <v>10897</v>
      </c>
      <c r="J93" s="423">
        <v>12072</v>
      </c>
      <c r="K93" s="423">
        <v>12312</v>
      </c>
      <c r="L93" s="423">
        <v>45154</v>
      </c>
      <c r="M93" s="423">
        <v>102705</v>
      </c>
      <c r="N93" s="423">
        <v>95674</v>
      </c>
      <c r="O93" s="423">
        <v>246348</v>
      </c>
      <c r="P93" s="423">
        <v>78605</v>
      </c>
      <c r="Q93" s="423">
        <v>68590</v>
      </c>
      <c r="R93" s="423">
        <v>49922</v>
      </c>
      <c r="S93" s="423">
        <v>54610</v>
      </c>
      <c r="T93" s="423">
        <v>128250</v>
      </c>
      <c r="U93" s="423">
        <v>126545</v>
      </c>
      <c r="W93" s="423">
        <f t="shared" si="117"/>
        <v>45154</v>
      </c>
      <c r="X93" s="423">
        <f t="shared" si="118"/>
        <v>57551</v>
      </c>
      <c r="Y93" s="423">
        <f t="shared" si="119"/>
        <v>-7031</v>
      </c>
      <c r="Z93" s="423">
        <f t="shared" si="120"/>
        <v>150674</v>
      </c>
      <c r="AA93" s="423">
        <f t="shared" si="121"/>
        <v>78605</v>
      </c>
      <c r="AB93" s="423">
        <f t="shared" si="122"/>
        <v>-10015</v>
      </c>
      <c r="AC93" s="423">
        <f t="shared" si="123"/>
        <v>-18668</v>
      </c>
      <c r="AD93" s="423">
        <f t="shared" si="124"/>
        <v>4688</v>
      </c>
      <c r="AE93" s="423">
        <f t="shared" si="125"/>
        <v>128250</v>
      </c>
      <c r="AF93" s="423">
        <f t="shared" si="126"/>
        <v>-1705</v>
      </c>
    </row>
    <row r="94" spans="1:32" outlineLevel="1">
      <c r="A94" s="418" t="s">
        <v>733</v>
      </c>
      <c r="B94" s="418" t="s">
        <v>734</v>
      </c>
      <c r="D94" s="423">
        <v>25142</v>
      </c>
      <c r="E94" s="423">
        <v>60187</v>
      </c>
      <c r="F94" s="423">
        <v>73065</v>
      </c>
      <c r="G94" s="423">
        <v>82076</v>
      </c>
      <c r="H94" s="423">
        <v>6491</v>
      </c>
      <c r="I94" s="423">
        <v>16470</v>
      </c>
      <c r="J94" s="423">
        <v>24237</v>
      </c>
      <c r="K94" s="423">
        <v>35531</v>
      </c>
      <c r="L94" s="423">
        <v>6675</v>
      </c>
      <c r="M94" s="423">
        <v>16233</v>
      </c>
      <c r="N94" s="423">
        <v>27745</v>
      </c>
      <c r="O94" s="423">
        <v>39842</v>
      </c>
      <c r="P94" s="423">
        <v>9975</v>
      </c>
      <c r="Q94" s="423">
        <v>19457</v>
      </c>
      <c r="R94" s="423">
        <v>30578</v>
      </c>
      <c r="S94" s="423">
        <v>45682</v>
      </c>
      <c r="T94" s="423">
        <v>8782</v>
      </c>
      <c r="U94" s="423">
        <v>21722</v>
      </c>
      <c r="W94" s="423">
        <f t="shared" si="117"/>
        <v>6675</v>
      </c>
      <c r="X94" s="423">
        <f t="shared" si="118"/>
        <v>9558</v>
      </c>
      <c r="Y94" s="423">
        <f t="shared" si="119"/>
        <v>11512</v>
      </c>
      <c r="Z94" s="423">
        <f t="shared" si="120"/>
        <v>12097</v>
      </c>
      <c r="AA94" s="423">
        <f t="shared" si="121"/>
        <v>9975</v>
      </c>
      <c r="AB94" s="423">
        <f t="shared" si="122"/>
        <v>9482</v>
      </c>
      <c r="AC94" s="423">
        <f t="shared" si="123"/>
        <v>11121</v>
      </c>
      <c r="AD94" s="423">
        <f t="shared" si="124"/>
        <v>15104</v>
      </c>
      <c r="AE94" s="423">
        <f t="shared" si="125"/>
        <v>8782</v>
      </c>
      <c r="AF94" s="423">
        <f t="shared" si="126"/>
        <v>12940</v>
      </c>
    </row>
    <row r="95" spans="1:32" outlineLevel="1">
      <c r="A95" s="418" t="s">
        <v>735</v>
      </c>
      <c r="B95" s="418" t="s">
        <v>736</v>
      </c>
      <c r="D95" s="423">
        <v>0</v>
      </c>
      <c r="E95" s="423">
        <v>0</v>
      </c>
      <c r="F95" s="423">
        <v>0</v>
      </c>
      <c r="G95" s="423">
        <v>0</v>
      </c>
      <c r="H95" s="423">
        <v>0</v>
      </c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>
        <v>0</v>
      </c>
      <c r="T95" s="423">
        <v>0</v>
      </c>
      <c r="U95" s="423">
        <v>0</v>
      </c>
      <c r="W95" s="423">
        <f t="shared" si="117"/>
        <v>0</v>
      </c>
      <c r="X95" s="423">
        <f t="shared" si="118"/>
        <v>0</v>
      </c>
      <c r="Y95" s="423">
        <f t="shared" si="119"/>
        <v>0</v>
      </c>
      <c r="Z95" s="423">
        <f t="shared" si="120"/>
        <v>0</v>
      </c>
      <c r="AA95" s="423">
        <f t="shared" si="121"/>
        <v>0</v>
      </c>
      <c r="AB95" s="423">
        <f t="shared" si="122"/>
        <v>0</v>
      </c>
      <c r="AC95" s="423">
        <f t="shared" si="123"/>
        <v>0</v>
      </c>
      <c r="AD95" s="423">
        <f t="shared" si="124"/>
        <v>0</v>
      </c>
      <c r="AE95" s="423">
        <f t="shared" si="125"/>
        <v>0</v>
      </c>
      <c r="AF95" s="423">
        <f t="shared" si="126"/>
        <v>0</v>
      </c>
    </row>
    <row r="96" spans="1:32" outlineLevel="1">
      <c r="A96" s="418" t="s">
        <v>737</v>
      </c>
      <c r="B96" s="418" t="s">
        <v>738</v>
      </c>
      <c r="D96" s="423">
        <v>0</v>
      </c>
      <c r="E96" s="423">
        <v>0</v>
      </c>
      <c r="F96" s="423">
        <v>0</v>
      </c>
      <c r="G96" s="423">
        <v>0</v>
      </c>
      <c r="H96" s="423">
        <v>0</v>
      </c>
      <c r="I96" s="423">
        <v>0</v>
      </c>
      <c r="J96" s="423">
        <v>0</v>
      </c>
      <c r="K96" s="423">
        <v>0</v>
      </c>
      <c r="L96" s="423">
        <v>0</v>
      </c>
      <c r="M96" s="423">
        <v>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>
        <v>0</v>
      </c>
      <c r="T96" s="423">
        <v>0</v>
      </c>
      <c r="U96" s="423">
        <v>0</v>
      </c>
      <c r="W96" s="423">
        <f t="shared" si="117"/>
        <v>0</v>
      </c>
      <c r="X96" s="423">
        <f t="shared" si="118"/>
        <v>0</v>
      </c>
      <c r="Y96" s="423">
        <f t="shared" si="119"/>
        <v>0</v>
      </c>
      <c r="Z96" s="423">
        <f t="shared" si="120"/>
        <v>0</v>
      </c>
      <c r="AA96" s="423">
        <f t="shared" si="121"/>
        <v>0</v>
      </c>
      <c r="AB96" s="423">
        <f t="shared" si="122"/>
        <v>0</v>
      </c>
      <c r="AC96" s="423">
        <f t="shared" si="123"/>
        <v>0</v>
      </c>
      <c r="AD96" s="423">
        <f t="shared" si="124"/>
        <v>0</v>
      </c>
      <c r="AE96" s="423">
        <f t="shared" si="125"/>
        <v>0</v>
      </c>
      <c r="AF96" s="423">
        <f t="shared" si="126"/>
        <v>0</v>
      </c>
    </row>
    <row r="97" spans="1:32" outlineLevel="1">
      <c r="A97" s="418" t="s">
        <v>739</v>
      </c>
      <c r="B97" s="418" t="s">
        <v>740</v>
      </c>
      <c r="D97" s="423">
        <v>19541</v>
      </c>
      <c r="E97" s="423">
        <v>38393</v>
      </c>
      <c r="F97" s="423">
        <v>52088</v>
      </c>
      <c r="G97" s="423">
        <v>67032</v>
      </c>
      <c r="H97" s="423">
        <v>15452</v>
      </c>
      <c r="I97" s="423">
        <v>24166</v>
      </c>
      <c r="J97" s="423">
        <v>34899</v>
      </c>
      <c r="K97" s="423">
        <v>50980</v>
      </c>
      <c r="L97" s="423">
        <v>8297</v>
      </c>
      <c r="M97" s="423">
        <v>18169</v>
      </c>
      <c r="N97" s="423">
        <v>23161</v>
      </c>
      <c r="O97" s="423">
        <v>34037</v>
      </c>
      <c r="P97" s="423">
        <v>5667</v>
      </c>
      <c r="Q97" s="423">
        <v>14012</v>
      </c>
      <c r="R97" s="423">
        <v>27207</v>
      </c>
      <c r="S97" s="423">
        <v>34370</v>
      </c>
      <c r="T97" s="423">
        <v>15349</v>
      </c>
      <c r="U97" s="423">
        <v>31316</v>
      </c>
      <c r="W97" s="423">
        <f t="shared" si="117"/>
        <v>8297</v>
      </c>
      <c r="X97" s="423">
        <f t="shared" si="118"/>
        <v>9872</v>
      </c>
      <c r="Y97" s="423">
        <f t="shared" si="119"/>
        <v>4992</v>
      </c>
      <c r="Z97" s="423">
        <f t="shared" si="120"/>
        <v>10876</v>
      </c>
      <c r="AA97" s="423">
        <f t="shared" si="121"/>
        <v>5667</v>
      </c>
      <c r="AB97" s="423">
        <f t="shared" si="122"/>
        <v>8345</v>
      </c>
      <c r="AC97" s="423">
        <f t="shared" si="123"/>
        <v>13195</v>
      </c>
      <c r="AD97" s="423">
        <f t="shared" si="124"/>
        <v>7163</v>
      </c>
      <c r="AE97" s="423">
        <f t="shared" si="125"/>
        <v>15349</v>
      </c>
      <c r="AF97" s="423">
        <f t="shared" si="126"/>
        <v>15967</v>
      </c>
    </row>
    <row r="98" spans="1:32" outlineLevel="1">
      <c r="A98" s="418" t="s">
        <v>741</v>
      </c>
      <c r="B98" s="418" t="s">
        <v>2536</v>
      </c>
      <c r="D98" s="423"/>
      <c r="E98" s="423"/>
      <c r="F98" s="423"/>
      <c r="G98" s="423"/>
      <c r="H98" s="423"/>
      <c r="I98" s="423"/>
      <c r="J98" s="423"/>
      <c r="K98" s="423"/>
      <c r="L98" s="423"/>
      <c r="M98" s="423"/>
      <c r="N98" s="423"/>
      <c r="O98" s="423"/>
      <c r="P98" s="423"/>
      <c r="Q98" s="423">
        <v>19529</v>
      </c>
      <c r="R98" s="423">
        <v>35492</v>
      </c>
      <c r="S98" s="423">
        <v>30351</v>
      </c>
      <c r="T98" s="423">
        <v>7342</v>
      </c>
      <c r="U98" s="423">
        <v>31715</v>
      </c>
      <c r="W98" s="423">
        <f>L98</f>
        <v>0</v>
      </c>
      <c r="X98" s="423">
        <f>M98-W98</f>
        <v>0</v>
      </c>
      <c r="Y98" s="423">
        <f t="shared" si="119"/>
        <v>0</v>
      </c>
      <c r="Z98" s="423">
        <f t="shared" si="120"/>
        <v>0</v>
      </c>
      <c r="AA98" s="423">
        <f>P98</f>
        <v>0</v>
      </c>
      <c r="AB98" s="423">
        <f>Q98-AA98</f>
        <v>19529</v>
      </c>
      <c r="AC98" s="423">
        <f t="shared" si="123"/>
        <v>15963</v>
      </c>
      <c r="AD98" s="423">
        <f t="shared" si="124"/>
        <v>-5141</v>
      </c>
      <c r="AE98" s="423">
        <f>T98</f>
        <v>7342</v>
      </c>
      <c r="AF98" s="423">
        <f t="shared" si="126"/>
        <v>24373</v>
      </c>
    </row>
    <row r="99" spans="1:32" outlineLevel="1">
      <c r="A99" s="418" t="s">
        <v>742</v>
      </c>
      <c r="B99" s="418" t="s">
        <v>743</v>
      </c>
      <c r="D99" s="423">
        <v>0</v>
      </c>
      <c r="E99" s="423">
        <v>0</v>
      </c>
      <c r="F99" s="423">
        <v>0</v>
      </c>
      <c r="G99" s="423">
        <v>3521</v>
      </c>
      <c r="H99" s="423">
        <v>4829</v>
      </c>
      <c r="I99" s="423">
        <v>21598</v>
      </c>
      <c r="J99" s="423">
        <v>11731</v>
      </c>
      <c r="K99" s="423">
        <v>33205</v>
      </c>
      <c r="L99" s="423">
        <v>829</v>
      </c>
      <c r="M99" s="423">
        <v>829</v>
      </c>
      <c r="N99" s="423">
        <v>829</v>
      </c>
      <c r="O99" s="423">
        <v>829</v>
      </c>
      <c r="P99" s="423">
        <v>115851</v>
      </c>
      <c r="Q99" s="423">
        <v>188325</v>
      </c>
      <c r="R99" s="423">
        <v>240331</v>
      </c>
      <c r="S99" s="423">
        <v>193146</v>
      </c>
      <c r="T99" s="423">
        <v>107222</v>
      </c>
      <c r="U99" s="423">
        <v>156288</v>
      </c>
      <c r="W99" s="423">
        <f t="shared" si="117"/>
        <v>829</v>
      </c>
      <c r="X99" s="423">
        <f t="shared" si="118"/>
        <v>0</v>
      </c>
      <c r="Y99" s="423">
        <f t="shared" si="119"/>
        <v>0</v>
      </c>
      <c r="Z99" s="423">
        <f t="shared" si="120"/>
        <v>0</v>
      </c>
      <c r="AA99" s="423">
        <f t="shared" si="121"/>
        <v>115851</v>
      </c>
      <c r="AB99" s="423">
        <f t="shared" si="122"/>
        <v>72474</v>
      </c>
      <c r="AC99" s="423">
        <f t="shared" si="123"/>
        <v>52006</v>
      </c>
      <c r="AD99" s="423">
        <f t="shared" si="124"/>
        <v>-47185</v>
      </c>
      <c r="AE99" s="423">
        <f t="shared" si="125"/>
        <v>107222</v>
      </c>
      <c r="AF99" s="423">
        <f t="shared" si="126"/>
        <v>49066</v>
      </c>
    </row>
    <row r="100" spans="1:32">
      <c r="A100" s="417" t="s">
        <v>744</v>
      </c>
      <c r="B100" s="417" t="s">
        <v>745</v>
      </c>
      <c r="D100" s="422">
        <f t="shared" ref="D100:I100" si="127">SUM(D101:D110)</f>
        <v>-56269</v>
      </c>
      <c r="E100" s="422">
        <f t="shared" si="127"/>
        <v>-126511</v>
      </c>
      <c r="F100" s="422">
        <f t="shared" si="127"/>
        <v>-175058</v>
      </c>
      <c r="G100" s="422">
        <f t="shared" si="127"/>
        <v>-248107</v>
      </c>
      <c r="H100" s="422">
        <f t="shared" si="127"/>
        <v>-90852</v>
      </c>
      <c r="I100" s="422">
        <f t="shared" si="127"/>
        <v>-174291</v>
      </c>
      <c r="J100" s="422">
        <f t="shared" ref="J100:T100" si="128">SUM(J101:J110)</f>
        <v>-213173</v>
      </c>
      <c r="K100" s="422">
        <f t="shared" si="128"/>
        <v>-312683</v>
      </c>
      <c r="L100" s="422">
        <f t="shared" si="128"/>
        <v>-113324</v>
      </c>
      <c r="M100" s="422">
        <f t="shared" si="128"/>
        <v>-237101</v>
      </c>
      <c r="N100" s="422">
        <f t="shared" si="128"/>
        <v>-299894</v>
      </c>
      <c r="O100" s="422">
        <f t="shared" si="128"/>
        <v>-529270</v>
      </c>
      <c r="P100" s="422">
        <f t="shared" si="128"/>
        <v>-294072</v>
      </c>
      <c r="Q100" s="422">
        <f t="shared" si="128"/>
        <v>-485850</v>
      </c>
      <c r="R100" s="422">
        <f t="shared" si="128"/>
        <v>-650927</v>
      </c>
      <c r="S100" s="422">
        <f t="shared" si="128"/>
        <v>-721372</v>
      </c>
      <c r="T100" s="422">
        <f t="shared" si="128"/>
        <v>-353170</v>
      </c>
      <c r="U100" s="422">
        <f>SUM(U101:U110)</f>
        <v>-563900</v>
      </c>
      <c r="W100" s="422">
        <f t="shared" ref="W100:AC100" si="129">SUM(W101:W110)</f>
        <v>-113324</v>
      </c>
      <c r="X100" s="422">
        <f t="shared" si="129"/>
        <v>-123777</v>
      </c>
      <c r="Y100" s="422">
        <f t="shared" si="129"/>
        <v>-62793</v>
      </c>
      <c r="Z100" s="422">
        <f t="shared" si="129"/>
        <v>-229376</v>
      </c>
      <c r="AA100" s="422">
        <f t="shared" si="129"/>
        <v>-294072</v>
      </c>
      <c r="AB100" s="422">
        <f t="shared" si="129"/>
        <v>-191778</v>
      </c>
      <c r="AC100" s="422">
        <f t="shared" si="129"/>
        <v>-165077</v>
      </c>
      <c r="AD100" s="422">
        <f t="shared" ref="AD100:AE100" si="130">SUM(AD101:AD110)</f>
        <v>-70445</v>
      </c>
      <c r="AE100" s="422">
        <f t="shared" si="130"/>
        <v>-353170</v>
      </c>
      <c r="AF100" s="422">
        <f>SUM(AF101:AF110)</f>
        <v>-210730</v>
      </c>
    </row>
    <row r="101" spans="1:32" outlineLevel="1">
      <c r="A101" s="418" t="s">
        <v>746</v>
      </c>
      <c r="B101" s="418" t="s">
        <v>747</v>
      </c>
      <c r="D101" s="423">
        <v>-30083</v>
      </c>
      <c r="E101" s="423">
        <v>-67833</v>
      </c>
      <c r="F101" s="423">
        <v>-110339</v>
      </c>
      <c r="G101" s="423">
        <v>-156986</v>
      </c>
      <c r="H101" s="423">
        <v>-36166</v>
      </c>
      <c r="I101" s="423">
        <v>-69179</v>
      </c>
      <c r="J101" s="423">
        <v>-98095</v>
      </c>
      <c r="K101" s="423">
        <v>-124334</v>
      </c>
      <c r="L101" s="423">
        <v>-29380</v>
      </c>
      <c r="M101" s="423">
        <v>-60716</v>
      </c>
      <c r="N101" s="423">
        <v>-87764</v>
      </c>
      <c r="O101" s="423">
        <v>-176290</v>
      </c>
      <c r="P101" s="423">
        <v>-44494</v>
      </c>
      <c r="Q101" s="423">
        <v>-81694</v>
      </c>
      <c r="R101" s="423">
        <v>-133156</v>
      </c>
      <c r="S101" s="423">
        <v>-184321</v>
      </c>
      <c r="T101" s="423">
        <v>-41438</v>
      </c>
      <c r="U101" s="423">
        <v>-85000</v>
      </c>
      <c r="W101" s="423">
        <f t="shared" ref="W101:W110" si="131">L101</f>
        <v>-29380</v>
      </c>
      <c r="X101" s="423">
        <f t="shared" si="118"/>
        <v>-31336</v>
      </c>
      <c r="Y101" s="423">
        <f t="shared" ref="Y101:Y110" si="132">N101-M101</f>
        <v>-27048</v>
      </c>
      <c r="Z101" s="423">
        <f t="shared" ref="Z101:Z110" si="133">O101-N101</f>
        <v>-88526</v>
      </c>
      <c r="AA101" s="423">
        <f t="shared" ref="AA101:AA110" si="134">P101</f>
        <v>-44494</v>
      </c>
      <c r="AB101" s="423">
        <f t="shared" ref="AB101:AB110" si="135">Q101-AA101</f>
        <v>-37200</v>
      </c>
      <c r="AC101" s="423">
        <f t="shared" ref="AC101:AC110" si="136">R101-Q101</f>
        <v>-51462</v>
      </c>
      <c r="AD101" s="423">
        <f t="shared" ref="AD101:AD110" si="137">S101-R101</f>
        <v>-51165</v>
      </c>
      <c r="AE101" s="423">
        <f t="shared" ref="AE101:AE110" si="138">T101</f>
        <v>-41438</v>
      </c>
      <c r="AF101" s="423">
        <f t="shared" ref="AF101:AF110" si="139">U101-T101</f>
        <v>-43562</v>
      </c>
    </row>
    <row r="102" spans="1:32" outlineLevel="1">
      <c r="A102" s="418" t="s">
        <v>748</v>
      </c>
      <c r="B102" s="418" t="s">
        <v>749</v>
      </c>
      <c r="D102" s="423">
        <v>0</v>
      </c>
      <c r="E102" s="423">
        <v>0</v>
      </c>
      <c r="F102" s="423">
        <v>0</v>
      </c>
      <c r="G102" s="423">
        <v>0</v>
      </c>
      <c r="H102" s="423">
        <v>0</v>
      </c>
      <c r="I102" s="423">
        <v>0</v>
      </c>
      <c r="J102" s="423">
        <v>0</v>
      </c>
      <c r="K102" s="423">
        <v>0</v>
      </c>
      <c r="L102" s="423">
        <v>0</v>
      </c>
      <c r="M102" s="423">
        <v>0</v>
      </c>
      <c r="N102" s="423">
        <v>0</v>
      </c>
      <c r="O102" s="423">
        <v>0</v>
      </c>
      <c r="P102" s="423">
        <v>0</v>
      </c>
      <c r="Q102" s="423">
        <v>0</v>
      </c>
      <c r="R102" s="423">
        <v>0</v>
      </c>
      <c r="S102" s="423">
        <v>0</v>
      </c>
      <c r="T102" s="423">
        <v>0</v>
      </c>
      <c r="U102" s="423">
        <v>0</v>
      </c>
      <c r="W102" s="423">
        <f t="shared" si="131"/>
        <v>0</v>
      </c>
      <c r="X102" s="423">
        <f t="shared" si="118"/>
        <v>0</v>
      </c>
      <c r="Y102" s="423">
        <f t="shared" si="132"/>
        <v>0</v>
      </c>
      <c r="Z102" s="423">
        <f t="shared" si="133"/>
        <v>0</v>
      </c>
      <c r="AA102" s="423">
        <f t="shared" si="134"/>
        <v>0</v>
      </c>
      <c r="AB102" s="423">
        <f t="shared" si="135"/>
        <v>0</v>
      </c>
      <c r="AC102" s="423">
        <f t="shared" si="136"/>
        <v>0</v>
      </c>
      <c r="AD102" s="423">
        <f t="shared" si="137"/>
        <v>0</v>
      </c>
      <c r="AE102" s="423">
        <f t="shared" si="138"/>
        <v>0</v>
      </c>
      <c r="AF102" s="423">
        <f t="shared" si="139"/>
        <v>0</v>
      </c>
    </row>
    <row r="103" spans="1:32" outlineLevel="1">
      <c r="A103" s="418" t="s">
        <v>750</v>
      </c>
      <c r="B103" s="418" t="s">
        <v>751</v>
      </c>
      <c r="D103" s="423">
        <v>-10291</v>
      </c>
      <c r="E103" s="423">
        <v>-29772</v>
      </c>
      <c r="F103" s="423">
        <v>-30035</v>
      </c>
      <c r="G103" s="423">
        <v>-41792</v>
      </c>
      <c r="H103" s="423">
        <v>-34377</v>
      </c>
      <c r="I103" s="423">
        <v>-72893</v>
      </c>
      <c r="J103" s="423">
        <v>-74882</v>
      </c>
      <c r="K103" s="423">
        <v>-113480</v>
      </c>
      <c r="L103" s="423">
        <v>-68509</v>
      </c>
      <c r="M103" s="423">
        <v>-142981</v>
      </c>
      <c r="N103" s="423">
        <v>-154951</v>
      </c>
      <c r="O103" s="423">
        <v>-275422</v>
      </c>
      <c r="P103" s="423">
        <v>-225970</v>
      </c>
      <c r="Q103" s="423">
        <v>-346588</v>
      </c>
      <c r="R103" s="423">
        <v>-453613</v>
      </c>
      <c r="S103" s="423">
        <v>-453094</v>
      </c>
      <c r="T103" s="423">
        <v>-300725</v>
      </c>
      <c r="U103" s="423">
        <v>-68436</v>
      </c>
      <c r="W103" s="423">
        <f t="shared" si="131"/>
        <v>-68509</v>
      </c>
      <c r="X103" s="423">
        <f t="shared" si="118"/>
        <v>-74472</v>
      </c>
      <c r="Y103" s="423">
        <f t="shared" si="132"/>
        <v>-11970</v>
      </c>
      <c r="Z103" s="423">
        <f t="shared" si="133"/>
        <v>-120471</v>
      </c>
      <c r="AA103" s="423">
        <f t="shared" si="134"/>
        <v>-225970</v>
      </c>
      <c r="AB103" s="423">
        <f t="shared" si="135"/>
        <v>-120618</v>
      </c>
      <c r="AC103" s="423">
        <f t="shared" si="136"/>
        <v>-107025</v>
      </c>
      <c r="AD103" s="423">
        <f t="shared" si="137"/>
        <v>519</v>
      </c>
      <c r="AE103" s="423">
        <f t="shared" si="138"/>
        <v>-300725</v>
      </c>
      <c r="AF103" s="423">
        <f t="shared" si="139"/>
        <v>232289</v>
      </c>
    </row>
    <row r="104" spans="1:32" outlineLevel="1">
      <c r="A104" s="418" t="s">
        <v>741</v>
      </c>
      <c r="B104" s="418" t="s">
        <v>2536</v>
      </c>
      <c r="D104" s="423"/>
      <c r="E104" s="423"/>
      <c r="F104" s="423"/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>
        <v>-5866</v>
      </c>
      <c r="R104" s="423">
        <v>-140</v>
      </c>
      <c r="S104" s="423">
        <v>-2246</v>
      </c>
      <c r="T104" s="423">
        <v>0</v>
      </c>
      <c r="U104" s="423">
        <v>0</v>
      </c>
      <c r="W104" s="423">
        <f>L104</f>
        <v>0</v>
      </c>
      <c r="X104" s="423">
        <f>M104-W104</f>
        <v>0</v>
      </c>
      <c r="Y104" s="423">
        <f t="shared" si="132"/>
        <v>0</v>
      </c>
      <c r="Z104" s="423">
        <f t="shared" si="133"/>
        <v>0</v>
      </c>
      <c r="AA104" s="423">
        <f>P104</f>
        <v>0</v>
      </c>
      <c r="AB104" s="423">
        <f>Q104-AA104</f>
        <v>-5866</v>
      </c>
      <c r="AC104" s="423">
        <f t="shared" si="136"/>
        <v>5726</v>
      </c>
      <c r="AD104" s="423">
        <f t="shared" si="137"/>
        <v>-2106</v>
      </c>
      <c r="AE104" s="423">
        <f>T104</f>
        <v>0</v>
      </c>
      <c r="AF104" s="423">
        <f t="shared" si="139"/>
        <v>0</v>
      </c>
    </row>
    <row r="105" spans="1:32" outlineLevel="1">
      <c r="A105" s="418" t="s">
        <v>752</v>
      </c>
      <c r="B105" s="418" t="s">
        <v>753</v>
      </c>
      <c r="D105" s="423">
        <v>0</v>
      </c>
      <c r="E105" s="423">
        <v>0</v>
      </c>
      <c r="F105" s="423">
        <v>0</v>
      </c>
      <c r="G105" s="423">
        <v>0</v>
      </c>
      <c r="H105" s="423">
        <v>0</v>
      </c>
      <c r="I105" s="423">
        <v>0</v>
      </c>
      <c r="J105" s="423">
        <v>0</v>
      </c>
      <c r="K105" s="423">
        <v>0</v>
      </c>
      <c r="L105" s="423">
        <v>0</v>
      </c>
      <c r="M105" s="423">
        <v>0</v>
      </c>
      <c r="N105" s="423">
        <v>0</v>
      </c>
      <c r="O105" s="423">
        <v>0</v>
      </c>
      <c r="P105" s="423">
        <v>0</v>
      </c>
      <c r="Q105" s="423">
        <v>0</v>
      </c>
      <c r="R105" s="423">
        <v>0</v>
      </c>
      <c r="S105" s="423">
        <v>0</v>
      </c>
      <c r="T105" s="423">
        <v>0</v>
      </c>
      <c r="U105" s="423">
        <v>0</v>
      </c>
      <c r="W105" s="423">
        <f>L105</f>
        <v>0</v>
      </c>
      <c r="X105" s="423">
        <f>M105-W105</f>
        <v>0</v>
      </c>
      <c r="Y105" s="423">
        <f t="shared" si="132"/>
        <v>0</v>
      </c>
      <c r="Z105" s="423">
        <f t="shared" si="133"/>
        <v>0</v>
      </c>
      <c r="AA105" s="423">
        <f>P105</f>
        <v>0</v>
      </c>
      <c r="AB105" s="423">
        <f>Q105-AA105</f>
        <v>0</v>
      </c>
      <c r="AC105" s="423">
        <f t="shared" si="136"/>
        <v>0</v>
      </c>
      <c r="AD105" s="423">
        <f t="shared" si="137"/>
        <v>0</v>
      </c>
      <c r="AE105" s="423">
        <f>T105</f>
        <v>0</v>
      </c>
      <c r="AF105" s="423">
        <f t="shared" si="139"/>
        <v>0</v>
      </c>
    </row>
    <row r="106" spans="1:32" outlineLevel="1">
      <c r="A106" s="418" t="s">
        <v>754</v>
      </c>
      <c r="B106" s="418" t="s">
        <v>755</v>
      </c>
      <c r="D106" s="423">
        <v>-8717</v>
      </c>
      <c r="E106" s="423">
        <v>-12686</v>
      </c>
      <c r="F106" s="423">
        <v>-17310</v>
      </c>
      <c r="G106" s="423">
        <v>-20967</v>
      </c>
      <c r="H106" s="423">
        <v>-8702</v>
      </c>
      <c r="I106" s="423">
        <v>-16453</v>
      </c>
      <c r="J106" s="423">
        <v>-18798</v>
      </c>
      <c r="K106" s="423">
        <v>-25345</v>
      </c>
      <c r="L106" s="423">
        <v>-4020</v>
      </c>
      <c r="M106" s="423">
        <v>-6794</v>
      </c>
      <c r="N106" s="423">
        <v>-10442</v>
      </c>
      <c r="O106" s="423">
        <v>-13915</v>
      </c>
      <c r="P106" s="423">
        <v>-6205</v>
      </c>
      <c r="Q106" s="423">
        <v>-14100</v>
      </c>
      <c r="R106" s="423">
        <v>-24039</v>
      </c>
      <c r="S106" s="423">
        <v>-31738</v>
      </c>
      <c r="T106" s="423">
        <v>-10941</v>
      </c>
      <c r="U106" s="423">
        <v>-16603</v>
      </c>
      <c r="W106" s="423">
        <f t="shared" si="131"/>
        <v>-4020</v>
      </c>
      <c r="X106" s="423">
        <f t="shared" si="118"/>
        <v>-2774</v>
      </c>
      <c r="Y106" s="423">
        <f t="shared" si="132"/>
        <v>-3648</v>
      </c>
      <c r="Z106" s="423">
        <f t="shared" si="133"/>
        <v>-3473</v>
      </c>
      <c r="AA106" s="423">
        <f t="shared" si="134"/>
        <v>-6205</v>
      </c>
      <c r="AB106" s="423">
        <f t="shared" si="135"/>
        <v>-7895</v>
      </c>
      <c r="AC106" s="423">
        <f t="shared" si="136"/>
        <v>-9939</v>
      </c>
      <c r="AD106" s="423">
        <f t="shared" si="137"/>
        <v>-7699</v>
      </c>
      <c r="AE106" s="423">
        <f t="shared" si="138"/>
        <v>-10941</v>
      </c>
      <c r="AF106" s="423">
        <f t="shared" si="139"/>
        <v>-5662</v>
      </c>
    </row>
    <row r="107" spans="1:32" outlineLevel="1">
      <c r="A107" s="418" t="s">
        <v>756</v>
      </c>
      <c r="B107" s="418" t="s">
        <v>757</v>
      </c>
      <c r="D107" s="423">
        <v>-29</v>
      </c>
      <c r="E107" s="423">
        <v>-88</v>
      </c>
      <c r="F107" s="423">
        <v>-271</v>
      </c>
      <c r="G107" s="423">
        <v>-292</v>
      </c>
      <c r="H107" s="423">
        <v>-6</v>
      </c>
      <c r="I107" s="423">
        <v>-11</v>
      </c>
      <c r="J107" s="423">
        <v>-17</v>
      </c>
      <c r="K107" s="423">
        <v>-28</v>
      </c>
      <c r="L107" s="423">
        <v>-3</v>
      </c>
      <c r="M107" s="423">
        <v>-12</v>
      </c>
      <c r="N107" s="423">
        <v>-837</v>
      </c>
      <c r="O107" s="423">
        <v>-936</v>
      </c>
      <c r="P107" s="423">
        <v>-9</v>
      </c>
      <c r="Q107" s="423">
        <v>-25</v>
      </c>
      <c r="R107" s="423">
        <v>-39</v>
      </c>
      <c r="S107" s="423">
        <v>-155</v>
      </c>
      <c r="T107" s="423">
        <v>-4</v>
      </c>
      <c r="U107" s="423">
        <v>-5</v>
      </c>
      <c r="W107" s="423">
        <f t="shared" si="131"/>
        <v>-3</v>
      </c>
      <c r="X107" s="423">
        <f t="shared" si="118"/>
        <v>-9</v>
      </c>
      <c r="Y107" s="423">
        <f t="shared" si="132"/>
        <v>-825</v>
      </c>
      <c r="Z107" s="423">
        <f t="shared" si="133"/>
        <v>-99</v>
      </c>
      <c r="AA107" s="423">
        <f t="shared" si="134"/>
        <v>-9</v>
      </c>
      <c r="AB107" s="423">
        <f t="shared" si="135"/>
        <v>-16</v>
      </c>
      <c r="AC107" s="423">
        <f t="shared" si="136"/>
        <v>-14</v>
      </c>
      <c r="AD107" s="423">
        <f t="shared" si="137"/>
        <v>-116</v>
      </c>
      <c r="AE107" s="423">
        <f t="shared" si="138"/>
        <v>-4</v>
      </c>
      <c r="AF107" s="423">
        <f t="shared" si="139"/>
        <v>-1</v>
      </c>
    </row>
    <row r="108" spans="1:32" outlineLevel="1">
      <c r="A108" s="418" t="s">
        <v>758</v>
      </c>
      <c r="B108" s="418" t="s">
        <v>759</v>
      </c>
      <c r="D108" s="423">
        <v>0</v>
      </c>
      <c r="E108" s="423">
        <v>0</v>
      </c>
      <c r="F108" s="423">
        <v>0</v>
      </c>
      <c r="G108" s="423">
        <v>0</v>
      </c>
      <c r="H108" s="423">
        <v>0</v>
      </c>
      <c r="I108" s="423">
        <v>0</v>
      </c>
      <c r="J108" s="423">
        <v>0</v>
      </c>
      <c r="K108" s="423">
        <v>0</v>
      </c>
      <c r="L108" s="423">
        <v>0</v>
      </c>
      <c r="M108" s="423">
        <v>0</v>
      </c>
      <c r="N108" s="423">
        <v>0</v>
      </c>
      <c r="O108" s="423">
        <v>0</v>
      </c>
      <c r="P108" s="423">
        <v>0</v>
      </c>
      <c r="Q108" s="423">
        <v>0</v>
      </c>
      <c r="R108" s="423">
        <v>0</v>
      </c>
      <c r="S108" s="423">
        <v>0</v>
      </c>
      <c r="T108" s="423">
        <v>0</v>
      </c>
      <c r="U108" s="423">
        <v>-382270</v>
      </c>
      <c r="W108" s="423">
        <f t="shared" si="131"/>
        <v>0</v>
      </c>
      <c r="X108" s="423">
        <f t="shared" si="118"/>
        <v>0</v>
      </c>
      <c r="Y108" s="423">
        <f t="shared" si="132"/>
        <v>0</v>
      </c>
      <c r="Z108" s="423">
        <f t="shared" si="133"/>
        <v>0</v>
      </c>
      <c r="AA108" s="423">
        <f t="shared" si="134"/>
        <v>0</v>
      </c>
      <c r="AB108" s="423">
        <f t="shared" si="135"/>
        <v>0</v>
      </c>
      <c r="AC108" s="423">
        <f t="shared" si="136"/>
        <v>0</v>
      </c>
      <c r="AD108" s="423">
        <f t="shared" si="137"/>
        <v>0</v>
      </c>
      <c r="AE108" s="423">
        <f t="shared" si="138"/>
        <v>0</v>
      </c>
      <c r="AF108" s="423">
        <f t="shared" si="139"/>
        <v>-382270</v>
      </c>
    </row>
    <row r="109" spans="1:32" outlineLevel="1">
      <c r="A109" s="418" t="s">
        <v>760</v>
      </c>
      <c r="B109" s="418" t="s">
        <v>761</v>
      </c>
      <c r="D109" s="423">
        <v>-258</v>
      </c>
      <c r="E109" s="423">
        <v>-752</v>
      </c>
      <c r="F109" s="423">
        <v>-984</v>
      </c>
      <c r="G109" s="423">
        <v>-1112</v>
      </c>
      <c r="H109" s="423">
        <v>-161</v>
      </c>
      <c r="I109" s="423">
        <v>-225</v>
      </c>
      <c r="J109" s="423">
        <v>-382</v>
      </c>
      <c r="K109" s="423">
        <v>-544</v>
      </c>
      <c r="L109" s="423">
        <v>-48</v>
      </c>
      <c r="M109" s="423">
        <v>-213</v>
      </c>
      <c r="N109" s="423">
        <v>-359</v>
      </c>
      <c r="O109" s="423">
        <v>-678</v>
      </c>
      <c r="P109" s="423">
        <v>-190</v>
      </c>
      <c r="Q109" s="423">
        <v>-3844</v>
      </c>
      <c r="R109" s="423">
        <v>118</v>
      </c>
      <c r="S109" s="423">
        <v>120</v>
      </c>
      <c r="T109" s="423">
        <v>-17</v>
      </c>
      <c r="U109" s="423">
        <v>-274</v>
      </c>
      <c r="W109" s="423">
        <f t="shared" si="131"/>
        <v>-48</v>
      </c>
      <c r="X109" s="423">
        <f t="shared" si="118"/>
        <v>-165</v>
      </c>
      <c r="Y109" s="423">
        <f t="shared" si="132"/>
        <v>-146</v>
      </c>
      <c r="Z109" s="423">
        <f t="shared" si="133"/>
        <v>-319</v>
      </c>
      <c r="AA109" s="423">
        <f t="shared" si="134"/>
        <v>-190</v>
      </c>
      <c r="AB109" s="423">
        <f t="shared" si="135"/>
        <v>-3654</v>
      </c>
      <c r="AC109" s="423">
        <f t="shared" si="136"/>
        <v>3962</v>
      </c>
      <c r="AD109" s="423">
        <f t="shared" si="137"/>
        <v>2</v>
      </c>
      <c r="AE109" s="423">
        <f t="shared" si="138"/>
        <v>-17</v>
      </c>
      <c r="AF109" s="423">
        <f t="shared" si="139"/>
        <v>-257</v>
      </c>
    </row>
    <row r="110" spans="1:32" outlineLevel="1">
      <c r="A110" s="418" t="s">
        <v>762</v>
      </c>
      <c r="B110" s="418" t="s">
        <v>763</v>
      </c>
      <c r="D110" s="423">
        <v>-6891</v>
      </c>
      <c r="E110" s="423">
        <v>-15380</v>
      </c>
      <c r="F110" s="423">
        <v>-16119</v>
      </c>
      <c r="G110" s="423">
        <v>-26958</v>
      </c>
      <c r="H110" s="423">
        <v>-11440</v>
      </c>
      <c r="I110" s="423">
        <v>-15530</v>
      </c>
      <c r="J110" s="423">
        <v>-20999</v>
      </c>
      <c r="K110" s="423">
        <v>-48952</v>
      </c>
      <c r="L110" s="423">
        <v>-11364</v>
      </c>
      <c r="M110" s="423">
        <v>-26385</v>
      </c>
      <c r="N110" s="423">
        <v>-45541</v>
      </c>
      <c r="O110" s="423">
        <v>-62029</v>
      </c>
      <c r="P110" s="423">
        <v>-17204</v>
      </c>
      <c r="Q110" s="423">
        <v>-33733</v>
      </c>
      <c r="R110" s="423">
        <v>-40058</v>
      </c>
      <c r="S110" s="423">
        <v>-49938</v>
      </c>
      <c r="T110" s="423">
        <v>-45</v>
      </c>
      <c r="U110" s="423">
        <v>-11312</v>
      </c>
      <c r="W110" s="423">
        <f t="shared" si="131"/>
        <v>-11364</v>
      </c>
      <c r="X110" s="423">
        <f t="shared" si="118"/>
        <v>-15021</v>
      </c>
      <c r="Y110" s="423">
        <f t="shared" si="132"/>
        <v>-19156</v>
      </c>
      <c r="Z110" s="423">
        <f t="shared" si="133"/>
        <v>-16488</v>
      </c>
      <c r="AA110" s="423">
        <f t="shared" si="134"/>
        <v>-17204</v>
      </c>
      <c r="AB110" s="423">
        <f t="shared" si="135"/>
        <v>-16529</v>
      </c>
      <c r="AC110" s="423">
        <f t="shared" si="136"/>
        <v>-6325</v>
      </c>
      <c r="AD110" s="423">
        <f t="shared" si="137"/>
        <v>-9880</v>
      </c>
      <c r="AE110" s="423">
        <f t="shared" si="138"/>
        <v>-45</v>
      </c>
      <c r="AF110" s="423">
        <f t="shared" si="139"/>
        <v>-11267</v>
      </c>
    </row>
    <row r="111" spans="1:32">
      <c r="A111" s="417"/>
      <c r="B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</row>
    <row r="112" spans="1:32">
      <c r="A112" s="429" t="s">
        <v>764</v>
      </c>
      <c r="B112" s="429" t="s">
        <v>765</v>
      </c>
      <c r="D112" s="420">
        <f t="shared" ref="D112:I112" si="140">D86+D88</f>
        <v>92337</v>
      </c>
      <c r="E112" s="420">
        <f t="shared" si="140"/>
        <v>215952</v>
      </c>
      <c r="F112" s="420">
        <f t="shared" si="140"/>
        <v>305348</v>
      </c>
      <c r="G112" s="420">
        <f t="shared" si="140"/>
        <v>389117</v>
      </c>
      <c r="H112" s="420">
        <f t="shared" si="140"/>
        <v>104117</v>
      </c>
      <c r="I112" s="420">
        <f t="shared" si="140"/>
        <v>197718</v>
      </c>
      <c r="J112" s="420">
        <f t="shared" ref="J112:Q112" si="141">J86+J88</f>
        <v>339433</v>
      </c>
      <c r="K112" s="420">
        <f t="shared" si="141"/>
        <v>412096</v>
      </c>
      <c r="L112" s="420">
        <f t="shared" si="141"/>
        <v>122275</v>
      </c>
      <c r="M112" s="420">
        <f t="shared" si="141"/>
        <v>252494</v>
      </c>
      <c r="N112" s="420">
        <f t="shared" si="141"/>
        <v>374666</v>
      </c>
      <c r="O112" s="420">
        <f t="shared" si="141"/>
        <v>367143</v>
      </c>
      <c r="P112" s="420">
        <f t="shared" si="141"/>
        <v>83937</v>
      </c>
      <c r="Q112" s="420">
        <f t="shared" si="141"/>
        <v>224064</v>
      </c>
      <c r="R112" s="420">
        <f t="shared" ref="R112:T112" si="142">R86+R88</f>
        <v>294130</v>
      </c>
      <c r="S112" s="420">
        <f t="shared" si="142"/>
        <v>354168</v>
      </c>
      <c r="T112" s="420">
        <f t="shared" si="142"/>
        <v>166414</v>
      </c>
      <c r="U112" s="741">
        <f>U86+U88</f>
        <v>284093</v>
      </c>
      <c r="W112" s="420">
        <f t="shared" ref="W112:AC112" si="143">W86+W88</f>
        <v>122275</v>
      </c>
      <c r="X112" s="420">
        <f t="shared" si="143"/>
        <v>130219</v>
      </c>
      <c r="Y112" s="420">
        <f t="shared" si="143"/>
        <v>122172</v>
      </c>
      <c r="Z112" s="420">
        <f t="shared" si="143"/>
        <v>-7523</v>
      </c>
      <c r="AA112" s="420">
        <f t="shared" si="143"/>
        <v>83937</v>
      </c>
      <c r="AB112" s="420">
        <f t="shared" si="143"/>
        <v>140127</v>
      </c>
      <c r="AC112" s="420">
        <f t="shared" si="143"/>
        <v>70066</v>
      </c>
      <c r="AD112" s="420">
        <f t="shared" ref="AD112:AE112" si="144">AD86+AD88</f>
        <v>60038</v>
      </c>
      <c r="AE112" s="420">
        <f t="shared" si="144"/>
        <v>166414</v>
      </c>
      <c r="AF112" s="741">
        <f>AF86+AF88</f>
        <v>300076</v>
      </c>
    </row>
    <row r="114" spans="1:32">
      <c r="A114" s="416" t="s">
        <v>766</v>
      </c>
      <c r="B114" s="416" t="s">
        <v>767</v>
      </c>
      <c r="D114" s="424">
        <f>SUM(D116:D119)</f>
        <v>-18765</v>
      </c>
      <c r="E114" s="424">
        <f t="shared" ref="E114:J114" si="145">SUM(E116:E119)</f>
        <v>-45131</v>
      </c>
      <c r="F114" s="424">
        <f t="shared" si="145"/>
        <v>-58740</v>
      </c>
      <c r="G114" s="424">
        <f t="shared" si="145"/>
        <v>-69366</v>
      </c>
      <c r="H114" s="424">
        <f t="shared" si="145"/>
        <v>-18423</v>
      </c>
      <c r="I114" s="424">
        <f t="shared" si="145"/>
        <v>-34515</v>
      </c>
      <c r="J114" s="424">
        <f t="shared" si="145"/>
        <v>-59700</v>
      </c>
      <c r="K114" s="424">
        <f t="shared" ref="K114:Q114" si="146">SUM(K116:K119)</f>
        <v>-35251</v>
      </c>
      <c r="L114" s="424">
        <f t="shared" si="146"/>
        <v>-16637</v>
      </c>
      <c r="M114" s="424">
        <f t="shared" si="146"/>
        <v>-46434</v>
      </c>
      <c r="N114" s="424">
        <f t="shared" si="146"/>
        <v>-68992</v>
      </c>
      <c r="O114" s="424">
        <f t="shared" si="146"/>
        <v>-53287</v>
      </c>
      <c r="P114" s="424">
        <f t="shared" si="146"/>
        <v>-28071</v>
      </c>
      <c r="Q114" s="424">
        <f t="shared" si="146"/>
        <v>-62009</v>
      </c>
      <c r="R114" s="424">
        <f t="shared" ref="R114:T114" si="147">SUM(R116:R119)</f>
        <v>-66066</v>
      </c>
      <c r="S114" s="424">
        <f t="shared" si="147"/>
        <v>-71135</v>
      </c>
      <c r="T114" s="424">
        <f t="shared" si="147"/>
        <v>-46685</v>
      </c>
      <c r="U114" s="424">
        <f>SUM(U116:U119)</f>
        <v>-108517</v>
      </c>
      <c r="W114" s="424">
        <f t="shared" ref="W114:AC114" si="148">SUM(W116:W119)</f>
        <v>-16637</v>
      </c>
      <c r="X114" s="424">
        <f t="shared" si="148"/>
        <v>-29797</v>
      </c>
      <c r="Y114" s="424">
        <f t="shared" si="148"/>
        <v>-22558</v>
      </c>
      <c r="Z114" s="424">
        <f t="shared" si="148"/>
        <v>15705</v>
      </c>
      <c r="AA114" s="424">
        <f t="shared" si="148"/>
        <v>-28071</v>
      </c>
      <c r="AB114" s="424">
        <f t="shared" si="148"/>
        <v>-33938</v>
      </c>
      <c r="AC114" s="424">
        <f t="shared" si="148"/>
        <v>-4057</v>
      </c>
      <c r="AD114" s="424">
        <f t="shared" ref="AD114:AE114" si="149">SUM(AD116:AD119)</f>
        <v>-5069</v>
      </c>
      <c r="AE114" s="424">
        <f t="shared" si="149"/>
        <v>-46685</v>
      </c>
      <c r="AF114" s="424">
        <f>SUM(AF116:AF119)</f>
        <v>-61832</v>
      </c>
    </row>
    <row r="115" spans="1:32">
      <c r="A115" s="417"/>
      <c r="B115" s="417"/>
      <c r="D115" s="417"/>
      <c r="E115" s="417"/>
      <c r="F115" s="417"/>
      <c r="G115" s="417"/>
      <c r="H115" s="417"/>
      <c r="I115" s="417"/>
      <c r="J115" s="417"/>
      <c r="K115" s="417"/>
      <c r="L115" s="417"/>
      <c r="M115" s="417"/>
      <c r="N115" s="417"/>
      <c r="P115" s="417"/>
      <c r="Q115" s="417"/>
      <c r="R115" s="417"/>
      <c r="S115" s="417"/>
      <c r="T115" s="417"/>
      <c r="U115" s="417"/>
      <c r="W115" s="417"/>
      <c r="X115" s="417"/>
      <c r="Y115" s="417"/>
      <c r="AA115" s="417"/>
      <c r="AB115" s="417"/>
      <c r="AC115" s="417"/>
      <c r="AD115" s="417"/>
      <c r="AE115" s="417"/>
      <c r="AF115" s="417"/>
    </row>
    <row r="116" spans="1:32">
      <c r="A116" s="417" t="s">
        <v>768</v>
      </c>
      <c r="B116" s="417" t="s">
        <v>769</v>
      </c>
      <c r="D116" s="425">
        <v>-3209</v>
      </c>
      <c r="E116" s="425">
        <v>-10337</v>
      </c>
      <c r="F116" s="425">
        <v>-16176</v>
      </c>
      <c r="G116" s="425">
        <v>-23877</v>
      </c>
      <c r="H116" s="425">
        <v>-6750</v>
      </c>
      <c r="I116" s="425">
        <v>-12885</v>
      </c>
      <c r="J116" s="425">
        <v>-20846</v>
      </c>
      <c r="K116" s="425">
        <v>-19142</v>
      </c>
      <c r="L116" s="425">
        <v>-6805</v>
      </c>
      <c r="M116" s="425">
        <v>-9756</v>
      </c>
      <c r="N116" s="425">
        <v>-16860</v>
      </c>
      <c r="O116" s="425">
        <v>-8548</v>
      </c>
      <c r="P116" s="425">
        <v>-5615</v>
      </c>
      <c r="Q116" s="425">
        <v>-18979</v>
      </c>
      <c r="R116" s="425">
        <v>-27739</v>
      </c>
      <c r="S116" s="425">
        <v>-33045</v>
      </c>
      <c r="T116" s="425">
        <v>-7349</v>
      </c>
      <c r="U116" s="756">
        <v>-13749</v>
      </c>
      <c r="W116" s="425">
        <f>L116</f>
        <v>-6805</v>
      </c>
      <c r="X116" s="425">
        <f>M116-W116</f>
        <v>-2951</v>
      </c>
      <c r="Y116" s="425">
        <f t="shared" ref="Y116:Z119" si="150">N116-M116</f>
        <v>-7104</v>
      </c>
      <c r="Z116" s="425">
        <f t="shared" si="150"/>
        <v>8312</v>
      </c>
      <c r="AA116" s="425">
        <f>P116</f>
        <v>-5615</v>
      </c>
      <c r="AB116" s="425">
        <f t="shared" ref="AB116:AB119" si="151">Q116-AA116</f>
        <v>-13364</v>
      </c>
      <c r="AC116" s="425">
        <f t="shared" ref="AC116:AD119" si="152">R116-Q116</f>
        <v>-8760</v>
      </c>
      <c r="AD116" s="425">
        <f t="shared" si="152"/>
        <v>-5306</v>
      </c>
      <c r="AE116" s="425">
        <f>T116</f>
        <v>-7349</v>
      </c>
      <c r="AF116" s="756">
        <f>U116-T116</f>
        <v>-6400</v>
      </c>
    </row>
    <row r="117" spans="1:32">
      <c r="A117" s="417" t="s">
        <v>770</v>
      </c>
      <c r="B117" s="417" t="s">
        <v>771</v>
      </c>
      <c r="D117" s="425">
        <v>-12800</v>
      </c>
      <c r="E117" s="425">
        <v>-28616</v>
      </c>
      <c r="F117" s="425">
        <v>-44937</v>
      </c>
      <c r="G117" s="425">
        <v>-65244</v>
      </c>
      <c r="H117" s="425">
        <v>-18787</v>
      </c>
      <c r="I117" s="425">
        <v>-35825</v>
      </c>
      <c r="J117" s="425">
        <v>-58060</v>
      </c>
      <c r="K117" s="425">
        <v>-71361</v>
      </c>
      <c r="L117" s="425">
        <v>-23700</v>
      </c>
      <c r="M117" s="425">
        <v>-38439</v>
      </c>
      <c r="N117" s="425">
        <v>-66017</v>
      </c>
      <c r="O117" s="425">
        <v>-52871</v>
      </c>
      <c r="P117" s="425">
        <v>-15529</v>
      </c>
      <c r="Q117" s="425">
        <v>-51900</v>
      </c>
      <c r="R117" s="425">
        <v>-75437</v>
      </c>
      <c r="S117" s="425">
        <v>-89730</v>
      </c>
      <c r="T117" s="425">
        <v>-20301</v>
      </c>
      <c r="U117" s="756">
        <v>-37847</v>
      </c>
      <c r="W117" s="425">
        <f>L117</f>
        <v>-23700</v>
      </c>
      <c r="X117" s="425">
        <f>M117-W117</f>
        <v>-14739</v>
      </c>
      <c r="Y117" s="425">
        <f t="shared" si="150"/>
        <v>-27578</v>
      </c>
      <c r="Z117" s="425">
        <f t="shared" si="150"/>
        <v>13146</v>
      </c>
      <c r="AA117" s="425">
        <f>P117</f>
        <v>-15529</v>
      </c>
      <c r="AB117" s="425">
        <f t="shared" si="151"/>
        <v>-36371</v>
      </c>
      <c r="AC117" s="425">
        <f t="shared" si="152"/>
        <v>-23537</v>
      </c>
      <c r="AD117" s="425">
        <f t="shared" si="152"/>
        <v>-14293</v>
      </c>
      <c r="AE117" s="425">
        <f>T117</f>
        <v>-20301</v>
      </c>
      <c r="AF117" s="756">
        <f>U117-T117</f>
        <v>-17546</v>
      </c>
    </row>
    <row r="118" spans="1:32">
      <c r="A118" s="417" t="s">
        <v>772</v>
      </c>
      <c r="B118" s="417" t="s">
        <v>773</v>
      </c>
      <c r="D118" s="425">
        <v>12772</v>
      </c>
      <c r="E118" s="425">
        <v>28616</v>
      </c>
      <c r="F118" s="425">
        <v>44937</v>
      </c>
      <c r="G118" s="425">
        <v>61794</v>
      </c>
      <c r="H118" s="425">
        <v>16820</v>
      </c>
      <c r="I118" s="425">
        <v>32695</v>
      </c>
      <c r="J118" s="425">
        <v>55484</v>
      </c>
      <c r="K118" s="425">
        <v>78696</v>
      </c>
      <c r="L118" s="425">
        <v>23700</v>
      </c>
      <c r="M118" s="425">
        <v>38439</v>
      </c>
      <c r="N118" s="425">
        <v>65550</v>
      </c>
      <c r="O118" s="425">
        <v>59752</v>
      </c>
      <c r="P118" s="425">
        <v>0</v>
      </c>
      <c r="Q118" s="425">
        <v>13337</v>
      </c>
      <c r="R118" s="425">
        <v>32539</v>
      </c>
      <c r="S118" s="425">
        <v>47261</v>
      </c>
      <c r="T118" s="425">
        <v>11665</v>
      </c>
      <c r="U118" s="756">
        <v>25433</v>
      </c>
      <c r="W118" s="425">
        <f>L118</f>
        <v>23700</v>
      </c>
      <c r="X118" s="425">
        <f>M118-W118</f>
        <v>14739</v>
      </c>
      <c r="Y118" s="425">
        <f t="shared" si="150"/>
        <v>27111</v>
      </c>
      <c r="Z118" s="425">
        <f t="shared" si="150"/>
        <v>-5798</v>
      </c>
      <c r="AA118" s="425">
        <f>P118</f>
        <v>0</v>
      </c>
      <c r="AB118" s="425">
        <f t="shared" si="151"/>
        <v>13337</v>
      </c>
      <c r="AC118" s="425">
        <f t="shared" si="152"/>
        <v>19202</v>
      </c>
      <c r="AD118" s="425">
        <f t="shared" si="152"/>
        <v>14722</v>
      </c>
      <c r="AE118" s="425">
        <f>T118</f>
        <v>11665</v>
      </c>
      <c r="AF118" s="756">
        <f>U118-T118</f>
        <v>13768</v>
      </c>
    </row>
    <row r="119" spans="1:32">
      <c r="A119" s="417" t="s">
        <v>774</v>
      </c>
      <c r="B119" s="417" t="s">
        <v>775</v>
      </c>
      <c r="D119" s="425">
        <v>-15528</v>
      </c>
      <c r="E119" s="425">
        <v>-34794</v>
      </c>
      <c r="F119" s="425">
        <v>-42564</v>
      </c>
      <c r="G119" s="425">
        <v>-42039</v>
      </c>
      <c r="H119" s="425">
        <v>-9706</v>
      </c>
      <c r="I119" s="425">
        <v>-18500</v>
      </c>
      <c r="J119" s="425">
        <v>-36278</v>
      </c>
      <c r="K119" s="425">
        <v>-23444</v>
      </c>
      <c r="L119" s="425">
        <v>-9832</v>
      </c>
      <c r="M119" s="425">
        <v>-36678</v>
      </c>
      <c r="N119" s="425">
        <v>-51665</v>
      </c>
      <c r="O119" s="425">
        <v>-51620</v>
      </c>
      <c r="P119" s="425">
        <v>-6927</v>
      </c>
      <c r="Q119" s="425">
        <v>-4467</v>
      </c>
      <c r="R119" s="425">
        <v>4571</v>
      </c>
      <c r="S119" s="425">
        <v>4379</v>
      </c>
      <c r="T119" s="425">
        <v>-30700</v>
      </c>
      <c r="U119" s="756">
        <v>-82354</v>
      </c>
      <c r="W119" s="425">
        <f>L119</f>
        <v>-9832</v>
      </c>
      <c r="X119" s="425">
        <f>M119-W119</f>
        <v>-26846</v>
      </c>
      <c r="Y119" s="425">
        <f t="shared" si="150"/>
        <v>-14987</v>
      </c>
      <c r="Z119" s="425">
        <f t="shared" si="150"/>
        <v>45</v>
      </c>
      <c r="AA119" s="425">
        <f>P119</f>
        <v>-6927</v>
      </c>
      <c r="AB119" s="425">
        <f t="shared" si="151"/>
        <v>2460</v>
      </c>
      <c r="AC119" s="425">
        <f t="shared" si="152"/>
        <v>9038</v>
      </c>
      <c r="AD119" s="425">
        <f t="shared" si="152"/>
        <v>-192</v>
      </c>
      <c r="AE119" s="425">
        <f>T119</f>
        <v>-30700</v>
      </c>
      <c r="AF119" s="756">
        <f>U119-T119</f>
        <v>-51654</v>
      </c>
    </row>
    <row r="120" spans="1:32">
      <c r="A120" s="417"/>
      <c r="B120" s="417"/>
      <c r="D120" s="417"/>
      <c r="E120" s="417"/>
      <c r="F120" s="417"/>
      <c r="G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</row>
    <row r="121" spans="1:32" ht="15" thickBot="1">
      <c r="A121" s="430" t="s">
        <v>776</v>
      </c>
      <c r="B121" s="430" t="s">
        <v>777</v>
      </c>
      <c r="D121" s="426">
        <f>D112+D114</f>
        <v>73572</v>
      </c>
      <c r="E121" s="426">
        <f t="shared" ref="E121:K121" si="153">E112+E114</f>
        <v>170821</v>
      </c>
      <c r="F121" s="426">
        <f t="shared" si="153"/>
        <v>246608</v>
      </c>
      <c r="G121" s="426">
        <f t="shared" si="153"/>
        <v>319751</v>
      </c>
      <c r="H121" s="426">
        <f t="shared" si="153"/>
        <v>85694</v>
      </c>
      <c r="I121" s="426">
        <f t="shared" si="153"/>
        <v>163203</v>
      </c>
      <c r="J121" s="426">
        <f t="shared" si="153"/>
        <v>279733</v>
      </c>
      <c r="K121" s="426">
        <f t="shared" si="153"/>
        <v>376845</v>
      </c>
      <c r="L121" s="426">
        <f t="shared" ref="L121:T121" si="154">L112+L114</f>
        <v>105638</v>
      </c>
      <c r="M121" s="426">
        <f t="shared" si="154"/>
        <v>206060</v>
      </c>
      <c r="N121" s="426">
        <f t="shared" si="154"/>
        <v>305674</v>
      </c>
      <c r="O121" s="426">
        <f t="shared" si="154"/>
        <v>313856</v>
      </c>
      <c r="P121" s="426">
        <f t="shared" si="154"/>
        <v>55866</v>
      </c>
      <c r="Q121" s="426">
        <f t="shared" si="154"/>
        <v>162055</v>
      </c>
      <c r="R121" s="426">
        <f t="shared" si="154"/>
        <v>228064</v>
      </c>
      <c r="S121" s="426">
        <f t="shared" si="154"/>
        <v>283033</v>
      </c>
      <c r="T121" s="426">
        <f t="shared" si="154"/>
        <v>119729</v>
      </c>
      <c r="U121" s="426">
        <f>U112+U114</f>
        <v>175576</v>
      </c>
      <c r="W121" s="426">
        <f t="shared" ref="W121:AC121" si="155">W112+W114</f>
        <v>105638</v>
      </c>
      <c r="X121" s="426">
        <f t="shared" si="155"/>
        <v>100422</v>
      </c>
      <c r="Y121" s="426">
        <f t="shared" si="155"/>
        <v>99614</v>
      </c>
      <c r="Z121" s="426">
        <f t="shared" si="155"/>
        <v>8182</v>
      </c>
      <c r="AA121" s="426">
        <f t="shared" si="155"/>
        <v>55866</v>
      </c>
      <c r="AB121" s="426">
        <f t="shared" si="155"/>
        <v>106189</v>
      </c>
      <c r="AC121" s="426">
        <f t="shared" si="155"/>
        <v>66009</v>
      </c>
      <c r="AD121" s="426">
        <f t="shared" ref="AD121:AE121" si="156">AD112+AD114</f>
        <v>54969</v>
      </c>
      <c r="AE121" s="426">
        <f t="shared" si="156"/>
        <v>119729</v>
      </c>
      <c r="AF121" s="426">
        <f>AF112+AF114</f>
        <v>238244</v>
      </c>
    </row>
    <row r="122" spans="1:32" ht="15" thickTop="1">
      <c r="A122" s="417"/>
      <c r="B122" s="417"/>
      <c r="D122" s="417"/>
      <c r="E122" s="417"/>
      <c r="F122" s="417"/>
      <c r="G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S122" s="417"/>
      <c r="T122" s="417"/>
      <c r="U122" s="417"/>
      <c r="W122" s="417"/>
      <c r="X122" s="417"/>
      <c r="Y122" s="417"/>
      <c r="Z122" s="417"/>
      <c r="AA122" s="417"/>
      <c r="AB122" s="417"/>
      <c r="AC122" s="417"/>
      <c r="AD122" s="417"/>
      <c r="AE122" s="417"/>
      <c r="AF122" s="417"/>
    </row>
    <row r="123" spans="1:32">
      <c r="A123" s="416" t="s">
        <v>778</v>
      </c>
      <c r="B123" s="416" t="s">
        <v>779</v>
      </c>
      <c r="D123" s="425"/>
      <c r="E123" s="425"/>
      <c r="F123" s="425"/>
      <c r="G123" s="425"/>
      <c r="H123" s="425"/>
      <c r="I123" s="425"/>
      <c r="J123" s="425"/>
      <c r="K123" s="425"/>
      <c r="L123" s="425"/>
      <c r="M123" s="425"/>
      <c r="N123" s="425"/>
      <c r="O123" s="425"/>
      <c r="P123" s="425"/>
      <c r="Q123" s="425"/>
      <c r="R123" s="425"/>
      <c r="S123" s="425"/>
      <c r="T123" s="425"/>
      <c r="U123" s="756"/>
      <c r="W123" s="425"/>
      <c r="X123" s="425"/>
      <c r="Y123" s="425"/>
      <c r="Z123" s="425"/>
      <c r="AA123" s="425"/>
      <c r="AB123" s="425"/>
      <c r="AC123" s="425"/>
      <c r="AD123" s="425"/>
      <c r="AE123" s="425"/>
      <c r="AF123" s="756"/>
    </row>
    <row r="124" spans="1:32">
      <c r="A124" s="417" t="s">
        <v>780</v>
      </c>
      <c r="B124" s="417" t="s">
        <v>781</v>
      </c>
      <c r="D124" s="425">
        <f>D121-D125</f>
        <v>70913.735644507207</v>
      </c>
      <c r="E124" s="425">
        <f t="shared" ref="E124:J124" si="157">E121-E125</f>
        <v>164648.98652381837</v>
      </c>
      <c r="F124" s="425">
        <f t="shared" si="157"/>
        <v>237697.69096695256</v>
      </c>
      <c r="G124" s="425">
        <f t="shared" si="157"/>
        <v>308197.92701118393</v>
      </c>
      <c r="H124" s="425">
        <f t="shared" si="157"/>
        <v>82597.749990762793</v>
      </c>
      <c r="I124" s="425">
        <f t="shared" si="157"/>
        <v>157306.23604619296</v>
      </c>
      <c r="J124" s="425">
        <f t="shared" si="157"/>
        <v>269625.83609314595</v>
      </c>
      <c r="K124" s="425">
        <f>K121-K125</f>
        <v>363229.03698355786</v>
      </c>
      <c r="L124" s="425">
        <v>101821.14399519454</v>
      </c>
      <c r="M124" s="425">
        <v>198614.7497268955</v>
      </c>
      <c r="N124" s="425">
        <v>294630</v>
      </c>
      <c r="O124" s="425">
        <v>302517</v>
      </c>
      <c r="P124" s="425">
        <v>53847</v>
      </c>
      <c r="Q124" s="425">
        <v>156198</v>
      </c>
      <c r="R124" s="425">
        <v>219822</v>
      </c>
      <c r="S124" s="425">
        <v>272807</v>
      </c>
      <c r="T124" s="425">
        <v>115403</v>
      </c>
      <c r="U124" s="756">
        <v>169229</v>
      </c>
      <c r="W124" s="425">
        <f>L124</f>
        <v>101821.14399519454</v>
      </c>
      <c r="X124" s="425">
        <f>M124-W124</f>
        <v>96793.605731700969</v>
      </c>
      <c r="Y124" s="425">
        <f>N124-M124</f>
        <v>96015.250273104495</v>
      </c>
      <c r="Z124" s="425">
        <f>O124-N124</f>
        <v>7887</v>
      </c>
      <c r="AA124" s="425">
        <f>P124</f>
        <v>53847</v>
      </c>
      <c r="AB124" s="425">
        <f>Q124-AA124</f>
        <v>102351</v>
      </c>
      <c r="AC124" s="425">
        <f>R124-Q124</f>
        <v>63624</v>
      </c>
      <c r="AD124" s="425">
        <f>S124-R124</f>
        <v>52985</v>
      </c>
      <c r="AE124" s="425">
        <f>T124</f>
        <v>115403</v>
      </c>
      <c r="AF124" s="756">
        <f>U124-T124</f>
        <v>53826</v>
      </c>
    </row>
    <row r="125" spans="1:32">
      <c r="A125" s="417" t="s">
        <v>782</v>
      </c>
      <c r="B125" s="417" t="s">
        <v>783</v>
      </c>
      <c r="D125" s="425">
        <f>D121*D130</f>
        <v>2658.2643554927931</v>
      </c>
      <c r="E125" s="425">
        <f t="shared" ref="E125:J125" si="158">E121*E130</f>
        <v>6172.0134761816234</v>
      </c>
      <c r="F125" s="425">
        <f t="shared" si="158"/>
        <v>8910.3090330474461</v>
      </c>
      <c r="G125" s="425">
        <f t="shared" si="158"/>
        <v>11553.072988816073</v>
      </c>
      <c r="H125" s="425">
        <f t="shared" si="158"/>
        <v>3096.250009237202</v>
      </c>
      <c r="I125" s="425">
        <f t="shared" si="158"/>
        <v>5896.7639538070234</v>
      </c>
      <c r="J125" s="425">
        <f t="shared" si="158"/>
        <v>10107.163906854041</v>
      </c>
      <c r="K125" s="425">
        <f>K121*K130</f>
        <v>13615.963016442147</v>
      </c>
      <c r="L125" s="425">
        <v>3816.8560048054642</v>
      </c>
      <c r="M125" s="425">
        <v>7445.2502731044951</v>
      </c>
      <c r="N125" s="425">
        <v>11044</v>
      </c>
      <c r="O125" s="425">
        <v>11340</v>
      </c>
      <c r="P125" s="425">
        <v>2019</v>
      </c>
      <c r="Q125" s="425">
        <v>5857</v>
      </c>
      <c r="R125" s="425">
        <v>8242</v>
      </c>
      <c r="S125" s="425">
        <v>10226</v>
      </c>
      <c r="T125" s="425">
        <v>4326</v>
      </c>
      <c r="U125" s="756">
        <v>6347</v>
      </c>
      <c r="W125" s="425">
        <f>L125</f>
        <v>3816.8560048054642</v>
      </c>
      <c r="X125" s="425">
        <f>M125-W125</f>
        <v>3628.394268299031</v>
      </c>
      <c r="Y125" s="425">
        <f>N125-M125</f>
        <v>3598.7497268955049</v>
      </c>
      <c r="Z125" s="425">
        <f>O125-N125</f>
        <v>296</v>
      </c>
      <c r="AA125" s="425">
        <f>P125</f>
        <v>2019</v>
      </c>
      <c r="AB125" s="425">
        <f>Q125-AA125</f>
        <v>3838</v>
      </c>
      <c r="AC125" s="425">
        <f>R125-Q125</f>
        <v>2385</v>
      </c>
      <c r="AD125" s="425">
        <f>S125-R125</f>
        <v>1984</v>
      </c>
      <c r="AE125" s="425">
        <f>T125</f>
        <v>4326</v>
      </c>
      <c r="AF125" s="756">
        <f>U125-T125</f>
        <v>2021</v>
      </c>
    </row>
    <row r="126" spans="1:32">
      <c r="A126" s="417"/>
      <c r="B126" s="417"/>
      <c r="D126" s="417"/>
      <c r="E126" s="417"/>
      <c r="F126" s="417"/>
      <c r="G126" s="417"/>
      <c r="H126" s="417"/>
      <c r="I126" s="417"/>
      <c r="J126" s="417"/>
      <c r="K126" s="417"/>
      <c r="L126" s="417"/>
      <c r="M126" s="417"/>
      <c r="N126" s="417"/>
      <c r="P126" s="417"/>
      <c r="Q126" s="417"/>
      <c r="R126" s="417"/>
      <c r="S126" s="417"/>
      <c r="T126" s="417"/>
      <c r="U126" s="417"/>
      <c r="W126" s="417"/>
      <c r="X126" s="417"/>
      <c r="Y126" s="417"/>
      <c r="AA126" s="417"/>
      <c r="AB126" s="417"/>
      <c r="AC126" s="417"/>
      <c r="AD126" s="417"/>
      <c r="AE126" s="417"/>
      <c r="AF126" s="417"/>
    </row>
    <row r="127" spans="1:32" ht="15" thickBot="1">
      <c r="A127" s="430" t="s">
        <v>776</v>
      </c>
      <c r="B127" s="430" t="s">
        <v>784</v>
      </c>
      <c r="D127" s="426">
        <f>SUM(D124:D125)</f>
        <v>73572</v>
      </c>
      <c r="E127" s="426">
        <f t="shared" ref="E127:J127" si="159">SUM(E124:E125)</f>
        <v>170821</v>
      </c>
      <c r="F127" s="426">
        <f t="shared" si="159"/>
        <v>246608</v>
      </c>
      <c r="G127" s="426">
        <f t="shared" si="159"/>
        <v>319751</v>
      </c>
      <c r="H127" s="426">
        <f t="shared" si="159"/>
        <v>85694</v>
      </c>
      <c r="I127" s="426">
        <f t="shared" si="159"/>
        <v>163203</v>
      </c>
      <c r="J127" s="426">
        <f t="shared" si="159"/>
        <v>279733</v>
      </c>
      <c r="K127" s="426">
        <f t="shared" ref="K127:Q127" si="160">SUM(K124:K125)</f>
        <v>376845</v>
      </c>
      <c r="L127" s="426">
        <f t="shared" si="160"/>
        <v>105638</v>
      </c>
      <c r="M127" s="426">
        <f t="shared" si="160"/>
        <v>206060</v>
      </c>
      <c r="N127" s="426">
        <f t="shared" si="160"/>
        <v>305674</v>
      </c>
      <c r="O127" s="426">
        <f t="shared" si="160"/>
        <v>313857</v>
      </c>
      <c r="P127" s="426">
        <f t="shared" si="160"/>
        <v>55866</v>
      </c>
      <c r="Q127" s="426">
        <f t="shared" si="160"/>
        <v>162055</v>
      </c>
      <c r="R127" s="426">
        <f t="shared" ref="R127:T127" si="161">SUM(R124:R125)</f>
        <v>228064</v>
      </c>
      <c r="S127" s="426">
        <f t="shared" si="161"/>
        <v>283033</v>
      </c>
      <c r="T127" s="426">
        <f t="shared" si="161"/>
        <v>119729</v>
      </c>
      <c r="U127" s="426">
        <f>SUM(U124:U125)</f>
        <v>175576</v>
      </c>
      <c r="W127" s="426">
        <f t="shared" ref="W127:AC127" si="162">SUM(W124:W125)</f>
        <v>105638</v>
      </c>
      <c r="X127" s="426">
        <f t="shared" si="162"/>
        <v>100422</v>
      </c>
      <c r="Y127" s="426">
        <f t="shared" si="162"/>
        <v>99614</v>
      </c>
      <c r="Z127" s="426">
        <f t="shared" si="162"/>
        <v>8183</v>
      </c>
      <c r="AA127" s="426">
        <f t="shared" si="162"/>
        <v>55866</v>
      </c>
      <c r="AB127" s="426">
        <f t="shared" si="162"/>
        <v>106189</v>
      </c>
      <c r="AC127" s="426">
        <f t="shared" si="162"/>
        <v>66009</v>
      </c>
      <c r="AD127" s="426">
        <f t="shared" ref="AD127:AE127" si="163">SUM(AD124:AD125)</f>
        <v>54969</v>
      </c>
      <c r="AE127" s="426">
        <f t="shared" si="163"/>
        <v>119729</v>
      </c>
      <c r="AF127" s="426">
        <f>SUM(AF124:AF125)</f>
        <v>55847</v>
      </c>
    </row>
    <row r="129" spans="1:32" s="432" customFormat="1" ht="10.199999999999999">
      <c r="A129" s="431" t="s">
        <v>785</v>
      </c>
      <c r="B129" s="431" t="s">
        <v>786</v>
      </c>
      <c r="D129" s="433">
        <v>0.96386853211149903</v>
      </c>
      <c r="E129" s="433">
        <v>0.96386853211149903</v>
      </c>
      <c r="F129" s="433">
        <v>0.96386853211149903</v>
      </c>
      <c r="G129" s="433">
        <v>0.96386853211149903</v>
      </c>
      <c r="H129" s="433">
        <v>0.96386853211149903</v>
      </c>
      <c r="I129" s="433">
        <v>0.96386853211149903</v>
      </c>
      <c r="J129" s="433">
        <v>0.96386853211149903</v>
      </c>
      <c r="K129" s="433">
        <v>0.96386853211149903</v>
      </c>
      <c r="L129" s="433">
        <v>0.96386853211149903</v>
      </c>
      <c r="M129" s="433">
        <v>0.96386853211149903</v>
      </c>
      <c r="N129" s="433">
        <f t="shared" ref="N129:S130" si="164">M129</f>
        <v>0.96386853211149903</v>
      </c>
      <c r="O129" s="433">
        <f t="shared" si="164"/>
        <v>0.96386853211149903</v>
      </c>
      <c r="P129" s="433">
        <f t="shared" si="164"/>
        <v>0.96386853211149903</v>
      </c>
      <c r="Q129" s="433">
        <f t="shared" si="164"/>
        <v>0.96386853211149903</v>
      </c>
      <c r="R129" s="433">
        <f t="shared" si="164"/>
        <v>0.96386853211149903</v>
      </c>
      <c r="S129" s="433">
        <f t="shared" si="164"/>
        <v>0.96386853211149903</v>
      </c>
      <c r="T129" s="433">
        <v>0.77386853211149909</v>
      </c>
      <c r="U129" s="433">
        <v>0.77386853211149909</v>
      </c>
      <c r="W129" s="433">
        <f>L129</f>
        <v>0.96386853211149903</v>
      </c>
      <c r="X129" s="433">
        <v>0.96386853211149903</v>
      </c>
      <c r="Y129" s="433">
        <f>X129</f>
        <v>0.96386853211149903</v>
      </c>
      <c r="Z129" s="433">
        <f>Y129</f>
        <v>0.96386853211149903</v>
      </c>
      <c r="AA129" s="433">
        <f>P129</f>
        <v>0.96386853211149903</v>
      </c>
      <c r="AB129" s="433">
        <f t="shared" ref="AB129:AD130" si="165">AA129</f>
        <v>0.96386853211149903</v>
      </c>
      <c r="AC129" s="433">
        <f t="shared" si="165"/>
        <v>0.96386853211149903</v>
      </c>
      <c r="AD129" s="433">
        <f t="shared" si="165"/>
        <v>0.96386853211149903</v>
      </c>
      <c r="AE129" s="433">
        <f>T129</f>
        <v>0.77386853211149909</v>
      </c>
      <c r="AF129" s="433">
        <f>U129</f>
        <v>0.77386853211149909</v>
      </c>
    </row>
    <row r="130" spans="1:32" s="432" customFormat="1" ht="10.199999999999999">
      <c r="A130" s="431" t="s">
        <v>787</v>
      </c>
      <c r="B130" s="431" t="s">
        <v>788</v>
      </c>
      <c r="D130" s="433">
        <v>3.6131467888500968E-2</v>
      </c>
      <c r="E130" s="433">
        <v>3.6131467888500968E-2</v>
      </c>
      <c r="F130" s="433">
        <v>3.6131467888500968E-2</v>
      </c>
      <c r="G130" s="433">
        <v>3.6131467888500968E-2</v>
      </c>
      <c r="H130" s="433">
        <v>3.6131467888500968E-2</v>
      </c>
      <c r="I130" s="433">
        <v>3.6131467888500968E-2</v>
      </c>
      <c r="J130" s="433">
        <v>3.6131467888500968E-2</v>
      </c>
      <c r="K130" s="433">
        <v>3.6131467888500968E-2</v>
      </c>
      <c r="L130" s="433">
        <v>3.6131467888500968E-2</v>
      </c>
      <c r="M130" s="433">
        <v>3.6131467888500968E-2</v>
      </c>
      <c r="N130" s="433">
        <f t="shared" si="164"/>
        <v>3.6131467888500968E-2</v>
      </c>
      <c r="O130" s="433">
        <f t="shared" si="164"/>
        <v>3.6131467888500968E-2</v>
      </c>
      <c r="P130" s="433">
        <f t="shared" si="164"/>
        <v>3.6131467888500968E-2</v>
      </c>
      <c r="Q130" s="433">
        <f t="shared" si="164"/>
        <v>3.6131467888500968E-2</v>
      </c>
      <c r="R130" s="433">
        <f t="shared" si="164"/>
        <v>3.6131467888500968E-2</v>
      </c>
      <c r="S130" s="433">
        <f t="shared" si="164"/>
        <v>3.6131467888500968E-2</v>
      </c>
      <c r="T130" s="433">
        <v>0.19</v>
      </c>
      <c r="U130" s="433">
        <v>0.19</v>
      </c>
      <c r="W130" s="433">
        <f>L130</f>
        <v>3.6131467888500968E-2</v>
      </c>
      <c r="X130" s="433">
        <v>3.6131467888500968E-2</v>
      </c>
      <c r="Y130" s="433">
        <f>X130</f>
        <v>3.6131467888500968E-2</v>
      </c>
      <c r="Z130" s="433">
        <f>Y130</f>
        <v>3.6131467888500968E-2</v>
      </c>
      <c r="AA130" s="433">
        <f>P130</f>
        <v>3.6131467888500968E-2</v>
      </c>
      <c r="AB130" s="433">
        <f t="shared" si="165"/>
        <v>3.6131467888500968E-2</v>
      </c>
      <c r="AC130" s="433">
        <f t="shared" si="165"/>
        <v>3.6131467888500968E-2</v>
      </c>
      <c r="AD130" s="433">
        <f t="shared" si="165"/>
        <v>3.6131467888500968E-2</v>
      </c>
      <c r="AE130" s="433">
        <f>T130</f>
        <v>0.19</v>
      </c>
      <c r="AF130" s="433">
        <f>U130</f>
        <v>0.19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 tint="0.79998168889431442"/>
  </sheetPr>
  <dimension ref="A4:AF130"/>
  <sheetViews>
    <sheetView showGridLines="0" zoomScale="85" zoomScaleNormal="85" workbookViewId="0">
      <pane xSplit="2" ySplit="5" topLeftCell="V6" activePane="bottomRight" state="frozen"/>
      <selection pane="topRight" activeCell="C1" sqref="C1"/>
      <selection pane="bottomLeft" activeCell="A6" sqref="A6"/>
      <selection pane="bottomRight" activeCell="B96" sqref="B96"/>
    </sheetView>
  </sheetViews>
  <sheetFormatPr defaultRowHeight="14.4" outlineLevelRow="1"/>
  <cols>
    <col min="1" max="1" width="65.5546875" bestFit="1" customWidth="1"/>
    <col min="2" max="2" width="65.5546875" customWidth="1"/>
    <col min="3" max="3" width="1.5546875" customWidth="1"/>
    <col min="4" max="18" width="15.21875" customWidth="1"/>
    <col min="19" max="21" width="15.33203125" customWidth="1"/>
    <col min="22" max="22" width="1.5546875" customWidth="1"/>
    <col min="23" max="32" width="15.21875" customWidth="1"/>
  </cols>
  <sheetData>
    <row r="4" spans="1:32">
      <c r="A4" s="428" t="s">
        <v>814</v>
      </c>
      <c r="B4" s="428" t="s">
        <v>815</v>
      </c>
      <c r="D4" s="427" t="s">
        <v>584</v>
      </c>
      <c r="E4" s="427" t="s">
        <v>585</v>
      </c>
      <c r="F4" s="427" t="s">
        <v>586</v>
      </c>
      <c r="G4" s="427">
        <v>2022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T4" s="427" t="s">
        <v>2488</v>
      </c>
      <c r="U4" s="427" t="s">
        <v>2497</v>
      </c>
      <c r="W4" s="427" t="s">
        <v>83</v>
      </c>
      <c r="X4" s="427" t="s">
        <v>84</v>
      </c>
      <c r="Y4" s="427" t="s">
        <v>85</v>
      </c>
      <c r="Z4" s="427" t="s">
        <v>86</v>
      </c>
      <c r="AA4" s="427" t="s">
        <v>87</v>
      </c>
      <c r="AB4" s="427" t="s">
        <v>88</v>
      </c>
      <c r="AC4" s="427" t="s">
        <v>2074</v>
      </c>
      <c r="AD4" s="427" t="s">
        <v>2127</v>
      </c>
      <c r="AE4" s="427" t="s">
        <v>2360</v>
      </c>
      <c r="AF4" s="427" t="s">
        <v>2494</v>
      </c>
    </row>
    <row r="5" spans="1:32" ht="6.75" customHeight="1"/>
    <row r="6" spans="1:32">
      <c r="A6" s="429" t="s">
        <v>596</v>
      </c>
      <c r="B6" s="429" t="s">
        <v>597</v>
      </c>
      <c r="D6" s="420">
        <f t="shared" ref="D6:J6" si="0">SUM(D8,D11:D17)</f>
        <v>1918672</v>
      </c>
      <c r="E6" s="420">
        <f t="shared" si="0"/>
        <v>3441049</v>
      </c>
      <c r="F6" s="420">
        <f t="shared" si="0"/>
        <v>5160430</v>
      </c>
      <c r="G6" s="420">
        <f t="shared" si="0"/>
        <v>6851135</v>
      </c>
      <c r="H6" s="420">
        <f t="shared" si="0"/>
        <v>1811009</v>
      </c>
      <c r="I6" s="420">
        <f t="shared" si="0"/>
        <v>3434260</v>
      </c>
      <c r="J6" s="420">
        <f t="shared" si="0"/>
        <v>5111894</v>
      </c>
      <c r="K6" s="420">
        <f>SUM(K8,K11:K17)</f>
        <v>6810942</v>
      </c>
      <c r="L6" s="420">
        <f t="shared" ref="L6:T6" si="1">SUM(L8,L11:L17)</f>
        <v>1875792</v>
      </c>
      <c r="M6" s="420">
        <f t="shared" si="1"/>
        <v>3601077</v>
      </c>
      <c r="N6" s="420">
        <f t="shared" si="1"/>
        <v>5608081</v>
      </c>
      <c r="O6" s="420">
        <f t="shared" si="1"/>
        <v>7625944</v>
      </c>
      <c r="P6" s="420">
        <f t="shared" si="1"/>
        <v>2172309</v>
      </c>
      <c r="Q6" s="420">
        <f t="shared" si="1"/>
        <v>4212694</v>
      </c>
      <c r="R6" s="420">
        <f t="shared" si="1"/>
        <v>6500214</v>
      </c>
      <c r="S6" s="420">
        <f t="shared" si="1"/>
        <v>8831151</v>
      </c>
      <c r="T6" s="420">
        <f t="shared" si="1"/>
        <v>2574446</v>
      </c>
      <c r="U6" s="741">
        <f>SUM(U8,U11:U17)</f>
        <v>5227413</v>
      </c>
      <c r="W6" s="420">
        <f t="shared" ref="W6:AC6" si="2">SUM(W8,W11:W17)</f>
        <v>1875792</v>
      </c>
      <c r="X6" s="420">
        <f t="shared" si="2"/>
        <v>1725285</v>
      </c>
      <c r="Y6" s="420">
        <f t="shared" si="2"/>
        <v>2007004</v>
      </c>
      <c r="Z6" s="420">
        <f t="shared" si="2"/>
        <v>2017863</v>
      </c>
      <c r="AA6" s="420">
        <f t="shared" si="2"/>
        <v>2172309</v>
      </c>
      <c r="AB6" s="420">
        <f t="shared" si="2"/>
        <v>2040385</v>
      </c>
      <c r="AC6" s="420">
        <f t="shared" si="2"/>
        <v>2287520</v>
      </c>
      <c r="AD6" s="420">
        <f t="shared" ref="AD6:AE6" si="3">SUM(AD8,AD11:AD17)</f>
        <v>2330937</v>
      </c>
      <c r="AE6" s="420">
        <f t="shared" si="3"/>
        <v>2574446</v>
      </c>
      <c r="AF6" s="741">
        <f>SUM(AF8,AF11:AF17)</f>
        <v>2652967</v>
      </c>
    </row>
    <row r="7" spans="1:32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W7" s="421"/>
      <c r="X7" s="421"/>
      <c r="Y7" s="421"/>
      <c r="Z7" s="421"/>
      <c r="AA7" s="421"/>
      <c r="AB7" s="421"/>
      <c r="AC7" s="421"/>
      <c r="AD7" s="421"/>
      <c r="AE7" s="421"/>
      <c r="AF7" s="421"/>
    </row>
    <row r="8" spans="1:32">
      <c r="A8" s="417" t="s">
        <v>598</v>
      </c>
      <c r="B8" s="417" t="s">
        <v>599</v>
      </c>
      <c r="D8" s="422">
        <f t="shared" ref="D8:I8" si="4">SUM(D9:D10)</f>
        <v>1636479</v>
      </c>
      <c r="E8" s="422">
        <f t="shared" si="4"/>
        <v>2798490</v>
      </c>
      <c r="F8" s="422">
        <f t="shared" si="4"/>
        <v>3978435</v>
      </c>
      <c r="G8" s="422">
        <f t="shared" si="4"/>
        <v>5215021</v>
      </c>
      <c r="H8" s="422">
        <f t="shared" si="4"/>
        <v>1383209</v>
      </c>
      <c r="I8" s="422">
        <f t="shared" si="4"/>
        <v>2583254</v>
      </c>
      <c r="J8" s="422">
        <f t="shared" ref="J8:T8" si="5">SUM(J9:J10)</f>
        <v>3849292</v>
      </c>
      <c r="K8" s="422">
        <f t="shared" si="5"/>
        <v>5236498</v>
      </c>
      <c r="L8" s="422">
        <f t="shared" si="5"/>
        <v>1519337</v>
      </c>
      <c r="M8" s="422">
        <f t="shared" si="5"/>
        <v>2804629</v>
      </c>
      <c r="N8" s="422">
        <f t="shared" si="5"/>
        <v>4298913</v>
      </c>
      <c r="O8" s="422">
        <f t="shared" si="5"/>
        <v>5674677</v>
      </c>
      <c r="P8" s="422">
        <f t="shared" si="5"/>
        <v>1560615</v>
      </c>
      <c r="Q8" s="422">
        <f t="shared" si="5"/>
        <v>3015693</v>
      </c>
      <c r="R8" s="422">
        <f t="shared" si="5"/>
        <v>4656019</v>
      </c>
      <c r="S8" s="422">
        <f t="shared" si="5"/>
        <v>6301899</v>
      </c>
      <c r="T8" s="422">
        <f t="shared" si="5"/>
        <v>1908264</v>
      </c>
      <c r="U8" s="422">
        <f>SUM(U9:U10)</f>
        <v>3680339</v>
      </c>
      <c r="W8" s="422">
        <f t="shared" ref="W8:AC8" si="6">SUM(W9:W10)</f>
        <v>1519337</v>
      </c>
      <c r="X8" s="422">
        <f t="shared" si="6"/>
        <v>1285292</v>
      </c>
      <c r="Y8" s="422">
        <f t="shared" si="6"/>
        <v>1494284</v>
      </c>
      <c r="Z8" s="422">
        <f t="shared" si="6"/>
        <v>1375764</v>
      </c>
      <c r="AA8" s="422">
        <f t="shared" si="6"/>
        <v>1560615</v>
      </c>
      <c r="AB8" s="422">
        <f t="shared" si="6"/>
        <v>1455078</v>
      </c>
      <c r="AC8" s="422">
        <f t="shared" si="6"/>
        <v>1640326</v>
      </c>
      <c r="AD8" s="422">
        <f t="shared" ref="AD8:AE8" si="7">SUM(AD9:AD10)</f>
        <v>1645880</v>
      </c>
      <c r="AE8" s="422">
        <f t="shared" si="7"/>
        <v>1908264</v>
      </c>
      <c r="AF8" s="422">
        <f>SUM(AF9:AF10)</f>
        <v>1772075</v>
      </c>
    </row>
    <row r="9" spans="1:32" outlineLevel="1">
      <c r="A9" s="418" t="s">
        <v>598</v>
      </c>
      <c r="B9" s="418" t="s">
        <v>599</v>
      </c>
      <c r="D9" s="423">
        <v>1968812</v>
      </c>
      <c r="E9" s="423">
        <v>3175269</v>
      </c>
      <c r="F9" s="423">
        <v>4294212</v>
      </c>
      <c r="G9" s="423">
        <v>5456098</v>
      </c>
      <c r="H9" s="423">
        <v>1551993</v>
      </c>
      <c r="I9" s="423">
        <v>2709322</v>
      </c>
      <c r="J9" s="423">
        <v>3846463</v>
      </c>
      <c r="K9" s="423">
        <v>5083450</v>
      </c>
      <c r="L9" s="423">
        <v>1539812</v>
      </c>
      <c r="M9" s="423">
        <v>2656829</v>
      </c>
      <c r="N9" s="423">
        <v>3922795</v>
      </c>
      <c r="O9" s="423">
        <v>5244310</v>
      </c>
      <c r="P9" s="423">
        <v>1637902</v>
      </c>
      <c r="Q9" s="423">
        <v>2876505</v>
      </c>
      <c r="R9" s="423">
        <v>4196984</v>
      </c>
      <c r="S9" s="423">
        <v>5709094</v>
      </c>
      <c r="T9" s="423">
        <v>1944110</v>
      </c>
      <c r="U9" s="423">
        <v>3513827</v>
      </c>
      <c r="W9" s="423">
        <f>L9</f>
        <v>1539812</v>
      </c>
      <c r="X9" s="423">
        <f>M9-W9</f>
        <v>1117017</v>
      </c>
      <c r="Y9" s="423">
        <f t="shared" ref="Y9:Z16" si="8">N9-M9</f>
        <v>1265966</v>
      </c>
      <c r="Z9" s="423">
        <f t="shared" si="8"/>
        <v>1321515</v>
      </c>
      <c r="AA9" s="423">
        <f>P9</f>
        <v>1637902</v>
      </c>
      <c r="AB9" s="423">
        <f t="shared" ref="AB9:AD16" si="9">Q9-P9</f>
        <v>1238603</v>
      </c>
      <c r="AC9" s="423">
        <f t="shared" si="9"/>
        <v>1320479</v>
      </c>
      <c r="AD9" s="423">
        <f t="shared" si="9"/>
        <v>1512110</v>
      </c>
      <c r="AE9" s="423">
        <f>T9</f>
        <v>1944110</v>
      </c>
      <c r="AF9" s="423">
        <f t="shared" ref="AF9:AF16" si="10">U9-T9</f>
        <v>1569717</v>
      </c>
    </row>
    <row r="10" spans="1:32" outlineLevel="1">
      <c r="A10" s="418" t="s">
        <v>600</v>
      </c>
      <c r="B10" s="418" t="s">
        <v>601</v>
      </c>
      <c r="D10" s="423">
        <v>-332333</v>
      </c>
      <c r="E10" s="423">
        <v>-376779</v>
      </c>
      <c r="F10" s="423">
        <v>-315777</v>
      </c>
      <c r="G10" s="423">
        <v>-241077</v>
      </c>
      <c r="H10" s="423">
        <v>-168784</v>
      </c>
      <c r="I10" s="423">
        <v>-126068</v>
      </c>
      <c r="J10" s="423">
        <v>2829</v>
      </c>
      <c r="K10" s="423">
        <v>153048</v>
      </c>
      <c r="L10" s="423">
        <v>-20475</v>
      </c>
      <c r="M10" s="423">
        <v>147800</v>
      </c>
      <c r="N10" s="423">
        <v>376118</v>
      </c>
      <c r="O10" s="423">
        <v>430367</v>
      </c>
      <c r="P10" s="423">
        <v>-77287</v>
      </c>
      <c r="Q10" s="423">
        <v>139188</v>
      </c>
      <c r="R10" s="423">
        <v>459035</v>
      </c>
      <c r="S10" s="423">
        <v>592805</v>
      </c>
      <c r="T10" s="423">
        <v>-35846</v>
      </c>
      <c r="U10" s="423">
        <v>166512</v>
      </c>
      <c r="W10" s="423">
        <f t="shared" ref="W10:W25" si="11">L10</f>
        <v>-20475</v>
      </c>
      <c r="X10" s="423">
        <f t="shared" ref="X10:X16" si="12">M10-W10</f>
        <v>168275</v>
      </c>
      <c r="Y10" s="423">
        <f t="shared" si="8"/>
        <v>228318</v>
      </c>
      <c r="Z10" s="423">
        <f t="shared" si="8"/>
        <v>54249</v>
      </c>
      <c r="AA10" s="423">
        <f t="shared" ref="AA10:AA25" si="13">P10</f>
        <v>-77287</v>
      </c>
      <c r="AB10" s="423">
        <f t="shared" si="9"/>
        <v>216475</v>
      </c>
      <c r="AC10" s="423">
        <f t="shared" si="9"/>
        <v>319847</v>
      </c>
      <c r="AD10" s="423">
        <f t="shared" si="9"/>
        <v>133770</v>
      </c>
      <c r="AE10" s="423">
        <f t="shared" ref="AE10:AE25" si="14">T10</f>
        <v>-35846</v>
      </c>
      <c r="AF10" s="423">
        <f t="shared" si="10"/>
        <v>202358</v>
      </c>
    </row>
    <row r="11" spans="1:32">
      <c r="A11" s="417" t="s">
        <v>602</v>
      </c>
      <c r="B11" s="417" t="s">
        <v>603</v>
      </c>
      <c r="D11" s="422">
        <v>23908</v>
      </c>
      <c r="E11" s="422">
        <v>86997</v>
      </c>
      <c r="F11" s="422">
        <v>142620</v>
      </c>
      <c r="G11" s="422">
        <v>194913</v>
      </c>
      <c r="H11" s="422">
        <v>20288</v>
      </c>
      <c r="I11" s="422">
        <v>61521</v>
      </c>
      <c r="J11" s="422">
        <v>109174</v>
      </c>
      <c r="K11" s="422">
        <v>150700</v>
      </c>
      <c r="L11" s="422">
        <v>9725</v>
      </c>
      <c r="M11" s="422">
        <v>35685</v>
      </c>
      <c r="N11" s="422">
        <v>116500</v>
      </c>
      <c r="O11" s="422">
        <v>187133</v>
      </c>
      <c r="P11" s="422">
        <v>23168</v>
      </c>
      <c r="Q11" s="422">
        <v>44679</v>
      </c>
      <c r="R11" s="422">
        <v>77814</v>
      </c>
      <c r="S11" s="422">
        <v>184534</v>
      </c>
      <c r="T11" s="422">
        <v>57794</v>
      </c>
      <c r="U11" s="422">
        <v>26144</v>
      </c>
      <c r="W11" s="422">
        <f t="shared" si="11"/>
        <v>9725</v>
      </c>
      <c r="X11" s="422">
        <f t="shared" si="12"/>
        <v>25960</v>
      </c>
      <c r="Y11" s="422">
        <f t="shared" si="8"/>
        <v>80815</v>
      </c>
      <c r="Z11" s="422">
        <f t="shared" si="8"/>
        <v>70633</v>
      </c>
      <c r="AA11" s="422">
        <f>P11</f>
        <v>23168</v>
      </c>
      <c r="AB11" s="422">
        <f t="shared" si="9"/>
        <v>21511</v>
      </c>
      <c r="AC11" s="422">
        <f t="shared" si="9"/>
        <v>33135</v>
      </c>
      <c r="AD11" s="422">
        <f t="shared" si="9"/>
        <v>106720</v>
      </c>
      <c r="AE11" s="422">
        <f>T11</f>
        <v>57794</v>
      </c>
      <c r="AF11" s="422">
        <f t="shared" si="10"/>
        <v>-31650</v>
      </c>
    </row>
    <row r="12" spans="1:32">
      <c r="A12" s="417" t="s">
        <v>604</v>
      </c>
      <c r="B12" s="417" t="s">
        <v>605</v>
      </c>
      <c r="D12" s="422">
        <v>0</v>
      </c>
      <c r="E12" s="422">
        <v>0</v>
      </c>
      <c r="F12" s="422">
        <v>0</v>
      </c>
      <c r="G12" s="422">
        <v>0</v>
      </c>
      <c r="H12" s="422">
        <v>0</v>
      </c>
      <c r="I12" s="422">
        <v>0</v>
      </c>
      <c r="J12" s="422">
        <v>0</v>
      </c>
      <c r="K12" s="422">
        <v>0</v>
      </c>
      <c r="L12" s="422">
        <v>0</v>
      </c>
      <c r="M12" s="422">
        <v>0</v>
      </c>
      <c r="N12" s="422">
        <v>0</v>
      </c>
      <c r="O12" s="422">
        <v>0</v>
      </c>
      <c r="P12" s="422">
        <v>0</v>
      </c>
      <c r="Q12" s="422">
        <v>0</v>
      </c>
      <c r="R12" s="422">
        <v>0</v>
      </c>
      <c r="S12" s="422">
        <v>0</v>
      </c>
      <c r="T12" s="422">
        <v>0</v>
      </c>
      <c r="U12" s="422">
        <v>0</v>
      </c>
      <c r="W12" s="422">
        <f t="shared" si="11"/>
        <v>0</v>
      </c>
      <c r="X12" s="422">
        <f t="shared" si="12"/>
        <v>0</v>
      </c>
      <c r="Y12" s="422">
        <f t="shared" si="8"/>
        <v>0</v>
      </c>
      <c r="Z12" s="422">
        <f t="shared" si="8"/>
        <v>0</v>
      </c>
      <c r="AA12" s="422">
        <f t="shared" si="13"/>
        <v>0</v>
      </c>
      <c r="AB12" s="422">
        <f t="shared" si="9"/>
        <v>0</v>
      </c>
      <c r="AC12" s="422">
        <f t="shared" si="9"/>
        <v>0</v>
      </c>
      <c r="AD12" s="422">
        <f t="shared" si="9"/>
        <v>0</v>
      </c>
      <c r="AE12" s="422">
        <f t="shared" si="14"/>
        <v>0</v>
      </c>
      <c r="AF12" s="422">
        <f t="shared" si="10"/>
        <v>0</v>
      </c>
    </row>
    <row r="13" spans="1:32">
      <c r="A13" s="417" t="s">
        <v>606</v>
      </c>
      <c r="B13" s="417" t="s">
        <v>607</v>
      </c>
      <c r="D13" s="422">
        <v>69161</v>
      </c>
      <c r="E13" s="422">
        <v>165325</v>
      </c>
      <c r="F13" s="422">
        <v>494038</v>
      </c>
      <c r="G13" s="422">
        <v>750927</v>
      </c>
      <c r="H13" s="422">
        <v>207767</v>
      </c>
      <c r="I13" s="422">
        <v>418023</v>
      </c>
      <c r="J13" s="422">
        <v>593091</v>
      </c>
      <c r="K13" s="422">
        <v>630471</v>
      </c>
      <c r="L13" s="422">
        <v>126809</v>
      </c>
      <c r="M13" s="422">
        <v>339892</v>
      </c>
      <c r="N13" s="422">
        <v>565002</v>
      </c>
      <c r="O13" s="422">
        <v>919212</v>
      </c>
      <c r="P13" s="422">
        <v>308194</v>
      </c>
      <c r="Q13" s="422">
        <v>610502</v>
      </c>
      <c r="R13" s="422">
        <v>996478</v>
      </c>
      <c r="S13" s="422">
        <v>1331598</v>
      </c>
      <c r="T13" s="422">
        <v>308024</v>
      </c>
      <c r="U13" s="422">
        <v>589774</v>
      </c>
      <c r="W13" s="422">
        <f t="shared" si="11"/>
        <v>126809</v>
      </c>
      <c r="X13" s="422">
        <f t="shared" si="12"/>
        <v>213083</v>
      </c>
      <c r="Y13" s="422">
        <f t="shared" si="8"/>
        <v>225110</v>
      </c>
      <c r="Z13" s="422">
        <f t="shared" si="8"/>
        <v>354210</v>
      </c>
      <c r="AA13" s="422">
        <f t="shared" si="13"/>
        <v>308194</v>
      </c>
      <c r="AB13" s="422">
        <f t="shared" si="9"/>
        <v>302308</v>
      </c>
      <c r="AC13" s="422">
        <f t="shared" si="9"/>
        <v>385976</v>
      </c>
      <c r="AD13" s="422">
        <f t="shared" si="9"/>
        <v>335120</v>
      </c>
      <c r="AE13" s="422">
        <f t="shared" si="14"/>
        <v>308024</v>
      </c>
      <c r="AF13" s="422">
        <f t="shared" si="10"/>
        <v>281750</v>
      </c>
    </row>
    <row r="14" spans="1:32">
      <c r="A14" s="417" t="s">
        <v>608</v>
      </c>
      <c r="B14" s="417" t="s">
        <v>609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>
        <v>0</v>
      </c>
      <c r="T14" s="422">
        <v>0</v>
      </c>
      <c r="U14" s="422">
        <v>0</v>
      </c>
      <c r="W14" s="422">
        <f t="shared" si="11"/>
        <v>0</v>
      </c>
      <c r="X14" s="422">
        <f t="shared" si="12"/>
        <v>0</v>
      </c>
      <c r="Y14" s="422">
        <f t="shared" si="8"/>
        <v>0</v>
      </c>
      <c r="Z14" s="422">
        <f t="shared" si="8"/>
        <v>0</v>
      </c>
      <c r="AA14" s="422">
        <f t="shared" si="13"/>
        <v>0</v>
      </c>
      <c r="AB14" s="422">
        <f t="shared" si="9"/>
        <v>0</v>
      </c>
      <c r="AC14" s="422">
        <f t="shared" si="9"/>
        <v>0</v>
      </c>
      <c r="AD14" s="422">
        <f t="shared" si="9"/>
        <v>0</v>
      </c>
      <c r="AE14" s="422">
        <f t="shared" si="14"/>
        <v>0</v>
      </c>
      <c r="AF14" s="422">
        <f t="shared" si="10"/>
        <v>0</v>
      </c>
    </row>
    <row r="15" spans="1:32">
      <c r="A15" s="417" t="s">
        <v>610</v>
      </c>
      <c r="B15" s="417" t="s">
        <v>611</v>
      </c>
      <c r="D15" s="422">
        <v>0</v>
      </c>
      <c r="E15" s="422">
        <v>0</v>
      </c>
      <c r="F15" s="422">
        <v>0</v>
      </c>
      <c r="G15" s="422">
        <v>0</v>
      </c>
      <c r="H15" s="422">
        <v>0</v>
      </c>
      <c r="I15" s="422">
        <v>0</v>
      </c>
      <c r="J15" s="422">
        <v>0</v>
      </c>
      <c r="K15" s="422">
        <v>0</v>
      </c>
      <c r="L15" s="422">
        <v>0</v>
      </c>
      <c r="M15" s="422">
        <v>0</v>
      </c>
      <c r="N15" s="422">
        <v>0</v>
      </c>
      <c r="O15" s="422">
        <v>0</v>
      </c>
      <c r="P15" s="422">
        <v>0</v>
      </c>
      <c r="Q15" s="422">
        <v>0</v>
      </c>
      <c r="R15" s="422">
        <v>0</v>
      </c>
      <c r="S15" s="422">
        <v>0</v>
      </c>
      <c r="T15" s="422">
        <v>0</v>
      </c>
      <c r="U15" s="422">
        <v>0</v>
      </c>
      <c r="W15" s="422">
        <f t="shared" si="11"/>
        <v>0</v>
      </c>
      <c r="X15" s="422">
        <f t="shared" si="12"/>
        <v>0</v>
      </c>
      <c r="Y15" s="422">
        <f t="shared" si="8"/>
        <v>0</v>
      </c>
      <c r="Z15" s="422">
        <f t="shared" si="8"/>
        <v>0</v>
      </c>
      <c r="AA15" s="422">
        <f t="shared" si="13"/>
        <v>0</v>
      </c>
      <c r="AB15" s="422">
        <f t="shared" si="9"/>
        <v>0</v>
      </c>
      <c r="AC15" s="422">
        <f t="shared" si="9"/>
        <v>0</v>
      </c>
      <c r="AD15" s="422">
        <f t="shared" si="9"/>
        <v>0</v>
      </c>
      <c r="AE15" s="422">
        <f t="shared" si="14"/>
        <v>0</v>
      </c>
      <c r="AF15" s="422">
        <f t="shared" si="10"/>
        <v>0</v>
      </c>
    </row>
    <row r="16" spans="1:32">
      <c r="A16" s="417" t="s">
        <v>612</v>
      </c>
      <c r="B16" s="417" t="s">
        <v>613</v>
      </c>
      <c r="D16" s="422">
        <v>0</v>
      </c>
      <c r="E16" s="422">
        <v>0</v>
      </c>
      <c r="F16" s="422">
        <v>0</v>
      </c>
      <c r="G16" s="422">
        <v>0</v>
      </c>
      <c r="H16" s="422">
        <v>0</v>
      </c>
      <c r="I16" s="422">
        <v>0</v>
      </c>
      <c r="J16" s="422">
        <v>0</v>
      </c>
      <c r="K16" s="422">
        <v>0</v>
      </c>
      <c r="L16" s="422">
        <v>0</v>
      </c>
      <c r="M16" s="422">
        <v>0</v>
      </c>
      <c r="N16" s="422">
        <v>0</v>
      </c>
      <c r="O16" s="422">
        <v>0</v>
      </c>
      <c r="P16" s="422">
        <v>0</v>
      </c>
      <c r="Q16" s="422">
        <v>0</v>
      </c>
      <c r="R16" s="422">
        <v>0</v>
      </c>
      <c r="S16" s="422">
        <v>0</v>
      </c>
      <c r="T16" s="422">
        <v>0</v>
      </c>
      <c r="U16" s="422">
        <v>0</v>
      </c>
      <c r="W16" s="422">
        <f t="shared" si="11"/>
        <v>0</v>
      </c>
      <c r="X16" s="422">
        <f t="shared" si="12"/>
        <v>0</v>
      </c>
      <c r="Y16" s="422">
        <f t="shared" si="8"/>
        <v>0</v>
      </c>
      <c r="Z16" s="422">
        <f t="shared" si="8"/>
        <v>0</v>
      </c>
      <c r="AA16" s="422">
        <f t="shared" si="13"/>
        <v>0</v>
      </c>
      <c r="AB16" s="422">
        <f t="shared" si="9"/>
        <v>0</v>
      </c>
      <c r="AC16" s="422">
        <f t="shared" si="9"/>
        <v>0</v>
      </c>
      <c r="AD16" s="422">
        <f t="shared" si="9"/>
        <v>0</v>
      </c>
      <c r="AE16" s="422">
        <f t="shared" si="14"/>
        <v>0</v>
      </c>
      <c r="AF16" s="422">
        <f t="shared" si="10"/>
        <v>0</v>
      </c>
    </row>
    <row r="17" spans="1:32">
      <c r="A17" s="417" t="s">
        <v>614</v>
      </c>
      <c r="B17" s="417" t="s">
        <v>615</v>
      </c>
      <c r="D17" s="422">
        <f t="shared" ref="D17:I17" si="15">SUM(D18:D25)</f>
        <v>189124</v>
      </c>
      <c r="E17" s="422">
        <f t="shared" si="15"/>
        <v>390237</v>
      </c>
      <c r="F17" s="422">
        <f t="shared" si="15"/>
        <v>545337</v>
      </c>
      <c r="G17" s="422">
        <f t="shared" si="15"/>
        <v>690274</v>
      </c>
      <c r="H17" s="422">
        <f t="shared" si="15"/>
        <v>199745</v>
      </c>
      <c r="I17" s="422">
        <f t="shared" si="15"/>
        <v>371462</v>
      </c>
      <c r="J17" s="422">
        <f t="shared" ref="J17:T17" si="16">SUM(J18:J25)</f>
        <v>560337</v>
      </c>
      <c r="K17" s="422">
        <f t="shared" si="16"/>
        <v>793273</v>
      </c>
      <c r="L17" s="422">
        <f t="shared" si="16"/>
        <v>219921</v>
      </c>
      <c r="M17" s="422">
        <f t="shared" si="16"/>
        <v>420871</v>
      </c>
      <c r="N17" s="422">
        <f t="shared" si="16"/>
        <v>627666</v>
      </c>
      <c r="O17" s="422">
        <f t="shared" si="16"/>
        <v>844922</v>
      </c>
      <c r="P17" s="422">
        <f t="shared" si="16"/>
        <v>280332</v>
      </c>
      <c r="Q17" s="422">
        <f t="shared" si="16"/>
        <v>541820</v>
      </c>
      <c r="R17" s="422">
        <f t="shared" si="16"/>
        <v>769903</v>
      </c>
      <c r="S17" s="422">
        <f t="shared" si="16"/>
        <v>1013120</v>
      </c>
      <c r="T17" s="422">
        <f t="shared" si="16"/>
        <v>300364</v>
      </c>
      <c r="U17" s="422">
        <f>SUM(U18:U25)</f>
        <v>931156</v>
      </c>
      <c r="W17" s="422">
        <f t="shared" ref="W17:AC17" si="17">SUM(W18:W25)</f>
        <v>219921</v>
      </c>
      <c r="X17" s="422">
        <f t="shared" si="17"/>
        <v>200950</v>
      </c>
      <c r="Y17" s="422">
        <f t="shared" si="17"/>
        <v>206795</v>
      </c>
      <c r="Z17" s="422">
        <f t="shared" si="17"/>
        <v>217256</v>
      </c>
      <c r="AA17" s="422">
        <f t="shared" si="17"/>
        <v>280332</v>
      </c>
      <c r="AB17" s="422">
        <f t="shared" si="17"/>
        <v>261488</v>
      </c>
      <c r="AC17" s="422">
        <f t="shared" si="17"/>
        <v>228083</v>
      </c>
      <c r="AD17" s="422">
        <f t="shared" ref="AD17:AE17" si="18">SUM(AD18:AD25)</f>
        <v>243217</v>
      </c>
      <c r="AE17" s="422">
        <f t="shared" si="18"/>
        <v>300364</v>
      </c>
      <c r="AF17" s="422">
        <f>SUM(AF18:AF25)</f>
        <v>630792</v>
      </c>
    </row>
    <row r="18" spans="1:32" outlineLevel="1">
      <c r="A18" s="418" t="s">
        <v>616</v>
      </c>
      <c r="B18" s="418" t="s">
        <v>617</v>
      </c>
      <c r="D18" s="423">
        <v>127752</v>
      </c>
      <c r="E18" s="423">
        <v>251933</v>
      </c>
      <c r="F18" s="423">
        <v>363643</v>
      </c>
      <c r="G18" s="423">
        <v>456205</v>
      </c>
      <c r="H18" s="423">
        <v>127195</v>
      </c>
      <c r="I18" s="423">
        <v>261618</v>
      </c>
      <c r="J18" s="423">
        <v>405364</v>
      </c>
      <c r="K18" s="423">
        <v>551203</v>
      </c>
      <c r="L18" s="423">
        <v>151653</v>
      </c>
      <c r="M18" s="423">
        <v>309627</v>
      </c>
      <c r="N18" s="423">
        <v>459186</v>
      </c>
      <c r="O18" s="423">
        <v>617416</v>
      </c>
      <c r="P18" s="423">
        <v>193353</v>
      </c>
      <c r="Q18" s="423">
        <v>403155</v>
      </c>
      <c r="R18" s="423">
        <v>584525</v>
      </c>
      <c r="S18" s="423">
        <v>783737</v>
      </c>
      <c r="T18" s="423">
        <v>237054</v>
      </c>
      <c r="U18" s="423">
        <v>439776</v>
      </c>
      <c r="W18" s="423">
        <f t="shared" si="11"/>
        <v>151653</v>
      </c>
      <c r="X18" s="423">
        <f t="shared" ref="X18:X25" si="19">M18-W18</f>
        <v>157974</v>
      </c>
      <c r="Y18" s="423">
        <f t="shared" ref="Y18:Z25" si="20">N18-M18</f>
        <v>149559</v>
      </c>
      <c r="Z18" s="423">
        <f t="shared" si="20"/>
        <v>158230</v>
      </c>
      <c r="AA18" s="423">
        <f t="shared" si="13"/>
        <v>193353</v>
      </c>
      <c r="AB18" s="423">
        <f t="shared" ref="AB18:AD25" si="21">Q18-P18</f>
        <v>209802</v>
      </c>
      <c r="AC18" s="423">
        <f t="shared" si="21"/>
        <v>181370</v>
      </c>
      <c r="AD18" s="423">
        <f t="shared" si="21"/>
        <v>199212</v>
      </c>
      <c r="AE18" s="423">
        <f t="shared" si="14"/>
        <v>237054</v>
      </c>
      <c r="AF18" s="423">
        <f t="shared" ref="AF18:AF25" si="22">U18-T18</f>
        <v>202722</v>
      </c>
    </row>
    <row r="19" spans="1:32" outlineLevel="1">
      <c r="A19" s="418" t="s">
        <v>618</v>
      </c>
      <c r="B19" s="418" t="s">
        <v>619</v>
      </c>
      <c r="D19" s="423">
        <v>7033</v>
      </c>
      <c r="E19" s="423">
        <v>28521</v>
      </c>
      <c r="F19" s="423">
        <v>26603</v>
      </c>
      <c r="G19" s="423">
        <v>31724</v>
      </c>
      <c r="H19" s="423">
        <v>14650</v>
      </c>
      <c r="I19" s="423">
        <v>10023</v>
      </c>
      <c r="J19" s="423">
        <v>13966</v>
      </c>
      <c r="K19" s="423">
        <v>24796</v>
      </c>
      <c r="L19" s="423">
        <v>10266</v>
      </c>
      <c r="M19" s="423">
        <v>14243</v>
      </c>
      <c r="N19" s="423">
        <v>24733</v>
      </c>
      <c r="O19" s="423">
        <v>29630</v>
      </c>
      <c r="P19" s="423">
        <v>38097</v>
      </c>
      <c r="Q19" s="423">
        <v>46863</v>
      </c>
      <c r="R19" s="423">
        <v>53404</v>
      </c>
      <c r="S19" s="423">
        <v>59004</v>
      </c>
      <c r="T19" s="423">
        <v>15736</v>
      </c>
      <c r="U19" s="423">
        <v>39283</v>
      </c>
      <c r="W19" s="423">
        <f t="shared" si="11"/>
        <v>10266</v>
      </c>
      <c r="X19" s="423">
        <f t="shared" si="19"/>
        <v>3977</v>
      </c>
      <c r="Y19" s="423">
        <f t="shared" si="20"/>
        <v>10490</v>
      </c>
      <c r="Z19" s="423">
        <f t="shared" si="20"/>
        <v>4897</v>
      </c>
      <c r="AA19" s="423">
        <f t="shared" si="13"/>
        <v>38097</v>
      </c>
      <c r="AB19" s="423">
        <f t="shared" si="21"/>
        <v>8766</v>
      </c>
      <c r="AC19" s="423">
        <f t="shared" si="21"/>
        <v>6541</v>
      </c>
      <c r="AD19" s="423">
        <f t="shared" si="21"/>
        <v>5600</v>
      </c>
      <c r="AE19" s="423">
        <f t="shared" si="14"/>
        <v>15736</v>
      </c>
      <c r="AF19" s="423">
        <f t="shared" si="22"/>
        <v>23547</v>
      </c>
    </row>
    <row r="20" spans="1:32" outlineLevel="1">
      <c r="A20" s="418" t="s">
        <v>620</v>
      </c>
      <c r="B20" s="418" t="s">
        <v>621</v>
      </c>
      <c r="D20" s="423">
        <v>0</v>
      </c>
      <c r="E20" s="423">
        <v>0</v>
      </c>
      <c r="F20" s="423">
        <v>0</v>
      </c>
      <c r="G20" s="423">
        <v>0</v>
      </c>
      <c r="H20" s="423">
        <v>0</v>
      </c>
      <c r="I20" s="423">
        <v>0</v>
      </c>
      <c r="J20" s="423">
        <v>0</v>
      </c>
      <c r="K20" s="423">
        <v>0</v>
      </c>
      <c r="L20" s="423">
        <v>0</v>
      </c>
      <c r="M20" s="423">
        <v>0</v>
      </c>
      <c r="N20" s="423">
        <v>0</v>
      </c>
      <c r="O20" s="423">
        <v>0</v>
      </c>
      <c r="P20" s="423">
        <v>0</v>
      </c>
      <c r="Q20" s="423">
        <v>0</v>
      </c>
      <c r="R20" s="423">
        <v>0</v>
      </c>
      <c r="S20" s="423">
        <v>0</v>
      </c>
      <c r="T20" s="423">
        <v>0</v>
      </c>
      <c r="U20" s="423">
        <v>0</v>
      </c>
      <c r="W20" s="423">
        <f t="shared" si="11"/>
        <v>0</v>
      </c>
      <c r="X20" s="423">
        <f t="shared" si="19"/>
        <v>0</v>
      </c>
      <c r="Y20" s="423">
        <f t="shared" si="20"/>
        <v>0</v>
      </c>
      <c r="Z20" s="423">
        <f t="shared" si="20"/>
        <v>0</v>
      </c>
      <c r="AA20" s="423">
        <f t="shared" si="13"/>
        <v>0</v>
      </c>
      <c r="AB20" s="423">
        <f t="shared" si="21"/>
        <v>0</v>
      </c>
      <c r="AC20" s="423">
        <f t="shared" si="21"/>
        <v>0</v>
      </c>
      <c r="AD20" s="423">
        <f t="shared" si="21"/>
        <v>0</v>
      </c>
      <c r="AE20" s="423">
        <f t="shared" si="14"/>
        <v>0</v>
      </c>
      <c r="AF20" s="423">
        <f t="shared" si="22"/>
        <v>0</v>
      </c>
    </row>
    <row r="21" spans="1:32" outlineLevel="1">
      <c r="A21" s="418" t="s">
        <v>622</v>
      </c>
      <c r="B21" s="418" t="s">
        <v>623</v>
      </c>
      <c r="D21" s="423">
        <v>0</v>
      </c>
      <c r="E21" s="423">
        <v>0</v>
      </c>
      <c r="F21" s="423">
        <v>0</v>
      </c>
      <c r="G21" s="423">
        <v>0</v>
      </c>
      <c r="H21" s="423">
        <v>0</v>
      </c>
      <c r="I21" s="423">
        <v>0</v>
      </c>
      <c r="J21" s="423">
        <v>0</v>
      </c>
      <c r="K21" s="423">
        <v>0</v>
      </c>
      <c r="L21" s="423">
        <v>0</v>
      </c>
      <c r="M21" s="423">
        <v>0</v>
      </c>
      <c r="N21" s="423">
        <v>0</v>
      </c>
      <c r="O21" s="423">
        <v>0</v>
      </c>
      <c r="P21" s="423">
        <v>0</v>
      </c>
      <c r="Q21" s="423">
        <v>0</v>
      </c>
      <c r="R21" s="423">
        <v>0</v>
      </c>
      <c r="S21" s="423">
        <v>0</v>
      </c>
      <c r="T21" s="423">
        <v>0</v>
      </c>
      <c r="U21" s="423">
        <v>0</v>
      </c>
      <c r="W21" s="423">
        <f t="shared" si="11"/>
        <v>0</v>
      </c>
      <c r="X21" s="423">
        <f t="shared" si="19"/>
        <v>0</v>
      </c>
      <c r="Y21" s="423">
        <f t="shared" si="20"/>
        <v>0</v>
      </c>
      <c r="Z21" s="423">
        <f t="shared" si="20"/>
        <v>0</v>
      </c>
      <c r="AA21" s="423">
        <f t="shared" si="13"/>
        <v>0</v>
      </c>
      <c r="AB21" s="423">
        <f t="shared" si="21"/>
        <v>0</v>
      </c>
      <c r="AC21" s="423">
        <f t="shared" si="21"/>
        <v>0</v>
      </c>
      <c r="AD21" s="423">
        <f t="shared" si="21"/>
        <v>0</v>
      </c>
      <c r="AE21" s="423">
        <f t="shared" si="14"/>
        <v>0</v>
      </c>
      <c r="AF21" s="423">
        <f t="shared" si="22"/>
        <v>0</v>
      </c>
    </row>
    <row r="22" spans="1:32" outlineLevel="1">
      <c r="A22" s="418" t="s">
        <v>624</v>
      </c>
      <c r="B22" s="418" t="s">
        <v>625</v>
      </c>
      <c r="D22" s="423">
        <v>0</v>
      </c>
      <c r="E22" s="423">
        <v>0</v>
      </c>
      <c r="F22" s="423">
        <v>0</v>
      </c>
      <c r="G22" s="423">
        <v>0</v>
      </c>
      <c r="H22" s="423">
        <v>0</v>
      </c>
      <c r="I22" s="423">
        <v>0</v>
      </c>
      <c r="J22" s="423">
        <v>0</v>
      </c>
      <c r="K22" s="423">
        <v>0</v>
      </c>
      <c r="L22" s="423">
        <v>0</v>
      </c>
      <c r="M22" s="423">
        <v>0</v>
      </c>
      <c r="N22" s="423">
        <v>0</v>
      </c>
      <c r="O22" s="423">
        <v>0</v>
      </c>
      <c r="P22" s="423">
        <v>0</v>
      </c>
      <c r="Q22" s="423">
        <v>0</v>
      </c>
      <c r="R22" s="423">
        <v>0</v>
      </c>
      <c r="S22" s="423">
        <v>0</v>
      </c>
      <c r="T22" s="423">
        <v>0</v>
      </c>
      <c r="U22" s="423">
        <v>0</v>
      </c>
      <c r="W22" s="423">
        <f t="shared" si="11"/>
        <v>0</v>
      </c>
      <c r="X22" s="423">
        <f t="shared" si="19"/>
        <v>0</v>
      </c>
      <c r="Y22" s="423">
        <f t="shared" si="20"/>
        <v>0</v>
      </c>
      <c r="Z22" s="423">
        <f t="shared" si="20"/>
        <v>0</v>
      </c>
      <c r="AA22" s="423">
        <f t="shared" si="13"/>
        <v>0</v>
      </c>
      <c r="AB22" s="423">
        <f t="shared" si="21"/>
        <v>0</v>
      </c>
      <c r="AC22" s="423">
        <f t="shared" si="21"/>
        <v>0</v>
      </c>
      <c r="AD22" s="423">
        <f t="shared" si="21"/>
        <v>0</v>
      </c>
      <c r="AE22" s="423">
        <f t="shared" si="14"/>
        <v>0</v>
      </c>
      <c r="AF22" s="423">
        <f t="shared" si="22"/>
        <v>0</v>
      </c>
    </row>
    <row r="23" spans="1:32" outlineLevel="1">
      <c r="A23" s="418" t="s">
        <v>626</v>
      </c>
      <c r="B23" s="418" t="s">
        <v>811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0</v>
      </c>
      <c r="T23" s="423">
        <v>0</v>
      </c>
      <c r="U23" s="423">
        <v>0</v>
      </c>
      <c r="W23" s="423">
        <f t="shared" si="11"/>
        <v>0</v>
      </c>
      <c r="X23" s="423">
        <f t="shared" si="19"/>
        <v>0</v>
      </c>
      <c r="Y23" s="423">
        <f t="shared" si="20"/>
        <v>0</v>
      </c>
      <c r="Z23" s="423">
        <f t="shared" si="20"/>
        <v>0</v>
      </c>
      <c r="AA23" s="423">
        <f t="shared" si="13"/>
        <v>0</v>
      </c>
      <c r="AB23" s="423">
        <f t="shared" si="21"/>
        <v>0</v>
      </c>
      <c r="AC23" s="423">
        <f t="shared" si="21"/>
        <v>0</v>
      </c>
      <c r="AD23" s="423">
        <f t="shared" si="21"/>
        <v>0</v>
      </c>
      <c r="AE23" s="423">
        <f t="shared" si="14"/>
        <v>0</v>
      </c>
      <c r="AF23" s="423">
        <f t="shared" si="22"/>
        <v>0</v>
      </c>
    </row>
    <row r="24" spans="1:32" outlineLevel="1">
      <c r="A24" s="418" t="s">
        <v>628</v>
      </c>
      <c r="B24" s="418" t="s">
        <v>629</v>
      </c>
      <c r="D24" s="423">
        <v>0</v>
      </c>
      <c r="E24" s="423">
        <v>0</v>
      </c>
      <c r="F24" s="423">
        <v>0</v>
      </c>
      <c r="G24" s="423">
        <v>0</v>
      </c>
      <c r="H24" s="423">
        <v>0</v>
      </c>
      <c r="I24" s="423">
        <v>0</v>
      </c>
      <c r="J24" s="423">
        <v>0</v>
      </c>
      <c r="K24" s="423">
        <v>0</v>
      </c>
      <c r="L24" s="423">
        <v>0</v>
      </c>
      <c r="M24" s="423">
        <v>0</v>
      </c>
      <c r="N24" s="423">
        <v>0</v>
      </c>
      <c r="O24" s="423">
        <v>0</v>
      </c>
      <c r="P24" s="423">
        <v>0</v>
      </c>
      <c r="Q24" s="423">
        <v>0</v>
      </c>
      <c r="R24" s="423">
        <v>0</v>
      </c>
      <c r="S24" s="423">
        <v>0</v>
      </c>
      <c r="T24" s="423">
        <v>0</v>
      </c>
      <c r="U24" s="423">
        <v>0</v>
      </c>
      <c r="W24" s="423">
        <f t="shared" si="11"/>
        <v>0</v>
      </c>
      <c r="X24" s="423">
        <f t="shared" si="19"/>
        <v>0</v>
      </c>
      <c r="Y24" s="423">
        <f t="shared" si="20"/>
        <v>0</v>
      </c>
      <c r="Z24" s="423">
        <f t="shared" si="20"/>
        <v>0</v>
      </c>
      <c r="AA24" s="423">
        <f t="shared" si="13"/>
        <v>0</v>
      </c>
      <c r="AB24" s="423">
        <f t="shared" si="21"/>
        <v>0</v>
      </c>
      <c r="AC24" s="423">
        <f t="shared" si="21"/>
        <v>0</v>
      </c>
      <c r="AD24" s="423">
        <f t="shared" si="21"/>
        <v>0</v>
      </c>
      <c r="AE24" s="423">
        <f t="shared" si="14"/>
        <v>0</v>
      </c>
      <c r="AF24" s="423">
        <f t="shared" si="22"/>
        <v>0</v>
      </c>
    </row>
    <row r="25" spans="1:32" outlineLevel="1">
      <c r="A25" s="418" t="s">
        <v>614</v>
      </c>
      <c r="B25" s="418" t="s">
        <v>615</v>
      </c>
      <c r="D25" s="423">
        <v>54339</v>
      </c>
      <c r="E25" s="423">
        <v>109783</v>
      </c>
      <c r="F25" s="423">
        <v>155091</v>
      </c>
      <c r="G25" s="423">
        <v>202345</v>
      </c>
      <c r="H25" s="423">
        <v>57900</v>
      </c>
      <c r="I25" s="423">
        <v>99821</v>
      </c>
      <c r="J25" s="423">
        <v>141007</v>
      </c>
      <c r="K25" s="423">
        <v>217274</v>
      </c>
      <c r="L25" s="423">
        <v>58002</v>
      </c>
      <c r="M25" s="423">
        <v>97001</v>
      </c>
      <c r="N25" s="423">
        <v>143747</v>
      </c>
      <c r="O25" s="423">
        <v>197876</v>
      </c>
      <c r="P25" s="423">
        <v>48882</v>
      </c>
      <c r="Q25" s="423">
        <v>91802</v>
      </c>
      <c r="R25" s="423">
        <v>131974</v>
      </c>
      <c r="S25" s="423">
        <v>170379</v>
      </c>
      <c r="T25" s="423">
        <v>47574</v>
      </c>
      <c r="U25" s="423">
        <v>452097</v>
      </c>
      <c r="W25" s="423">
        <f t="shared" si="11"/>
        <v>58002</v>
      </c>
      <c r="X25" s="423">
        <f t="shared" si="19"/>
        <v>38999</v>
      </c>
      <c r="Y25" s="423">
        <f t="shared" si="20"/>
        <v>46746</v>
      </c>
      <c r="Z25" s="423">
        <f t="shared" si="20"/>
        <v>54129</v>
      </c>
      <c r="AA25" s="423">
        <f t="shared" si="13"/>
        <v>48882</v>
      </c>
      <c r="AB25" s="423">
        <f t="shared" si="21"/>
        <v>42920</v>
      </c>
      <c r="AC25" s="423">
        <f t="shared" si="21"/>
        <v>40172</v>
      </c>
      <c r="AD25" s="423">
        <f t="shared" si="21"/>
        <v>38405</v>
      </c>
      <c r="AE25" s="423">
        <f t="shared" si="14"/>
        <v>47574</v>
      </c>
      <c r="AF25" s="423">
        <f t="shared" si="22"/>
        <v>404523</v>
      </c>
    </row>
    <row r="26" spans="1:32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</row>
    <row r="27" spans="1:32">
      <c r="A27" s="429" t="s">
        <v>630</v>
      </c>
      <c r="B27" s="429" t="s">
        <v>631</v>
      </c>
      <c r="D27" s="420">
        <f t="shared" ref="D27:I27" si="23">SUM(D29:D37)</f>
        <v>-860159</v>
      </c>
      <c r="E27" s="420">
        <f t="shared" si="23"/>
        <v>-1481461</v>
      </c>
      <c r="F27" s="420">
        <f t="shared" si="23"/>
        <v>-1976959</v>
      </c>
      <c r="G27" s="420">
        <f t="shared" si="23"/>
        <v>-2383143</v>
      </c>
      <c r="H27" s="420">
        <f t="shared" si="23"/>
        <v>-515986</v>
      </c>
      <c r="I27" s="420">
        <f t="shared" si="23"/>
        <v>-1019077</v>
      </c>
      <c r="J27" s="420">
        <f t="shared" ref="J27:T27" si="24">SUM(J29:J37)</f>
        <v>-1495718</v>
      </c>
      <c r="K27" s="420">
        <f t="shared" si="24"/>
        <v>-2018107</v>
      </c>
      <c r="L27" s="420">
        <f t="shared" si="24"/>
        <v>-596054</v>
      </c>
      <c r="M27" s="420">
        <f t="shared" si="24"/>
        <v>-1158443</v>
      </c>
      <c r="N27" s="420">
        <f t="shared" si="24"/>
        <v>-1760190</v>
      </c>
      <c r="O27" s="420">
        <f t="shared" si="24"/>
        <v>-2285956</v>
      </c>
      <c r="P27" s="420">
        <f t="shared" si="24"/>
        <v>-609983</v>
      </c>
      <c r="Q27" s="420">
        <f t="shared" si="24"/>
        <v>-1244125</v>
      </c>
      <c r="R27" s="420">
        <f t="shared" si="24"/>
        <v>-1898410</v>
      </c>
      <c r="S27" s="420">
        <f t="shared" si="24"/>
        <v>-2594004</v>
      </c>
      <c r="T27" s="420">
        <f t="shared" si="24"/>
        <v>-815623</v>
      </c>
      <c r="U27" s="741">
        <f>SUM(U29:U37)</f>
        <v>-1608207</v>
      </c>
      <c r="W27" s="420">
        <f t="shared" ref="W27:AC27" si="25">SUM(W29:W37)</f>
        <v>-596054</v>
      </c>
      <c r="X27" s="420">
        <f t="shared" si="25"/>
        <v>-562389</v>
      </c>
      <c r="Y27" s="420">
        <f t="shared" si="25"/>
        <v>-601747</v>
      </c>
      <c r="Z27" s="420">
        <f t="shared" si="25"/>
        <v>-525766</v>
      </c>
      <c r="AA27" s="420">
        <f t="shared" si="25"/>
        <v>-609983</v>
      </c>
      <c r="AB27" s="420">
        <f t="shared" si="25"/>
        <v>-634142</v>
      </c>
      <c r="AC27" s="420">
        <f t="shared" si="25"/>
        <v>-654285</v>
      </c>
      <c r="AD27" s="420">
        <f t="shared" ref="AD27:AE27" si="26">SUM(AD29:AD37)</f>
        <v>-695594</v>
      </c>
      <c r="AE27" s="420">
        <f t="shared" si="26"/>
        <v>-815623</v>
      </c>
      <c r="AF27" s="741">
        <f>SUM(AF29:AF37)</f>
        <v>-792584</v>
      </c>
    </row>
    <row r="28" spans="1:32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</row>
    <row r="29" spans="1:32" outlineLevel="1">
      <c r="A29" s="418" t="s">
        <v>632</v>
      </c>
      <c r="B29" s="418" t="s">
        <v>632</v>
      </c>
      <c r="D29" s="423">
        <v>-467494</v>
      </c>
      <c r="E29" s="423">
        <v>-789131</v>
      </c>
      <c r="F29" s="423">
        <v>-992245</v>
      </c>
      <c r="G29" s="423">
        <v>-1080831</v>
      </c>
      <c r="H29" s="423">
        <v>-177980</v>
      </c>
      <c r="I29" s="423">
        <v>-394444</v>
      </c>
      <c r="J29" s="423">
        <v>-596730</v>
      </c>
      <c r="K29" s="423">
        <v>-808595</v>
      </c>
      <c r="L29" s="423">
        <v>-256705</v>
      </c>
      <c r="M29" s="423">
        <v>-462538</v>
      </c>
      <c r="N29" s="423">
        <v>-690407</v>
      </c>
      <c r="O29" s="423">
        <v>-920885</v>
      </c>
      <c r="P29" s="423">
        <v>-277221</v>
      </c>
      <c r="Q29" s="423">
        <v>-518552</v>
      </c>
      <c r="R29" s="423">
        <v>-765458</v>
      </c>
      <c r="S29" s="423">
        <v>-1017956</v>
      </c>
      <c r="T29" s="423">
        <v>-328141</v>
      </c>
      <c r="U29" s="423">
        <v>-616982</v>
      </c>
      <c r="W29" s="423">
        <f t="shared" ref="W29:W37" si="27">L29</f>
        <v>-256705</v>
      </c>
      <c r="X29" s="423">
        <f t="shared" ref="X29:X37" si="28">M29-W29</f>
        <v>-205833</v>
      </c>
      <c r="Y29" s="423">
        <f t="shared" ref="Y29:Y37" si="29">N29-M29</f>
        <v>-227869</v>
      </c>
      <c r="Z29" s="423">
        <f t="shared" ref="Z29:Z37" si="30">O29-N29</f>
        <v>-230478</v>
      </c>
      <c r="AA29" s="423">
        <f t="shared" ref="AA29:AA37" si="31">P29</f>
        <v>-277221</v>
      </c>
      <c r="AB29" s="423">
        <f t="shared" ref="AB29:AB37" si="32">Q29-P29</f>
        <v>-241331</v>
      </c>
      <c r="AC29" s="423">
        <f t="shared" ref="AC29:AC37" si="33">R29-Q29</f>
        <v>-246906</v>
      </c>
      <c r="AD29" s="423">
        <f t="shared" ref="AD29:AD37" si="34">S29-R29</f>
        <v>-252498</v>
      </c>
      <c r="AE29" s="423">
        <f t="shared" ref="AE29:AE37" si="35">T29</f>
        <v>-328141</v>
      </c>
      <c r="AF29" s="423">
        <f t="shared" ref="AF29:AF37" si="36">U29-T29</f>
        <v>-288841</v>
      </c>
    </row>
    <row r="30" spans="1:32" outlineLevel="1">
      <c r="A30" s="418" t="s">
        <v>633</v>
      </c>
      <c r="B30" s="418" t="s">
        <v>634</v>
      </c>
      <c r="D30" s="423">
        <v>-181343</v>
      </c>
      <c r="E30" s="423">
        <v>-273413</v>
      </c>
      <c r="F30" s="423">
        <v>-383162</v>
      </c>
      <c r="G30" s="423">
        <v>-510468</v>
      </c>
      <c r="H30" s="423">
        <v>-153377</v>
      </c>
      <c r="I30" s="423">
        <v>-255411</v>
      </c>
      <c r="J30" s="423">
        <v>-346968</v>
      </c>
      <c r="K30" s="423">
        <v>-461051</v>
      </c>
      <c r="L30" s="423">
        <v>-104611</v>
      </c>
      <c r="M30" s="423">
        <v>-231614</v>
      </c>
      <c r="N30" s="423">
        <v>-379402</v>
      </c>
      <c r="O30" s="423">
        <v>-497036</v>
      </c>
      <c r="P30" s="423">
        <v>-104955</v>
      </c>
      <c r="Q30" s="423">
        <v>-281994</v>
      </c>
      <c r="R30" s="423">
        <v>-408246</v>
      </c>
      <c r="S30" s="423">
        <v>-537710</v>
      </c>
      <c r="T30" s="423">
        <v>-176846</v>
      </c>
      <c r="U30" s="423">
        <v>-375906</v>
      </c>
      <c r="W30" s="423">
        <f t="shared" si="27"/>
        <v>-104611</v>
      </c>
      <c r="X30" s="423">
        <f t="shared" si="28"/>
        <v>-127003</v>
      </c>
      <c r="Y30" s="423">
        <f t="shared" si="29"/>
        <v>-147788</v>
      </c>
      <c r="Z30" s="423">
        <f t="shared" si="30"/>
        <v>-117634</v>
      </c>
      <c r="AA30" s="423">
        <f t="shared" si="31"/>
        <v>-104955</v>
      </c>
      <c r="AB30" s="423">
        <f t="shared" si="32"/>
        <v>-177039</v>
      </c>
      <c r="AC30" s="423">
        <f t="shared" si="33"/>
        <v>-126252</v>
      </c>
      <c r="AD30" s="423">
        <f t="shared" si="34"/>
        <v>-129464</v>
      </c>
      <c r="AE30" s="423">
        <f t="shared" si="35"/>
        <v>-176846</v>
      </c>
      <c r="AF30" s="423">
        <f t="shared" si="36"/>
        <v>-199060</v>
      </c>
    </row>
    <row r="31" spans="1:32" outlineLevel="1">
      <c r="A31" s="418" t="s">
        <v>635</v>
      </c>
      <c r="B31" s="418" t="s">
        <v>636</v>
      </c>
      <c r="D31" s="423">
        <v>0</v>
      </c>
      <c r="E31" s="423">
        <v>0</v>
      </c>
      <c r="F31" s="423">
        <v>0</v>
      </c>
      <c r="G31" s="423">
        <v>0</v>
      </c>
      <c r="H31" s="423">
        <v>0</v>
      </c>
      <c r="I31" s="423">
        <v>0</v>
      </c>
      <c r="J31" s="423">
        <v>0</v>
      </c>
      <c r="K31" s="423">
        <v>0</v>
      </c>
      <c r="L31" s="423">
        <v>0</v>
      </c>
      <c r="M31" s="423">
        <v>0</v>
      </c>
      <c r="N31" s="423">
        <v>0</v>
      </c>
      <c r="O31" s="423">
        <v>0</v>
      </c>
      <c r="P31" s="423">
        <v>0</v>
      </c>
      <c r="Q31" s="423">
        <v>0</v>
      </c>
      <c r="R31" s="423">
        <v>0</v>
      </c>
      <c r="S31" s="423">
        <v>0</v>
      </c>
      <c r="T31" s="423">
        <v>0</v>
      </c>
      <c r="U31" s="423">
        <v>0</v>
      </c>
      <c r="W31" s="423">
        <f t="shared" si="27"/>
        <v>0</v>
      </c>
      <c r="X31" s="423">
        <f t="shared" si="28"/>
        <v>0</v>
      </c>
      <c r="Y31" s="423">
        <f t="shared" si="29"/>
        <v>0</v>
      </c>
      <c r="Z31" s="423">
        <f t="shared" si="30"/>
        <v>0</v>
      </c>
      <c r="AA31" s="423">
        <f t="shared" si="31"/>
        <v>0</v>
      </c>
      <c r="AB31" s="423">
        <f t="shared" si="32"/>
        <v>0</v>
      </c>
      <c r="AC31" s="423">
        <f t="shared" si="33"/>
        <v>0</v>
      </c>
      <c r="AD31" s="423">
        <f t="shared" si="34"/>
        <v>0</v>
      </c>
      <c r="AE31" s="423">
        <f t="shared" si="35"/>
        <v>0</v>
      </c>
      <c r="AF31" s="423">
        <f t="shared" si="36"/>
        <v>0</v>
      </c>
    </row>
    <row r="32" spans="1:32" outlineLevel="1">
      <c r="A32" s="418" t="s">
        <v>637</v>
      </c>
      <c r="B32" s="418" t="s">
        <v>638</v>
      </c>
      <c r="D32" s="423">
        <v>0</v>
      </c>
      <c r="E32" s="423">
        <v>0</v>
      </c>
      <c r="F32" s="423">
        <v>0</v>
      </c>
      <c r="G32" s="423">
        <v>0</v>
      </c>
      <c r="H32" s="423">
        <v>0</v>
      </c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>
        <v>0</v>
      </c>
      <c r="T32" s="423">
        <v>0</v>
      </c>
      <c r="U32" s="423">
        <v>0</v>
      </c>
      <c r="W32" s="423">
        <f t="shared" si="27"/>
        <v>0</v>
      </c>
      <c r="X32" s="423">
        <f t="shared" si="28"/>
        <v>0</v>
      </c>
      <c r="Y32" s="423">
        <f t="shared" si="29"/>
        <v>0</v>
      </c>
      <c r="Z32" s="423">
        <f t="shared" si="30"/>
        <v>0</v>
      </c>
      <c r="AA32" s="423">
        <f t="shared" si="31"/>
        <v>0</v>
      </c>
      <c r="AB32" s="423">
        <f t="shared" si="32"/>
        <v>0</v>
      </c>
      <c r="AC32" s="423">
        <f t="shared" si="33"/>
        <v>0</v>
      </c>
      <c r="AD32" s="423">
        <f t="shared" si="34"/>
        <v>0</v>
      </c>
      <c r="AE32" s="423">
        <f t="shared" si="35"/>
        <v>0</v>
      </c>
      <c r="AF32" s="423">
        <f t="shared" si="36"/>
        <v>0</v>
      </c>
    </row>
    <row r="33" spans="1:32" outlineLevel="1">
      <c r="A33" s="418" t="s">
        <v>639</v>
      </c>
      <c r="B33" s="418" t="s">
        <v>640</v>
      </c>
      <c r="D33" s="423">
        <v>-5840</v>
      </c>
      <c r="E33" s="423">
        <v>-10506</v>
      </c>
      <c r="F33" s="423">
        <v>-15804</v>
      </c>
      <c r="G33" s="423">
        <v>-21847</v>
      </c>
      <c r="H33" s="423">
        <v>-5233</v>
      </c>
      <c r="I33" s="423">
        <v>-18964</v>
      </c>
      <c r="J33" s="423">
        <v>-28421</v>
      </c>
      <c r="K33" s="423">
        <v>-38645</v>
      </c>
      <c r="L33" s="423">
        <v>-11172</v>
      </c>
      <c r="M33" s="423">
        <v>-20552</v>
      </c>
      <c r="N33" s="423">
        <v>-32936</v>
      </c>
      <c r="O33" s="423">
        <v>-43442</v>
      </c>
      <c r="P33" s="423">
        <v>-12033</v>
      </c>
      <c r="Q33" s="423">
        <v>-22765</v>
      </c>
      <c r="R33" s="423">
        <v>-34902</v>
      </c>
      <c r="S33" s="423">
        <v>-47482</v>
      </c>
      <c r="T33" s="423">
        <v>-14095</v>
      </c>
      <c r="U33" s="423">
        <v>-26197</v>
      </c>
      <c r="W33" s="423">
        <f t="shared" si="27"/>
        <v>-11172</v>
      </c>
      <c r="X33" s="423">
        <f t="shared" si="28"/>
        <v>-9380</v>
      </c>
      <c r="Y33" s="423">
        <f t="shared" si="29"/>
        <v>-12384</v>
      </c>
      <c r="Z33" s="423">
        <f t="shared" si="30"/>
        <v>-10506</v>
      </c>
      <c r="AA33" s="423">
        <f t="shared" si="31"/>
        <v>-12033</v>
      </c>
      <c r="AB33" s="423">
        <f t="shared" si="32"/>
        <v>-10732</v>
      </c>
      <c r="AC33" s="423">
        <f t="shared" si="33"/>
        <v>-12137</v>
      </c>
      <c r="AD33" s="423">
        <f t="shared" si="34"/>
        <v>-12580</v>
      </c>
      <c r="AE33" s="423">
        <f t="shared" si="35"/>
        <v>-14095</v>
      </c>
      <c r="AF33" s="423">
        <f t="shared" si="36"/>
        <v>-12102</v>
      </c>
    </row>
    <row r="34" spans="1:32" outlineLevel="1">
      <c r="A34" s="418" t="s">
        <v>641</v>
      </c>
      <c r="B34" s="418" t="s">
        <v>642</v>
      </c>
      <c r="D34" s="423">
        <v>-4874</v>
      </c>
      <c r="E34" s="423">
        <v>-8965</v>
      </c>
      <c r="F34" s="423">
        <v>-13805</v>
      </c>
      <c r="G34" s="423">
        <v>-18848</v>
      </c>
      <c r="H34" s="423">
        <v>-6349</v>
      </c>
      <c r="I34" s="423">
        <v>-2197</v>
      </c>
      <c r="J34" s="423">
        <v>-3284</v>
      </c>
      <c r="K34" s="423">
        <v>-4418</v>
      </c>
      <c r="L34" s="423">
        <v>-1292</v>
      </c>
      <c r="M34" s="423">
        <v>-2532</v>
      </c>
      <c r="N34" s="423">
        <v>-2892</v>
      </c>
      <c r="O34" s="423">
        <v>-4997</v>
      </c>
      <c r="P34" s="423">
        <v>-1356</v>
      </c>
      <c r="Q34" s="423">
        <v>-2711</v>
      </c>
      <c r="R34" s="423">
        <v>-4067</v>
      </c>
      <c r="S34" s="423">
        <v>-5466</v>
      </c>
      <c r="T34" s="423">
        <v>-1487</v>
      </c>
      <c r="U34" s="423">
        <v>-2975</v>
      </c>
      <c r="W34" s="423">
        <f t="shared" si="27"/>
        <v>-1292</v>
      </c>
      <c r="X34" s="423">
        <f t="shared" si="28"/>
        <v>-1240</v>
      </c>
      <c r="Y34" s="423">
        <f t="shared" si="29"/>
        <v>-360</v>
      </c>
      <c r="Z34" s="423">
        <f t="shared" si="30"/>
        <v>-2105</v>
      </c>
      <c r="AA34" s="423">
        <f t="shared" si="31"/>
        <v>-1356</v>
      </c>
      <c r="AB34" s="423">
        <f t="shared" si="32"/>
        <v>-1355</v>
      </c>
      <c r="AC34" s="423">
        <f t="shared" si="33"/>
        <v>-1356</v>
      </c>
      <c r="AD34" s="423">
        <f t="shared" si="34"/>
        <v>-1399</v>
      </c>
      <c r="AE34" s="423">
        <f t="shared" si="35"/>
        <v>-1487</v>
      </c>
      <c r="AF34" s="423">
        <f t="shared" si="36"/>
        <v>-1488</v>
      </c>
    </row>
    <row r="35" spans="1:32" outlineLevel="1">
      <c r="A35" s="418" t="s">
        <v>643</v>
      </c>
      <c r="B35" s="418" t="s">
        <v>644</v>
      </c>
      <c r="D35" s="423">
        <v>-186869</v>
      </c>
      <c r="E35" s="423">
        <v>-370229</v>
      </c>
      <c r="F35" s="423">
        <v>-536767</v>
      </c>
      <c r="G35" s="423">
        <v>-710779</v>
      </c>
      <c r="H35" s="423">
        <v>-165648</v>
      </c>
      <c r="I35" s="423">
        <v>-331012</v>
      </c>
      <c r="J35" s="423">
        <v>-496497</v>
      </c>
      <c r="K35" s="423">
        <v>-672172</v>
      </c>
      <c r="L35" s="423">
        <v>-198652</v>
      </c>
      <c r="M35" s="423">
        <v>-397304</v>
      </c>
      <c r="N35" s="423">
        <v>-595956</v>
      </c>
      <c r="O35" s="423">
        <v>-739216</v>
      </c>
      <c r="P35" s="423">
        <v>-192057</v>
      </c>
      <c r="Q35" s="423">
        <v>-383963</v>
      </c>
      <c r="R35" s="423">
        <v>-614837</v>
      </c>
      <c r="S35" s="423">
        <v>-878507</v>
      </c>
      <c r="T35" s="423">
        <v>-278068</v>
      </c>
      <c r="U35" s="423">
        <v>-556088</v>
      </c>
      <c r="W35" s="423">
        <f t="shared" si="27"/>
        <v>-198652</v>
      </c>
      <c r="X35" s="423">
        <f t="shared" si="28"/>
        <v>-198652</v>
      </c>
      <c r="Y35" s="423">
        <f t="shared" si="29"/>
        <v>-198652</v>
      </c>
      <c r="Z35" s="423">
        <f t="shared" si="30"/>
        <v>-143260</v>
      </c>
      <c r="AA35" s="423">
        <f t="shared" si="31"/>
        <v>-192057</v>
      </c>
      <c r="AB35" s="423">
        <f t="shared" si="32"/>
        <v>-191906</v>
      </c>
      <c r="AC35" s="423">
        <f t="shared" si="33"/>
        <v>-230874</v>
      </c>
      <c r="AD35" s="423">
        <f t="shared" si="34"/>
        <v>-263670</v>
      </c>
      <c r="AE35" s="423">
        <f t="shared" si="35"/>
        <v>-278068</v>
      </c>
      <c r="AF35" s="423">
        <f t="shared" si="36"/>
        <v>-278020</v>
      </c>
    </row>
    <row r="36" spans="1:32" outlineLevel="1">
      <c r="A36" s="418" t="s">
        <v>645</v>
      </c>
      <c r="B36" s="418" t="s">
        <v>645</v>
      </c>
      <c r="D36" s="423">
        <v>0</v>
      </c>
      <c r="E36" s="423">
        <v>0</v>
      </c>
      <c r="F36" s="423">
        <v>0</v>
      </c>
      <c r="G36" s="423">
        <v>0</v>
      </c>
      <c r="H36" s="423">
        <v>0</v>
      </c>
      <c r="I36" s="423">
        <v>0</v>
      </c>
      <c r="J36" s="423">
        <v>0</v>
      </c>
      <c r="K36" s="423">
        <v>-29</v>
      </c>
      <c r="L36" s="423">
        <v>-32</v>
      </c>
      <c r="M36" s="423">
        <v>-110</v>
      </c>
      <c r="N36" s="423">
        <v>-122</v>
      </c>
      <c r="O36" s="423">
        <v>-150</v>
      </c>
      <c r="P36" s="423">
        <v>-22</v>
      </c>
      <c r="Q36" s="423">
        <v>-68</v>
      </c>
      <c r="R36" s="423">
        <v>-118</v>
      </c>
      <c r="S36" s="423">
        <v>-129</v>
      </c>
      <c r="T36" s="423">
        <v>-9</v>
      </c>
      <c r="U36" s="423">
        <v>-9</v>
      </c>
      <c r="W36" s="423">
        <f t="shared" si="27"/>
        <v>-32</v>
      </c>
      <c r="X36" s="423">
        <f t="shared" si="28"/>
        <v>-78</v>
      </c>
      <c r="Y36" s="423">
        <f t="shared" si="29"/>
        <v>-12</v>
      </c>
      <c r="Z36" s="423">
        <f t="shared" si="30"/>
        <v>-28</v>
      </c>
      <c r="AA36" s="423">
        <f t="shared" si="31"/>
        <v>-22</v>
      </c>
      <c r="AB36" s="423">
        <f t="shared" si="32"/>
        <v>-46</v>
      </c>
      <c r="AC36" s="423">
        <f t="shared" si="33"/>
        <v>-50</v>
      </c>
      <c r="AD36" s="423">
        <f t="shared" si="34"/>
        <v>-11</v>
      </c>
      <c r="AE36" s="423">
        <f t="shared" si="35"/>
        <v>-9</v>
      </c>
      <c r="AF36" s="423">
        <f t="shared" si="36"/>
        <v>0</v>
      </c>
    </row>
    <row r="37" spans="1:32" outlineLevel="1">
      <c r="A37" s="418" t="s">
        <v>95</v>
      </c>
      <c r="B37" s="418" t="s">
        <v>96</v>
      </c>
      <c r="D37" s="423">
        <v>-13739</v>
      </c>
      <c r="E37" s="423">
        <v>-29217</v>
      </c>
      <c r="F37" s="423">
        <v>-35176</v>
      </c>
      <c r="G37" s="423">
        <v>-40370</v>
      </c>
      <c r="H37" s="423">
        <v>-7399</v>
      </c>
      <c r="I37" s="423">
        <v>-17049</v>
      </c>
      <c r="J37" s="423">
        <v>-23818</v>
      </c>
      <c r="K37" s="423">
        <v>-33197</v>
      </c>
      <c r="L37" s="423">
        <v>-23590</v>
      </c>
      <c r="M37" s="423">
        <v>-43793</v>
      </c>
      <c r="N37" s="423">
        <v>-58475</v>
      </c>
      <c r="O37" s="423">
        <v>-80230</v>
      </c>
      <c r="P37" s="423">
        <v>-22339</v>
      </c>
      <c r="Q37" s="423">
        <v>-34072</v>
      </c>
      <c r="R37" s="423">
        <v>-70782</v>
      </c>
      <c r="S37" s="423">
        <v>-106754</v>
      </c>
      <c r="T37" s="423">
        <v>-16977</v>
      </c>
      <c r="U37" s="423">
        <v>-30050</v>
      </c>
      <c r="W37" s="423">
        <f t="shared" si="27"/>
        <v>-23590</v>
      </c>
      <c r="X37" s="423">
        <f t="shared" si="28"/>
        <v>-20203</v>
      </c>
      <c r="Y37" s="423">
        <f t="shared" si="29"/>
        <v>-14682</v>
      </c>
      <c r="Z37" s="423">
        <f t="shared" si="30"/>
        <v>-21755</v>
      </c>
      <c r="AA37" s="423">
        <f t="shared" si="31"/>
        <v>-22339</v>
      </c>
      <c r="AB37" s="423">
        <f t="shared" si="32"/>
        <v>-11733</v>
      </c>
      <c r="AC37" s="423">
        <f t="shared" si="33"/>
        <v>-36710</v>
      </c>
      <c r="AD37" s="423">
        <f t="shared" si="34"/>
        <v>-35972</v>
      </c>
      <c r="AE37" s="423">
        <f t="shared" si="35"/>
        <v>-16977</v>
      </c>
      <c r="AF37" s="423">
        <f t="shared" si="36"/>
        <v>-13073</v>
      </c>
    </row>
    <row r="38" spans="1:32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</row>
    <row r="39" spans="1:32">
      <c r="A39" s="429" t="s">
        <v>646</v>
      </c>
      <c r="B39" s="429" t="s">
        <v>647</v>
      </c>
      <c r="D39" s="420">
        <f t="shared" ref="D39:I39" si="37">D27+D6</f>
        <v>1058513</v>
      </c>
      <c r="E39" s="420">
        <f t="shared" si="37"/>
        <v>1959588</v>
      </c>
      <c r="F39" s="420">
        <f t="shared" si="37"/>
        <v>3183471</v>
      </c>
      <c r="G39" s="420">
        <f t="shared" si="37"/>
        <v>4467992</v>
      </c>
      <c r="H39" s="420">
        <f t="shared" si="37"/>
        <v>1295023</v>
      </c>
      <c r="I39" s="420">
        <f t="shared" si="37"/>
        <v>2415183</v>
      </c>
      <c r="J39" s="420">
        <f t="shared" ref="J39:Q39" si="38">J27+J6</f>
        <v>3616176</v>
      </c>
      <c r="K39" s="420">
        <f t="shared" si="38"/>
        <v>4792835</v>
      </c>
      <c r="L39" s="420">
        <f t="shared" si="38"/>
        <v>1279738</v>
      </c>
      <c r="M39" s="420">
        <f t="shared" si="38"/>
        <v>2442634</v>
      </c>
      <c r="N39" s="420">
        <f t="shared" si="38"/>
        <v>3847891</v>
      </c>
      <c r="O39" s="420">
        <f t="shared" si="38"/>
        <v>5339988</v>
      </c>
      <c r="P39" s="420">
        <f t="shared" si="38"/>
        <v>1562326</v>
      </c>
      <c r="Q39" s="420">
        <f t="shared" si="38"/>
        <v>2968569</v>
      </c>
      <c r="R39" s="420">
        <f t="shared" ref="R39:T39" si="39">R27+R6</f>
        <v>4601804</v>
      </c>
      <c r="S39" s="420">
        <f t="shared" si="39"/>
        <v>6237147</v>
      </c>
      <c r="T39" s="420">
        <f t="shared" si="39"/>
        <v>1758823</v>
      </c>
      <c r="U39" s="741">
        <f>U27+U6</f>
        <v>3619206</v>
      </c>
      <c r="W39" s="420">
        <f t="shared" ref="W39:AC39" si="40">W27+W6</f>
        <v>1279738</v>
      </c>
      <c r="X39" s="420">
        <f t="shared" si="40"/>
        <v>1162896</v>
      </c>
      <c r="Y39" s="420">
        <f t="shared" si="40"/>
        <v>1405257</v>
      </c>
      <c r="Z39" s="420">
        <f t="shared" si="40"/>
        <v>1492097</v>
      </c>
      <c r="AA39" s="420">
        <f t="shared" si="40"/>
        <v>1562326</v>
      </c>
      <c r="AB39" s="420">
        <f t="shared" si="40"/>
        <v>1406243</v>
      </c>
      <c r="AC39" s="420">
        <f t="shared" si="40"/>
        <v>1633235</v>
      </c>
      <c r="AD39" s="420">
        <f t="shared" ref="AD39:AE39" si="41">AD27+AD6</f>
        <v>1635343</v>
      </c>
      <c r="AE39" s="420">
        <f t="shared" si="41"/>
        <v>1758823</v>
      </c>
      <c r="AF39" s="741">
        <f>AF27+AF6</f>
        <v>1860383</v>
      </c>
    </row>
    <row r="40" spans="1:32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</row>
    <row r="41" spans="1:32">
      <c r="A41" s="416" t="s">
        <v>648</v>
      </c>
      <c r="B41" s="416" t="s">
        <v>649</v>
      </c>
      <c r="D41" s="424">
        <f t="shared" ref="D41:I41" si="42">SUM(D43:D49)</f>
        <v>-814462</v>
      </c>
      <c r="E41" s="424">
        <f t="shared" si="42"/>
        <v>-1643921</v>
      </c>
      <c r="F41" s="424">
        <f t="shared" si="42"/>
        <v>-2728322</v>
      </c>
      <c r="G41" s="424">
        <f t="shared" si="42"/>
        <v>-3848191</v>
      </c>
      <c r="H41" s="424">
        <f t="shared" si="42"/>
        <v>-1000439</v>
      </c>
      <c r="I41" s="424">
        <f t="shared" si="42"/>
        <v>-1848425</v>
      </c>
      <c r="J41" s="424">
        <f t="shared" ref="J41:Q41" si="43">SUM(J43:J49)</f>
        <v>-2830701</v>
      </c>
      <c r="K41" s="424">
        <f t="shared" si="43"/>
        <v>-3763634</v>
      </c>
      <c r="L41" s="424">
        <f t="shared" si="43"/>
        <v>-952798</v>
      </c>
      <c r="M41" s="424">
        <f t="shared" si="43"/>
        <v>-1952613</v>
      </c>
      <c r="N41" s="424">
        <f t="shared" si="43"/>
        <v>-3120878</v>
      </c>
      <c r="O41" s="424">
        <f t="shared" si="43"/>
        <v>-4289719</v>
      </c>
      <c r="P41" s="424">
        <f t="shared" si="43"/>
        <v>-1201307</v>
      </c>
      <c r="Q41" s="424">
        <f t="shared" si="43"/>
        <v>-2442269</v>
      </c>
      <c r="R41" s="424">
        <f t="shared" ref="R41:T41" si="44">SUM(R43:R49)</f>
        <v>-3861206</v>
      </c>
      <c r="S41" s="424">
        <f t="shared" si="44"/>
        <v>-5208924</v>
      </c>
      <c r="T41" s="424">
        <f t="shared" si="44"/>
        <v>-1342761</v>
      </c>
      <c r="U41" s="424">
        <f>SUM(U43:U49)</f>
        <v>-2625149</v>
      </c>
      <c r="W41" s="424">
        <f t="shared" ref="W41:AC41" si="45">SUM(W43:W49)</f>
        <v>-952798</v>
      </c>
      <c r="X41" s="424">
        <f t="shared" si="45"/>
        <v>-999815</v>
      </c>
      <c r="Y41" s="424">
        <f t="shared" si="45"/>
        <v>-1168265</v>
      </c>
      <c r="Z41" s="424">
        <f t="shared" si="45"/>
        <v>-1168841</v>
      </c>
      <c r="AA41" s="424">
        <f t="shared" si="45"/>
        <v>-1201307</v>
      </c>
      <c r="AB41" s="424">
        <f t="shared" si="45"/>
        <v>-1240962</v>
      </c>
      <c r="AC41" s="424">
        <f t="shared" si="45"/>
        <v>-1418937</v>
      </c>
      <c r="AD41" s="424">
        <f t="shared" ref="AD41:AE41" si="46">SUM(AD43:AD49)</f>
        <v>-1347718</v>
      </c>
      <c r="AE41" s="424">
        <f t="shared" si="46"/>
        <v>-1342761</v>
      </c>
      <c r="AF41" s="424">
        <f>SUM(AF43:AF49)</f>
        <v>-781005</v>
      </c>
    </row>
    <row r="42" spans="1:32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</row>
    <row r="43" spans="1:32">
      <c r="A43" s="417" t="s">
        <v>650</v>
      </c>
      <c r="B43" s="417" t="s">
        <v>651</v>
      </c>
      <c r="D43" s="422">
        <v>-650191</v>
      </c>
      <c r="E43" s="422">
        <v>-1264785</v>
      </c>
      <c r="F43" s="422">
        <v>-1929636</v>
      </c>
      <c r="G43" s="422">
        <v>-2646745</v>
      </c>
      <c r="H43" s="422">
        <v>-658040</v>
      </c>
      <c r="I43" s="422">
        <v>-1320205</v>
      </c>
      <c r="J43" s="422">
        <v>-2037008</v>
      </c>
      <c r="K43" s="422">
        <v>-2826022</v>
      </c>
      <c r="L43" s="422">
        <v>-733267</v>
      </c>
      <c r="M43" s="422">
        <v>-1430741</v>
      </c>
      <c r="N43" s="422">
        <v>-2270810</v>
      </c>
      <c r="O43" s="422">
        <v>-3110432</v>
      </c>
      <c r="P43" s="422">
        <v>-769091</v>
      </c>
      <c r="Q43" s="422">
        <v>-1565776</v>
      </c>
      <c r="R43" s="422">
        <v>-2469680</v>
      </c>
      <c r="S43" s="422">
        <v>-3354011</v>
      </c>
      <c r="T43" s="422">
        <v>-892792</v>
      </c>
      <c r="U43" s="422">
        <v>-1233503</v>
      </c>
      <c r="W43" s="422">
        <f>L43</f>
        <v>-733267</v>
      </c>
      <c r="X43" s="422">
        <f>M43-W43</f>
        <v>-697474</v>
      </c>
      <c r="Y43" s="422">
        <f>N43-M43</f>
        <v>-840069</v>
      </c>
      <c r="Z43" s="422">
        <f>O43-N43</f>
        <v>-839622</v>
      </c>
      <c r="AA43" s="422">
        <f>P43</f>
        <v>-769091</v>
      </c>
      <c r="AB43" s="422">
        <f>Q43-P43</f>
        <v>-796685</v>
      </c>
      <c r="AC43" s="422">
        <f>R43-Q43</f>
        <v>-903904</v>
      </c>
      <c r="AD43" s="422">
        <f>S43-R43</f>
        <v>-884331</v>
      </c>
      <c r="AE43" s="422">
        <f>T43</f>
        <v>-892792</v>
      </c>
      <c r="AF43" s="422">
        <f>U43-T43</f>
        <v>-340711</v>
      </c>
    </row>
    <row r="44" spans="1:32">
      <c r="A44" s="417" t="s">
        <v>2498</v>
      </c>
      <c r="B44" s="417" t="s">
        <v>2499</v>
      </c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>
        <v>-501383</v>
      </c>
      <c r="W44" s="422"/>
      <c r="X44" s="422"/>
      <c r="Y44" s="422"/>
      <c r="Z44" s="422"/>
      <c r="AA44" s="422"/>
      <c r="AB44" s="422"/>
      <c r="AC44" s="422"/>
      <c r="AD44" s="422"/>
      <c r="AE44" s="422"/>
      <c r="AF44" s="422"/>
    </row>
    <row r="45" spans="1:32">
      <c r="A45" s="417" t="s">
        <v>652</v>
      </c>
      <c r="B45" s="417" t="s">
        <v>653</v>
      </c>
      <c r="D45" s="422">
        <v>-69161</v>
      </c>
      <c r="E45" s="422">
        <v>-165325</v>
      </c>
      <c r="F45" s="422">
        <v>-494038</v>
      </c>
      <c r="G45" s="422">
        <v>-750927</v>
      </c>
      <c r="H45" s="422">
        <v>-207767</v>
      </c>
      <c r="I45" s="422">
        <v>-418023</v>
      </c>
      <c r="J45" s="422">
        <v>-593091</v>
      </c>
      <c r="K45" s="422">
        <v>-630471</v>
      </c>
      <c r="L45" s="422">
        <v>-126809</v>
      </c>
      <c r="M45" s="422">
        <v>-339892</v>
      </c>
      <c r="N45" s="422">
        <v>-565002</v>
      </c>
      <c r="O45" s="422">
        <v>-919212</v>
      </c>
      <c r="P45" s="422">
        <v>-308194</v>
      </c>
      <c r="Q45" s="422">
        <v>-610502</v>
      </c>
      <c r="R45" s="422">
        <v>-996478</v>
      </c>
      <c r="S45" s="422">
        <v>-1331598</v>
      </c>
      <c r="T45" s="422">
        <v>-308024</v>
      </c>
      <c r="U45" s="422">
        <v>-589774</v>
      </c>
      <c r="W45" s="422">
        <f>L45</f>
        <v>-126809</v>
      </c>
      <c r="X45" s="422">
        <f>M45-W45</f>
        <v>-213083</v>
      </c>
      <c r="Y45" s="422">
        <f t="shared" ref="Y45:Z48" si="47">N45-M45</f>
        <v>-225110</v>
      </c>
      <c r="Z45" s="422">
        <f t="shared" si="47"/>
        <v>-354210</v>
      </c>
      <c r="AA45" s="422">
        <f>P45</f>
        <v>-308194</v>
      </c>
      <c r="AB45" s="422">
        <f t="shared" ref="AB45:AD48" si="48">Q45-P45</f>
        <v>-302308</v>
      </c>
      <c r="AC45" s="422">
        <f t="shared" si="48"/>
        <v>-385976</v>
      </c>
      <c r="AD45" s="422">
        <f t="shared" si="48"/>
        <v>-335120</v>
      </c>
      <c r="AE45" s="422">
        <f>T45</f>
        <v>-308024</v>
      </c>
      <c r="AF45" s="422">
        <f>U45-T45</f>
        <v>-281750</v>
      </c>
    </row>
    <row r="46" spans="1:32">
      <c r="A46" s="417" t="s">
        <v>654</v>
      </c>
      <c r="B46" s="417" t="s">
        <v>655</v>
      </c>
      <c r="D46" s="422">
        <v>0</v>
      </c>
      <c r="E46" s="422">
        <v>0</v>
      </c>
      <c r="F46" s="422">
        <v>0</v>
      </c>
      <c r="G46" s="422">
        <v>0</v>
      </c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>
        <v>0</v>
      </c>
      <c r="T46" s="422">
        <v>0</v>
      </c>
      <c r="U46" s="422">
        <v>0</v>
      </c>
      <c r="W46" s="422">
        <f>L46</f>
        <v>0</v>
      </c>
      <c r="X46" s="422">
        <f>M46-W46</f>
        <v>0</v>
      </c>
      <c r="Y46" s="422">
        <f t="shared" si="47"/>
        <v>0</v>
      </c>
      <c r="Z46" s="422">
        <f t="shared" si="47"/>
        <v>0</v>
      </c>
      <c r="AA46" s="422">
        <f>P46</f>
        <v>0</v>
      </c>
      <c r="AB46" s="422">
        <f t="shared" si="48"/>
        <v>0</v>
      </c>
      <c r="AC46" s="422">
        <f t="shared" si="48"/>
        <v>0</v>
      </c>
      <c r="AD46" s="422">
        <f t="shared" si="48"/>
        <v>0</v>
      </c>
      <c r="AE46" s="422">
        <f>T46</f>
        <v>0</v>
      </c>
      <c r="AF46" s="422">
        <f>U46-T46</f>
        <v>0</v>
      </c>
    </row>
    <row r="47" spans="1:32">
      <c r="A47" s="417" t="s">
        <v>656</v>
      </c>
      <c r="B47" s="417" t="s">
        <v>657</v>
      </c>
      <c r="D47" s="422">
        <v>0</v>
      </c>
      <c r="E47" s="422">
        <v>0</v>
      </c>
      <c r="F47" s="422">
        <v>0</v>
      </c>
      <c r="G47" s="422">
        <v>0</v>
      </c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>
        <v>0</v>
      </c>
      <c r="T47" s="422">
        <v>0</v>
      </c>
      <c r="U47" s="422">
        <v>0</v>
      </c>
      <c r="W47" s="422">
        <f>L47</f>
        <v>0</v>
      </c>
      <c r="X47" s="422">
        <f>M47-W47</f>
        <v>0</v>
      </c>
      <c r="Y47" s="422">
        <f t="shared" si="47"/>
        <v>0</v>
      </c>
      <c r="Z47" s="422">
        <f t="shared" si="47"/>
        <v>0</v>
      </c>
      <c r="AA47" s="422">
        <f>P47</f>
        <v>0</v>
      </c>
      <c r="AB47" s="422">
        <f t="shared" si="48"/>
        <v>0</v>
      </c>
      <c r="AC47" s="422">
        <f t="shared" si="48"/>
        <v>0</v>
      </c>
      <c r="AD47" s="422">
        <f t="shared" si="48"/>
        <v>0</v>
      </c>
      <c r="AE47" s="422">
        <f>T47</f>
        <v>0</v>
      </c>
      <c r="AF47" s="422">
        <f>U47-T47</f>
        <v>0</v>
      </c>
    </row>
    <row r="48" spans="1:32">
      <c r="A48" s="417" t="s">
        <v>658</v>
      </c>
      <c r="B48" s="417" t="s">
        <v>659</v>
      </c>
      <c r="D48" s="422">
        <v>0</v>
      </c>
      <c r="E48" s="422">
        <v>0</v>
      </c>
      <c r="F48" s="422">
        <v>0</v>
      </c>
      <c r="G48" s="422">
        <v>0</v>
      </c>
      <c r="H48" s="422">
        <v>0</v>
      </c>
      <c r="I48" s="422">
        <v>0</v>
      </c>
      <c r="J48" s="422">
        <v>0</v>
      </c>
      <c r="K48" s="422">
        <v>0</v>
      </c>
      <c r="L48" s="422">
        <v>0</v>
      </c>
      <c r="M48" s="422">
        <v>0</v>
      </c>
      <c r="N48" s="422">
        <v>0</v>
      </c>
      <c r="O48" s="422">
        <v>0</v>
      </c>
      <c r="P48" s="422">
        <v>0</v>
      </c>
      <c r="Q48" s="422">
        <v>0</v>
      </c>
      <c r="R48" s="422">
        <v>0</v>
      </c>
      <c r="S48" s="422">
        <v>0</v>
      </c>
      <c r="T48" s="422">
        <v>0</v>
      </c>
      <c r="U48" s="422">
        <v>0</v>
      </c>
      <c r="W48" s="422">
        <f>L48</f>
        <v>0</v>
      </c>
      <c r="X48" s="422">
        <f>M48-W48</f>
        <v>0</v>
      </c>
      <c r="Y48" s="422">
        <f t="shared" si="47"/>
        <v>0</v>
      </c>
      <c r="Z48" s="422">
        <f t="shared" si="47"/>
        <v>0</v>
      </c>
      <c r="AA48" s="422">
        <f>P48</f>
        <v>0</v>
      </c>
      <c r="AB48" s="422">
        <f t="shared" si="48"/>
        <v>0</v>
      </c>
      <c r="AC48" s="422">
        <f t="shared" si="48"/>
        <v>0</v>
      </c>
      <c r="AD48" s="422">
        <f t="shared" si="48"/>
        <v>0</v>
      </c>
      <c r="AE48" s="422">
        <f>T48</f>
        <v>0</v>
      </c>
      <c r="AF48" s="422">
        <f>U48-T48</f>
        <v>0</v>
      </c>
    </row>
    <row r="49" spans="1:32">
      <c r="A49" s="417" t="s">
        <v>660</v>
      </c>
      <c r="B49" s="417" t="s">
        <v>661</v>
      </c>
      <c r="D49" s="422">
        <f t="shared" ref="D49:I49" si="49">SUM(D50:D56)</f>
        <v>-95110</v>
      </c>
      <c r="E49" s="422">
        <f t="shared" si="49"/>
        <v>-213811</v>
      </c>
      <c r="F49" s="422">
        <f t="shared" si="49"/>
        <v>-304648</v>
      </c>
      <c r="G49" s="422">
        <f t="shared" si="49"/>
        <v>-450519</v>
      </c>
      <c r="H49" s="422">
        <f t="shared" si="49"/>
        <v>-134632</v>
      </c>
      <c r="I49" s="422">
        <f t="shared" si="49"/>
        <v>-110197</v>
      </c>
      <c r="J49" s="422">
        <f t="shared" ref="J49:T49" si="50">SUM(J50:J56)</f>
        <v>-200602</v>
      </c>
      <c r="K49" s="422">
        <f t="shared" si="50"/>
        <v>-307141</v>
      </c>
      <c r="L49" s="422">
        <f t="shared" si="50"/>
        <v>-92722</v>
      </c>
      <c r="M49" s="422">
        <f t="shared" si="50"/>
        <v>-181980</v>
      </c>
      <c r="N49" s="422">
        <f t="shared" si="50"/>
        <v>-285066</v>
      </c>
      <c r="O49" s="422">
        <f t="shared" si="50"/>
        <v>-260075</v>
      </c>
      <c r="P49" s="422">
        <f t="shared" si="50"/>
        <v>-124022</v>
      </c>
      <c r="Q49" s="422">
        <f t="shared" si="50"/>
        <v>-265991</v>
      </c>
      <c r="R49" s="422">
        <f t="shared" si="50"/>
        <v>-395048</v>
      </c>
      <c r="S49" s="422">
        <f t="shared" si="50"/>
        <v>-523315</v>
      </c>
      <c r="T49" s="422">
        <f t="shared" si="50"/>
        <v>-141945</v>
      </c>
      <c r="U49" s="422">
        <f>SUM(U50:U56)</f>
        <v>-300489</v>
      </c>
      <c r="W49" s="422">
        <f t="shared" ref="W49:AC49" si="51">SUM(W50:W56)</f>
        <v>-92722</v>
      </c>
      <c r="X49" s="422">
        <f t="shared" si="51"/>
        <v>-89258</v>
      </c>
      <c r="Y49" s="422">
        <f t="shared" si="51"/>
        <v>-103086</v>
      </c>
      <c r="Z49" s="422">
        <f t="shared" si="51"/>
        <v>24991</v>
      </c>
      <c r="AA49" s="422">
        <f t="shared" si="51"/>
        <v>-124022</v>
      </c>
      <c r="AB49" s="422">
        <f t="shared" si="51"/>
        <v>-141969</v>
      </c>
      <c r="AC49" s="422">
        <f t="shared" si="51"/>
        <v>-129057</v>
      </c>
      <c r="AD49" s="422">
        <f t="shared" ref="AD49:AE49" si="52">SUM(AD50:AD56)</f>
        <v>-128267</v>
      </c>
      <c r="AE49" s="422">
        <f t="shared" si="52"/>
        <v>-141945</v>
      </c>
      <c r="AF49" s="422">
        <f>SUM(AF50:AF56)</f>
        <v>-158544</v>
      </c>
    </row>
    <row r="50" spans="1:32" outlineLevel="1">
      <c r="A50" s="418" t="s">
        <v>662</v>
      </c>
      <c r="B50" s="418" t="s">
        <v>663</v>
      </c>
      <c r="D50" s="423">
        <v>-44149</v>
      </c>
      <c r="E50" s="423">
        <v>-108566</v>
      </c>
      <c r="F50" s="423">
        <v>-146492</v>
      </c>
      <c r="G50" s="423">
        <v>-197474</v>
      </c>
      <c r="H50" s="423">
        <v>-36314</v>
      </c>
      <c r="I50" s="423">
        <v>-17997</v>
      </c>
      <c r="J50" s="423">
        <v>-21334</v>
      </c>
      <c r="K50" s="423">
        <v>-35267</v>
      </c>
      <c r="L50" s="423">
        <v>-9398</v>
      </c>
      <c r="M50" s="423">
        <v>-18130</v>
      </c>
      <c r="N50" s="423">
        <v>-35418</v>
      </c>
      <c r="O50" s="423">
        <v>-45118</v>
      </c>
      <c r="P50" s="423">
        <v>-12166</v>
      </c>
      <c r="Q50" s="423">
        <v>-23236</v>
      </c>
      <c r="R50" s="423">
        <v>-34195</v>
      </c>
      <c r="S50" s="423">
        <v>-45915</v>
      </c>
      <c r="T50" s="423">
        <v>-7395</v>
      </c>
      <c r="U50" s="423">
        <v>-22071</v>
      </c>
      <c r="W50" s="423">
        <f t="shared" ref="W50:W56" si="53">L50</f>
        <v>-9398</v>
      </c>
      <c r="X50" s="423">
        <f t="shared" ref="X50:X56" si="54">M50-W50</f>
        <v>-8732</v>
      </c>
      <c r="Y50" s="423">
        <f t="shared" ref="Y50:Z56" si="55">N50-M50</f>
        <v>-17288</v>
      </c>
      <c r="Z50" s="423">
        <f t="shared" si="55"/>
        <v>-9700</v>
      </c>
      <c r="AA50" s="423">
        <f t="shared" ref="AA50:AA56" si="56">P50</f>
        <v>-12166</v>
      </c>
      <c r="AB50" s="423">
        <f t="shared" ref="AB50:AB56" si="57">Q50-AA50</f>
        <v>-11070</v>
      </c>
      <c r="AC50" s="423">
        <f t="shared" ref="AC50:AD56" si="58">R50-Q50</f>
        <v>-10959</v>
      </c>
      <c r="AD50" s="423">
        <f t="shared" si="58"/>
        <v>-11720</v>
      </c>
      <c r="AE50" s="423">
        <f t="shared" ref="AE50:AE56" si="59">T50</f>
        <v>-7395</v>
      </c>
      <c r="AF50" s="423">
        <f t="shared" ref="AF50:AF56" si="60">U50-T50</f>
        <v>-14676</v>
      </c>
    </row>
    <row r="51" spans="1:32" outlineLevel="1">
      <c r="A51" s="418" t="s">
        <v>664</v>
      </c>
      <c r="B51" s="418" t="s">
        <v>665</v>
      </c>
      <c r="D51" s="423">
        <v>-2878</v>
      </c>
      <c r="E51" s="423">
        <v>-5580</v>
      </c>
      <c r="F51" s="423">
        <v>-8254</v>
      </c>
      <c r="G51" s="423">
        <v>-7597</v>
      </c>
      <c r="H51" s="423">
        <v>-1479</v>
      </c>
      <c r="I51" s="423">
        <v>-2259</v>
      </c>
      <c r="J51" s="423">
        <v>-4362</v>
      </c>
      <c r="K51" s="423">
        <v>-9968</v>
      </c>
      <c r="L51" s="423">
        <v>-2014</v>
      </c>
      <c r="M51" s="423">
        <v>-3415</v>
      </c>
      <c r="N51" s="423">
        <v>-11090</v>
      </c>
      <c r="O51" s="423">
        <v>-16399</v>
      </c>
      <c r="P51" s="423">
        <v>-1989</v>
      </c>
      <c r="Q51" s="423">
        <v>-6264</v>
      </c>
      <c r="R51" s="423">
        <v>-9588</v>
      </c>
      <c r="S51" s="423">
        <v>-14261</v>
      </c>
      <c r="T51" s="423">
        <v>-4940</v>
      </c>
      <c r="U51" s="423">
        <v>6795</v>
      </c>
      <c r="W51" s="423">
        <f t="shared" si="53"/>
        <v>-2014</v>
      </c>
      <c r="X51" s="423">
        <f t="shared" si="54"/>
        <v>-1401</v>
      </c>
      <c r="Y51" s="423">
        <f t="shared" si="55"/>
        <v>-7675</v>
      </c>
      <c r="Z51" s="423">
        <f t="shared" si="55"/>
        <v>-5309</v>
      </c>
      <c r="AA51" s="423">
        <f t="shared" si="56"/>
        <v>-1989</v>
      </c>
      <c r="AB51" s="423">
        <f t="shared" si="57"/>
        <v>-4275</v>
      </c>
      <c r="AC51" s="423">
        <f t="shared" si="58"/>
        <v>-3324</v>
      </c>
      <c r="AD51" s="423">
        <f t="shared" si="58"/>
        <v>-4673</v>
      </c>
      <c r="AE51" s="423">
        <f t="shared" si="59"/>
        <v>-4940</v>
      </c>
      <c r="AF51" s="423">
        <f t="shared" si="60"/>
        <v>11735</v>
      </c>
    </row>
    <row r="52" spans="1:32" outlineLevel="1">
      <c r="A52" s="418" t="s">
        <v>666</v>
      </c>
      <c r="B52" s="418" t="s">
        <v>667</v>
      </c>
      <c r="D52" s="423">
        <v>-12011</v>
      </c>
      <c r="E52" s="423">
        <v>-33607</v>
      </c>
      <c r="F52" s="423">
        <v>-50198</v>
      </c>
      <c r="G52" s="423">
        <v>-115314</v>
      </c>
      <c r="H52" s="423">
        <v>-61770</v>
      </c>
      <c r="I52" s="423">
        <v>-69244</v>
      </c>
      <c r="J52" s="423">
        <v>-97201</v>
      </c>
      <c r="K52" s="423">
        <v>-144421</v>
      </c>
      <c r="L52" s="423">
        <v>-47900</v>
      </c>
      <c r="M52" s="423">
        <v>-91156</v>
      </c>
      <c r="N52" s="423">
        <v>-131019</v>
      </c>
      <c r="O52" s="423">
        <v>-49819</v>
      </c>
      <c r="P52" s="423">
        <v>-69793</v>
      </c>
      <c r="Q52" s="423">
        <v>-127917</v>
      </c>
      <c r="R52" s="423">
        <v>-198178</v>
      </c>
      <c r="S52" s="423">
        <v>-253428</v>
      </c>
      <c r="T52" s="423">
        <v>-57460</v>
      </c>
      <c r="U52" s="423">
        <v>-95417</v>
      </c>
      <c r="W52" s="423">
        <f t="shared" si="53"/>
        <v>-47900</v>
      </c>
      <c r="X52" s="423">
        <f t="shared" si="54"/>
        <v>-43256</v>
      </c>
      <c r="Y52" s="423">
        <f t="shared" si="55"/>
        <v>-39863</v>
      </c>
      <c r="Z52" s="423">
        <f t="shared" si="55"/>
        <v>81200</v>
      </c>
      <c r="AA52" s="423">
        <f t="shared" si="56"/>
        <v>-69793</v>
      </c>
      <c r="AB52" s="423">
        <f t="shared" si="57"/>
        <v>-58124</v>
      </c>
      <c r="AC52" s="423">
        <f t="shared" si="58"/>
        <v>-70261</v>
      </c>
      <c r="AD52" s="423">
        <f t="shared" si="58"/>
        <v>-55250</v>
      </c>
      <c r="AE52" s="423">
        <f t="shared" si="59"/>
        <v>-57460</v>
      </c>
      <c r="AF52" s="423">
        <f t="shared" si="60"/>
        <v>-37957</v>
      </c>
    </row>
    <row r="53" spans="1:32" outlineLevel="1">
      <c r="A53" s="418" t="s">
        <v>668</v>
      </c>
      <c r="B53" s="418" t="s">
        <v>669</v>
      </c>
      <c r="D53" s="423">
        <v>-35726</v>
      </c>
      <c r="E53" s="423">
        <v>-71277</v>
      </c>
      <c r="F53" s="423">
        <v>-107000</v>
      </c>
      <c r="G53" s="423">
        <v>-143048</v>
      </c>
      <c r="H53" s="423">
        <v>-35278</v>
      </c>
      <c r="I53" s="423">
        <v>-29574</v>
      </c>
      <c r="J53" s="423">
        <v>-86423</v>
      </c>
      <c r="K53" s="423">
        <v>-119634</v>
      </c>
      <c r="L53" s="423">
        <v>-33159</v>
      </c>
      <c r="M53" s="423">
        <v>-67041</v>
      </c>
      <c r="N53" s="423">
        <v>-105634</v>
      </c>
      <c r="O53" s="423">
        <v>-147884</v>
      </c>
      <c r="P53" s="423">
        <v>-39762</v>
      </c>
      <c r="Q53" s="423">
        <v>-108071</v>
      </c>
      <c r="R53" s="423">
        <v>-152453</v>
      </c>
      <c r="S53" s="423">
        <v>-208797</v>
      </c>
      <c r="T53" s="423">
        <v>-72147</v>
      </c>
      <c r="U53" s="423">
        <v>-189642</v>
      </c>
      <c r="W53" s="423">
        <f t="shared" si="53"/>
        <v>-33159</v>
      </c>
      <c r="X53" s="423">
        <f t="shared" si="54"/>
        <v>-33882</v>
      </c>
      <c r="Y53" s="423">
        <f t="shared" si="55"/>
        <v>-38593</v>
      </c>
      <c r="Z53" s="423">
        <f t="shared" si="55"/>
        <v>-42250</v>
      </c>
      <c r="AA53" s="423">
        <f t="shared" si="56"/>
        <v>-39762</v>
      </c>
      <c r="AB53" s="423">
        <f t="shared" si="57"/>
        <v>-68309</v>
      </c>
      <c r="AC53" s="423">
        <f t="shared" si="58"/>
        <v>-44382</v>
      </c>
      <c r="AD53" s="423">
        <f t="shared" si="58"/>
        <v>-56344</v>
      </c>
      <c r="AE53" s="423">
        <f t="shared" si="59"/>
        <v>-72147</v>
      </c>
      <c r="AF53" s="423">
        <f t="shared" si="60"/>
        <v>-117495</v>
      </c>
    </row>
    <row r="54" spans="1:32" outlineLevel="1">
      <c r="A54" s="418" t="s">
        <v>670</v>
      </c>
      <c r="B54" s="418" t="s">
        <v>671</v>
      </c>
      <c r="D54" s="423">
        <v>0</v>
      </c>
      <c r="E54" s="423">
        <v>0</v>
      </c>
      <c r="F54" s="423">
        <v>0</v>
      </c>
      <c r="G54" s="423">
        <v>0</v>
      </c>
      <c r="H54" s="423">
        <v>0</v>
      </c>
      <c r="I54" s="423">
        <v>0</v>
      </c>
      <c r="J54" s="423">
        <v>0</v>
      </c>
      <c r="K54" s="423">
        <v>0</v>
      </c>
      <c r="L54" s="423">
        <v>0</v>
      </c>
      <c r="M54" s="423">
        <v>0</v>
      </c>
      <c r="N54" s="423">
        <v>0</v>
      </c>
      <c r="O54" s="423">
        <v>0</v>
      </c>
      <c r="P54" s="423">
        <v>0</v>
      </c>
      <c r="Q54" s="423">
        <v>0</v>
      </c>
      <c r="R54" s="423">
        <v>0</v>
      </c>
      <c r="S54" s="423">
        <v>0</v>
      </c>
      <c r="T54" s="423">
        <v>0</v>
      </c>
      <c r="U54" s="423">
        <v>0</v>
      </c>
      <c r="W54" s="423">
        <f t="shared" si="53"/>
        <v>0</v>
      </c>
      <c r="X54" s="423">
        <f t="shared" si="54"/>
        <v>0</v>
      </c>
      <c r="Y54" s="423">
        <f t="shared" si="55"/>
        <v>0</v>
      </c>
      <c r="Z54" s="423">
        <f t="shared" si="55"/>
        <v>0</v>
      </c>
      <c r="AA54" s="423">
        <f t="shared" si="56"/>
        <v>0</v>
      </c>
      <c r="AB54" s="423">
        <f t="shared" si="57"/>
        <v>0</v>
      </c>
      <c r="AC54" s="423">
        <f t="shared" si="58"/>
        <v>0</v>
      </c>
      <c r="AD54" s="423">
        <f t="shared" si="58"/>
        <v>0</v>
      </c>
      <c r="AE54" s="423">
        <f t="shared" si="59"/>
        <v>0</v>
      </c>
      <c r="AF54" s="423">
        <f t="shared" si="60"/>
        <v>0</v>
      </c>
    </row>
    <row r="55" spans="1:32" outlineLevel="1">
      <c r="A55" s="418" t="s">
        <v>672</v>
      </c>
      <c r="B55" s="418" t="s">
        <v>673</v>
      </c>
      <c r="D55" s="423">
        <v>-725</v>
      </c>
      <c r="E55" s="423">
        <v>2123</v>
      </c>
      <c r="F55" s="423">
        <v>4113</v>
      </c>
      <c r="G55" s="423">
        <v>4934</v>
      </c>
      <c r="H55" s="423">
        <v>1241</v>
      </c>
      <c r="I55" s="423">
        <v>6030</v>
      </c>
      <c r="J55" s="423">
        <v>6088</v>
      </c>
      <c r="K55" s="423">
        <v>-250</v>
      </c>
      <c r="L55" s="423">
        <v>-17</v>
      </c>
      <c r="M55" s="423">
        <v>-494</v>
      </c>
      <c r="N55" s="423">
        <v>-943</v>
      </c>
      <c r="O55" s="423">
        <v>-1291</v>
      </c>
      <c r="P55" s="423">
        <v>-317</v>
      </c>
      <c r="Q55" s="423">
        <v>-430</v>
      </c>
      <c r="R55" s="423">
        <v>-619</v>
      </c>
      <c r="S55" s="423">
        <v>-1045</v>
      </c>
      <c r="T55" s="423">
        <v>-54</v>
      </c>
      <c r="U55" s="423">
        <v>-210</v>
      </c>
      <c r="W55" s="423">
        <f t="shared" si="53"/>
        <v>-17</v>
      </c>
      <c r="X55" s="423">
        <f t="shared" si="54"/>
        <v>-477</v>
      </c>
      <c r="Y55" s="423">
        <f t="shared" si="55"/>
        <v>-449</v>
      </c>
      <c r="Z55" s="423">
        <f t="shared" si="55"/>
        <v>-348</v>
      </c>
      <c r="AA55" s="423">
        <f t="shared" si="56"/>
        <v>-317</v>
      </c>
      <c r="AB55" s="423">
        <f t="shared" si="57"/>
        <v>-113</v>
      </c>
      <c r="AC55" s="423">
        <f t="shared" si="58"/>
        <v>-189</v>
      </c>
      <c r="AD55" s="423">
        <f t="shared" si="58"/>
        <v>-426</v>
      </c>
      <c r="AE55" s="423">
        <f t="shared" si="59"/>
        <v>-54</v>
      </c>
      <c r="AF55" s="423">
        <f t="shared" si="60"/>
        <v>-156</v>
      </c>
    </row>
    <row r="56" spans="1:32" outlineLevel="1">
      <c r="A56" s="418" t="s">
        <v>674</v>
      </c>
      <c r="B56" s="418" t="s">
        <v>675</v>
      </c>
      <c r="D56" s="423">
        <v>379</v>
      </c>
      <c r="E56" s="423">
        <v>3096</v>
      </c>
      <c r="F56" s="423">
        <v>3183</v>
      </c>
      <c r="G56" s="423">
        <v>7980</v>
      </c>
      <c r="H56" s="423">
        <v>-1032</v>
      </c>
      <c r="I56" s="423">
        <v>2847</v>
      </c>
      <c r="J56" s="423">
        <v>2630</v>
      </c>
      <c r="K56" s="423">
        <v>2399</v>
      </c>
      <c r="L56" s="423">
        <v>-234</v>
      </c>
      <c r="M56" s="423">
        <v>-1744</v>
      </c>
      <c r="N56" s="423">
        <v>-962</v>
      </c>
      <c r="O56" s="423">
        <v>436</v>
      </c>
      <c r="P56" s="423">
        <v>5</v>
      </c>
      <c r="Q56" s="423">
        <v>-73</v>
      </c>
      <c r="R56" s="423">
        <v>-15</v>
      </c>
      <c r="S56" s="423">
        <v>131</v>
      </c>
      <c r="T56" s="423">
        <v>51</v>
      </c>
      <c r="U56" s="423">
        <v>56</v>
      </c>
      <c r="W56" s="423">
        <f t="shared" si="53"/>
        <v>-234</v>
      </c>
      <c r="X56" s="423">
        <f t="shared" si="54"/>
        <v>-1510</v>
      </c>
      <c r="Y56" s="423">
        <f t="shared" si="55"/>
        <v>782</v>
      </c>
      <c r="Z56" s="423">
        <f t="shared" si="55"/>
        <v>1398</v>
      </c>
      <c r="AA56" s="423">
        <f t="shared" si="56"/>
        <v>5</v>
      </c>
      <c r="AB56" s="423">
        <f t="shared" si="57"/>
        <v>-78</v>
      </c>
      <c r="AC56" s="423">
        <f t="shared" si="58"/>
        <v>58</v>
      </c>
      <c r="AD56" s="423">
        <f t="shared" si="58"/>
        <v>146</v>
      </c>
      <c r="AE56" s="423">
        <f t="shared" si="59"/>
        <v>51</v>
      </c>
      <c r="AF56" s="423">
        <f t="shared" si="60"/>
        <v>5</v>
      </c>
    </row>
    <row r="57" spans="1:32">
      <c r="A57" s="417"/>
      <c r="B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</row>
    <row r="58" spans="1:32">
      <c r="A58" s="429" t="s">
        <v>676</v>
      </c>
      <c r="B58" s="429" t="s">
        <v>677</v>
      </c>
      <c r="D58" s="420">
        <f t="shared" ref="D58:I58" si="61">D39+D41</f>
        <v>244051</v>
      </c>
      <c r="E58" s="420">
        <f t="shared" si="61"/>
        <v>315667</v>
      </c>
      <c r="F58" s="420">
        <f t="shared" si="61"/>
        <v>455149</v>
      </c>
      <c r="G58" s="420">
        <f t="shared" si="61"/>
        <v>619801</v>
      </c>
      <c r="H58" s="420">
        <f t="shared" si="61"/>
        <v>294584</v>
      </c>
      <c r="I58" s="420">
        <f t="shared" si="61"/>
        <v>566758</v>
      </c>
      <c r="J58" s="420">
        <f t="shared" ref="J58:Q58" si="62">J39+J41</f>
        <v>785475</v>
      </c>
      <c r="K58" s="420">
        <f t="shared" si="62"/>
        <v>1029201</v>
      </c>
      <c r="L58" s="420">
        <f t="shared" si="62"/>
        <v>326940</v>
      </c>
      <c r="M58" s="420">
        <f t="shared" si="62"/>
        <v>490021</v>
      </c>
      <c r="N58" s="420">
        <f t="shared" si="62"/>
        <v>727013</v>
      </c>
      <c r="O58" s="420">
        <f t="shared" si="62"/>
        <v>1050269</v>
      </c>
      <c r="P58" s="420">
        <f t="shared" si="62"/>
        <v>361019</v>
      </c>
      <c r="Q58" s="420">
        <f t="shared" si="62"/>
        <v>526300</v>
      </c>
      <c r="R58" s="420">
        <f t="shared" ref="R58:T58" si="63">R39+R41</f>
        <v>740598</v>
      </c>
      <c r="S58" s="420">
        <f t="shared" si="63"/>
        <v>1028223</v>
      </c>
      <c r="T58" s="420">
        <f t="shared" si="63"/>
        <v>416062</v>
      </c>
      <c r="U58" s="741">
        <f>U39+U41</f>
        <v>994057</v>
      </c>
      <c r="W58" s="420">
        <f t="shared" ref="W58:AC58" si="64">W39+W41</f>
        <v>326940</v>
      </c>
      <c r="X58" s="420">
        <f t="shared" si="64"/>
        <v>163081</v>
      </c>
      <c r="Y58" s="420">
        <f t="shared" si="64"/>
        <v>236992</v>
      </c>
      <c r="Z58" s="420">
        <f t="shared" si="64"/>
        <v>323256</v>
      </c>
      <c r="AA58" s="420">
        <f t="shared" si="64"/>
        <v>361019</v>
      </c>
      <c r="AB58" s="420">
        <f t="shared" si="64"/>
        <v>165281</v>
      </c>
      <c r="AC58" s="420">
        <f t="shared" si="64"/>
        <v>214298</v>
      </c>
      <c r="AD58" s="420">
        <f t="shared" ref="AD58:AE58" si="65">AD39+AD41</f>
        <v>287625</v>
      </c>
      <c r="AE58" s="420">
        <f t="shared" si="65"/>
        <v>416062</v>
      </c>
      <c r="AF58" s="741">
        <f>AF39+AF41</f>
        <v>1079378</v>
      </c>
    </row>
    <row r="59" spans="1:32">
      <c r="A59" s="417"/>
      <c r="B59" s="417"/>
      <c r="D59" s="417"/>
      <c r="E59" s="417"/>
      <c r="F59" s="417"/>
      <c r="G59" s="417"/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</row>
    <row r="60" spans="1:32">
      <c r="A60" s="416" t="s">
        <v>678</v>
      </c>
      <c r="B60" s="416" t="s">
        <v>679</v>
      </c>
      <c r="D60" s="424">
        <f t="shared" ref="D60:I60" si="66">D62+D68+D69+D78+D79</f>
        <v>-113961</v>
      </c>
      <c r="E60" s="424">
        <f t="shared" si="66"/>
        <v>-225161</v>
      </c>
      <c r="F60" s="424">
        <f t="shared" si="66"/>
        <v>-306732</v>
      </c>
      <c r="G60" s="424">
        <f t="shared" si="66"/>
        <v>-365454</v>
      </c>
      <c r="H60" s="424">
        <f t="shared" si="66"/>
        <v>-70993</v>
      </c>
      <c r="I60" s="424">
        <f t="shared" si="66"/>
        <v>-325355</v>
      </c>
      <c r="J60" s="424">
        <f t="shared" ref="J60:Q60" si="67">J62+J68+J69+J78+J79</f>
        <v>-471038</v>
      </c>
      <c r="K60" s="424">
        <f t="shared" si="67"/>
        <v>-723714</v>
      </c>
      <c r="L60" s="424">
        <f t="shared" si="67"/>
        <v>-170996</v>
      </c>
      <c r="M60" s="424">
        <f t="shared" si="67"/>
        <v>-357426</v>
      </c>
      <c r="N60" s="424">
        <f t="shared" si="67"/>
        <v>-519028</v>
      </c>
      <c r="O60" s="424">
        <f t="shared" si="67"/>
        <v>-765605</v>
      </c>
      <c r="P60" s="424">
        <f t="shared" si="67"/>
        <v>-109594</v>
      </c>
      <c r="Q60" s="424">
        <f t="shared" si="67"/>
        <v>-225084</v>
      </c>
      <c r="R60" s="424">
        <f t="shared" ref="R60:T60" si="68">R62+R68+R69+R78+R79</f>
        <v>-400640</v>
      </c>
      <c r="S60" s="424">
        <f t="shared" si="68"/>
        <v>-667856</v>
      </c>
      <c r="T60" s="424">
        <f t="shared" si="68"/>
        <v>-150710</v>
      </c>
      <c r="U60" s="424">
        <f>U62+U68+U69+U78+U79</f>
        <v>-396532</v>
      </c>
      <c r="W60" s="424">
        <f t="shared" ref="W60:AC60" si="69">W62+W68+W69+W78+W79</f>
        <v>-170996</v>
      </c>
      <c r="X60" s="424">
        <f t="shared" si="69"/>
        <v>-186430</v>
      </c>
      <c r="Y60" s="424">
        <f t="shared" si="69"/>
        <v>-161602</v>
      </c>
      <c r="Z60" s="424">
        <f t="shared" si="69"/>
        <v>-246577</v>
      </c>
      <c r="AA60" s="424">
        <f t="shared" si="69"/>
        <v>-109594</v>
      </c>
      <c r="AB60" s="424">
        <f t="shared" si="69"/>
        <v>-115490</v>
      </c>
      <c r="AC60" s="424">
        <f t="shared" si="69"/>
        <v>-175556</v>
      </c>
      <c r="AD60" s="424">
        <f t="shared" ref="AD60:AE60" si="70">AD62+AD68+AD69+AD78+AD79</f>
        <v>-267216</v>
      </c>
      <c r="AE60" s="424">
        <f t="shared" si="70"/>
        <v>-150710</v>
      </c>
      <c r="AF60" s="424">
        <f>AF62+AF68+AF69+AF78+AF79</f>
        <v>-245822</v>
      </c>
    </row>
    <row r="61" spans="1:32">
      <c r="A61" s="416"/>
      <c r="B61" s="416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W61" s="421"/>
      <c r="X61" s="421"/>
      <c r="Y61" s="421"/>
      <c r="Z61" s="421"/>
      <c r="AA61" s="421"/>
      <c r="AB61" s="421"/>
      <c r="AC61" s="421"/>
      <c r="AD61" s="421"/>
      <c r="AE61" s="421"/>
      <c r="AF61" s="421"/>
    </row>
    <row r="62" spans="1:32">
      <c r="A62" s="419" t="s">
        <v>680</v>
      </c>
      <c r="B62" s="419" t="s">
        <v>681</v>
      </c>
      <c r="D62" s="422">
        <f t="shared" ref="D62:I62" si="71">SUM(D63:D67)</f>
        <v>-47337</v>
      </c>
      <c r="E62" s="422">
        <f t="shared" si="71"/>
        <v>-99899</v>
      </c>
      <c r="F62" s="422">
        <f t="shared" si="71"/>
        <v>-148517</v>
      </c>
      <c r="G62" s="422">
        <f t="shared" si="71"/>
        <v>-173982</v>
      </c>
      <c r="H62" s="422">
        <f t="shared" si="71"/>
        <v>-14400</v>
      </c>
      <c r="I62" s="422">
        <f t="shared" si="71"/>
        <v>-60368</v>
      </c>
      <c r="J62" s="422">
        <f t="shared" ref="J62:T62" si="72">SUM(J63:J67)</f>
        <v>-95588</v>
      </c>
      <c r="K62" s="422">
        <f t="shared" si="72"/>
        <v>-132087</v>
      </c>
      <c r="L62" s="422">
        <f t="shared" si="72"/>
        <v>-40606</v>
      </c>
      <c r="M62" s="422">
        <f t="shared" si="72"/>
        <v>-83013</v>
      </c>
      <c r="N62" s="422">
        <f t="shared" si="72"/>
        <v>-114299</v>
      </c>
      <c r="O62" s="422">
        <f t="shared" si="72"/>
        <v>-316680</v>
      </c>
      <c r="P62" s="422">
        <f t="shared" si="72"/>
        <v>-38577</v>
      </c>
      <c r="Q62" s="422">
        <f t="shared" si="72"/>
        <v>-88128</v>
      </c>
      <c r="R62" s="422">
        <f t="shared" si="72"/>
        <v>-135473</v>
      </c>
      <c r="S62" s="422">
        <f t="shared" si="72"/>
        <v>-184280</v>
      </c>
      <c r="T62" s="422">
        <f t="shared" si="72"/>
        <v>-45814</v>
      </c>
      <c r="U62" s="422">
        <f>SUM(U63:U67)</f>
        <v>-94427</v>
      </c>
      <c r="W62" s="422">
        <f t="shared" ref="W62:AC62" si="73">SUM(W63:W67)</f>
        <v>-40606</v>
      </c>
      <c r="X62" s="422">
        <f t="shared" si="73"/>
        <v>-42407</v>
      </c>
      <c r="Y62" s="422">
        <f t="shared" si="73"/>
        <v>-31286</v>
      </c>
      <c r="Z62" s="422">
        <f t="shared" si="73"/>
        <v>-202381</v>
      </c>
      <c r="AA62" s="422">
        <f t="shared" si="73"/>
        <v>-38577</v>
      </c>
      <c r="AB62" s="422">
        <f t="shared" si="73"/>
        <v>-49551</v>
      </c>
      <c r="AC62" s="422">
        <f t="shared" si="73"/>
        <v>-47345</v>
      </c>
      <c r="AD62" s="422">
        <f t="shared" ref="AD62:AE62" si="74">SUM(AD63:AD67)</f>
        <v>-48807</v>
      </c>
      <c r="AE62" s="422">
        <f t="shared" si="74"/>
        <v>-45814</v>
      </c>
      <c r="AF62" s="422">
        <f>SUM(AF63:AF67)</f>
        <v>-48613</v>
      </c>
    </row>
    <row r="63" spans="1:32" outlineLevel="1">
      <c r="A63" s="418" t="s">
        <v>682</v>
      </c>
      <c r="B63" s="418" t="s">
        <v>683</v>
      </c>
      <c r="D63" s="423">
        <v>-21010</v>
      </c>
      <c r="E63" s="423">
        <v>-35653</v>
      </c>
      <c r="F63" s="423">
        <v>-46991</v>
      </c>
      <c r="G63" s="423">
        <v>-59739</v>
      </c>
      <c r="H63" s="423">
        <v>-10374</v>
      </c>
      <c r="I63" s="423">
        <v>-14524</v>
      </c>
      <c r="J63" s="423">
        <v>-20293</v>
      </c>
      <c r="K63" s="423">
        <v>-28655</v>
      </c>
      <c r="L63" s="423">
        <v>-9507</v>
      </c>
      <c r="M63" s="423">
        <v>-20066</v>
      </c>
      <c r="N63" s="423">
        <v>-21220</v>
      </c>
      <c r="O63" s="423">
        <v>-34213</v>
      </c>
      <c r="P63" s="423">
        <v>-10208</v>
      </c>
      <c r="Q63" s="423">
        <v>-20533</v>
      </c>
      <c r="R63" s="423">
        <v>-30379</v>
      </c>
      <c r="S63" s="423">
        <v>-40191</v>
      </c>
      <c r="T63" s="423">
        <v>-9556</v>
      </c>
      <c r="U63" s="423">
        <v>-19293</v>
      </c>
      <c r="W63" s="423">
        <f t="shared" ref="W63:W68" si="75">L63</f>
        <v>-9507</v>
      </c>
      <c r="X63" s="423">
        <f t="shared" ref="X63:X68" si="76">M63-W63</f>
        <v>-10559</v>
      </c>
      <c r="Y63" s="423">
        <f t="shared" ref="Y63:Z68" si="77">N63-M63</f>
        <v>-1154</v>
      </c>
      <c r="Z63" s="423">
        <f t="shared" si="77"/>
        <v>-12993</v>
      </c>
      <c r="AA63" s="423">
        <f t="shared" ref="AA63:AA68" si="78">P63</f>
        <v>-10208</v>
      </c>
      <c r="AB63" s="423">
        <f t="shared" ref="AB63:AB68" si="79">Q63-AA63</f>
        <v>-10325</v>
      </c>
      <c r="AC63" s="423">
        <f t="shared" ref="AC63:AD68" si="80">R63-Q63</f>
        <v>-9846</v>
      </c>
      <c r="AD63" s="423">
        <f t="shared" si="80"/>
        <v>-9812</v>
      </c>
      <c r="AE63" s="423">
        <f t="shared" ref="AE63:AE68" si="81">T63</f>
        <v>-9556</v>
      </c>
      <c r="AF63" s="423">
        <f t="shared" ref="AF63:AF68" si="82">U63-T63</f>
        <v>-9737</v>
      </c>
    </row>
    <row r="64" spans="1:32" outlineLevel="1">
      <c r="A64" s="418" t="s">
        <v>684</v>
      </c>
      <c r="B64" s="418" t="s">
        <v>685</v>
      </c>
      <c r="D64" s="423">
        <v>-1193</v>
      </c>
      <c r="E64" s="423">
        <v>-1295</v>
      </c>
      <c r="F64" s="423">
        <v>-1451</v>
      </c>
      <c r="G64" s="423">
        <v>-3553</v>
      </c>
      <c r="H64" s="423">
        <v>-191</v>
      </c>
      <c r="I64" s="423">
        <v>-307</v>
      </c>
      <c r="J64" s="423">
        <v>-488</v>
      </c>
      <c r="K64" s="423">
        <v>-672</v>
      </c>
      <c r="L64" s="423">
        <v>-235</v>
      </c>
      <c r="M64" s="423">
        <v>-4431</v>
      </c>
      <c r="N64" s="423">
        <v>-1273</v>
      </c>
      <c r="O64" s="423">
        <v>-443</v>
      </c>
      <c r="P64" s="423">
        <v>-445</v>
      </c>
      <c r="Q64" s="423">
        <v>-1036</v>
      </c>
      <c r="R64" s="423">
        <v>-1489</v>
      </c>
      <c r="S64" s="423">
        <v>-2098</v>
      </c>
      <c r="T64" s="423">
        <v>-272</v>
      </c>
      <c r="U64" s="423">
        <v>-514</v>
      </c>
      <c r="W64" s="423">
        <f t="shared" si="75"/>
        <v>-235</v>
      </c>
      <c r="X64" s="423">
        <f t="shared" si="76"/>
        <v>-4196</v>
      </c>
      <c r="Y64" s="423">
        <f t="shared" si="77"/>
        <v>3158</v>
      </c>
      <c r="Z64" s="423">
        <f t="shared" si="77"/>
        <v>830</v>
      </c>
      <c r="AA64" s="423">
        <f t="shared" si="78"/>
        <v>-445</v>
      </c>
      <c r="AB64" s="423">
        <f t="shared" si="79"/>
        <v>-591</v>
      </c>
      <c r="AC64" s="423">
        <f t="shared" si="80"/>
        <v>-453</v>
      </c>
      <c r="AD64" s="423">
        <f t="shared" si="80"/>
        <v>-609</v>
      </c>
      <c r="AE64" s="423">
        <f t="shared" si="81"/>
        <v>-272</v>
      </c>
      <c r="AF64" s="423">
        <f t="shared" si="82"/>
        <v>-242</v>
      </c>
    </row>
    <row r="65" spans="1:32" outlineLevel="1">
      <c r="A65" s="418" t="s">
        <v>686</v>
      </c>
      <c r="B65" s="418" t="s">
        <v>687</v>
      </c>
      <c r="D65" s="423">
        <v>-25008</v>
      </c>
      <c r="E65" s="423">
        <v>-61685</v>
      </c>
      <c r="F65" s="423">
        <v>-98379</v>
      </c>
      <c r="G65" s="423">
        <v>-103930</v>
      </c>
      <c r="H65" s="423">
        <v>-3818</v>
      </c>
      <c r="I65" s="423">
        <v>-44760</v>
      </c>
      <c r="J65" s="423">
        <v>-73554</v>
      </c>
      <c r="K65" s="423">
        <v>-100849</v>
      </c>
      <c r="L65" s="423">
        <v>-30217</v>
      </c>
      <c r="M65" s="423">
        <v>-55338</v>
      </c>
      <c r="N65" s="423">
        <v>-88411</v>
      </c>
      <c r="O65" s="423">
        <v>-275256</v>
      </c>
      <c r="P65" s="423">
        <v>-27006</v>
      </c>
      <c r="Q65" s="423">
        <v>-65078</v>
      </c>
      <c r="R65" s="423">
        <v>-101184</v>
      </c>
      <c r="S65" s="423">
        <v>-138379</v>
      </c>
      <c r="T65" s="423">
        <v>-35479</v>
      </c>
      <c r="U65" s="423">
        <v>-73921</v>
      </c>
      <c r="W65" s="423">
        <f t="shared" si="75"/>
        <v>-30217</v>
      </c>
      <c r="X65" s="423">
        <f t="shared" si="76"/>
        <v>-25121</v>
      </c>
      <c r="Y65" s="423">
        <f t="shared" si="77"/>
        <v>-33073</v>
      </c>
      <c r="Z65" s="423">
        <f t="shared" si="77"/>
        <v>-186845</v>
      </c>
      <c r="AA65" s="423">
        <f t="shared" si="78"/>
        <v>-27006</v>
      </c>
      <c r="AB65" s="423">
        <f t="shared" si="79"/>
        <v>-38072</v>
      </c>
      <c r="AC65" s="423">
        <f t="shared" si="80"/>
        <v>-36106</v>
      </c>
      <c r="AD65" s="423">
        <f t="shared" si="80"/>
        <v>-37195</v>
      </c>
      <c r="AE65" s="423">
        <f t="shared" si="81"/>
        <v>-35479</v>
      </c>
      <c r="AF65" s="423">
        <f t="shared" si="82"/>
        <v>-38442</v>
      </c>
    </row>
    <row r="66" spans="1:32" outlineLevel="1">
      <c r="A66" s="418" t="s">
        <v>688</v>
      </c>
      <c r="B66" s="418" t="s">
        <v>689</v>
      </c>
      <c r="D66" s="423">
        <v>0</v>
      </c>
      <c r="E66" s="423">
        <v>0</v>
      </c>
      <c r="F66" s="423">
        <v>0</v>
      </c>
      <c r="G66" s="423">
        <v>0</v>
      </c>
      <c r="H66" s="423">
        <v>0</v>
      </c>
      <c r="I66" s="423">
        <v>-44</v>
      </c>
      <c r="J66" s="423">
        <v>-72</v>
      </c>
      <c r="K66" s="423">
        <v>-196</v>
      </c>
      <c r="L66" s="423">
        <v>-209</v>
      </c>
      <c r="M66" s="423">
        <v>-1750</v>
      </c>
      <c r="N66" s="423">
        <v>-1922</v>
      </c>
      <c r="O66" s="423">
        <v>-4578</v>
      </c>
      <c r="P66" s="423">
        <v>-603</v>
      </c>
      <c r="Q66" s="423">
        <v>-867</v>
      </c>
      <c r="R66" s="423">
        <v>-1087</v>
      </c>
      <c r="S66" s="423">
        <v>-1668</v>
      </c>
      <c r="T66" s="423">
        <v>-112</v>
      </c>
      <c r="U66" s="423">
        <v>-225</v>
      </c>
      <c r="W66" s="423">
        <f t="shared" si="75"/>
        <v>-209</v>
      </c>
      <c r="X66" s="423">
        <f t="shared" si="76"/>
        <v>-1541</v>
      </c>
      <c r="Y66" s="423">
        <f t="shared" si="77"/>
        <v>-172</v>
      </c>
      <c r="Z66" s="423">
        <f t="shared" si="77"/>
        <v>-2656</v>
      </c>
      <c r="AA66" s="423">
        <f t="shared" si="78"/>
        <v>-603</v>
      </c>
      <c r="AB66" s="423">
        <f t="shared" si="79"/>
        <v>-264</v>
      </c>
      <c r="AC66" s="423">
        <f t="shared" si="80"/>
        <v>-220</v>
      </c>
      <c r="AD66" s="423">
        <f t="shared" si="80"/>
        <v>-581</v>
      </c>
      <c r="AE66" s="423">
        <f t="shared" si="81"/>
        <v>-112</v>
      </c>
      <c r="AF66" s="423">
        <f t="shared" si="82"/>
        <v>-113</v>
      </c>
    </row>
    <row r="67" spans="1:32" outlineLevel="1">
      <c r="A67" s="418" t="s">
        <v>690</v>
      </c>
      <c r="B67" s="418" t="s">
        <v>691</v>
      </c>
      <c r="D67" s="423">
        <v>-126</v>
      </c>
      <c r="E67" s="423">
        <v>-1266</v>
      </c>
      <c r="F67" s="423">
        <v>-1696</v>
      </c>
      <c r="G67" s="423">
        <v>-6760</v>
      </c>
      <c r="H67" s="423">
        <v>-17</v>
      </c>
      <c r="I67" s="423">
        <v>-733</v>
      </c>
      <c r="J67" s="423">
        <v>-1181</v>
      </c>
      <c r="K67" s="423">
        <v>-1715</v>
      </c>
      <c r="L67" s="423">
        <v>-438</v>
      </c>
      <c r="M67" s="423">
        <v>-1428</v>
      </c>
      <c r="N67" s="423">
        <v>-1473</v>
      </c>
      <c r="O67" s="423">
        <v>-2190</v>
      </c>
      <c r="P67" s="423">
        <v>-315</v>
      </c>
      <c r="Q67" s="423">
        <v>-614</v>
      </c>
      <c r="R67" s="423">
        <v>-1334</v>
      </c>
      <c r="S67" s="423">
        <v>-1944</v>
      </c>
      <c r="T67" s="423">
        <v>-395</v>
      </c>
      <c r="U67" s="423">
        <v>-474</v>
      </c>
      <c r="W67" s="423">
        <f t="shared" si="75"/>
        <v>-438</v>
      </c>
      <c r="X67" s="423">
        <f t="shared" si="76"/>
        <v>-990</v>
      </c>
      <c r="Y67" s="423">
        <f t="shared" si="77"/>
        <v>-45</v>
      </c>
      <c r="Z67" s="423">
        <f t="shared" si="77"/>
        <v>-717</v>
      </c>
      <c r="AA67" s="423">
        <f t="shared" si="78"/>
        <v>-315</v>
      </c>
      <c r="AB67" s="423">
        <f t="shared" si="79"/>
        <v>-299</v>
      </c>
      <c r="AC67" s="423">
        <f t="shared" si="80"/>
        <v>-720</v>
      </c>
      <c r="AD67" s="423">
        <f t="shared" si="80"/>
        <v>-610</v>
      </c>
      <c r="AE67" s="423">
        <f t="shared" si="81"/>
        <v>-395</v>
      </c>
      <c r="AF67" s="423">
        <f t="shared" si="82"/>
        <v>-79</v>
      </c>
    </row>
    <row r="68" spans="1:32">
      <c r="A68" s="417" t="s">
        <v>692</v>
      </c>
      <c r="B68" s="417" t="s">
        <v>693</v>
      </c>
      <c r="D68" s="425">
        <v>-37874</v>
      </c>
      <c r="E68" s="425">
        <v>-55369</v>
      </c>
      <c r="F68" s="425">
        <v>-48242</v>
      </c>
      <c r="G68" s="425">
        <v>-53059</v>
      </c>
      <c r="H68" s="425">
        <v>-27278</v>
      </c>
      <c r="I68" s="425">
        <v>-12544</v>
      </c>
      <c r="J68" s="425">
        <v>-37130</v>
      </c>
      <c r="K68" s="425">
        <v>-33779</v>
      </c>
      <c r="L68" s="425">
        <v>-38703</v>
      </c>
      <c r="M68" s="425">
        <v>-79045</v>
      </c>
      <c r="N68" s="425">
        <v>-117936</v>
      </c>
      <c r="O68" s="425">
        <v>-115756</v>
      </c>
      <c r="P68" s="425">
        <v>-29730</v>
      </c>
      <c r="Q68" s="425">
        <v>-36524</v>
      </c>
      <c r="R68" s="425">
        <v>-61056</v>
      </c>
      <c r="S68" s="425">
        <v>-31531</v>
      </c>
      <c r="T68" s="425">
        <v>-27121</v>
      </c>
      <c r="U68" s="756">
        <v>-24898</v>
      </c>
      <c r="W68" s="425">
        <f t="shared" si="75"/>
        <v>-38703</v>
      </c>
      <c r="X68" s="425">
        <f t="shared" si="76"/>
        <v>-40342</v>
      </c>
      <c r="Y68" s="425">
        <f t="shared" si="77"/>
        <v>-38891</v>
      </c>
      <c r="Z68" s="425">
        <f t="shared" si="77"/>
        <v>2180</v>
      </c>
      <c r="AA68" s="425">
        <f t="shared" si="78"/>
        <v>-29730</v>
      </c>
      <c r="AB68" s="425">
        <f t="shared" si="79"/>
        <v>-6794</v>
      </c>
      <c r="AC68" s="425">
        <f t="shared" si="80"/>
        <v>-24532</v>
      </c>
      <c r="AD68" s="425">
        <f t="shared" si="80"/>
        <v>29525</v>
      </c>
      <c r="AE68" s="425">
        <f t="shared" si="81"/>
        <v>-27121</v>
      </c>
      <c r="AF68" s="756">
        <f t="shared" si="82"/>
        <v>2223</v>
      </c>
    </row>
    <row r="69" spans="1:32">
      <c r="A69" s="417" t="s">
        <v>694</v>
      </c>
      <c r="B69" s="417" t="s">
        <v>695</v>
      </c>
      <c r="D69" s="422">
        <f t="shared" ref="D69:I69" si="83">SUM(D70:D77)</f>
        <v>-22956</v>
      </c>
      <c r="E69" s="422">
        <f t="shared" si="83"/>
        <v>-63375</v>
      </c>
      <c r="F69" s="422">
        <f t="shared" si="83"/>
        <v>-102907</v>
      </c>
      <c r="G69" s="422">
        <f t="shared" si="83"/>
        <v>-137165</v>
      </c>
      <c r="H69" s="422">
        <f t="shared" si="83"/>
        <v>-31463</v>
      </c>
      <c r="I69" s="422">
        <f t="shared" si="83"/>
        <v>-206782</v>
      </c>
      <c r="J69" s="422">
        <f t="shared" ref="J69:T69" si="84">SUM(J70:J77)</f>
        <v>-280444</v>
      </c>
      <c r="K69" s="422">
        <f t="shared" si="84"/>
        <v>-389367</v>
      </c>
      <c r="L69" s="422">
        <f t="shared" si="84"/>
        <v>-64852</v>
      </c>
      <c r="M69" s="422">
        <f t="shared" si="84"/>
        <v>-108863</v>
      </c>
      <c r="N69" s="422">
        <f t="shared" si="84"/>
        <v>-164513</v>
      </c>
      <c r="O69" s="422">
        <f t="shared" si="84"/>
        <v>-192566</v>
      </c>
      <c r="P69" s="422">
        <f t="shared" si="84"/>
        <v>-45710</v>
      </c>
      <c r="Q69" s="422">
        <f t="shared" si="84"/>
        <v>-100403</v>
      </c>
      <c r="R69" s="422">
        <f t="shared" si="84"/>
        <v>-156013</v>
      </c>
      <c r="S69" s="422">
        <f t="shared" si="84"/>
        <v>-283592</v>
      </c>
      <c r="T69" s="422">
        <f t="shared" si="84"/>
        <v>-75222</v>
      </c>
      <c r="U69" s="422">
        <f>SUM(U70:U77)</f>
        <v>-151617</v>
      </c>
      <c r="W69" s="422">
        <f t="shared" ref="W69:AC69" si="85">SUM(W70:W77)</f>
        <v>-64852</v>
      </c>
      <c r="X69" s="422">
        <f t="shared" si="85"/>
        <v>-44011</v>
      </c>
      <c r="Y69" s="422">
        <f t="shared" si="85"/>
        <v>-55650</v>
      </c>
      <c r="Z69" s="422">
        <f t="shared" si="85"/>
        <v>-28053</v>
      </c>
      <c r="AA69" s="422">
        <f t="shared" si="85"/>
        <v>-45710</v>
      </c>
      <c r="AB69" s="422">
        <f t="shared" si="85"/>
        <v>-54693</v>
      </c>
      <c r="AC69" s="422">
        <f t="shared" si="85"/>
        <v>-55610</v>
      </c>
      <c r="AD69" s="422">
        <f t="shared" ref="AD69:AE69" si="86">SUM(AD70:AD77)</f>
        <v>-127579</v>
      </c>
      <c r="AE69" s="422">
        <f t="shared" si="86"/>
        <v>-75222</v>
      </c>
      <c r="AF69" s="422">
        <f>SUM(AF70:AF77)</f>
        <v>-76395</v>
      </c>
    </row>
    <row r="70" spans="1:32" outlineLevel="1">
      <c r="A70" s="418" t="s">
        <v>696</v>
      </c>
      <c r="B70" s="418" t="s">
        <v>697</v>
      </c>
      <c r="D70" s="423">
        <v>-6041</v>
      </c>
      <c r="E70" s="423">
        <v>-11067</v>
      </c>
      <c r="F70" s="423">
        <v>-15761</v>
      </c>
      <c r="G70" s="423">
        <v>-18659</v>
      </c>
      <c r="H70" s="423">
        <v>-4709</v>
      </c>
      <c r="I70" s="423">
        <v>-82898</v>
      </c>
      <c r="J70" s="423">
        <v>-131627</v>
      </c>
      <c r="K70" s="423">
        <v>-165611</v>
      </c>
      <c r="L70" s="423">
        <v>-11091</v>
      </c>
      <c r="M70" s="423">
        <v>-29654</v>
      </c>
      <c r="N70" s="423">
        <v>-43184</v>
      </c>
      <c r="O70" s="423">
        <v>-38554</v>
      </c>
      <c r="P70" s="423">
        <v>-7022</v>
      </c>
      <c r="Q70" s="423">
        <v>-19108</v>
      </c>
      <c r="R70" s="423">
        <v>-28709</v>
      </c>
      <c r="S70" s="423">
        <v>-42155</v>
      </c>
      <c r="T70" s="423">
        <v>-11222</v>
      </c>
      <c r="U70" s="423">
        <v>-29326</v>
      </c>
      <c r="W70" s="423">
        <f t="shared" ref="W70:W78" si="87">L70</f>
        <v>-11091</v>
      </c>
      <c r="X70" s="423">
        <f t="shared" ref="X70:X78" si="88">M70-W70</f>
        <v>-18563</v>
      </c>
      <c r="Y70" s="423">
        <f t="shared" ref="Y70:Y78" si="89">N70-M70</f>
        <v>-13530</v>
      </c>
      <c r="Z70" s="423">
        <f t="shared" ref="Z70:Z78" si="90">O70-N70</f>
        <v>4630</v>
      </c>
      <c r="AA70" s="423">
        <f t="shared" ref="AA70:AA78" si="91">P70</f>
        <v>-7022</v>
      </c>
      <c r="AB70" s="423">
        <f t="shared" ref="AB70:AB78" si="92">Q70-AA70</f>
        <v>-12086</v>
      </c>
      <c r="AC70" s="423">
        <f t="shared" ref="AC70:AC78" si="93">R70-Q70</f>
        <v>-9601</v>
      </c>
      <c r="AD70" s="423">
        <f t="shared" ref="AD70:AD78" si="94">S70-R70</f>
        <v>-13446</v>
      </c>
      <c r="AE70" s="423">
        <f t="shared" ref="AE70:AE78" si="95">T70</f>
        <v>-11222</v>
      </c>
      <c r="AF70" s="423">
        <f t="shared" ref="AF70:AF78" si="96">U70-T70</f>
        <v>-18104</v>
      </c>
    </row>
    <row r="71" spans="1:32" outlineLevel="1">
      <c r="A71" s="418" t="s">
        <v>698</v>
      </c>
      <c r="B71" s="418" t="s">
        <v>699</v>
      </c>
      <c r="D71" s="423">
        <v>-504</v>
      </c>
      <c r="E71" s="423">
        <v>-932</v>
      </c>
      <c r="F71" s="423">
        <v>-926</v>
      </c>
      <c r="G71" s="423">
        <v>-932</v>
      </c>
      <c r="H71" s="423">
        <v>-11</v>
      </c>
      <c r="I71" s="423">
        <v>2044</v>
      </c>
      <c r="J71" s="423">
        <v>4243</v>
      </c>
      <c r="K71" s="423">
        <v>1172</v>
      </c>
      <c r="L71" s="423">
        <v>127</v>
      </c>
      <c r="M71" s="423">
        <v>567</v>
      </c>
      <c r="N71" s="423">
        <v>-1743</v>
      </c>
      <c r="O71" s="423">
        <v>-3800</v>
      </c>
      <c r="P71" s="423">
        <v>-165</v>
      </c>
      <c r="Q71" s="423">
        <v>-698</v>
      </c>
      <c r="R71" s="423">
        <v>-1160</v>
      </c>
      <c r="S71" s="423">
        <v>-1306</v>
      </c>
      <c r="T71" s="423">
        <v>-458</v>
      </c>
      <c r="U71" s="423">
        <v>-794</v>
      </c>
      <c r="W71" s="423">
        <f t="shared" si="87"/>
        <v>127</v>
      </c>
      <c r="X71" s="423">
        <f t="shared" si="88"/>
        <v>440</v>
      </c>
      <c r="Y71" s="423">
        <f t="shared" si="89"/>
        <v>-2310</v>
      </c>
      <c r="Z71" s="423">
        <f t="shared" si="90"/>
        <v>-2057</v>
      </c>
      <c r="AA71" s="423">
        <f t="shared" si="91"/>
        <v>-165</v>
      </c>
      <c r="AB71" s="423">
        <f t="shared" si="92"/>
        <v>-533</v>
      </c>
      <c r="AC71" s="423">
        <f t="shared" si="93"/>
        <v>-462</v>
      </c>
      <c r="AD71" s="423">
        <f t="shared" si="94"/>
        <v>-146</v>
      </c>
      <c r="AE71" s="423">
        <f t="shared" si="95"/>
        <v>-458</v>
      </c>
      <c r="AF71" s="423">
        <f t="shared" si="96"/>
        <v>-336</v>
      </c>
    </row>
    <row r="72" spans="1:32" outlineLevel="1">
      <c r="A72" s="418" t="s">
        <v>700</v>
      </c>
      <c r="B72" s="418" t="s">
        <v>701</v>
      </c>
      <c r="D72" s="423">
        <v>-4511</v>
      </c>
      <c r="E72" s="423">
        <v>-17176</v>
      </c>
      <c r="F72" s="423">
        <v>-33026</v>
      </c>
      <c r="G72" s="423">
        <v>-50263</v>
      </c>
      <c r="H72" s="423">
        <v>-12119</v>
      </c>
      <c r="I72" s="423">
        <v>-49559</v>
      </c>
      <c r="J72" s="423">
        <v>-71876</v>
      </c>
      <c r="K72" s="423">
        <v>-93544</v>
      </c>
      <c r="L72" s="423">
        <v>-29823</v>
      </c>
      <c r="M72" s="423">
        <v>-43962</v>
      </c>
      <c r="N72" s="423">
        <v>-65473</v>
      </c>
      <c r="O72" s="423">
        <v>-77641</v>
      </c>
      <c r="P72" s="423">
        <v>-14742</v>
      </c>
      <c r="Q72" s="423">
        <v>-34084</v>
      </c>
      <c r="R72" s="423">
        <v>-55613</v>
      </c>
      <c r="S72" s="423">
        <v>-106265</v>
      </c>
      <c r="T72" s="423">
        <v>-26632</v>
      </c>
      <c r="U72" s="423">
        <v>-65188</v>
      </c>
      <c r="W72" s="423">
        <f t="shared" si="87"/>
        <v>-29823</v>
      </c>
      <c r="X72" s="423">
        <f t="shared" si="88"/>
        <v>-14139</v>
      </c>
      <c r="Y72" s="423">
        <f t="shared" si="89"/>
        <v>-21511</v>
      </c>
      <c r="Z72" s="423">
        <f t="shared" si="90"/>
        <v>-12168</v>
      </c>
      <c r="AA72" s="423">
        <f t="shared" si="91"/>
        <v>-14742</v>
      </c>
      <c r="AB72" s="423">
        <f t="shared" si="92"/>
        <v>-19342</v>
      </c>
      <c r="AC72" s="423">
        <f t="shared" si="93"/>
        <v>-21529</v>
      </c>
      <c r="AD72" s="423">
        <f t="shared" si="94"/>
        <v>-50652</v>
      </c>
      <c r="AE72" s="423">
        <f t="shared" si="95"/>
        <v>-26632</v>
      </c>
      <c r="AF72" s="423">
        <f t="shared" si="96"/>
        <v>-38556</v>
      </c>
    </row>
    <row r="73" spans="1:32" outlineLevel="1">
      <c r="A73" s="418" t="s">
        <v>702</v>
      </c>
      <c r="B73" s="418" t="s">
        <v>703</v>
      </c>
      <c r="D73" s="423">
        <v>-208</v>
      </c>
      <c r="E73" s="423">
        <v>-2660</v>
      </c>
      <c r="F73" s="423">
        <v>-4422</v>
      </c>
      <c r="G73" s="423">
        <v>-6911</v>
      </c>
      <c r="H73" s="423">
        <v>-443</v>
      </c>
      <c r="I73" s="423">
        <v>-4479</v>
      </c>
      <c r="J73" s="423">
        <v>-11325</v>
      </c>
      <c r="K73" s="423">
        <v>-6701</v>
      </c>
      <c r="L73" s="423">
        <v>-563</v>
      </c>
      <c r="M73" s="423">
        <v>266</v>
      </c>
      <c r="N73" s="423">
        <v>-786</v>
      </c>
      <c r="O73" s="423">
        <v>503</v>
      </c>
      <c r="P73" s="423">
        <v>-1045</v>
      </c>
      <c r="Q73" s="423">
        <v>-1476</v>
      </c>
      <c r="R73" s="423">
        <v>-2201</v>
      </c>
      <c r="S73" s="423">
        <v>-2254</v>
      </c>
      <c r="T73" s="423">
        <v>-555</v>
      </c>
      <c r="U73" s="423">
        <v>-1119</v>
      </c>
      <c r="W73" s="423">
        <f t="shared" si="87"/>
        <v>-563</v>
      </c>
      <c r="X73" s="423">
        <f t="shared" si="88"/>
        <v>829</v>
      </c>
      <c r="Y73" s="423">
        <f t="shared" si="89"/>
        <v>-1052</v>
      </c>
      <c r="Z73" s="423">
        <f t="shared" si="90"/>
        <v>1289</v>
      </c>
      <c r="AA73" s="423">
        <f t="shared" si="91"/>
        <v>-1045</v>
      </c>
      <c r="AB73" s="423">
        <f t="shared" si="92"/>
        <v>-431</v>
      </c>
      <c r="AC73" s="423">
        <f t="shared" si="93"/>
        <v>-725</v>
      </c>
      <c r="AD73" s="423">
        <f t="shared" si="94"/>
        <v>-53</v>
      </c>
      <c r="AE73" s="423">
        <f t="shared" si="95"/>
        <v>-555</v>
      </c>
      <c r="AF73" s="423">
        <f t="shared" si="96"/>
        <v>-564</v>
      </c>
    </row>
    <row r="74" spans="1:32" outlineLevel="1">
      <c r="A74" s="418" t="s">
        <v>704</v>
      </c>
      <c r="B74" s="418" t="s">
        <v>705</v>
      </c>
      <c r="D74" s="423">
        <v>549</v>
      </c>
      <c r="E74" s="423">
        <v>1588</v>
      </c>
      <c r="F74" s="423">
        <v>1422</v>
      </c>
      <c r="G74" s="423">
        <v>-832</v>
      </c>
      <c r="H74" s="423">
        <v>-179</v>
      </c>
      <c r="I74" s="423">
        <v>1736</v>
      </c>
      <c r="J74" s="423">
        <v>-1192</v>
      </c>
      <c r="K74" s="423">
        <v>-1005</v>
      </c>
      <c r="L74" s="423">
        <v>-1204</v>
      </c>
      <c r="M74" s="423">
        <v>-2688</v>
      </c>
      <c r="N74" s="423">
        <v>-6471</v>
      </c>
      <c r="O74" s="423">
        <v>-6364</v>
      </c>
      <c r="P74" s="423">
        <v>-1411</v>
      </c>
      <c r="Q74" s="423">
        <v>-2974</v>
      </c>
      <c r="R74" s="423">
        <v>-3140</v>
      </c>
      <c r="S74" s="423">
        <v>-4606</v>
      </c>
      <c r="T74" s="423">
        <v>-5594</v>
      </c>
      <c r="U74" s="423">
        <v>-6046</v>
      </c>
      <c r="W74" s="423">
        <f t="shared" si="87"/>
        <v>-1204</v>
      </c>
      <c r="X74" s="423">
        <f t="shared" si="88"/>
        <v>-1484</v>
      </c>
      <c r="Y74" s="423">
        <f t="shared" si="89"/>
        <v>-3783</v>
      </c>
      <c r="Z74" s="423">
        <f t="shared" si="90"/>
        <v>107</v>
      </c>
      <c r="AA74" s="423">
        <f t="shared" si="91"/>
        <v>-1411</v>
      </c>
      <c r="AB74" s="423">
        <f t="shared" si="92"/>
        <v>-1563</v>
      </c>
      <c r="AC74" s="423">
        <f t="shared" si="93"/>
        <v>-166</v>
      </c>
      <c r="AD74" s="423">
        <f t="shared" si="94"/>
        <v>-1466</v>
      </c>
      <c r="AE74" s="423">
        <f t="shared" si="95"/>
        <v>-5594</v>
      </c>
      <c r="AF74" s="423">
        <f t="shared" si="96"/>
        <v>-452</v>
      </c>
    </row>
    <row r="75" spans="1:32" outlineLevel="1">
      <c r="A75" s="418" t="s">
        <v>706</v>
      </c>
      <c r="B75" s="418" t="s">
        <v>707</v>
      </c>
      <c r="D75" s="423">
        <v>-6637</v>
      </c>
      <c r="E75" s="423">
        <v>-22073</v>
      </c>
      <c r="F75" s="423">
        <v>-33845</v>
      </c>
      <c r="G75" s="423">
        <v>-38275</v>
      </c>
      <c r="H75" s="423">
        <v>-9058</v>
      </c>
      <c r="I75" s="423">
        <v>-25975</v>
      </c>
      <c r="J75" s="423">
        <v>-46709</v>
      </c>
      <c r="K75" s="423">
        <v>-94446</v>
      </c>
      <c r="L75" s="423">
        <v>-20769</v>
      </c>
      <c r="M75" s="423">
        <v>-30351</v>
      </c>
      <c r="N75" s="423">
        <v>-42499</v>
      </c>
      <c r="O75" s="423">
        <v>-56314</v>
      </c>
      <c r="P75" s="423">
        <v>-15377</v>
      </c>
      <c r="Q75" s="423">
        <v>-37694</v>
      </c>
      <c r="R75" s="423">
        <v>-46495</v>
      </c>
      <c r="S75" s="423">
        <v>-63240</v>
      </c>
      <c r="T75" s="423">
        <v>-21257</v>
      </c>
      <c r="U75" s="423">
        <v>-39638</v>
      </c>
      <c r="W75" s="423">
        <f t="shared" si="87"/>
        <v>-20769</v>
      </c>
      <c r="X75" s="423">
        <f t="shared" si="88"/>
        <v>-9582</v>
      </c>
      <c r="Y75" s="423">
        <f t="shared" si="89"/>
        <v>-12148</v>
      </c>
      <c r="Z75" s="423">
        <f t="shared" si="90"/>
        <v>-13815</v>
      </c>
      <c r="AA75" s="423">
        <f t="shared" si="91"/>
        <v>-15377</v>
      </c>
      <c r="AB75" s="423">
        <f t="shared" si="92"/>
        <v>-22317</v>
      </c>
      <c r="AC75" s="423">
        <f t="shared" si="93"/>
        <v>-8801</v>
      </c>
      <c r="AD75" s="423">
        <f t="shared" si="94"/>
        <v>-16745</v>
      </c>
      <c r="AE75" s="423">
        <f t="shared" si="95"/>
        <v>-21257</v>
      </c>
      <c r="AF75" s="423">
        <f t="shared" si="96"/>
        <v>-18381</v>
      </c>
    </row>
    <row r="76" spans="1:32" outlineLevel="1">
      <c r="A76" s="418" t="s">
        <v>708</v>
      </c>
      <c r="B76" s="418" t="s">
        <v>709</v>
      </c>
      <c r="D76" s="423">
        <v>-5604</v>
      </c>
      <c r="E76" s="423">
        <v>-11055</v>
      </c>
      <c r="F76" s="423">
        <v>-16349</v>
      </c>
      <c r="G76" s="423">
        <v>-21293</v>
      </c>
      <c r="H76" s="423">
        <v>-4944</v>
      </c>
      <c r="I76" s="423">
        <v>-47651</v>
      </c>
      <c r="J76" s="423">
        <v>-21958</v>
      </c>
      <c r="K76" s="423">
        <v>-29232</v>
      </c>
      <c r="L76" s="423">
        <v>-1529</v>
      </c>
      <c r="M76" s="423">
        <v>-3041</v>
      </c>
      <c r="N76" s="423">
        <v>-4357</v>
      </c>
      <c r="O76" s="423">
        <v>-10396</v>
      </c>
      <c r="P76" s="423">
        <v>-5948</v>
      </c>
      <c r="Q76" s="423">
        <v>-4369</v>
      </c>
      <c r="R76" s="423">
        <v>-18695</v>
      </c>
      <c r="S76" s="423">
        <v>-63766</v>
      </c>
      <c r="T76" s="423">
        <v>-9504</v>
      </c>
      <c r="U76" s="423">
        <v>-9506</v>
      </c>
      <c r="W76" s="423">
        <f t="shared" si="87"/>
        <v>-1529</v>
      </c>
      <c r="X76" s="423">
        <f t="shared" si="88"/>
        <v>-1512</v>
      </c>
      <c r="Y76" s="423">
        <f t="shared" si="89"/>
        <v>-1316</v>
      </c>
      <c r="Z76" s="423">
        <f t="shared" si="90"/>
        <v>-6039</v>
      </c>
      <c r="AA76" s="423">
        <f t="shared" si="91"/>
        <v>-5948</v>
      </c>
      <c r="AB76" s="423">
        <f t="shared" si="92"/>
        <v>1579</v>
      </c>
      <c r="AC76" s="423">
        <f t="shared" si="93"/>
        <v>-14326</v>
      </c>
      <c r="AD76" s="423">
        <f t="shared" si="94"/>
        <v>-45071</v>
      </c>
      <c r="AE76" s="423">
        <f t="shared" si="95"/>
        <v>-9504</v>
      </c>
      <c r="AF76" s="423">
        <f t="shared" si="96"/>
        <v>-2</v>
      </c>
    </row>
    <row r="77" spans="1:32" outlineLevel="1">
      <c r="A77" s="418" t="s">
        <v>710</v>
      </c>
      <c r="B77" s="418" t="s">
        <v>711</v>
      </c>
      <c r="D77" s="423">
        <v>0</v>
      </c>
      <c r="E77" s="423">
        <v>0</v>
      </c>
      <c r="F77" s="423">
        <v>0</v>
      </c>
      <c r="G77" s="423">
        <v>0</v>
      </c>
      <c r="H77" s="423">
        <v>0</v>
      </c>
      <c r="I77" s="423">
        <v>0</v>
      </c>
      <c r="J77" s="423">
        <v>0</v>
      </c>
      <c r="K77" s="423">
        <v>0</v>
      </c>
      <c r="L77" s="423">
        <v>0</v>
      </c>
      <c r="M77" s="423">
        <v>0</v>
      </c>
      <c r="N77" s="423">
        <v>0</v>
      </c>
      <c r="O77" s="423">
        <v>0</v>
      </c>
      <c r="P77" s="423">
        <v>0</v>
      </c>
      <c r="Q77" s="423">
        <v>0</v>
      </c>
      <c r="R77" s="423">
        <v>0</v>
      </c>
      <c r="S77" s="423">
        <v>0</v>
      </c>
      <c r="T77" s="423">
        <v>0</v>
      </c>
      <c r="U77" s="423">
        <v>0</v>
      </c>
      <c r="W77" s="423">
        <f t="shared" si="87"/>
        <v>0</v>
      </c>
      <c r="X77" s="423">
        <f t="shared" si="88"/>
        <v>0</v>
      </c>
      <c r="Y77" s="423">
        <f t="shared" si="89"/>
        <v>0</v>
      </c>
      <c r="Z77" s="423">
        <f t="shared" si="90"/>
        <v>0</v>
      </c>
      <c r="AA77" s="423">
        <f t="shared" si="91"/>
        <v>0</v>
      </c>
      <c r="AB77" s="423">
        <f t="shared" si="92"/>
        <v>0</v>
      </c>
      <c r="AC77" s="423">
        <f t="shared" si="93"/>
        <v>0</v>
      </c>
      <c r="AD77" s="423">
        <f t="shared" si="94"/>
        <v>0</v>
      </c>
      <c r="AE77" s="423">
        <f t="shared" si="95"/>
        <v>0</v>
      </c>
      <c r="AF77" s="423">
        <f t="shared" si="96"/>
        <v>0</v>
      </c>
    </row>
    <row r="78" spans="1:32">
      <c r="A78" s="417" t="s">
        <v>712</v>
      </c>
      <c r="B78" s="417" t="s">
        <v>713</v>
      </c>
      <c r="D78" s="422">
        <v>0</v>
      </c>
      <c r="E78" s="422">
        <v>0</v>
      </c>
      <c r="F78" s="422">
        <v>0</v>
      </c>
      <c r="G78" s="422">
        <v>0</v>
      </c>
      <c r="H78" s="422">
        <v>0</v>
      </c>
      <c r="I78" s="422">
        <v>0</v>
      </c>
      <c r="J78" s="422">
        <v>0</v>
      </c>
      <c r="K78" s="422"/>
      <c r="L78" s="422"/>
      <c r="M78" s="422">
        <v>0</v>
      </c>
      <c r="N78" s="422">
        <v>0</v>
      </c>
      <c r="O78" s="422">
        <v>0</v>
      </c>
      <c r="P78" s="422">
        <v>0</v>
      </c>
      <c r="Q78" s="422">
        <v>0</v>
      </c>
      <c r="R78" s="422">
        <v>0</v>
      </c>
      <c r="S78" s="422">
        <v>0</v>
      </c>
      <c r="T78" s="422">
        <v>0</v>
      </c>
      <c r="U78" s="422">
        <v>0</v>
      </c>
      <c r="W78" s="422">
        <f t="shared" si="87"/>
        <v>0</v>
      </c>
      <c r="X78" s="422">
        <f t="shared" si="88"/>
        <v>0</v>
      </c>
      <c r="Y78" s="422">
        <f t="shared" si="89"/>
        <v>0</v>
      </c>
      <c r="Z78" s="422">
        <f t="shared" si="90"/>
        <v>0</v>
      </c>
      <c r="AA78" s="422">
        <f t="shared" si="91"/>
        <v>0</v>
      </c>
      <c r="AB78" s="422">
        <f t="shared" si="92"/>
        <v>0</v>
      </c>
      <c r="AC78" s="422">
        <f t="shared" si="93"/>
        <v>0</v>
      </c>
      <c r="AD78" s="422">
        <f t="shared" si="94"/>
        <v>0</v>
      </c>
      <c r="AE78" s="422">
        <f t="shared" si="95"/>
        <v>0</v>
      </c>
      <c r="AF78" s="422">
        <f t="shared" si="96"/>
        <v>0</v>
      </c>
    </row>
    <row r="79" spans="1:32">
      <c r="A79" s="417" t="s">
        <v>714</v>
      </c>
      <c r="B79" s="417" t="s">
        <v>715</v>
      </c>
      <c r="D79" s="422">
        <f t="shared" ref="D79:K79" si="97">SUM(D80:D82)</f>
        <v>-5794</v>
      </c>
      <c r="E79" s="422">
        <f t="shared" si="97"/>
        <v>-6518</v>
      </c>
      <c r="F79" s="422">
        <f t="shared" si="97"/>
        <v>-7066</v>
      </c>
      <c r="G79" s="422">
        <f t="shared" si="97"/>
        <v>-1248</v>
      </c>
      <c r="H79" s="422">
        <f t="shared" si="97"/>
        <v>2148</v>
      </c>
      <c r="I79" s="422">
        <f t="shared" si="97"/>
        <v>-45661</v>
      </c>
      <c r="J79" s="422">
        <f t="shared" si="97"/>
        <v>-57876</v>
      </c>
      <c r="K79" s="422">
        <f t="shared" si="97"/>
        <v>-168481</v>
      </c>
      <c r="L79" s="422">
        <f t="shared" ref="L79:T79" si="98">SUM(L80:L82)</f>
        <v>-26835</v>
      </c>
      <c r="M79" s="422">
        <f t="shared" si="98"/>
        <v>-86505</v>
      </c>
      <c r="N79" s="422">
        <f t="shared" si="98"/>
        <v>-122280</v>
      </c>
      <c r="O79" s="422">
        <f t="shared" si="98"/>
        <v>-140603</v>
      </c>
      <c r="P79" s="422">
        <f t="shared" si="98"/>
        <v>4423</v>
      </c>
      <c r="Q79" s="422">
        <f t="shared" si="98"/>
        <v>-29</v>
      </c>
      <c r="R79" s="422">
        <f t="shared" si="98"/>
        <v>-48098</v>
      </c>
      <c r="S79" s="422">
        <f t="shared" si="98"/>
        <v>-168453</v>
      </c>
      <c r="T79" s="422">
        <f t="shared" si="98"/>
        <v>-2553</v>
      </c>
      <c r="U79" s="422">
        <f>SUM(U80:U82)</f>
        <v>-125590</v>
      </c>
      <c r="W79" s="422">
        <f t="shared" ref="W79:AC79" si="99">SUM(W80:W82)</f>
        <v>-26835</v>
      </c>
      <c r="X79" s="422">
        <f t="shared" si="99"/>
        <v>-59670</v>
      </c>
      <c r="Y79" s="422">
        <f t="shared" si="99"/>
        <v>-35775</v>
      </c>
      <c r="Z79" s="422">
        <f t="shared" si="99"/>
        <v>-18323</v>
      </c>
      <c r="AA79" s="422">
        <f t="shared" si="99"/>
        <v>4423</v>
      </c>
      <c r="AB79" s="422">
        <f t="shared" si="99"/>
        <v>-4452</v>
      </c>
      <c r="AC79" s="422">
        <f t="shared" si="99"/>
        <v>-48069</v>
      </c>
      <c r="AD79" s="422">
        <f t="shared" ref="AD79:AE79" si="100">SUM(AD80:AD82)</f>
        <v>-120355</v>
      </c>
      <c r="AE79" s="422">
        <f t="shared" si="100"/>
        <v>-2553</v>
      </c>
      <c r="AF79" s="422">
        <f>SUM(AF80:AF82)</f>
        <v>-123037</v>
      </c>
    </row>
    <row r="80" spans="1:32" outlineLevel="1">
      <c r="A80" s="418" t="s">
        <v>716</v>
      </c>
      <c r="B80" s="418" t="s">
        <v>717</v>
      </c>
      <c r="D80" s="423">
        <v>-6322</v>
      </c>
      <c r="E80" s="423">
        <v>-9148</v>
      </c>
      <c r="F80" s="423">
        <v>-10681</v>
      </c>
      <c r="G80" s="423">
        <v>3530</v>
      </c>
      <c r="H80" s="423">
        <v>229</v>
      </c>
      <c r="I80" s="423">
        <v>-3259</v>
      </c>
      <c r="J80" s="423">
        <v>-9209</v>
      </c>
      <c r="K80" s="423">
        <v>-12966</v>
      </c>
      <c r="L80" s="423">
        <v>-6268</v>
      </c>
      <c r="M80" s="423">
        <v>-13466</v>
      </c>
      <c r="N80" s="423">
        <v>-18141</v>
      </c>
      <c r="O80" s="423">
        <v>-87638</v>
      </c>
      <c r="P80" s="423">
        <v>-4024</v>
      </c>
      <c r="Q80" s="423">
        <v>-2800</v>
      </c>
      <c r="R80" s="423">
        <v>-15663</v>
      </c>
      <c r="S80" s="423">
        <v>-20937</v>
      </c>
      <c r="T80" s="423">
        <v>-3222</v>
      </c>
      <c r="U80" s="423">
        <v>-10642</v>
      </c>
      <c r="W80" s="423">
        <f>L80</f>
        <v>-6268</v>
      </c>
      <c r="X80" s="423">
        <f>M80-W80</f>
        <v>-7198</v>
      </c>
      <c r="Y80" s="423">
        <f t="shared" ref="Y80:Z82" si="101">N80-M80</f>
        <v>-4675</v>
      </c>
      <c r="Z80" s="423">
        <f t="shared" si="101"/>
        <v>-69497</v>
      </c>
      <c r="AA80" s="423">
        <f>P80</f>
        <v>-4024</v>
      </c>
      <c r="AB80" s="423">
        <f t="shared" ref="AB80:AB82" si="102">Q80-AA80</f>
        <v>1224</v>
      </c>
      <c r="AC80" s="423">
        <f t="shared" ref="AC80:AD82" si="103">R80-Q80</f>
        <v>-12863</v>
      </c>
      <c r="AD80" s="423">
        <f t="shared" si="103"/>
        <v>-5274</v>
      </c>
      <c r="AE80" s="423">
        <f>T80</f>
        <v>-3222</v>
      </c>
      <c r="AF80" s="423">
        <f>U80-T80</f>
        <v>-7420</v>
      </c>
    </row>
    <row r="81" spans="1:32" outlineLevel="1">
      <c r="A81" s="418" t="s">
        <v>718</v>
      </c>
      <c r="B81" s="418" t="s">
        <v>719</v>
      </c>
      <c r="D81" s="423">
        <v>528</v>
      </c>
      <c r="E81" s="423">
        <v>2630</v>
      </c>
      <c r="F81" s="423">
        <v>3615</v>
      </c>
      <c r="G81" s="423">
        <v>-4778</v>
      </c>
      <c r="H81" s="423">
        <v>1919</v>
      </c>
      <c r="I81" s="423">
        <v>-42402</v>
      </c>
      <c r="J81" s="423">
        <v>-48667</v>
      </c>
      <c r="K81" s="423">
        <v>-155515</v>
      </c>
      <c r="L81" s="423">
        <v>-20567</v>
      </c>
      <c r="M81" s="423">
        <v>-70123</v>
      </c>
      <c r="N81" s="423">
        <v>-98949</v>
      </c>
      <c r="O81" s="423">
        <v>-42501</v>
      </c>
      <c r="P81" s="423">
        <v>13888</v>
      </c>
      <c r="Q81" s="423">
        <v>4623</v>
      </c>
      <c r="R81" s="423">
        <v>-29299</v>
      </c>
      <c r="S81" s="423">
        <v>-143671</v>
      </c>
      <c r="T81" s="423">
        <v>934</v>
      </c>
      <c r="U81" s="423">
        <v>-113546</v>
      </c>
      <c r="W81" s="423">
        <f>L81</f>
        <v>-20567</v>
      </c>
      <c r="X81" s="423">
        <f>M81-W81</f>
        <v>-49556</v>
      </c>
      <c r="Y81" s="423">
        <f t="shared" si="101"/>
        <v>-28826</v>
      </c>
      <c r="Z81" s="423">
        <f t="shared" si="101"/>
        <v>56448</v>
      </c>
      <c r="AA81" s="423">
        <f>P81</f>
        <v>13888</v>
      </c>
      <c r="AB81" s="423">
        <f t="shared" si="102"/>
        <v>-9265</v>
      </c>
      <c r="AC81" s="423">
        <f t="shared" si="103"/>
        <v>-33922</v>
      </c>
      <c r="AD81" s="423">
        <f t="shared" si="103"/>
        <v>-114372</v>
      </c>
      <c r="AE81" s="423">
        <f>T81</f>
        <v>934</v>
      </c>
      <c r="AF81" s="423">
        <f>U81-T81</f>
        <v>-114480</v>
      </c>
    </row>
    <row r="82" spans="1:32" outlineLevel="1">
      <c r="A82" s="418" t="s">
        <v>720</v>
      </c>
      <c r="B82" s="418" t="s">
        <v>721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>
        <v>-2916</v>
      </c>
      <c r="N82" s="423">
        <v>-5190</v>
      </c>
      <c r="O82" s="423">
        <v>-10464</v>
      </c>
      <c r="P82" s="423">
        <v>-5441</v>
      </c>
      <c r="Q82" s="423">
        <v>-1852</v>
      </c>
      <c r="R82" s="423">
        <v>-3136</v>
      </c>
      <c r="S82" s="423">
        <v>-3845</v>
      </c>
      <c r="T82" s="423">
        <v>-265</v>
      </c>
      <c r="U82" s="423">
        <v>-1402</v>
      </c>
      <c r="W82" s="423"/>
      <c r="X82" s="423">
        <f>M82-W82</f>
        <v>-2916</v>
      </c>
      <c r="Y82" s="423">
        <f t="shared" si="101"/>
        <v>-2274</v>
      </c>
      <c r="Z82" s="423">
        <f t="shared" si="101"/>
        <v>-5274</v>
      </c>
      <c r="AA82" s="423">
        <f>P82</f>
        <v>-5441</v>
      </c>
      <c r="AB82" s="423">
        <f t="shared" si="102"/>
        <v>3589</v>
      </c>
      <c r="AC82" s="423">
        <f t="shared" si="103"/>
        <v>-1284</v>
      </c>
      <c r="AD82" s="423">
        <f t="shared" si="103"/>
        <v>-709</v>
      </c>
      <c r="AE82" s="423">
        <f>T82</f>
        <v>-265</v>
      </c>
      <c r="AF82" s="423">
        <f>U82-T82</f>
        <v>-1137</v>
      </c>
    </row>
    <row r="83" spans="1:32">
      <c r="A83" s="417"/>
      <c r="B83" s="417"/>
      <c r="D83" s="417"/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</row>
    <row r="84" spans="1:32">
      <c r="A84" s="429" t="s">
        <v>722</v>
      </c>
      <c r="B84" s="429" t="s">
        <v>722</v>
      </c>
      <c r="D84" s="420">
        <f t="shared" ref="D84:I84" si="104">D86-D76-D53-D77</f>
        <v>171420</v>
      </c>
      <c r="E84" s="420">
        <f t="shared" si="104"/>
        <v>172838</v>
      </c>
      <c r="F84" s="420">
        <f t="shared" si="104"/>
        <v>271766</v>
      </c>
      <c r="G84" s="420">
        <f t="shared" si="104"/>
        <v>418688</v>
      </c>
      <c r="H84" s="420">
        <f t="shared" si="104"/>
        <v>263813</v>
      </c>
      <c r="I84" s="420">
        <f t="shared" si="104"/>
        <v>318628</v>
      </c>
      <c r="J84" s="420">
        <f t="shared" ref="J84:Q84" si="105">J86-J76-J53-J77</f>
        <v>422818</v>
      </c>
      <c r="K84" s="420">
        <f t="shared" si="105"/>
        <v>454353</v>
      </c>
      <c r="L84" s="420">
        <f t="shared" si="105"/>
        <v>190632</v>
      </c>
      <c r="M84" s="420">
        <f t="shared" si="105"/>
        <v>202677</v>
      </c>
      <c r="N84" s="420">
        <f t="shared" si="105"/>
        <v>317976</v>
      </c>
      <c r="O84" s="420">
        <f t="shared" si="105"/>
        <v>442944</v>
      </c>
      <c r="P84" s="420">
        <f t="shared" si="105"/>
        <v>297135</v>
      </c>
      <c r="Q84" s="420">
        <f t="shared" si="105"/>
        <v>413656</v>
      </c>
      <c r="R84" s="420">
        <f t="shared" ref="R84:T84" si="106">R86-R76-R53-R77</f>
        <v>511106</v>
      </c>
      <c r="S84" s="420">
        <f t="shared" si="106"/>
        <v>632930</v>
      </c>
      <c r="T84" s="420">
        <f t="shared" si="106"/>
        <v>347003</v>
      </c>
      <c r="U84" s="741">
        <f>U86-U76-U53-U77</f>
        <v>796673</v>
      </c>
      <c r="W84" s="420">
        <f t="shared" ref="W84:AC84" si="107">W86-W76-W53-W77</f>
        <v>190632</v>
      </c>
      <c r="X84" s="420">
        <f t="shared" si="107"/>
        <v>12045</v>
      </c>
      <c r="Y84" s="420">
        <f t="shared" si="107"/>
        <v>115299</v>
      </c>
      <c r="Z84" s="420">
        <f t="shared" si="107"/>
        <v>124968</v>
      </c>
      <c r="AA84" s="420">
        <f t="shared" si="107"/>
        <v>297135</v>
      </c>
      <c r="AB84" s="420">
        <f t="shared" si="107"/>
        <v>116521</v>
      </c>
      <c r="AC84" s="420">
        <f t="shared" si="107"/>
        <v>97450</v>
      </c>
      <c r="AD84" s="420">
        <f t="shared" ref="AD84:AE84" si="108">AD86-AD76-AD53-AD77</f>
        <v>121824</v>
      </c>
      <c r="AE84" s="420">
        <f t="shared" si="108"/>
        <v>347003</v>
      </c>
      <c r="AF84" s="741">
        <f>AF86-AF76-AF53-AF77</f>
        <v>951053</v>
      </c>
    </row>
    <row r="85" spans="1:32">
      <c r="A85" s="417"/>
      <c r="B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</row>
    <row r="86" spans="1:32">
      <c r="A86" s="429" t="s">
        <v>723</v>
      </c>
      <c r="B86" s="429" t="s">
        <v>724</v>
      </c>
      <c r="D86" s="420">
        <f t="shared" ref="D86:I86" si="109">D58+D60</f>
        <v>130090</v>
      </c>
      <c r="E86" s="420">
        <f t="shared" si="109"/>
        <v>90506</v>
      </c>
      <c r="F86" s="420">
        <f t="shared" si="109"/>
        <v>148417</v>
      </c>
      <c r="G86" s="420">
        <f t="shared" si="109"/>
        <v>254347</v>
      </c>
      <c r="H86" s="420">
        <f t="shared" si="109"/>
        <v>223591</v>
      </c>
      <c r="I86" s="420">
        <f t="shared" si="109"/>
        <v>241403</v>
      </c>
      <c r="J86" s="420">
        <f t="shared" ref="J86:Q86" si="110">J58+J60</f>
        <v>314437</v>
      </c>
      <c r="K86" s="420">
        <f t="shared" si="110"/>
        <v>305487</v>
      </c>
      <c r="L86" s="420">
        <f t="shared" si="110"/>
        <v>155944</v>
      </c>
      <c r="M86" s="420">
        <f t="shared" si="110"/>
        <v>132595</v>
      </c>
      <c r="N86" s="420">
        <f t="shared" si="110"/>
        <v>207985</v>
      </c>
      <c r="O86" s="420">
        <f t="shared" si="110"/>
        <v>284664</v>
      </c>
      <c r="P86" s="420">
        <f t="shared" si="110"/>
        <v>251425</v>
      </c>
      <c r="Q86" s="420">
        <f t="shared" si="110"/>
        <v>301216</v>
      </c>
      <c r="R86" s="420">
        <f t="shared" ref="R86:T86" si="111">R58+R60</f>
        <v>339958</v>
      </c>
      <c r="S86" s="420">
        <f t="shared" si="111"/>
        <v>360367</v>
      </c>
      <c r="T86" s="420">
        <f t="shared" si="111"/>
        <v>265352</v>
      </c>
      <c r="U86" s="741">
        <f>U58+U60</f>
        <v>597525</v>
      </c>
      <c r="W86" s="420">
        <f t="shared" ref="W86:AC86" si="112">W58+W60</f>
        <v>155944</v>
      </c>
      <c r="X86" s="420">
        <f t="shared" si="112"/>
        <v>-23349</v>
      </c>
      <c r="Y86" s="420">
        <f t="shared" si="112"/>
        <v>75390</v>
      </c>
      <c r="Z86" s="420">
        <f t="shared" si="112"/>
        <v>76679</v>
      </c>
      <c r="AA86" s="420">
        <f t="shared" si="112"/>
        <v>251425</v>
      </c>
      <c r="AB86" s="420">
        <f t="shared" si="112"/>
        <v>49791</v>
      </c>
      <c r="AC86" s="420">
        <f t="shared" si="112"/>
        <v>38742</v>
      </c>
      <c r="AD86" s="420">
        <f t="shared" ref="AD86:AE86" si="113">AD58+AD60</f>
        <v>20409</v>
      </c>
      <c r="AE86" s="420">
        <f t="shared" si="113"/>
        <v>265352</v>
      </c>
      <c r="AF86" s="741">
        <f>AF58+AF60</f>
        <v>833556</v>
      </c>
    </row>
    <row r="87" spans="1:32">
      <c r="A87" s="417"/>
      <c r="B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</row>
    <row r="88" spans="1:32">
      <c r="A88" s="429" t="s">
        <v>725</v>
      </c>
      <c r="B88" s="429" t="s">
        <v>726</v>
      </c>
      <c r="D88" s="420">
        <f t="shared" ref="D88:I88" si="114">D90+D100</f>
        <v>-113664</v>
      </c>
      <c r="E88" s="420">
        <f t="shared" si="114"/>
        <v>-173404</v>
      </c>
      <c r="F88" s="420">
        <f t="shared" si="114"/>
        <v>-241751</v>
      </c>
      <c r="G88" s="420">
        <f t="shared" si="114"/>
        <v>-520519</v>
      </c>
      <c r="H88" s="420">
        <f t="shared" si="114"/>
        <v>-182067</v>
      </c>
      <c r="I88" s="420">
        <f t="shared" si="114"/>
        <v>-359862</v>
      </c>
      <c r="J88" s="420">
        <f t="shared" ref="J88:Q88" si="115">J90+J100</f>
        <v>-535041</v>
      </c>
      <c r="K88" s="420">
        <f t="shared" si="115"/>
        <v>-757046</v>
      </c>
      <c r="L88" s="420">
        <f t="shared" si="115"/>
        <v>-171940</v>
      </c>
      <c r="M88" s="420">
        <f t="shared" si="115"/>
        <v>-364574</v>
      </c>
      <c r="N88" s="420">
        <f t="shared" si="115"/>
        <v>-573305</v>
      </c>
      <c r="O88" s="420">
        <f t="shared" si="115"/>
        <v>-772541</v>
      </c>
      <c r="P88" s="420">
        <f t="shared" si="115"/>
        <v>-254807</v>
      </c>
      <c r="Q88" s="420">
        <f t="shared" si="115"/>
        <v>-539926</v>
      </c>
      <c r="R88" s="420">
        <f t="shared" ref="R88:T88" si="116">R90+R100</f>
        <v>-842044</v>
      </c>
      <c r="S88" s="420">
        <f t="shared" si="116"/>
        <v>-1064951</v>
      </c>
      <c r="T88" s="420">
        <f t="shared" si="116"/>
        <v>-306159</v>
      </c>
      <c r="U88" s="741">
        <f>U90+U100</f>
        <v>-564944</v>
      </c>
      <c r="W88" s="420">
        <f t="shared" ref="W88:AC88" si="117">W90+W100</f>
        <v>-171940</v>
      </c>
      <c r="X88" s="420">
        <f t="shared" si="117"/>
        <v>-192634</v>
      </c>
      <c r="Y88" s="420">
        <f t="shared" si="117"/>
        <v>-208731</v>
      </c>
      <c r="Z88" s="420">
        <f t="shared" si="117"/>
        <v>-199236</v>
      </c>
      <c r="AA88" s="420">
        <f t="shared" si="117"/>
        <v>-254807</v>
      </c>
      <c r="AB88" s="420">
        <f t="shared" si="117"/>
        <v>-285119</v>
      </c>
      <c r="AC88" s="420">
        <f t="shared" si="117"/>
        <v>-302118</v>
      </c>
      <c r="AD88" s="420">
        <f t="shared" ref="AD88:AE88" si="118">AD90+AD100</f>
        <v>-222907</v>
      </c>
      <c r="AE88" s="420">
        <f t="shared" si="118"/>
        <v>-306159</v>
      </c>
      <c r="AF88" s="741">
        <f>AF90+AF100</f>
        <v>-258785</v>
      </c>
    </row>
    <row r="89" spans="1:32">
      <c r="A89" s="416"/>
      <c r="B89" s="416"/>
      <c r="D89" s="422"/>
      <c r="E89" s="417"/>
      <c r="F89" s="417"/>
      <c r="G89" s="417"/>
      <c r="H89" s="417"/>
      <c r="I89" s="417"/>
      <c r="J89" s="417"/>
      <c r="K89" s="417"/>
      <c r="L89" s="417"/>
      <c r="M89" s="417"/>
      <c r="N89" s="417"/>
      <c r="O89" s="417"/>
      <c r="P89" s="422"/>
      <c r="Q89" s="417"/>
      <c r="R89" s="417"/>
      <c r="S89" s="417"/>
      <c r="T89" s="417"/>
      <c r="U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</row>
    <row r="90" spans="1:32">
      <c r="A90" s="417" t="s">
        <v>727</v>
      </c>
      <c r="B90" s="417" t="s">
        <v>728</v>
      </c>
      <c r="D90" s="424">
        <f t="shared" ref="D90:I90" si="119">SUM(D91:D99)</f>
        <v>251472</v>
      </c>
      <c r="E90" s="424">
        <f t="shared" si="119"/>
        <v>402610</v>
      </c>
      <c r="F90" s="424">
        <f t="shared" si="119"/>
        <v>601569</v>
      </c>
      <c r="G90" s="424">
        <f t="shared" si="119"/>
        <v>677804</v>
      </c>
      <c r="H90" s="424">
        <f t="shared" si="119"/>
        <v>119109</v>
      </c>
      <c r="I90" s="424">
        <f t="shared" si="119"/>
        <v>222423</v>
      </c>
      <c r="J90" s="424">
        <f t="shared" ref="J90:Q90" si="120">SUM(J91:J99)</f>
        <v>361448</v>
      </c>
      <c r="K90" s="424">
        <f t="shared" si="120"/>
        <v>461392</v>
      </c>
      <c r="L90" s="424">
        <f t="shared" si="120"/>
        <v>169127</v>
      </c>
      <c r="M90" s="424">
        <f t="shared" si="120"/>
        <v>350011</v>
      </c>
      <c r="N90" s="424">
        <f t="shared" si="120"/>
        <v>499439</v>
      </c>
      <c r="O90" s="424">
        <f t="shared" si="120"/>
        <v>770700</v>
      </c>
      <c r="P90" s="424">
        <f t="shared" si="120"/>
        <v>320859</v>
      </c>
      <c r="Q90" s="424">
        <f t="shared" si="120"/>
        <v>523467</v>
      </c>
      <c r="R90" s="424">
        <f t="shared" ref="R90:T90" si="121">SUM(R91:R99)</f>
        <v>668924</v>
      </c>
      <c r="S90" s="424">
        <f t="shared" si="121"/>
        <v>868578</v>
      </c>
      <c r="T90" s="424">
        <f t="shared" si="121"/>
        <v>468108</v>
      </c>
      <c r="U90" s="424">
        <f>SUM(U91:U99)</f>
        <v>890602</v>
      </c>
      <c r="W90" s="424">
        <f t="shared" ref="W90:AC90" si="122">SUM(W91:W99)</f>
        <v>169127</v>
      </c>
      <c r="X90" s="424">
        <f t="shared" si="122"/>
        <v>180884</v>
      </c>
      <c r="Y90" s="424">
        <f t="shared" si="122"/>
        <v>149428</v>
      </c>
      <c r="Z90" s="424">
        <f t="shared" si="122"/>
        <v>271261</v>
      </c>
      <c r="AA90" s="424">
        <f t="shared" si="122"/>
        <v>320859</v>
      </c>
      <c r="AB90" s="424">
        <f t="shared" si="122"/>
        <v>202608</v>
      </c>
      <c r="AC90" s="424">
        <f t="shared" si="122"/>
        <v>145457</v>
      </c>
      <c r="AD90" s="424">
        <f t="shared" ref="AD90:AE90" si="123">SUM(AD91:AD99)</f>
        <v>199654</v>
      </c>
      <c r="AE90" s="424">
        <f t="shared" si="123"/>
        <v>468108</v>
      </c>
      <c r="AF90" s="424">
        <f>SUM(AF91:AF99)</f>
        <v>422494</v>
      </c>
    </row>
    <row r="91" spans="1:32" outlineLevel="1">
      <c r="A91" s="418" t="s">
        <v>729</v>
      </c>
      <c r="B91" s="418" t="s">
        <v>728</v>
      </c>
      <c r="D91" s="423">
        <v>24154</v>
      </c>
      <c r="E91" s="423">
        <v>47800</v>
      </c>
      <c r="F91" s="423">
        <v>74118</v>
      </c>
      <c r="G91" s="423">
        <v>99962</v>
      </c>
      <c r="H91" s="423">
        <v>29266</v>
      </c>
      <c r="I91" s="423">
        <v>58179</v>
      </c>
      <c r="J91" s="423">
        <v>103436</v>
      </c>
      <c r="K91" s="423">
        <v>126425</v>
      </c>
      <c r="L91" s="423">
        <v>32353</v>
      </c>
      <c r="M91" s="423">
        <v>60127</v>
      </c>
      <c r="N91" s="423">
        <v>84737</v>
      </c>
      <c r="O91" s="423">
        <v>107126</v>
      </c>
      <c r="P91" s="423">
        <v>24470</v>
      </c>
      <c r="Q91" s="423">
        <v>66468</v>
      </c>
      <c r="R91" s="423">
        <v>112010</v>
      </c>
      <c r="S91" s="423">
        <v>176016</v>
      </c>
      <c r="T91" s="423">
        <v>43696</v>
      </c>
      <c r="U91" s="423">
        <v>92988</v>
      </c>
      <c r="W91" s="423">
        <f t="shared" ref="W91:W99" si="124">L91</f>
        <v>32353</v>
      </c>
      <c r="X91" s="423">
        <f t="shared" ref="X91:X99" si="125">M91-W91</f>
        <v>27774</v>
      </c>
      <c r="Y91" s="423">
        <f t="shared" ref="Y91:Y99" si="126">N91-M91</f>
        <v>24610</v>
      </c>
      <c r="Z91" s="423">
        <f t="shared" ref="Z91:Z99" si="127">O91-N91</f>
        <v>22389</v>
      </c>
      <c r="AA91" s="423">
        <f t="shared" ref="AA91:AA99" si="128">P91</f>
        <v>24470</v>
      </c>
      <c r="AB91" s="423">
        <f t="shared" ref="AB91:AB99" si="129">Q91-AA91</f>
        <v>41998</v>
      </c>
      <c r="AC91" s="423">
        <f t="shared" ref="AC91:AC99" si="130">R91-Q91</f>
        <v>45542</v>
      </c>
      <c r="AD91" s="423">
        <f t="shared" ref="AD91:AD99" si="131">S91-R91</f>
        <v>64006</v>
      </c>
      <c r="AE91" s="423">
        <f t="shared" ref="AE91:AE99" si="132">T91</f>
        <v>43696</v>
      </c>
      <c r="AF91" s="423">
        <f t="shared" ref="AF91:AF99" si="133">U91-T91</f>
        <v>49292</v>
      </c>
    </row>
    <row r="92" spans="1:32" outlineLevel="1">
      <c r="A92" s="418" t="s">
        <v>730</v>
      </c>
      <c r="B92" s="418" t="s">
        <v>731</v>
      </c>
      <c r="D92" s="423">
        <v>-5079</v>
      </c>
      <c r="E92" s="423">
        <v>-10690</v>
      </c>
      <c r="F92" s="423">
        <v>-18973</v>
      </c>
      <c r="G92" s="423">
        <v>-16173</v>
      </c>
      <c r="H92" s="423">
        <v>-3670</v>
      </c>
      <c r="I92" s="423">
        <v>-6912</v>
      </c>
      <c r="J92" s="423">
        <v>-16314</v>
      </c>
      <c r="K92" s="423">
        <v>-18914</v>
      </c>
      <c r="L92" s="423">
        <v>-16391</v>
      </c>
      <c r="M92" s="423">
        <v>-8734</v>
      </c>
      <c r="N92" s="423">
        <v>-13565</v>
      </c>
      <c r="O92" s="423">
        <v>-18608</v>
      </c>
      <c r="P92" s="423">
        <v>-3943</v>
      </c>
      <c r="Q92" s="423">
        <v>-9074</v>
      </c>
      <c r="R92" s="423">
        <v>-14043</v>
      </c>
      <c r="S92" s="423">
        <v>-22112</v>
      </c>
      <c r="T92" s="423">
        <v>-5063</v>
      </c>
      <c r="U92" s="423">
        <v>-19962</v>
      </c>
      <c r="W92" s="423">
        <f t="shared" si="124"/>
        <v>-16391</v>
      </c>
      <c r="X92" s="423">
        <f t="shared" si="125"/>
        <v>7657</v>
      </c>
      <c r="Y92" s="423">
        <f t="shared" si="126"/>
        <v>-4831</v>
      </c>
      <c r="Z92" s="423">
        <f t="shared" si="127"/>
        <v>-5043</v>
      </c>
      <c r="AA92" s="423">
        <f t="shared" si="128"/>
        <v>-3943</v>
      </c>
      <c r="AB92" s="423">
        <f t="shared" si="129"/>
        <v>-5131</v>
      </c>
      <c r="AC92" s="423">
        <f t="shared" si="130"/>
        <v>-4969</v>
      </c>
      <c r="AD92" s="423">
        <f t="shared" si="131"/>
        <v>-8069</v>
      </c>
      <c r="AE92" s="423">
        <f t="shared" si="132"/>
        <v>-5063</v>
      </c>
      <c r="AF92" s="423">
        <f t="shared" si="133"/>
        <v>-14899</v>
      </c>
    </row>
    <row r="93" spans="1:32" outlineLevel="1">
      <c r="A93" s="418" t="s">
        <v>2561</v>
      </c>
      <c r="B93" s="418" t="s">
        <v>2562</v>
      </c>
      <c r="D93" s="423">
        <v>5349</v>
      </c>
      <c r="E93" s="423">
        <v>0</v>
      </c>
      <c r="F93" s="423" t="s">
        <v>2557</v>
      </c>
      <c r="G93" s="423">
        <v>0</v>
      </c>
      <c r="H93" s="423">
        <v>0</v>
      </c>
      <c r="I93" s="423">
        <v>21849</v>
      </c>
      <c r="J93" s="423">
        <v>30909</v>
      </c>
      <c r="K93" s="423">
        <v>25019</v>
      </c>
      <c r="L93" s="423">
        <v>82081</v>
      </c>
      <c r="M93" s="423">
        <v>165813</v>
      </c>
      <c r="N93" s="423">
        <v>169554</v>
      </c>
      <c r="O93" s="423">
        <v>304238</v>
      </c>
      <c r="P93" s="423">
        <v>163526</v>
      </c>
      <c r="Q93" s="423">
        <v>125035</v>
      </c>
      <c r="R93" s="423">
        <v>90037</v>
      </c>
      <c r="S93" s="423">
        <v>144696</v>
      </c>
      <c r="T93" s="423">
        <v>201626</v>
      </c>
      <c r="U93" s="423">
        <v>215840</v>
      </c>
      <c r="W93" s="423">
        <f t="shared" si="124"/>
        <v>82081</v>
      </c>
      <c r="X93" s="423">
        <f t="shared" si="125"/>
        <v>83732</v>
      </c>
      <c r="Y93" s="423">
        <f t="shared" si="126"/>
        <v>3741</v>
      </c>
      <c r="Z93" s="423">
        <f t="shared" si="127"/>
        <v>134684</v>
      </c>
      <c r="AA93" s="423">
        <f t="shared" si="128"/>
        <v>163526</v>
      </c>
      <c r="AB93" s="423">
        <f t="shared" si="129"/>
        <v>-38491</v>
      </c>
      <c r="AC93" s="423">
        <f t="shared" si="130"/>
        <v>-34998</v>
      </c>
      <c r="AD93" s="423">
        <f t="shared" si="131"/>
        <v>54659</v>
      </c>
      <c r="AE93" s="423">
        <f t="shared" si="132"/>
        <v>201626</v>
      </c>
      <c r="AF93" s="423">
        <f t="shared" si="133"/>
        <v>14214</v>
      </c>
    </row>
    <row r="94" spans="1:32" outlineLevel="1">
      <c r="A94" s="418" t="s">
        <v>733</v>
      </c>
      <c r="B94" s="418" t="s">
        <v>734</v>
      </c>
      <c r="D94" s="423">
        <v>33479</v>
      </c>
      <c r="E94" s="423">
        <v>124260</v>
      </c>
      <c r="F94" s="423">
        <v>238654</v>
      </c>
      <c r="G94" s="423">
        <v>249059</v>
      </c>
      <c r="H94" s="423">
        <v>24083</v>
      </c>
      <c r="I94" s="423">
        <v>44439</v>
      </c>
      <c r="J94" s="423">
        <v>60963</v>
      </c>
      <c r="K94" s="423">
        <v>75672</v>
      </c>
      <c r="L94" s="423">
        <v>13715</v>
      </c>
      <c r="M94" s="423">
        <v>36738</v>
      </c>
      <c r="N94" s="423">
        <v>53297</v>
      </c>
      <c r="O94" s="423">
        <v>93442</v>
      </c>
      <c r="P94" s="423">
        <v>22836</v>
      </c>
      <c r="Q94" s="423">
        <v>84277</v>
      </c>
      <c r="R94" s="423">
        <v>105866</v>
      </c>
      <c r="S94" s="423">
        <v>137918</v>
      </c>
      <c r="T94" s="423">
        <v>16192</v>
      </c>
      <c r="U94" s="423">
        <v>27393</v>
      </c>
      <c r="W94" s="423">
        <f t="shared" si="124"/>
        <v>13715</v>
      </c>
      <c r="X94" s="423">
        <f t="shared" si="125"/>
        <v>23023</v>
      </c>
      <c r="Y94" s="423">
        <f t="shared" si="126"/>
        <v>16559</v>
      </c>
      <c r="Z94" s="423">
        <f t="shared" si="127"/>
        <v>40145</v>
      </c>
      <c r="AA94" s="423">
        <f t="shared" si="128"/>
        <v>22836</v>
      </c>
      <c r="AB94" s="423">
        <f t="shared" si="129"/>
        <v>61441</v>
      </c>
      <c r="AC94" s="423">
        <f t="shared" si="130"/>
        <v>21589</v>
      </c>
      <c r="AD94" s="423">
        <f t="shared" si="131"/>
        <v>32052</v>
      </c>
      <c r="AE94" s="423">
        <f t="shared" si="132"/>
        <v>16192</v>
      </c>
      <c r="AF94" s="423">
        <f t="shared" si="133"/>
        <v>11201</v>
      </c>
    </row>
    <row r="95" spans="1:32" outlineLevel="1">
      <c r="A95" s="418" t="s">
        <v>735</v>
      </c>
      <c r="B95" s="418" t="s">
        <v>736</v>
      </c>
      <c r="D95" s="423">
        <v>0</v>
      </c>
      <c r="E95" s="423">
        <v>0</v>
      </c>
      <c r="F95" s="423">
        <v>0</v>
      </c>
      <c r="G95" s="423">
        <v>0</v>
      </c>
      <c r="H95" s="423">
        <v>0</v>
      </c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>
        <v>0</v>
      </c>
      <c r="T95" s="423">
        <v>0</v>
      </c>
      <c r="U95" s="423">
        <v>0</v>
      </c>
      <c r="W95" s="423">
        <f t="shared" si="124"/>
        <v>0</v>
      </c>
      <c r="X95" s="423">
        <f t="shared" si="125"/>
        <v>0</v>
      </c>
      <c r="Y95" s="423">
        <f t="shared" si="126"/>
        <v>0</v>
      </c>
      <c r="Z95" s="423">
        <f t="shared" si="127"/>
        <v>0</v>
      </c>
      <c r="AA95" s="423">
        <f t="shared" si="128"/>
        <v>0</v>
      </c>
      <c r="AB95" s="423">
        <f t="shared" si="129"/>
        <v>0</v>
      </c>
      <c r="AC95" s="423">
        <f t="shared" si="130"/>
        <v>0</v>
      </c>
      <c r="AD95" s="423">
        <f t="shared" si="131"/>
        <v>0</v>
      </c>
      <c r="AE95" s="423">
        <f t="shared" si="132"/>
        <v>0</v>
      </c>
      <c r="AF95" s="423">
        <f t="shared" si="133"/>
        <v>0</v>
      </c>
    </row>
    <row r="96" spans="1:32" outlineLevel="1">
      <c r="A96" s="418" t="s">
        <v>737</v>
      </c>
      <c r="B96" s="418" t="s">
        <v>738</v>
      </c>
      <c r="D96" s="423">
        <v>0</v>
      </c>
      <c r="E96" s="423">
        <v>0</v>
      </c>
      <c r="F96" s="423">
        <v>0</v>
      </c>
      <c r="G96" s="423">
        <v>0</v>
      </c>
      <c r="H96" s="423">
        <v>0</v>
      </c>
      <c r="I96" s="423">
        <v>0</v>
      </c>
      <c r="J96" s="423">
        <v>0</v>
      </c>
      <c r="K96" s="423">
        <v>0</v>
      </c>
      <c r="L96" s="423">
        <v>0</v>
      </c>
      <c r="M96" s="423">
        <v>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>
        <v>0</v>
      </c>
      <c r="T96" s="423">
        <v>0</v>
      </c>
      <c r="U96" s="423">
        <v>0</v>
      </c>
      <c r="W96" s="423">
        <f t="shared" si="124"/>
        <v>0</v>
      </c>
      <c r="X96" s="423">
        <f t="shared" si="125"/>
        <v>0</v>
      </c>
      <c r="Y96" s="423">
        <f t="shared" si="126"/>
        <v>0</v>
      </c>
      <c r="Z96" s="423">
        <f t="shared" si="127"/>
        <v>0</v>
      </c>
      <c r="AA96" s="423">
        <f t="shared" si="128"/>
        <v>0</v>
      </c>
      <c r="AB96" s="423">
        <f t="shared" si="129"/>
        <v>0</v>
      </c>
      <c r="AC96" s="423">
        <f t="shared" si="130"/>
        <v>0</v>
      </c>
      <c r="AD96" s="423">
        <f t="shared" si="131"/>
        <v>0</v>
      </c>
      <c r="AE96" s="423">
        <f t="shared" si="132"/>
        <v>0</v>
      </c>
      <c r="AF96" s="423">
        <f t="shared" si="133"/>
        <v>0</v>
      </c>
    </row>
    <row r="97" spans="1:32" outlineLevel="1">
      <c r="A97" s="418" t="s">
        <v>739</v>
      </c>
      <c r="B97" s="418" t="s">
        <v>740</v>
      </c>
      <c r="D97" s="423">
        <v>57265</v>
      </c>
      <c r="E97" s="423">
        <v>77946</v>
      </c>
      <c r="F97" s="423">
        <v>123863</v>
      </c>
      <c r="G97" s="423">
        <v>144789</v>
      </c>
      <c r="H97" s="423">
        <v>49327</v>
      </c>
      <c r="I97" s="423">
        <v>54988</v>
      </c>
      <c r="J97" s="423">
        <v>97296</v>
      </c>
      <c r="K97" s="423">
        <v>125305</v>
      </c>
      <c r="L97" s="423">
        <v>56009</v>
      </c>
      <c r="M97" s="423">
        <v>94706</v>
      </c>
      <c r="N97" s="423">
        <v>160320</v>
      </c>
      <c r="O97" s="423">
        <v>241860</v>
      </c>
      <c r="P97" s="423">
        <v>41896</v>
      </c>
      <c r="Q97" s="423">
        <v>80566</v>
      </c>
      <c r="R97" s="423">
        <v>132246</v>
      </c>
      <c r="S97" s="423">
        <v>216020</v>
      </c>
      <c r="T97" s="423">
        <v>60074</v>
      </c>
      <c r="U97" s="423">
        <v>331739</v>
      </c>
      <c r="W97" s="423">
        <f t="shared" si="124"/>
        <v>56009</v>
      </c>
      <c r="X97" s="423">
        <f t="shared" si="125"/>
        <v>38697</v>
      </c>
      <c r="Y97" s="423">
        <f t="shared" si="126"/>
        <v>65614</v>
      </c>
      <c r="Z97" s="423">
        <f t="shared" si="127"/>
        <v>81540</v>
      </c>
      <c r="AA97" s="423">
        <f t="shared" si="128"/>
        <v>41896</v>
      </c>
      <c r="AB97" s="423">
        <f t="shared" si="129"/>
        <v>38670</v>
      </c>
      <c r="AC97" s="423">
        <f t="shared" si="130"/>
        <v>51680</v>
      </c>
      <c r="AD97" s="423">
        <f t="shared" si="131"/>
        <v>83774</v>
      </c>
      <c r="AE97" s="423">
        <f t="shared" si="132"/>
        <v>60074</v>
      </c>
      <c r="AF97" s="423">
        <f t="shared" si="133"/>
        <v>271665</v>
      </c>
    </row>
    <row r="98" spans="1:32" outlineLevel="1">
      <c r="A98" s="418" t="s">
        <v>741</v>
      </c>
      <c r="B98" s="418" t="s">
        <v>2536</v>
      </c>
      <c r="D98" s="423"/>
      <c r="E98" s="423"/>
      <c r="F98" s="423"/>
      <c r="G98" s="423"/>
      <c r="H98" s="423"/>
      <c r="I98" s="423"/>
      <c r="J98" s="423"/>
      <c r="K98" s="423"/>
      <c r="L98" s="423"/>
      <c r="M98" s="423"/>
      <c r="N98" s="423"/>
      <c r="O98" s="423"/>
      <c r="P98" s="423"/>
      <c r="Q98" s="423">
        <v>60328</v>
      </c>
      <c r="R98" s="423">
        <v>99067</v>
      </c>
      <c r="S98" s="423">
        <v>84945</v>
      </c>
      <c r="T98" s="423">
        <v>103389</v>
      </c>
      <c r="U98" s="423">
        <v>154003</v>
      </c>
      <c r="W98" s="423">
        <f>L98</f>
        <v>0</v>
      </c>
      <c r="X98" s="423">
        <f>M98-W98</f>
        <v>0</v>
      </c>
      <c r="Y98" s="423">
        <f t="shared" si="126"/>
        <v>0</v>
      </c>
      <c r="Z98" s="423">
        <f t="shared" si="127"/>
        <v>0</v>
      </c>
      <c r="AA98" s="423">
        <f>P98</f>
        <v>0</v>
      </c>
      <c r="AB98" s="423">
        <f>Q98-AA98</f>
        <v>60328</v>
      </c>
      <c r="AC98" s="423">
        <f t="shared" si="130"/>
        <v>38739</v>
      </c>
      <c r="AD98" s="423">
        <f t="shared" si="131"/>
        <v>-14122</v>
      </c>
      <c r="AE98" s="423">
        <f>T98</f>
        <v>103389</v>
      </c>
      <c r="AF98" s="423">
        <f t="shared" si="133"/>
        <v>50614</v>
      </c>
    </row>
    <row r="99" spans="1:32" outlineLevel="1">
      <c r="A99" s="418" t="s">
        <v>742</v>
      </c>
      <c r="B99" s="418" t="s">
        <v>743</v>
      </c>
      <c r="D99" s="423">
        <v>136304</v>
      </c>
      <c r="E99" s="423">
        <v>163294</v>
      </c>
      <c r="F99" s="423">
        <v>183907</v>
      </c>
      <c r="G99" s="423">
        <v>200167</v>
      </c>
      <c r="H99" s="423">
        <v>20103</v>
      </c>
      <c r="I99" s="423">
        <v>49880</v>
      </c>
      <c r="J99" s="423">
        <v>85158</v>
      </c>
      <c r="K99" s="423">
        <v>127885</v>
      </c>
      <c r="L99" s="423">
        <v>1360</v>
      </c>
      <c r="M99" s="423">
        <v>1361</v>
      </c>
      <c r="N99" s="423">
        <v>45096</v>
      </c>
      <c r="O99" s="423">
        <v>42642</v>
      </c>
      <c r="P99" s="423">
        <v>72074</v>
      </c>
      <c r="Q99" s="423">
        <v>115867</v>
      </c>
      <c r="R99" s="423">
        <v>143741</v>
      </c>
      <c r="S99" s="423">
        <v>131095</v>
      </c>
      <c r="T99" s="423">
        <v>48194</v>
      </c>
      <c r="U99" s="423">
        <v>88601</v>
      </c>
      <c r="W99" s="423">
        <f t="shared" si="124"/>
        <v>1360</v>
      </c>
      <c r="X99" s="423">
        <f t="shared" si="125"/>
        <v>1</v>
      </c>
      <c r="Y99" s="423">
        <f t="shared" si="126"/>
        <v>43735</v>
      </c>
      <c r="Z99" s="423">
        <f t="shared" si="127"/>
        <v>-2454</v>
      </c>
      <c r="AA99" s="423">
        <f t="shared" si="128"/>
        <v>72074</v>
      </c>
      <c r="AB99" s="423">
        <f t="shared" si="129"/>
        <v>43793</v>
      </c>
      <c r="AC99" s="423">
        <f t="shared" si="130"/>
        <v>27874</v>
      </c>
      <c r="AD99" s="423">
        <f t="shared" si="131"/>
        <v>-12646</v>
      </c>
      <c r="AE99" s="423">
        <f t="shared" si="132"/>
        <v>48194</v>
      </c>
      <c r="AF99" s="423">
        <f t="shared" si="133"/>
        <v>40407</v>
      </c>
    </row>
    <row r="100" spans="1:32">
      <c r="A100" s="417" t="s">
        <v>744</v>
      </c>
      <c r="B100" s="417" t="s">
        <v>745</v>
      </c>
      <c r="D100" s="422">
        <f t="shared" ref="D100:I100" si="134">SUM(D101:D110)</f>
        <v>-365136</v>
      </c>
      <c r="E100" s="422">
        <f t="shared" si="134"/>
        <v>-576014</v>
      </c>
      <c r="F100" s="422">
        <f t="shared" si="134"/>
        <v>-843320</v>
      </c>
      <c r="G100" s="422">
        <f t="shared" si="134"/>
        <v>-1198323</v>
      </c>
      <c r="H100" s="422">
        <f t="shared" si="134"/>
        <v>-301176</v>
      </c>
      <c r="I100" s="422">
        <f t="shared" si="134"/>
        <v>-582285</v>
      </c>
      <c r="J100" s="422">
        <f t="shared" ref="J100:T100" si="135">SUM(J101:J110)</f>
        <v>-896489</v>
      </c>
      <c r="K100" s="422">
        <f t="shared" si="135"/>
        <v>-1218438</v>
      </c>
      <c r="L100" s="422">
        <f t="shared" si="135"/>
        <v>-341067</v>
      </c>
      <c r="M100" s="422">
        <f t="shared" si="135"/>
        <v>-714585</v>
      </c>
      <c r="N100" s="422">
        <f t="shared" si="135"/>
        <v>-1072744</v>
      </c>
      <c r="O100" s="422">
        <f t="shared" si="135"/>
        <v>-1543241</v>
      </c>
      <c r="P100" s="422">
        <f t="shared" si="135"/>
        <v>-575666</v>
      </c>
      <c r="Q100" s="422">
        <f t="shared" si="135"/>
        <v>-1063393</v>
      </c>
      <c r="R100" s="422">
        <f t="shared" si="135"/>
        <v>-1510968</v>
      </c>
      <c r="S100" s="422">
        <f t="shared" si="135"/>
        <v>-1933529</v>
      </c>
      <c r="T100" s="422">
        <f t="shared" si="135"/>
        <v>-774267</v>
      </c>
      <c r="U100" s="422">
        <f>SUM(U101:U110)</f>
        <v>-1455546</v>
      </c>
      <c r="W100" s="422">
        <f t="shared" ref="W100:AC100" si="136">SUM(W101:W110)</f>
        <v>-341067</v>
      </c>
      <c r="X100" s="422">
        <f t="shared" si="136"/>
        <v>-373518</v>
      </c>
      <c r="Y100" s="422">
        <f t="shared" si="136"/>
        <v>-358159</v>
      </c>
      <c r="Z100" s="422">
        <f t="shared" si="136"/>
        <v>-470497</v>
      </c>
      <c r="AA100" s="422">
        <f t="shared" si="136"/>
        <v>-575666</v>
      </c>
      <c r="AB100" s="422">
        <f t="shared" si="136"/>
        <v>-487727</v>
      </c>
      <c r="AC100" s="422">
        <f t="shared" si="136"/>
        <v>-447575</v>
      </c>
      <c r="AD100" s="422">
        <f t="shared" ref="AD100:AE100" si="137">SUM(AD101:AD110)</f>
        <v>-422561</v>
      </c>
      <c r="AE100" s="422">
        <f t="shared" si="137"/>
        <v>-774267</v>
      </c>
      <c r="AF100" s="422">
        <f>SUM(AF101:AF110)</f>
        <v>-681279</v>
      </c>
    </row>
    <row r="101" spans="1:32" outlineLevel="1">
      <c r="A101" s="418" t="s">
        <v>746</v>
      </c>
      <c r="B101" s="418" t="s">
        <v>747</v>
      </c>
      <c r="D101" s="423">
        <v>-62091</v>
      </c>
      <c r="E101" s="423">
        <v>-131350</v>
      </c>
      <c r="F101" s="423">
        <v>-206681</v>
      </c>
      <c r="G101" s="423">
        <v>-290026</v>
      </c>
      <c r="H101" s="423">
        <v>-93919</v>
      </c>
      <c r="I101" s="423">
        <v>-190887</v>
      </c>
      <c r="J101" s="423">
        <v>-292149</v>
      </c>
      <c r="K101" s="423">
        <v>-372296</v>
      </c>
      <c r="L101" s="423">
        <v>-132409</v>
      </c>
      <c r="M101" s="423">
        <v>-346928</v>
      </c>
      <c r="N101" s="423">
        <v>-490758</v>
      </c>
      <c r="O101" s="423">
        <v>-741595</v>
      </c>
      <c r="P101" s="423">
        <v>-139380</v>
      </c>
      <c r="Q101" s="423">
        <v>-309636</v>
      </c>
      <c r="R101" s="423">
        <v>-504981</v>
      </c>
      <c r="S101" s="423">
        <v>-764258</v>
      </c>
      <c r="T101" s="423">
        <v>-210738</v>
      </c>
      <c r="U101" s="423">
        <v>-440200</v>
      </c>
      <c r="W101" s="423">
        <f t="shared" ref="W101:W110" si="138">L101</f>
        <v>-132409</v>
      </c>
      <c r="X101" s="423">
        <f t="shared" ref="X101:X110" si="139">M101-W101</f>
        <v>-214519</v>
      </c>
      <c r="Y101" s="423">
        <f t="shared" ref="Y101:Y110" si="140">N101-M101</f>
        <v>-143830</v>
      </c>
      <c r="Z101" s="423">
        <f t="shared" ref="Z101:Z110" si="141">O101-N101</f>
        <v>-250837</v>
      </c>
      <c r="AA101" s="423">
        <f t="shared" ref="AA101:AA110" si="142">P101</f>
        <v>-139380</v>
      </c>
      <c r="AB101" s="423">
        <f t="shared" ref="AB101:AB110" si="143">Q101-AA101</f>
        <v>-170256</v>
      </c>
      <c r="AC101" s="423">
        <f t="shared" ref="AC101:AC110" si="144">R101-Q101</f>
        <v>-195345</v>
      </c>
      <c r="AD101" s="423">
        <f t="shared" ref="AD101:AD110" si="145">S101-R101</f>
        <v>-259277</v>
      </c>
      <c r="AE101" s="423">
        <f t="shared" ref="AE101:AE110" si="146">T101</f>
        <v>-210738</v>
      </c>
      <c r="AF101" s="423">
        <f t="shared" ref="AF101:AF110" si="147">U101-T101</f>
        <v>-229462</v>
      </c>
    </row>
    <row r="102" spans="1:32" outlineLevel="1">
      <c r="A102" s="418" t="s">
        <v>748</v>
      </c>
      <c r="B102" s="418" t="s">
        <v>749</v>
      </c>
      <c r="D102" s="423">
        <v>0</v>
      </c>
      <c r="E102" s="423">
        <v>0</v>
      </c>
      <c r="F102" s="423">
        <v>0</v>
      </c>
      <c r="G102" s="423">
        <v>0</v>
      </c>
      <c r="H102" s="423">
        <v>0</v>
      </c>
      <c r="I102" s="423">
        <v>0</v>
      </c>
      <c r="J102" s="423">
        <v>0</v>
      </c>
      <c r="K102" s="423">
        <v>0</v>
      </c>
      <c r="L102" s="423">
        <v>0</v>
      </c>
      <c r="M102" s="423">
        <v>0</v>
      </c>
      <c r="N102" s="423">
        <v>0</v>
      </c>
      <c r="O102" s="423">
        <v>0</v>
      </c>
      <c r="P102" s="423">
        <v>0</v>
      </c>
      <c r="Q102" s="423">
        <v>0</v>
      </c>
      <c r="R102" s="423">
        <v>0</v>
      </c>
      <c r="S102" s="423">
        <v>0</v>
      </c>
      <c r="T102" s="423">
        <v>0</v>
      </c>
      <c r="U102" s="423">
        <v>0</v>
      </c>
      <c r="W102" s="423">
        <f t="shared" si="138"/>
        <v>0</v>
      </c>
      <c r="X102" s="423">
        <f t="shared" si="139"/>
        <v>0</v>
      </c>
      <c r="Y102" s="423">
        <f t="shared" si="140"/>
        <v>0</v>
      </c>
      <c r="Z102" s="423">
        <f t="shared" si="141"/>
        <v>0</v>
      </c>
      <c r="AA102" s="423">
        <f t="shared" si="142"/>
        <v>0</v>
      </c>
      <c r="AB102" s="423">
        <f t="shared" si="143"/>
        <v>0</v>
      </c>
      <c r="AC102" s="423">
        <f t="shared" si="144"/>
        <v>0</v>
      </c>
      <c r="AD102" s="423">
        <f t="shared" si="145"/>
        <v>0</v>
      </c>
      <c r="AE102" s="423">
        <f t="shared" si="146"/>
        <v>0</v>
      </c>
      <c r="AF102" s="423">
        <f t="shared" si="147"/>
        <v>0</v>
      </c>
    </row>
    <row r="103" spans="1:32" outlineLevel="1">
      <c r="A103" s="418" t="s">
        <v>750</v>
      </c>
      <c r="B103" s="418" t="s">
        <v>751</v>
      </c>
      <c r="D103" s="423">
        <v>-7301</v>
      </c>
      <c r="E103" s="423">
        <v>-88891</v>
      </c>
      <c r="F103" s="423">
        <v>-121607</v>
      </c>
      <c r="G103" s="423">
        <v>-129270</v>
      </c>
      <c r="H103" s="423">
        <v>-24475</v>
      </c>
      <c r="I103" s="423">
        <v>-113338</v>
      </c>
      <c r="J103" s="423">
        <v>-188738</v>
      </c>
      <c r="K103" s="423">
        <v>-255331</v>
      </c>
      <c r="L103" s="423">
        <v>-83627</v>
      </c>
      <c r="M103" s="423">
        <v>-78743</v>
      </c>
      <c r="N103" s="423">
        <v>-112858</v>
      </c>
      <c r="O103" s="423">
        <v>-148937</v>
      </c>
      <c r="P103" s="423">
        <v>-282322</v>
      </c>
      <c r="Q103" s="423">
        <v>-387641</v>
      </c>
      <c r="R103" s="423">
        <v>-469929</v>
      </c>
      <c r="S103" s="423">
        <v>-529957</v>
      </c>
      <c r="T103" s="423">
        <v>-319710</v>
      </c>
      <c r="U103" s="423">
        <v>-142405</v>
      </c>
      <c r="W103" s="423">
        <f t="shared" si="138"/>
        <v>-83627</v>
      </c>
      <c r="X103" s="423">
        <f t="shared" si="139"/>
        <v>4884</v>
      </c>
      <c r="Y103" s="423">
        <f t="shared" si="140"/>
        <v>-34115</v>
      </c>
      <c r="Z103" s="423">
        <f t="shared" si="141"/>
        <v>-36079</v>
      </c>
      <c r="AA103" s="423">
        <f t="shared" si="142"/>
        <v>-282322</v>
      </c>
      <c r="AB103" s="423">
        <f t="shared" si="143"/>
        <v>-105319</v>
      </c>
      <c r="AC103" s="423">
        <f t="shared" si="144"/>
        <v>-82288</v>
      </c>
      <c r="AD103" s="423">
        <f t="shared" si="145"/>
        <v>-60028</v>
      </c>
      <c r="AE103" s="423">
        <f t="shared" si="146"/>
        <v>-319710</v>
      </c>
      <c r="AF103" s="423">
        <f t="shared" si="147"/>
        <v>177305</v>
      </c>
    </row>
    <row r="104" spans="1:32" outlineLevel="1">
      <c r="A104" s="418" t="s">
        <v>741</v>
      </c>
      <c r="B104" s="418" t="s">
        <v>2536</v>
      </c>
      <c r="D104" s="423"/>
      <c r="E104" s="423"/>
      <c r="F104" s="423"/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>
        <v>-146</v>
      </c>
      <c r="R104" s="423">
        <v>-3051</v>
      </c>
      <c r="S104" s="423">
        <v>-8775</v>
      </c>
      <c r="T104" s="423">
        <v>-96354</v>
      </c>
      <c r="U104" s="423">
        <v>-84945</v>
      </c>
      <c r="W104" s="423">
        <f>L104</f>
        <v>0</v>
      </c>
      <c r="X104" s="423">
        <f>M104-W104</f>
        <v>0</v>
      </c>
      <c r="Y104" s="423">
        <f t="shared" si="140"/>
        <v>0</v>
      </c>
      <c r="Z104" s="423">
        <f t="shared" si="141"/>
        <v>0</v>
      </c>
      <c r="AA104" s="423">
        <f>P104</f>
        <v>0</v>
      </c>
      <c r="AB104" s="423">
        <f>Q104-AA104</f>
        <v>-146</v>
      </c>
      <c r="AC104" s="423">
        <f t="shared" si="144"/>
        <v>-2905</v>
      </c>
      <c r="AD104" s="423">
        <f t="shared" si="145"/>
        <v>-5724</v>
      </c>
      <c r="AE104" s="423">
        <f>T104</f>
        <v>-96354</v>
      </c>
      <c r="AF104" s="423">
        <f t="shared" si="147"/>
        <v>11409</v>
      </c>
    </row>
    <row r="105" spans="1:32" outlineLevel="1">
      <c r="A105" s="418" t="s">
        <v>752</v>
      </c>
      <c r="B105" s="418" t="s">
        <v>753</v>
      </c>
      <c r="D105" s="423">
        <v>0</v>
      </c>
      <c r="E105" s="423">
        <v>0</v>
      </c>
      <c r="F105" s="423">
        <v>0</v>
      </c>
      <c r="G105" s="423">
        <v>0</v>
      </c>
      <c r="H105" s="423">
        <v>0</v>
      </c>
      <c r="I105" s="423">
        <v>0</v>
      </c>
      <c r="J105" s="423">
        <v>0</v>
      </c>
      <c r="K105" s="423">
        <v>0</v>
      </c>
      <c r="L105" s="423">
        <v>0</v>
      </c>
      <c r="M105" s="423">
        <v>0</v>
      </c>
      <c r="N105" s="423">
        <v>0</v>
      </c>
      <c r="O105" s="423">
        <v>0</v>
      </c>
      <c r="P105" s="423">
        <v>0</v>
      </c>
      <c r="Q105" s="423">
        <v>0</v>
      </c>
      <c r="R105" s="423">
        <v>0</v>
      </c>
      <c r="S105" s="423">
        <v>0</v>
      </c>
      <c r="T105" s="423">
        <v>0</v>
      </c>
      <c r="U105" s="423">
        <v>0</v>
      </c>
      <c r="W105" s="423">
        <f>L105</f>
        <v>0</v>
      </c>
      <c r="X105" s="423">
        <f>M105-W105</f>
        <v>0</v>
      </c>
      <c r="Y105" s="423">
        <f t="shared" si="140"/>
        <v>0</v>
      </c>
      <c r="Z105" s="423">
        <f t="shared" si="141"/>
        <v>0</v>
      </c>
      <c r="AA105" s="423">
        <f>P105</f>
        <v>0</v>
      </c>
      <c r="AB105" s="423">
        <f>Q105-AA105</f>
        <v>0</v>
      </c>
      <c r="AC105" s="423">
        <f t="shared" si="144"/>
        <v>0</v>
      </c>
      <c r="AD105" s="423">
        <f t="shared" si="145"/>
        <v>0</v>
      </c>
      <c r="AE105" s="423">
        <f>T105</f>
        <v>0</v>
      </c>
      <c r="AF105" s="423">
        <f t="shared" si="147"/>
        <v>0</v>
      </c>
    </row>
    <row r="106" spans="1:32" outlineLevel="1">
      <c r="A106" s="418" t="s">
        <v>754</v>
      </c>
      <c r="B106" s="418" t="s">
        <v>755</v>
      </c>
      <c r="D106" s="423">
        <v>-9283</v>
      </c>
      <c r="E106" s="423">
        <v>-22188</v>
      </c>
      <c r="F106" s="423">
        <v>-48074</v>
      </c>
      <c r="G106" s="423">
        <v>-64627</v>
      </c>
      <c r="H106" s="423">
        <v>-20404</v>
      </c>
      <c r="I106" s="423">
        <v>-43063</v>
      </c>
      <c r="J106" s="423">
        <v>-67020</v>
      </c>
      <c r="K106" s="423">
        <v>-111718</v>
      </c>
      <c r="L106" s="423">
        <v>-24069</v>
      </c>
      <c r="M106" s="423">
        <v>-41177</v>
      </c>
      <c r="N106" s="423">
        <v>-89859</v>
      </c>
      <c r="O106" s="423">
        <v>-106432</v>
      </c>
      <c r="P106" s="423">
        <v>-15799</v>
      </c>
      <c r="Q106" s="423">
        <v>-34599</v>
      </c>
      <c r="R106" s="423">
        <v>-53520</v>
      </c>
      <c r="S106" s="423">
        <v>-69791</v>
      </c>
      <c r="T106" s="423">
        <v>-11523</v>
      </c>
      <c r="U106" s="423">
        <v>-25939</v>
      </c>
      <c r="W106" s="423">
        <f t="shared" si="138"/>
        <v>-24069</v>
      </c>
      <c r="X106" s="423">
        <f t="shared" si="139"/>
        <v>-17108</v>
      </c>
      <c r="Y106" s="423">
        <f t="shared" si="140"/>
        <v>-48682</v>
      </c>
      <c r="Z106" s="423">
        <f t="shared" si="141"/>
        <v>-16573</v>
      </c>
      <c r="AA106" s="423">
        <f t="shared" si="142"/>
        <v>-15799</v>
      </c>
      <c r="AB106" s="423">
        <f t="shared" si="143"/>
        <v>-18800</v>
      </c>
      <c r="AC106" s="423">
        <f t="shared" si="144"/>
        <v>-18921</v>
      </c>
      <c r="AD106" s="423">
        <f t="shared" si="145"/>
        <v>-16271</v>
      </c>
      <c r="AE106" s="423">
        <f t="shared" si="146"/>
        <v>-11523</v>
      </c>
      <c r="AF106" s="423">
        <f t="shared" si="147"/>
        <v>-14416</v>
      </c>
    </row>
    <row r="107" spans="1:32" outlineLevel="1">
      <c r="A107" s="418" t="s">
        <v>756</v>
      </c>
      <c r="B107" s="418" t="s">
        <v>757</v>
      </c>
      <c r="D107" s="423">
        <v>-3272</v>
      </c>
      <c r="E107" s="423">
        <v>-6706</v>
      </c>
      <c r="F107" s="423">
        <v>-9833</v>
      </c>
      <c r="G107" s="423">
        <v>-13294</v>
      </c>
      <c r="H107" s="423">
        <v>-7979</v>
      </c>
      <c r="I107" s="423">
        <v>-13446</v>
      </c>
      <c r="J107" s="423">
        <v>-18912</v>
      </c>
      <c r="K107" s="423">
        <v>-25134</v>
      </c>
      <c r="L107" s="423">
        <v>-16298</v>
      </c>
      <c r="M107" s="423">
        <v>-23868</v>
      </c>
      <c r="N107" s="423">
        <v>-26217</v>
      </c>
      <c r="O107" s="423">
        <v>-45701</v>
      </c>
      <c r="P107" s="423">
        <v>-1340</v>
      </c>
      <c r="Q107" s="423">
        <v>-42467</v>
      </c>
      <c r="R107" s="423">
        <v>-45105</v>
      </c>
      <c r="S107" s="423">
        <v>-54973</v>
      </c>
      <c r="T107" s="423">
        <v>-804</v>
      </c>
      <c r="U107" s="423">
        <v>-841</v>
      </c>
      <c r="W107" s="423">
        <f t="shared" si="138"/>
        <v>-16298</v>
      </c>
      <c r="X107" s="423">
        <f t="shared" si="139"/>
        <v>-7570</v>
      </c>
      <c r="Y107" s="423">
        <f t="shared" si="140"/>
        <v>-2349</v>
      </c>
      <c r="Z107" s="423">
        <f t="shared" si="141"/>
        <v>-19484</v>
      </c>
      <c r="AA107" s="423">
        <f t="shared" si="142"/>
        <v>-1340</v>
      </c>
      <c r="AB107" s="423">
        <f t="shared" si="143"/>
        <v>-41127</v>
      </c>
      <c r="AC107" s="423">
        <f t="shared" si="144"/>
        <v>-2638</v>
      </c>
      <c r="AD107" s="423">
        <f t="shared" si="145"/>
        <v>-9868</v>
      </c>
      <c r="AE107" s="423">
        <f t="shared" si="146"/>
        <v>-804</v>
      </c>
      <c r="AF107" s="423">
        <f t="shared" si="147"/>
        <v>-37</v>
      </c>
    </row>
    <row r="108" spans="1:32" outlineLevel="1">
      <c r="A108" s="418" t="s">
        <v>758</v>
      </c>
      <c r="B108" s="418" t="s">
        <v>759</v>
      </c>
      <c r="D108" s="423">
        <v>0</v>
      </c>
      <c r="E108" s="423">
        <v>0</v>
      </c>
      <c r="F108" s="423">
        <v>0</v>
      </c>
      <c r="G108" s="423">
        <v>0</v>
      </c>
      <c r="H108" s="423">
        <v>0</v>
      </c>
      <c r="I108" s="423">
        <v>0</v>
      </c>
      <c r="J108" s="423">
        <v>0</v>
      </c>
      <c r="K108" s="423">
        <v>0</v>
      </c>
      <c r="L108" s="423">
        <v>0</v>
      </c>
      <c r="M108" s="423">
        <v>0</v>
      </c>
      <c r="N108" s="423">
        <v>0</v>
      </c>
      <c r="O108" s="423">
        <v>0</v>
      </c>
      <c r="P108" s="423">
        <v>0</v>
      </c>
      <c r="Q108" s="423">
        <v>0</v>
      </c>
      <c r="R108" s="423">
        <v>0</v>
      </c>
      <c r="S108" s="423">
        <v>0</v>
      </c>
      <c r="T108" s="423">
        <v>0</v>
      </c>
      <c r="U108" s="423">
        <v>-368898</v>
      </c>
      <c r="W108" s="423">
        <f t="shared" si="138"/>
        <v>0</v>
      </c>
      <c r="X108" s="423">
        <f t="shared" si="139"/>
        <v>0</v>
      </c>
      <c r="Y108" s="423">
        <f t="shared" si="140"/>
        <v>0</v>
      </c>
      <c r="Z108" s="423">
        <f t="shared" si="141"/>
        <v>0</v>
      </c>
      <c r="AA108" s="423">
        <f t="shared" si="142"/>
        <v>0</v>
      </c>
      <c r="AB108" s="423">
        <f t="shared" si="143"/>
        <v>0</v>
      </c>
      <c r="AC108" s="423">
        <f t="shared" si="144"/>
        <v>0</v>
      </c>
      <c r="AD108" s="423">
        <f t="shared" si="145"/>
        <v>0</v>
      </c>
      <c r="AE108" s="423">
        <f t="shared" si="146"/>
        <v>0</v>
      </c>
      <c r="AF108" s="423">
        <f t="shared" si="147"/>
        <v>-368898</v>
      </c>
    </row>
    <row r="109" spans="1:32" outlineLevel="1">
      <c r="A109" s="418" t="s">
        <v>760</v>
      </c>
      <c r="B109" s="418" t="s">
        <v>761</v>
      </c>
      <c r="D109" s="423">
        <v>-2269</v>
      </c>
      <c r="E109" s="423">
        <v>-4915</v>
      </c>
      <c r="F109" s="423">
        <v>-7994</v>
      </c>
      <c r="G109" s="423">
        <v>-10864</v>
      </c>
      <c r="H109" s="423">
        <v>-2906</v>
      </c>
      <c r="I109" s="423">
        <v>-5857</v>
      </c>
      <c r="J109" s="423">
        <v>-8926</v>
      </c>
      <c r="K109" s="423">
        <v>-11039</v>
      </c>
      <c r="L109" s="423">
        <v>-844</v>
      </c>
      <c r="M109" s="423">
        <v>-1415</v>
      </c>
      <c r="N109" s="423">
        <v>-2203</v>
      </c>
      <c r="O109" s="423">
        <v>-3356</v>
      </c>
      <c r="P109" s="423">
        <v>-813</v>
      </c>
      <c r="Q109" s="423">
        <v>-1464</v>
      </c>
      <c r="R109" s="423">
        <v>-2323</v>
      </c>
      <c r="S109" s="423">
        <v>-3177</v>
      </c>
      <c r="T109" s="423">
        <v>-857</v>
      </c>
      <c r="U109" s="423">
        <v>-1945</v>
      </c>
      <c r="W109" s="423">
        <f t="shared" si="138"/>
        <v>-844</v>
      </c>
      <c r="X109" s="423">
        <f t="shared" si="139"/>
        <v>-571</v>
      </c>
      <c r="Y109" s="423">
        <f t="shared" si="140"/>
        <v>-788</v>
      </c>
      <c r="Z109" s="423">
        <f t="shared" si="141"/>
        <v>-1153</v>
      </c>
      <c r="AA109" s="423">
        <f t="shared" si="142"/>
        <v>-813</v>
      </c>
      <c r="AB109" s="423">
        <f t="shared" si="143"/>
        <v>-651</v>
      </c>
      <c r="AC109" s="423">
        <f t="shared" si="144"/>
        <v>-859</v>
      </c>
      <c r="AD109" s="423">
        <f t="shared" si="145"/>
        <v>-854</v>
      </c>
      <c r="AE109" s="423">
        <f t="shared" si="146"/>
        <v>-857</v>
      </c>
      <c r="AF109" s="423">
        <f t="shared" si="147"/>
        <v>-1088</v>
      </c>
    </row>
    <row r="110" spans="1:32" outlineLevel="1">
      <c r="A110" s="418" t="s">
        <v>762</v>
      </c>
      <c r="B110" s="418" t="s">
        <v>763</v>
      </c>
      <c r="D110" s="423">
        <v>-280920</v>
      </c>
      <c r="E110" s="423">
        <v>-321964</v>
      </c>
      <c r="F110" s="423">
        <v>-449131</v>
      </c>
      <c r="G110" s="423">
        <v>-690242</v>
      </c>
      <c r="H110" s="423">
        <v>-151493</v>
      </c>
      <c r="I110" s="423">
        <v>-215694</v>
      </c>
      <c r="J110" s="423">
        <v>-320744</v>
      </c>
      <c r="K110" s="423">
        <v>-442920</v>
      </c>
      <c r="L110" s="423">
        <v>-83820</v>
      </c>
      <c r="M110" s="423">
        <v>-222454</v>
      </c>
      <c r="N110" s="423">
        <v>-350849</v>
      </c>
      <c r="O110" s="423">
        <v>-497220</v>
      </c>
      <c r="P110" s="423">
        <v>-136012</v>
      </c>
      <c r="Q110" s="423">
        <v>-287440</v>
      </c>
      <c r="R110" s="423">
        <v>-432059</v>
      </c>
      <c r="S110" s="423">
        <v>-502598</v>
      </c>
      <c r="T110" s="423">
        <v>-134281</v>
      </c>
      <c r="U110" s="423">
        <v>-390373</v>
      </c>
      <c r="W110" s="423">
        <f t="shared" si="138"/>
        <v>-83820</v>
      </c>
      <c r="X110" s="423">
        <f t="shared" si="139"/>
        <v>-138634</v>
      </c>
      <c r="Y110" s="423">
        <f t="shared" si="140"/>
        <v>-128395</v>
      </c>
      <c r="Z110" s="423">
        <f t="shared" si="141"/>
        <v>-146371</v>
      </c>
      <c r="AA110" s="423">
        <f t="shared" si="142"/>
        <v>-136012</v>
      </c>
      <c r="AB110" s="423">
        <f t="shared" si="143"/>
        <v>-151428</v>
      </c>
      <c r="AC110" s="423">
        <f t="shared" si="144"/>
        <v>-144619</v>
      </c>
      <c r="AD110" s="423">
        <f t="shared" si="145"/>
        <v>-70539</v>
      </c>
      <c r="AE110" s="423">
        <f t="shared" si="146"/>
        <v>-134281</v>
      </c>
      <c r="AF110" s="423">
        <f t="shared" si="147"/>
        <v>-256092</v>
      </c>
    </row>
    <row r="111" spans="1:32">
      <c r="A111" s="417"/>
      <c r="B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</row>
    <row r="112" spans="1:32">
      <c r="A112" s="429" t="s">
        <v>764</v>
      </c>
      <c r="B112" s="429" t="s">
        <v>765</v>
      </c>
      <c r="D112" s="420">
        <f t="shared" ref="D112:I112" si="148">D86+D88</f>
        <v>16426</v>
      </c>
      <c r="E112" s="420">
        <f t="shared" si="148"/>
        <v>-82898</v>
      </c>
      <c r="F112" s="420">
        <f t="shared" si="148"/>
        <v>-93334</v>
      </c>
      <c r="G112" s="420">
        <f t="shared" si="148"/>
        <v>-266172</v>
      </c>
      <c r="H112" s="420">
        <f t="shared" si="148"/>
        <v>41524</v>
      </c>
      <c r="I112" s="420">
        <f t="shared" si="148"/>
        <v>-118459</v>
      </c>
      <c r="J112" s="420">
        <f t="shared" ref="J112:T112" si="149">J86+J88</f>
        <v>-220604</v>
      </c>
      <c r="K112" s="420">
        <f t="shared" si="149"/>
        <v>-451559</v>
      </c>
      <c r="L112" s="420">
        <f t="shared" si="149"/>
        <v>-15996</v>
      </c>
      <c r="M112" s="420">
        <f t="shared" si="149"/>
        <v>-231979</v>
      </c>
      <c r="N112" s="420">
        <f t="shared" si="149"/>
        <v>-365320</v>
      </c>
      <c r="O112" s="420">
        <f t="shared" si="149"/>
        <v>-487877</v>
      </c>
      <c r="P112" s="420">
        <f t="shared" si="149"/>
        <v>-3382</v>
      </c>
      <c r="Q112" s="420">
        <f t="shared" si="149"/>
        <v>-238710</v>
      </c>
      <c r="R112" s="420">
        <f t="shared" si="149"/>
        <v>-502086</v>
      </c>
      <c r="S112" s="420">
        <f t="shared" si="149"/>
        <v>-704584</v>
      </c>
      <c r="T112" s="420">
        <f t="shared" si="149"/>
        <v>-40807</v>
      </c>
      <c r="U112" s="741">
        <f>U86+U88</f>
        <v>32581</v>
      </c>
      <c r="W112" s="420">
        <f t="shared" ref="W112:AC112" si="150">W86+W88</f>
        <v>-15996</v>
      </c>
      <c r="X112" s="420">
        <f t="shared" si="150"/>
        <v>-215983</v>
      </c>
      <c r="Y112" s="420">
        <f t="shared" si="150"/>
        <v>-133341</v>
      </c>
      <c r="Z112" s="420">
        <f t="shared" si="150"/>
        <v>-122557</v>
      </c>
      <c r="AA112" s="420">
        <f t="shared" si="150"/>
        <v>-3382</v>
      </c>
      <c r="AB112" s="420">
        <f t="shared" si="150"/>
        <v>-235328</v>
      </c>
      <c r="AC112" s="420">
        <f t="shared" si="150"/>
        <v>-263376</v>
      </c>
      <c r="AD112" s="420">
        <f t="shared" ref="AD112:AE112" si="151">AD86+AD88</f>
        <v>-202498</v>
      </c>
      <c r="AE112" s="420">
        <f t="shared" si="151"/>
        <v>-40807</v>
      </c>
      <c r="AF112" s="741">
        <f>AF86+AF88</f>
        <v>574771</v>
      </c>
    </row>
    <row r="114" spans="1:32">
      <c r="A114" s="416" t="s">
        <v>766</v>
      </c>
      <c r="B114" s="416" t="s">
        <v>767</v>
      </c>
      <c r="D114" s="424">
        <f t="shared" ref="D114:K114" si="152">SUM(D116:D119)</f>
        <v>0</v>
      </c>
      <c r="E114" s="424">
        <f t="shared" si="152"/>
        <v>-1492</v>
      </c>
      <c r="F114" s="424">
        <f t="shared" si="152"/>
        <v>0</v>
      </c>
      <c r="G114" s="424">
        <f t="shared" si="152"/>
        <v>0</v>
      </c>
      <c r="H114" s="424">
        <f t="shared" si="152"/>
        <v>-537</v>
      </c>
      <c r="I114" s="424">
        <f t="shared" si="152"/>
        <v>0</v>
      </c>
      <c r="J114" s="424">
        <f t="shared" si="152"/>
        <v>0</v>
      </c>
      <c r="K114" s="424">
        <f t="shared" si="152"/>
        <v>0</v>
      </c>
      <c r="L114" s="424">
        <f t="shared" ref="L114:T114" si="153">SUM(L116:L119)</f>
        <v>48989</v>
      </c>
      <c r="M114" s="424">
        <f t="shared" si="153"/>
        <v>48989</v>
      </c>
      <c r="N114" s="424">
        <f t="shared" si="153"/>
        <v>48989</v>
      </c>
      <c r="O114" s="424">
        <f t="shared" si="153"/>
        <v>48989</v>
      </c>
      <c r="P114" s="424">
        <f t="shared" si="153"/>
        <v>0</v>
      </c>
      <c r="Q114" s="424">
        <f t="shared" si="153"/>
        <v>0</v>
      </c>
      <c r="R114" s="424">
        <f t="shared" si="153"/>
        <v>0</v>
      </c>
      <c r="S114" s="424">
        <f t="shared" si="153"/>
        <v>0</v>
      </c>
      <c r="T114" s="424">
        <f t="shared" si="153"/>
        <v>0</v>
      </c>
      <c r="U114" s="424">
        <f>SUM(U116:U119)</f>
        <v>0</v>
      </c>
      <c r="W114" s="424">
        <f t="shared" ref="W114:AC114" si="154">SUM(W116:W119)</f>
        <v>48989</v>
      </c>
      <c r="X114" s="424">
        <f t="shared" si="154"/>
        <v>0</v>
      </c>
      <c r="Y114" s="424">
        <f t="shared" si="154"/>
        <v>0</v>
      </c>
      <c r="Z114" s="424">
        <f t="shared" si="154"/>
        <v>0</v>
      </c>
      <c r="AA114" s="424">
        <f t="shared" si="154"/>
        <v>0</v>
      </c>
      <c r="AB114" s="424">
        <f t="shared" si="154"/>
        <v>0</v>
      </c>
      <c r="AC114" s="424">
        <f t="shared" si="154"/>
        <v>0</v>
      </c>
      <c r="AD114" s="424">
        <f t="shared" ref="AD114:AE114" si="155">SUM(AD116:AD119)</f>
        <v>0</v>
      </c>
      <c r="AE114" s="424">
        <f t="shared" si="155"/>
        <v>0</v>
      </c>
      <c r="AF114" s="424">
        <f>SUM(AF116:AF119)</f>
        <v>0</v>
      </c>
    </row>
    <row r="115" spans="1:32">
      <c r="A115" s="417"/>
      <c r="B115" s="417"/>
      <c r="D115" s="417"/>
      <c r="E115" s="417"/>
      <c r="F115" s="417"/>
      <c r="G115" s="417"/>
      <c r="H115" s="417"/>
      <c r="I115" s="417"/>
      <c r="J115" s="417"/>
      <c r="K115" s="417"/>
      <c r="L115" s="417"/>
      <c r="M115" s="417"/>
      <c r="N115" s="417"/>
      <c r="P115" s="417"/>
      <c r="Q115" s="417"/>
      <c r="R115" s="417"/>
      <c r="S115" s="417"/>
      <c r="T115" s="417"/>
      <c r="U115" s="417"/>
      <c r="W115" s="417"/>
      <c r="X115" s="417"/>
      <c r="Y115" s="417"/>
      <c r="AA115" s="417"/>
      <c r="AB115" s="417"/>
      <c r="AC115" s="417"/>
      <c r="AD115" s="417"/>
      <c r="AE115" s="417"/>
      <c r="AF115" s="417"/>
    </row>
    <row r="116" spans="1:32">
      <c r="A116" s="417" t="s">
        <v>768</v>
      </c>
      <c r="B116" s="417" t="s">
        <v>769</v>
      </c>
      <c r="D116" s="425">
        <v>0</v>
      </c>
      <c r="E116" s="425">
        <v>-398</v>
      </c>
      <c r="F116" s="425"/>
      <c r="G116" s="425">
        <v>0</v>
      </c>
      <c r="H116" s="425">
        <v>-145</v>
      </c>
      <c r="I116" s="425">
        <v>0</v>
      </c>
      <c r="J116" s="425">
        <v>0</v>
      </c>
      <c r="K116" s="425">
        <v>0</v>
      </c>
      <c r="L116" s="425">
        <v>0</v>
      </c>
      <c r="M116" s="425">
        <v>0</v>
      </c>
      <c r="N116" s="425">
        <v>0</v>
      </c>
      <c r="O116" s="425">
        <v>0</v>
      </c>
      <c r="P116" s="425">
        <v>0</v>
      </c>
      <c r="Q116" s="425">
        <v>0</v>
      </c>
      <c r="R116" s="425">
        <v>0</v>
      </c>
      <c r="S116" s="425">
        <v>0</v>
      </c>
      <c r="T116" s="425">
        <v>0</v>
      </c>
      <c r="U116" s="756">
        <v>0</v>
      </c>
      <c r="W116" s="425">
        <f>L116</f>
        <v>0</v>
      </c>
      <c r="X116" s="425">
        <f>M116-W116</f>
        <v>0</v>
      </c>
      <c r="Y116" s="425">
        <f t="shared" ref="Y116:Z119" si="156">N116-M116</f>
        <v>0</v>
      </c>
      <c r="Z116" s="425">
        <f t="shared" si="156"/>
        <v>0</v>
      </c>
      <c r="AA116" s="425">
        <f>P116</f>
        <v>0</v>
      </c>
      <c r="AB116" s="425">
        <f t="shared" ref="AB116:AB119" si="157">Q116-AA116</f>
        <v>0</v>
      </c>
      <c r="AC116" s="425">
        <f t="shared" ref="AC116:AD119" si="158">R116-Q116</f>
        <v>0</v>
      </c>
      <c r="AD116" s="425">
        <f t="shared" si="158"/>
        <v>0</v>
      </c>
      <c r="AE116" s="425">
        <f>T116</f>
        <v>0</v>
      </c>
      <c r="AF116" s="756">
        <f>U116-T116</f>
        <v>0</v>
      </c>
    </row>
    <row r="117" spans="1:32">
      <c r="A117" s="417" t="s">
        <v>770</v>
      </c>
      <c r="B117" s="417" t="s">
        <v>771</v>
      </c>
      <c r="D117" s="425">
        <v>0</v>
      </c>
      <c r="E117" s="425">
        <v>-1094</v>
      </c>
      <c r="F117" s="425"/>
      <c r="G117" s="425">
        <v>0</v>
      </c>
      <c r="H117" s="425">
        <v>-392</v>
      </c>
      <c r="I117" s="425">
        <v>0</v>
      </c>
      <c r="J117" s="425">
        <v>0</v>
      </c>
      <c r="K117" s="425">
        <v>0</v>
      </c>
      <c r="L117" s="425">
        <v>0</v>
      </c>
      <c r="M117" s="425">
        <v>0</v>
      </c>
      <c r="N117" s="425">
        <v>0</v>
      </c>
      <c r="O117" s="425">
        <v>0</v>
      </c>
      <c r="P117" s="425">
        <v>0</v>
      </c>
      <c r="Q117" s="425">
        <v>0</v>
      </c>
      <c r="R117" s="425">
        <v>0</v>
      </c>
      <c r="S117" s="425">
        <v>0</v>
      </c>
      <c r="T117" s="425">
        <v>0</v>
      </c>
      <c r="U117" s="756">
        <v>0</v>
      </c>
      <c r="W117" s="425">
        <f>L117</f>
        <v>0</v>
      </c>
      <c r="X117" s="425">
        <f>M117-W117</f>
        <v>0</v>
      </c>
      <c r="Y117" s="425">
        <f t="shared" si="156"/>
        <v>0</v>
      </c>
      <c r="Z117" s="425">
        <f t="shared" si="156"/>
        <v>0</v>
      </c>
      <c r="AA117" s="425">
        <f>P117</f>
        <v>0</v>
      </c>
      <c r="AB117" s="425">
        <f t="shared" si="157"/>
        <v>0</v>
      </c>
      <c r="AC117" s="425">
        <f t="shared" si="158"/>
        <v>0</v>
      </c>
      <c r="AD117" s="425">
        <f t="shared" si="158"/>
        <v>0</v>
      </c>
      <c r="AE117" s="425">
        <f>T117</f>
        <v>0</v>
      </c>
      <c r="AF117" s="756">
        <f>U117-T117</f>
        <v>0</v>
      </c>
    </row>
    <row r="118" spans="1:32">
      <c r="A118" s="417" t="s">
        <v>772</v>
      </c>
      <c r="B118" s="417" t="s">
        <v>773</v>
      </c>
      <c r="D118" s="425">
        <v>0</v>
      </c>
      <c r="E118" s="425">
        <v>0</v>
      </c>
      <c r="F118" s="425"/>
      <c r="G118" s="425">
        <v>0</v>
      </c>
      <c r="H118" s="425">
        <v>0</v>
      </c>
      <c r="I118" s="425">
        <v>0</v>
      </c>
      <c r="J118" s="425">
        <v>0</v>
      </c>
      <c r="K118" s="425">
        <v>0</v>
      </c>
      <c r="L118" s="425">
        <v>0</v>
      </c>
      <c r="M118" s="425">
        <v>0</v>
      </c>
      <c r="N118" s="425">
        <v>0</v>
      </c>
      <c r="O118" s="425">
        <v>0</v>
      </c>
      <c r="P118" s="425">
        <v>0</v>
      </c>
      <c r="Q118" s="425">
        <v>0</v>
      </c>
      <c r="R118" s="425">
        <v>0</v>
      </c>
      <c r="S118" s="425">
        <v>0</v>
      </c>
      <c r="T118" s="425">
        <v>0</v>
      </c>
      <c r="U118" s="756">
        <v>0</v>
      </c>
      <c r="W118" s="425">
        <f>L118</f>
        <v>0</v>
      </c>
      <c r="X118" s="425">
        <f>M118-W118</f>
        <v>0</v>
      </c>
      <c r="Y118" s="425">
        <f t="shared" si="156"/>
        <v>0</v>
      </c>
      <c r="Z118" s="425">
        <f t="shared" si="156"/>
        <v>0</v>
      </c>
      <c r="AA118" s="425">
        <f>P118</f>
        <v>0</v>
      </c>
      <c r="AB118" s="425">
        <f t="shared" si="157"/>
        <v>0</v>
      </c>
      <c r="AC118" s="425">
        <f t="shared" si="158"/>
        <v>0</v>
      </c>
      <c r="AD118" s="425">
        <f t="shared" si="158"/>
        <v>0</v>
      </c>
      <c r="AE118" s="425">
        <f>T118</f>
        <v>0</v>
      </c>
      <c r="AF118" s="756">
        <f>U118-T118</f>
        <v>0</v>
      </c>
    </row>
    <row r="119" spans="1:32">
      <c r="A119" s="417" t="s">
        <v>774</v>
      </c>
      <c r="B119" s="417" t="s">
        <v>775</v>
      </c>
      <c r="D119" s="425">
        <v>0</v>
      </c>
      <c r="E119" s="425">
        <v>0</v>
      </c>
      <c r="F119" s="425"/>
      <c r="G119" s="425">
        <v>0</v>
      </c>
      <c r="H119" s="425">
        <v>0</v>
      </c>
      <c r="I119" s="425">
        <v>0</v>
      </c>
      <c r="J119" s="425">
        <v>0</v>
      </c>
      <c r="K119" s="425">
        <v>0</v>
      </c>
      <c r="L119" s="425">
        <v>48989</v>
      </c>
      <c r="M119" s="425">
        <v>48989</v>
      </c>
      <c r="N119" s="425">
        <v>48989</v>
      </c>
      <c r="O119" s="425">
        <v>48989</v>
      </c>
      <c r="P119" s="425">
        <v>0</v>
      </c>
      <c r="Q119" s="425">
        <v>0</v>
      </c>
      <c r="R119" s="425">
        <v>0</v>
      </c>
      <c r="S119" s="425">
        <v>0</v>
      </c>
      <c r="T119" s="425">
        <v>0</v>
      </c>
      <c r="U119" s="756">
        <v>0</v>
      </c>
      <c r="W119" s="425">
        <f>L119</f>
        <v>48989</v>
      </c>
      <c r="X119" s="425">
        <f>M119-W119</f>
        <v>0</v>
      </c>
      <c r="Y119" s="425">
        <f t="shared" si="156"/>
        <v>0</v>
      </c>
      <c r="Z119" s="425">
        <f t="shared" si="156"/>
        <v>0</v>
      </c>
      <c r="AA119" s="425">
        <f>P119</f>
        <v>0</v>
      </c>
      <c r="AB119" s="425">
        <f t="shared" si="157"/>
        <v>0</v>
      </c>
      <c r="AC119" s="425">
        <f t="shared" si="158"/>
        <v>0</v>
      </c>
      <c r="AD119" s="425">
        <f t="shared" si="158"/>
        <v>0</v>
      </c>
      <c r="AE119" s="425">
        <f>T119</f>
        <v>0</v>
      </c>
      <c r="AF119" s="756">
        <f>U119-T119</f>
        <v>0</v>
      </c>
    </row>
    <row r="120" spans="1:32">
      <c r="A120" s="417"/>
      <c r="B120" s="417"/>
      <c r="D120" s="417"/>
      <c r="E120" s="417"/>
      <c r="F120" s="417"/>
      <c r="G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</row>
    <row r="121" spans="1:32" ht="15" thickBot="1">
      <c r="A121" s="430" t="s">
        <v>776</v>
      </c>
      <c r="B121" s="430" t="s">
        <v>777</v>
      </c>
      <c r="D121" s="426">
        <f t="shared" ref="D121:K121" si="159">D112+D114</f>
        <v>16426</v>
      </c>
      <c r="E121" s="426">
        <f t="shared" si="159"/>
        <v>-84390</v>
      </c>
      <c r="F121" s="426">
        <f t="shared" si="159"/>
        <v>-93334</v>
      </c>
      <c r="G121" s="426">
        <f t="shared" si="159"/>
        <v>-266172</v>
      </c>
      <c r="H121" s="426">
        <f t="shared" si="159"/>
        <v>40987</v>
      </c>
      <c r="I121" s="426">
        <f t="shared" si="159"/>
        <v>-118459</v>
      </c>
      <c r="J121" s="426">
        <f t="shared" si="159"/>
        <v>-220604</v>
      </c>
      <c r="K121" s="426">
        <f t="shared" si="159"/>
        <v>-451559</v>
      </c>
      <c r="L121" s="426">
        <f t="shared" ref="L121:T121" si="160">L112+L114</f>
        <v>32993</v>
      </c>
      <c r="M121" s="426">
        <f t="shared" si="160"/>
        <v>-182990</v>
      </c>
      <c r="N121" s="426">
        <f t="shared" si="160"/>
        <v>-316331</v>
      </c>
      <c r="O121" s="426">
        <f t="shared" si="160"/>
        <v>-438888</v>
      </c>
      <c r="P121" s="426">
        <f t="shared" si="160"/>
        <v>-3382</v>
      </c>
      <c r="Q121" s="426">
        <f t="shared" si="160"/>
        <v>-238710</v>
      </c>
      <c r="R121" s="426">
        <f t="shared" si="160"/>
        <v>-502086</v>
      </c>
      <c r="S121" s="426">
        <f t="shared" si="160"/>
        <v>-704584</v>
      </c>
      <c r="T121" s="426">
        <f t="shared" si="160"/>
        <v>-40807</v>
      </c>
      <c r="U121" s="426">
        <f>U112+U114</f>
        <v>32581</v>
      </c>
      <c r="W121" s="426">
        <f t="shared" ref="W121:AC121" si="161">W112+W114</f>
        <v>32993</v>
      </c>
      <c r="X121" s="426">
        <f t="shared" si="161"/>
        <v>-215983</v>
      </c>
      <c r="Y121" s="426">
        <f t="shared" si="161"/>
        <v>-133341</v>
      </c>
      <c r="Z121" s="426">
        <f t="shared" si="161"/>
        <v>-122557</v>
      </c>
      <c r="AA121" s="426">
        <f t="shared" si="161"/>
        <v>-3382</v>
      </c>
      <c r="AB121" s="426">
        <f t="shared" si="161"/>
        <v>-235328</v>
      </c>
      <c r="AC121" s="426">
        <f t="shared" si="161"/>
        <v>-263376</v>
      </c>
      <c r="AD121" s="426">
        <f t="shared" ref="AD121:AE121" si="162">AD112+AD114</f>
        <v>-202498</v>
      </c>
      <c r="AE121" s="426">
        <f t="shared" si="162"/>
        <v>-40807</v>
      </c>
      <c r="AF121" s="426">
        <f>AF112+AF114</f>
        <v>574771</v>
      </c>
    </row>
    <row r="122" spans="1:32" ht="15" thickTop="1">
      <c r="A122" s="417"/>
      <c r="B122" s="417"/>
      <c r="D122" s="417"/>
      <c r="E122" s="417"/>
      <c r="F122" s="417"/>
      <c r="G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S122" s="417"/>
      <c r="T122" s="417"/>
      <c r="U122" s="417"/>
      <c r="W122" s="417"/>
      <c r="X122" s="417"/>
      <c r="Y122" s="417"/>
      <c r="Z122" s="417"/>
      <c r="AA122" s="417"/>
      <c r="AB122" s="417"/>
      <c r="AC122" s="417"/>
      <c r="AD122" s="417"/>
      <c r="AE122" s="417"/>
      <c r="AF122" s="417"/>
    </row>
    <row r="123" spans="1:32">
      <c r="A123" s="416" t="s">
        <v>778</v>
      </c>
      <c r="B123" s="416" t="s">
        <v>779</v>
      </c>
      <c r="D123" s="425"/>
      <c r="E123" s="425"/>
      <c r="F123" s="425"/>
      <c r="G123" s="425"/>
      <c r="H123" s="425"/>
      <c r="I123" s="425"/>
      <c r="J123" s="425"/>
      <c r="K123" s="425"/>
      <c r="L123" s="425"/>
      <c r="M123" s="425"/>
      <c r="N123" s="425"/>
      <c r="O123" s="425"/>
      <c r="P123" s="425"/>
      <c r="Q123" s="425"/>
      <c r="R123" s="425"/>
      <c r="S123" s="425"/>
      <c r="T123" s="425"/>
      <c r="U123" s="756"/>
      <c r="W123" s="425"/>
      <c r="X123" s="425"/>
      <c r="Y123" s="425"/>
      <c r="Z123" s="425"/>
      <c r="AA123" s="425"/>
      <c r="AB123" s="425"/>
      <c r="AC123" s="425"/>
      <c r="AD123" s="425"/>
      <c r="AE123" s="425"/>
      <c r="AF123" s="756"/>
    </row>
    <row r="124" spans="1:32">
      <c r="A124" s="417" t="s">
        <v>780</v>
      </c>
      <c r="B124" s="417" t="s">
        <v>781</v>
      </c>
      <c r="D124" s="425">
        <f t="shared" ref="D124:J124" si="163">D121-D125</f>
        <v>15625.108522739674</v>
      </c>
      <c r="E124" s="425">
        <f t="shared" si="163"/>
        <v>-80275.350556069709</v>
      </c>
      <c r="F124" s="425">
        <f t="shared" si="163"/>
        <v>-88783.263050126916</v>
      </c>
      <c r="G124" s="425">
        <f t="shared" si="163"/>
        <v>-253194.106034011</v>
      </c>
      <c r="H124" s="425">
        <f t="shared" si="163"/>
        <v>38988.574395563803</v>
      </c>
      <c r="I124" s="425">
        <f t="shared" si="163"/>
        <v>-112683.2296660915</v>
      </c>
      <c r="J124" s="425">
        <f t="shared" si="163"/>
        <v>-209847.88996410952</v>
      </c>
      <c r="K124" s="425">
        <f>K121-K125</f>
        <v>-429542.0905527703</v>
      </c>
      <c r="L124" s="425">
        <v>31384</v>
      </c>
      <c r="M124" s="425">
        <v>-174068</v>
      </c>
      <c r="N124" s="425">
        <v>-300906</v>
      </c>
      <c r="O124" s="425">
        <v>-417489</v>
      </c>
      <c r="P124" s="425">
        <v>-3217</v>
      </c>
      <c r="Q124" s="425">
        <v>-227071</v>
      </c>
      <c r="R124" s="425">
        <v>-477606</v>
      </c>
      <c r="S124" s="425">
        <v>-670230</v>
      </c>
      <c r="T124" s="425">
        <v>-38817</v>
      </c>
      <c r="U124" s="756">
        <v>30992</v>
      </c>
      <c r="W124" s="425">
        <f>L124</f>
        <v>31384</v>
      </c>
      <c r="X124" s="425">
        <f>M124-W124</f>
        <v>-205452</v>
      </c>
      <c r="Y124" s="425">
        <f>N124-M124</f>
        <v>-126838</v>
      </c>
      <c r="Z124" s="425">
        <f>O124-N124</f>
        <v>-116583</v>
      </c>
      <c r="AA124" s="425">
        <f>P124</f>
        <v>-3217</v>
      </c>
      <c r="AB124" s="425">
        <f>Q124-AA124</f>
        <v>-223854</v>
      </c>
      <c r="AC124" s="425">
        <f>R124-Q124</f>
        <v>-250535</v>
      </c>
      <c r="AD124" s="425">
        <f>S124-R124</f>
        <v>-192624</v>
      </c>
      <c r="AE124" s="425">
        <f>T124</f>
        <v>-38817</v>
      </c>
      <c r="AF124" s="756">
        <f>U124-T124</f>
        <v>69809</v>
      </c>
    </row>
    <row r="125" spans="1:32">
      <c r="A125" s="417" t="s">
        <v>782</v>
      </c>
      <c r="B125" s="417" t="s">
        <v>783</v>
      </c>
      <c r="D125" s="425">
        <f t="shared" ref="D125:J125" si="164">D121*D130</f>
        <v>800.89147726032547</v>
      </c>
      <c r="E125" s="425">
        <f t="shared" si="164"/>
        <v>-4114.6494439302851</v>
      </c>
      <c r="F125" s="425">
        <f t="shared" si="164"/>
        <v>-4550.7369498730804</v>
      </c>
      <c r="G125" s="425">
        <f t="shared" si="164"/>
        <v>-12977.893965989002</v>
      </c>
      <c r="H125" s="425">
        <f t="shared" si="164"/>
        <v>1998.4256044361962</v>
      </c>
      <c r="I125" s="425">
        <f t="shared" si="164"/>
        <v>-5775.7703339084919</v>
      </c>
      <c r="J125" s="425">
        <f t="shared" si="164"/>
        <v>-10756.110035890468</v>
      </c>
      <c r="K125" s="425">
        <f>K121*K130</f>
        <v>-22016.909447229715</v>
      </c>
      <c r="L125" s="425">
        <v>1609</v>
      </c>
      <c r="M125" s="425">
        <v>-8922</v>
      </c>
      <c r="N125" s="425">
        <v>-15425</v>
      </c>
      <c r="O125" s="425">
        <v>-21399</v>
      </c>
      <c r="P125" s="425">
        <v>-165</v>
      </c>
      <c r="Q125" s="425">
        <v>-11639</v>
      </c>
      <c r="R125" s="425">
        <v>-24480</v>
      </c>
      <c r="S125" s="425">
        <v>-34354</v>
      </c>
      <c r="T125" s="425">
        <v>-1990</v>
      </c>
      <c r="U125" s="756">
        <v>1589</v>
      </c>
      <c r="W125" s="425">
        <f>L125</f>
        <v>1609</v>
      </c>
      <c r="X125" s="425">
        <f>M125-W125</f>
        <v>-10531</v>
      </c>
      <c r="Y125" s="425">
        <f>N125-M125</f>
        <v>-6503</v>
      </c>
      <c r="Z125" s="425">
        <f>O125-N125</f>
        <v>-5974</v>
      </c>
      <c r="AA125" s="425">
        <f>P125</f>
        <v>-165</v>
      </c>
      <c r="AB125" s="425">
        <f>Q125-AA125</f>
        <v>-11474</v>
      </c>
      <c r="AC125" s="425">
        <f>R125-Q125</f>
        <v>-12841</v>
      </c>
      <c r="AD125" s="425">
        <f>S125-R125</f>
        <v>-9874</v>
      </c>
      <c r="AE125" s="425">
        <f>T125</f>
        <v>-1990</v>
      </c>
      <c r="AF125" s="756">
        <f>U125-T125</f>
        <v>3579</v>
      </c>
    </row>
    <row r="126" spans="1:32">
      <c r="A126" s="417"/>
      <c r="B126" s="417"/>
      <c r="D126" s="417"/>
      <c r="E126" s="417"/>
      <c r="F126" s="417"/>
      <c r="G126" s="417"/>
      <c r="H126" s="417"/>
      <c r="I126" s="417"/>
      <c r="J126" s="417"/>
      <c r="K126" s="417"/>
      <c r="L126" s="417"/>
      <c r="M126" s="417"/>
      <c r="N126" s="417"/>
      <c r="P126" s="417"/>
      <c r="Q126" s="417"/>
      <c r="R126" s="417"/>
      <c r="S126" s="417"/>
      <c r="T126" s="417"/>
      <c r="U126" s="417"/>
      <c r="W126" s="417"/>
      <c r="X126" s="417"/>
      <c r="Y126" s="417"/>
      <c r="Z126" s="417"/>
      <c r="AA126" s="417"/>
      <c r="AB126" s="417"/>
      <c r="AC126" s="417"/>
      <c r="AD126" s="417"/>
      <c r="AE126" s="417"/>
      <c r="AF126" s="417"/>
    </row>
    <row r="127" spans="1:32" ht="15" thickBot="1">
      <c r="A127" s="430" t="s">
        <v>776</v>
      </c>
      <c r="B127" s="430" t="s">
        <v>784</v>
      </c>
      <c r="D127" s="426">
        <f t="shared" ref="D127:J127" si="165">SUM(D124:D125)</f>
        <v>16426</v>
      </c>
      <c r="E127" s="426">
        <f t="shared" si="165"/>
        <v>-84390</v>
      </c>
      <c r="F127" s="426">
        <f t="shared" si="165"/>
        <v>-93334</v>
      </c>
      <c r="G127" s="426">
        <f t="shared" si="165"/>
        <v>-266172</v>
      </c>
      <c r="H127" s="426">
        <f t="shared" si="165"/>
        <v>40987</v>
      </c>
      <c r="I127" s="426">
        <f t="shared" si="165"/>
        <v>-118459</v>
      </c>
      <c r="J127" s="426">
        <f t="shared" si="165"/>
        <v>-220604</v>
      </c>
      <c r="K127" s="426">
        <f t="shared" ref="K127:Q127" si="166">SUM(K124:K125)</f>
        <v>-451559</v>
      </c>
      <c r="L127" s="426">
        <f t="shared" si="166"/>
        <v>32993</v>
      </c>
      <c r="M127" s="426">
        <f t="shared" si="166"/>
        <v>-182990</v>
      </c>
      <c r="N127" s="426">
        <f t="shared" si="166"/>
        <v>-316331</v>
      </c>
      <c r="O127" s="426">
        <f t="shared" si="166"/>
        <v>-438888</v>
      </c>
      <c r="P127" s="426">
        <f t="shared" si="166"/>
        <v>-3382</v>
      </c>
      <c r="Q127" s="426">
        <f t="shared" si="166"/>
        <v>-238710</v>
      </c>
      <c r="R127" s="426">
        <f t="shared" ref="R127:T127" si="167">SUM(R124:R125)</f>
        <v>-502086</v>
      </c>
      <c r="S127" s="426">
        <f t="shared" si="167"/>
        <v>-704584</v>
      </c>
      <c r="T127" s="426">
        <f t="shared" si="167"/>
        <v>-40807</v>
      </c>
      <c r="U127" s="426">
        <f>SUM(U124:U125)</f>
        <v>32581</v>
      </c>
      <c r="W127" s="426">
        <f t="shared" ref="W127:AC127" si="168">SUM(W124:W125)</f>
        <v>32993</v>
      </c>
      <c r="X127" s="426">
        <f t="shared" si="168"/>
        <v>-215983</v>
      </c>
      <c r="Y127" s="426">
        <f t="shared" si="168"/>
        <v>-133341</v>
      </c>
      <c r="Z127" s="426">
        <f t="shared" si="168"/>
        <v>-122557</v>
      </c>
      <c r="AA127" s="426">
        <f t="shared" si="168"/>
        <v>-3382</v>
      </c>
      <c r="AB127" s="426">
        <f t="shared" si="168"/>
        <v>-235328</v>
      </c>
      <c r="AC127" s="426">
        <f t="shared" si="168"/>
        <v>-263376</v>
      </c>
      <c r="AD127" s="426">
        <f t="shared" ref="AD127:AE127" si="169">SUM(AD124:AD125)</f>
        <v>-202498</v>
      </c>
      <c r="AE127" s="426">
        <f t="shared" si="169"/>
        <v>-40807</v>
      </c>
      <c r="AF127" s="426">
        <f>SUM(AF124:AF125)</f>
        <v>73388</v>
      </c>
    </row>
    <row r="129" spans="1:32" s="432" customFormat="1" ht="10.199999999999999">
      <c r="A129" s="431" t="s">
        <v>785</v>
      </c>
      <c r="B129" s="431" t="s">
        <v>786</v>
      </c>
      <c r="D129" s="433">
        <v>0.95124245237670002</v>
      </c>
      <c r="E129" s="433">
        <v>0.95124245237670002</v>
      </c>
      <c r="F129" s="433">
        <v>0.95124245237670002</v>
      </c>
      <c r="G129" s="433">
        <v>0.95124245237670002</v>
      </c>
      <c r="H129" s="433">
        <v>0.95124245237670002</v>
      </c>
      <c r="I129" s="433">
        <v>0.95124245237670002</v>
      </c>
      <c r="J129" s="433">
        <v>0.95124245237670002</v>
      </c>
      <c r="K129" s="433">
        <v>0.95124245237670002</v>
      </c>
      <c r="L129" s="433">
        <v>0.95124245237670002</v>
      </c>
      <c r="M129" s="433">
        <v>0.95124245237670002</v>
      </c>
      <c r="N129" s="433">
        <f t="shared" ref="N129:T130" si="170">M129</f>
        <v>0.95124245237670002</v>
      </c>
      <c r="O129" s="433">
        <f t="shared" si="170"/>
        <v>0.95124245237670002</v>
      </c>
      <c r="P129" s="433">
        <f t="shared" si="170"/>
        <v>0.95124245237670002</v>
      </c>
      <c r="Q129" s="433">
        <f t="shared" si="170"/>
        <v>0.95124245237670002</v>
      </c>
      <c r="R129" s="433">
        <f t="shared" si="170"/>
        <v>0.95124245237670002</v>
      </c>
      <c r="S129" s="433">
        <f t="shared" si="170"/>
        <v>0.95124245237670002</v>
      </c>
      <c r="T129" s="433">
        <f t="shared" si="170"/>
        <v>0.95124245237670002</v>
      </c>
      <c r="U129" s="433">
        <v>0.77386853211149909</v>
      </c>
      <c r="W129" s="433">
        <f>L129</f>
        <v>0.95124245237670002</v>
      </c>
      <c r="X129" s="433">
        <v>0.95124245237670002</v>
      </c>
      <c r="Y129" s="433">
        <f>X129</f>
        <v>0.95124245237670002</v>
      </c>
      <c r="Z129" s="433">
        <f>Y129</f>
        <v>0.95124245237670002</v>
      </c>
      <c r="AA129" s="433">
        <f>P129</f>
        <v>0.95124245237670002</v>
      </c>
      <c r="AB129" s="433">
        <f t="shared" ref="AB129:AD130" si="171">AA129</f>
        <v>0.95124245237670002</v>
      </c>
      <c r="AC129" s="433">
        <f t="shared" si="171"/>
        <v>0.95124245237670002</v>
      </c>
      <c r="AD129" s="433">
        <f t="shared" si="171"/>
        <v>0.95124245237670002</v>
      </c>
      <c r="AE129" s="433">
        <f>T129</f>
        <v>0.95124245237670002</v>
      </c>
      <c r="AF129" s="433">
        <f>U129</f>
        <v>0.77386853211149909</v>
      </c>
    </row>
    <row r="130" spans="1:32" s="432" customFormat="1" ht="10.199999999999999">
      <c r="A130" s="431" t="s">
        <v>787</v>
      </c>
      <c r="B130" s="431" t="s">
        <v>788</v>
      </c>
      <c r="D130" s="433">
        <v>4.8757547623299979E-2</v>
      </c>
      <c r="E130" s="433">
        <v>4.8757547623299979E-2</v>
      </c>
      <c r="F130" s="433">
        <v>4.8757547623299979E-2</v>
      </c>
      <c r="G130" s="433">
        <v>4.8757547623299979E-2</v>
      </c>
      <c r="H130" s="433">
        <v>4.8757547623299979E-2</v>
      </c>
      <c r="I130" s="433">
        <v>4.8757547623299979E-2</v>
      </c>
      <c r="J130" s="433">
        <v>4.8757547623299979E-2</v>
      </c>
      <c r="K130" s="433">
        <v>4.8757547623299979E-2</v>
      </c>
      <c r="L130" s="433">
        <v>4.8757547623299979E-2</v>
      </c>
      <c r="M130" s="433">
        <v>4.8757547623299979E-2</v>
      </c>
      <c r="N130" s="433">
        <f t="shared" si="170"/>
        <v>4.8757547623299979E-2</v>
      </c>
      <c r="O130" s="433">
        <f t="shared" si="170"/>
        <v>4.8757547623299979E-2</v>
      </c>
      <c r="P130" s="433">
        <f t="shared" si="170"/>
        <v>4.8757547623299979E-2</v>
      </c>
      <c r="Q130" s="433">
        <f t="shared" si="170"/>
        <v>4.8757547623299979E-2</v>
      </c>
      <c r="R130" s="433">
        <f t="shared" si="170"/>
        <v>4.8757547623299979E-2</v>
      </c>
      <c r="S130" s="433">
        <f t="shared" si="170"/>
        <v>4.8757547623299979E-2</v>
      </c>
      <c r="T130" s="433">
        <f t="shared" si="170"/>
        <v>4.8757547623299979E-2</v>
      </c>
      <c r="U130" s="433">
        <v>0.19</v>
      </c>
      <c r="W130" s="433">
        <f>L130</f>
        <v>4.8757547623299979E-2</v>
      </c>
      <c r="X130" s="433">
        <v>4.8757547623299979E-2</v>
      </c>
      <c r="Y130" s="433">
        <f>X130</f>
        <v>4.8757547623299979E-2</v>
      </c>
      <c r="Z130" s="433">
        <f>Y130</f>
        <v>4.8757547623299979E-2</v>
      </c>
      <c r="AA130" s="433">
        <f>P130</f>
        <v>4.8757547623299979E-2</v>
      </c>
      <c r="AB130" s="433">
        <f t="shared" si="171"/>
        <v>4.8757547623299979E-2</v>
      </c>
      <c r="AC130" s="433">
        <f t="shared" si="171"/>
        <v>4.8757547623299979E-2</v>
      </c>
      <c r="AD130" s="433">
        <f t="shared" si="171"/>
        <v>4.8757547623299979E-2</v>
      </c>
      <c r="AE130" s="433">
        <f>T130</f>
        <v>4.8757547623299979E-2</v>
      </c>
      <c r="AF130" s="433">
        <f>U130</f>
        <v>0.19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 tint="0.79998168889431442"/>
  </sheetPr>
  <dimension ref="A4:AF130"/>
  <sheetViews>
    <sheetView showGridLines="0" zoomScale="85" zoomScaleNormal="85" workbookViewId="0">
      <pane xSplit="2" ySplit="5" topLeftCell="Z6" activePane="bottomRight" state="frozen"/>
      <selection pane="topRight" activeCell="C1" sqref="C1"/>
      <selection pane="bottomLeft" activeCell="A6" sqref="A6"/>
      <selection pane="bottomRight" activeCell="A93" sqref="A93:B93"/>
    </sheetView>
  </sheetViews>
  <sheetFormatPr defaultRowHeight="14.4" outlineLevelRow="1" outlineLevelCol="1"/>
  <cols>
    <col min="1" max="1" width="65.5546875" bestFit="1" customWidth="1"/>
    <col min="2" max="2" width="65.5546875" hidden="1" customWidth="1" outlineLevel="1"/>
    <col min="3" max="3" width="1.5546875" customWidth="1" collapsed="1"/>
    <col min="4" max="18" width="15.21875" customWidth="1"/>
    <col min="19" max="21" width="15.33203125" customWidth="1"/>
    <col min="22" max="22" width="1.5546875" customWidth="1"/>
    <col min="23" max="32" width="15.21875" customWidth="1"/>
  </cols>
  <sheetData>
    <row r="4" spans="1:32">
      <c r="A4" s="428" t="s">
        <v>816</v>
      </c>
      <c r="B4" s="428" t="s">
        <v>817</v>
      </c>
      <c r="D4" s="427" t="s">
        <v>584</v>
      </c>
      <c r="E4" s="427" t="s">
        <v>585</v>
      </c>
      <c r="F4" s="427" t="s">
        <v>586</v>
      </c>
      <c r="G4" s="427">
        <v>2022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T4" s="427" t="s">
        <v>2488</v>
      </c>
      <c r="U4" s="427" t="s">
        <v>2497</v>
      </c>
      <c r="W4" s="427" t="s">
        <v>83</v>
      </c>
      <c r="X4" s="427" t="s">
        <v>84</v>
      </c>
      <c r="Y4" s="427" t="s">
        <v>85</v>
      </c>
      <c r="Z4" s="427" t="s">
        <v>86</v>
      </c>
      <c r="AA4" s="427" t="s">
        <v>87</v>
      </c>
      <c r="AB4" s="427" t="s">
        <v>88</v>
      </c>
      <c r="AC4" s="427" t="s">
        <v>2074</v>
      </c>
      <c r="AD4" s="427" t="s">
        <v>2127</v>
      </c>
      <c r="AE4" s="427" t="s">
        <v>2360</v>
      </c>
      <c r="AF4" s="427" t="s">
        <v>2494</v>
      </c>
    </row>
    <row r="5" spans="1:32" ht="6.75" customHeight="1"/>
    <row r="6" spans="1:32">
      <c r="A6" s="429" t="s">
        <v>596</v>
      </c>
      <c r="B6" s="429" t="s">
        <v>597</v>
      </c>
      <c r="D6" s="420">
        <f t="shared" ref="D6:L6" si="0">SUM(D8,D11:D17)</f>
        <v>190940</v>
      </c>
      <c r="E6" s="420">
        <f t="shared" si="0"/>
        <v>657550</v>
      </c>
      <c r="F6" s="420">
        <f>SUM(F8,F11:F17)</f>
        <v>909503</v>
      </c>
      <c r="G6" s="420">
        <f t="shared" si="0"/>
        <v>1499871</v>
      </c>
      <c r="H6" s="420">
        <f t="shared" si="0"/>
        <v>389201</v>
      </c>
      <c r="I6" s="420">
        <f t="shared" si="0"/>
        <v>852045</v>
      </c>
      <c r="J6" s="420">
        <f t="shared" si="0"/>
        <v>1283316</v>
      </c>
      <c r="K6" s="420">
        <f t="shared" si="0"/>
        <v>1722382</v>
      </c>
      <c r="L6" s="420">
        <f t="shared" si="0"/>
        <v>420135</v>
      </c>
      <c r="M6" s="420">
        <f t="shared" ref="M6:T6" si="1">SUM(M8,M11:M17)</f>
        <v>982768</v>
      </c>
      <c r="N6" s="420">
        <f t="shared" si="1"/>
        <v>1462481</v>
      </c>
      <c r="O6" s="420">
        <f t="shared" si="1"/>
        <v>2021376</v>
      </c>
      <c r="P6" s="420">
        <f t="shared" si="1"/>
        <v>486173</v>
      </c>
      <c r="Q6" s="420">
        <f t="shared" si="1"/>
        <v>1023513</v>
      </c>
      <c r="R6" s="420">
        <f t="shared" si="1"/>
        <v>1683532</v>
      </c>
      <c r="S6" s="420">
        <f t="shared" si="1"/>
        <v>2300440</v>
      </c>
      <c r="T6" s="420">
        <f t="shared" si="1"/>
        <v>597493</v>
      </c>
      <c r="U6" s="741">
        <f>SUM(U8,U11:U17)</f>
        <v>1273184</v>
      </c>
      <c r="W6" s="420">
        <f t="shared" ref="W6:AC6" si="2">SUM(W8,W11:W17)</f>
        <v>420135</v>
      </c>
      <c r="X6" s="420">
        <f t="shared" si="2"/>
        <v>562633</v>
      </c>
      <c r="Y6" s="420">
        <f t="shared" si="2"/>
        <v>479713</v>
      </c>
      <c r="Z6" s="420">
        <f t="shared" si="2"/>
        <v>558895</v>
      </c>
      <c r="AA6" s="420">
        <f t="shared" si="2"/>
        <v>486173</v>
      </c>
      <c r="AB6" s="420">
        <f t="shared" si="2"/>
        <v>537340</v>
      </c>
      <c r="AC6" s="420">
        <f t="shared" si="2"/>
        <v>660019</v>
      </c>
      <c r="AD6" s="420">
        <f t="shared" ref="AD6:AE6" si="3">SUM(AD8,AD11:AD17)</f>
        <v>616908</v>
      </c>
      <c r="AE6" s="420">
        <f t="shared" si="3"/>
        <v>597493</v>
      </c>
      <c r="AF6" s="741">
        <f>SUM(AF8,AF11:AF17)</f>
        <v>675691</v>
      </c>
    </row>
    <row r="7" spans="1:32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W7" s="421"/>
      <c r="X7" s="421"/>
      <c r="Y7" s="421"/>
      <c r="Z7" s="421"/>
      <c r="AA7" s="421"/>
      <c r="AB7" s="421"/>
      <c r="AC7" s="421"/>
      <c r="AD7" s="421"/>
      <c r="AE7" s="421"/>
      <c r="AF7" s="421"/>
    </row>
    <row r="8" spans="1:32">
      <c r="A8" s="417" t="s">
        <v>598</v>
      </c>
      <c r="B8" s="417" t="s">
        <v>599</v>
      </c>
      <c r="D8" s="422">
        <f t="shared" ref="D8:I8" si="4">SUM(D9:D10)</f>
        <v>164989</v>
      </c>
      <c r="E8" s="422">
        <f t="shared" si="4"/>
        <v>452367</v>
      </c>
      <c r="F8" s="422">
        <f>SUM(F9:F10)</f>
        <v>596742</v>
      </c>
      <c r="G8" s="422">
        <f t="shared" si="4"/>
        <v>931076</v>
      </c>
      <c r="H8" s="422">
        <f t="shared" si="4"/>
        <v>243268</v>
      </c>
      <c r="I8" s="422">
        <f t="shared" si="4"/>
        <v>512307</v>
      </c>
      <c r="J8" s="422">
        <f t="shared" ref="J8:Q8" si="5">SUM(J9:J10)</f>
        <v>804574</v>
      </c>
      <c r="K8" s="422">
        <f t="shared" si="5"/>
        <v>1112447</v>
      </c>
      <c r="L8" s="422">
        <f t="shared" si="5"/>
        <v>309424</v>
      </c>
      <c r="M8" s="422">
        <f t="shared" si="5"/>
        <v>683570</v>
      </c>
      <c r="N8" s="422">
        <f t="shared" si="5"/>
        <v>1041699</v>
      </c>
      <c r="O8" s="422">
        <f t="shared" si="5"/>
        <v>1428421</v>
      </c>
      <c r="P8" s="422">
        <f t="shared" si="5"/>
        <v>338898</v>
      </c>
      <c r="Q8" s="422">
        <f t="shared" si="5"/>
        <v>689678</v>
      </c>
      <c r="R8" s="422">
        <f t="shared" ref="R8:T8" si="6">SUM(R9:R10)</f>
        <v>1104887</v>
      </c>
      <c r="S8" s="422">
        <f t="shared" si="6"/>
        <v>1514782</v>
      </c>
      <c r="T8" s="422">
        <f t="shared" si="6"/>
        <v>331943</v>
      </c>
      <c r="U8" s="422">
        <f>SUM(U9:U10)</f>
        <v>801962</v>
      </c>
      <c r="W8" s="422">
        <f t="shared" ref="W8:AC8" si="7">SUM(W9:W10)</f>
        <v>309424</v>
      </c>
      <c r="X8" s="422">
        <f t="shared" si="7"/>
        <v>374146</v>
      </c>
      <c r="Y8" s="422">
        <f t="shared" si="7"/>
        <v>358129</v>
      </c>
      <c r="Z8" s="422">
        <f t="shared" si="7"/>
        <v>386722</v>
      </c>
      <c r="AA8" s="422">
        <f t="shared" si="7"/>
        <v>338898</v>
      </c>
      <c r="AB8" s="422">
        <f t="shared" si="7"/>
        <v>350780</v>
      </c>
      <c r="AC8" s="422">
        <f t="shared" si="7"/>
        <v>415209</v>
      </c>
      <c r="AD8" s="422">
        <f t="shared" ref="AD8:AE8" si="8">SUM(AD9:AD10)</f>
        <v>409895</v>
      </c>
      <c r="AE8" s="422">
        <f t="shared" si="8"/>
        <v>331943</v>
      </c>
      <c r="AF8" s="422">
        <f>SUM(AF9:AF10)</f>
        <v>470019</v>
      </c>
    </row>
    <row r="9" spans="1:32" outlineLevel="1">
      <c r="A9" s="418" t="s">
        <v>598</v>
      </c>
      <c r="B9" s="418" t="s">
        <v>599</v>
      </c>
      <c r="D9" s="423">
        <v>185636</v>
      </c>
      <c r="E9" s="423">
        <v>337916</v>
      </c>
      <c r="F9" s="423">
        <v>517658</v>
      </c>
      <c r="G9" s="423">
        <v>747974</v>
      </c>
      <c r="H9" s="423">
        <v>220661</v>
      </c>
      <c r="I9" s="423">
        <v>465377</v>
      </c>
      <c r="J9" s="423">
        <v>738828</v>
      </c>
      <c r="K9" s="423">
        <v>1027671</v>
      </c>
      <c r="L9" s="423">
        <v>257371</v>
      </c>
      <c r="M9" s="423">
        <v>530995</v>
      </c>
      <c r="N9" s="423">
        <v>807074</v>
      </c>
      <c r="O9" s="423">
        <v>1175859</v>
      </c>
      <c r="P9" s="423">
        <v>285052</v>
      </c>
      <c r="Q9" s="423">
        <v>599396</v>
      </c>
      <c r="R9" s="423">
        <v>959145</v>
      </c>
      <c r="S9" s="423">
        <v>1323822</v>
      </c>
      <c r="T9" s="423">
        <v>306272</v>
      </c>
      <c r="U9" s="423">
        <v>644696</v>
      </c>
      <c r="W9" s="423">
        <f>L9</f>
        <v>257371</v>
      </c>
      <c r="X9" s="423">
        <f>M9-W9</f>
        <v>273624</v>
      </c>
      <c r="Y9" s="423">
        <f t="shared" ref="Y9:Z16" si="9">N9-M9</f>
        <v>276079</v>
      </c>
      <c r="Z9" s="423">
        <f t="shared" si="9"/>
        <v>368785</v>
      </c>
      <c r="AA9" s="423">
        <f>P9</f>
        <v>285052</v>
      </c>
      <c r="AB9" s="423">
        <f t="shared" ref="AB9:AD16" si="10">Q9-P9</f>
        <v>314344</v>
      </c>
      <c r="AC9" s="423">
        <f t="shared" si="10"/>
        <v>359749</v>
      </c>
      <c r="AD9" s="423">
        <f t="shared" si="10"/>
        <v>364677</v>
      </c>
      <c r="AE9" s="423">
        <f>T9</f>
        <v>306272</v>
      </c>
      <c r="AF9" s="423">
        <f t="shared" ref="AF9:AF16" si="11">U9-T9</f>
        <v>338424</v>
      </c>
    </row>
    <row r="10" spans="1:32" outlineLevel="1">
      <c r="A10" s="418" t="s">
        <v>600</v>
      </c>
      <c r="B10" s="418" t="s">
        <v>601</v>
      </c>
      <c r="D10" s="423">
        <v>-20647</v>
      </c>
      <c r="E10" s="423">
        <v>114451</v>
      </c>
      <c r="F10" s="423">
        <v>79084</v>
      </c>
      <c r="G10" s="423">
        <v>183102</v>
      </c>
      <c r="H10" s="423">
        <v>22607</v>
      </c>
      <c r="I10" s="423">
        <v>46930</v>
      </c>
      <c r="J10" s="423">
        <v>65746</v>
      </c>
      <c r="K10" s="423">
        <v>84776</v>
      </c>
      <c r="L10" s="423">
        <v>52053</v>
      </c>
      <c r="M10" s="423">
        <v>152575</v>
      </c>
      <c r="N10" s="423">
        <v>234625</v>
      </c>
      <c r="O10" s="423">
        <v>252562</v>
      </c>
      <c r="P10" s="423">
        <v>53846</v>
      </c>
      <c r="Q10" s="423">
        <v>90282</v>
      </c>
      <c r="R10" s="423">
        <v>145742</v>
      </c>
      <c r="S10" s="423">
        <v>190960</v>
      </c>
      <c r="T10" s="423">
        <v>25671</v>
      </c>
      <c r="U10" s="423">
        <v>157266</v>
      </c>
      <c r="W10" s="423">
        <f t="shared" ref="W10:W25" si="12">L10</f>
        <v>52053</v>
      </c>
      <c r="X10" s="423">
        <f t="shared" ref="X10:X16" si="13">M10-W10</f>
        <v>100522</v>
      </c>
      <c r="Y10" s="423">
        <f t="shared" si="9"/>
        <v>82050</v>
      </c>
      <c r="Z10" s="423">
        <f t="shared" si="9"/>
        <v>17937</v>
      </c>
      <c r="AA10" s="423">
        <f t="shared" ref="AA10:AA25" si="14">P10</f>
        <v>53846</v>
      </c>
      <c r="AB10" s="423">
        <f t="shared" si="10"/>
        <v>36436</v>
      </c>
      <c r="AC10" s="423">
        <f t="shared" si="10"/>
        <v>55460</v>
      </c>
      <c r="AD10" s="423">
        <f t="shared" si="10"/>
        <v>45218</v>
      </c>
      <c r="AE10" s="423">
        <f t="shared" ref="AE10:AE25" si="15">T10</f>
        <v>25671</v>
      </c>
      <c r="AF10" s="423">
        <f t="shared" si="11"/>
        <v>131595</v>
      </c>
    </row>
    <row r="11" spans="1:32">
      <c r="A11" s="417" t="s">
        <v>602</v>
      </c>
      <c r="B11" s="417" t="s">
        <v>603</v>
      </c>
      <c r="D11" s="422">
        <v>-1349</v>
      </c>
      <c r="E11" s="422">
        <v>7040</v>
      </c>
      <c r="F11" s="422">
        <v>9145</v>
      </c>
      <c r="G11" s="422">
        <v>9783</v>
      </c>
      <c r="H11" s="422">
        <v>8013</v>
      </c>
      <c r="I11" s="422">
        <v>14001</v>
      </c>
      <c r="J11" s="422">
        <v>19097</v>
      </c>
      <c r="K11" s="422">
        <v>22620</v>
      </c>
      <c r="L11" s="422">
        <v>5745</v>
      </c>
      <c r="M11" s="422">
        <v>13725</v>
      </c>
      <c r="N11" s="422">
        <v>24160</v>
      </c>
      <c r="O11" s="422">
        <v>38306</v>
      </c>
      <c r="P11" s="422">
        <v>17025</v>
      </c>
      <c r="Q11" s="422">
        <v>51261</v>
      </c>
      <c r="R11" s="422">
        <v>100410</v>
      </c>
      <c r="S11" s="422">
        <v>162066</v>
      </c>
      <c r="T11" s="422">
        <v>56465</v>
      </c>
      <c r="U11" s="422">
        <v>123404</v>
      </c>
      <c r="W11" s="422">
        <f t="shared" si="12"/>
        <v>5745</v>
      </c>
      <c r="X11" s="422">
        <f t="shared" si="13"/>
        <v>7980</v>
      </c>
      <c r="Y11" s="422">
        <f t="shared" si="9"/>
        <v>10435</v>
      </c>
      <c r="Z11" s="422">
        <f t="shared" si="9"/>
        <v>14146</v>
      </c>
      <c r="AA11" s="422">
        <f>P11</f>
        <v>17025</v>
      </c>
      <c r="AB11" s="422">
        <f t="shared" si="10"/>
        <v>34236</v>
      </c>
      <c r="AC11" s="422">
        <f t="shared" si="10"/>
        <v>49149</v>
      </c>
      <c r="AD11" s="422">
        <f t="shared" si="10"/>
        <v>61656</v>
      </c>
      <c r="AE11" s="422">
        <f>T11</f>
        <v>56465</v>
      </c>
      <c r="AF11" s="422">
        <f t="shared" si="11"/>
        <v>66939</v>
      </c>
    </row>
    <row r="12" spans="1:32">
      <c r="A12" s="417" t="s">
        <v>604</v>
      </c>
      <c r="B12" s="417" t="s">
        <v>605</v>
      </c>
      <c r="D12" s="422">
        <v>0</v>
      </c>
      <c r="E12" s="422">
        <v>0</v>
      </c>
      <c r="F12" s="422">
        <v>0</v>
      </c>
      <c r="G12" s="422">
        <v>0</v>
      </c>
      <c r="H12" s="422">
        <v>0</v>
      </c>
      <c r="I12" s="422">
        <v>0</v>
      </c>
      <c r="J12" s="422">
        <v>0</v>
      </c>
      <c r="K12" s="422">
        <v>0</v>
      </c>
      <c r="L12" s="422">
        <v>0</v>
      </c>
      <c r="M12" s="422">
        <v>0</v>
      </c>
      <c r="N12" s="422">
        <v>0</v>
      </c>
      <c r="O12" s="422">
        <v>0</v>
      </c>
      <c r="P12" s="422">
        <v>0</v>
      </c>
      <c r="Q12" s="422">
        <v>0</v>
      </c>
      <c r="R12" s="422">
        <v>0</v>
      </c>
      <c r="S12" s="422">
        <v>0</v>
      </c>
      <c r="T12" s="422">
        <v>0</v>
      </c>
      <c r="U12" s="422">
        <v>0</v>
      </c>
      <c r="W12" s="422">
        <f t="shared" si="12"/>
        <v>0</v>
      </c>
      <c r="X12" s="422">
        <f t="shared" si="13"/>
        <v>0</v>
      </c>
      <c r="Y12" s="422">
        <f t="shared" si="9"/>
        <v>0</v>
      </c>
      <c r="Z12" s="422">
        <f t="shared" si="9"/>
        <v>0</v>
      </c>
      <c r="AA12" s="422">
        <f t="shared" si="14"/>
        <v>0</v>
      </c>
      <c r="AB12" s="422">
        <f t="shared" si="10"/>
        <v>0</v>
      </c>
      <c r="AC12" s="422">
        <f t="shared" si="10"/>
        <v>0</v>
      </c>
      <c r="AD12" s="422">
        <f t="shared" si="10"/>
        <v>0</v>
      </c>
      <c r="AE12" s="422">
        <f t="shared" si="15"/>
        <v>0</v>
      </c>
      <c r="AF12" s="422">
        <f t="shared" si="11"/>
        <v>0</v>
      </c>
    </row>
    <row r="13" spans="1:32">
      <c r="A13" s="417" t="s">
        <v>606</v>
      </c>
      <c r="B13" s="417" t="s">
        <v>607</v>
      </c>
      <c r="D13" s="422">
        <v>17244</v>
      </c>
      <c r="E13" s="422">
        <v>90350</v>
      </c>
      <c r="F13" s="422">
        <v>165684</v>
      </c>
      <c r="G13" s="422">
        <v>387911</v>
      </c>
      <c r="H13" s="422">
        <v>107039</v>
      </c>
      <c r="I13" s="422">
        <v>256550</v>
      </c>
      <c r="J13" s="422">
        <v>355405</v>
      </c>
      <c r="K13" s="422">
        <v>450125</v>
      </c>
      <c r="L13" s="422">
        <v>87894</v>
      </c>
      <c r="M13" s="422">
        <v>171564</v>
      </c>
      <c r="N13" s="422">
        <v>235757</v>
      </c>
      <c r="O13" s="422">
        <v>349773</v>
      </c>
      <c r="P13" s="422">
        <v>81678</v>
      </c>
      <c r="Q13" s="422">
        <v>183462</v>
      </c>
      <c r="R13" s="422">
        <v>300519</v>
      </c>
      <c r="S13" s="422">
        <v>367040</v>
      </c>
      <c r="T13" s="422">
        <v>130779</v>
      </c>
      <c r="U13" s="422">
        <v>227944</v>
      </c>
      <c r="W13" s="422">
        <f t="shared" si="12"/>
        <v>87894</v>
      </c>
      <c r="X13" s="422">
        <f t="shared" si="13"/>
        <v>83670</v>
      </c>
      <c r="Y13" s="422">
        <f t="shared" si="9"/>
        <v>64193</v>
      </c>
      <c r="Z13" s="422">
        <f t="shared" si="9"/>
        <v>114016</v>
      </c>
      <c r="AA13" s="422">
        <f t="shared" si="14"/>
        <v>81678</v>
      </c>
      <c r="AB13" s="422">
        <f t="shared" si="10"/>
        <v>101784</v>
      </c>
      <c r="AC13" s="422">
        <f t="shared" si="10"/>
        <v>117057</v>
      </c>
      <c r="AD13" s="422">
        <f t="shared" si="10"/>
        <v>66521</v>
      </c>
      <c r="AE13" s="422">
        <f t="shared" si="15"/>
        <v>130779</v>
      </c>
      <c r="AF13" s="422">
        <f t="shared" si="11"/>
        <v>97165</v>
      </c>
    </row>
    <row r="14" spans="1:32">
      <c r="A14" s="417" t="s">
        <v>608</v>
      </c>
      <c r="B14" s="417" t="s">
        <v>609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>
        <v>0</v>
      </c>
      <c r="T14" s="422">
        <v>0</v>
      </c>
      <c r="U14" s="422">
        <v>0</v>
      </c>
      <c r="W14" s="422">
        <f t="shared" si="12"/>
        <v>0</v>
      </c>
      <c r="X14" s="422">
        <f t="shared" si="13"/>
        <v>0</v>
      </c>
      <c r="Y14" s="422">
        <f t="shared" si="9"/>
        <v>0</v>
      </c>
      <c r="Z14" s="422">
        <f t="shared" si="9"/>
        <v>0</v>
      </c>
      <c r="AA14" s="422">
        <f t="shared" si="14"/>
        <v>0</v>
      </c>
      <c r="AB14" s="422">
        <f t="shared" si="10"/>
        <v>0</v>
      </c>
      <c r="AC14" s="422">
        <f t="shared" si="10"/>
        <v>0</v>
      </c>
      <c r="AD14" s="422">
        <f t="shared" si="10"/>
        <v>0</v>
      </c>
      <c r="AE14" s="422">
        <f t="shared" si="15"/>
        <v>0</v>
      </c>
      <c r="AF14" s="422">
        <f t="shared" si="11"/>
        <v>0</v>
      </c>
    </row>
    <row r="15" spans="1:32">
      <c r="A15" s="417" t="s">
        <v>610</v>
      </c>
      <c r="B15" s="417" t="s">
        <v>611</v>
      </c>
      <c r="D15" s="422">
        <v>0</v>
      </c>
      <c r="E15" s="422">
        <v>0</v>
      </c>
      <c r="F15" s="422">
        <v>0</v>
      </c>
      <c r="G15" s="422">
        <v>0</v>
      </c>
      <c r="H15" s="422">
        <v>0</v>
      </c>
      <c r="I15" s="422">
        <v>0</v>
      </c>
      <c r="J15" s="422">
        <v>0</v>
      </c>
      <c r="K15" s="422">
        <v>0</v>
      </c>
      <c r="L15" s="422">
        <v>0</v>
      </c>
      <c r="M15" s="422">
        <v>0</v>
      </c>
      <c r="N15" s="422">
        <v>0</v>
      </c>
      <c r="O15" s="422">
        <v>0</v>
      </c>
      <c r="P15" s="422">
        <v>0</v>
      </c>
      <c r="Q15" s="422">
        <v>0</v>
      </c>
      <c r="R15" s="422">
        <v>0</v>
      </c>
      <c r="S15" s="422">
        <v>0</v>
      </c>
      <c r="T15" s="422">
        <v>0</v>
      </c>
      <c r="U15" s="422">
        <v>0</v>
      </c>
      <c r="W15" s="422">
        <f t="shared" si="12"/>
        <v>0</v>
      </c>
      <c r="X15" s="422">
        <f t="shared" si="13"/>
        <v>0</v>
      </c>
      <c r="Y15" s="422">
        <f t="shared" si="9"/>
        <v>0</v>
      </c>
      <c r="Z15" s="422">
        <f t="shared" si="9"/>
        <v>0</v>
      </c>
      <c r="AA15" s="422">
        <f t="shared" si="14"/>
        <v>0</v>
      </c>
      <c r="AB15" s="422">
        <f t="shared" si="10"/>
        <v>0</v>
      </c>
      <c r="AC15" s="422">
        <f t="shared" si="10"/>
        <v>0</v>
      </c>
      <c r="AD15" s="422">
        <f t="shared" si="10"/>
        <v>0</v>
      </c>
      <c r="AE15" s="422">
        <f t="shared" si="15"/>
        <v>0</v>
      </c>
      <c r="AF15" s="422">
        <f t="shared" si="11"/>
        <v>0</v>
      </c>
    </row>
    <row r="16" spans="1:32">
      <c r="A16" s="417" t="s">
        <v>612</v>
      </c>
      <c r="B16" s="417" t="s">
        <v>613</v>
      </c>
      <c r="D16" s="422">
        <v>0</v>
      </c>
      <c r="E16" s="422">
        <v>0</v>
      </c>
      <c r="F16" s="422">
        <v>0</v>
      </c>
      <c r="G16" s="422">
        <v>0</v>
      </c>
      <c r="H16" s="422">
        <v>0</v>
      </c>
      <c r="I16" s="422">
        <v>0</v>
      </c>
      <c r="J16" s="422">
        <v>0</v>
      </c>
      <c r="K16" s="422">
        <v>0</v>
      </c>
      <c r="L16" s="422">
        <v>0</v>
      </c>
      <c r="M16" s="422">
        <v>0</v>
      </c>
      <c r="N16" s="422">
        <v>0</v>
      </c>
      <c r="O16" s="422">
        <v>0</v>
      </c>
      <c r="P16" s="422">
        <v>0</v>
      </c>
      <c r="Q16" s="422">
        <v>0</v>
      </c>
      <c r="R16" s="422">
        <v>0</v>
      </c>
      <c r="S16" s="422">
        <v>0</v>
      </c>
      <c r="T16" s="422">
        <v>0</v>
      </c>
      <c r="U16" s="422">
        <v>0</v>
      </c>
      <c r="W16" s="422">
        <f t="shared" si="12"/>
        <v>0</v>
      </c>
      <c r="X16" s="422">
        <f t="shared" si="13"/>
        <v>0</v>
      </c>
      <c r="Y16" s="422">
        <f t="shared" si="9"/>
        <v>0</v>
      </c>
      <c r="Z16" s="422">
        <f t="shared" si="9"/>
        <v>0</v>
      </c>
      <c r="AA16" s="422">
        <f t="shared" si="14"/>
        <v>0</v>
      </c>
      <c r="AB16" s="422">
        <f t="shared" si="10"/>
        <v>0</v>
      </c>
      <c r="AC16" s="422">
        <f t="shared" si="10"/>
        <v>0</v>
      </c>
      <c r="AD16" s="422">
        <f t="shared" si="10"/>
        <v>0</v>
      </c>
      <c r="AE16" s="422">
        <f t="shared" si="15"/>
        <v>0</v>
      </c>
      <c r="AF16" s="422">
        <f t="shared" si="11"/>
        <v>0</v>
      </c>
    </row>
    <row r="17" spans="1:32">
      <c r="A17" s="417" t="s">
        <v>614</v>
      </c>
      <c r="B17" s="417" t="s">
        <v>615</v>
      </c>
      <c r="D17" s="422">
        <f t="shared" ref="D17:I17" si="16">SUM(D18:D25)</f>
        <v>10056</v>
      </c>
      <c r="E17" s="422">
        <f t="shared" si="16"/>
        <v>107793</v>
      </c>
      <c r="F17" s="422">
        <f>SUM(F18:F25)</f>
        <v>137932</v>
      </c>
      <c r="G17" s="422">
        <f t="shared" si="16"/>
        <v>171101</v>
      </c>
      <c r="H17" s="422">
        <f t="shared" si="16"/>
        <v>30881</v>
      </c>
      <c r="I17" s="422">
        <f t="shared" si="16"/>
        <v>69187</v>
      </c>
      <c r="J17" s="422">
        <f t="shared" ref="J17:T17" si="17">SUM(J18:J25)</f>
        <v>104240</v>
      </c>
      <c r="K17" s="422">
        <f t="shared" si="17"/>
        <v>137190</v>
      </c>
      <c r="L17" s="422">
        <f t="shared" si="17"/>
        <v>17072</v>
      </c>
      <c r="M17" s="422">
        <f t="shared" si="17"/>
        <v>113909</v>
      </c>
      <c r="N17" s="422">
        <f t="shared" si="17"/>
        <v>160865</v>
      </c>
      <c r="O17" s="422">
        <f t="shared" si="17"/>
        <v>204876</v>
      </c>
      <c r="P17" s="422">
        <f t="shared" si="17"/>
        <v>48572</v>
      </c>
      <c r="Q17" s="422">
        <f t="shared" si="17"/>
        <v>99112</v>
      </c>
      <c r="R17" s="422">
        <f t="shared" si="17"/>
        <v>177716</v>
      </c>
      <c r="S17" s="422">
        <f t="shared" si="17"/>
        <v>256552</v>
      </c>
      <c r="T17" s="422">
        <f t="shared" si="17"/>
        <v>78306</v>
      </c>
      <c r="U17" s="422">
        <f>SUM(U18:U25)</f>
        <v>119874</v>
      </c>
      <c r="W17" s="422">
        <f t="shared" ref="W17:AC17" si="18">SUM(W18:W25)</f>
        <v>17072</v>
      </c>
      <c r="X17" s="422">
        <f t="shared" si="18"/>
        <v>96837</v>
      </c>
      <c r="Y17" s="422">
        <f t="shared" si="18"/>
        <v>46956</v>
      </c>
      <c r="Z17" s="422">
        <f t="shared" si="18"/>
        <v>44011</v>
      </c>
      <c r="AA17" s="422">
        <f t="shared" si="18"/>
        <v>48572</v>
      </c>
      <c r="AB17" s="422">
        <f t="shared" si="18"/>
        <v>50540</v>
      </c>
      <c r="AC17" s="422">
        <f t="shared" si="18"/>
        <v>78604</v>
      </c>
      <c r="AD17" s="422">
        <f t="shared" ref="AD17:AE17" si="19">SUM(AD18:AD25)</f>
        <v>78836</v>
      </c>
      <c r="AE17" s="422">
        <f t="shared" si="19"/>
        <v>78306</v>
      </c>
      <c r="AF17" s="422">
        <f>SUM(AF18:AF25)</f>
        <v>41568</v>
      </c>
    </row>
    <row r="18" spans="1:32" outlineLevel="1">
      <c r="A18" s="418" t="s">
        <v>616</v>
      </c>
      <c r="B18" s="418" t="s">
        <v>617</v>
      </c>
      <c r="D18" s="423">
        <v>1990</v>
      </c>
      <c r="E18" s="423">
        <v>4259</v>
      </c>
      <c r="F18" s="423">
        <v>7111</v>
      </c>
      <c r="G18" s="423">
        <v>9949</v>
      </c>
      <c r="H18" s="423">
        <v>3006</v>
      </c>
      <c r="I18" s="423">
        <v>6362</v>
      </c>
      <c r="J18" s="423">
        <v>12267</v>
      </c>
      <c r="K18" s="423">
        <v>19670</v>
      </c>
      <c r="L18" s="423">
        <v>9148</v>
      </c>
      <c r="M18" s="423">
        <v>18821</v>
      </c>
      <c r="N18" s="423">
        <v>30242</v>
      </c>
      <c r="O18" s="423">
        <v>43122</v>
      </c>
      <c r="P18" s="423">
        <v>14545</v>
      </c>
      <c r="Q18" s="423">
        <v>31172</v>
      </c>
      <c r="R18" s="423">
        <v>43948</v>
      </c>
      <c r="S18" s="423">
        <v>59194</v>
      </c>
      <c r="T18" s="423">
        <v>13754</v>
      </c>
      <c r="U18" s="423">
        <v>32210</v>
      </c>
      <c r="W18" s="423">
        <f t="shared" si="12"/>
        <v>9148</v>
      </c>
      <c r="X18" s="423">
        <f t="shared" ref="X18:X25" si="20">M18-W18</f>
        <v>9673</v>
      </c>
      <c r="Y18" s="423">
        <f t="shared" ref="Y18:Z25" si="21">N18-M18</f>
        <v>11421</v>
      </c>
      <c r="Z18" s="423">
        <f t="shared" si="21"/>
        <v>12880</v>
      </c>
      <c r="AA18" s="423">
        <f t="shared" si="14"/>
        <v>14545</v>
      </c>
      <c r="AB18" s="423">
        <f t="shared" ref="AB18:AD25" si="22">Q18-P18</f>
        <v>16627</v>
      </c>
      <c r="AC18" s="423">
        <f t="shared" si="22"/>
        <v>12776</v>
      </c>
      <c r="AD18" s="423">
        <f t="shared" si="22"/>
        <v>15246</v>
      </c>
      <c r="AE18" s="423">
        <f t="shared" si="15"/>
        <v>13754</v>
      </c>
      <c r="AF18" s="423">
        <f t="shared" ref="AF18:AF25" si="23">U18-T18</f>
        <v>18456</v>
      </c>
    </row>
    <row r="19" spans="1:32" outlineLevel="1">
      <c r="A19" s="418" t="s">
        <v>618</v>
      </c>
      <c r="B19" s="418" t="s">
        <v>619</v>
      </c>
      <c r="D19" s="423">
        <v>341</v>
      </c>
      <c r="E19" s="423">
        <v>558</v>
      </c>
      <c r="F19" s="423">
        <v>419</v>
      </c>
      <c r="G19" s="423">
        <v>244</v>
      </c>
      <c r="H19" s="423">
        <v>530</v>
      </c>
      <c r="I19" s="423">
        <v>1064</v>
      </c>
      <c r="J19" s="423">
        <v>1201</v>
      </c>
      <c r="K19" s="423">
        <v>850</v>
      </c>
      <c r="L19" s="423">
        <v>477</v>
      </c>
      <c r="M19" s="423">
        <v>16882</v>
      </c>
      <c r="N19" s="423">
        <v>17481</v>
      </c>
      <c r="O19" s="423">
        <v>18882</v>
      </c>
      <c r="P19" s="423">
        <v>2686</v>
      </c>
      <c r="Q19" s="423">
        <v>3863</v>
      </c>
      <c r="R19" s="423">
        <v>4456</v>
      </c>
      <c r="S19" s="423">
        <v>4698</v>
      </c>
      <c r="T19" s="423">
        <v>1047</v>
      </c>
      <c r="U19" s="423">
        <v>2759</v>
      </c>
      <c r="W19" s="423">
        <f t="shared" si="12"/>
        <v>477</v>
      </c>
      <c r="X19" s="423">
        <f t="shared" si="20"/>
        <v>16405</v>
      </c>
      <c r="Y19" s="423">
        <f t="shared" si="21"/>
        <v>599</v>
      </c>
      <c r="Z19" s="423">
        <f t="shared" si="21"/>
        <v>1401</v>
      </c>
      <c r="AA19" s="423">
        <f t="shared" si="14"/>
        <v>2686</v>
      </c>
      <c r="AB19" s="423">
        <f t="shared" si="22"/>
        <v>1177</v>
      </c>
      <c r="AC19" s="423">
        <f t="shared" si="22"/>
        <v>593</v>
      </c>
      <c r="AD19" s="423">
        <f t="shared" si="22"/>
        <v>242</v>
      </c>
      <c r="AE19" s="423">
        <f t="shared" si="15"/>
        <v>1047</v>
      </c>
      <c r="AF19" s="423">
        <f t="shared" si="23"/>
        <v>1712</v>
      </c>
    </row>
    <row r="20" spans="1:32" outlineLevel="1">
      <c r="A20" s="418" t="s">
        <v>620</v>
      </c>
      <c r="B20" s="418" t="s">
        <v>621</v>
      </c>
      <c r="D20" s="423">
        <v>0</v>
      </c>
      <c r="E20" s="423">
        <v>0</v>
      </c>
      <c r="F20" s="423">
        <v>0</v>
      </c>
      <c r="G20" s="423">
        <v>0</v>
      </c>
      <c r="H20" s="423">
        <v>0</v>
      </c>
      <c r="I20" s="423">
        <v>0</v>
      </c>
      <c r="J20" s="423">
        <v>0</v>
      </c>
      <c r="K20" s="423">
        <v>0</v>
      </c>
      <c r="L20" s="423">
        <v>0</v>
      </c>
      <c r="M20" s="423">
        <v>0</v>
      </c>
      <c r="N20" s="423">
        <v>0</v>
      </c>
      <c r="O20" s="423">
        <v>0</v>
      </c>
      <c r="P20" s="423">
        <v>0</v>
      </c>
      <c r="Q20" s="423">
        <v>0</v>
      </c>
      <c r="R20" s="423">
        <v>0</v>
      </c>
      <c r="S20" s="423">
        <v>0</v>
      </c>
      <c r="T20" s="423">
        <v>0</v>
      </c>
      <c r="U20" s="423">
        <v>0</v>
      </c>
      <c r="W20" s="423">
        <f t="shared" si="12"/>
        <v>0</v>
      </c>
      <c r="X20" s="423">
        <f t="shared" si="20"/>
        <v>0</v>
      </c>
      <c r="Y20" s="423">
        <f t="shared" si="21"/>
        <v>0</v>
      </c>
      <c r="Z20" s="423">
        <f t="shared" si="21"/>
        <v>0</v>
      </c>
      <c r="AA20" s="423">
        <f t="shared" si="14"/>
        <v>0</v>
      </c>
      <c r="AB20" s="423">
        <f t="shared" si="22"/>
        <v>0</v>
      </c>
      <c r="AC20" s="423">
        <f t="shared" si="22"/>
        <v>0</v>
      </c>
      <c r="AD20" s="423">
        <f t="shared" si="22"/>
        <v>0</v>
      </c>
      <c r="AE20" s="423">
        <f t="shared" si="15"/>
        <v>0</v>
      </c>
      <c r="AF20" s="423">
        <f t="shared" si="23"/>
        <v>0</v>
      </c>
    </row>
    <row r="21" spans="1:32" outlineLevel="1">
      <c r="A21" s="418" t="s">
        <v>622</v>
      </c>
      <c r="B21" s="418" t="s">
        <v>623</v>
      </c>
      <c r="D21" s="423">
        <v>0</v>
      </c>
      <c r="E21" s="423">
        <v>0</v>
      </c>
      <c r="F21" s="423">
        <v>0</v>
      </c>
      <c r="G21" s="423">
        <v>0</v>
      </c>
      <c r="H21" s="423">
        <v>0</v>
      </c>
      <c r="I21" s="423">
        <v>0</v>
      </c>
      <c r="J21" s="423">
        <v>0</v>
      </c>
      <c r="K21" s="423">
        <v>0</v>
      </c>
      <c r="L21" s="423">
        <v>0</v>
      </c>
      <c r="M21" s="423">
        <v>0</v>
      </c>
      <c r="N21" s="423">
        <v>0</v>
      </c>
      <c r="O21" s="423">
        <v>0</v>
      </c>
      <c r="P21" s="423">
        <v>0</v>
      </c>
      <c r="Q21" s="423">
        <v>0</v>
      </c>
      <c r="R21" s="423">
        <v>0</v>
      </c>
      <c r="S21" s="423">
        <v>0</v>
      </c>
      <c r="T21" s="423">
        <v>0</v>
      </c>
      <c r="U21" s="423">
        <v>0</v>
      </c>
      <c r="W21" s="423">
        <f t="shared" si="12"/>
        <v>0</v>
      </c>
      <c r="X21" s="423">
        <f t="shared" si="20"/>
        <v>0</v>
      </c>
      <c r="Y21" s="423">
        <f t="shared" si="21"/>
        <v>0</v>
      </c>
      <c r="Z21" s="423">
        <f t="shared" si="21"/>
        <v>0</v>
      </c>
      <c r="AA21" s="423">
        <f t="shared" si="14"/>
        <v>0</v>
      </c>
      <c r="AB21" s="423">
        <f t="shared" si="22"/>
        <v>0</v>
      </c>
      <c r="AC21" s="423">
        <f t="shared" si="22"/>
        <v>0</v>
      </c>
      <c r="AD21" s="423">
        <f t="shared" si="22"/>
        <v>0</v>
      </c>
      <c r="AE21" s="423">
        <f t="shared" si="15"/>
        <v>0</v>
      </c>
      <c r="AF21" s="423">
        <f t="shared" si="23"/>
        <v>0</v>
      </c>
    </row>
    <row r="22" spans="1:32" outlineLevel="1">
      <c r="A22" s="418" t="s">
        <v>624</v>
      </c>
      <c r="B22" s="418" t="s">
        <v>625</v>
      </c>
      <c r="D22" s="423">
        <v>0</v>
      </c>
      <c r="E22" s="423">
        <v>0</v>
      </c>
      <c r="F22" s="423">
        <v>0</v>
      </c>
      <c r="G22" s="423">
        <v>0</v>
      </c>
      <c r="H22" s="423">
        <v>0</v>
      </c>
      <c r="I22" s="423">
        <v>0</v>
      </c>
      <c r="J22" s="423">
        <v>0</v>
      </c>
      <c r="K22" s="423">
        <v>0</v>
      </c>
      <c r="L22" s="423">
        <v>0</v>
      </c>
      <c r="M22" s="423">
        <v>0</v>
      </c>
      <c r="N22" s="423">
        <v>0</v>
      </c>
      <c r="O22" s="423">
        <v>0</v>
      </c>
      <c r="P22" s="423">
        <v>0</v>
      </c>
      <c r="Q22" s="423">
        <v>0</v>
      </c>
      <c r="R22" s="423">
        <v>0</v>
      </c>
      <c r="S22" s="423">
        <v>0</v>
      </c>
      <c r="T22" s="423">
        <v>0</v>
      </c>
      <c r="U22" s="423">
        <v>0</v>
      </c>
      <c r="W22" s="423">
        <f t="shared" si="12"/>
        <v>0</v>
      </c>
      <c r="X22" s="423">
        <f t="shared" si="20"/>
        <v>0</v>
      </c>
      <c r="Y22" s="423">
        <f t="shared" si="21"/>
        <v>0</v>
      </c>
      <c r="Z22" s="423">
        <f t="shared" si="21"/>
        <v>0</v>
      </c>
      <c r="AA22" s="423">
        <f t="shared" si="14"/>
        <v>0</v>
      </c>
      <c r="AB22" s="423">
        <f t="shared" si="22"/>
        <v>0</v>
      </c>
      <c r="AC22" s="423">
        <f t="shared" si="22"/>
        <v>0</v>
      </c>
      <c r="AD22" s="423">
        <f t="shared" si="22"/>
        <v>0</v>
      </c>
      <c r="AE22" s="423">
        <f t="shared" si="15"/>
        <v>0</v>
      </c>
      <c r="AF22" s="423">
        <f t="shared" si="23"/>
        <v>0</v>
      </c>
    </row>
    <row r="23" spans="1:32" outlineLevel="1">
      <c r="A23" s="418" t="s">
        <v>626</v>
      </c>
      <c r="B23" s="418" t="s">
        <v>811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0</v>
      </c>
      <c r="T23" s="423">
        <v>0</v>
      </c>
      <c r="U23" s="423">
        <v>0</v>
      </c>
      <c r="W23" s="423">
        <f t="shared" si="12"/>
        <v>0</v>
      </c>
      <c r="X23" s="423">
        <f t="shared" si="20"/>
        <v>0</v>
      </c>
      <c r="Y23" s="423">
        <f t="shared" si="21"/>
        <v>0</v>
      </c>
      <c r="Z23" s="423">
        <f t="shared" si="21"/>
        <v>0</v>
      </c>
      <c r="AA23" s="423">
        <f t="shared" si="14"/>
        <v>0</v>
      </c>
      <c r="AB23" s="423">
        <f t="shared" si="22"/>
        <v>0</v>
      </c>
      <c r="AC23" s="423">
        <f t="shared" si="22"/>
        <v>0</v>
      </c>
      <c r="AD23" s="423">
        <f t="shared" si="22"/>
        <v>0</v>
      </c>
      <c r="AE23" s="423">
        <f t="shared" si="15"/>
        <v>0</v>
      </c>
      <c r="AF23" s="423">
        <f t="shared" si="23"/>
        <v>0</v>
      </c>
    </row>
    <row r="24" spans="1:32" outlineLevel="1">
      <c r="A24" s="418" t="s">
        <v>628</v>
      </c>
      <c r="B24" s="418" t="s">
        <v>629</v>
      </c>
      <c r="D24" s="423">
        <v>0</v>
      </c>
      <c r="E24" s="423">
        <v>0</v>
      </c>
      <c r="F24" s="423">
        <v>0</v>
      </c>
      <c r="G24" s="423">
        <v>0</v>
      </c>
      <c r="H24" s="423">
        <v>0</v>
      </c>
      <c r="I24" s="423">
        <v>0</v>
      </c>
      <c r="J24" s="423">
        <v>0</v>
      </c>
      <c r="K24" s="423">
        <v>0</v>
      </c>
      <c r="L24" s="423">
        <v>0</v>
      </c>
      <c r="M24" s="423">
        <v>0</v>
      </c>
      <c r="N24" s="423">
        <v>0</v>
      </c>
      <c r="O24" s="423">
        <v>0</v>
      </c>
      <c r="P24" s="423">
        <v>0</v>
      </c>
      <c r="Q24" s="423">
        <v>0</v>
      </c>
      <c r="R24" s="423">
        <v>0</v>
      </c>
      <c r="S24" s="423">
        <v>0</v>
      </c>
      <c r="T24" s="423">
        <v>0</v>
      </c>
      <c r="U24" s="423">
        <v>0</v>
      </c>
      <c r="W24" s="423">
        <f t="shared" si="12"/>
        <v>0</v>
      </c>
      <c r="X24" s="423">
        <f t="shared" si="20"/>
        <v>0</v>
      </c>
      <c r="Y24" s="423">
        <f t="shared" si="21"/>
        <v>0</v>
      </c>
      <c r="Z24" s="423">
        <f t="shared" si="21"/>
        <v>0</v>
      </c>
      <c r="AA24" s="423">
        <f t="shared" si="14"/>
        <v>0</v>
      </c>
      <c r="AB24" s="423">
        <f t="shared" si="22"/>
        <v>0</v>
      </c>
      <c r="AC24" s="423">
        <f t="shared" si="22"/>
        <v>0</v>
      </c>
      <c r="AD24" s="423">
        <f t="shared" si="22"/>
        <v>0</v>
      </c>
      <c r="AE24" s="423">
        <f t="shared" si="15"/>
        <v>0</v>
      </c>
      <c r="AF24" s="423">
        <f t="shared" si="23"/>
        <v>0</v>
      </c>
    </row>
    <row r="25" spans="1:32" outlineLevel="1">
      <c r="A25" s="418" t="s">
        <v>614</v>
      </c>
      <c r="B25" s="418" t="s">
        <v>615</v>
      </c>
      <c r="D25" s="423">
        <v>7725</v>
      </c>
      <c r="E25" s="423">
        <v>102976</v>
      </c>
      <c r="F25" s="423">
        <v>130402</v>
      </c>
      <c r="G25" s="423">
        <v>160908</v>
      </c>
      <c r="H25" s="423">
        <v>27345</v>
      </c>
      <c r="I25" s="423">
        <v>61761</v>
      </c>
      <c r="J25" s="423">
        <v>90772</v>
      </c>
      <c r="K25" s="423">
        <v>116670</v>
      </c>
      <c r="L25" s="423">
        <v>7447</v>
      </c>
      <c r="M25" s="423">
        <v>78206</v>
      </c>
      <c r="N25" s="423">
        <v>113142</v>
      </c>
      <c r="O25" s="423">
        <v>142872</v>
      </c>
      <c r="P25" s="423">
        <v>31341</v>
      </c>
      <c r="Q25" s="423">
        <v>64077</v>
      </c>
      <c r="R25" s="423">
        <v>129312</v>
      </c>
      <c r="S25" s="423">
        <v>192660</v>
      </c>
      <c r="T25" s="423">
        <v>63505</v>
      </c>
      <c r="U25" s="423">
        <v>84905</v>
      </c>
      <c r="W25" s="423">
        <f t="shared" si="12"/>
        <v>7447</v>
      </c>
      <c r="X25" s="423">
        <f t="shared" si="20"/>
        <v>70759</v>
      </c>
      <c r="Y25" s="423">
        <f t="shared" si="21"/>
        <v>34936</v>
      </c>
      <c r="Z25" s="423">
        <f t="shared" si="21"/>
        <v>29730</v>
      </c>
      <c r="AA25" s="423">
        <f t="shared" si="14"/>
        <v>31341</v>
      </c>
      <c r="AB25" s="423">
        <f t="shared" si="22"/>
        <v>32736</v>
      </c>
      <c r="AC25" s="423">
        <f t="shared" si="22"/>
        <v>65235</v>
      </c>
      <c r="AD25" s="423">
        <f t="shared" si="22"/>
        <v>63348</v>
      </c>
      <c r="AE25" s="423">
        <f t="shared" si="15"/>
        <v>63505</v>
      </c>
      <c r="AF25" s="423">
        <f t="shared" si="23"/>
        <v>21400</v>
      </c>
    </row>
    <row r="26" spans="1:32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</row>
    <row r="27" spans="1:32">
      <c r="A27" s="429" t="s">
        <v>630</v>
      </c>
      <c r="B27" s="429" t="s">
        <v>631</v>
      </c>
      <c r="D27" s="420">
        <f t="shared" ref="D27:I27" si="24">SUM(D29:D37)</f>
        <v>-73588</v>
      </c>
      <c r="E27" s="420">
        <f t="shared" si="24"/>
        <v>-126971</v>
      </c>
      <c r="F27" s="420">
        <f>SUM(F29:F37)</f>
        <v>-189766</v>
      </c>
      <c r="G27" s="420">
        <f t="shared" si="24"/>
        <v>-332318</v>
      </c>
      <c r="H27" s="420">
        <f t="shared" si="24"/>
        <v>-71302</v>
      </c>
      <c r="I27" s="420">
        <f t="shared" si="24"/>
        <v>-158551</v>
      </c>
      <c r="J27" s="420">
        <f t="shared" ref="J27:T27" si="25">SUM(J29:J37)</f>
        <v>-251164</v>
      </c>
      <c r="K27" s="420">
        <f t="shared" si="25"/>
        <v>-303824</v>
      </c>
      <c r="L27" s="420">
        <f t="shared" si="25"/>
        <v>-111528</v>
      </c>
      <c r="M27" s="420">
        <f t="shared" si="25"/>
        <v>-254246</v>
      </c>
      <c r="N27" s="420">
        <f t="shared" si="25"/>
        <v>-346891</v>
      </c>
      <c r="O27" s="420">
        <f t="shared" si="25"/>
        <v>-436712</v>
      </c>
      <c r="P27" s="420">
        <f t="shared" si="25"/>
        <v>-104185</v>
      </c>
      <c r="Q27" s="420">
        <f t="shared" si="25"/>
        <v>-216969</v>
      </c>
      <c r="R27" s="420">
        <f t="shared" si="25"/>
        <v>-347977</v>
      </c>
      <c r="S27" s="420">
        <f t="shared" si="25"/>
        <v>-486366</v>
      </c>
      <c r="T27" s="420">
        <f t="shared" si="25"/>
        <v>-121915</v>
      </c>
      <c r="U27" s="741">
        <f>SUM(U29:U37)</f>
        <v>-256109</v>
      </c>
      <c r="W27" s="420">
        <f t="shared" ref="W27:AC27" si="26">SUM(W29:W37)</f>
        <v>-111528</v>
      </c>
      <c r="X27" s="420">
        <f t="shared" si="26"/>
        <v>-142718</v>
      </c>
      <c r="Y27" s="420">
        <f t="shared" si="26"/>
        <v>-92645</v>
      </c>
      <c r="Z27" s="420">
        <f t="shared" si="26"/>
        <v>-89821</v>
      </c>
      <c r="AA27" s="420">
        <f t="shared" si="26"/>
        <v>-104185</v>
      </c>
      <c r="AB27" s="420">
        <f t="shared" si="26"/>
        <v>-112784</v>
      </c>
      <c r="AC27" s="420">
        <f t="shared" si="26"/>
        <v>-131008</v>
      </c>
      <c r="AD27" s="420">
        <f t="shared" ref="AD27:AE27" si="27">SUM(AD29:AD37)</f>
        <v>-138389</v>
      </c>
      <c r="AE27" s="420">
        <f t="shared" si="27"/>
        <v>-121915</v>
      </c>
      <c r="AF27" s="741">
        <f>SUM(AF29:AF37)</f>
        <v>-134194</v>
      </c>
    </row>
    <row r="28" spans="1:32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</row>
    <row r="29" spans="1:32" outlineLevel="1">
      <c r="A29" s="418" t="s">
        <v>632</v>
      </c>
      <c r="B29" s="418" t="s">
        <v>632</v>
      </c>
      <c r="D29" s="423">
        <v>-36126</v>
      </c>
      <c r="E29" s="423">
        <v>-62549</v>
      </c>
      <c r="F29" s="423">
        <v>-91147</v>
      </c>
      <c r="G29" s="423">
        <v>-124472</v>
      </c>
      <c r="H29" s="423">
        <v>-28761</v>
      </c>
      <c r="I29" s="423">
        <v>-67065</v>
      </c>
      <c r="J29" s="423">
        <v>-110690</v>
      </c>
      <c r="K29" s="423">
        <v>-156417</v>
      </c>
      <c r="L29" s="423">
        <v>-42315</v>
      </c>
      <c r="M29" s="423">
        <v>-84626</v>
      </c>
      <c r="N29" s="423">
        <v>-132269</v>
      </c>
      <c r="O29" s="423">
        <v>-184040</v>
      </c>
      <c r="P29" s="423">
        <v>-51097</v>
      </c>
      <c r="Q29" s="423">
        <v>-104555</v>
      </c>
      <c r="R29" s="423">
        <v>-165361</v>
      </c>
      <c r="S29" s="423">
        <v>-228754</v>
      </c>
      <c r="T29" s="423">
        <v>-52966</v>
      </c>
      <c r="U29" s="423">
        <v>-111442</v>
      </c>
      <c r="W29" s="423">
        <f t="shared" ref="W29:W37" si="28">L29</f>
        <v>-42315</v>
      </c>
      <c r="X29" s="423">
        <f t="shared" ref="X29:X37" si="29">M29-W29</f>
        <v>-42311</v>
      </c>
      <c r="Y29" s="423">
        <f t="shared" ref="Y29:Y37" si="30">N29-M29</f>
        <v>-47643</v>
      </c>
      <c r="Z29" s="423">
        <f t="shared" ref="Z29:Z37" si="31">O29-N29</f>
        <v>-51771</v>
      </c>
      <c r="AA29" s="423">
        <f t="shared" ref="AA29:AA37" si="32">P29</f>
        <v>-51097</v>
      </c>
      <c r="AB29" s="423">
        <f t="shared" ref="AB29:AB37" si="33">Q29-P29</f>
        <v>-53458</v>
      </c>
      <c r="AC29" s="423">
        <f t="shared" ref="AC29:AC37" si="34">R29-Q29</f>
        <v>-60806</v>
      </c>
      <c r="AD29" s="423">
        <f t="shared" ref="AD29:AD37" si="35">S29-R29</f>
        <v>-63393</v>
      </c>
      <c r="AE29" s="423">
        <f t="shared" ref="AE29:AE37" si="36">T29</f>
        <v>-52966</v>
      </c>
      <c r="AF29" s="423">
        <f t="shared" ref="AF29:AF37" si="37">U29-T29</f>
        <v>-58476</v>
      </c>
    </row>
    <row r="30" spans="1:32" outlineLevel="1">
      <c r="A30" s="418" t="s">
        <v>633</v>
      </c>
      <c r="B30" s="418" t="s">
        <v>634</v>
      </c>
      <c r="D30" s="423">
        <v>-20677</v>
      </c>
      <c r="E30" s="423">
        <v>-23554</v>
      </c>
      <c r="F30" s="423">
        <v>-39586</v>
      </c>
      <c r="G30" s="423">
        <v>-88723</v>
      </c>
      <c r="H30" s="423">
        <v>-23558</v>
      </c>
      <c r="I30" s="423">
        <v>-50126</v>
      </c>
      <c r="J30" s="423">
        <v>-77972</v>
      </c>
      <c r="K30" s="423">
        <v>-56029</v>
      </c>
      <c r="L30" s="423">
        <v>-25733</v>
      </c>
      <c r="M30" s="423">
        <v>-53599</v>
      </c>
      <c r="N30" s="423">
        <v>-85031</v>
      </c>
      <c r="O30" s="423">
        <v>-115116</v>
      </c>
      <c r="P30" s="423">
        <v>-33757</v>
      </c>
      <c r="Q30" s="423">
        <v>-71571</v>
      </c>
      <c r="R30" s="423">
        <v>-117224</v>
      </c>
      <c r="S30" s="423">
        <v>-166597</v>
      </c>
      <c r="T30" s="423">
        <v>-41446</v>
      </c>
      <c r="U30" s="423">
        <v>-86293</v>
      </c>
      <c r="W30" s="423">
        <f t="shared" si="28"/>
        <v>-25733</v>
      </c>
      <c r="X30" s="423">
        <f t="shared" si="29"/>
        <v>-27866</v>
      </c>
      <c r="Y30" s="423">
        <f t="shared" si="30"/>
        <v>-31432</v>
      </c>
      <c r="Z30" s="423">
        <f t="shared" si="31"/>
        <v>-30085</v>
      </c>
      <c r="AA30" s="423">
        <f t="shared" si="32"/>
        <v>-33757</v>
      </c>
      <c r="AB30" s="423">
        <f t="shared" si="33"/>
        <v>-37814</v>
      </c>
      <c r="AC30" s="423">
        <f t="shared" si="34"/>
        <v>-45653</v>
      </c>
      <c r="AD30" s="423">
        <f t="shared" si="35"/>
        <v>-49373</v>
      </c>
      <c r="AE30" s="423">
        <f t="shared" si="36"/>
        <v>-41446</v>
      </c>
      <c r="AF30" s="423">
        <f t="shared" si="37"/>
        <v>-44847</v>
      </c>
    </row>
    <row r="31" spans="1:32" outlineLevel="1">
      <c r="A31" s="418" t="s">
        <v>635</v>
      </c>
      <c r="B31" s="418" t="s">
        <v>636</v>
      </c>
      <c r="D31" s="423">
        <v>0</v>
      </c>
      <c r="E31" s="423">
        <v>0</v>
      </c>
      <c r="F31" s="423">
        <v>0</v>
      </c>
      <c r="G31" s="423">
        <v>0</v>
      </c>
      <c r="H31" s="423">
        <v>0</v>
      </c>
      <c r="I31" s="423">
        <v>0</v>
      </c>
      <c r="J31" s="423">
        <v>0</v>
      </c>
      <c r="K31" s="423">
        <v>0</v>
      </c>
      <c r="L31" s="423">
        <v>0</v>
      </c>
      <c r="M31" s="423">
        <v>0</v>
      </c>
      <c r="N31" s="423">
        <v>0</v>
      </c>
      <c r="O31" s="423">
        <v>0</v>
      </c>
      <c r="P31" s="423">
        <v>0</v>
      </c>
      <c r="Q31" s="423">
        <v>0</v>
      </c>
      <c r="R31" s="423">
        <v>0</v>
      </c>
      <c r="S31" s="423">
        <v>0</v>
      </c>
      <c r="T31" s="423">
        <v>0</v>
      </c>
      <c r="U31" s="423">
        <v>0</v>
      </c>
      <c r="W31" s="423">
        <f t="shared" si="28"/>
        <v>0</v>
      </c>
      <c r="X31" s="423">
        <f t="shared" si="29"/>
        <v>0</v>
      </c>
      <c r="Y31" s="423">
        <f t="shared" si="30"/>
        <v>0</v>
      </c>
      <c r="Z31" s="423">
        <f t="shared" si="31"/>
        <v>0</v>
      </c>
      <c r="AA31" s="423">
        <f t="shared" si="32"/>
        <v>0</v>
      </c>
      <c r="AB31" s="423">
        <f t="shared" si="33"/>
        <v>0</v>
      </c>
      <c r="AC31" s="423">
        <f t="shared" si="34"/>
        <v>0</v>
      </c>
      <c r="AD31" s="423">
        <f t="shared" si="35"/>
        <v>0</v>
      </c>
      <c r="AE31" s="423">
        <f t="shared" si="36"/>
        <v>0</v>
      </c>
      <c r="AF31" s="423">
        <f t="shared" si="37"/>
        <v>0</v>
      </c>
    </row>
    <row r="32" spans="1:32" outlineLevel="1">
      <c r="A32" s="418" t="s">
        <v>637</v>
      </c>
      <c r="B32" s="418" t="s">
        <v>638</v>
      </c>
      <c r="D32" s="423">
        <v>0</v>
      </c>
      <c r="E32" s="423">
        <v>0</v>
      </c>
      <c r="F32" s="423">
        <v>0</v>
      </c>
      <c r="G32" s="423">
        <v>0</v>
      </c>
      <c r="H32" s="423">
        <v>0</v>
      </c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>
        <v>0</v>
      </c>
      <c r="T32" s="423">
        <v>0</v>
      </c>
      <c r="U32" s="423">
        <v>0</v>
      </c>
      <c r="W32" s="423">
        <f t="shared" si="28"/>
        <v>0</v>
      </c>
      <c r="X32" s="423">
        <f t="shared" si="29"/>
        <v>0</v>
      </c>
      <c r="Y32" s="423">
        <f t="shared" si="30"/>
        <v>0</v>
      </c>
      <c r="Z32" s="423">
        <f t="shared" si="31"/>
        <v>0</v>
      </c>
      <c r="AA32" s="423">
        <f t="shared" si="32"/>
        <v>0</v>
      </c>
      <c r="AB32" s="423">
        <f t="shared" si="33"/>
        <v>0</v>
      </c>
      <c r="AC32" s="423">
        <f t="shared" si="34"/>
        <v>0</v>
      </c>
      <c r="AD32" s="423">
        <f t="shared" si="35"/>
        <v>0</v>
      </c>
      <c r="AE32" s="423">
        <f t="shared" si="36"/>
        <v>0</v>
      </c>
      <c r="AF32" s="423">
        <f t="shared" si="37"/>
        <v>0</v>
      </c>
    </row>
    <row r="33" spans="1:32" outlineLevel="1">
      <c r="A33" s="418" t="s">
        <v>639</v>
      </c>
      <c r="B33" s="418" t="s">
        <v>640</v>
      </c>
      <c r="D33" s="423">
        <v>-9975</v>
      </c>
      <c r="E33" s="423">
        <v>-13385</v>
      </c>
      <c r="F33" s="423">
        <v>-4800</v>
      </c>
      <c r="G33" s="423">
        <v>-19800</v>
      </c>
      <c r="H33" s="423">
        <v>-1778</v>
      </c>
      <c r="I33" s="423">
        <v>-3585</v>
      </c>
      <c r="J33" s="423">
        <v>-5665</v>
      </c>
      <c r="K33" s="423">
        <v>-8337</v>
      </c>
      <c r="L33" s="423">
        <v>-2194</v>
      </c>
      <c r="M33" s="423">
        <v>-5198</v>
      </c>
      <c r="N33" s="423">
        <v>-8377</v>
      </c>
      <c r="O33" s="423">
        <v>-11890</v>
      </c>
      <c r="P33" s="423">
        <v>-3003</v>
      </c>
      <c r="Q33" s="423">
        <v>-6196</v>
      </c>
      <c r="R33" s="423">
        <v>-10281</v>
      </c>
      <c r="S33" s="423">
        <v>-14357</v>
      </c>
      <c r="T33" s="423">
        <v>-3416</v>
      </c>
      <c r="U33" s="423">
        <v>-7804</v>
      </c>
      <c r="W33" s="423">
        <f t="shared" si="28"/>
        <v>-2194</v>
      </c>
      <c r="X33" s="423">
        <f t="shared" si="29"/>
        <v>-3004</v>
      </c>
      <c r="Y33" s="423">
        <f t="shared" si="30"/>
        <v>-3179</v>
      </c>
      <c r="Z33" s="423">
        <f t="shared" si="31"/>
        <v>-3513</v>
      </c>
      <c r="AA33" s="423">
        <f t="shared" si="32"/>
        <v>-3003</v>
      </c>
      <c r="AB33" s="423">
        <f t="shared" si="33"/>
        <v>-3193</v>
      </c>
      <c r="AC33" s="423">
        <f t="shared" si="34"/>
        <v>-4085</v>
      </c>
      <c r="AD33" s="423">
        <f t="shared" si="35"/>
        <v>-4076</v>
      </c>
      <c r="AE33" s="423">
        <f t="shared" si="36"/>
        <v>-3416</v>
      </c>
      <c r="AF33" s="423">
        <f t="shared" si="37"/>
        <v>-4388</v>
      </c>
    </row>
    <row r="34" spans="1:32" outlineLevel="1">
      <c r="A34" s="418" t="s">
        <v>641</v>
      </c>
      <c r="B34" s="418" t="s">
        <v>642</v>
      </c>
      <c r="D34" s="423">
        <v>-588</v>
      </c>
      <c r="E34" s="423">
        <v>-436</v>
      </c>
      <c r="F34" s="423">
        <v>-654</v>
      </c>
      <c r="G34" s="423">
        <v>-875</v>
      </c>
      <c r="H34" s="423">
        <v>-229</v>
      </c>
      <c r="I34" s="423">
        <v>-458</v>
      </c>
      <c r="J34" s="423">
        <v>-688</v>
      </c>
      <c r="K34" s="423">
        <v>-861</v>
      </c>
      <c r="L34" s="423">
        <v>-229</v>
      </c>
      <c r="M34" s="423">
        <v>-555</v>
      </c>
      <c r="N34" s="423">
        <v>-849</v>
      </c>
      <c r="O34" s="423">
        <v>-1174</v>
      </c>
      <c r="P34" s="423">
        <v>-395</v>
      </c>
      <c r="Q34" s="423">
        <v>-791</v>
      </c>
      <c r="R34" s="423">
        <v>-1186</v>
      </c>
      <c r="S34" s="423">
        <v>-1581</v>
      </c>
      <c r="T34" s="423">
        <v>-395</v>
      </c>
      <c r="U34" s="423">
        <v>-798</v>
      </c>
      <c r="W34" s="423">
        <f t="shared" si="28"/>
        <v>-229</v>
      </c>
      <c r="X34" s="423">
        <f t="shared" si="29"/>
        <v>-326</v>
      </c>
      <c r="Y34" s="423">
        <f t="shared" si="30"/>
        <v>-294</v>
      </c>
      <c r="Z34" s="423">
        <f t="shared" si="31"/>
        <v>-325</v>
      </c>
      <c r="AA34" s="423">
        <f t="shared" si="32"/>
        <v>-395</v>
      </c>
      <c r="AB34" s="423">
        <f t="shared" si="33"/>
        <v>-396</v>
      </c>
      <c r="AC34" s="423">
        <f t="shared" si="34"/>
        <v>-395</v>
      </c>
      <c r="AD34" s="423">
        <f t="shared" si="35"/>
        <v>-395</v>
      </c>
      <c r="AE34" s="423">
        <f t="shared" si="36"/>
        <v>-395</v>
      </c>
      <c r="AF34" s="423">
        <f t="shared" si="37"/>
        <v>-403</v>
      </c>
    </row>
    <row r="35" spans="1:32" outlineLevel="1">
      <c r="A35" s="418" t="s">
        <v>643</v>
      </c>
      <c r="B35" s="418" t="s">
        <v>644</v>
      </c>
      <c r="D35" s="423">
        <v>-6222</v>
      </c>
      <c r="E35" s="423">
        <v>-27017</v>
      </c>
      <c r="F35" s="423">
        <v>-53543</v>
      </c>
      <c r="G35" s="423">
        <v>-71308</v>
      </c>
      <c r="H35" s="423">
        <v>-18078</v>
      </c>
      <c r="I35" s="423">
        <v>-36108</v>
      </c>
      <c r="J35" s="423">
        <v>-54138</v>
      </c>
      <c r="K35" s="423">
        <v>-78902</v>
      </c>
      <c r="L35" s="423">
        <v>-39532</v>
      </c>
      <c r="M35" s="423">
        <v>-105053</v>
      </c>
      <c r="N35" s="423">
        <v>-112399</v>
      </c>
      <c r="O35" s="423">
        <v>-115128</v>
      </c>
      <c r="P35" s="423">
        <v>-14150</v>
      </c>
      <c r="Q35" s="423">
        <v>-28438</v>
      </c>
      <c r="R35" s="423">
        <v>-45757</v>
      </c>
      <c r="S35" s="423">
        <v>-65062</v>
      </c>
      <c r="T35" s="423">
        <v>-21343</v>
      </c>
      <c r="U35" s="423">
        <v>-45122</v>
      </c>
      <c r="W35" s="423">
        <f t="shared" si="28"/>
        <v>-39532</v>
      </c>
      <c r="X35" s="423">
        <f t="shared" si="29"/>
        <v>-65521</v>
      </c>
      <c r="Y35" s="423">
        <f t="shared" si="30"/>
        <v>-7346</v>
      </c>
      <c r="Z35" s="423">
        <f t="shared" si="31"/>
        <v>-2729</v>
      </c>
      <c r="AA35" s="423">
        <f t="shared" si="32"/>
        <v>-14150</v>
      </c>
      <c r="AB35" s="423">
        <f t="shared" si="33"/>
        <v>-14288</v>
      </c>
      <c r="AC35" s="423">
        <f t="shared" si="34"/>
        <v>-17319</v>
      </c>
      <c r="AD35" s="423">
        <f t="shared" si="35"/>
        <v>-19305</v>
      </c>
      <c r="AE35" s="423">
        <f t="shared" si="36"/>
        <v>-21343</v>
      </c>
      <c r="AF35" s="423">
        <f t="shared" si="37"/>
        <v>-23779</v>
      </c>
    </row>
    <row r="36" spans="1:32" outlineLevel="1">
      <c r="A36" s="418" t="s">
        <v>645</v>
      </c>
      <c r="B36" s="418" t="s">
        <v>645</v>
      </c>
      <c r="D36" s="423">
        <v>0</v>
      </c>
      <c r="E36" s="423">
        <v>-30</v>
      </c>
      <c r="F36" s="423">
        <v>-36</v>
      </c>
      <c r="G36" s="423">
        <v>-40</v>
      </c>
      <c r="H36" s="423">
        <v>-5</v>
      </c>
      <c r="I36" s="423">
        <v>-42</v>
      </c>
      <c r="J36" s="423">
        <v>-59</v>
      </c>
      <c r="K36" s="423">
        <v>-101</v>
      </c>
      <c r="L36" s="423">
        <v>-18</v>
      </c>
      <c r="M36" s="423">
        <v>-45</v>
      </c>
      <c r="N36" s="423">
        <v>-60</v>
      </c>
      <c r="O36" s="423">
        <v>-76</v>
      </c>
      <c r="P36" s="423">
        <v>-9</v>
      </c>
      <c r="Q36" s="423">
        <v>-21</v>
      </c>
      <c r="R36" s="423">
        <v>-28</v>
      </c>
      <c r="S36" s="423">
        <v>-33</v>
      </c>
      <c r="T36" s="423">
        <v>-5</v>
      </c>
      <c r="U36" s="423">
        <v>-13</v>
      </c>
      <c r="W36" s="423">
        <f t="shared" si="28"/>
        <v>-18</v>
      </c>
      <c r="X36" s="423">
        <f t="shared" si="29"/>
        <v>-27</v>
      </c>
      <c r="Y36" s="423">
        <f t="shared" si="30"/>
        <v>-15</v>
      </c>
      <c r="Z36" s="423">
        <f t="shared" si="31"/>
        <v>-16</v>
      </c>
      <c r="AA36" s="423">
        <f t="shared" si="32"/>
        <v>-9</v>
      </c>
      <c r="AB36" s="423">
        <f t="shared" si="33"/>
        <v>-12</v>
      </c>
      <c r="AC36" s="423">
        <f t="shared" si="34"/>
        <v>-7</v>
      </c>
      <c r="AD36" s="423">
        <f t="shared" si="35"/>
        <v>-5</v>
      </c>
      <c r="AE36" s="423">
        <f t="shared" si="36"/>
        <v>-5</v>
      </c>
      <c r="AF36" s="423">
        <f t="shared" si="37"/>
        <v>-8</v>
      </c>
    </row>
    <row r="37" spans="1:32" outlineLevel="1">
      <c r="A37" s="418" t="s">
        <v>95</v>
      </c>
      <c r="B37" s="418" t="s">
        <v>96</v>
      </c>
      <c r="D37" s="423">
        <v>0</v>
      </c>
      <c r="E37" s="423">
        <v>0</v>
      </c>
      <c r="F37" s="423">
        <v>0</v>
      </c>
      <c r="G37" s="423">
        <v>-27100</v>
      </c>
      <c r="H37" s="423">
        <v>1107</v>
      </c>
      <c r="I37" s="423">
        <v>-1167</v>
      </c>
      <c r="J37" s="423">
        <v>-1952</v>
      </c>
      <c r="K37" s="423">
        <v>-3177</v>
      </c>
      <c r="L37" s="423">
        <v>-1507</v>
      </c>
      <c r="M37" s="423">
        <v>-5170</v>
      </c>
      <c r="N37" s="423">
        <v>-7906</v>
      </c>
      <c r="O37" s="423">
        <v>-9288</v>
      </c>
      <c r="P37" s="423">
        <v>-1774</v>
      </c>
      <c r="Q37" s="423">
        <v>-5397</v>
      </c>
      <c r="R37" s="423">
        <v>-8140</v>
      </c>
      <c r="S37" s="423">
        <v>-9982</v>
      </c>
      <c r="T37" s="423">
        <v>-2344</v>
      </c>
      <c r="U37" s="423">
        <v>-4637</v>
      </c>
      <c r="W37" s="423">
        <f t="shared" si="28"/>
        <v>-1507</v>
      </c>
      <c r="X37" s="423">
        <f t="shared" si="29"/>
        <v>-3663</v>
      </c>
      <c r="Y37" s="423">
        <f t="shared" si="30"/>
        <v>-2736</v>
      </c>
      <c r="Z37" s="423">
        <f t="shared" si="31"/>
        <v>-1382</v>
      </c>
      <c r="AA37" s="423">
        <f t="shared" si="32"/>
        <v>-1774</v>
      </c>
      <c r="AB37" s="423">
        <f t="shared" si="33"/>
        <v>-3623</v>
      </c>
      <c r="AC37" s="423">
        <f t="shared" si="34"/>
        <v>-2743</v>
      </c>
      <c r="AD37" s="423">
        <f t="shared" si="35"/>
        <v>-1842</v>
      </c>
      <c r="AE37" s="423">
        <f t="shared" si="36"/>
        <v>-2344</v>
      </c>
      <c r="AF37" s="423">
        <f t="shared" si="37"/>
        <v>-2293</v>
      </c>
    </row>
    <row r="38" spans="1:32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</row>
    <row r="39" spans="1:32">
      <c r="A39" s="429" t="s">
        <v>646</v>
      </c>
      <c r="B39" s="429" t="s">
        <v>647</v>
      </c>
      <c r="D39" s="420">
        <f t="shared" ref="D39:I39" si="38">D27+D6</f>
        <v>117352</v>
      </c>
      <c r="E39" s="420">
        <f t="shared" si="38"/>
        <v>530579</v>
      </c>
      <c r="F39" s="420">
        <f>F27+F6</f>
        <v>719737</v>
      </c>
      <c r="G39" s="420">
        <f t="shared" si="38"/>
        <v>1167553</v>
      </c>
      <c r="H39" s="420">
        <f t="shared" si="38"/>
        <v>317899</v>
      </c>
      <c r="I39" s="420">
        <f t="shared" si="38"/>
        <v>693494</v>
      </c>
      <c r="J39" s="420">
        <f t="shared" ref="J39:T39" si="39">J27+J6</f>
        <v>1032152</v>
      </c>
      <c r="K39" s="420">
        <f t="shared" si="39"/>
        <v>1418558</v>
      </c>
      <c r="L39" s="420">
        <f t="shared" si="39"/>
        <v>308607</v>
      </c>
      <c r="M39" s="420">
        <f t="shared" si="39"/>
        <v>728522</v>
      </c>
      <c r="N39" s="420">
        <f t="shared" si="39"/>
        <v>1115590</v>
      </c>
      <c r="O39" s="420">
        <f t="shared" si="39"/>
        <v>1584664</v>
      </c>
      <c r="P39" s="420">
        <f t="shared" si="39"/>
        <v>381988</v>
      </c>
      <c r="Q39" s="420">
        <f t="shared" si="39"/>
        <v>806544</v>
      </c>
      <c r="R39" s="420">
        <f t="shared" si="39"/>
        <v>1335555</v>
      </c>
      <c r="S39" s="420">
        <f t="shared" si="39"/>
        <v>1814074</v>
      </c>
      <c r="T39" s="420">
        <f t="shared" si="39"/>
        <v>475578</v>
      </c>
      <c r="U39" s="741">
        <f>U27+U6</f>
        <v>1017075</v>
      </c>
      <c r="W39" s="420">
        <f t="shared" ref="W39:AC39" si="40">W27+W6</f>
        <v>308607</v>
      </c>
      <c r="X39" s="420">
        <f t="shared" si="40"/>
        <v>419915</v>
      </c>
      <c r="Y39" s="420">
        <f t="shared" si="40"/>
        <v>387068</v>
      </c>
      <c r="Z39" s="420">
        <f t="shared" si="40"/>
        <v>469074</v>
      </c>
      <c r="AA39" s="420">
        <f t="shared" si="40"/>
        <v>381988</v>
      </c>
      <c r="AB39" s="420">
        <f t="shared" si="40"/>
        <v>424556</v>
      </c>
      <c r="AC39" s="420">
        <f t="shared" si="40"/>
        <v>529011</v>
      </c>
      <c r="AD39" s="420">
        <f t="shared" ref="AD39:AE39" si="41">AD27+AD6</f>
        <v>478519</v>
      </c>
      <c r="AE39" s="420">
        <f t="shared" si="41"/>
        <v>475578</v>
      </c>
      <c r="AF39" s="741">
        <f>AF27+AF6</f>
        <v>541497</v>
      </c>
    </row>
    <row r="40" spans="1:32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</row>
    <row r="41" spans="1:32">
      <c r="A41" s="416" t="s">
        <v>648</v>
      </c>
      <c r="B41" s="416" t="s">
        <v>649</v>
      </c>
      <c r="D41" s="424">
        <f t="shared" ref="D41:I41" si="42">SUM(D43:D49)</f>
        <v>-106165</v>
      </c>
      <c r="E41" s="424">
        <f t="shared" si="42"/>
        <v>-339854</v>
      </c>
      <c r="F41" s="424">
        <f>SUM(F43:F49)</f>
        <v>-476561</v>
      </c>
      <c r="G41" s="424">
        <f t="shared" si="42"/>
        <v>-816984</v>
      </c>
      <c r="H41" s="424">
        <f t="shared" si="42"/>
        <v>-246357</v>
      </c>
      <c r="I41" s="424">
        <f t="shared" si="42"/>
        <v>-546355</v>
      </c>
      <c r="J41" s="424">
        <f t="shared" ref="J41:T41" si="43">SUM(J43:J49)</f>
        <v>-791354</v>
      </c>
      <c r="K41" s="424">
        <f t="shared" si="43"/>
        <v>-1042980</v>
      </c>
      <c r="L41" s="424">
        <f t="shared" si="43"/>
        <v>-226168</v>
      </c>
      <c r="M41" s="424">
        <f t="shared" si="43"/>
        <v>-454533</v>
      </c>
      <c r="N41" s="424">
        <f t="shared" si="43"/>
        <v>-686101</v>
      </c>
      <c r="O41" s="424">
        <f t="shared" si="43"/>
        <v>-993636</v>
      </c>
      <c r="P41" s="424">
        <f t="shared" si="43"/>
        <v>-255787</v>
      </c>
      <c r="Q41" s="424">
        <f t="shared" si="43"/>
        <v>-547331</v>
      </c>
      <c r="R41" s="424">
        <f t="shared" si="43"/>
        <v>-945114</v>
      </c>
      <c r="S41" s="424">
        <f t="shared" si="43"/>
        <v>-1291474</v>
      </c>
      <c r="T41" s="424">
        <f t="shared" si="43"/>
        <v>-363733</v>
      </c>
      <c r="U41" s="424">
        <f>SUM(U43:U49)</f>
        <v>-771529</v>
      </c>
      <c r="W41" s="424">
        <f t="shared" ref="W41:AC41" si="44">SUM(W43:W49)</f>
        <v>-226168</v>
      </c>
      <c r="X41" s="424">
        <f t="shared" si="44"/>
        <v>-228365</v>
      </c>
      <c r="Y41" s="424">
        <f t="shared" si="44"/>
        <v>-231568</v>
      </c>
      <c r="Z41" s="424">
        <f t="shared" si="44"/>
        <v>-307535</v>
      </c>
      <c r="AA41" s="424">
        <f t="shared" si="44"/>
        <v>-255787</v>
      </c>
      <c r="AB41" s="424">
        <f t="shared" si="44"/>
        <v>-291544</v>
      </c>
      <c r="AC41" s="424">
        <f t="shared" si="44"/>
        <v>-397783</v>
      </c>
      <c r="AD41" s="424">
        <f t="shared" ref="AD41:AE41" si="45">SUM(AD43:AD49)</f>
        <v>-346360</v>
      </c>
      <c r="AE41" s="424">
        <f t="shared" si="45"/>
        <v>-363733</v>
      </c>
      <c r="AF41" s="424">
        <f>SUM(AF43:AF49)</f>
        <v>-360970</v>
      </c>
    </row>
    <row r="42" spans="1:32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</row>
    <row r="43" spans="1:32">
      <c r="A43" s="417" t="s">
        <v>650</v>
      </c>
      <c r="B43" s="417" t="s">
        <v>651</v>
      </c>
      <c r="D43" s="422">
        <v>-92690</v>
      </c>
      <c r="E43" s="422">
        <v>-252112</v>
      </c>
      <c r="F43" s="422">
        <v>-344583</v>
      </c>
      <c r="G43" s="422">
        <v>-466266</v>
      </c>
      <c r="H43" s="422">
        <v>-123985</v>
      </c>
      <c r="I43" s="422">
        <v>-253601</v>
      </c>
      <c r="J43" s="422">
        <v>-380818</v>
      </c>
      <c r="K43" s="422">
        <v>-518182</v>
      </c>
      <c r="L43" s="422">
        <v>-119744</v>
      </c>
      <c r="M43" s="422">
        <v>-255859</v>
      </c>
      <c r="N43" s="422">
        <v>-405570</v>
      </c>
      <c r="O43" s="422">
        <v>-568531</v>
      </c>
      <c r="P43" s="422">
        <v>-145327</v>
      </c>
      <c r="Q43" s="422">
        <v>-307014</v>
      </c>
      <c r="R43" s="422">
        <v>-560419</v>
      </c>
      <c r="S43" s="422">
        <v>-803125</v>
      </c>
      <c r="T43" s="422">
        <v>-200918</v>
      </c>
      <c r="U43" s="422">
        <v>-426234</v>
      </c>
      <c r="W43" s="422">
        <f>L43</f>
        <v>-119744</v>
      </c>
      <c r="X43" s="422">
        <f>M43-W43</f>
        <v>-136115</v>
      </c>
      <c r="Y43" s="422">
        <f>N43-M43</f>
        <v>-149711</v>
      </c>
      <c r="Z43" s="422">
        <f>O43-N43</f>
        <v>-162961</v>
      </c>
      <c r="AA43" s="422">
        <f>P43</f>
        <v>-145327</v>
      </c>
      <c r="AB43" s="422">
        <f>Q43-P43</f>
        <v>-161687</v>
      </c>
      <c r="AC43" s="422">
        <f>R43-Q43</f>
        <v>-253405</v>
      </c>
      <c r="AD43" s="422">
        <f>S43-R43</f>
        <v>-242706</v>
      </c>
      <c r="AE43" s="422">
        <f>T43</f>
        <v>-200918</v>
      </c>
      <c r="AF43" s="422">
        <f>U43-T43</f>
        <v>-225316</v>
      </c>
    </row>
    <row r="44" spans="1:32">
      <c r="A44" s="417" t="s">
        <v>2498</v>
      </c>
      <c r="B44" s="417" t="s">
        <v>2499</v>
      </c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>
        <v>-46826</v>
      </c>
      <c r="W44" s="422"/>
      <c r="X44" s="422"/>
      <c r="Y44" s="422"/>
      <c r="Z44" s="422"/>
      <c r="AA44" s="422"/>
      <c r="AB44" s="422"/>
      <c r="AC44" s="422"/>
      <c r="AD44" s="422"/>
      <c r="AE44" s="422"/>
      <c r="AF44" s="422"/>
    </row>
    <row r="45" spans="1:32">
      <c r="A45" s="417" t="s">
        <v>652</v>
      </c>
      <c r="B45" s="417" t="s">
        <v>653</v>
      </c>
      <c r="D45" s="422">
        <v>-17244</v>
      </c>
      <c r="E45" s="422">
        <v>-90350</v>
      </c>
      <c r="F45" s="422">
        <v>-165684</v>
      </c>
      <c r="G45" s="422">
        <v>-387911</v>
      </c>
      <c r="H45" s="422">
        <v>-107039</v>
      </c>
      <c r="I45" s="422">
        <v>-256550</v>
      </c>
      <c r="J45" s="422">
        <v>-355405</v>
      </c>
      <c r="K45" s="422">
        <v>-450125</v>
      </c>
      <c r="L45" s="422">
        <v>-87894</v>
      </c>
      <c r="M45" s="422">
        <v>-171564</v>
      </c>
      <c r="N45" s="422">
        <v>-235757</v>
      </c>
      <c r="O45" s="422">
        <v>-349773</v>
      </c>
      <c r="P45" s="422">
        <v>-81678</v>
      </c>
      <c r="Q45" s="422">
        <v>-183462</v>
      </c>
      <c r="R45" s="422">
        <v>-300519</v>
      </c>
      <c r="S45" s="422">
        <v>-367040</v>
      </c>
      <c r="T45" s="422">
        <v>-130779</v>
      </c>
      <c r="U45" s="422">
        <v>-227944</v>
      </c>
      <c r="W45" s="422">
        <f>L45</f>
        <v>-87894</v>
      </c>
      <c r="X45" s="422">
        <f>M45-W45</f>
        <v>-83670</v>
      </c>
      <c r="Y45" s="422">
        <f t="shared" ref="Y45:Z48" si="46">N45-M45</f>
        <v>-64193</v>
      </c>
      <c r="Z45" s="422">
        <f t="shared" si="46"/>
        <v>-114016</v>
      </c>
      <c r="AA45" s="422">
        <f>P45</f>
        <v>-81678</v>
      </c>
      <c r="AB45" s="422">
        <f t="shared" ref="AB45:AD48" si="47">Q45-P45</f>
        <v>-101784</v>
      </c>
      <c r="AC45" s="422">
        <f t="shared" si="47"/>
        <v>-117057</v>
      </c>
      <c r="AD45" s="422">
        <f t="shared" si="47"/>
        <v>-66521</v>
      </c>
      <c r="AE45" s="422">
        <f>T45</f>
        <v>-130779</v>
      </c>
      <c r="AF45" s="422">
        <f>U45-T45</f>
        <v>-97165</v>
      </c>
    </row>
    <row r="46" spans="1:32">
      <c r="A46" s="417" t="s">
        <v>654</v>
      </c>
      <c r="B46" s="417" t="s">
        <v>655</v>
      </c>
      <c r="D46" s="422">
        <v>0</v>
      </c>
      <c r="E46" s="422">
        <v>0</v>
      </c>
      <c r="F46" s="422">
        <v>0</v>
      </c>
      <c r="G46" s="422">
        <v>0</v>
      </c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>
        <v>0</v>
      </c>
      <c r="T46" s="422">
        <v>0</v>
      </c>
      <c r="U46" s="422">
        <v>0</v>
      </c>
      <c r="W46" s="422">
        <f>L46</f>
        <v>0</v>
      </c>
      <c r="X46" s="422">
        <f>M46-W46</f>
        <v>0</v>
      </c>
      <c r="Y46" s="422">
        <f t="shared" si="46"/>
        <v>0</v>
      </c>
      <c r="Z46" s="422">
        <f t="shared" si="46"/>
        <v>0</v>
      </c>
      <c r="AA46" s="422">
        <f>P46</f>
        <v>0</v>
      </c>
      <c r="AB46" s="422">
        <f t="shared" si="47"/>
        <v>0</v>
      </c>
      <c r="AC46" s="422">
        <f t="shared" si="47"/>
        <v>0</v>
      </c>
      <c r="AD46" s="422">
        <f t="shared" si="47"/>
        <v>0</v>
      </c>
      <c r="AE46" s="422">
        <f>T46</f>
        <v>0</v>
      </c>
      <c r="AF46" s="422">
        <f>U46-T46</f>
        <v>0</v>
      </c>
    </row>
    <row r="47" spans="1:32">
      <c r="A47" s="417" t="s">
        <v>656</v>
      </c>
      <c r="B47" s="417" t="s">
        <v>657</v>
      </c>
      <c r="D47" s="422">
        <v>0</v>
      </c>
      <c r="E47" s="422">
        <v>0</v>
      </c>
      <c r="F47" s="422">
        <v>0</v>
      </c>
      <c r="G47" s="422">
        <v>0</v>
      </c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>
        <v>0</v>
      </c>
      <c r="T47" s="422">
        <v>0</v>
      </c>
      <c r="U47" s="422">
        <v>0</v>
      </c>
      <c r="W47" s="422">
        <f>L47</f>
        <v>0</v>
      </c>
      <c r="X47" s="422">
        <f>M47-W47</f>
        <v>0</v>
      </c>
      <c r="Y47" s="422">
        <f t="shared" si="46"/>
        <v>0</v>
      </c>
      <c r="Z47" s="422">
        <f t="shared" si="46"/>
        <v>0</v>
      </c>
      <c r="AA47" s="422">
        <f>P47</f>
        <v>0</v>
      </c>
      <c r="AB47" s="422">
        <f t="shared" si="47"/>
        <v>0</v>
      </c>
      <c r="AC47" s="422">
        <f t="shared" si="47"/>
        <v>0</v>
      </c>
      <c r="AD47" s="422">
        <f t="shared" si="47"/>
        <v>0</v>
      </c>
      <c r="AE47" s="422">
        <f>T47</f>
        <v>0</v>
      </c>
      <c r="AF47" s="422">
        <f>U47-T47</f>
        <v>0</v>
      </c>
    </row>
    <row r="48" spans="1:32">
      <c r="A48" s="417" t="s">
        <v>658</v>
      </c>
      <c r="B48" s="417" t="s">
        <v>659</v>
      </c>
      <c r="D48" s="422">
        <v>0</v>
      </c>
      <c r="E48" s="422">
        <v>0</v>
      </c>
      <c r="F48" s="422">
        <v>0</v>
      </c>
      <c r="G48" s="422">
        <v>0</v>
      </c>
      <c r="H48" s="422">
        <v>0</v>
      </c>
      <c r="I48" s="422">
        <v>0</v>
      </c>
      <c r="J48" s="422">
        <v>0</v>
      </c>
      <c r="K48" s="422">
        <v>0</v>
      </c>
      <c r="L48" s="422">
        <v>0</v>
      </c>
      <c r="M48" s="422">
        <v>0</v>
      </c>
      <c r="N48" s="422">
        <v>0</v>
      </c>
      <c r="O48" s="422">
        <v>0</v>
      </c>
      <c r="P48" s="422">
        <v>0</v>
      </c>
      <c r="Q48" s="422">
        <v>0</v>
      </c>
      <c r="R48" s="422">
        <v>0</v>
      </c>
      <c r="S48" s="422">
        <v>0</v>
      </c>
      <c r="T48" s="422">
        <v>0</v>
      </c>
      <c r="U48" s="422">
        <v>0</v>
      </c>
      <c r="W48" s="422">
        <f>L48</f>
        <v>0</v>
      </c>
      <c r="X48" s="422">
        <f>M48-W48</f>
        <v>0</v>
      </c>
      <c r="Y48" s="422">
        <f t="shared" si="46"/>
        <v>0</v>
      </c>
      <c r="Z48" s="422">
        <f t="shared" si="46"/>
        <v>0</v>
      </c>
      <c r="AA48" s="422">
        <f>P48</f>
        <v>0</v>
      </c>
      <c r="AB48" s="422">
        <f t="shared" si="47"/>
        <v>0</v>
      </c>
      <c r="AC48" s="422">
        <f t="shared" si="47"/>
        <v>0</v>
      </c>
      <c r="AD48" s="422">
        <f t="shared" si="47"/>
        <v>0</v>
      </c>
      <c r="AE48" s="422">
        <f>T48</f>
        <v>0</v>
      </c>
      <c r="AF48" s="422">
        <f>U48-T48</f>
        <v>0</v>
      </c>
    </row>
    <row r="49" spans="1:32">
      <c r="A49" s="417" t="s">
        <v>660</v>
      </c>
      <c r="B49" s="417" t="s">
        <v>661</v>
      </c>
      <c r="D49" s="422">
        <f t="shared" ref="D49:I49" si="48">SUM(D50:D56)</f>
        <v>3769</v>
      </c>
      <c r="E49" s="422">
        <f t="shared" si="48"/>
        <v>2608</v>
      </c>
      <c r="F49" s="422">
        <f>SUM(F50:F56)</f>
        <v>33706</v>
      </c>
      <c r="G49" s="422">
        <f t="shared" si="48"/>
        <v>37193</v>
      </c>
      <c r="H49" s="422">
        <f t="shared" si="48"/>
        <v>-15333</v>
      </c>
      <c r="I49" s="422">
        <f t="shared" si="48"/>
        <v>-36204</v>
      </c>
      <c r="J49" s="422">
        <f t="shared" ref="J49:T49" si="49">SUM(J50:J56)</f>
        <v>-55131</v>
      </c>
      <c r="K49" s="422">
        <f t="shared" si="49"/>
        <v>-74673</v>
      </c>
      <c r="L49" s="422">
        <f t="shared" si="49"/>
        <v>-18530</v>
      </c>
      <c r="M49" s="422">
        <f t="shared" si="49"/>
        <v>-27110</v>
      </c>
      <c r="N49" s="422">
        <f t="shared" si="49"/>
        <v>-44774</v>
      </c>
      <c r="O49" s="422">
        <f t="shared" si="49"/>
        <v>-75332</v>
      </c>
      <c r="P49" s="422">
        <f t="shared" si="49"/>
        <v>-28782</v>
      </c>
      <c r="Q49" s="422">
        <f t="shared" si="49"/>
        <v>-56855</v>
      </c>
      <c r="R49" s="422">
        <f t="shared" si="49"/>
        <v>-84176</v>
      </c>
      <c r="S49" s="422">
        <f t="shared" si="49"/>
        <v>-121309</v>
      </c>
      <c r="T49" s="422">
        <f t="shared" si="49"/>
        <v>-32036</v>
      </c>
      <c r="U49" s="422">
        <f>SUM(U50:U56)</f>
        <v>-70525</v>
      </c>
      <c r="W49" s="422">
        <f t="shared" ref="W49:AC49" si="50">SUM(W50:W56)</f>
        <v>-18530</v>
      </c>
      <c r="X49" s="422">
        <f t="shared" si="50"/>
        <v>-8580</v>
      </c>
      <c r="Y49" s="422">
        <f t="shared" si="50"/>
        <v>-17664</v>
      </c>
      <c r="Z49" s="422">
        <f t="shared" si="50"/>
        <v>-30558</v>
      </c>
      <c r="AA49" s="422">
        <f t="shared" si="50"/>
        <v>-28782</v>
      </c>
      <c r="AB49" s="422">
        <f t="shared" si="50"/>
        <v>-28073</v>
      </c>
      <c r="AC49" s="422">
        <f t="shared" si="50"/>
        <v>-27321</v>
      </c>
      <c r="AD49" s="422">
        <f t="shared" ref="AD49:AE49" si="51">SUM(AD50:AD56)</f>
        <v>-37133</v>
      </c>
      <c r="AE49" s="422">
        <f t="shared" si="51"/>
        <v>-32036</v>
      </c>
      <c r="AF49" s="422">
        <f>SUM(AF50:AF56)</f>
        <v>-38489</v>
      </c>
    </row>
    <row r="50" spans="1:32" outlineLevel="1">
      <c r="A50" s="418" t="s">
        <v>662</v>
      </c>
      <c r="B50" s="418" t="s">
        <v>663</v>
      </c>
      <c r="D50" s="423">
        <v>-23341</v>
      </c>
      <c r="E50" s="423">
        <v>-14200</v>
      </c>
      <c r="F50" s="423">
        <v>-4695</v>
      </c>
      <c r="G50" s="423">
        <v>5268</v>
      </c>
      <c r="H50" s="423">
        <v>-1382</v>
      </c>
      <c r="I50" s="423">
        <v>-2770</v>
      </c>
      <c r="J50" s="423">
        <v>-4575</v>
      </c>
      <c r="K50" s="423">
        <v>-6274</v>
      </c>
      <c r="L50" s="423">
        <v>-2374</v>
      </c>
      <c r="M50" s="423">
        <v>-4934</v>
      </c>
      <c r="N50" s="423">
        <v>-5858</v>
      </c>
      <c r="O50" s="423">
        <v>-8472</v>
      </c>
      <c r="P50" s="423">
        <v>-3819</v>
      </c>
      <c r="Q50" s="423">
        <v>-8643</v>
      </c>
      <c r="R50" s="423">
        <v>-13350</v>
      </c>
      <c r="S50" s="423">
        <v>-18834</v>
      </c>
      <c r="T50" s="423">
        <v>-5984</v>
      </c>
      <c r="U50" s="423">
        <v>-9131</v>
      </c>
      <c r="W50" s="423">
        <f t="shared" ref="W50:W56" si="52">L50</f>
        <v>-2374</v>
      </c>
      <c r="X50" s="423">
        <f t="shared" ref="X50:X56" si="53">M50-W50</f>
        <v>-2560</v>
      </c>
      <c r="Y50" s="423">
        <f t="shared" ref="Y50:Z56" si="54">N50-M50</f>
        <v>-924</v>
      </c>
      <c r="Z50" s="423">
        <f t="shared" si="54"/>
        <v>-2614</v>
      </c>
      <c r="AA50" s="423">
        <f t="shared" ref="AA50:AA56" si="55">P50</f>
        <v>-3819</v>
      </c>
      <c r="AB50" s="423">
        <f t="shared" ref="AB50:AB56" si="56">Q50-AA50</f>
        <v>-4824</v>
      </c>
      <c r="AC50" s="423">
        <f t="shared" ref="AC50:AD56" si="57">R50-Q50</f>
        <v>-4707</v>
      </c>
      <c r="AD50" s="423">
        <f t="shared" si="57"/>
        <v>-5484</v>
      </c>
      <c r="AE50" s="423">
        <f t="shared" ref="AE50:AE56" si="58">T50</f>
        <v>-5984</v>
      </c>
      <c r="AF50" s="423">
        <f t="shared" ref="AF50:AF56" si="59">U50-T50</f>
        <v>-3147</v>
      </c>
    </row>
    <row r="51" spans="1:32" outlineLevel="1">
      <c r="A51" s="418" t="s">
        <v>664</v>
      </c>
      <c r="B51" s="418" t="s">
        <v>665</v>
      </c>
      <c r="D51" s="423">
        <v>-26</v>
      </c>
      <c r="E51" s="423">
        <v>-758</v>
      </c>
      <c r="F51" s="423">
        <v>-1948</v>
      </c>
      <c r="G51" s="423">
        <v>-1152</v>
      </c>
      <c r="H51" s="423">
        <v>-222</v>
      </c>
      <c r="I51" s="423">
        <v>528</v>
      </c>
      <c r="J51" s="423">
        <v>11</v>
      </c>
      <c r="K51" s="423">
        <v>-35</v>
      </c>
      <c r="L51" s="423">
        <v>-255</v>
      </c>
      <c r="M51" s="423">
        <v>-619</v>
      </c>
      <c r="N51" s="423">
        <v>-953</v>
      </c>
      <c r="O51" s="423">
        <v>-2127</v>
      </c>
      <c r="P51" s="423">
        <v>-1698</v>
      </c>
      <c r="Q51" s="423">
        <v>-3187</v>
      </c>
      <c r="R51" s="423">
        <v>-4187</v>
      </c>
      <c r="S51" s="423">
        <v>-5282</v>
      </c>
      <c r="T51" s="423">
        <v>-791</v>
      </c>
      <c r="U51" s="423">
        <v>-1293</v>
      </c>
      <c r="W51" s="423">
        <f t="shared" si="52"/>
        <v>-255</v>
      </c>
      <c r="X51" s="423">
        <f t="shared" si="53"/>
        <v>-364</v>
      </c>
      <c r="Y51" s="423">
        <f t="shared" si="54"/>
        <v>-334</v>
      </c>
      <c r="Z51" s="423">
        <f t="shared" si="54"/>
        <v>-1174</v>
      </c>
      <c r="AA51" s="423">
        <f t="shared" si="55"/>
        <v>-1698</v>
      </c>
      <c r="AB51" s="423">
        <f t="shared" si="56"/>
        <v>-1489</v>
      </c>
      <c r="AC51" s="423">
        <f t="shared" si="57"/>
        <v>-1000</v>
      </c>
      <c r="AD51" s="423">
        <f t="shared" si="57"/>
        <v>-1095</v>
      </c>
      <c r="AE51" s="423">
        <f t="shared" si="58"/>
        <v>-791</v>
      </c>
      <c r="AF51" s="423">
        <f t="shared" si="59"/>
        <v>-502</v>
      </c>
    </row>
    <row r="52" spans="1:32" outlineLevel="1">
      <c r="A52" s="418" t="s">
        <v>666</v>
      </c>
      <c r="B52" s="418" t="s">
        <v>667</v>
      </c>
      <c r="D52" s="423">
        <v>-2589</v>
      </c>
      <c r="E52" s="423">
        <v>-3667</v>
      </c>
      <c r="F52" s="423">
        <v>43873</v>
      </c>
      <c r="G52" s="423">
        <v>39463</v>
      </c>
      <c r="H52" s="423">
        <v>-5824</v>
      </c>
      <c r="I52" s="423">
        <v>-13190</v>
      </c>
      <c r="J52" s="423">
        <v>-18691</v>
      </c>
      <c r="K52" s="423">
        <v>-26400</v>
      </c>
      <c r="L52" s="423">
        <v>-5619</v>
      </c>
      <c r="M52" s="423">
        <v>-15029</v>
      </c>
      <c r="N52" s="423">
        <v>-13463</v>
      </c>
      <c r="O52" s="423">
        <v>-20375</v>
      </c>
      <c r="P52" s="423">
        <v>-6302</v>
      </c>
      <c r="Q52" s="423">
        <v>-11541</v>
      </c>
      <c r="R52" s="423">
        <v>-18050</v>
      </c>
      <c r="S52" s="423">
        <v>-24294</v>
      </c>
      <c r="T52" s="423">
        <v>-3660</v>
      </c>
      <c r="U52" s="423">
        <v>-5975</v>
      </c>
      <c r="W52" s="423">
        <f t="shared" si="52"/>
        <v>-5619</v>
      </c>
      <c r="X52" s="423">
        <f t="shared" si="53"/>
        <v>-9410</v>
      </c>
      <c r="Y52" s="423">
        <f t="shared" si="54"/>
        <v>1566</v>
      </c>
      <c r="Z52" s="423">
        <f t="shared" si="54"/>
        <v>-6912</v>
      </c>
      <c r="AA52" s="423">
        <f t="shared" si="55"/>
        <v>-6302</v>
      </c>
      <c r="AB52" s="423">
        <f t="shared" si="56"/>
        <v>-5239</v>
      </c>
      <c r="AC52" s="423">
        <f t="shared" si="57"/>
        <v>-6509</v>
      </c>
      <c r="AD52" s="423">
        <f t="shared" si="57"/>
        <v>-6244</v>
      </c>
      <c r="AE52" s="423">
        <f t="shared" si="58"/>
        <v>-3660</v>
      </c>
      <c r="AF52" s="423">
        <f t="shared" si="59"/>
        <v>-2315</v>
      </c>
    </row>
    <row r="53" spans="1:32" outlineLevel="1">
      <c r="A53" s="418" t="s">
        <v>668</v>
      </c>
      <c r="B53" s="418" t="s">
        <v>669</v>
      </c>
      <c r="D53" s="423">
        <v>-4214</v>
      </c>
      <c r="E53" s="423">
        <v>-9438</v>
      </c>
      <c r="F53" s="423">
        <v>-14263</v>
      </c>
      <c r="G53" s="423">
        <v>-20771</v>
      </c>
      <c r="H53" s="423">
        <v>-5069</v>
      </c>
      <c r="I53" s="423">
        <v>-14951</v>
      </c>
      <c r="J53" s="423">
        <v>-22732</v>
      </c>
      <c r="K53" s="423">
        <v>-29475</v>
      </c>
      <c r="L53" s="423">
        <v>-9211</v>
      </c>
      <c r="M53" s="423">
        <v>-6407</v>
      </c>
      <c r="N53" s="423">
        <v>-17012</v>
      </c>
      <c r="O53" s="423">
        <v>-26821</v>
      </c>
      <c r="P53" s="423">
        <v>-13360</v>
      </c>
      <c r="Q53" s="423">
        <v>-25950</v>
      </c>
      <c r="R53" s="423">
        <v>-40857</v>
      </c>
      <c r="S53" s="423">
        <v>-56627</v>
      </c>
      <c r="T53" s="423">
        <v>-15987</v>
      </c>
      <c r="U53" s="423">
        <v>-41922</v>
      </c>
      <c r="W53" s="423">
        <f t="shared" si="52"/>
        <v>-9211</v>
      </c>
      <c r="X53" s="423">
        <f t="shared" si="53"/>
        <v>2804</v>
      </c>
      <c r="Y53" s="423">
        <f t="shared" si="54"/>
        <v>-10605</v>
      </c>
      <c r="Z53" s="423">
        <f t="shared" si="54"/>
        <v>-9809</v>
      </c>
      <c r="AA53" s="423">
        <f t="shared" si="55"/>
        <v>-13360</v>
      </c>
      <c r="AB53" s="423">
        <f t="shared" si="56"/>
        <v>-12590</v>
      </c>
      <c r="AC53" s="423">
        <f t="shared" si="57"/>
        <v>-14907</v>
      </c>
      <c r="AD53" s="423">
        <f t="shared" si="57"/>
        <v>-15770</v>
      </c>
      <c r="AE53" s="423">
        <f t="shared" si="58"/>
        <v>-15987</v>
      </c>
      <c r="AF53" s="423">
        <f t="shared" si="59"/>
        <v>-25935</v>
      </c>
    </row>
    <row r="54" spans="1:32" outlineLevel="1">
      <c r="A54" s="418" t="s">
        <v>670</v>
      </c>
      <c r="B54" s="418" t="s">
        <v>671</v>
      </c>
      <c r="D54" s="423">
        <v>34348</v>
      </c>
      <c r="E54" s="423">
        <v>30675</v>
      </c>
      <c r="F54" s="423">
        <v>10706</v>
      </c>
      <c r="G54" s="423">
        <v>14361</v>
      </c>
      <c r="H54" s="423">
        <v>-2808</v>
      </c>
      <c r="I54" s="423">
        <v>-5803</v>
      </c>
      <c r="J54" s="423">
        <v>-9124</v>
      </c>
      <c r="K54" s="423">
        <v>-12720</v>
      </c>
      <c r="L54" s="423">
        <v>-966</v>
      </c>
      <c r="M54" s="423">
        <v>8</v>
      </c>
      <c r="N54" s="423">
        <v>-7228</v>
      </c>
      <c r="O54" s="423">
        <v>-17300</v>
      </c>
      <c r="P54" s="423">
        <v>-3384</v>
      </c>
      <c r="Q54" s="423">
        <v>-6976</v>
      </c>
      <c r="R54" s="423">
        <v>-7119</v>
      </c>
      <c r="S54" s="423">
        <v>-15677</v>
      </c>
      <c r="T54" s="423">
        <v>-5246</v>
      </c>
      <c r="U54" s="423">
        <v>-11899</v>
      </c>
      <c r="W54" s="423">
        <f t="shared" si="52"/>
        <v>-966</v>
      </c>
      <c r="X54" s="423">
        <f t="shared" si="53"/>
        <v>974</v>
      </c>
      <c r="Y54" s="423">
        <f t="shared" si="54"/>
        <v>-7236</v>
      </c>
      <c r="Z54" s="423">
        <f t="shared" si="54"/>
        <v>-10072</v>
      </c>
      <c r="AA54" s="423">
        <f t="shared" si="55"/>
        <v>-3384</v>
      </c>
      <c r="AB54" s="423">
        <f t="shared" si="56"/>
        <v>-3592</v>
      </c>
      <c r="AC54" s="423">
        <f t="shared" si="57"/>
        <v>-143</v>
      </c>
      <c r="AD54" s="423">
        <f t="shared" si="57"/>
        <v>-8558</v>
      </c>
      <c r="AE54" s="423">
        <f t="shared" si="58"/>
        <v>-5246</v>
      </c>
      <c r="AF54" s="423">
        <f t="shared" si="59"/>
        <v>-6653</v>
      </c>
    </row>
    <row r="55" spans="1:32" outlineLevel="1">
      <c r="A55" s="418" t="s">
        <v>672</v>
      </c>
      <c r="B55" s="418" t="s">
        <v>673</v>
      </c>
      <c r="D55" s="423">
        <v>0</v>
      </c>
      <c r="E55" s="423">
        <v>0</v>
      </c>
      <c r="F55" s="423">
        <v>-2</v>
      </c>
      <c r="G55" s="423">
        <v>-10</v>
      </c>
      <c r="H55" s="423">
        <v>-35</v>
      </c>
      <c r="I55" s="423">
        <v>-88</v>
      </c>
      <c r="J55" s="423">
        <v>-126</v>
      </c>
      <c r="K55" s="423">
        <v>-611</v>
      </c>
      <c r="L55" s="423">
        <v>-30</v>
      </c>
      <c r="M55" s="423">
        <v>-65</v>
      </c>
      <c r="N55" s="423">
        <v>-106</v>
      </c>
      <c r="O55" s="423">
        <v>-172</v>
      </c>
      <c r="P55" s="423">
        <v>-155</v>
      </c>
      <c r="Q55" s="423">
        <v>-383</v>
      </c>
      <c r="R55" s="423">
        <v>-535</v>
      </c>
      <c r="S55" s="423">
        <v>-686</v>
      </c>
      <c r="T55" s="423">
        <v>-116</v>
      </c>
      <c r="U55" s="423">
        <v>-89</v>
      </c>
      <c r="W55" s="423">
        <f t="shared" si="52"/>
        <v>-30</v>
      </c>
      <c r="X55" s="423">
        <f t="shared" si="53"/>
        <v>-35</v>
      </c>
      <c r="Y55" s="423">
        <f t="shared" si="54"/>
        <v>-41</v>
      </c>
      <c r="Z55" s="423">
        <f t="shared" si="54"/>
        <v>-66</v>
      </c>
      <c r="AA55" s="423">
        <f t="shared" si="55"/>
        <v>-155</v>
      </c>
      <c r="AB55" s="423">
        <f t="shared" si="56"/>
        <v>-228</v>
      </c>
      <c r="AC55" s="423">
        <f t="shared" si="57"/>
        <v>-152</v>
      </c>
      <c r="AD55" s="423">
        <f t="shared" si="57"/>
        <v>-151</v>
      </c>
      <c r="AE55" s="423">
        <f t="shared" si="58"/>
        <v>-116</v>
      </c>
      <c r="AF55" s="423">
        <f t="shared" si="59"/>
        <v>27</v>
      </c>
    </row>
    <row r="56" spans="1:32" outlineLevel="1">
      <c r="A56" s="418" t="s">
        <v>674</v>
      </c>
      <c r="B56" s="418" t="s">
        <v>675</v>
      </c>
      <c r="D56" s="423">
        <v>-409</v>
      </c>
      <c r="E56" s="423">
        <v>-4</v>
      </c>
      <c r="F56" s="423">
        <v>35</v>
      </c>
      <c r="G56" s="423">
        <v>34</v>
      </c>
      <c r="H56" s="423">
        <v>7</v>
      </c>
      <c r="I56" s="423">
        <v>70</v>
      </c>
      <c r="J56" s="423">
        <v>106</v>
      </c>
      <c r="K56" s="423">
        <v>842</v>
      </c>
      <c r="L56" s="423">
        <v>-75</v>
      </c>
      <c r="M56" s="423">
        <v>-64</v>
      </c>
      <c r="N56" s="423">
        <v>-154</v>
      </c>
      <c r="O56" s="423">
        <v>-65</v>
      </c>
      <c r="P56" s="423">
        <v>-64</v>
      </c>
      <c r="Q56" s="423">
        <v>-175</v>
      </c>
      <c r="R56" s="423">
        <v>-78</v>
      </c>
      <c r="S56" s="423">
        <v>91</v>
      </c>
      <c r="T56" s="423">
        <v>-252</v>
      </c>
      <c r="U56" s="423">
        <v>-216</v>
      </c>
      <c r="W56" s="423">
        <f t="shared" si="52"/>
        <v>-75</v>
      </c>
      <c r="X56" s="423">
        <f t="shared" si="53"/>
        <v>11</v>
      </c>
      <c r="Y56" s="423">
        <f t="shared" si="54"/>
        <v>-90</v>
      </c>
      <c r="Z56" s="423">
        <f t="shared" si="54"/>
        <v>89</v>
      </c>
      <c r="AA56" s="423">
        <f t="shared" si="55"/>
        <v>-64</v>
      </c>
      <c r="AB56" s="423">
        <f t="shared" si="56"/>
        <v>-111</v>
      </c>
      <c r="AC56" s="423">
        <f t="shared" si="57"/>
        <v>97</v>
      </c>
      <c r="AD56" s="423">
        <f t="shared" si="57"/>
        <v>169</v>
      </c>
      <c r="AE56" s="423">
        <f t="shared" si="58"/>
        <v>-252</v>
      </c>
      <c r="AF56" s="423">
        <f t="shared" si="59"/>
        <v>36</v>
      </c>
    </row>
    <row r="57" spans="1:32">
      <c r="A57" s="417"/>
      <c r="B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</row>
    <row r="58" spans="1:32">
      <c r="A58" s="429" t="s">
        <v>676</v>
      </c>
      <c r="B58" s="429" t="s">
        <v>677</v>
      </c>
      <c r="D58" s="420">
        <f t="shared" ref="D58:I58" si="60">D39+D41</f>
        <v>11187</v>
      </c>
      <c r="E58" s="420">
        <f t="shared" si="60"/>
        <v>190725</v>
      </c>
      <c r="F58" s="420">
        <f>F39+F41</f>
        <v>243176</v>
      </c>
      <c r="G58" s="420">
        <f t="shared" si="60"/>
        <v>350569</v>
      </c>
      <c r="H58" s="420">
        <f t="shared" si="60"/>
        <v>71542</v>
      </c>
      <c r="I58" s="420">
        <f t="shared" si="60"/>
        <v>147139</v>
      </c>
      <c r="J58" s="420">
        <f t="shared" ref="J58:Q58" si="61">J39+J41</f>
        <v>240798</v>
      </c>
      <c r="K58" s="420">
        <f t="shared" si="61"/>
        <v>375578</v>
      </c>
      <c r="L58" s="420">
        <f t="shared" si="61"/>
        <v>82439</v>
      </c>
      <c r="M58" s="420">
        <f t="shared" si="61"/>
        <v>273989</v>
      </c>
      <c r="N58" s="420">
        <f t="shared" si="61"/>
        <v>429489</v>
      </c>
      <c r="O58" s="420">
        <f t="shared" si="61"/>
        <v>591028</v>
      </c>
      <c r="P58" s="420">
        <f t="shared" si="61"/>
        <v>126201</v>
      </c>
      <c r="Q58" s="420">
        <f t="shared" si="61"/>
        <v>259213</v>
      </c>
      <c r="R58" s="420">
        <f t="shared" ref="R58:T58" si="62">R39+R41</f>
        <v>390441</v>
      </c>
      <c r="S58" s="420">
        <f t="shared" si="62"/>
        <v>522600</v>
      </c>
      <c r="T58" s="420">
        <f t="shared" si="62"/>
        <v>111845</v>
      </c>
      <c r="U58" s="741">
        <f>U39+U41</f>
        <v>245546</v>
      </c>
      <c r="W58" s="420">
        <f t="shared" ref="W58:AC58" si="63">W39+W41</f>
        <v>82439</v>
      </c>
      <c r="X58" s="420">
        <f t="shared" si="63"/>
        <v>191550</v>
      </c>
      <c r="Y58" s="420">
        <f t="shared" si="63"/>
        <v>155500</v>
      </c>
      <c r="Z58" s="420">
        <f t="shared" si="63"/>
        <v>161539</v>
      </c>
      <c r="AA58" s="420">
        <f t="shared" si="63"/>
        <v>126201</v>
      </c>
      <c r="AB58" s="420">
        <f t="shared" si="63"/>
        <v>133012</v>
      </c>
      <c r="AC58" s="420">
        <f t="shared" si="63"/>
        <v>131228</v>
      </c>
      <c r="AD58" s="420">
        <f t="shared" ref="AD58:AE58" si="64">AD39+AD41</f>
        <v>132159</v>
      </c>
      <c r="AE58" s="420">
        <f t="shared" si="64"/>
        <v>111845</v>
      </c>
      <c r="AF58" s="741">
        <f>AF39+AF41</f>
        <v>180527</v>
      </c>
    </row>
    <row r="59" spans="1:32">
      <c r="A59" s="417"/>
      <c r="B59" s="417"/>
      <c r="D59" s="417"/>
      <c r="E59" s="417"/>
      <c r="F59" s="417"/>
      <c r="G59" s="417"/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</row>
    <row r="60" spans="1:32">
      <c r="A60" s="416" t="s">
        <v>678</v>
      </c>
      <c r="B60" s="416" t="s">
        <v>679</v>
      </c>
      <c r="D60" s="424">
        <f t="shared" ref="D60:I60" si="65">D62+D68+D69+D78+D79</f>
        <v>-9450</v>
      </c>
      <c r="E60" s="424">
        <f t="shared" si="65"/>
        <v>-25468</v>
      </c>
      <c r="F60" s="424">
        <f>F62+F68+F69+F78+F79</f>
        <v>-62895</v>
      </c>
      <c r="G60" s="424">
        <f t="shared" si="65"/>
        <v>-114235</v>
      </c>
      <c r="H60" s="424">
        <f t="shared" si="65"/>
        <v>-29393</v>
      </c>
      <c r="I60" s="424">
        <f t="shared" si="65"/>
        <v>-66432</v>
      </c>
      <c r="J60" s="424">
        <f t="shared" ref="J60:Q60" si="66">J62+J68+J69+J78+J79</f>
        <v>-91242</v>
      </c>
      <c r="K60" s="424">
        <f t="shared" si="66"/>
        <v>-145220</v>
      </c>
      <c r="L60" s="424">
        <f t="shared" si="66"/>
        <v>-37674</v>
      </c>
      <c r="M60" s="424">
        <f t="shared" si="66"/>
        <v>-68316</v>
      </c>
      <c r="N60" s="424">
        <f t="shared" si="66"/>
        <v>-109587</v>
      </c>
      <c r="O60" s="424">
        <f t="shared" si="66"/>
        <v>-131712</v>
      </c>
      <c r="P60" s="424">
        <f t="shared" si="66"/>
        <v>-39335</v>
      </c>
      <c r="Q60" s="424">
        <f t="shared" si="66"/>
        <v>-79391</v>
      </c>
      <c r="R60" s="424">
        <f t="shared" ref="R60:T60" si="67">R62+R68+R69+R78+R79</f>
        <v>-122481</v>
      </c>
      <c r="S60" s="424">
        <f t="shared" si="67"/>
        <v>-165521</v>
      </c>
      <c r="T60" s="424">
        <f t="shared" si="67"/>
        <v>-35227</v>
      </c>
      <c r="U60" s="424">
        <f>U62+U68+U69+U78+U79</f>
        <v>-84835</v>
      </c>
      <c r="W60" s="424">
        <f t="shared" ref="W60:AC60" si="68">W62+W68+W69+W78+W79</f>
        <v>-37674</v>
      </c>
      <c r="X60" s="424">
        <f t="shared" si="68"/>
        <v>-30642</v>
      </c>
      <c r="Y60" s="424">
        <f t="shared" si="68"/>
        <v>-41271</v>
      </c>
      <c r="Z60" s="424">
        <f t="shared" si="68"/>
        <v>-22125</v>
      </c>
      <c r="AA60" s="424">
        <f t="shared" si="68"/>
        <v>-39335</v>
      </c>
      <c r="AB60" s="424">
        <f t="shared" si="68"/>
        <v>-40055</v>
      </c>
      <c r="AC60" s="424">
        <f t="shared" si="68"/>
        <v>-43091</v>
      </c>
      <c r="AD60" s="424">
        <f t="shared" ref="AD60:AE60" si="69">AD62+AD68+AD69+AD78+AD79</f>
        <v>-43040</v>
      </c>
      <c r="AE60" s="424">
        <f t="shared" si="69"/>
        <v>-35227</v>
      </c>
      <c r="AF60" s="424">
        <f>AF62+AF68+AF69+AF78+AF79</f>
        <v>-49608</v>
      </c>
    </row>
    <row r="61" spans="1:32">
      <c r="A61" s="416"/>
      <c r="B61" s="416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W61" s="421"/>
      <c r="X61" s="421"/>
      <c r="Y61" s="421"/>
      <c r="Z61" s="421"/>
      <c r="AA61" s="421"/>
      <c r="AB61" s="421"/>
      <c r="AC61" s="421"/>
      <c r="AD61" s="421"/>
      <c r="AE61" s="421"/>
      <c r="AF61" s="421"/>
    </row>
    <row r="62" spans="1:32">
      <c r="A62" s="419" t="s">
        <v>680</v>
      </c>
      <c r="B62" s="419" t="s">
        <v>681</v>
      </c>
      <c r="D62" s="422">
        <f t="shared" ref="D62:I62" si="70">SUM(D63:D67)</f>
        <v>-4650</v>
      </c>
      <c r="E62" s="422">
        <f t="shared" si="70"/>
        <v>-36309</v>
      </c>
      <c r="F62" s="422">
        <f>SUM(F63:F67)</f>
        <v>-38800</v>
      </c>
      <c r="G62" s="422">
        <f t="shared" si="70"/>
        <v>-44109</v>
      </c>
      <c r="H62" s="422">
        <f t="shared" si="70"/>
        <v>-15557</v>
      </c>
      <c r="I62" s="422">
        <f t="shared" si="70"/>
        <v>-25261</v>
      </c>
      <c r="J62" s="422">
        <f t="shared" ref="J62:T62" si="71">SUM(J63:J67)</f>
        <v>-37463</v>
      </c>
      <c r="K62" s="422">
        <f t="shared" si="71"/>
        <v>-52053</v>
      </c>
      <c r="L62" s="422">
        <f t="shared" si="71"/>
        <v>-13782</v>
      </c>
      <c r="M62" s="422">
        <f t="shared" si="71"/>
        <v>-28629</v>
      </c>
      <c r="N62" s="422">
        <f t="shared" si="71"/>
        <v>-41083</v>
      </c>
      <c r="O62" s="422">
        <f t="shared" si="71"/>
        <v>-61867</v>
      </c>
      <c r="P62" s="422">
        <f t="shared" si="71"/>
        <v>-14323</v>
      </c>
      <c r="Q62" s="422">
        <f t="shared" si="71"/>
        <v>-25203</v>
      </c>
      <c r="R62" s="422">
        <f t="shared" si="71"/>
        <v>-33188</v>
      </c>
      <c r="S62" s="422">
        <f t="shared" si="71"/>
        <v>-43709</v>
      </c>
      <c r="T62" s="422">
        <f t="shared" si="71"/>
        <v>-7657</v>
      </c>
      <c r="U62" s="422">
        <f>SUM(U63:U67)</f>
        <v>-16996</v>
      </c>
      <c r="W62" s="422">
        <f t="shared" ref="W62:AC62" si="72">SUM(W63:W67)</f>
        <v>-13782</v>
      </c>
      <c r="X62" s="422">
        <f t="shared" si="72"/>
        <v>-14847</v>
      </c>
      <c r="Y62" s="422">
        <f t="shared" si="72"/>
        <v>-12454</v>
      </c>
      <c r="Z62" s="422">
        <f t="shared" si="72"/>
        <v>-20784</v>
      </c>
      <c r="AA62" s="422">
        <f t="shared" si="72"/>
        <v>-14323</v>
      </c>
      <c r="AB62" s="422">
        <f t="shared" si="72"/>
        <v>-10880</v>
      </c>
      <c r="AC62" s="422">
        <f t="shared" si="72"/>
        <v>-7985</v>
      </c>
      <c r="AD62" s="422">
        <f t="shared" ref="AD62:AE62" si="73">SUM(AD63:AD67)</f>
        <v>-10521</v>
      </c>
      <c r="AE62" s="422">
        <f t="shared" si="73"/>
        <v>-7657</v>
      </c>
      <c r="AF62" s="422">
        <f>SUM(AF63:AF67)</f>
        <v>-9339</v>
      </c>
    </row>
    <row r="63" spans="1:32" outlineLevel="1">
      <c r="A63" s="418" t="s">
        <v>682</v>
      </c>
      <c r="B63" s="418" t="s">
        <v>683</v>
      </c>
      <c r="D63" s="423">
        <v>-3681</v>
      </c>
      <c r="E63" s="423">
        <v>-18574</v>
      </c>
      <c r="F63" s="423">
        <v>-17791</v>
      </c>
      <c r="G63" s="423">
        <v>-11806</v>
      </c>
      <c r="H63" s="423">
        <v>-2634</v>
      </c>
      <c r="I63" s="423">
        <v>-4783</v>
      </c>
      <c r="J63" s="423">
        <v>-6760</v>
      </c>
      <c r="K63" s="423">
        <v>-8686</v>
      </c>
      <c r="L63" s="423">
        <v>-2427</v>
      </c>
      <c r="M63" s="423">
        <v>-4591</v>
      </c>
      <c r="N63" s="423">
        <v>-4972</v>
      </c>
      <c r="O63" s="423">
        <v>-6877</v>
      </c>
      <c r="P63" s="423">
        <v>-2214</v>
      </c>
      <c r="Q63" s="423">
        <v>-4468</v>
      </c>
      <c r="R63" s="423">
        <v>-5934</v>
      </c>
      <c r="S63" s="423">
        <v>-6759</v>
      </c>
      <c r="T63" s="423">
        <v>-1557</v>
      </c>
      <c r="U63" s="423">
        <v>-3567</v>
      </c>
      <c r="W63" s="423">
        <f t="shared" ref="W63:W68" si="74">L63</f>
        <v>-2427</v>
      </c>
      <c r="X63" s="423">
        <f t="shared" ref="X63:X68" si="75">M63-W63</f>
        <v>-2164</v>
      </c>
      <c r="Y63" s="423">
        <f t="shared" ref="Y63:Z68" si="76">N63-M63</f>
        <v>-381</v>
      </c>
      <c r="Z63" s="423">
        <f t="shared" si="76"/>
        <v>-1905</v>
      </c>
      <c r="AA63" s="423">
        <f t="shared" ref="AA63:AA68" si="77">P63</f>
        <v>-2214</v>
      </c>
      <c r="AB63" s="423">
        <f t="shared" ref="AB63:AB68" si="78">Q63-AA63</f>
        <v>-2254</v>
      </c>
      <c r="AC63" s="423">
        <f t="shared" ref="AC63:AD68" si="79">R63-Q63</f>
        <v>-1466</v>
      </c>
      <c r="AD63" s="423">
        <f t="shared" si="79"/>
        <v>-825</v>
      </c>
      <c r="AE63" s="423">
        <f t="shared" ref="AE63:AE68" si="80">T63</f>
        <v>-1557</v>
      </c>
      <c r="AF63" s="423">
        <f t="shared" ref="AF63:AF68" si="81">U63-T63</f>
        <v>-2010</v>
      </c>
    </row>
    <row r="64" spans="1:32" outlineLevel="1">
      <c r="A64" s="418" t="s">
        <v>684</v>
      </c>
      <c r="B64" s="418" t="s">
        <v>685</v>
      </c>
      <c r="D64" s="423">
        <v>-33</v>
      </c>
      <c r="E64" s="423">
        <v>-558</v>
      </c>
      <c r="F64" s="423">
        <v>-1296</v>
      </c>
      <c r="G64" s="423">
        <v>-2028</v>
      </c>
      <c r="H64" s="423">
        <v>-704</v>
      </c>
      <c r="I64" s="423">
        <v>-1328</v>
      </c>
      <c r="J64" s="423">
        <v>-1569</v>
      </c>
      <c r="K64" s="423">
        <v>-2009</v>
      </c>
      <c r="L64" s="423">
        <v>-153</v>
      </c>
      <c r="M64" s="423">
        <v>-599</v>
      </c>
      <c r="N64" s="423">
        <v>-1036</v>
      </c>
      <c r="O64" s="423">
        <v>-1601</v>
      </c>
      <c r="P64" s="423">
        <v>-800</v>
      </c>
      <c r="Q64" s="423">
        <v>-1264</v>
      </c>
      <c r="R64" s="423">
        <v>-1493</v>
      </c>
      <c r="S64" s="423">
        <v>-1958</v>
      </c>
      <c r="T64" s="423">
        <v>-356</v>
      </c>
      <c r="U64" s="423">
        <v>-841</v>
      </c>
      <c r="W64" s="423">
        <f t="shared" si="74"/>
        <v>-153</v>
      </c>
      <c r="X64" s="423">
        <f t="shared" si="75"/>
        <v>-446</v>
      </c>
      <c r="Y64" s="423">
        <f t="shared" si="76"/>
        <v>-437</v>
      </c>
      <c r="Z64" s="423">
        <f t="shared" si="76"/>
        <v>-565</v>
      </c>
      <c r="AA64" s="423">
        <f t="shared" si="77"/>
        <v>-800</v>
      </c>
      <c r="AB64" s="423">
        <f t="shared" si="78"/>
        <v>-464</v>
      </c>
      <c r="AC64" s="423">
        <f t="shared" si="79"/>
        <v>-229</v>
      </c>
      <c r="AD64" s="423">
        <f t="shared" si="79"/>
        <v>-465</v>
      </c>
      <c r="AE64" s="423">
        <f t="shared" si="80"/>
        <v>-356</v>
      </c>
      <c r="AF64" s="423">
        <f t="shared" si="81"/>
        <v>-485</v>
      </c>
    </row>
    <row r="65" spans="1:32" outlineLevel="1">
      <c r="A65" s="418" t="s">
        <v>686</v>
      </c>
      <c r="B65" s="418" t="s">
        <v>687</v>
      </c>
      <c r="D65" s="423">
        <v>-936</v>
      </c>
      <c r="E65" s="423">
        <v>-17354</v>
      </c>
      <c r="F65" s="423">
        <v>-19724</v>
      </c>
      <c r="G65" s="423">
        <v>-30226</v>
      </c>
      <c r="H65" s="423">
        <v>-11994</v>
      </c>
      <c r="I65" s="423">
        <v>-18715</v>
      </c>
      <c r="J65" s="423">
        <v>-28544</v>
      </c>
      <c r="K65" s="423">
        <v>-40550</v>
      </c>
      <c r="L65" s="423">
        <v>-10916</v>
      </c>
      <c r="M65" s="423">
        <v>-22903</v>
      </c>
      <c r="N65" s="423">
        <v>-34348</v>
      </c>
      <c r="O65" s="423">
        <v>-51982</v>
      </c>
      <c r="P65" s="423">
        <v>-10970</v>
      </c>
      <c r="Q65" s="423">
        <v>-18940</v>
      </c>
      <c r="R65" s="423">
        <v>-25012</v>
      </c>
      <c r="S65" s="423">
        <v>-34068</v>
      </c>
      <c r="T65" s="423">
        <v>-5526</v>
      </c>
      <c r="U65" s="423">
        <v>-12397</v>
      </c>
      <c r="W65" s="423">
        <f t="shared" si="74"/>
        <v>-10916</v>
      </c>
      <c r="X65" s="423">
        <f t="shared" si="75"/>
        <v>-11987</v>
      </c>
      <c r="Y65" s="423">
        <f t="shared" si="76"/>
        <v>-11445</v>
      </c>
      <c r="Z65" s="423">
        <f t="shared" si="76"/>
        <v>-17634</v>
      </c>
      <c r="AA65" s="423">
        <f t="shared" si="77"/>
        <v>-10970</v>
      </c>
      <c r="AB65" s="423">
        <f t="shared" si="78"/>
        <v>-7970</v>
      </c>
      <c r="AC65" s="423">
        <f t="shared" si="79"/>
        <v>-6072</v>
      </c>
      <c r="AD65" s="423">
        <f t="shared" si="79"/>
        <v>-9056</v>
      </c>
      <c r="AE65" s="423">
        <f t="shared" si="80"/>
        <v>-5526</v>
      </c>
      <c r="AF65" s="423">
        <f t="shared" si="81"/>
        <v>-6871</v>
      </c>
    </row>
    <row r="66" spans="1:32" outlineLevel="1">
      <c r="A66" s="418" t="s">
        <v>688</v>
      </c>
      <c r="B66" s="418" t="s">
        <v>689</v>
      </c>
      <c r="D66" s="423">
        <v>0</v>
      </c>
      <c r="E66" s="423">
        <v>0</v>
      </c>
      <c r="F66" s="423">
        <v>-2</v>
      </c>
      <c r="G66" s="423">
        <v>-3</v>
      </c>
      <c r="H66" s="423">
        <v>-75</v>
      </c>
      <c r="I66" s="423">
        <v>-206</v>
      </c>
      <c r="J66" s="423">
        <v>-295</v>
      </c>
      <c r="K66" s="423">
        <v>-520</v>
      </c>
      <c r="L66" s="423">
        <v>-167</v>
      </c>
      <c r="M66" s="423">
        <v>-332</v>
      </c>
      <c r="N66" s="423">
        <v>-466</v>
      </c>
      <c r="O66" s="423">
        <v>-653</v>
      </c>
      <c r="P66" s="423">
        <v>-196</v>
      </c>
      <c r="Q66" s="423">
        <v>-376</v>
      </c>
      <c r="R66" s="423">
        <v>-541</v>
      </c>
      <c r="S66" s="423">
        <v>-724</v>
      </c>
      <c r="T66" s="423">
        <v>-197</v>
      </c>
      <c r="U66" s="423">
        <v>-233</v>
      </c>
      <c r="W66" s="423">
        <f t="shared" si="74"/>
        <v>-167</v>
      </c>
      <c r="X66" s="423">
        <f t="shared" si="75"/>
        <v>-165</v>
      </c>
      <c r="Y66" s="423">
        <f t="shared" si="76"/>
        <v>-134</v>
      </c>
      <c r="Z66" s="423">
        <f t="shared" si="76"/>
        <v>-187</v>
      </c>
      <c r="AA66" s="423">
        <f t="shared" si="77"/>
        <v>-196</v>
      </c>
      <c r="AB66" s="423">
        <f t="shared" si="78"/>
        <v>-180</v>
      </c>
      <c r="AC66" s="423">
        <f t="shared" si="79"/>
        <v>-165</v>
      </c>
      <c r="AD66" s="423">
        <f t="shared" si="79"/>
        <v>-183</v>
      </c>
      <c r="AE66" s="423">
        <f t="shared" si="80"/>
        <v>-197</v>
      </c>
      <c r="AF66" s="423">
        <f t="shared" si="81"/>
        <v>-36</v>
      </c>
    </row>
    <row r="67" spans="1:32" outlineLevel="1">
      <c r="A67" s="418" t="s">
        <v>690</v>
      </c>
      <c r="B67" s="418" t="s">
        <v>691</v>
      </c>
      <c r="D67" s="423">
        <v>0</v>
      </c>
      <c r="E67" s="423">
        <v>177</v>
      </c>
      <c r="F67" s="423">
        <v>13</v>
      </c>
      <c r="G67" s="423">
        <v>-46</v>
      </c>
      <c r="H67" s="423">
        <v>-150</v>
      </c>
      <c r="I67" s="423">
        <v>-229</v>
      </c>
      <c r="J67" s="423">
        <v>-295</v>
      </c>
      <c r="K67" s="423">
        <v>-288</v>
      </c>
      <c r="L67" s="423">
        <v>-119</v>
      </c>
      <c r="M67" s="423">
        <v>-204</v>
      </c>
      <c r="N67" s="423">
        <v>-261</v>
      </c>
      <c r="O67" s="423">
        <v>-754</v>
      </c>
      <c r="P67" s="423">
        <v>-143</v>
      </c>
      <c r="Q67" s="423">
        <v>-155</v>
      </c>
      <c r="R67" s="423">
        <v>-208</v>
      </c>
      <c r="S67" s="423">
        <v>-200</v>
      </c>
      <c r="T67" s="423">
        <v>-21</v>
      </c>
      <c r="U67" s="423">
        <v>42</v>
      </c>
      <c r="W67" s="423">
        <f t="shared" si="74"/>
        <v>-119</v>
      </c>
      <c r="X67" s="423">
        <f t="shared" si="75"/>
        <v>-85</v>
      </c>
      <c r="Y67" s="423">
        <f t="shared" si="76"/>
        <v>-57</v>
      </c>
      <c r="Z67" s="423">
        <f t="shared" si="76"/>
        <v>-493</v>
      </c>
      <c r="AA67" s="423">
        <f t="shared" si="77"/>
        <v>-143</v>
      </c>
      <c r="AB67" s="423">
        <f t="shared" si="78"/>
        <v>-12</v>
      </c>
      <c r="AC67" s="423">
        <f t="shared" si="79"/>
        <v>-53</v>
      </c>
      <c r="AD67" s="423">
        <f t="shared" si="79"/>
        <v>8</v>
      </c>
      <c r="AE67" s="423">
        <f t="shared" si="80"/>
        <v>-21</v>
      </c>
      <c r="AF67" s="423">
        <f t="shared" si="81"/>
        <v>63</v>
      </c>
    </row>
    <row r="68" spans="1:32">
      <c r="A68" s="417" t="s">
        <v>692</v>
      </c>
      <c r="B68" s="417" t="s">
        <v>693</v>
      </c>
      <c r="D68" s="425">
        <v>8274</v>
      </c>
      <c r="E68" s="425">
        <v>15065</v>
      </c>
      <c r="F68" s="425">
        <v>22983</v>
      </c>
      <c r="G68" s="425">
        <v>45447</v>
      </c>
      <c r="H68" s="425">
        <v>3307</v>
      </c>
      <c r="I68" s="425">
        <v>-17537</v>
      </c>
      <c r="J68" s="425">
        <v>-26440</v>
      </c>
      <c r="K68" s="425">
        <v>-259462</v>
      </c>
      <c r="L68" s="425">
        <v>-6340</v>
      </c>
      <c r="M68" s="425">
        <v>-10276</v>
      </c>
      <c r="N68" s="425">
        <v>-17725</v>
      </c>
      <c r="O68" s="425">
        <v>1284</v>
      </c>
      <c r="P68" s="425">
        <v>-6918</v>
      </c>
      <c r="Q68" s="425">
        <v>-8986</v>
      </c>
      <c r="R68" s="425">
        <v>-1370</v>
      </c>
      <c r="S68" s="425">
        <v>21799</v>
      </c>
      <c r="T68" s="425">
        <v>-2646</v>
      </c>
      <c r="U68" s="756">
        <v>-2970</v>
      </c>
      <c r="W68" s="425">
        <f t="shared" si="74"/>
        <v>-6340</v>
      </c>
      <c r="X68" s="425">
        <f t="shared" si="75"/>
        <v>-3936</v>
      </c>
      <c r="Y68" s="425">
        <f t="shared" si="76"/>
        <v>-7449</v>
      </c>
      <c r="Z68" s="425">
        <f t="shared" si="76"/>
        <v>19009</v>
      </c>
      <c r="AA68" s="425">
        <f t="shared" si="77"/>
        <v>-6918</v>
      </c>
      <c r="AB68" s="425">
        <f t="shared" si="78"/>
        <v>-2068</v>
      </c>
      <c r="AC68" s="425">
        <f t="shared" si="79"/>
        <v>7616</v>
      </c>
      <c r="AD68" s="425">
        <f t="shared" si="79"/>
        <v>23169</v>
      </c>
      <c r="AE68" s="425">
        <f t="shared" si="80"/>
        <v>-2646</v>
      </c>
      <c r="AF68" s="756">
        <f t="shared" si="81"/>
        <v>-324</v>
      </c>
    </row>
    <row r="69" spans="1:32">
      <c r="A69" s="417" t="s">
        <v>694</v>
      </c>
      <c r="B69" s="417" t="s">
        <v>695</v>
      </c>
      <c r="D69" s="422">
        <f t="shared" ref="D69:I69" si="82">SUM(D70:D77)</f>
        <v>-12526</v>
      </c>
      <c r="E69" s="422">
        <f t="shared" si="82"/>
        <v>-4044</v>
      </c>
      <c r="F69" s="422">
        <f>SUM(F70:F77)</f>
        <v>-12126</v>
      </c>
      <c r="G69" s="422">
        <f t="shared" si="82"/>
        <v>-70831</v>
      </c>
      <c r="H69" s="422">
        <f t="shared" si="82"/>
        <v>-14836</v>
      </c>
      <c r="I69" s="422">
        <f t="shared" si="82"/>
        <v>-22197</v>
      </c>
      <c r="J69" s="422">
        <f t="shared" ref="J69:T69" si="83">SUM(J70:J77)</f>
        <v>-37107</v>
      </c>
      <c r="K69" s="422">
        <f t="shared" si="83"/>
        <v>-47390</v>
      </c>
      <c r="L69" s="422">
        <f t="shared" si="83"/>
        <v>-12668</v>
      </c>
      <c r="M69" s="422">
        <f t="shared" si="83"/>
        <v>-24631</v>
      </c>
      <c r="N69" s="422">
        <f t="shared" si="83"/>
        <v>-39347</v>
      </c>
      <c r="O69" s="422">
        <f t="shared" si="83"/>
        <v>-49613</v>
      </c>
      <c r="P69" s="422">
        <f t="shared" si="83"/>
        <v>-11012</v>
      </c>
      <c r="Q69" s="422">
        <f t="shared" si="83"/>
        <v>-28051</v>
      </c>
      <c r="R69" s="422">
        <f t="shared" si="83"/>
        <v>-51807</v>
      </c>
      <c r="S69" s="422">
        <f t="shared" si="83"/>
        <v>-72634</v>
      </c>
      <c r="T69" s="422">
        <f t="shared" si="83"/>
        <v>-20080</v>
      </c>
      <c r="U69" s="422">
        <f>SUM(U70:U77)</f>
        <v>-43738</v>
      </c>
      <c r="W69" s="422">
        <f t="shared" ref="W69:AC69" si="84">SUM(W70:W77)</f>
        <v>-12668</v>
      </c>
      <c r="X69" s="422">
        <f t="shared" si="84"/>
        <v>-11963</v>
      </c>
      <c r="Y69" s="422">
        <f t="shared" si="84"/>
        <v>-14716</v>
      </c>
      <c r="Z69" s="422">
        <f t="shared" si="84"/>
        <v>-10266</v>
      </c>
      <c r="AA69" s="422">
        <f t="shared" si="84"/>
        <v>-11012</v>
      </c>
      <c r="AB69" s="422">
        <f t="shared" si="84"/>
        <v>-17039</v>
      </c>
      <c r="AC69" s="422">
        <f t="shared" si="84"/>
        <v>-23756</v>
      </c>
      <c r="AD69" s="422">
        <f t="shared" ref="AD69:AE69" si="85">SUM(AD70:AD77)</f>
        <v>-20827</v>
      </c>
      <c r="AE69" s="422">
        <f t="shared" si="85"/>
        <v>-20080</v>
      </c>
      <c r="AF69" s="422">
        <f>SUM(AF70:AF77)</f>
        <v>-23658</v>
      </c>
    </row>
    <row r="70" spans="1:32" outlineLevel="1">
      <c r="A70" s="418" t="s">
        <v>696</v>
      </c>
      <c r="B70" s="418" t="s">
        <v>697</v>
      </c>
      <c r="D70" s="423">
        <v>-9181</v>
      </c>
      <c r="E70" s="423">
        <v>-6397</v>
      </c>
      <c r="F70" s="423">
        <v>-4944</v>
      </c>
      <c r="G70" s="423">
        <v>-29522</v>
      </c>
      <c r="H70" s="423">
        <v>-4742</v>
      </c>
      <c r="I70" s="423">
        <v>-10734</v>
      </c>
      <c r="J70" s="423">
        <v>-14373</v>
      </c>
      <c r="K70" s="423">
        <v>-19854</v>
      </c>
      <c r="L70" s="423">
        <v>-5054</v>
      </c>
      <c r="M70" s="423">
        <v>-9278</v>
      </c>
      <c r="N70" s="423">
        <v>-13457</v>
      </c>
      <c r="O70" s="423">
        <v>-18402</v>
      </c>
      <c r="P70" s="423">
        <v>-4034</v>
      </c>
      <c r="Q70" s="423">
        <v>-10771</v>
      </c>
      <c r="R70" s="423">
        <v>-16684</v>
      </c>
      <c r="S70" s="423">
        <v>-25468</v>
      </c>
      <c r="T70" s="423">
        <v>-9466</v>
      </c>
      <c r="U70" s="423">
        <v>-17441</v>
      </c>
      <c r="W70" s="423">
        <f t="shared" ref="W70:W78" si="86">L70</f>
        <v>-5054</v>
      </c>
      <c r="X70" s="423">
        <f t="shared" ref="X70:X78" si="87">M70-W70</f>
        <v>-4224</v>
      </c>
      <c r="Y70" s="423">
        <f t="shared" ref="Y70:Y78" si="88">N70-M70</f>
        <v>-4179</v>
      </c>
      <c r="Z70" s="423">
        <f t="shared" ref="Z70:Z78" si="89">O70-N70</f>
        <v>-4945</v>
      </c>
      <c r="AA70" s="423">
        <f t="shared" ref="AA70:AA78" si="90">P70</f>
        <v>-4034</v>
      </c>
      <c r="AB70" s="423">
        <f t="shared" ref="AB70:AB78" si="91">Q70-AA70</f>
        <v>-6737</v>
      </c>
      <c r="AC70" s="423">
        <f t="shared" ref="AC70:AC78" si="92">R70-Q70</f>
        <v>-5913</v>
      </c>
      <c r="AD70" s="423">
        <f t="shared" ref="AD70:AD78" si="93">S70-R70</f>
        <v>-8784</v>
      </c>
      <c r="AE70" s="423">
        <f t="shared" ref="AE70:AE78" si="94">T70</f>
        <v>-9466</v>
      </c>
      <c r="AF70" s="423">
        <f t="shared" ref="AF70:AF78" si="95">U70-T70</f>
        <v>-7975</v>
      </c>
    </row>
    <row r="71" spans="1:32" outlineLevel="1">
      <c r="A71" s="418" t="s">
        <v>698</v>
      </c>
      <c r="B71" s="418" t="s">
        <v>699</v>
      </c>
      <c r="D71" s="423">
        <v>-72</v>
      </c>
      <c r="E71" s="423">
        <v>-449</v>
      </c>
      <c r="F71" s="423">
        <v>-1313</v>
      </c>
      <c r="G71" s="423">
        <v>-1891</v>
      </c>
      <c r="H71" s="423">
        <v>-116</v>
      </c>
      <c r="I71" s="423">
        <v>335</v>
      </c>
      <c r="J71" s="423">
        <v>1242</v>
      </c>
      <c r="K71" s="423">
        <v>359</v>
      </c>
      <c r="L71" s="423">
        <v>264</v>
      </c>
      <c r="M71" s="423">
        <v>361</v>
      </c>
      <c r="N71" s="423">
        <v>-396</v>
      </c>
      <c r="O71" s="423">
        <v>-562</v>
      </c>
      <c r="P71" s="423">
        <v>-110</v>
      </c>
      <c r="Q71" s="423">
        <v>-265</v>
      </c>
      <c r="R71" s="423">
        <v>-488</v>
      </c>
      <c r="S71" s="423">
        <v>-751</v>
      </c>
      <c r="T71" s="423">
        <v>-141</v>
      </c>
      <c r="U71" s="423">
        <v>-418</v>
      </c>
      <c r="W71" s="423">
        <f t="shared" si="86"/>
        <v>264</v>
      </c>
      <c r="X71" s="423">
        <f t="shared" si="87"/>
        <v>97</v>
      </c>
      <c r="Y71" s="423">
        <f t="shared" si="88"/>
        <v>-757</v>
      </c>
      <c r="Z71" s="423">
        <f t="shared" si="89"/>
        <v>-166</v>
      </c>
      <c r="AA71" s="423">
        <f t="shared" si="90"/>
        <v>-110</v>
      </c>
      <c r="AB71" s="423">
        <f t="shared" si="91"/>
        <v>-155</v>
      </c>
      <c r="AC71" s="423">
        <f t="shared" si="92"/>
        <v>-223</v>
      </c>
      <c r="AD71" s="423">
        <f t="shared" si="93"/>
        <v>-263</v>
      </c>
      <c r="AE71" s="423">
        <f t="shared" si="94"/>
        <v>-141</v>
      </c>
      <c r="AF71" s="423">
        <f t="shared" si="95"/>
        <v>-277</v>
      </c>
    </row>
    <row r="72" spans="1:32" outlineLevel="1">
      <c r="A72" s="418" t="s">
        <v>700</v>
      </c>
      <c r="B72" s="418" t="s">
        <v>701</v>
      </c>
      <c r="D72" s="423">
        <v>-4759</v>
      </c>
      <c r="E72" s="423">
        <v>-7935</v>
      </c>
      <c r="F72" s="423">
        <v>-18494</v>
      </c>
      <c r="G72" s="423">
        <v>-25483</v>
      </c>
      <c r="H72" s="423">
        <v>-8663</v>
      </c>
      <c r="I72" s="423">
        <v>-17372</v>
      </c>
      <c r="J72" s="423">
        <v>-27150</v>
      </c>
      <c r="K72" s="423">
        <v>-32744</v>
      </c>
      <c r="L72" s="423">
        <v>-8566</v>
      </c>
      <c r="M72" s="423">
        <v>-13191</v>
      </c>
      <c r="N72" s="423">
        <v>-22380</v>
      </c>
      <c r="O72" s="423">
        <v>-23131</v>
      </c>
      <c r="P72" s="423">
        <v>-4534</v>
      </c>
      <c r="Q72" s="423">
        <v>-12200</v>
      </c>
      <c r="R72" s="423">
        <v>-24334</v>
      </c>
      <c r="S72" s="423">
        <v>-30328</v>
      </c>
      <c r="T72" s="423">
        <v>-4045</v>
      </c>
      <c r="U72" s="423">
        <v>-10443</v>
      </c>
      <c r="W72" s="423">
        <f t="shared" si="86"/>
        <v>-8566</v>
      </c>
      <c r="X72" s="423">
        <f t="shared" si="87"/>
        <v>-4625</v>
      </c>
      <c r="Y72" s="423">
        <f t="shared" si="88"/>
        <v>-9189</v>
      </c>
      <c r="Z72" s="423">
        <f t="shared" si="89"/>
        <v>-751</v>
      </c>
      <c r="AA72" s="423">
        <f t="shared" si="90"/>
        <v>-4534</v>
      </c>
      <c r="AB72" s="423">
        <f t="shared" si="91"/>
        <v>-7666</v>
      </c>
      <c r="AC72" s="423">
        <f t="shared" si="92"/>
        <v>-12134</v>
      </c>
      <c r="AD72" s="423">
        <f t="shared" si="93"/>
        <v>-5994</v>
      </c>
      <c r="AE72" s="423">
        <f t="shared" si="94"/>
        <v>-4045</v>
      </c>
      <c r="AF72" s="423">
        <f t="shared" si="95"/>
        <v>-6398</v>
      </c>
    </row>
    <row r="73" spans="1:32" outlineLevel="1">
      <c r="A73" s="418" t="s">
        <v>702</v>
      </c>
      <c r="B73" s="418" t="s">
        <v>703</v>
      </c>
      <c r="D73" s="423">
        <v>319</v>
      </c>
      <c r="E73" s="423">
        <v>292</v>
      </c>
      <c r="F73" s="423">
        <v>277</v>
      </c>
      <c r="G73" s="423">
        <v>-85</v>
      </c>
      <c r="H73" s="423">
        <v>-206</v>
      </c>
      <c r="I73" s="423">
        <v>-367</v>
      </c>
      <c r="J73" s="423">
        <v>-492</v>
      </c>
      <c r="K73" s="423">
        <v>-297</v>
      </c>
      <c r="L73" s="423">
        <v>-18</v>
      </c>
      <c r="M73" s="423">
        <v>-35</v>
      </c>
      <c r="N73" s="423">
        <v>-52</v>
      </c>
      <c r="O73" s="423">
        <v>-73</v>
      </c>
      <c r="P73" s="423">
        <v>-27</v>
      </c>
      <c r="Q73" s="423">
        <v>-38</v>
      </c>
      <c r="R73" s="423">
        <v>-64</v>
      </c>
      <c r="S73" s="423">
        <v>-77</v>
      </c>
      <c r="T73" s="423">
        <v>-5</v>
      </c>
      <c r="U73" s="423">
        <v>-282</v>
      </c>
      <c r="W73" s="423">
        <f t="shared" si="86"/>
        <v>-18</v>
      </c>
      <c r="X73" s="423">
        <f t="shared" si="87"/>
        <v>-17</v>
      </c>
      <c r="Y73" s="423">
        <f t="shared" si="88"/>
        <v>-17</v>
      </c>
      <c r="Z73" s="423">
        <f t="shared" si="89"/>
        <v>-21</v>
      </c>
      <c r="AA73" s="423">
        <f t="shared" si="90"/>
        <v>-27</v>
      </c>
      <c r="AB73" s="423">
        <f t="shared" si="91"/>
        <v>-11</v>
      </c>
      <c r="AC73" s="423">
        <f t="shared" si="92"/>
        <v>-26</v>
      </c>
      <c r="AD73" s="423">
        <f t="shared" si="93"/>
        <v>-13</v>
      </c>
      <c r="AE73" s="423">
        <f t="shared" si="94"/>
        <v>-5</v>
      </c>
      <c r="AF73" s="423">
        <f t="shared" si="95"/>
        <v>-277</v>
      </c>
    </row>
    <row r="74" spans="1:32" outlineLevel="1">
      <c r="A74" s="418" t="s">
        <v>704</v>
      </c>
      <c r="B74" s="418" t="s">
        <v>705</v>
      </c>
      <c r="D74" s="423">
        <v>320</v>
      </c>
      <c r="E74" s="423">
        <v>-704</v>
      </c>
      <c r="F74" s="423">
        <v>3453</v>
      </c>
      <c r="G74" s="423">
        <v>4028</v>
      </c>
      <c r="H74" s="423">
        <v>269</v>
      </c>
      <c r="I74" s="423">
        <v>1175</v>
      </c>
      <c r="J74" s="423">
        <v>1631</v>
      </c>
      <c r="K74" s="423">
        <v>2404</v>
      </c>
      <c r="L74" s="423">
        <v>2385</v>
      </c>
      <c r="M74" s="423">
        <v>1212</v>
      </c>
      <c r="N74" s="423">
        <v>666</v>
      </c>
      <c r="O74" s="423">
        <v>914</v>
      </c>
      <c r="P74" s="423">
        <v>-211</v>
      </c>
      <c r="Q74" s="423">
        <v>482</v>
      </c>
      <c r="R74" s="423">
        <v>-23</v>
      </c>
      <c r="S74" s="423">
        <v>-524</v>
      </c>
      <c r="T74" s="423">
        <v>-587</v>
      </c>
      <c r="U74" s="423">
        <v>-1032</v>
      </c>
      <c r="W74" s="423">
        <f t="shared" si="86"/>
        <v>2385</v>
      </c>
      <c r="X74" s="423">
        <f t="shared" si="87"/>
        <v>-1173</v>
      </c>
      <c r="Y74" s="423">
        <f t="shared" si="88"/>
        <v>-546</v>
      </c>
      <c r="Z74" s="423">
        <f t="shared" si="89"/>
        <v>248</v>
      </c>
      <c r="AA74" s="423">
        <f t="shared" si="90"/>
        <v>-211</v>
      </c>
      <c r="AB74" s="423">
        <f t="shared" si="91"/>
        <v>693</v>
      </c>
      <c r="AC74" s="423">
        <f t="shared" si="92"/>
        <v>-505</v>
      </c>
      <c r="AD74" s="423">
        <f t="shared" si="93"/>
        <v>-501</v>
      </c>
      <c r="AE74" s="423">
        <f t="shared" si="94"/>
        <v>-587</v>
      </c>
      <c r="AF74" s="423">
        <f t="shared" si="95"/>
        <v>-445</v>
      </c>
    </row>
    <row r="75" spans="1:32" outlineLevel="1">
      <c r="A75" s="418" t="s">
        <v>706</v>
      </c>
      <c r="B75" s="418" t="s">
        <v>707</v>
      </c>
      <c r="D75" s="423">
        <v>1425</v>
      </c>
      <c r="E75" s="423">
        <v>11377</v>
      </c>
      <c r="F75" s="423">
        <v>9379</v>
      </c>
      <c r="G75" s="423">
        <v>-14942</v>
      </c>
      <c r="H75" s="423">
        <v>-729</v>
      </c>
      <c r="I75" s="423">
        <v>6066</v>
      </c>
      <c r="J75" s="423">
        <v>4792</v>
      </c>
      <c r="K75" s="423">
        <v>6721</v>
      </c>
      <c r="L75" s="423">
        <v>-758</v>
      </c>
      <c r="M75" s="423">
        <v>-1860</v>
      </c>
      <c r="N75" s="423">
        <v>-970</v>
      </c>
      <c r="O75" s="423">
        <v>-1362</v>
      </c>
      <c r="P75" s="423">
        <v>-383</v>
      </c>
      <c r="Q75" s="423">
        <v>-442</v>
      </c>
      <c r="R75" s="423">
        <v>-630</v>
      </c>
      <c r="S75" s="423">
        <v>-774</v>
      </c>
      <c r="T75" s="423">
        <v>-759</v>
      </c>
      <c r="U75" s="423">
        <v>-1924</v>
      </c>
      <c r="W75" s="423">
        <f t="shared" si="86"/>
        <v>-758</v>
      </c>
      <c r="X75" s="423">
        <f t="shared" si="87"/>
        <v>-1102</v>
      </c>
      <c r="Y75" s="423">
        <f t="shared" si="88"/>
        <v>890</v>
      </c>
      <c r="Z75" s="423">
        <f t="shared" si="89"/>
        <v>-392</v>
      </c>
      <c r="AA75" s="423">
        <f t="shared" si="90"/>
        <v>-383</v>
      </c>
      <c r="AB75" s="423">
        <f t="shared" si="91"/>
        <v>-59</v>
      </c>
      <c r="AC75" s="423">
        <f t="shared" si="92"/>
        <v>-188</v>
      </c>
      <c r="AD75" s="423">
        <f t="shared" si="93"/>
        <v>-144</v>
      </c>
      <c r="AE75" s="423">
        <f t="shared" si="94"/>
        <v>-759</v>
      </c>
      <c r="AF75" s="423">
        <f t="shared" si="95"/>
        <v>-1165</v>
      </c>
    </row>
    <row r="76" spans="1:32" outlineLevel="1">
      <c r="A76" s="418" t="s">
        <v>708</v>
      </c>
      <c r="B76" s="418" t="s">
        <v>709</v>
      </c>
      <c r="D76" s="423">
        <v>-578</v>
      </c>
      <c r="E76" s="423">
        <v>-228</v>
      </c>
      <c r="F76" s="423">
        <v>-484</v>
      </c>
      <c r="G76" s="423">
        <v>-2936</v>
      </c>
      <c r="H76" s="423">
        <v>-649</v>
      </c>
      <c r="I76" s="423">
        <v>-1300</v>
      </c>
      <c r="J76" s="423">
        <v>-2757</v>
      </c>
      <c r="K76" s="423">
        <v>-3979</v>
      </c>
      <c r="L76" s="423">
        <v>-921</v>
      </c>
      <c r="M76" s="423">
        <v>-1840</v>
      </c>
      <c r="N76" s="423">
        <v>-2758</v>
      </c>
      <c r="O76" s="423">
        <v>-6997</v>
      </c>
      <c r="P76" s="423">
        <v>-1713</v>
      </c>
      <c r="Q76" s="423">
        <v>-4817</v>
      </c>
      <c r="R76" s="423">
        <v>-9584</v>
      </c>
      <c r="S76" s="423">
        <v>-14712</v>
      </c>
      <c r="T76" s="423">
        <v>-5077</v>
      </c>
      <c r="U76" s="423">
        <v>-12198</v>
      </c>
      <c r="W76" s="423">
        <f t="shared" si="86"/>
        <v>-921</v>
      </c>
      <c r="X76" s="423">
        <f t="shared" si="87"/>
        <v>-919</v>
      </c>
      <c r="Y76" s="423">
        <f t="shared" si="88"/>
        <v>-918</v>
      </c>
      <c r="Z76" s="423">
        <f t="shared" si="89"/>
        <v>-4239</v>
      </c>
      <c r="AA76" s="423">
        <f t="shared" si="90"/>
        <v>-1713</v>
      </c>
      <c r="AB76" s="423">
        <f t="shared" si="91"/>
        <v>-3104</v>
      </c>
      <c r="AC76" s="423">
        <f t="shared" si="92"/>
        <v>-4767</v>
      </c>
      <c r="AD76" s="423">
        <f t="shared" si="93"/>
        <v>-5128</v>
      </c>
      <c r="AE76" s="423">
        <f t="shared" si="94"/>
        <v>-5077</v>
      </c>
      <c r="AF76" s="423">
        <f t="shared" si="95"/>
        <v>-7121</v>
      </c>
    </row>
    <row r="77" spans="1:32" outlineLevel="1">
      <c r="A77" s="418" t="s">
        <v>710</v>
      </c>
      <c r="B77" s="418" t="s">
        <v>711</v>
      </c>
      <c r="D77" s="423">
        <v>0</v>
      </c>
      <c r="E77" s="423">
        <v>0</v>
      </c>
      <c r="F77" s="423">
        <v>0</v>
      </c>
      <c r="G77" s="423">
        <v>0</v>
      </c>
      <c r="H77" s="423">
        <v>0</v>
      </c>
      <c r="I77" s="423">
        <v>0</v>
      </c>
      <c r="J77" s="423">
        <v>0</v>
      </c>
      <c r="K77" s="423">
        <v>0</v>
      </c>
      <c r="L77" s="423">
        <v>0</v>
      </c>
      <c r="M77" s="423">
        <v>0</v>
      </c>
      <c r="N77" s="423">
        <v>0</v>
      </c>
      <c r="O77" s="423">
        <v>0</v>
      </c>
      <c r="P77" s="423">
        <v>0</v>
      </c>
      <c r="Q77" s="423">
        <v>0</v>
      </c>
      <c r="R77" s="423">
        <v>0</v>
      </c>
      <c r="S77" s="423">
        <v>0</v>
      </c>
      <c r="T77" s="423">
        <v>0</v>
      </c>
      <c r="U77" s="423">
        <v>0</v>
      </c>
      <c r="W77" s="423">
        <f t="shared" si="86"/>
        <v>0</v>
      </c>
      <c r="X77" s="423">
        <f t="shared" si="87"/>
        <v>0</v>
      </c>
      <c r="Y77" s="423">
        <f t="shared" si="88"/>
        <v>0</v>
      </c>
      <c r="Z77" s="423">
        <f t="shared" si="89"/>
        <v>0</v>
      </c>
      <c r="AA77" s="423">
        <f t="shared" si="90"/>
        <v>0</v>
      </c>
      <c r="AB77" s="423">
        <f t="shared" si="91"/>
        <v>0</v>
      </c>
      <c r="AC77" s="423">
        <f t="shared" si="92"/>
        <v>0</v>
      </c>
      <c r="AD77" s="423">
        <f t="shared" si="93"/>
        <v>0</v>
      </c>
      <c r="AE77" s="423">
        <f t="shared" si="94"/>
        <v>0</v>
      </c>
      <c r="AF77" s="423">
        <f t="shared" si="95"/>
        <v>0</v>
      </c>
    </row>
    <row r="78" spans="1:32">
      <c r="A78" s="417" t="s">
        <v>712</v>
      </c>
      <c r="B78" s="417" t="s">
        <v>713</v>
      </c>
      <c r="D78" s="422">
        <v>0</v>
      </c>
      <c r="E78" s="422">
        <v>0</v>
      </c>
      <c r="F78" s="422">
        <v>0</v>
      </c>
      <c r="G78" s="422">
        <v>0</v>
      </c>
      <c r="H78" s="422">
        <v>0</v>
      </c>
      <c r="I78" s="422">
        <v>0</v>
      </c>
      <c r="J78" s="422">
        <v>0</v>
      </c>
      <c r="K78" s="422"/>
      <c r="L78" s="422"/>
      <c r="M78" s="422"/>
      <c r="N78" s="422">
        <v>0</v>
      </c>
      <c r="O78" s="422">
        <v>0</v>
      </c>
      <c r="P78" s="422">
        <v>0</v>
      </c>
      <c r="Q78" s="422">
        <v>0</v>
      </c>
      <c r="R78" s="422">
        <v>0</v>
      </c>
      <c r="S78" s="422">
        <v>0</v>
      </c>
      <c r="T78" s="422">
        <v>0</v>
      </c>
      <c r="U78" s="422">
        <v>0</v>
      </c>
      <c r="W78" s="422">
        <f t="shared" si="86"/>
        <v>0</v>
      </c>
      <c r="X78" s="422">
        <f t="shared" si="87"/>
        <v>0</v>
      </c>
      <c r="Y78" s="422">
        <f t="shared" si="88"/>
        <v>0</v>
      </c>
      <c r="Z78" s="422">
        <f t="shared" si="89"/>
        <v>0</v>
      </c>
      <c r="AA78" s="422">
        <f t="shared" si="90"/>
        <v>0</v>
      </c>
      <c r="AB78" s="422">
        <f t="shared" si="91"/>
        <v>0</v>
      </c>
      <c r="AC78" s="422">
        <f t="shared" si="92"/>
        <v>0</v>
      </c>
      <c r="AD78" s="422">
        <f t="shared" si="93"/>
        <v>0</v>
      </c>
      <c r="AE78" s="422">
        <f t="shared" si="94"/>
        <v>0</v>
      </c>
      <c r="AF78" s="422">
        <f t="shared" si="95"/>
        <v>0</v>
      </c>
    </row>
    <row r="79" spans="1:32">
      <c r="A79" s="417" t="s">
        <v>714</v>
      </c>
      <c r="B79" s="417" t="s">
        <v>715</v>
      </c>
      <c r="D79" s="422">
        <f t="shared" ref="D79:J79" si="96">SUM(D80:D82)</f>
        <v>-548</v>
      </c>
      <c r="E79" s="422">
        <f t="shared" si="96"/>
        <v>-180</v>
      </c>
      <c r="F79" s="422">
        <f t="shared" si="96"/>
        <v>-34952</v>
      </c>
      <c r="G79" s="422">
        <f t="shared" si="96"/>
        <v>-44742</v>
      </c>
      <c r="H79" s="422">
        <f t="shared" si="96"/>
        <v>-2307</v>
      </c>
      <c r="I79" s="422">
        <f t="shared" si="96"/>
        <v>-1437</v>
      </c>
      <c r="J79" s="422">
        <f t="shared" si="96"/>
        <v>9768</v>
      </c>
      <c r="K79" s="422">
        <f t="shared" ref="K79:P79" si="97">SUM(K80:K82)</f>
        <v>213685</v>
      </c>
      <c r="L79" s="422">
        <f t="shared" si="97"/>
        <v>-4884</v>
      </c>
      <c r="M79" s="422">
        <f t="shared" si="97"/>
        <v>-4780</v>
      </c>
      <c r="N79" s="422">
        <f t="shared" si="97"/>
        <v>-11432</v>
      </c>
      <c r="O79" s="422">
        <f t="shared" si="97"/>
        <v>-21516</v>
      </c>
      <c r="P79" s="422">
        <f t="shared" si="97"/>
        <v>-7082</v>
      </c>
      <c r="Q79" s="422">
        <f>SUM(Q80:Q82)-1</f>
        <v>-17151</v>
      </c>
      <c r="R79" s="422">
        <f>SUM(R80:R82)</f>
        <v>-36116</v>
      </c>
      <c r="S79" s="422">
        <f>SUM(S80:S82)</f>
        <v>-70977</v>
      </c>
      <c r="T79" s="422">
        <f>SUM(T80:T82)</f>
        <v>-4844</v>
      </c>
      <c r="U79" s="422">
        <f>SUM(U80:U82)</f>
        <v>-21131</v>
      </c>
      <c r="W79" s="422">
        <f t="shared" ref="W79:AB79" si="98">SUM(W80:W82)</f>
        <v>-4884</v>
      </c>
      <c r="X79" s="422">
        <f t="shared" si="98"/>
        <v>104</v>
      </c>
      <c r="Y79" s="422">
        <f t="shared" si="98"/>
        <v>-6652</v>
      </c>
      <c r="Z79" s="422">
        <f t="shared" si="98"/>
        <v>-10084</v>
      </c>
      <c r="AA79" s="422">
        <f t="shared" si="98"/>
        <v>-7082</v>
      </c>
      <c r="AB79" s="422">
        <f t="shared" si="98"/>
        <v>-10068</v>
      </c>
      <c r="AC79" s="422">
        <f t="shared" ref="AC79:AE79" si="99">SUM(AC80:AC82)</f>
        <v>-18966</v>
      </c>
      <c r="AD79" s="422">
        <f t="shared" si="99"/>
        <v>-34861</v>
      </c>
      <c r="AE79" s="422">
        <f t="shared" si="99"/>
        <v>-4844</v>
      </c>
      <c r="AF79" s="422">
        <f>SUM(AF80:AF82)</f>
        <v>-16287</v>
      </c>
    </row>
    <row r="80" spans="1:32" outlineLevel="1">
      <c r="A80" s="418" t="s">
        <v>716</v>
      </c>
      <c r="B80" s="418" t="s">
        <v>717</v>
      </c>
      <c r="D80" s="423">
        <v>-1198</v>
      </c>
      <c r="E80" s="423">
        <v>-651</v>
      </c>
      <c r="F80" s="423">
        <v>-1354</v>
      </c>
      <c r="G80" s="423">
        <v>-2117</v>
      </c>
      <c r="H80" s="423">
        <v>-493</v>
      </c>
      <c r="I80" s="423">
        <v>-903</v>
      </c>
      <c r="J80" s="423">
        <v>-1131</v>
      </c>
      <c r="K80" s="423">
        <v>-2220</v>
      </c>
      <c r="L80" s="423">
        <v>-2418</v>
      </c>
      <c r="M80" s="423">
        <v>-3001</v>
      </c>
      <c r="N80" s="423">
        <v>-2196</v>
      </c>
      <c r="O80" s="423">
        <v>-8852</v>
      </c>
      <c r="P80" s="423">
        <v>-851</v>
      </c>
      <c r="Q80" s="423">
        <v>-1592</v>
      </c>
      <c r="R80" s="423">
        <v>-3994</v>
      </c>
      <c r="S80" s="423">
        <v>-5230</v>
      </c>
      <c r="T80" s="423">
        <v>-1029</v>
      </c>
      <c r="U80" s="423">
        <v>-2306</v>
      </c>
      <c r="W80" s="423">
        <f>L80</f>
        <v>-2418</v>
      </c>
      <c r="X80" s="423">
        <f>M80-W80</f>
        <v>-583</v>
      </c>
      <c r="Y80" s="423">
        <f t="shared" ref="Y80:Z82" si="100">N80-M80</f>
        <v>805</v>
      </c>
      <c r="Z80" s="423">
        <f t="shared" si="100"/>
        <v>-6656</v>
      </c>
      <c r="AA80" s="423">
        <f>P80</f>
        <v>-851</v>
      </c>
      <c r="AB80" s="423">
        <f t="shared" ref="AB80:AB82" si="101">Q80-AA80</f>
        <v>-741</v>
      </c>
      <c r="AC80" s="423">
        <f t="shared" ref="AC80:AD82" si="102">R80-Q80</f>
        <v>-2402</v>
      </c>
      <c r="AD80" s="423">
        <f t="shared" si="102"/>
        <v>-1236</v>
      </c>
      <c r="AE80" s="423">
        <f>T80</f>
        <v>-1029</v>
      </c>
      <c r="AF80" s="423">
        <f>U80-T80</f>
        <v>-1277</v>
      </c>
    </row>
    <row r="81" spans="1:32" outlineLevel="1">
      <c r="A81" s="418" t="s">
        <v>718</v>
      </c>
      <c r="B81" s="418" t="s">
        <v>719</v>
      </c>
      <c r="D81" s="423">
        <v>650</v>
      </c>
      <c r="E81" s="423">
        <v>471</v>
      </c>
      <c r="F81" s="423">
        <v>-33598</v>
      </c>
      <c r="G81" s="423">
        <v>-42625</v>
      </c>
      <c r="H81" s="423">
        <v>-1814</v>
      </c>
      <c r="I81" s="423">
        <v>-534</v>
      </c>
      <c r="J81" s="423">
        <v>10899</v>
      </c>
      <c r="K81" s="423">
        <v>215905</v>
      </c>
      <c r="L81" s="423">
        <v>-2466</v>
      </c>
      <c r="M81" s="423">
        <v>1939</v>
      </c>
      <c r="N81" s="423">
        <v>-1850</v>
      </c>
      <c r="O81" s="423">
        <v>4282</v>
      </c>
      <c r="P81" s="423">
        <v>-1251</v>
      </c>
      <c r="Q81" s="423">
        <v>-7433</v>
      </c>
      <c r="R81" s="423">
        <v>-22695</v>
      </c>
      <c r="S81" s="423">
        <v>-54869</v>
      </c>
      <c r="T81" s="423">
        <v>-1794</v>
      </c>
      <c r="U81" s="423">
        <v>-14282</v>
      </c>
      <c r="W81" s="423">
        <f>L81</f>
        <v>-2466</v>
      </c>
      <c r="X81" s="423">
        <f>M81-W81</f>
        <v>4405</v>
      </c>
      <c r="Y81" s="423">
        <f t="shared" si="100"/>
        <v>-3789</v>
      </c>
      <c r="Z81" s="423">
        <f t="shared" si="100"/>
        <v>6132</v>
      </c>
      <c r="AA81" s="423">
        <f>P81</f>
        <v>-1251</v>
      </c>
      <c r="AB81" s="423">
        <f t="shared" si="101"/>
        <v>-6182</v>
      </c>
      <c r="AC81" s="423">
        <f t="shared" si="102"/>
        <v>-15262</v>
      </c>
      <c r="AD81" s="423">
        <f t="shared" si="102"/>
        <v>-32174</v>
      </c>
      <c r="AE81" s="423">
        <f>T81</f>
        <v>-1794</v>
      </c>
      <c r="AF81" s="423">
        <f>U81-T81</f>
        <v>-12488</v>
      </c>
    </row>
    <row r="82" spans="1:32" outlineLevel="1">
      <c r="A82" s="418" t="s">
        <v>720</v>
      </c>
      <c r="B82" s="418" t="s">
        <v>721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>
        <v>-3718</v>
      </c>
      <c r="N82" s="423">
        <v>-7386</v>
      </c>
      <c r="O82" s="423">
        <v>-16946</v>
      </c>
      <c r="P82" s="423">
        <v>-4980</v>
      </c>
      <c r="Q82" s="423">
        <v>-8125</v>
      </c>
      <c r="R82" s="423">
        <v>-9427</v>
      </c>
      <c r="S82" s="423">
        <v>-10878</v>
      </c>
      <c r="T82" s="423">
        <v>-2021</v>
      </c>
      <c r="U82" s="423">
        <v>-4543</v>
      </c>
      <c r="W82" s="423"/>
      <c r="X82" s="423">
        <f>M82-W82</f>
        <v>-3718</v>
      </c>
      <c r="Y82" s="423">
        <f t="shared" si="100"/>
        <v>-3668</v>
      </c>
      <c r="Z82" s="423">
        <f t="shared" si="100"/>
        <v>-9560</v>
      </c>
      <c r="AA82" s="423">
        <f>P82</f>
        <v>-4980</v>
      </c>
      <c r="AB82" s="423">
        <f t="shared" si="101"/>
        <v>-3145</v>
      </c>
      <c r="AC82" s="423">
        <f t="shared" si="102"/>
        <v>-1302</v>
      </c>
      <c r="AD82" s="423">
        <f t="shared" si="102"/>
        <v>-1451</v>
      </c>
      <c r="AE82" s="423">
        <f>T82</f>
        <v>-2021</v>
      </c>
      <c r="AF82" s="423">
        <f>U82-T82</f>
        <v>-2522</v>
      </c>
    </row>
    <row r="83" spans="1:32">
      <c r="A83" s="417"/>
      <c r="B83" s="417"/>
      <c r="D83" s="417"/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</row>
    <row r="84" spans="1:32">
      <c r="A84" s="429" t="s">
        <v>722</v>
      </c>
      <c r="B84" s="429" t="s">
        <v>722</v>
      </c>
      <c r="D84" s="420">
        <f t="shared" ref="D84:I84" si="103">D86-D76-D53-D77</f>
        <v>6529</v>
      </c>
      <c r="E84" s="420">
        <f t="shared" si="103"/>
        <v>174923</v>
      </c>
      <c r="F84" s="420">
        <f>F86-F76-F53-F77</f>
        <v>195028</v>
      </c>
      <c r="G84" s="420">
        <f t="shared" si="103"/>
        <v>260041</v>
      </c>
      <c r="H84" s="420">
        <f t="shared" si="103"/>
        <v>47867</v>
      </c>
      <c r="I84" s="420">
        <f t="shared" si="103"/>
        <v>96958</v>
      </c>
      <c r="J84" s="420">
        <f t="shared" ref="J84:Q84" si="104">J86-J76-J53-J77</f>
        <v>175045</v>
      </c>
      <c r="K84" s="420">
        <f t="shared" si="104"/>
        <v>263812</v>
      </c>
      <c r="L84" s="420">
        <f t="shared" si="104"/>
        <v>54897</v>
      </c>
      <c r="M84" s="420">
        <f t="shared" si="104"/>
        <v>213920</v>
      </c>
      <c r="N84" s="420">
        <f t="shared" si="104"/>
        <v>339672</v>
      </c>
      <c r="O84" s="420">
        <f t="shared" si="104"/>
        <v>493134</v>
      </c>
      <c r="P84" s="420">
        <f t="shared" si="104"/>
        <v>101939</v>
      </c>
      <c r="Q84" s="420">
        <f t="shared" si="104"/>
        <v>210589</v>
      </c>
      <c r="R84" s="420">
        <f t="shared" ref="R84:T84" si="105">R86-R76-R53-R77</f>
        <v>318401</v>
      </c>
      <c r="S84" s="420">
        <f t="shared" si="105"/>
        <v>428418</v>
      </c>
      <c r="T84" s="420">
        <f t="shared" si="105"/>
        <v>97682</v>
      </c>
      <c r="U84" s="741">
        <f>U86-U76-U53-U77</f>
        <v>214831</v>
      </c>
      <c r="W84" s="420">
        <f t="shared" ref="W84:AC84" si="106">W86-W76-W53-W77</f>
        <v>54897</v>
      </c>
      <c r="X84" s="420">
        <f t="shared" si="106"/>
        <v>159023</v>
      </c>
      <c r="Y84" s="420">
        <f t="shared" si="106"/>
        <v>125752</v>
      </c>
      <c r="Z84" s="420">
        <f t="shared" si="106"/>
        <v>153462</v>
      </c>
      <c r="AA84" s="420">
        <f t="shared" si="106"/>
        <v>101939</v>
      </c>
      <c r="AB84" s="420">
        <f t="shared" si="106"/>
        <v>108651</v>
      </c>
      <c r="AC84" s="420">
        <f t="shared" si="106"/>
        <v>107811</v>
      </c>
      <c r="AD84" s="420">
        <f t="shared" ref="AD84:AE84" si="107">AD86-AD76-AD53-AD77</f>
        <v>110017</v>
      </c>
      <c r="AE84" s="420">
        <f t="shared" si="107"/>
        <v>97682</v>
      </c>
      <c r="AF84" s="741">
        <f>AF86-AF76-AF53-AF77</f>
        <v>163975</v>
      </c>
    </row>
    <row r="85" spans="1:32">
      <c r="A85" s="417"/>
      <c r="B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</row>
    <row r="86" spans="1:32">
      <c r="A86" s="429" t="s">
        <v>723</v>
      </c>
      <c r="B86" s="429" t="s">
        <v>724</v>
      </c>
      <c r="D86" s="420">
        <f t="shared" ref="D86:I86" si="108">D58+D60</f>
        <v>1737</v>
      </c>
      <c r="E86" s="420">
        <f t="shared" si="108"/>
        <v>165257</v>
      </c>
      <c r="F86" s="420">
        <f>F58+F60</f>
        <v>180281</v>
      </c>
      <c r="G86" s="420">
        <f t="shared" si="108"/>
        <v>236334</v>
      </c>
      <c r="H86" s="420">
        <f t="shared" si="108"/>
        <v>42149</v>
      </c>
      <c r="I86" s="420">
        <f t="shared" si="108"/>
        <v>80707</v>
      </c>
      <c r="J86" s="420">
        <f t="shared" ref="J86:Q86" si="109">J58+J60</f>
        <v>149556</v>
      </c>
      <c r="K86" s="420">
        <f t="shared" si="109"/>
        <v>230358</v>
      </c>
      <c r="L86" s="420">
        <f t="shared" si="109"/>
        <v>44765</v>
      </c>
      <c r="M86" s="420">
        <f t="shared" si="109"/>
        <v>205673</v>
      </c>
      <c r="N86" s="420">
        <f t="shared" si="109"/>
        <v>319902</v>
      </c>
      <c r="O86" s="420">
        <f t="shared" si="109"/>
        <v>459316</v>
      </c>
      <c r="P86" s="420">
        <f t="shared" si="109"/>
        <v>86866</v>
      </c>
      <c r="Q86" s="420">
        <f t="shared" si="109"/>
        <v>179822</v>
      </c>
      <c r="R86" s="420">
        <f t="shared" ref="R86:T86" si="110">R58+R60</f>
        <v>267960</v>
      </c>
      <c r="S86" s="420">
        <f t="shared" si="110"/>
        <v>357079</v>
      </c>
      <c r="T86" s="420">
        <f t="shared" si="110"/>
        <v>76618</v>
      </c>
      <c r="U86" s="741">
        <f>U58+U60</f>
        <v>160711</v>
      </c>
      <c r="W86" s="420">
        <f t="shared" ref="W86:AC86" si="111">W58+W60</f>
        <v>44765</v>
      </c>
      <c r="X86" s="420">
        <f t="shared" si="111"/>
        <v>160908</v>
      </c>
      <c r="Y86" s="420">
        <f t="shared" si="111"/>
        <v>114229</v>
      </c>
      <c r="Z86" s="420">
        <f t="shared" si="111"/>
        <v>139414</v>
      </c>
      <c r="AA86" s="420">
        <f t="shared" si="111"/>
        <v>86866</v>
      </c>
      <c r="AB86" s="420">
        <f t="shared" si="111"/>
        <v>92957</v>
      </c>
      <c r="AC86" s="420">
        <f t="shared" si="111"/>
        <v>88137</v>
      </c>
      <c r="AD86" s="420">
        <f t="shared" ref="AD86:AE86" si="112">AD58+AD60</f>
        <v>89119</v>
      </c>
      <c r="AE86" s="420">
        <f t="shared" si="112"/>
        <v>76618</v>
      </c>
      <c r="AF86" s="741">
        <f>AF58+AF60</f>
        <v>130919</v>
      </c>
    </row>
    <row r="87" spans="1:32">
      <c r="A87" s="417"/>
      <c r="B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</row>
    <row r="88" spans="1:32">
      <c r="A88" s="429" t="s">
        <v>725</v>
      </c>
      <c r="B88" s="429" t="s">
        <v>726</v>
      </c>
      <c r="D88" s="420">
        <f t="shared" ref="D88:I88" si="113">D90+D100</f>
        <v>169203</v>
      </c>
      <c r="E88" s="420">
        <f t="shared" si="113"/>
        <v>133617</v>
      </c>
      <c r="F88" s="420">
        <f>F90+F100</f>
        <v>320574</v>
      </c>
      <c r="G88" s="420">
        <f t="shared" si="113"/>
        <v>263758</v>
      </c>
      <c r="H88" s="420">
        <f t="shared" si="113"/>
        <v>-46465</v>
      </c>
      <c r="I88" s="420">
        <f t="shared" si="113"/>
        <v>-91486</v>
      </c>
      <c r="J88" s="420">
        <f t="shared" ref="J88:Q88" si="114">J90+J100</f>
        <v>-157322</v>
      </c>
      <c r="K88" s="420">
        <f t="shared" si="114"/>
        <v>-175273</v>
      </c>
      <c r="L88" s="420">
        <f t="shared" si="114"/>
        <v>-66812</v>
      </c>
      <c r="M88" s="420">
        <f t="shared" si="114"/>
        <v>-131478</v>
      </c>
      <c r="N88" s="420">
        <f t="shared" si="114"/>
        <v>-198457</v>
      </c>
      <c r="O88" s="420">
        <f t="shared" si="114"/>
        <v>-258633</v>
      </c>
      <c r="P88" s="420">
        <f t="shared" si="114"/>
        <v>-77013</v>
      </c>
      <c r="Q88" s="420">
        <f t="shared" si="114"/>
        <v>-150413</v>
      </c>
      <c r="R88" s="420">
        <f t="shared" ref="R88:T88" si="115">R90+R100</f>
        <v>-265144</v>
      </c>
      <c r="S88" s="420">
        <f t="shared" si="115"/>
        <v>-346508</v>
      </c>
      <c r="T88" s="420">
        <f t="shared" si="115"/>
        <v>-76361</v>
      </c>
      <c r="U88" s="741">
        <f>U90+U100</f>
        <v>-154384</v>
      </c>
      <c r="W88" s="420">
        <f t="shared" ref="W88:AC88" si="116">W90+W100</f>
        <v>-66812</v>
      </c>
      <c r="X88" s="420">
        <f t="shared" si="116"/>
        <v>-64666</v>
      </c>
      <c r="Y88" s="420">
        <f t="shared" si="116"/>
        <v>-66979</v>
      </c>
      <c r="Z88" s="420">
        <f t="shared" si="116"/>
        <v>-60176</v>
      </c>
      <c r="AA88" s="420">
        <f t="shared" si="116"/>
        <v>-77013</v>
      </c>
      <c r="AB88" s="420">
        <f t="shared" si="116"/>
        <v>-73400</v>
      </c>
      <c r="AC88" s="420">
        <f t="shared" si="116"/>
        <v>-114731</v>
      </c>
      <c r="AD88" s="420">
        <f t="shared" ref="AD88:AE88" si="117">AD90+AD100</f>
        <v>-81364</v>
      </c>
      <c r="AE88" s="420">
        <f t="shared" si="117"/>
        <v>-76361</v>
      </c>
      <c r="AF88" s="741">
        <f>AF90+AF100</f>
        <v>-78023</v>
      </c>
    </row>
    <row r="89" spans="1:32">
      <c r="A89" s="416"/>
      <c r="B89" s="416"/>
      <c r="D89" s="417"/>
      <c r="E89" s="417"/>
      <c r="F89" s="422"/>
      <c r="G89" s="422"/>
      <c r="H89" s="422"/>
      <c r="I89" s="417"/>
      <c r="J89" s="417"/>
      <c r="K89" s="422"/>
      <c r="L89" s="422"/>
      <c r="M89" s="417"/>
      <c r="N89" s="417"/>
      <c r="O89" s="417"/>
      <c r="P89" s="417"/>
      <c r="Q89" s="417"/>
      <c r="R89" s="417"/>
      <c r="S89" s="417"/>
      <c r="T89" s="417"/>
      <c r="U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</row>
    <row r="90" spans="1:32">
      <c r="A90" s="417" t="s">
        <v>727</v>
      </c>
      <c r="B90" s="417" t="s">
        <v>728</v>
      </c>
      <c r="D90" s="424">
        <f t="shared" ref="D90:I90" si="118">SUM(D91:D99)</f>
        <v>287732</v>
      </c>
      <c r="E90" s="424">
        <f t="shared" si="118"/>
        <v>364143</v>
      </c>
      <c r="F90" s="424">
        <f>SUM(F91:F99)</f>
        <v>635563</v>
      </c>
      <c r="G90" s="424">
        <f t="shared" si="118"/>
        <v>659650</v>
      </c>
      <c r="H90" s="424">
        <f t="shared" si="118"/>
        <v>71214</v>
      </c>
      <c r="I90" s="424">
        <f t="shared" si="118"/>
        <v>125119</v>
      </c>
      <c r="J90" s="424">
        <f t="shared" ref="J90:Q90" si="119">SUM(J91:J99)</f>
        <v>106813</v>
      </c>
      <c r="K90" s="424">
        <f t="shared" si="119"/>
        <v>197678</v>
      </c>
      <c r="L90" s="424">
        <f t="shared" si="119"/>
        <v>131460</v>
      </c>
      <c r="M90" s="424">
        <f t="shared" si="119"/>
        <v>170618</v>
      </c>
      <c r="N90" s="424">
        <f t="shared" si="119"/>
        <v>219528</v>
      </c>
      <c r="O90" s="424">
        <f t="shared" si="119"/>
        <v>334268</v>
      </c>
      <c r="P90" s="424">
        <f t="shared" si="119"/>
        <v>156182</v>
      </c>
      <c r="Q90" s="424">
        <f t="shared" si="119"/>
        <v>193624</v>
      </c>
      <c r="R90" s="424">
        <f t="shared" ref="R90:T90" si="120">SUM(R91:R99)</f>
        <v>294787</v>
      </c>
      <c r="S90" s="424">
        <f t="shared" si="120"/>
        <v>320879</v>
      </c>
      <c r="T90" s="424">
        <f t="shared" si="120"/>
        <v>196115</v>
      </c>
      <c r="U90" s="424">
        <f>SUM(U91:U99)</f>
        <v>268647</v>
      </c>
      <c r="W90" s="424">
        <f t="shared" ref="W90:AC90" si="121">SUM(W91:W99)</f>
        <v>131460</v>
      </c>
      <c r="X90" s="424">
        <f t="shared" si="121"/>
        <v>39158</v>
      </c>
      <c r="Y90" s="424">
        <f t="shared" si="121"/>
        <v>48910</v>
      </c>
      <c r="Z90" s="424">
        <f t="shared" si="121"/>
        <v>114740</v>
      </c>
      <c r="AA90" s="424">
        <f t="shared" si="121"/>
        <v>156182</v>
      </c>
      <c r="AB90" s="424">
        <f t="shared" si="121"/>
        <v>37442</v>
      </c>
      <c r="AC90" s="424">
        <f t="shared" si="121"/>
        <v>101163</v>
      </c>
      <c r="AD90" s="424">
        <f t="shared" ref="AD90:AE90" si="122">SUM(AD91:AD99)</f>
        <v>26092</v>
      </c>
      <c r="AE90" s="424">
        <f t="shared" si="122"/>
        <v>196115</v>
      </c>
      <c r="AF90" s="424">
        <f>SUM(AF91:AF99)</f>
        <v>72532</v>
      </c>
    </row>
    <row r="91" spans="1:32" outlineLevel="1">
      <c r="A91" s="418" t="s">
        <v>729</v>
      </c>
      <c r="B91" s="418" t="s">
        <v>728</v>
      </c>
      <c r="D91" s="423">
        <v>19174</v>
      </c>
      <c r="E91" s="423">
        <v>43617</v>
      </c>
      <c r="F91" s="423">
        <v>62206</v>
      </c>
      <c r="G91" s="423">
        <v>70223</v>
      </c>
      <c r="H91" s="423">
        <v>6892</v>
      </c>
      <c r="I91" s="423">
        <v>13843</v>
      </c>
      <c r="J91" s="423">
        <v>18541</v>
      </c>
      <c r="K91" s="423">
        <v>26175</v>
      </c>
      <c r="L91" s="423">
        <v>9958</v>
      </c>
      <c r="M91" s="423">
        <v>17661</v>
      </c>
      <c r="N91" s="423">
        <v>34263</v>
      </c>
      <c r="O91" s="423">
        <v>55813</v>
      </c>
      <c r="P91" s="423">
        <v>22630</v>
      </c>
      <c r="Q91" s="423">
        <v>41262</v>
      </c>
      <c r="R91" s="423">
        <v>86451</v>
      </c>
      <c r="S91" s="423">
        <v>116678</v>
      </c>
      <c r="T91" s="423">
        <v>19147</v>
      </c>
      <c r="U91" s="423">
        <v>42380</v>
      </c>
      <c r="W91" s="423">
        <f t="shared" ref="W91:W99" si="123">L91</f>
        <v>9958</v>
      </c>
      <c r="X91" s="423">
        <f t="shared" ref="X91:X99" si="124">M91-W91</f>
        <v>7703</v>
      </c>
      <c r="Y91" s="423">
        <f t="shared" ref="Y91:Y99" si="125">N91-M91</f>
        <v>16602</v>
      </c>
      <c r="Z91" s="423">
        <f t="shared" ref="Z91:Z99" si="126">O91-N91</f>
        <v>21550</v>
      </c>
      <c r="AA91" s="423">
        <f t="shared" ref="AA91:AA99" si="127">P91</f>
        <v>22630</v>
      </c>
      <c r="AB91" s="423">
        <f t="shared" ref="AB91:AB99" si="128">Q91-AA91</f>
        <v>18632</v>
      </c>
      <c r="AC91" s="423">
        <f t="shared" ref="AC91:AC99" si="129">R91-Q91</f>
        <v>45189</v>
      </c>
      <c r="AD91" s="423">
        <f t="shared" ref="AD91:AD99" si="130">S91-R91</f>
        <v>30227</v>
      </c>
      <c r="AE91" s="423">
        <f t="shared" ref="AE91:AE99" si="131">T91</f>
        <v>19147</v>
      </c>
      <c r="AF91" s="423">
        <f t="shared" ref="AF91:AF99" si="132">U91-T91</f>
        <v>23233</v>
      </c>
    </row>
    <row r="92" spans="1:32" outlineLevel="1">
      <c r="A92" s="418" t="s">
        <v>730</v>
      </c>
      <c r="B92" s="418" t="s">
        <v>731</v>
      </c>
      <c r="D92" s="423">
        <v>-11699</v>
      </c>
      <c r="E92" s="423">
        <v>-15499</v>
      </c>
      <c r="F92" s="423">
        <v>-26681</v>
      </c>
      <c r="G92" s="423">
        <v>-28028</v>
      </c>
      <c r="H92" s="423">
        <v>-784</v>
      </c>
      <c r="I92" s="423">
        <v>-1575</v>
      </c>
      <c r="J92" s="423">
        <v>-2076</v>
      </c>
      <c r="K92" s="423">
        <v>-2682</v>
      </c>
      <c r="L92" s="423">
        <v>-661</v>
      </c>
      <c r="M92" s="423">
        <v>-887</v>
      </c>
      <c r="N92" s="423">
        <v>-2242</v>
      </c>
      <c r="O92" s="423">
        <v>-4102</v>
      </c>
      <c r="P92" s="423">
        <v>-1424</v>
      </c>
      <c r="Q92" s="423">
        <v>-2923</v>
      </c>
      <c r="R92" s="423">
        <v>-5694</v>
      </c>
      <c r="S92" s="423">
        <v>-7741</v>
      </c>
      <c r="T92" s="423">
        <v>-2463</v>
      </c>
      <c r="U92" s="423">
        <v>-3213</v>
      </c>
      <c r="W92" s="423">
        <f t="shared" si="123"/>
        <v>-661</v>
      </c>
      <c r="X92" s="423">
        <f t="shared" si="124"/>
        <v>-226</v>
      </c>
      <c r="Y92" s="423">
        <f t="shared" si="125"/>
        <v>-1355</v>
      </c>
      <c r="Z92" s="423">
        <f t="shared" si="126"/>
        <v>-1860</v>
      </c>
      <c r="AA92" s="423">
        <f t="shared" si="127"/>
        <v>-1424</v>
      </c>
      <c r="AB92" s="423">
        <f t="shared" si="128"/>
        <v>-1499</v>
      </c>
      <c r="AC92" s="423">
        <f t="shared" si="129"/>
        <v>-2771</v>
      </c>
      <c r="AD92" s="423">
        <f t="shared" si="130"/>
        <v>-2047</v>
      </c>
      <c r="AE92" s="423">
        <f t="shared" si="131"/>
        <v>-2463</v>
      </c>
      <c r="AF92" s="423">
        <f t="shared" si="132"/>
        <v>-750</v>
      </c>
    </row>
    <row r="93" spans="1:32" outlineLevel="1">
      <c r="A93" s="418" t="s">
        <v>2561</v>
      </c>
      <c r="B93" s="418" t="s">
        <v>2562</v>
      </c>
      <c r="D93" s="423">
        <v>0</v>
      </c>
      <c r="E93" s="423">
        <v>5374</v>
      </c>
      <c r="F93" s="423">
        <v>5374</v>
      </c>
      <c r="G93" s="423">
        <v>5374</v>
      </c>
      <c r="H93" s="423">
        <v>42488</v>
      </c>
      <c r="I93" s="423">
        <v>37148</v>
      </c>
      <c r="J93" s="423">
        <v>37148</v>
      </c>
      <c r="K93" s="423">
        <v>37148</v>
      </c>
      <c r="L93" s="423">
        <v>101253</v>
      </c>
      <c r="M93" s="423">
        <v>131668</v>
      </c>
      <c r="N93" s="423">
        <v>130590</v>
      </c>
      <c r="O93" s="423">
        <v>224780</v>
      </c>
      <c r="P93" s="423">
        <v>57296</v>
      </c>
      <c r="Q93" s="423">
        <v>33598</v>
      </c>
      <c r="R93" s="423">
        <v>27506</v>
      </c>
      <c r="S93" s="423">
        <v>31181</v>
      </c>
      <c r="T93" s="423">
        <v>60401</v>
      </c>
      <c r="U93" s="423">
        <v>58026</v>
      </c>
      <c r="W93" s="423">
        <f t="shared" si="123"/>
        <v>101253</v>
      </c>
      <c r="X93" s="423">
        <f t="shared" si="124"/>
        <v>30415</v>
      </c>
      <c r="Y93" s="423">
        <f t="shared" si="125"/>
        <v>-1078</v>
      </c>
      <c r="Z93" s="423">
        <f t="shared" si="126"/>
        <v>94190</v>
      </c>
      <c r="AA93" s="423">
        <f t="shared" si="127"/>
        <v>57296</v>
      </c>
      <c r="AB93" s="423">
        <f t="shared" si="128"/>
        <v>-23698</v>
      </c>
      <c r="AC93" s="423">
        <f t="shared" si="129"/>
        <v>-6092</v>
      </c>
      <c r="AD93" s="423">
        <f t="shared" si="130"/>
        <v>3675</v>
      </c>
      <c r="AE93" s="423">
        <f t="shared" si="131"/>
        <v>60401</v>
      </c>
      <c r="AF93" s="423">
        <f t="shared" si="132"/>
        <v>-2375</v>
      </c>
    </row>
    <row r="94" spans="1:32" outlineLevel="1">
      <c r="A94" s="418" t="s">
        <v>733</v>
      </c>
      <c r="B94" s="418" t="s">
        <v>734</v>
      </c>
      <c r="D94" s="423">
        <v>0</v>
      </c>
      <c r="E94" s="423">
        <v>4901</v>
      </c>
      <c r="F94" s="423">
        <v>9453</v>
      </c>
      <c r="G94" s="423">
        <v>16366</v>
      </c>
      <c r="H94" s="423">
        <v>5688</v>
      </c>
      <c r="I94" s="423">
        <v>8237</v>
      </c>
      <c r="J94" s="423">
        <v>11055</v>
      </c>
      <c r="K94" s="423">
        <v>13781</v>
      </c>
      <c r="L94" s="423">
        <v>3113</v>
      </c>
      <c r="M94" s="423">
        <v>6322</v>
      </c>
      <c r="N94" s="423">
        <v>1951</v>
      </c>
      <c r="O94" s="423">
        <v>2716</v>
      </c>
      <c r="P94" s="423">
        <v>1514</v>
      </c>
      <c r="Q94" s="423">
        <v>4998</v>
      </c>
      <c r="R94" s="423">
        <v>8246</v>
      </c>
      <c r="S94" s="423">
        <v>11989</v>
      </c>
      <c r="T94" s="423">
        <v>4806</v>
      </c>
      <c r="U94" s="423">
        <v>9885</v>
      </c>
      <c r="W94" s="423">
        <f t="shared" si="123"/>
        <v>3113</v>
      </c>
      <c r="X94" s="423">
        <f t="shared" si="124"/>
        <v>3209</v>
      </c>
      <c r="Y94" s="423">
        <f t="shared" si="125"/>
        <v>-4371</v>
      </c>
      <c r="Z94" s="423">
        <f t="shared" si="126"/>
        <v>765</v>
      </c>
      <c r="AA94" s="423">
        <f t="shared" si="127"/>
        <v>1514</v>
      </c>
      <c r="AB94" s="423">
        <f t="shared" si="128"/>
        <v>3484</v>
      </c>
      <c r="AC94" s="423">
        <f t="shared" si="129"/>
        <v>3248</v>
      </c>
      <c r="AD94" s="423">
        <f t="shared" si="130"/>
        <v>3743</v>
      </c>
      <c r="AE94" s="423">
        <f t="shared" si="131"/>
        <v>4806</v>
      </c>
      <c r="AF94" s="423">
        <f t="shared" si="132"/>
        <v>5079</v>
      </c>
    </row>
    <row r="95" spans="1:32" outlineLevel="1">
      <c r="A95" s="418" t="s">
        <v>735</v>
      </c>
      <c r="B95" s="418" t="s">
        <v>736</v>
      </c>
      <c r="D95" s="423">
        <v>0</v>
      </c>
      <c r="E95" s="423">
        <v>0</v>
      </c>
      <c r="F95" s="423">
        <v>0</v>
      </c>
      <c r="G95" s="423">
        <v>0</v>
      </c>
      <c r="H95" s="423">
        <v>0</v>
      </c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>
        <v>0</v>
      </c>
      <c r="T95" s="423">
        <v>0</v>
      </c>
      <c r="U95" s="423">
        <v>0</v>
      </c>
      <c r="W95" s="423">
        <f t="shared" si="123"/>
        <v>0</v>
      </c>
      <c r="X95" s="423">
        <f t="shared" si="124"/>
        <v>0</v>
      </c>
      <c r="Y95" s="423">
        <f t="shared" si="125"/>
        <v>0</v>
      </c>
      <c r="Z95" s="423">
        <f t="shared" si="126"/>
        <v>0</v>
      </c>
      <c r="AA95" s="423">
        <f t="shared" si="127"/>
        <v>0</v>
      </c>
      <c r="AB95" s="423">
        <f t="shared" si="128"/>
        <v>0</v>
      </c>
      <c r="AC95" s="423">
        <f t="shared" si="129"/>
        <v>0</v>
      </c>
      <c r="AD95" s="423">
        <f t="shared" si="130"/>
        <v>0</v>
      </c>
      <c r="AE95" s="423">
        <f t="shared" si="131"/>
        <v>0</v>
      </c>
      <c r="AF95" s="423">
        <f t="shared" si="132"/>
        <v>0</v>
      </c>
    </row>
    <row r="96" spans="1:32" outlineLevel="1">
      <c r="A96" s="418" t="s">
        <v>737</v>
      </c>
      <c r="B96" s="418" t="s">
        <v>738</v>
      </c>
      <c r="D96" s="423">
        <v>0</v>
      </c>
      <c r="E96" s="423">
        <v>0</v>
      </c>
      <c r="F96" s="423">
        <v>0</v>
      </c>
      <c r="G96" s="423">
        <v>0</v>
      </c>
      <c r="H96" s="423">
        <v>0</v>
      </c>
      <c r="I96" s="423">
        <v>0</v>
      </c>
      <c r="J96" s="423">
        <v>0</v>
      </c>
      <c r="K96" s="423">
        <v>0</v>
      </c>
      <c r="L96" s="423">
        <v>0</v>
      </c>
      <c r="M96" s="423">
        <v>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>
        <v>0</v>
      </c>
      <c r="T96" s="423">
        <v>0</v>
      </c>
      <c r="U96" s="423">
        <v>0</v>
      </c>
      <c r="W96" s="423">
        <f t="shared" si="123"/>
        <v>0</v>
      </c>
      <c r="X96" s="423">
        <f t="shared" si="124"/>
        <v>0</v>
      </c>
      <c r="Y96" s="423">
        <f t="shared" si="125"/>
        <v>0</v>
      </c>
      <c r="Z96" s="423">
        <f t="shared" si="126"/>
        <v>0</v>
      </c>
      <c r="AA96" s="423">
        <f t="shared" si="127"/>
        <v>0</v>
      </c>
      <c r="AB96" s="423">
        <f t="shared" si="128"/>
        <v>0</v>
      </c>
      <c r="AC96" s="423">
        <f t="shared" si="129"/>
        <v>0</v>
      </c>
      <c r="AD96" s="423">
        <f t="shared" si="130"/>
        <v>0</v>
      </c>
      <c r="AE96" s="423">
        <f t="shared" si="131"/>
        <v>0</v>
      </c>
      <c r="AF96" s="423">
        <f t="shared" si="132"/>
        <v>0</v>
      </c>
    </row>
    <row r="97" spans="1:32" outlineLevel="1">
      <c r="A97" s="418" t="s">
        <v>739</v>
      </c>
      <c r="B97" s="418" t="s">
        <v>740</v>
      </c>
      <c r="D97" s="423">
        <v>217432</v>
      </c>
      <c r="E97" s="423">
        <v>258767</v>
      </c>
      <c r="F97" s="423">
        <v>517684</v>
      </c>
      <c r="G97" s="423">
        <v>516214</v>
      </c>
      <c r="H97" s="423">
        <v>4282</v>
      </c>
      <c r="I97" s="423">
        <v>11782</v>
      </c>
      <c r="J97" s="423">
        <v>15051</v>
      </c>
      <c r="K97" s="423">
        <v>64987</v>
      </c>
      <c r="L97" s="423">
        <v>4412</v>
      </c>
      <c r="M97" s="423">
        <v>11571</v>
      </c>
      <c r="N97" s="423">
        <v>27910</v>
      </c>
      <c r="O97" s="423">
        <v>39981</v>
      </c>
      <c r="P97" s="423">
        <v>12637</v>
      </c>
      <c r="Q97" s="423">
        <v>22756</v>
      </c>
      <c r="R97" s="423">
        <v>33926</v>
      </c>
      <c r="S97" s="423">
        <v>47438</v>
      </c>
      <c r="T97" s="423">
        <v>30117</v>
      </c>
      <c r="U97" s="423">
        <v>19814</v>
      </c>
      <c r="W97" s="423">
        <f t="shared" si="123"/>
        <v>4412</v>
      </c>
      <c r="X97" s="423">
        <f t="shared" si="124"/>
        <v>7159</v>
      </c>
      <c r="Y97" s="423">
        <f t="shared" si="125"/>
        <v>16339</v>
      </c>
      <c r="Z97" s="423">
        <f t="shared" si="126"/>
        <v>12071</v>
      </c>
      <c r="AA97" s="423">
        <f t="shared" si="127"/>
        <v>12637</v>
      </c>
      <c r="AB97" s="423">
        <f t="shared" si="128"/>
        <v>10119</v>
      </c>
      <c r="AC97" s="423">
        <f t="shared" si="129"/>
        <v>11170</v>
      </c>
      <c r="AD97" s="423">
        <f t="shared" si="130"/>
        <v>13512</v>
      </c>
      <c r="AE97" s="423">
        <f t="shared" si="131"/>
        <v>30117</v>
      </c>
      <c r="AF97" s="423">
        <f t="shared" si="132"/>
        <v>-10303</v>
      </c>
    </row>
    <row r="98" spans="1:32" outlineLevel="1">
      <c r="A98" s="418" t="s">
        <v>741</v>
      </c>
      <c r="B98" s="418" t="s">
        <v>2536</v>
      </c>
      <c r="D98" s="423"/>
      <c r="E98" s="423"/>
      <c r="F98" s="423"/>
      <c r="G98" s="423"/>
      <c r="H98" s="423"/>
      <c r="I98" s="423"/>
      <c r="J98" s="423"/>
      <c r="K98" s="423"/>
      <c r="L98" s="423"/>
      <c r="M98" s="423"/>
      <c r="N98" s="423"/>
      <c r="O98" s="423"/>
      <c r="P98" s="423"/>
      <c r="Q98" s="423">
        <v>0</v>
      </c>
      <c r="R98" s="423">
        <v>7188</v>
      </c>
      <c r="S98" s="423">
        <v>5103</v>
      </c>
      <c r="T98" s="423">
        <v>2059</v>
      </c>
      <c r="U98" s="423">
        <v>29398</v>
      </c>
      <c r="W98" s="423">
        <f>L98</f>
        <v>0</v>
      </c>
      <c r="X98" s="423">
        <f>M98-W98</f>
        <v>0</v>
      </c>
      <c r="Y98" s="423">
        <f t="shared" si="125"/>
        <v>0</v>
      </c>
      <c r="Z98" s="423">
        <f t="shared" si="126"/>
        <v>0</v>
      </c>
      <c r="AA98" s="423">
        <f>P98</f>
        <v>0</v>
      </c>
      <c r="AB98" s="423">
        <f>Q98-AA98</f>
        <v>0</v>
      </c>
      <c r="AC98" s="423">
        <f t="shared" si="129"/>
        <v>7188</v>
      </c>
      <c r="AD98" s="423">
        <f t="shared" si="130"/>
        <v>-2085</v>
      </c>
      <c r="AE98" s="423">
        <f>T98</f>
        <v>2059</v>
      </c>
      <c r="AF98" s="423">
        <f t="shared" si="132"/>
        <v>27339</v>
      </c>
    </row>
    <row r="99" spans="1:32" outlineLevel="1">
      <c r="A99" s="418" t="s">
        <v>742</v>
      </c>
      <c r="B99" s="418" t="s">
        <v>743</v>
      </c>
      <c r="D99" s="423">
        <v>62825</v>
      </c>
      <c r="E99" s="423">
        <v>66983</v>
      </c>
      <c r="F99" s="423">
        <v>67527</v>
      </c>
      <c r="G99" s="423">
        <v>79501</v>
      </c>
      <c r="H99" s="423">
        <v>12648</v>
      </c>
      <c r="I99" s="423">
        <v>55684</v>
      </c>
      <c r="J99" s="423">
        <v>27094</v>
      </c>
      <c r="K99" s="423">
        <v>58269</v>
      </c>
      <c r="L99" s="423">
        <v>13385</v>
      </c>
      <c r="M99" s="423">
        <v>4283</v>
      </c>
      <c r="N99" s="423">
        <v>27056</v>
      </c>
      <c r="O99" s="423">
        <v>15080</v>
      </c>
      <c r="P99" s="423">
        <v>63529</v>
      </c>
      <c r="Q99" s="423">
        <v>93933</v>
      </c>
      <c r="R99" s="423">
        <v>137164</v>
      </c>
      <c r="S99" s="423">
        <v>116231</v>
      </c>
      <c r="T99" s="423">
        <v>82048</v>
      </c>
      <c r="U99" s="423">
        <v>112357</v>
      </c>
      <c r="W99" s="423">
        <f t="shared" si="123"/>
        <v>13385</v>
      </c>
      <c r="X99" s="423">
        <f t="shared" si="124"/>
        <v>-9102</v>
      </c>
      <c r="Y99" s="423">
        <f t="shared" si="125"/>
        <v>22773</v>
      </c>
      <c r="Z99" s="423">
        <f t="shared" si="126"/>
        <v>-11976</v>
      </c>
      <c r="AA99" s="423">
        <f t="shared" si="127"/>
        <v>63529</v>
      </c>
      <c r="AB99" s="423">
        <f t="shared" si="128"/>
        <v>30404</v>
      </c>
      <c r="AC99" s="423">
        <f t="shared" si="129"/>
        <v>43231</v>
      </c>
      <c r="AD99" s="423">
        <f t="shared" si="130"/>
        <v>-20933</v>
      </c>
      <c r="AE99" s="423">
        <f t="shared" si="131"/>
        <v>82048</v>
      </c>
      <c r="AF99" s="423">
        <f t="shared" si="132"/>
        <v>30309</v>
      </c>
    </row>
    <row r="100" spans="1:32">
      <c r="A100" s="417" t="s">
        <v>744</v>
      </c>
      <c r="B100" s="417" t="s">
        <v>745</v>
      </c>
      <c r="D100" s="422">
        <f t="shared" ref="D100:I100" si="133">SUM(D101:D110)</f>
        <v>-118529</v>
      </c>
      <c r="E100" s="422">
        <f t="shared" si="133"/>
        <v>-230526</v>
      </c>
      <c r="F100" s="422">
        <f>SUM(F101:F110)</f>
        <v>-314989</v>
      </c>
      <c r="G100" s="422">
        <f t="shared" si="133"/>
        <v>-395892</v>
      </c>
      <c r="H100" s="422">
        <f t="shared" si="133"/>
        <v>-117679</v>
      </c>
      <c r="I100" s="422">
        <f t="shared" si="133"/>
        <v>-216605</v>
      </c>
      <c r="J100" s="422">
        <f t="shared" ref="J100:T100" si="134">SUM(J101:J110)</f>
        <v>-264135</v>
      </c>
      <c r="K100" s="422">
        <f t="shared" si="134"/>
        <v>-372951</v>
      </c>
      <c r="L100" s="422">
        <f t="shared" si="134"/>
        <v>-198272</v>
      </c>
      <c r="M100" s="422">
        <f t="shared" si="134"/>
        <v>-302096</v>
      </c>
      <c r="N100" s="422">
        <f t="shared" si="134"/>
        <v>-417985</v>
      </c>
      <c r="O100" s="422">
        <f t="shared" si="134"/>
        <v>-592901</v>
      </c>
      <c r="P100" s="422">
        <f t="shared" si="134"/>
        <v>-233195</v>
      </c>
      <c r="Q100" s="422">
        <f t="shared" si="134"/>
        <v>-344037</v>
      </c>
      <c r="R100" s="422">
        <f t="shared" si="134"/>
        <v>-559931</v>
      </c>
      <c r="S100" s="422">
        <f t="shared" si="134"/>
        <v>-667387</v>
      </c>
      <c r="T100" s="422">
        <f t="shared" si="134"/>
        <v>-272476</v>
      </c>
      <c r="U100" s="422">
        <f>SUM(U101:U110)</f>
        <v>-423031</v>
      </c>
      <c r="W100" s="422">
        <f t="shared" ref="W100:AC100" si="135">SUM(W101:W110)</f>
        <v>-198272</v>
      </c>
      <c r="X100" s="422">
        <f t="shared" si="135"/>
        <v>-103824</v>
      </c>
      <c r="Y100" s="422">
        <f t="shared" si="135"/>
        <v>-115889</v>
      </c>
      <c r="Z100" s="422">
        <f t="shared" si="135"/>
        <v>-174916</v>
      </c>
      <c r="AA100" s="422">
        <f t="shared" si="135"/>
        <v>-233195</v>
      </c>
      <c r="AB100" s="422">
        <f t="shared" si="135"/>
        <v>-110842</v>
      </c>
      <c r="AC100" s="422">
        <f t="shared" si="135"/>
        <v>-215894</v>
      </c>
      <c r="AD100" s="422">
        <f t="shared" ref="AD100:AE100" si="136">SUM(AD101:AD110)</f>
        <v>-107456</v>
      </c>
      <c r="AE100" s="422">
        <f t="shared" si="136"/>
        <v>-272476</v>
      </c>
      <c r="AF100" s="422">
        <f>SUM(AF101:AF110)</f>
        <v>-150555</v>
      </c>
    </row>
    <row r="101" spans="1:32" outlineLevel="1">
      <c r="A101" s="418" t="s">
        <v>746</v>
      </c>
      <c r="B101" s="418" t="s">
        <v>747</v>
      </c>
      <c r="D101" s="423">
        <v>-16027</v>
      </c>
      <c r="E101" s="423">
        <v>-83771</v>
      </c>
      <c r="F101" s="423">
        <v>-59051</v>
      </c>
      <c r="G101" s="423">
        <v>-81714</v>
      </c>
      <c r="H101" s="423">
        <v>-26540</v>
      </c>
      <c r="I101" s="423">
        <v>-54894</v>
      </c>
      <c r="J101" s="423">
        <v>-87219</v>
      </c>
      <c r="K101" s="423">
        <v>-122319</v>
      </c>
      <c r="L101" s="423">
        <v>-55745</v>
      </c>
      <c r="M101" s="423">
        <v>-168505</v>
      </c>
      <c r="N101" s="423">
        <v>-223295</v>
      </c>
      <c r="O101" s="423">
        <v>-372525</v>
      </c>
      <c r="P101" s="423">
        <v>-64060</v>
      </c>
      <c r="Q101" s="423">
        <v>-133226</v>
      </c>
      <c r="R101" s="423">
        <v>-213272</v>
      </c>
      <c r="S101" s="423">
        <v>-276324</v>
      </c>
      <c r="T101" s="423">
        <v>-47439</v>
      </c>
      <c r="U101" s="423">
        <v>-107203</v>
      </c>
      <c r="W101" s="423">
        <f t="shared" ref="W101:W110" si="137">L101</f>
        <v>-55745</v>
      </c>
      <c r="X101" s="423">
        <f t="shared" ref="X101:X110" si="138">M101-W101</f>
        <v>-112760</v>
      </c>
      <c r="Y101" s="423">
        <f t="shared" ref="Y101:Y110" si="139">N101-M101</f>
        <v>-54790</v>
      </c>
      <c r="Z101" s="423">
        <f t="shared" ref="Z101:Z110" si="140">O101-N101</f>
        <v>-149230</v>
      </c>
      <c r="AA101" s="423">
        <f t="shared" ref="AA101:AA110" si="141">P101</f>
        <v>-64060</v>
      </c>
      <c r="AB101" s="423">
        <f t="shared" ref="AB101:AB110" si="142">Q101-AA101</f>
        <v>-69166</v>
      </c>
      <c r="AC101" s="423">
        <f t="shared" ref="AC101:AC110" si="143">R101-Q101</f>
        <v>-80046</v>
      </c>
      <c r="AD101" s="423">
        <f t="shared" ref="AD101:AD110" si="144">S101-R101</f>
        <v>-63052</v>
      </c>
      <c r="AE101" s="423">
        <f t="shared" ref="AE101:AE110" si="145">T101</f>
        <v>-47439</v>
      </c>
      <c r="AF101" s="423">
        <f t="shared" ref="AF101:AF110" si="146">U101-T101</f>
        <v>-59764</v>
      </c>
    </row>
    <row r="102" spans="1:32" outlineLevel="1">
      <c r="A102" s="418" t="s">
        <v>748</v>
      </c>
      <c r="B102" s="418" t="s">
        <v>749</v>
      </c>
      <c r="D102" s="423">
        <v>0</v>
      </c>
      <c r="E102" s="423">
        <v>0</v>
      </c>
      <c r="F102" s="423">
        <v>0</v>
      </c>
      <c r="G102" s="423">
        <v>0</v>
      </c>
      <c r="H102" s="423">
        <v>0</v>
      </c>
      <c r="I102" s="423">
        <v>0</v>
      </c>
      <c r="J102" s="423">
        <v>0</v>
      </c>
      <c r="K102" s="423">
        <v>0</v>
      </c>
      <c r="L102" s="423">
        <v>0</v>
      </c>
      <c r="M102" s="423">
        <v>0</v>
      </c>
      <c r="N102" s="423">
        <v>0</v>
      </c>
      <c r="O102" s="423">
        <v>0</v>
      </c>
      <c r="P102" s="423">
        <v>0</v>
      </c>
      <c r="Q102" s="423">
        <v>0</v>
      </c>
      <c r="R102" s="423">
        <v>0</v>
      </c>
      <c r="S102" s="423">
        <v>0</v>
      </c>
      <c r="T102" s="423">
        <v>0</v>
      </c>
      <c r="U102" s="423">
        <v>0</v>
      </c>
      <c r="W102" s="423">
        <f t="shared" si="137"/>
        <v>0</v>
      </c>
      <c r="X102" s="423">
        <f t="shared" si="138"/>
        <v>0</v>
      </c>
      <c r="Y102" s="423">
        <f t="shared" si="139"/>
        <v>0</v>
      </c>
      <c r="Z102" s="423">
        <f t="shared" si="140"/>
        <v>0</v>
      </c>
      <c r="AA102" s="423">
        <f t="shared" si="141"/>
        <v>0</v>
      </c>
      <c r="AB102" s="423">
        <f t="shared" si="142"/>
        <v>0</v>
      </c>
      <c r="AC102" s="423">
        <f t="shared" si="143"/>
        <v>0</v>
      </c>
      <c r="AD102" s="423">
        <f t="shared" si="144"/>
        <v>0</v>
      </c>
      <c r="AE102" s="423">
        <f t="shared" si="145"/>
        <v>0</v>
      </c>
      <c r="AF102" s="423">
        <f t="shared" si="146"/>
        <v>0</v>
      </c>
    </row>
    <row r="103" spans="1:32" outlineLevel="1">
      <c r="A103" s="418" t="s">
        <v>750</v>
      </c>
      <c r="B103" s="418" t="s">
        <v>751</v>
      </c>
      <c r="D103" s="423">
        <v>-77394</v>
      </c>
      <c r="E103" s="423">
        <v>-47423</v>
      </c>
      <c r="F103" s="423">
        <v>-110914</v>
      </c>
      <c r="G103" s="423">
        <v>-138218</v>
      </c>
      <c r="H103" s="423">
        <v>-73815</v>
      </c>
      <c r="I103" s="423">
        <v>-132571</v>
      </c>
      <c r="J103" s="423">
        <v>-125299</v>
      </c>
      <c r="K103" s="423">
        <v>-176192</v>
      </c>
      <c r="L103" s="423">
        <v>-121171</v>
      </c>
      <c r="M103" s="423">
        <v>-87286</v>
      </c>
      <c r="N103" s="423">
        <v>-120453</v>
      </c>
      <c r="O103" s="423">
        <v>-133830</v>
      </c>
      <c r="P103" s="423">
        <v>-150662</v>
      </c>
      <c r="Q103" s="423">
        <v>-176837</v>
      </c>
      <c r="R103" s="423">
        <v>-268830</v>
      </c>
      <c r="S103" s="423">
        <v>-305015</v>
      </c>
      <c r="T103" s="423">
        <v>-183944</v>
      </c>
      <c r="U103" s="423">
        <v>-51791</v>
      </c>
      <c r="W103" s="423">
        <f t="shared" si="137"/>
        <v>-121171</v>
      </c>
      <c r="X103" s="423">
        <f t="shared" si="138"/>
        <v>33885</v>
      </c>
      <c r="Y103" s="423">
        <f t="shared" si="139"/>
        <v>-33167</v>
      </c>
      <c r="Z103" s="423">
        <f t="shared" si="140"/>
        <v>-13377</v>
      </c>
      <c r="AA103" s="423">
        <f t="shared" si="141"/>
        <v>-150662</v>
      </c>
      <c r="AB103" s="423">
        <f t="shared" si="142"/>
        <v>-26175</v>
      </c>
      <c r="AC103" s="423">
        <f t="shared" si="143"/>
        <v>-91993</v>
      </c>
      <c r="AD103" s="423">
        <f t="shared" si="144"/>
        <v>-36185</v>
      </c>
      <c r="AE103" s="423">
        <f t="shared" si="145"/>
        <v>-183944</v>
      </c>
      <c r="AF103" s="423">
        <f t="shared" si="146"/>
        <v>132153</v>
      </c>
    </row>
    <row r="104" spans="1:32" outlineLevel="1">
      <c r="A104" s="418" t="s">
        <v>741</v>
      </c>
      <c r="B104" s="418" t="s">
        <v>2536</v>
      </c>
      <c r="D104" s="423"/>
      <c r="E104" s="423"/>
      <c r="F104" s="423"/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>
        <v>-756</v>
      </c>
      <c r="R104" s="423">
        <v>0</v>
      </c>
      <c r="S104" s="423">
        <v>0</v>
      </c>
      <c r="T104" s="423">
        <v>-7478</v>
      </c>
      <c r="U104" s="423">
        <v>-5103</v>
      </c>
      <c r="W104" s="423">
        <f>L104</f>
        <v>0</v>
      </c>
      <c r="X104" s="423">
        <f>M104-W104</f>
        <v>0</v>
      </c>
      <c r="Y104" s="423">
        <f t="shared" si="139"/>
        <v>0</v>
      </c>
      <c r="Z104" s="423">
        <f t="shared" si="140"/>
        <v>0</v>
      </c>
      <c r="AA104" s="423">
        <f>P104</f>
        <v>0</v>
      </c>
      <c r="AB104" s="423">
        <f>Q104-AA104</f>
        <v>-756</v>
      </c>
      <c r="AC104" s="423">
        <f t="shared" si="143"/>
        <v>756</v>
      </c>
      <c r="AD104" s="423">
        <f t="shared" si="144"/>
        <v>0</v>
      </c>
      <c r="AE104" s="423">
        <f>T104</f>
        <v>-7478</v>
      </c>
      <c r="AF104" s="423">
        <f t="shared" si="146"/>
        <v>2375</v>
      </c>
    </row>
    <row r="105" spans="1:32" outlineLevel="1">
      <c r="A105" s="418" t="s">
        <v>752</v>
      </c>
      <c r="B105" s="418" t="s">
        <v>753</v>
      </c>
      <c r="D105" s="423">
        <v>0</v>
      </c>
      <c r="E105" s="423">
        <v>0</v>
      </c>
      <c r="F105" s="423">
        <v>0</v>
      </c>
      <c r="G105" s="423">
        <v>0</v>
      </c>
      <c r="H105" s="423">
        <v>0</v>
      </c>
      <c r="I105" s="423">
        <v>0</v>
      </c>
      <c r="J105" s="423">
        <v>0</v>
      </c>
      <c r="K105" s="423">
        <v>0</v>
      </c>
      <c r="L105" s="423">
        <v>0</v>
      </c>
      <c r="M105" s="423">
        <v>0</v>
      </c>
      <c r="N105" s="423">
        <v>0</v>
      </c>
      <c r="O105" s="423">
        <v>0</v>
      </c>
      <c r="P105" s="423">
        <v>0</v>
      </c>
      <c r="Q105" s="423">
        <v>0</v>
      </c>
      <c r="R105" s="423">
        <v>0</v>
      </c>
      <c r="S105" s="423">
        <v>0</v>
      </c>
      <c r="T105" s="423">
        <v>0</v>
      </c>
      <c r="U105" s="423">
        <v>0</v>
      </c>
      <c r="W105" s="423">
        <f>L105</f>
        <v>0</v>
      </c>
      <c r="X105" s="423">
        <f>M105-W105</f>
        <v>0</v>
      </c>
      <c r="Y105" s="423">
        <f t="shared" si="139"/>
        <v>0</v>
      </c>
      <c r="Z105" s="423">
        <f t="shared" si="140"/>
        <v>0</v>
      </c>
      <c r="AA105" s="423">
        <f>P105</f>
        <v>0</v>
      </c>
      <c r="AB105" s="423">
        <f>Q105-AA105</f>
        <v>0</v>
      </c>
      <c r="AC105" s="423">
        <f t="shared" si="143"/>
        <v>0</v>
      </c>
      <c r="AD105" s="423">
        <f t="shared" si="144"/>
        <v>0</v>
      </c>
      <c r="AE105" s="423">
        <f>T105</f>
        <v>0</v>
      </c>
      <c r="AF105" s="423">
        <f t="shared" si="146"/>
        <v>0</v>
      </c>
    </row>
    <row r="106" spans="1:32" outlineLevel="1">
      <c r="A106" s="418" t="s">
        <v>754</v>
      </c>
      <c r="B106" s="418" t="s">
        <v>755</v>
      </c>
      <c r="D106" s="423">
        <v>-2170</v>
      </c>
      <c r="E106" s="423">
        <v>-5855</v>
      </c>
      <c r="F106" s="423">
        <v>-29018</v>
      </c>
      <c r="G106" s="423">
        <v>-36155</v>
      </c>
      <c r="H106" s="423">
        <v>-894</v>
      </c>
      <c r="I106" s="423">
        <v>-3561</v>
      </c>
      <c r="J106" s="423">
        <v>-4780</v>
      </c>
      <c r="K106" s="423">
        <v>-8162</v>
      </c>
      <c r="L106" s="423">
        <v>-885</v>
      </c>
      <c r="M106" s="423">
        <v>-2949</v>
      </c>
      <c r="N106" s="423">
        <v>-15440</v>
      </c>
      <c r="O106" s="423">
        <v>-20971</v>
      </c>
      <c r="P106" s="423">
        <v>-1785</v>
      </c>
      <c r="Q106" s="423">
        <v>-4772</v>
      </c>
      <c r="R106" s="423">
        <v>-9071</v>
      </c>
      <c r="S106" s="423">
        <v>-19921</v>
      </c>
      <c r="T106" s="423">
        <v>-25074</v>
      </c>
      <c r="U106" s="423">
        <v>-1965</v>
      </c>
      <c r="W106" s="423">
        <f t="shared" si="137"/>
        <v>-885</v>
      </c>
      <c r="X106" s="423">
        <f t="shared" si="138"/>
        <v>-2064</v>
      </c>
      <c r="Y106" s="423">
        <f t="shared" si="139"/>
        <v>-12491</v>
      </c>
      <c r="Z106" s="423">
        <f t="shared" si="140"/>
        <v>-5531</v>
      </c>
      <c r="AA106" s="423">
        <f t="shared" si="141"/>
        <v>-1785</v>
      </c>
      <c r="AB106" s="423">
        <f t="shared" si="142"/>
        <v>-2987</v>
      </c>
      <c r="AC106" s="423">
        <f t="shared" si="143"/>
        <v>-4299</v>
      </c>
      <c r="AD106" s="423">
        <f t="shared" si="144"/>
        <v>-10850</v>
      </c>
      <c r="AE106" s="423">
        <f t="shared" si="145"/>
        <v>-25074</v>
      </c>
      <c r="AF106" s="423">
        <f t="shared" si="146"/>
        <v>23109</v>
      </c>
    </row>
    <row r="107" spans="1:32" outlineLevel="1">
      <c r="A107" s="418" t="s">
        <v>756</v>
      </c>
      <c r="B107" s="418" t="s">
        <v>757</v>
      </c>
      <c r="D107" s="423">
        <v>0</v>
      </c>
      <c r="E107" s="423">
        <v>-51</v>
      </c>
      <c r="F107" s="423">
        <v>-59</v>
      </c>
      <c r="G107" s="423">
        <v>-6626</v>
      </c>
      <c r="H107" s="423">
        <v>-10</v>
      </c>
      <c r="I107" s="423">
        <v>-12</v>
      </c>
      <c r="J107" s="423">
        <v>-19</v>
      </c>
      <c r="K107" s="423">
        <v>-40</v>
      </c>
      <c r="L107" s="423">
        <v>-286</v>
      </c>
      <c r="M107" s="423">
        <v>-441</v>
      </c>
      <c r="N107" s="423">
        <v>-878</v>
      </c>
      <c r="O107" s="423">
        <v>-923</v>
      </c>
      <c r="P107" s="423">
        <v>-42</v>
      </c>
      <c r="Q107" s="423">
        <v>-64</v>
      </c>
      <c r="R107" s="423">
        <v>-64</v>
      </c>
      <c r="S107" s="423">
        <v>-65</v>
      </c>
      <c r="T107" s="423">
        <v>-75</v>
      </c>
      <c r="U107" s="423">
        <v>-75</v>
      </c>
      <c r="W107" s="423">
        <f t="shared" si="137"/>
        <v>-286</v>
      </c>
      <c r="X107" s="423">
        <f t="shared" si="138"/>
        <v>-155</v>
      </c>
      <c r="Y107" s="423">
        <f t="shared" si="139"/>
        <v>-437</v>
      </c>
      <c r="Z107" s="423">
        <f t="shared" si="140"/>
        <v>-45</v>
      </c>
      <c r="AA107" s="423">
        <f t="shared" si="141"/>
        <v>-42</v>
      </c>
      <c r="AB107" s="423">
        <f t="shared" si="142"/>
        <v>-22</v>
      </c>
      <c r="AC107" s="423">
        <f t="shared" si="143"/>
        <v>0</v>
      </c>
      <c r="AD107" s="423">
        <f t="shared" si="144"/>
        <v>-1</v>
      </c>
      <c r="AE107" s="423">
        <f t="shared" si="145"/>
        <v>-75</v>
      </c>
      <c r="AF107" s="423">
        <f t="shared" si="146"/>
        <v>0</v>
      </c>
    </row>
    <row r="108" spans="1:32" outlineLevel="1">
      <c r="A108" s="418" t="s">
        <v>758</v>
      </c>
      <c r="B108" s="418" t="s">
        <v>759</v>
      </c>
      <c r="D108" s="423">
        <v>0</v>
      </c>
      <c r="E108" s="423">
        <v>0</v>
      </c>
      <c r="F108" s="423">
        <v>0</v>
      </c>
      <c r="G108" s="423">
        <v>0</v>
      </c>
      <c r="H108" s="423">
        <v>0</v>
      </c>
      <c r="I108" s="423">
        <v>0</v>
      </c>
      <c r="J108" s="423">
        <v>0</v>
      </c>
      <c r="K108" s="423">
        <v>0</v>
      </c>
      <c r="L108" s="423">
        <v>0</v>
      </c>
      <c r="M108" s="423">
        <v>0</v>
      </c>
      <c r="N108" s="423">
        <v>0</v>
      </c>
      <c r="O108" s="423">
        <v>0</v>
      </c>
      <c r="P108" s="423">
        <v>0</v>
      </c>
      <c r="Q108" s="423">
        <v>0</v>
      </c>
      <c r="R108" s="423">
        <v>0</v>
      </c>
      <c r="S108" s="423">
        <v>0</v>
      </c>
      <c r="T108" s="423">
        <v>0</v>
      </c>
      <c r="U108" s="423">
        <v>-238699</v>
      </c>
      <c r="W108" s="423">
        <f t="shared" si="137"/>
        <v>0</v>
      </c>
      <c r="X108" s="423">
        <f t="shared" si="138"/>
        <v>0</v>
      </c>
      <c r="Y108" s="423">
        <f t="shared" si="139"/>
        <v>0</v>
      </c>
      <c r="Z108" s="423">
        <f t="shared" si="140"/>
        <v>0</v>
      </c>
      <c r="AA108" s="423">
        <f t="shared" si="141"/>
        <v>0</v>
      </c>
      <c r="AB108" s="423">
        <f t="shared" si="142"/>
        <v>0</v>
      </c>
      <c r="AC108" s="423">
        <f t="shared" si="143"/>
        <v>0</v>
      </c>
      <c r="AD108" s="423">
        <f t="shared" si="144"/>
        <v>0</v>
      </c>
      <c r="AE108" s="423">
        <f t="shared" si="145"/>
        <v>0</v>
      </c>
      <c r="AF108" s="423">
        <f t="shared" si="146"/>
        <v>-238699</v>
      </c>
    </row>
    <row r="109" spans="1:32" outlineLevel="1">
      <c r="A109" s="418" t="s">
        <v>760</v>
      </c>
      <c r="B109" s="418" t="s">
        <v>761</v>
      </c>
      <c r="D109" s="423">
        <v>-129</v>
      </c>
      <c r="E109" s="423">
        <v>-308</v>
      </c>
      <c r="F109" s="423">
        <v>-672</v>
      </c>
      <c r="G109" s="423">
        <v>-13984</v>
      </c>
      <c r="H109" s="423">
        <v>-1607</v>
      </c>
      <c r="I109" s="423">
        <v>-3375</v>
      </c>
      <c r="J109" s="423">
        <v>-5194</v>
      </c>
      <c r="K109" s="423">
        <v>-6875</v>
      </c>
      <c r="L109" s="423">
        <v>-1538</v>
      </c>
      <c r="M109" s="423">
        <v>-3105</v>
      </c>
      <c r="N109" s="423">
        <v>-4756</v>
      </c>
      <c r="O109" s="423">
        <v>-5800</v>
      </c>
      <c r="P109" s="423">
        <v>-129</v>
      </c>
      <c r="Q109" s="423">
        <v>-218</v>
      </c>
      <c r="R109" s="423">
        <v>-340</v>
      </c>
      <c r="S109" s="423">
        <v>-751</v>
      </c>
      <c r="T109" s="423">
        <v>147</v>
      </c>
      <c r="U109" s="423">
        <v>-103</v>
      </c>
      <c r="W109" s="423">
        <f t="shared" si="137"/>
        <v>-1538</v>
      </c>
      <c r="X109" s="423">
        <f t="shared" si="138"/>
        <v>-1567</v>
      </c>
      <c r="Y109" s="423">
        <f t="shared" si="139"/>
        <v>-1651</v>
      </c>
      <c r="Z109" s="423">
        <f t="shared" si="140"/>
        <v>-1044</v>
      </c>
      <c r="AA109" s="423">
        <f t="shared" si="141"/>
        <v>-129</v>
      </c>
      <c r="AB109" s="423">
        <f t="shared" si="142"/>
        <v>-89</v>
      </c>
      <c r="AC109" s="423">
        <f t="shared" si="143"/>
        <v>-122</v>
      </c>
      <c r="AD109" s="423">
        <f t="shared" si="144"/>
        <v>-411</v>
      </c>
      <c r="AE109" s="423">
        <f t="shared" si="145"/>
        <v>147</v>
      </c>
      <c r="AF109" s="423">
        <f t="shared" si="146"/>
        <v>-250</v>
      </c>
    </row>
    <row r="110" spans="1:32" outlineLevel="1">
      <c r="A110" s="418" t="s">
        <v>762</v>
      </c>
      <c r="B110" s="418" t="s">
        <v>763</v>
      </c>
      <c r="D110" s="423">
        <v>-22809</v>
      </c>
      <c r="E110" s="423">
        <v>-93118</v>
      </c>
      <c r="F110" s="423">
        <v>-115275</v>
      </c>
      <c r="G110" s="423">
        <v>-119195</v>
      </c>
      <c r="H110" s="423">
        <v>-14813</v>
      </c>
      <c r="I110" s="423">
        <v>-22192</v>
      </c>
      <c r="J110" s="423">
        <v>-41624</v>
      </c>
      <c r="K110" s="423">
        <v>-59363</v>
      </c>
      <c r="L110" s="423">
        <v>-18647</v>
      </c>
      <c r="M110" s="423">
        <v>-39810</v>
      </c>
      <c r="N110" s="423">
        <v>-53163</v>
      </c>
      <c r="O110" s="423">
        <v>-58852</v>
      </c>
      <c r="P110" s="423">
        <v>-16517</v>
      </c>
      <c r="Q110" s="423">
        <v>-28164</v>
      </c>
      <c r="R110" s="423">
        <v>-68354</v>
      </c>
      <c r="S110" s="423">
        <v>-65311</v>
      </c>
      <c r="T110" s="423">
        <v>-8613</v>
      </c>
      <c r="U110" s="423">
        <v>-18092</v>
      </c>
      <c r="W110" s="423">
        <f t="shared" si="137"/>
        <v>-18647</v>
      </c>
      <c r="X110" s="423">
        <f t="shared" si="138"/>
        <v>-21163</v>
      </c>
      <c r="Y110" s="423">
        <f t="shared" si="139"/>
        <v>-13353</v>
      </c>
      <c r="Z110" s="423">
        <f t="shared" si="140"/>
        <v>-5689</v>
      </c>
      <c r="AA110" s="423">
        <f t="shared" si="141"/>
        <v>-16517</v>
      </c>
      <c r="AB110" s="423">
        <f t="shared" si="142"/>
        <v>-11647</v>
      </c>
      <c r="AC110" s="423">
        <f t="shared" si="143"/>
        <v>-40190</v>
      </c>
      <c r="AD110" s="423">
        <f t="shared" si="144"/>
        <v>3043</v>
      </c>
      <c r="AE110" s="423">
        <f t="shared" si="145"/>
        <v>-8613</v>
      </c>
      <c r="AF110" s="423">
        <f t="shared" si="146"/>
        <v>-9479</v>
      </c>
    </row>
    <row r="111" spans="1:32">
      <c r="A111" s="417"/>
      <c r="B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</row>
    <row r="112" spans="1:32">
      <c r="A112" s="429" t="s">
        <v>764</v>
      </c>
      <c r="B112" s="429" t="s">
        <v>765</v>
      </c>
      <c r="D112" s="420">
        <f t="shared" ref="D112:I112" si="147">D86+D88</f>
        <v>170940</v>
      </c>
      <c r="E112" s="420">
        <f t="shared" si="147"/>
        <v>298874</v>
      </c>
      <c r="F112" s="420">
        <f>F86+F88</f>
        <v>500855</v>
      </c>
      <c r="G112" s="420">
        <f t="shared" si="147"/>
        <v>500092</v>
      </c>
      <c r="H112" s="420">
        <f t="shared" si="147"/>
        <v>-4316</v>
      </c>
      <c r="I112" s="420">
        <f t="shared" si="147"/>
        <v>-10779</v>
      </c>
      <c r="J112" s="420">
        <f t="shared" ref="J112:Q112" si="148">J86+J88</f>
        <v>-7766</v>
      </c>
      <c r="K112" s="420">
        <f t="shared" si="148"/>
        <v>55085</v>
      </c>
      <c r="L112" s="420">
        <f t="shared" si="148"/>
        <v>-22047</v>
      </c>
      <c r="M112" s="420">
        <f t="shared" si="148"/>
        <v>74195</v>
      </c>
      <c r="N112" s="420">
        <f t="shared" si="148"/>
        <v>121445</v>
      </c>
      <c r="O112" s="420">
        <f t="shared" si="148"/>
        <v>200683</v>
      </c>
      <c r="P112" s="420">
        <f t="shared" si="148"/>
        <v>9853</v>
      </c>
      <c r="Q112" s="420">
        <f t="shared" si="148"/>
        <v>29409</v>
      </c>
      <c r="R112" s="420">
        <f t="shared" ref="R112:T112" si="149">R86+R88</f>
        <v>2816</v>
      </c>
      <c r="S112" s="420">
        <f t="shared" si="149"/>
        <v>10571</v>
      </c>
      <c r="T112" s="420">
        <f t="shared" si="149"/>
        <v>257</v>
      </c>
      <c r="U112" s="741">
        <f>U86+U88</f>
        <v>6327</v>
      </c>
      <c r="W112" s="420">
        <f t="shared" ref="W112:AC112" si="150">W86+W88</f>
        <v>-22047</v>
      </c>
      <c r="X112" s="420">
        <f t="shared" si="150"/>
        <v>96242</v>
      </c>
      <c r="Y112" s="420">
        <f t="shared" si="150"/>
        <v>47250</v>
      </c>
      <c r="Z112" s="420">
        <f t="shared" si="150"/>
        <v>79238</v>
      </c>
      <c r="AA112" s="420">
        <f t="shared" si="150"/>
        <v>9853</v>
      </c>
      <c r="AB112" s="420">
        <f t="shared" si="150"/>
        <v>19557</v>
      </c>
      <c r="AC112" s="420">
        <f t="shared" si="150"/>
        <v>-26594</v>
      </c>
      <c r="AD112" s="420">
        <f t="shared" ref="AD112:AE112" si="151">AD86+AD88</f>
        <v>7755</v>
      </c>
      <c r="AE112" s="420">
        <f t="shared" si="151"/>
        <v>257</v>
      </c>
      <c r="AF112" s="741">
        <f>AF86+AF88</f>
        <v>52896</v>
      </c>
    </row>
    <row r="114" spans="1:32">
      <c r="A114" s="416" t="s">
        <v>766</v>
      </c>
      <c r="B114" s="416" t="s">
        <v>767</v>
      </c>
      <c r="D114" s="424">
        <f t="shared" ref="D114:J114" si="152">SUM(D116:D119)</f>
        <v>-42746</v>
      </c>
      <c r="E114" s="424">
        <f t="shared" si="152"/>
        <v>-68800</v>
      </c>
      <c r="F114" s="424">
        <f>SUM(F116:F119)</f>
        <v>-111560</v>
      </c>
      <c r="G114" s="424">
        <f t="shared" si="152"/>
        <v>-111023</v>
      </c>
      <c r="H114" s="424">
        <f t="shared" si="152"/>
        <v>0</v>
      </c>
      <c r="I114" s="424">
        <f t="shared" si="152"/>
        <v>-6231</v>
      </c>
      <c r="J114" s="424">
        <f t="shared" si="152"/>
        <v>-1911</v>
      </c>
      <c r="K114" s="424">
        <f t="shared" ref="K114:Q114" si="153">SUM(K116:K119)</f>
        <v>21897</v>
      </c>
      <c r="L114" s="424">
        <f t="shared" si="153"/>
        <v>296</v>
      </c>
      <c r="M114" s="424">
        <f t="shared" si="153"/>
        <v>296</v>
      </c>
      <c r="N114" s="424">
        <f t="shared" si="153"/>
        <v>296</v>
      </c>
      <c r="O114" s="424">
        <f t="shared" si="153"/>
        <v>296</v>
      </c>
      <c r="P114" s="424">
        <f t="shared" si="153"/>
        <v>-2170</v>
      </c>
      <c r="Q114" s="424">
        <f t="shared" si="153"/>
        <v>-9779</v>
      </c>
      <c r="R114" s="424">
        <f t="shared" ref="R114:T114" si="154">SUM(R116:R119)</f>
        <v>-14295</v>
      </c>
      <c r="S114" s="424">
        <f t="shared" si="154"/>
        <v>-22607</v>
      </c>
      <c r="T114" s="424">
        <f t="shared" si="154"/>
        <v>-5053</v>
      </c>
      <c r="U114" s="424">
        <f>SUM(U116:U119)</f>
        <v>-16748</v>
      </c>
      <c r="W114" s="424">
        <f t="shared" ref="W114:AC114" si="155">SUM(W116:W119)</f>
        <v>296</v>
      </c>
      <c r="X114" s="424">
        <f t="shared" si="155"/>
        <v>0</v>
      </c>
      <c r="Y114" s="424">
        <f t="shared" si="155"/>
        <v>0</v>
      </c>
      <c r="Z114" s="424">
        <f t="shared" si="155"/>
        <v>0</v>
      </c>
      <c r="AA114" s="424">
        <f t="shared" si="155"/>
        <v>-2170</v>
      </c>
      <c r="AB114" s="424">
        <f t="shared" si="155"/>
        <v>-7609</v>
      </c>
      <c r="AC114" s="424">
        <f t="shared" si="155"/>
        <v>-4516</v>
      </c>
      <c r="AD114" s="424">
        <f t="shared" ref="AD114:AE114" si="156">SUM(AD116:AD119)</f>
        <v>-8312</v>
      </c>
      <c r="AE114" s="424">
        <f t="shared" si="156"/>
        <v>-5053</v>
      </c>
      <c r="AF114" s="424">
        <f>SUM(AF116:AF119)</f>
        <v>-11695</v>
      </c>
    </row>
    <row r="115" spans="1:32">
      <c r="A115" s="417"/>
      <c r="B115" s="417"/>
      <c r="D115" s="417"/>
      <c r="E115" s="417"/>
      <c r="F115" s="417"/>
      <c r="G115" s="417"/>
      <c r="H115" s="417"/>
      <c r="I115" s="417"/>
      <c r="J115" s="417"/>
      <c r="K115" s="417"/>
      <c r="L115" s="417"/>
      <c r="M115" s="417"/>
      <c r="N115" s="417"/>
      <c r="P115" s="417"/>
      <c r="Q115" s="417"/>
      <c r="R115" s="417"/>
      <c r="S115" s="417"/>
      <c r="T115" s="417"/>
      <c r="U115" s="417"/>
      <c r="W115" s="417"/>
      <c r="X115" s="417"/>
      <c r="Y115" s="417"/>
      <c r="AA115" s="417"/>
      <c r="AB115" s="417"/>
      <c r="AC115" s="417"/>
      <c r="AD115" s="417"/>
      <c r="AE115" s="417"/>
      <c r="AF115" s="417"/>
    </row>
    <row r="116" spans="1:32">
      <c r="A116" s="417" t="s">
        <v>768</v>
      </c>
      <c r="B116" s="417" t="s">
        <v>769</v>
      </c>
      <c r="D116" s="425">
        <v>-11317</v>
      </c>
      <c r="E116" s="425">
        <v>-23748</v>
      </c>
      <c r="F116" s="425">
        <v>-31102</v>
      </c>
      <c r="G116" s="425">
        <v>-29642</v>
      </c>
      <c r="H116" s="425">
        <v>0</v>
      </c>
      <c r="I116" s="425">
        <v>-1634</v>
      </c>
      <c r="J116" s="425">
        <v>-458</v>
      </c>
      <c r="K116" s="425">
        <v>3972</v>
      </c>
      <c r="L116" s="425">
        <v>0</v>
      </c>
      <c r="M116" s="425">
        <v>0</v>
      </c>
      <c r="N116" s="425">
        <v>0</v>
      </c>
      <c r="O116" s="425">
        <v>0</v>
      </c>
      <c r="P116" s="425">
        <v>-767</v>
      </c>
      <c r="Q116" s="425">
        <v>-2609</v>
      </c>
      <c r="R116" s="425">
        <v>-3812</v>
      </c>
      <c r="S116" s="425">
        <v>-6026</v>
      </c>
      <c r="T116" s="425">
        <v>-1352</v>
      </c>
      <c r="U116" s="756">
        <v>-4503</v>
      </c>
      <c r="W116" s="425">
        <f>L116</f>
        <v>0</v>
      </c>
      <c r="X116" s="425">
        <f>M116-W116</f>
        <v>0</v>
      </c>
      <c r="Y116" s="425">
        <f t="shared" ref="Y116:Z119" si="157">N116-M116</f>
        <v>0</v>
      </c>
      <c r="Z116" s="425">
        <f t="shared" si="157"/>
        <v>0</v>
      </c>
      <c r="AA116" s="425">
        <f>P116</f>
        <v>-767</v>
      </c>
      <c r="AB116" s="425">
        <f t="shared" ref="AB116:AB119" si="158">Q116-AA116</f>
        <v>-1842</v>
      </c>
      <c r="AC116" s="425">
        <f t="shared" ref="AC116:AD119" si="159">R116-Q116</f>
        <v>-1203</v>
      </c>
      <c r="AD116" s="425">
        <f t="shared" si="159"/>
        <v>-2214</v>
      </c>
      <c r="AE116" s="425">
        <f>T116</f>
        <v>-1352</v>
      </c>
      <c r="AF116" s="756">
        <f>U116-T116</f>
        <v>-3151</v>
      </c>
    </row>
    <row r="117" spans="1:32">
      <c r="A117" s="417" t="s">
        <v>770</v>
      </c>
      <c r="B117" s="417" t="s">
        <v>771</v>
      </c>
      <c r="D117" s="425">
        <v>-31429</v>
      </c>
      <c r="E117" s="425">
        <v>-73124</v>
      </c>
      <c r="F117" s="425">
        <v>-80458</v>
      </c>
      <c r="G117" s="425">
        <v>-81381</v>
      </c>
      <c r="H117" s="425">
        <v>0</v>
      </c>
      <c r="I117" s="425">
        <v>-4597</v>
      </c>
      <c r="J117" s="425">
        <v>-1453</v>
      </c>
      <c r="K117" s="425">
        <v>8455</v>
      </c>
      <c r="L117" s="425">
        <v>0</v>
      </c>
      <c r="M117" s="425">
        <v>0</v>
      </c>
      <c r="N117" s="425">
        <v>0</v>
      </c>
      <c r="O117" s="425">
        <v>0</v>
      </c>
      <c r="P117" s="425">
        <v>-1403</v>
      </c>
      <c r="Q117" s="425">
        <v>-7170</v>
      </c>
      <c r="R117" s="425">
        <v>-10483</v>
      </c>
      <c r="S117" s="425">
        <v>-16581</v>
      </c>
      <c r="T117" s="425">
        <v>-3701</v>
      </c>
      <c r="U117" s="756">
        <v>-12245</v>
      </c>
      <c r="W117" s="425">
        <f>L117</f>
        <v>0</v>
      </c>
      <c r="X117" s="425">
        <f>M117-W117</f>
        <v>0</v>
      </c>
      <c r="Y117" s="425">
        <f t="shared" si="157"/>
        <v>0</v>
      </c>
      <c r="Z117" s="425">
        <f t="shared" si="157"/>
        <v>0</v>
      </c>
      <c r="AA117" s="425">
        <f>P117</f>
        <v>-1403</v>
      </c>
      <c r="AB117" s="425">
        <f t="shared" si="158"/>
        <v>-5767</v>
      </c>
      <c r="AC117" s="425">
        <f t="shared" si="159"/>
        <v>-3313</v>
      </c>
      <c r="AD117" s="425">
        <f t="shared" si="159"/>
        <v>-6098</v>
      </c>
      <c r="AE117" s="425">
        <f>T117</f>
        <v>-3701</v>
      </c>
      <c r="AF117" s="756">
        <f>U117-T117</f>
        <v>-8544</v>
      </c>
    </row>
    <row r="118" spans="1:32">
      <c r="A118" s="417" t="s">
        <v>772</v>
      </c>
      <c r="B118" s="417" t="s">
        <v>773</v>
      </c>
      <c r="D118" s="425">
        <v>0</v>
      </c>
      <c r="E118" s="425">
        <v>28072</v>
      </c>
      <c r="F118" s="425">
        <v>0</v>
      </c>
      <c r="G118" s="425">
        <v>0</v>
      </c>
      <c r="H118" s="425">
        <v>0</v>
      </c>
      <c r="I118" s="425">
        <v>0</v>
      </c>
      <c r="J118" s="425">
        <v>0</v>
      </c>
      <c r="K118" s="425">
        <v>9470</v>
      </c>
      <c r="L118" s="425">
        <v>0</v>
      </c>
      <c r="M118" s="425">
        <v>0</v>
      </c>
      <c r="N118" s="425">
        <v>0</v>
      </c>
      <c r="O118" s="425">
        <v>0</v>
      </c>
      <c r="P118" s="425">
        <v>0</v>
      </c>
      <c r="Q118" s="425">
        <v>0</v>
      </c>
      <c r="R118" s="425">
        <v>0</v>
      </c>
      <c r="S118" s="425">
        <v>0</v>
      </c>
      <c r="T118" s="425">
        <v>0</v>
      </c>
      <c r="U118" s="756">
        <v>0</v>
      </c>
      <c r="W118" s="425">
        <f>L118</f>
        <v>0</v>
      </c>
      <c r="X118" s="425">
        <f>M118-W118</f>
        <v>0</v>
      </c>
      <c r="Y118" s="425">
        <f t="shared" si="157"/>
        <v>0</v>
      </c>
      <c r="Z118" s="425">
        <f t="shared" si="157"/>
        <v>0</v>
      </c>
      <c r="AA118" s="425">
        <f>P118</f>
        <v>0</v>
      </c>
      <c r="AB118" s="425">
        <f t="shared" si="158"/>
        <v>0</v>
      </c>
      <c r="AC118" s="425">
        <f t="shared" si="159"/>
        <v>0</v>
      </c>
      <c r="AD118" s="425">
        <f t="shared" si="159"/>
        <v>0</v>
      </c>
      <c r="AE118" s="425">
        <f>T118</f>
        <v>0</v>
      </c>
      <c r="AF118" s="756">
        <f>U118-T118</f>
        <v>0</v>
      </c>
    </row>
    <row r="119" spans="1:32">
      <c r="A119" s="417" t="s">
        <v>774</v>
      </c>
      <c r="B119" s="417" t="s">
        <v>775</v>
      </c>
      <c r="D119" s="425">
        <v>0</v>
      </c>
      <c r="E119" s="425">
        <v>0</v>
      </c>
      <c r="F119" s="425">
        <v>0</v>
      </c>
      <c r="G119" s="425">
        <v>0</v>
      </c>
      <c r="H119" s="425">
        <v>0</v>
      </c>
      <c r="I119" s="425">
        <v>0</v>
      </c>
      <c r="J119" s="425">
        <v>0</v>
      </c>
      <c r="K119" s="425">
        <v>0</v>
      </c>
      <c r="L119" s="425">
        <v>296</v>
      </c>
      <c r="M119" s="425">
        <v>296</v>
      </c>
      <c r="N119" s="425">
        <v>296</v>
      </c>
      <c r="O119" s="425">
        <v>296</v>
      </c>
      <c r="P119" s="425">
        <v>0</v>
      </c>
      <c r="Q119" s="425">
        <v>0</v>
      </c>
      <c r="R119" s="425">
        <v>0</v>
      </c>
      <c r="S119" s="425">
        <v>0</v>
      </c>
      <c r="T119" s="425">
        <v>0</v>
      </c>
      <c r="U119" s="756">
        <v>0</v>
      </c>
      <c r="W119" s="425">
        <f>L119</f>
        <v>296</v>
      </c>
      <c r="X119" s="425">
        <f>M119-W119</f>
        <v>0</v>
      </c>
      <c r="Y119" s="425">
        <f t="shared" si="157"/>
        <v>0</v>
      </c>
      <c r="Z119" s="425">
        <f t="shared" si="157"/>
        <v>0</v>
      </c>
      <c r="AA119" s="425">
        <f>P119</f>
        <v>0</v>
      </c>
      <c r="AB119" s="425">
        <f t="shared" si="158"/>
        <v>0</v>
      </c>
      <c r="AC119" s="425">
        <f t="shared" si="159"/>
        <v>0</v>
      </c>
      <c r="AD119" s="425">
        <f t="shared" si="159"/>
        <v>0</v>
      </c>
      <c r="AE119" s="425">
        <f>T119</f>
        <v>0</v>
      </c>
      <c r="AF119" s="756">
        <f>U119-T119</f>
        <v>0</v>
      </c>
    </row>
    <row r="120" spans="1:32">
      <c r="A120" s="417"/>
      <c r="B120" s="417"/>
      <c r="D120" s="417"/>
      <c r="E120" s="417"/>
      <c r="F120" s="417"/>
      <c r="G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</row>
    <row r="121" spans="1:32" ht="15" thickBot="1">
      <c r="A121" s="430" t="s">
        <v>776</v>
      </c>
      <c r="B121" s="430" t="s">
        <v>777</v>
      </c>
      <c r="D121" s="426">
        <f t="shared" ref="D121:K121" si="160">D112+D114</f>
        <v>128194</v>
      </c>
      <c r="E121" s="426">
        <f t="shared" si="160"/>
        <v>230074</v>
      </c>
      <c r="F121" s="426">
        <f>F112+F114</f>
        <v>389295</v>
      </c>
      <c r="G121" s="426">
        <f t="shared" si="160"/>
        <v>389069</v>
      </c>
      <c r="H121" s="426">
        <f t="shared" si="160"/>
        <v>-4316</v>
      </c>
      <c r="I121" s="426">
        <f t="shared" si="160"/>
        <v>-17010</v>
      </c>
      <c r="J121" s="426">
        <f t="shared" si="160"/>
        <v>-9677</v>
      </c>
      <c r="K121" s="426">
        <f t="shared" si="160"/>
        <v>76982</v>
      </c>
      <c r="L121" s="426">
        <f t="shared" ref="L121:T121" si="161">L112+L114</f>
        <v>-21751</v>
      </c>
      <c r="M121" s="426">
        <f t="shared" si="161"/>
        <v>74491</v>
      </c>
      <c r="N121" s="426">
        <f t="shared" si="161"/>
        <v>121741</v>
      </c>
      <c r="O121" s="426">
        <f t="shared" si="161"/>
        <v>200979</v>
      </c>
      <c r="P121" s="426">
        <f t="shared" si="161"/>
        <v>7683</v>
      </c>
      <c r="Q121" s="426">
        <f t="shared" si="161"/>
        <v>19630</v>
      </c>
      <c r="R121" s="426">
        <f t="shared" si="161"/>
        <v>-11479</v>
      </c>
      <c r="S121" s="426">
        <f t="shared" si="161"/>
        <v>-12036</v>
      </c>
      <c r="T121" s="426">
        <f t="shared" si="161"/>
        <v>-4796</v>
      </c>
      <c r="U121" s="426">
        <f>U112+U114</f>
        <v>-10421</v>
      </c>
      <c r="W121" s="426">
        <f t="shared" ref="W121:AC121" si="162">W112+W114</f>
        <v>-21751</v>
      </c>
      <c r="X121" s="426">
        <f t="shared" si="162"/>
        <v>96242</v>
      </c>
      <c r="Y121" s="426">
        <f t="shared" si="162"/>
        <v>47250</v>
      </c>
      <c r="Z121" s="426">
        <f t="shared" si="162"/>
        <v>79238</v>
      </c>
      <c r="AA121" s="426">
        <f t="shared" si="162"/>
        <v>7683</v>
      </c>
      <c r="AB121" s="426">
        <f t="shared" si="162"/>
        <v>11948</v>
      </c>
      <c r="AC121" s="426">
        <f t="shared" si="162"/>
        <v>-31110</v>
      </c>
      <c r="AD121" s="426">
        <f t="shared" ref="AD121:AE121" si="163">AD112+AD114</f>
        <v>-557</v>
      </c>
      <c r="AE121" s="426">
        <f t="shared" si="163"/>
        <v>-4796</v>
      </c>
      <c r="AF121" s="426">
        <f>AF112+AF114</f>
        <v>41201</v>
      </c>
    </row>
    <row r="122" spans="1:32" ht="15" thickTop="1">
      <c r="A122" s="417"/>
      <c r="B122" s="417"/>
      <c r="D122" s="417"/>
      <c r="E122" s="417"/>
      <c r="F122" s="417"/>
      <c r="G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S122" s="417"/>
      <c r="T122" s="417"/>
      <c r="U122" s="417"/>
      <c r="W122" s="417"/>
      <c r="X122" s="417"/>
      <c r="Y122" s="417"/>
      <c r="Z122" s="417"/>
      <c r="AA122" s="417"/>
      <c r="AB122" s="417"/>
      <c r="AC122" s="417"/>
      <c r="AD122" s="417"/>
      <c r="AE122" s="417"/>
      <c r="AF122" s="417"/>
    </row>
    <row r="123" spans="1:32">
      <c r="A123" s="416" t="s">
        <v>778</v>
      </c>
      <c r="B123" s="416" t="s">
        <v>779</v>
      </c>
      <c r="D123" s="425"/>
      <c r="E123" s="425"/>
      <c r="F123" s="425"/>
      <c r="G123" s="425"/>
      <c r="H123" s="425"/>
      <c r="I123" s="425"/>
      <c r="J123" s="425"/>
      <c r="K123" s="425"/>
      <c r="L123" s="425"/>
      <c r="M123" s="425"/>
      <c r="N123" s="425"/>
      <c r="O123" s="425"/>
      <c r="P123" s="425"/>
      <c r="Q123" s="425"/>
      <c r="R123" s="425"/>
      <c r="S123" s="425"/>
      <c r="T123" s="425"/>
      <c r="U123" s="756"/>
      <c r="W123" s="425"/>
      <c r="X123" s="425"/>
      <c r="Y123" s="425"/>
      <c r="Z123" s="425"/>
      <c r="AA123" s="425"/>
      <c r="AB123" s="425"/>
      <c r="AC123" s="425"/>
      <c r="AD123" s="425"/>
      <c r="AE123" s="425"/>
      <c r="AF123" s="756"/>
    </row>
    <row r="124" spans="1:32">
      <c r="A124" s="417" t="s">
        <v>780</v>
      </c>
      <c r="B124" s="417" t="s">
        <v>781</v>
      </c>
      <c r="D124" s="425">
        <f t="shared" ref="D124:J124" si="164">D121-D125</f>
        <v>128171.99393497175</v>
      </c>
      <c r="E124" s="425">
        <f t="shared" si="164"/>
        <v>230034.50498927166</v>
      </c>
      <c r="F124" s="425">
        <f>F121-F125</f>
        <v>389228.17276093131</v>
      </c>
      <c r="G124" s="425">
        <f t="shared" si="164"/>
        <v>389002.21155659016</v>
      </c>
      <c r="H124" s="425">
        <f t="shared" si="164"/>
        <v>-4315.2591059124297</v>
      </c>
      <c r="I124" s="425">
        <f t="shared" si="164"/>
        <v>-17007.080025850424</v>
      </c>
      <c r="J124" s="425">
        <f t="shared" si="164"/>
        <v>-9675.3388248180236</v>
      </c>
      <c r="K124" s="425">
        <f>K121-K125</f>
        <v>76968.785099942237</v>
      </c>
      <c r="L124" s="425">
        <v>-21747</v>
      </c>
      <c r="M124" s="425">
        <v>74478</v>
      </c>
      <c r="N124" s="425">
        <v>121721</v>
      </c>
      <c r="O124" s="425">
        <v>200945</v>
      </c>
      <c r="P124" s="425">
        <v>7681</v>
      </c>
      <c r="Q124" s="425">
        <v>19627</v>
      </c>
      <c r="R124" s="425">
        <v>-11477</v>
      </c>
      <c r="S124" s="425">
        <v>-12034</v>
      </c>
      <c r="T124" s="425">
        <v>-4796</v>
      </c>
      <c r="U124" s="756">
        <v>-10419</v>
      </c>
      <c r="W124" s="425">
        <f>L124</f>
        <v>-21747</v>
      </c>
      <c r="X124" s="425">
        <f>M124-W124</f>
        <v>96225</v>
      </c>
      <c r="Y124" s="425">
        <f>N124-M124</f>
        <v>47243</v>
      </c>
      <c r="Z124" s="425">
        <f>O124-N124</f>
        <v>79224</v>
      </c>
      <c r="AA124" s="425">
        <f>P124</f>
        <v>7681</v>
      </c>
      <c r="AB124" s="425">
        <f>Q124-AA124</f>
        <v>11946</v>
      </c>
      <c r="AC124" s="425">
        <f>R124-Q124</f>
        <v>-31104</v>
      </c>
      <c r="AD124" s="425">
        <f>S124-R124</f>
        <v>-557</v>
      </c>
      <c r="AE124" s="425">
        <f>T124</f>
        <v>-4796</v>
      </c>
      <c r="AF124" s="756">
        <f>U124-T124</f>
        <v>-5623</v>
      </c>
    </row>
    <row r="125" spans="1:32">
      <c r="A125" s="417" t="s">
        <v>782</v>
      </c>
      <c r="B125" s="417" t="s">
        <v>783</v>
      </c>
      <c r="D125" s="425">
        <f t="shared" ref="D125:J125" si="165">D121*D130</f>
        <v>22.006065028252245</v>
      </c>
      <c r="E125" s="425">
        <f t="shared" si="165"/>
        <v>39.49501072835006</v>
      </c>
      <c r="F125" s="425">
        <f>F121*F130</f>
        <v>66.827239068704131</v>
      </c>
      <c r="G125" s="425">
        <f t="shared" si="165"/>
        <v>66.788443409809148</v>
      </c>
      <c r="H125" s="425">
        <f t="shared" si="165"/>
        <v>-0.74089408756990727</v>
      </c>
      <c r="I125" s="425">
        <f t="shared" si="165"/>
        <v>-2.9199741495746343</v>
      </c>
      <c r="J125" s="425">
        <f t="shared" si="165"/>
        <v>-1.661175181977292</v>
      </c>
      <c r="K125" s="425">
        <f>K121*K130</f>
        <v>13.214900057763346</v>
      </c>
      <c r="L125" s="425">
        <v>-4</v>
      </c>
      <c r="M125" s="425">
        <v>13</v>
      </c>
      <c r="N125" s="425">
        <v>20</v>
      </c>
      <c r="O125" s="425">
        <v>34</v>
      </c>
      <c r="P125" s="425">
        <v>2</v>
      </c>
      <c r="Q125" s="425">
        <v>3</v>
      </c>
      <c r="R125" s="425">
        <v>-2</v>
      </c>
      <c r="S125" s="425">
        <v>-2</v>
      </c>
      <c r="T125" s="425">
        <v>-1</v>
      </c>
      <c r="U125" s="756">
        <v>-2</v>
      </c>
      <c r="W125" s="425">
        <f>L125</f>
        <v>-4</v>
      </c>
      <c r="X125" s="425">
        <f>M125-W125</f>
        <v>17</v>
      </c>
      <c r="Y125" s="425">
        <f>N125-M125</f>
        <v>7</v>
      </c>
      <c r="Z125" s="425">
        <f>O125-N125</f>
        <v>14</v>
      </c>
      <c r="AA125" s="425">
        <f>P125</f>
        <v>2</v>
      </c>
      <c r="AB125" s="425">
        <f>Q125-AA125</f>
        <v>1</v>
      </c>
      <c r="AC125" s="425">
        <f>R125-Q125</f>
        <v>-5</v>
      </c>
      <c r="AD125" s="425">
        <f>S125-R125</f>
        <v>0</v>
      </c>
      <c r="AE125" s="425">
        <f>T125</f>
        <v>-1</v>
      </c>
      <c r="AF125" s="756">
        <f>U125-T125</f>
        <v>-1</v>
      </c>
    </row>
    <row r="126" spans="1:32">
      <c r="A126" s="417"/>
      <c r="B126" s="417"/>
      <c r="D126" s="417"/>
      <c r="E126" s="417"/>
      <c r="F126" s="417"/>
      <c r="G126" s="417"/>
      <c r="H126" s="417"/>
      <c r="I126" s="417"/>
      <c r="J126" s="417"/>
      <c r="K126" s="417"/>
      <c r="L126" s="417"/>
      <c r="M126" s="417"/>
      <c r="N126" s="417"/>
      <c r="P126" s="417"/>
      <c r="Q126" s="417"/>
      <c r="R126" s="417"/>
      <c r="S126" s="417"/>
      <c r="T126" s="417"/>
      <c r="U126" s="417"/>
      <c r="W126" s="417"/>
      <c r="X126" s="417"/>
      <c r="Y126" s="417"/>
      <c r="AA126" s="417"/>
      <c r="AB126" s="417"/>
      <c r="AC126" s="417"/>
      <c r="AD126" s="417"/>
      <c r="AE126" s="417"/>
      <c r="AF126" s="417"/>
    </row>
    <row r="127" spans="1:32" ht="15" thickBot="1">
      <c r="A127" s="430" t="s">
        <v>776</v>
      </c>
      <c r="B127" s="430" t="s">
        <v>784</v>
      </c>
      <c r="D127" s="426">
        <f t="shared" ref="D127:J127" si="166">SUM(D124:D125)</f>
        <v>128194</v>
      </c>
      <c r="E127" s="426">
        <f t="shared" si="166"/>
        <v>230074</v>
      </c>
      <c r="F127" s="426">
        <f>SUM(F124:F125)</f>
        <v>389295</v>
      </c>
      <c r="G127" s="426">
        <f t="shared" si="166"/>
        <v>389069</v>
      </c>
      <c r="H127" s="426">
        <f t="shared" si="166"/>
        <v>-4316</v>
      </c>
      <c r="I127" s="426">
        <f t="shared" si="166"/>
        <v>-17010</v>
      </c>
      <c r="J127" s="426">
        <f t="shared" si="166"/>
        <v>-9677</v>
      </c>
      <c r="K127" s="426">
        <f t="shared" ref="K127:Q127" si="167">SUM(K124:K125)</f>
        <v>76982</v>
      </c>
      <c r="L127" s="426">
        <f t="shared" si="167"/>
        <v>-21751</v>
      </c>
      <c r="M127" s="426">
        <f t="shared" si="167"/>
        <v>74491</v>
      </c>
      <c r="N127" s="426">
        <f t="shared" si="167"/>
        <v>121741</v>
      </c>
      <c r="O127" s="426">
        <f t="shared" si="167"/>
        <v>200979</v>
      </c>
      <c r="P127" s="426">
        <f t="shared" si="167"/>
        <v>7683</v>
      </c>
      <c r="Q127" s="426">
        <f t="shared" si="167"/>
        <v>19630</v>
      </c>
      <c r="R127" s="426">
        <f t="shared" ref="R127:T127" si="168">SUM(R124:R125)</f>
        <v>-11479</v>
      </c>
      <c r="S127" s="426">
        <f t="shared" si="168"/>
        <v>-12036</v>
      </c>
      <c r="T127" s="426">
        <f t="shared" si="168"/>
        <v>-4797</v>
      </c>
      <c r="U127" s="426">
        <f>SUM(U124:U125)</f>
        <v>-10421</v>
      </c>
      <c r="W127" s="426">
        <f t="shared" ref="W127:AC127" si="169">SUM(W124:W125)</f>
        <v>-21751</v>
      </c>
      <c r="X127" s="426">
        <f t="shared" si="169"/>
        <v>96242</v>
      </c>
      <c r="Y127" s="426">
        <f t="shared" si="169"/>
        <v>47250</v>
      </c>
      <c r="Z127" s="426">
        <f t="shared" si="169"/>
        <v>79238</v>
      </c>
      <c r="AA127" s="426">
        <f t="shared" si="169"/>
        <v>7683</v>
      </c>
      <c r="AB127" s="426">
        <f t="shared" si="169"/>
        <v>11947</v>
      </c>
      <c r="AC127" s="426">
        <f t="shared" si="169"/>
        <v>-31109</v>
      </c>
      <c r="AD127" s="426">
        <f t="shared" ref="AD127:AE127" si="170">SUM(AD124:AD125)</f>
        <v>-557</v>
      </c>
      <c r="AE127" s="426">
        <f t="shared" si="170"/>
        <v>-4797</v>
      </c>
      <c r="AF127" s="426">
        <f>SUM(AF124:AF125)</f>
        <v>-5624</v>
      </c>
    </row>
    <row r="129" spans="1:32" s="432" customFormat="1" ht="10.199999999999999">
      <c r="A129" s="431" t="s">
        <v>785</v>
      </c>
      <c r="B129" s="431" t="s">
        <v>786</v>
      </c>
      <c r="D129" s="433">
        <v>0.99982833779250002</v>
      </c>
      <c r="E129" s="433">
        <v>0.99982833779250002</v>
      </c>
      <c r="F129" s="433">
        <v>0.99982833779250002</v>
      </c>
      <c r="G129" s="433">
        <v>0.99982833779250002</v>
      </c>
      <c r="H129" s="433">
        <v>0.99982833779250002</v>
      </c>
      <c r="I129" s="433">
        <v>0.99982833779250002</v>
      </c>
      <c r="J129" s="433">
        <v>0.99982833779250002</v>
      </c>
      <c r="K129" s="433">
        <v>0.99982833779250002</v>
      </c>
      <c r="L129" s="433">
        <v>0.99982833779250002</v>
      </c>
      <c r="M129" s="433">
        <v>0.99982833779250002</v>
      </c>
      <c r="N129" s="433">
        <f t="shared" ref="N129:T130" si="171">M129</f>
        <v>0.99982833779250002</v>
      </c>
      <c r="O129" s="433">
        <f t="shared" si="171"/>
        <v>0.99982833779250002</v>
      </c>
      <c r="P129" s="433">
        <f t="shared" si="171"/>
        <v>0.99982833779250002</v>
      </c>
      <c r="Q129" s="433">
        <f t="shared" si="171"/>
        <v>0.99982833779250002</v>
      </c>
      <c r="R129" s="433">
        <f t="shared" si="171"/>
        <v>0.99982833779250002</v>
      </c>
      <c r="S129" s="433">
        <f t="shared" si="171"/>
        <v>0.99982833779250002</v>
      </c>
      <c r="T129" s="433">
        <f t="shared" si="171"/>
        <v>0.99982833779250002</v>
      </c>
      <c r="U129" s="433">
        <f>S129</f>
        <v>0.99982833779250002</v>
      </c>
      <c r="W129" s="433">
        <f>L129</f>
        <v>0.99982833779250002</v>
      </c>
      <c r="X129" s="433">
        <v>0.99982833779250002</v>
      </c>
      <c r="Y129" s="433">
        <f>X129</f>
        <v>0.99982833779250002</v>
      </c>
      <c r="Z129" s="433">
        <f>Y129</f>
        <v>0.99982833779250002</v>
      </c>
      <c r="AA129" s="433">
        <f>P129</f>
        <v>0.99982833779250002</v>
      </c>
      <c r="AB129" s="433">
        <f t="shared" ref="AB129:AD130" si="172">AA129</f>
        <v>0.99982833779250002</v>
      </c>
      <c r="AC129" s="433">
        <f t="shared" si="172"/>
        <v>0.99982833779250002</v>
      </c>
      <c r="AD129" s="433">
        <f t="shared" si="172"/>
        <v>0.99982833779250002</v>
      </c>
      <c r="AE129" s="433">
        <f>T129</f>
        <v>0.99982833779250002</v>
      </c>
      <c r="AF129" s="433">
        <f>U129</f>
        <v>0.99982833779250002</v>
      </c>
    </row>
    <row r="130" spans="1:32" s="432" customFormat="1" ht="10.199999999999999">
      <c r="A130" s="431" t="s">
        <v>787</v>
      </c>
      <c r="B130" s="431" t="s">
        <v>788</v>
      </c>
      <c r="D130" s="433">
        <v>1.7166220749997851E-4</v>
      </c>
      <c r="E130" s="433">
        <v>1.7166220749997851E-4</v>
      </c>
      <c r="F130" s="433">
        <v>1.7166220749997851E-4</v>
      </c>
      <c r="G130" s="433">
        <v>1.7166220749997851E-4</v>
      </c>
      <c r="H130" s="433">
        <v>1.7166220749997851E-4</v>
      </c>
      <c r="I130" s="433">
        <v>1.7166220749997851E-4</v>
      </c>
      <c r="J130" s="433">
        <v>1.7166220749997851E-4</v>
      </c>
      <c r="K130" s="433">
        <v>1.7166220749997851E-4</v>
      </c>
      <c r="L130" s="433">
        <v>1.7166220749997851E-4</v>
      </c>
      <c r="M130" s="433">
        <v>1.7166220749997851E-4</v>
      </c>
      <c r="N130" s="433">
        <f t="shared" si="171"/>
        <v>1.7166220749997851E-4</v>
      </c>
      <c r="O130" s="433">
        <f t="shared" si="171"/>
        <v>1.7166220749997851E-4</v>
      </c>
      <c r="P130" s="433">
        <f t="shared" si="171"/>
        <v>1.7166220749997851E-4</v>
      </c>
      <c r="Q130" s="433">
        <f t="shared" si="171"/>
        <v>1.7166220749997851E-4</v>
      </c>
      <c r="R130" s="433">
        <f t="shared" si="171"/>
        <v>1.7166220749997851E-4</v>
      </c>
      <c r="S130" s="433">
        <f t="shared" si="171"/>
        <v>1.7166220749997851E-4</v>
      </c>
      <c r="T130" s="433">
        <f t="shared" si="171"/>
        <v>1.7166220749997851E-4</v>
      </c>
      <c r="U130" s="433">
        <f>S130</f>
        <v>1.7166220749997851E-4</v>
      </c>
      <c r="W130" s="433">
        <f>L130</f>
        <v>1.7166220749997851E-4</v>
      </c>
      <c r="X130" s="433">
        <v>1.7166220749997851E-4</v>
      </c>
      <c r="Y130" s="433">
        <f>X130</f>
        <v>1.7166220749997851E-4</v>
      </c>
      <c r="Z130" s="433">
        <f>Y130</f>
        <v>1.7166220749997851E-4</v>
      </c>
      <c r="AA130" s="433">
        <f>P130</f>
        <v>1.7166220749997851E-4</v>
      </c>
      <c r="AB130" s="433">
        <f t="shared" si="172"/>
        <v>1.7166220749997851E-4</v>
      </c>
      <c r="AC130" s="433">
        <f t="shared" si="172"/>
        <v>1.7166220749997851E-4</v>
      </c>
      <c r="AD130" s="433">
        <f t="shared" si="172"/>
        <v>1.7166220749997851E-4</v>
      </c>
      <c r="AE130" s="433">
        <f>T130</f>
        <v>1.7166220749997851E-4</v>
      </c>
      <c r="AF130" s="433">
        <f>U130</f>
        <v>1.7166220749997851E-4</v>
      </c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9" tint="0.79998168889431442"/>
  </sheetPr>
  <dimension ref="A3:AF130"/>
  <sheetViews>
    <sheetView showGridLines="0" zoomScale="85" zoomScaleNormal="85" workbookViewId="0">
      <pane xSplit="2" ySplit="5" topLeftCell="P6" activePane="bottomRight" state="frozen"/>
      <selection pane="topRight" activeCell="C1" sqref="C1"/>
      <selection pane="bottomLeft" activeCell="A6" sqref="A6"/>
      <selection pane="bottomRight" activeCell="U98" sqref="U98:U99"/>
    </sheetView>
  </sheetViews>
  <sheetFormatPr defaultRowHeight="14.4" outlineLevelRow="1"/>
  <cols>
    <col min="1" max="1" width="65.5546875" bestFit="1" customWidth="1"/>
    <col min="2" max="2" width="65.5546875" customWidth="1"/>
    <col min="3" max="3" width="1.5546875" customWidth="1"/>
    <col min="4" max="13" width="15.21875" customWidth="1"/>
    <col min="14" max="14" width="14.77734375" customWidth="1"/>
    <col min="15" max="17" width="15.21875" customWidth="1"/>
    <col min="18" max="18" width="14.77734375" customWidth="1"/>
    <col min="19" max="21" width="14.6640625" customWidth="1"/>
    <col min="22" max="22" width="1.5546875" customWidth="1"/>
    <col min="23" max="23" width="14.77734375" customWidth="1"/>
    <col min="24" max="32" width="15.21875" customWidth="1"/>
  </cols>
  <sheetData>
    <row r="3" spans="1:32" ht="15" customHeight="1">
      <c r="D3" s="436" t="s">
        <v>818</v>
      </c>
      <c r="E3" s="436"/>
      <c r="F3" s="436"/>
      <c r="G3" s="436"/>
    </row>
    <row r="4" spans="1:32">
      <c r="A4" s="428" t="s">
        <v>819</v>
      </c>
      <c r="B4" s="428" t="s">
        <v>820</v>
      </c>
      <c r="D4" s="435" t="s">
        <v>584</v>
      </c>
      <c r="E4" s="435" t="s">
        <v>585</v>
      </c>
      <c r="F4" s="435" t="s">
        <v>586</v>
      </c>
      <c r="G4" s="435">
        <v>2022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T4" s="427" t="s">
        <v>2488</v>
      </c>
      <c r="U4" s="427" t="s">
        <v>2497</v>
      </c>
      <c r="W4" s="427" t="s">
        <v>83</v>
      </c>
      <c r="X4" s="427" t="s">
        <v>84</v>
      </c>
      <c r="Y4" s="427" t="s">
        <v>85</v>
      </c>
      <c r="Z4" s="427" t="s">
        <v>86</v>
      </c>
      <c r="AA4" s="427" t="s">
        <v>87</v>
      </c>
      <c r="AB4" s="427" t="s">
        <v>88</v>
      </c>
      <c r="AC4" s="427" t="s">
        <v>2074</v>
      </c>
      <c r="AD4" s="427" t="s">
        <v>2127</v>
      </c>
      <c r="AE4" s="427" t="s">
        <v>2360</v>
      </c>
      <c r="AF4" s="427" t="s">
        <v>2494</v>
      </c>
    </row>
    <row r="5" spans="1:32" ht="6.75" customHeight="1"/>
    <row r="6" spans="1:32">
      <c r="A6" s="429" t="s">
        <v>596</v>
      </c>
      <c r="B6" s="429" t="s">
        <v>597</v>
      </c>
      <c r="D6" s="420">
        <f t="shared" ref="D6:J6" si="0">SUM(D8,D11:D17)</f>
        <v>0</v>
      </c>
      <c r="E6" s="420">
        <f t="shared" si="0"/>
        <v>0</v>
      </c>
      <c r="F6" s="420">
        <f t="shared" si="0"/>
        <v>0</v>
      </c>
      <c r="G6" s="420">
        <f t="shared" si="0"/>
        <v>0</v>
      </c>
      <c r="H6" s="420">
        <f t="shared" si="0"/>
        <v>3600946</v>
      </c>
      <c r="I6" s="420">
        <f t="shared" si="0"/>
        <v>6515594</v>
      </c>
      <c r="J6" s="420">
        <f t="shared" si="0"/>
        <v>9322543</v>
      </c>
      <c r="K6" s="420">
        <f t="shared" ref="K6:T6" si="1">SUM(K8,K11:K17)</f>
        <v>13140859</v>
      </c>
      <c r="L6" s="420">
        <f t="shared" si="1"/>
        <v>3447376</v>
      </c>
      <c r="M6" s="420">
        <f t="shared" si="1"/>
        <v>7103330</v>
      </c>
      <c r="N6" s="420">
        <f t="shared" si="1"/>
        <v>11211663</v>
      </c>
      <c r="O6" s="420">
        <f t="shared" si="1"/>
        <v>15396715</v>
      </c>
      <c r="P6" s="420">
        <f t="shared" si="1"/>
        <v>3834103</v>
      </c>
      <c r="Q6" s="420">
        <f t="shared" si="1"/>
        <v>8177262</v>
      </c>
      <c r="R6" s="420">
        <f t="shared" si="1"/>
        <v>12899801</v>
      </c>
      <c r="S6" s="420">
        <f t="shared" si="1"/>
        <v>17947837</v>
      </c>
      <c r="T6" s="420">
        <f t="shared" si="1"/>
        <v>4256206</v>
      </c>
      <c r="U6" s="741">
        <f>SUM(U8,U11:U17)</f>
        <v>8912391</v>
      </c>
      <c r="W6" s="420">
        <f t="shared" ref="W6:AC6" si="2">SUM(W8,W11:W17)</f>
        <v>3447376</v>
      </c>
      <c r="X6" s="420">
        <f t="shared" si="2"/>
        <v>3655954</v>
      </c>
      <c r="Y6" s="420">
        <f t="shared" si="2"/>
        <v>4108333</v>
      </c>
      <c r="Z6" s="420">
        <f t="shared" si="2"/>
        <v>4185052</v>
      </c>
      <c r="AA6" s="420">
        <f t="shared" si="2"/>
        <v>3834103</v>
      </c>
      <c r="AB6" s="420">
        <f t="shared" si="2"/>
        <v>4343159</v>
      </c>
      <c r="AC6" s="420">
        <f t="shared" si="2"/>
        <v>4722539</v>
      </c>
      <c r="AD6" s="420">
        <f t="shared" ref="AD6:AE6" si="3">SUM(AD8,AD11:AD17)</f>
        <v>5048036</v>
      </c>
      <c r="AE6" s="420">
        <f t="shared" si="3"/>
        <v>4256206</v>
      </c>
      <c r="AF6" s="741">
        <f>SUM(AF8,AF11:AF17)</f>
        <v>4656185</v>
      </c>
    </row>
    <row r="7" spans="1:32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W7" s="421"/>
      <c r="X7" s="421"/>
      <c r="Y7" s="421"/>
      <c r="Z7" s="421"/>
      <c r="AA7" s="421"/>
      <c r="AB7" s="421"/>
      <c r="AC7" s="421"/>
      <c r="AD7" s="421"/>
      <c r="AE7" s="421"/>
      <c r="AF7" s="421"/>
    </row>
    <row r="8" spans="1:32">
      <c r="A8" s="417" t="s">
        <v>598</v>
      </c>
      <c r="B8" s="417" t="s">
        <v>599</v>
      </c>
      <c r="D8" s="422">
        <f t="shared" ref="D8:I8" si="4">SUM(D9:D10)</f>
        <v>0</v>
      </c>
      <c r="E8" s="422">
        <f t="shared" si="4"/>
        <v>0</v>
      </c>
      <c r="F8" s="422">
        <f t="shared" si="4"/>
        <v>0</v>
      </c>
      <c r="G8" s="422">
        <f t="shared" si="4"/>
        <v>0</v>
      </c>
      <c r="H8" s="422">
        <f>SUM(H9:H10)</f>
        <v>2265091</v>
      </c>
      <c r="I8" s="422">
        <f t="shared" si="4"/>
        <v>4209853</v>
      </c>
      <c r="J8" s="422">
        <f t="shared" ref="J8:T8" si="5">SUM(J9:J10)</f>
        <v>6393072</v>
      </c>
      <c r="K8" s="422">
        <f t="shared" si="5"/>
        <v>9195489</v>
      </c>
      <c r="L8" s="422">
        <f t="shared" si="5"/>
        <v>2586909</v>
      </c>
      <c r="M8" s="422">
        <f t="shared" si="5"/>
        <v>5247381</v>
      </c>
      <c r="N8" s="422">
        <f t="shared" si="5"/>
        <v>8130830</v>
      </c>
      <c r="O8" s="422">
        <f t="shared" si="5"/>
        <v>11010036</v>
      </c>
      <c r="P8" s="422">
        <f t="shared" si="5"/>
        <v>2724845</v>
      </c>
      <c r="Q8" s="422">
        <f t="shared" si="5"/>
        <v>5701329</v>
      </c>
      <c r="R8" s="422">
        <f t="shared" si="5"/>
        <v>8846495</v>
      </c>
      <c r="S8" s="422">
        <f t="shared" si="5"/>
        <v>13283979</v>
      </c>
      <c r="T8" s="422">
        <f t="shared" si="5"/>
        <v>3027718</v>
      </c>
      <c r="U8" s="422">
        <f>SUM(U9:U10)</f>
        <v>6316489</v>
      </c>
      <c r="W8" s="422">
        <f t="shared" ref="W8:AC8" si="6">SUM(W9:W10)</f>
        <v>2586909</v>
      </c>
      <c r="X8" s="422">
        <f t="shared" si="6"/>
        <v>2660472</v>
      </c>
      <c r="Y8" s="422">
        <f t="shared" si="6"/>
        <v>2883449</v>
      </c>
      <c r="Z8" s="422">
        <f t="shared" si="6"/>
        <v>2879206</v>
      </c>
      <c r="AA8" s="422">
        <f t="shared" si="6"/>
        <v>2724845</v>
      </c>
      <c r="AB8" s="422">
        <f t="shared" si="6"/>
        <v>2976484</v>
      </c>
      <c r="AC8" s="422">
        <f t="shared" si="6"/>
        <v>3145166</v>
      </c>
      <c r="AD8" s="422">
        <f t="shared" ref="AD8:AE8" si="7">SUM(AD9:AD10)</f>
        <v>4437484</v>
      </c>
      <c r="AE8" s="422">
        <f t="shared" si="7"/>
        <v>3027718</v>
      </c>
      <c r="AF8" s="422">
        <f>SUM(AF9:AF10)</f>
        <v>3288771</v>
      </c>
    </row>
    <row r="9" spans="1:32" outlineLevel="1">
      <c r="A9" s="418" t="s">
        <v>598</v>
      </c>
      <c r="B9" s="418" t="s">
        <v>599</v>
      </c>
      <c r="D9" s="423"/>
      <c r="E9" s="423"/>
      <c r="F9" s="423"/>
      <c r="G9" s="423"/>
      <c r="H9" s="423">
        <v>2218999</v>
      </c>
      <c r="I9" s="423">
        <v>4149944</v>
      </c>
      <c r="J9" s="423">
        <v>6339402</v>
      </c>
      <c r="K9" s="423">
        <v>8906870</v>
      </c>
      <c r="L9" s="423">
        <v>2400759</v>
      </c>
      <c r="M9" s="423">
        <v>4822643</v>
      </c>
      <c r="N9" s="423">
        <v>7286060</v>
      </c>
      <c r="O9" s="423">
        <v>10067955</v>
      </c>
      <c r="P9" s="423">
        <v>2494818</v>
      </c>
      <c r="Q9" s="423">
        <v>5022799</v>
      </c>
      <c r="R9" s="423">
        <v>7613612</v>
      </c>
      <c r="S9" s="423">
        <v>11887553</v>
      </c>
      <c r="T9" s="423">
        <v>2946466</v>
      </c>
      <c r="U9" s="423">
        <v>6098295</v>
      </c>
      <c r="W9" s="423">
        <f>L9</f>
        <v>2400759</v>
      </c>
      <c r="X9" s="423">
        <f>M9-W9</f>
        <v>2421884</v>
      </c>
      <c r="Y9" s="423">
        <f t="shared" ref="Y9:Z16" si="8">N9-M9</f>
        <v>2463417</v>
      </c>
      <c r="Z9" s="423">
        <f t="shared" si="8"/>
        <v>2781895</v>
      </c>
      <c r="AA9" s="423">
        <f>P9</f>
        <v>2494818</v>
      </c>
      <c r="AB9" s="423">
        <f t="shared" ref="AB9:AD16" si="9">Q9-P9</f>
        <v>2527981</v>
      </c>
      <c r="AC9" s="423">
        <f t="shared" si="9"/>
        <v>2590813</v>
      </c>
      <c r="AD9" s="423">
        <f t="shared" si="9"/>
        <v>4273941</v>
      </c>
      <c r="AE9" s="423">
        <f>T9</f>
        <v>2946466</v>
      </c>
      <c r="AF9" s="423">
        <f t="shared" ref="AF9:AF16" si="10">U9-T9</f>
        <v>3151829</v>
      </c>
    </row>
    <row r="10" spans="1:32" outlineLevel="1">
      <c r="A10" s="418" t="s">
        <v>600</v>
      </c>
      <c r="B10" s="418" t="s">
        <v>601</v>
      </c>
      <c r="D10" s="423"/>
      <c r="E10" s="423"/>
      <c r="F10" s="423"/>
      <c r="G10" s="423"/>
      <c r="H10" s="423">
        <v>46092</v>
      </c>
      <c r="I10" s="423">
        <v>59909</v>
      </c>
      <c r="J10" s="423">
        <v>53670</v>
      </c>
      <c r="K10" s="423">
        <v>288619</v>
      </c>
      <c r="L10" s="423">
        <v>186150</v>
      </c>
      <c r="M10" s="423">
        <v>424738</v>
      </c>
      <c r="N10" s="423">
        <v>844770</v>
      </c>
      <c r="O10" s="423">
        <v>942081</v>
      </c>
      <c r="P10" s="423">
        <v>230027</v>
      </c>
      <c r="Q10" s="423">
        <v>678530</v>
      </c>
      <c r="R10" s="423">
        <v>1232883</v>
      </c>
      <c r="S10" s="423">
        <v>1396426</v>
      </c>
      <c r="T10" s="423">
        <v>81252</v>
      </c>
      <c r="U10" s="423">
        <v>218194</v>
      </c>
      <c r="W10" s="423">
        <f t="shared" ref="W10:W25" si="11">L10</f>
        <v>186150</v>
      </c>
      <c r="X10" s="423">
        <f t="shared" ref="X10:X16" si="12">M10-W10</f>
        <v>238588</v>
      </c>
      <c r="Y10" s="423">
        <f t="shared" si="8"/>
        <v>420032</v>
      </c>
      <c r="Z10" s="423">
        <f t="shared" si="8"/>
        <v>97311</v>
      </c>
      <c r="AA10" s="423">
        <f t="shared" ref="AA10:AA25" si="13">P10</f>
        <v>230027</v>
      </c>
      <c r="AB10" s="423">
        <f t="shared" si="9"/>
        <v>448503</v>
      </c>
      <c r="AC10" s="423">
        <f t="shared" si="9"/>
        <v>554353</v>
      </c>
      <c r="AD10" s="423">
        <f t="shared" si="9"/>
        <v>163543</v>
      </c>
      <c r="AE10" s="423">
        <f t="shared" ref="AE10:AE25" si="14">T10</f>
        <v>81252</v>
      </c>
      <c r="AF10" s="423">
        <f t="shared" si="10"/>
        <v>136942</v>
      </c>
    </row>
    <row r="11" spans="1:32">
      <c r="A11" s="417" t="s">
        <v>602</v>
      </c>
      <c r="B11" s="417" t="s">
        <v>603</v>
      </c>
      <c r="D11" s="422"/>
      <c r="E11" s="422"/>
      <c r="F11" s="422"/>
      <c r="G11" s="422"/>
      <c r="H11" s="422">
        <v>35569</v>
      </c>
      <c r="I11" s="422">
        <v>95213</v>
      </c>
      <c r="J11" s="422">
        <v>119710</v>
      </c>
      <c r="K11" s="422">
        <v>238774</v>
      </c>
      <c r="L11" s="422">
        <v>39080</v>
      </c>
      <c r="M11" s="422">
        <v>75152</v>
      </c>
      <c r="N11" s="422">
        <v>158463</v>
      </c>
      <c r="O11" s="422">
        <v>234626</v>
      </c>
      <c r="P11" s="422">
        <v>40252</v>
      </c>
      <c r="Q11" s="422">
        <v>104953</v>
      </c>
      <c r="R11" s="422">
        <v>316243</v>
      </c>
      <c r="S11" s="422">
        <v>374546</v>
      </c>
      <c r="T11" s="422">
        <v>60865</v>
      </c>
      <c r="U11" s="422">
        <v>179040</v>
      </c>
      <c r="W11" s="422">
        <f t="shared" si="11"/>
        <v>39080</v>
      </c>
      <c r="X11" s="422">
        <f t="shared" si="12"/>
        <v>36072</v>
      </c>
      <c r="Y11" s="422">
        <f t="shared" si="8"/>
        <v>83311</v>
      </c>
      <c r="Z11" s="422">
        <f t="shared" si="8"/>
        <v>76163</v>
      </c>
      <c r="AA11" s="422">
        <f>P11</f>
        <v>40252</v>
      </c>
      <c r="AB11" s="422">
        <f t="shared" si="9"/>
        <v>64701</v>
      </c>
      <c r="AC11" s="422">
        <f t="shared" si="9"/>
        <v>211290</v>
      </c>
      <c r="AD11" s="422">
        <f t="shared" si="9"/>
        <v>58303</v>
      </c>
      <c r="AE11" s="422">
        <f>T11</f>
        <v>60865</v>
      </c>
      <c r="AF11" s="422">
        <f t="shared" si="10"/>
        <v>118175</v>
      </c>
    </row>
    <row r="12" spans="1:32">
      <c r="A12" s="417" t="s">
        <v>604</v>
      </c>
      <c r="B12" s="417" t="s">
        <v>605</v>
      </c>
      <c r="D12" s="422"/>
      <c r="E12" s="422"/>
      <c r="F12" s="422"/>
      <c r="G12" s="422"/>
      <c r="H12" s="422">
        <v>0</v>
      </c>
      <c r="I12" s="422">
        <v>0</v>
      </c>
      <c r="J12" s="422">
        <v>0</v>
      </c>
      <c r="K12" s="422">
        <v>0</v>
      </c>
      <c r="L12" s="422">
        <v>0</v>
      </c>
      <c r="M12" s="422">
        <v>0</v>
      </c>
      <c r="N12" s="422">
        <v>0</v>
      </c>
      <c r="O12" s="422">
        <v>0</v>
      </c>
      <c r="P12" s="422">
        <v>0</v>
      </c>
      <c r="Q12" s="422">
        <v>0</v>
      </c>
      <c r="R12" s="422">
        <v>0</v>
      </c>
      <c r="S12" s="422">
        <v>0</v>
      </c>
      <c r="T12" s="422">
        <v>0</v>
      </c>
      <c r="U12" s="422">
        <v>0</v>
      </c>
      <c r="W12" s="422">
        <f t="shared" si="11"/>
        <v>0</v>
      </c>
      <c r="X12" s="422">
        <f t="shared" si="12"/>
        <v>0</v>
      </c>
      <c r="Y12" s="422">
        <f t="shared" si="8"/>
        <v>0</v>
      </c>
      <c r="Z12" s="422">
        <f t="shared" si="8"/>
        <v>0</v>
      </c>
      <c r="AA12" s="422">
        <f t="shared" si="13"/>
        <v>0</v>
      </c>
      <c r="AB12" s="422">
        <f t="shared" si="9"/>
        <v>0</v>
      </c>
      <c r="AC12" s="422">
        <f t="shared" si="9"/>
        <v>0</v>
      </c>
      <c r="AD12" s="422">
        <f t="shared" si="9"/>
        <v>0</v>
      </c>
      <c r="AE12" s="422">
        <f t="shared" si="14"/>
        <v>0</v>
      </c>
      <c r="AF12" s="422">
        <f t="shared" si="10"/>
        <v>0</v>
      </c>
    </row>
    <row r="13" spans="1:32">
      <c r="A13" s="417" t="s">
        <v>606</v>
      </c>
      <c r="B13" s="417" t="s">
        <v>607</v>
      </c>
      <c r="D13" s="422"/>
      <c r="E13" s="422"/>
      <c r="F13" s="422"/>
      <c r="G13" s="422"/>
      <c r="H13" s="422">
        <v>902134</v>
      </c>
      <c r="I13" s="422">
        <v>1401597</v>
      </c>
      <c r="J13" s="422">
        <v>1533674</v>
      </c>
      <c r="K13" s="422">
        <v>1899604</v>
      </c>
      <c r="L13" s="422">
        <v>351833</v>
      </c>
      <c r="M13" s="422">
        <v>831910</v>
      </c>
      <c r="N13" s="422">
        <v>1470505</v>
      </c>
      <c r="O13" s="422">
        <v>2124537</v>
      </c>
      <c r="P13" s="422">
        <v>485538</v>
      </c>
      <c r="Q13" s="422">
        <v>1193560</v>
      </c>
      <c r="R13" s="422">
        <v>1944920</v>
      </c>
      <c r="S13" s="422">
        <v>2617535</v>
      </c>
      <c r="T13" s="422">
        <v>637650</v>
      </c>
      <c r="U13" s="422">
        <v>1312668</v>
      </c>
      <c r="W13" s="422">
        <f t="shared" si="11"/>
        <v>351833</v>
      </c>
      <c r="X13" s="422">
        <f t="shared" si="12"/>
        <v>480077</v>
      </c>
      <c r="Y13" s="422">
        <f t="shared" si="8"/>
        <v>638595</v>
      </c>
      <c r="Z13" s="422">
        <f t="shared" si="8"/>
        <v>654032</v>
      </c>
      <c r="AA13" s="422">
        <f t="shared" si="13"/>
        <v>485538</v>
      </c>
      <c r="AB13" s="422">
        <f t="shared" si="9"/>
        <v>708022</v>
      </c>
      <c r="AC13" s="422">
        <f t="shared" si="9"/>
        <v>751360</v>
      </c>
      <c r="AD13" s="422">
        <f t="shared" si="9"/>
        <v>672615</v>
      </c>
      <c r="AE13" s="422">
        <f t="shared" si="14"/>
        <v>637650</v>
      </c>
      <c r="AF13" s="422">
        <f t="shared" si="10"/>
        <v>675018</v>
      </c>
    </row>
    <row r="14" spans="1:32">
      <c r="A14" s="417" t="s">
        <v>608</v>
      </c>
      <c r="B14" s="417" t="s">
        <v>609</v>
      </c>
      <c r="D14" s="422"/>
      <c r="E14" s="422"/>
      <c r="F14" s="422"/>
      <c r="G14" s="422"/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>
        <v>0</v>
      </c>
      <c r="T14" s="422">
        <v>0</v>
      </c>
      <c r="U14" s="422">
        <v>0</v>
      </c>
      <c r="W14" s="422">
        <f t="shared" si="11"/>
        <v>0</v>
      </c>
      <c r="X14" s="422">
        <f t="shared" si="12"/>
        <v>0</v>
      </c>
      <c r="Y14" s="422">
        <f t="shared" si="8"/>
        <v>0</v>
      </c>
      <c r="Z14" s="422">
        <f t="shared" si="8"/>
        <v>0</v>
      </c>
      <c r="AA14" s="422">
        <f t="shared" si="13"/>
        <v>0</v>
      </c>
      <c r="AB14" s="422">
        <f t="shared" si="9"/>
        <v>0</v>
      </c>
      <c r="AC14" s="422">
        <f t="shared" si="9"/>
        <v>0</v>
      </c>
      <c r="AD14" s="422">
        <f t="shared" si="9"/>
        <v>0</v>
      </c>
      <c r="AE14" s="422">
        <f t="shared" si="14"/>
        <v>0</v>
      </c>
      <c r="AF14" s="422">
        <f t="shared" si="10"/>
        <v>0</v>
      </c>
    </row>
    <row r="15" spans="1:32">
      <c r="A15" s="417" t="s">
        <v>610</v>
      </c>
      <c r="B15" s="417" t="s">
        <v>611</v>
      </c>
      <c r="D15" s="422"/>
      <c r="E15" s="422"/>
      <c r="F15" s="422"/>
      <c r="G15" s="422"/>
      <c r="H15" s="422">
        <v>0</v>
      </c>
      <c r="I15" s="422">
        <v>0</v>
      </c>
      <c r="J15" s="422">
        <v>0</v>
      </c>
      <c r="K15" s="422">
        <v>0</v>
      </c>
      <c r="L15" s="422">
        <v>0</v>
      </c>
      <c r="M15" s="422">
        <v>0</v>
      </c>
      <c r="N15" s="422">
        <v>0</v>
      </c>
      <c r="O15" s="422">
        <v>0</v>
      </c>
      <c r="P15" s="422">
        <v>0</v>
      </c>
      <c r="Q15" s="422">
        <v>0</v>
      </c>
      <c r="R15" s="422">
        <v>0</v>
      </c>
      <c r="S15" s="422">
        <v>0</v>
      </c>
      <c r="T15" s="422">
        <v>0</v>
      </c>
      <c r="U15" s="422">
        <v>0</v>
      </c>
      <c r="W15" s="422">
        <f t="shared" si="11"/>
        <v>0</v>
      </c>
      <c r="X15" s="422">
        <f t="shared" si="12"/>
        <v>0</v>
      </c>
      <c r="Y15" s="422">
        <f t="shared" si="8"/>
        <v>0</v>
      </c>
      <c r="Z15" s="422">
        <f t="shared" si="8"/>
        <v>0</v>
      </c>
      <c r="AA15" s="422">
        <f t="shared" si="13"/>
        <v>0</v>
      </c>
      <c r="AB15" s="422">
        <f t="shared" si="9"/>
        <v>0</v>
      </c>
      <c r="AC15" s="422">
        <f t="shared" si="9"/>
        <v>0</v>
      </c>
      <c r="AD15" s="422">
        <f t="shared" si="9"/>
        <v>0</v>
      </c>
      <c r="AE15" s="422">
        <f t="shared" si="14"/>
        <v>0</v>
      </c>
      <c r="AF15" s="422">
        <f t="shared" si="10"/>
        <v>0</v>
      </c>
    </row>
    <row r="16" spans="1:32">
      <c r="A16" s="417" t="s">
        <v>612</v>
      </c>
      <c r="B16" s="417" t="s">
        <v>613</v>
      </c>
      <c r="D16" s="422"/>
      <c r="E16" s="422"/>
      <c r="F16" s="422"/>
      <c r="G16" s="422"/>
      <c r="H16" s="422">
        <v>0</v>
      </c>
      <c r="I16" s="422">
        <v>0</v>
      </c>
      <c r="J16" s="422">
        <v>0</v>
      </c>
      <c r="K16" s="422">
        <v>0</v>
      </c>
      <c r="L16" s="422">
        <v>0</v>
      </c>
      <c r="M16" s="422">
        <v>0</v>
      </c>
      <c r="N16" s="422">
        <v>0</v>
      </c>
      <c r="O16" s="422">
        <v>0</v>
      </c>
      <c r="P16" s="422">
        <v>0</v>
      </c>
      <c r="Q16" s="422">
        <v>0</v>
      </c>
      <c r="R16" s="422">
        <v>0</v>
      </c>
      <c r="S16" s="422">
        <v>0</v>
      </c>
      <c r="T16" s="422">
        <v>0</v>
      </c>
      <c r="U16" s="422">
        <v>0</v>
      </c>
      <c r="W16" s="422">
        <f t="shared" si="11"/>
        <v>0</v>
      </c>
      <c r="X16" s="422">
        <f t="shared" si="12"/>
        <v>0</v>
      </c>
      <c r="Y16" s="422">
        <f t="shared" si="8"/>
        <v>0</v>
      </c>
      <c r="Z16" s="422">
        <f t="shared" si="8"/>
        <v>0</v>
      </c>
      <c r="AA16" s="422">
        <f t="shared" si="13"/>
        <v>0</v>
      </c>
      <c r="AB16" s="422">
        <f t="shared" si="9"/>
        <v>0</v>
      </c>
      <c r="AC16" s="422">
        <f t="shared" si="9"/>
        <v>0</v>
      </c>
      <c r="AD16" s="422">
        <f t="shared" si="9"/>
        <v>0</v>
      </c>
      <c r="AE16" s="422">
        <f t="shared" si="14"/>
        <v>0</v>
      </c>
      <c r="AF16" s="422">
        <f t="shared" si="10"/>
        <v>0</v>
      </c>
    </row>
    <row r="17" spans="1:32">
      <c r="A17" s="417" t="s">
        <v>614</v>
      </c>
      <c r="B17" s="417" t="s">
        <v>615</v>
      </c>
      <c r="D17" s="422">
        <f t="shared" ref="D17:I17" si="15">SUM(D18:D25)</f>
        <v>0</v>
      </c>
      <c r="E17" s="422">
        <f t="shared" si="15"/>
        <v>0</v>
      </c>
      <c r="F17" s="422">
        <f t="shared" si="15"/>
        <v>0</v>
      </c>
      <c r="G17" s="422">
        <f t="shared" si="15"/>
        <v>0</v>
      </c>
      <c r="H17" s="422">
        <f t="shared" si="15"/>
        <v>398152</v>
      </c>
      <c r="I17" s="422">
        <f t="shared" si="15"/>
        <v>808931</v>
      </c>
      <c r="J17" s="422">
        <f t="shared" ref="J17:T17" si="16">SUM(J18:J25)</f>
        <v>1276087</v>
      </c>
      <c r="K17" s="422">
        <f t="shared" si="16"/>
        <v>1806992</v>
      </c>
      <c r="L17" s="422">
        <f t="shared" si="16"/>
        <v>469554</v>
      </c>
      <c r="M17" s="422">
        <f t="shared" si="16"/>
        <v>948887</v>
      </c>
      <c r="N17" s="422">
        <f t="shared" si="16"/>
        <v>1451865</v>
      </c>
      <c r="O17" s="422">
        <f t="shared" si="16"/>
        <v>2027516</v>
      </c>
      <c r="P17" s="422">
        <f t="shared" si="16"/>
        <v>583468</v>
      </c>
      <c r="Q17" s="422">
        <f t="shared" si="16"/>
        <v>1177420</v>
      </c>
      <c r="R17" s="422">
        <f t="shared" si="16"/>
        <v>1792143</v>
      </c>
      <c r="S17" s="422">
        <f t="shared" si="16"/>
        <v>1671777</v>
      </c>
      <c r="T17" s="422">
        <f t="shared" si="16"/>
        <v>529973</v>
      </c>
      <c r="U17" s="422">
        <f>SUM(U18:U25)</f>
        <v>1104194</v>
      </c>
      <c r="W17" s="422">
        <f t="shared" ref="W17:AC17" si="17">SUM(W18:W25)</f>
        <v>469554</v>
      </c>
      <c r="X17" s="422">
        <f t="shared" si="17"/>
        <v>479333</v>
      </c>
      <c r="Y17" s="422">
        <f t="shared" si="17"/>
        <v>502978</v>
      </c>
      <c r="Z17" s="422">
        <f t="shared" si="17"/>
        <v>575651</v>
      </c>
      <c r="AA17" s="422">
        <f t="shared" si="17"/>
        <v>583468</v>
      </c>
      <c r="AB17" s="422">
        <f t="shared" si="17"/>
        <v>593952</v>
      </c>
      <c r="AC17" s="422">
        <f t="shared" si="17"/>
        <v>614723</v>
      </c>
      <c r="AD17" s="422">
        <f t="shared" ref="AD17:AE17" si="18">SUM(AD18:AD25)</f>
        <v>-120366</v>
      </c>
      <c r="AE17" s="422">
        <f t="shared" si="18"/>
        <v>529973</v>
      </c>
      <c r="AF17" s="422">
        <f>SUM(AF18:AF25)</f>
        <v>574221</v>
      </c>
    </row>
    <row r="18" spans="1:32" outlineLevel="1">
      <c r="A18" s="418" t="s">
        <v>616</v>
      </c>
      <c r="B18" s="418" t="s">
        <v>617</v>
      </c>
      <c r="D18" s="423"/>
      <c r="E18" s="423"/>
      <c r="F18" s="423"/>
      <c r="G18" s="423"/>
      <c r="H18" s="423">
        <v>223593</v>
      </c>
      <c r="I18" s="423">
        <v>467262</v>
      </c>
      <c r="J18" s="423">
        <v>713747</v>
      </c>
      <c r="K18" s="423">
        <v>955420</v>
      </c>
      <c r="L18" s="423">
        <v>236383</v>
      </c>
      <c r="M18" s="423">
        <v>491981</v>
      </c>
      <c r="N18" s="423">
        <v>757397</v>
      </c>
      <c r="O18" s="423">
        <v>1035835</v>
      </c>
      <c r="P18" s="423">
        <v>275249</v>
      </c>
      <c r="Q18" s="423">
        <v>577996</v>
      </c>
      <c r="R18" s="423">
        <v>881133</v>
      </c>
      <c r="S18" s="423">
        <v>1249098</v>
      </c>
      <c r="T18" s="423">
        <v>398188</v>
      </c>
      <c r="U18" s="423">
        <v>822123</v>
      </c>
      <c r="W18" s="423">
        <f t="shared" si="11"/>
        <v>236383</v>
      </c>
      <c r="X18" s="423">
        <f t="shared" ref="X18:X25" si="19">M18-W18</f>
        <v>255598</v>
      </c>
      <c r="Y18" s="423">
        <f t="shared" ref="Y18:Z25" si="20">N18-M18</f>
        <v>265416</v>
      </c>
      <c r="Z18" s="423">
        <f t="shared" si="20"/>
        <v>278438</v>
      </c>
      <c r="AA18" s="423">
        <f t="shared" si="13"/>
        <v>275249</v>
      </c>
      <c r="AB18" s="423">
        <f t="shared" ref="AB18:AD25" si="21">Q18-P18</f>
        <v>302747</v>
      </c>
      <c r="AC18" s="423">
        <f t="shared" si="21"/>
        <v>303137</v>
      </c>
      <c r="AD18" s="423">
        <f t="shared" si="21"/>
        <v>367965</v>
      </c>
      <c r="AE18" s="423">
        <f t="shared" si="14"/>
        <v>398188</v>
      </c>
      <c r="AF18" s="423">
        <f t="shared" ref="AF18:AF25" si="22">U18-T18</f>
        <v>423935</v>
      </c>
    </row>
    <row r="19" spans="1:32" outlineLevel="1">
      <c r="A19" s="418" t="s">
        <v>618</v>
      </c>
      <c r="B19" s="418" t="s">
        <v>619</v>
      </c>
      <c r="D19" s="423"/>
      <c r="E19" s="423"/>
      <c r="F19" s="423"/>
      <c r="G19" s="423"/>
      <c r="H19" s="423">
        <v>16792</v>
      </c>
      <c r="I19" s="423">
        <v>22052</v>
      </c>
      <c r="J19" s="423">
        <v>32952</v>
      </c>
      <c r="K19" s="423">
        <v>28226</v>
      </c>
      <c r="L19" s="423">
        <v>22331</v>
      </c>
      <c r="M19" s="423">
        <v>38568</v>
      </c>
      <c r="N19" s="423">
        <v>49713</v>
      </c>
      <c r="O19" s="423">
        <v>75084</v>
      </c>
      <c r="P19" s="423">
        <v>39500</v>
      </c>
      <c r="Q19" s="423">
        <v>60051</v>
      </c>
      <c r="R19" s="423">
        <v>76982</v>
      </c>
      <c r="S19" s="423">
        <v>90440</v>
      </c>
      <c r="T19" s="423">
        <v>35250</v>
      </c>
      <c r="U19" s="423">
        <v>86344</v>
      </c>
      <c r="W19" s="423">
        <f t="shared" si="11"/>
        <v>22331</v>
      </c>
      <c r="X19" s="423">
        <f t="shared" si="19"/>
        <v>16237</v>
      </c>
      <c r="Y19" s="423">
        <f t="shared" si="20"/>
        <v>11145</v>
      </c>
      <c r="Z19" s="423">
        <f t="shared" si="20"/>
        <v>25371</v>
      </c>
      <c r="AA19" s="423">
        <f t="shared" si="13"/>
        <v>39500</v>
      </c>
      <c r="AB19" s="423">
        <f t="shared" si="21"/>
        <v>20551</v>
      </c>
      <c r="AC19" s="423">
        <f t="shared" si="21"/>
        <v>16931</v>
      </c>
      <c r="AD19" s="423">
        <f t="shared" si="21"/>
        <v>13458</v>
      </c>
      <c r="AE19" s="423">
        <f t="shared" si="14"/>
        <v>35250</v>
      </c>
      <c r="AF19" s="423">
        <f t="shared" si="22"/>
        <v>51094</v>
      </c>
    </row>
    <row r="20" spans="1:32" outlineLevel="1">
      <c r="A20" s="418" t="s">
        <v>620</v>
      </c>
      <c r="B20" s="418" t="s">
        <v>621</v>
      </c>
      <c r="D20" s="423"/>
      <c r="E20" s="423"/>
      <c r="F20" s="423"/>
      <c r="G20" s="423"/>
      <c r="H20" s="423">
        <v>0</v>
      </c>
      <c r="I20" s="423">
        <v>0</v>
      </c>
      <c r="J20" s="423">
        <v>0</v>
      </c>
      <c r="K20" s="423">
        <v>0</v>
      </c>
      <c r="L20" s="423">
        <v>0</v>
      </c>
      <c r="M20" s="423">
        <v>0</v>
      </c>
      <c r="N20" s="423">
        <v>0</v>
      </c>
      <c r="O20" s="423">
        <v>0</v>
      </c>
      <c r="P20" s="423">
        <v>0</v>
      </c>
      <c r="Q20" s="423">
        <v>0</v>
      </c>
      <c r="R20" s="423">
        <v>0</v>
      </c>
      <c r="S20" s="423">
        <v>0</v>
      </c>
      <c r="T20" s="423">
        <v>0</v>
      </c>
      <c r="U20" s="423">
        <v>0</v>
      </c>
      <c r="W20" s="423">
        <f t="shared" si="11"/>
        <v>0</v>
      </c>
      <c r="X20" s="423">
        <f t="shared" si="19"/>
        <v>0</v>
      </c>
      <c r="Y20" s="423">
        <f t="shared" si="20"/>
        <v>0</v>
      </c>
      <c r="Z20" s="423">
        <f t="shared" si="20"/>
        <v>0</v>
      </c>
      <c r="AA20" s="423">
        <f t="shared" si="13"/>
        <v>0</v>
      </c>
      <c r="AB20" s="423">
        <f t="shared" si="21"/>
        <v>0</v>
      </c>
      <c r="AC20" s="423">
        <f t="shared" si="21"/>
        <v>0</v>
      </c>
      <c r="AD20" s="423">
        <f t="shared" si="21"/>
        <v>0</v>
      </c>
      <c r="AE20" s="423">
        <f t="shared" si="14"/>
        <v>0</v>
      </c>
      <c r="AF20" s="423">
        <f t="shared" si="22"/>
        <v>0</v>
      </c>
    </row>
    <row r="21" spans="1:32" outlineLevel="1">
      <c r="A21" s="418" t="s">
        <v>622</v>
      </c>
      <c r="B21" s="418" t="s">
        <v>623</v>
      </c>
      <c r="D21" s="423"/>
      <c r="E21" s="423"/>
      <c r="F21" s="423"/>
      <c r="G21" s="423"/>
      <c r="H21" s="423">
        <v>0</v>
      </c>
      <c r="I21" s="423">
        <v>0</v>
      </c>
      <c r="J21" s="423">
        <v>0</v>
      </c>
      <c r="K21" s="423">
        <v>0</v>
      </c>
      <c r="L21" s="423">
        <v>0</v>
      </c>
      <c r="M21" s="423">
        <v>0</v>
      </c>
      <c r="N21" s="423">
        <v>0</v>
      </c>
      <c r="O21" s="423">
        <v>0</v>
      </c>
      <c r="P21" s="423">
        <v>0</v>
      </c>
      <c r="Q21" s="423">
        <v>0</v>
      </c>
      <c r="R21" s="423">
        <v>0</v>
      </c>
      <c r="S21" s="423">
        <v>0</v>
      </c>
      <c r="T21" s="423">
        <v>0</v>
      </c>
      <c r="U21" s="423">
        <v>0</v>
      </c>
      <c r="W21" s="423">
        <f t="shared" si="11"/>
        <v>0</v>
      </c>
      <c r="X21" s="423">
        <f t="shared" si="19"/>
        <v>0</v>
      </c>
      <c r="Y21" s="423">
        <f t="shared" si="20"/>
        <v>0</v>
      </c>
      <c r="Z21" s="423">
        <f t="shared" si="20"/>
        <v>0</v>
      </c>
      <c r="AA21" s="423">
        <f t="shared" si="13"/>
        <v>0</v>
      </c>
      <c r="AB21" s="423">
        <f t="shared" si="21"/>
        <v>0</v>
      </c>
      <c r="AC21" s="423">
        <f t="shared" si="21"/>
        <v>0</v>
      </c>
      <c r="AD21" s="423">
        <f t="shared" si="21"/>
        <v>0</v>
      </c>
      <c r="AE21" s="423">
        <f t="shared" si="14"/>
        <v>0</v>
      </c>
      <c r="AF21" s="423">
        <f t="shared" si="22"/>
        <v>0</v>
      </c>
    </row>
    <row r="22" spans="1:32" outlineLevel="1">
      <c r="A22" s="418" t="s">
        <v>624</v>
      </c>
      <c r="B22" s="418" t="s">
        <v>625</v>
      </c>
      <c r="D22" s="423"/>
      <c r="E22" s="423"/>
      <c r="F22" s="423"/>
      <c r="G22" s="423"/>
      <c r="H22" s="423">
        <v>0</v>
      </c>
      <c r="I22" s="423">
        <v>0</v>
      </c>
      <c r="J22" s="423">
        <v>0</v>
      </c>
      <c r="K22" s="423">
        <v>0</v>
      </c>
      <c r="L22" s="423">
        <v>0</v>
      </c>
      <c r="M22" s="423">
        <v>0</v>
      </c>
      <c r="N22" s="423">
        <v>0</v>
      </c>
      <c r="O22" s="423">
        <v>0</v>
      </c>
      <c r="P22" s="423">
        <v>0</v>
      </c>
      <c r="Q22" s="423">
        <v>0</v>
      </c>
      <c r="R22" s="423">
        <v>0</v>
      </c>
      <c r="S22" s="423">
        <v>0</v>
      </c>
      <c r="T22" s="423">
        <v>0</v>
      </c>
      <c r="U22" s="423">
        <v>0</v>
      </c>
      <c r="W22" s="423">
        <f t="shared" si="11"/>
        <v>0</v>
      </c>
      <c r="X22" s="423">
        <f t="shared" si="19"/>
        <v>0</v>
      </c>
      <c r="Y22" s="423">
        <f t="shared" si="20"/>
        <v>0</v>
      </c>
      <c r="Z22" s="423">
        <f t="shared" si="20"/>
        <v>0</v>
      </c>
      <c r="AA22" s="423">
        <f t="shared" si="13"/>
        <v>0</v>
      </c>
      <c r="AB22" s="423">
        <f t="shared" si="21"/>
        <v>0</v>
      </c>
      <c r="AC22" s="423">
        <f t="shared" si="21"/>
        <v>0</v>
      </c>
      <c r="AD22" s="423">
        <f t="shared" si="21"/>
        <v>0</v>
      </c>
      <c r="AE22" s="423">
        <f t="shared" si="14"/>
        <v>0</v>
      </c>
      <c r="AF22" s="423">
        <f t="shared" si="22"/>
        <v>0</v>
      </c>
    </row>
    <row r="23" spans="1:32" outlineLevel="1">
      <c r="A23" s="418" t="s">
        <v>626</v>
      </c>
      <c r="B23" s="418" t="s">
        <v>811</v>
      </c>
      <c r="D23" s="423"/>
      <c r="E23" s="423"/>
      <c r="F23" s="423"/>
      <c r="G23" s="423"/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0</v>
      </c>
      <c r="T23" s="423">
        <v>0</v>
      </c>
      <c r="U23" s="423">
        <v>0</v>
      </c>
      <c r="W23" s="423">
        <f t="shared" si="11"/>
        <v>0</v>
      </c>
      <c r="X23" s="423">
        <f t="shared" si="19"/>
        <v>0</v>
      </c>
      <c r="Y23" s="423">
        <f t="shared" si="20"/>
        <v>0</v>
      </c>
      <c r="Z23" s="423">
        <f t="shared" si="20"/>
        <v>0</v>
      </c>
      <c r="AA23" s="423">
        <f t="shared" si="13"/>
        <v>0</v>
      </c>
      <c r="AB23" s="423">
        <f t="shared" si="21"/>
        <v>0</v>
      </c>
      <c r="AC23" s="423">
        <f t="shared" si="21"/>
        <v>0</v>
      </c>
      <c r="AD23" s="423">
        <f t="shared" si="21"/>
        <v>0</v>
      </c>
      <c r="AE23" s="423">
        <f t="shared" si="14"/>
        <v>0</v>
      </c>
      <c r="AF23" s="423">
        <f t="shared" si="22"/>
        <v>0</v>
      </c>
    </row>
    <row r="24" spans="1:32" outlineLevel="1">
      <c r="A24" s="418" t="s">
        <v>628</v>
      </c>
      <c r="B24" s="418" t="s">
        <v>629</v>
      </c>
      <c r="D24" s="423"/>
      <c r="E24" s="423"/>
      <c r="F24" s="423"/>
      <c r="G24" s="423"/>
      <c r="H24" s="423">
        <v>0</v>
      </c>
      <c r="I24" s="423">
        <v>0</v>
      </c>
      <c r="J24" s="423">
        <v>0</v>
      </c>
      <c r="K24" s="423">
        <v>0</v>
      </c>
      <c r="L24" s="423">
        <v>0</v>
      </c>
      <c r="M24" s="423">
        <v>0</v>
      </c>
      <c r="N24" s="423">
        <v>0</v>
      </c>
      <c r="O24" s="423">
        <v>0</v>
      </c>
      <c r="P24" s="423">
        <v>0</v>
      </c>
      <c r="Q24" s="423">
        <v>0</v>
      </c>
      <c r="R24" s="423">
        <v>0</v>
      </c>
      <c r="S24" s="423">
        <v>0</v>
      </c>
      <c r="T24" s="423">
        <v>0</v>
      </c>
      <c r="U24" s="423">
        <v>0</v>
      </c>
      <c r="W24" s="423">
        <f t="shared" si="11"/>
        <v>0</v>
      </c>
      <c r="X24" s="423">
        <f t="shared" si="19"/>
        <v>0</v>
      </c>
      <c r="Y24" s="423">
        <f t="shared" si="20"/>
        <v>0</v>
      </c>
      <c r="Z24" s="423">
        <f t="shared" si="20"/>
        <v>0</v>
      </c>
      <c r="AA24" s="423">
        <f t="shared" si="13"/>
        <v>0</v>
      </c>
      <c r="AB24" s="423">
        <f t="shared" si="21"/>
        <v>0</v>
      </c>
      <c r="AC24" s="423">
        <f t="shared" si="21"/>
        <v>0</v>
      </c>
      <c r="AD24" s="423">
        <f t="shared" si="21"/>
        <v>0</v>
      </c>
      <c r="AE24" s="423">
        <f t="shared" si="14"/>
        <v>0</v>
      </c>
      <c r="AF24" s="423">
        <f t="shared" si="22"/>
        <v>0</v>
      </c>
    </row>
    <row r="25" spans="1:32" outlineLevel="1">
      <c r="A25" s="418" t="s">
        <v>614</v>
      </c>
      <c r="B25" s="418" t="s">
        <v>615</v>
      </c>
      <c r="D25" s="423"/>
      <c r="E25" s="423"/>
      <c r="F25" s="423"/>
      <c r="G25" s="423"/>
      <c r="H25" s="423">
        <v>157767</v>
      </c>
      <c r="I25" s="423">
        <v>319617</v>
      </c>
      <c r="J25" s="423">
        <v>529388</v>
      </c>
      <c r="K25" s="423">
        <v>823346</v>
      </c>
      <c r="L25" s="423">
        <v>210840</v>
      </c>
      <c r="M25" s="423">
        <v>418338</v>
      </c>
      <c r="N25" s="423">
        <v>644755</v>
      </c>
      <c r="O25" s="423">
        <v>916597</v>
      </c>
      <c r="P25" s="423">
        <v>268719</v>
      </c>
      <c r="Q25" s="423">
        <v>539373</v>
      </c>
      <c r="R25" s="423">
        <v>834028</v>
      </c>
      <c r="S25" s="423">
        <v>332239</v>
      </c>
      <c r="T25" s="423">
        <v>96535</v>
      </c>
      <c r="U25" s="423">
        <v>195727</v>
      </c>
      <c r="W25" s="423">
        <f t="shared" si="11"/>
        <v>210840</v>
      </c>
      <c r="X25" s="423">
        <f t="shared" si="19"/>
        <v>207498</v>
      </c>
      <c r="Y25" s="423">
        <f t="shared" si="20"/>
        <v>226417</v>
      </c>
      <c r="Z25" s="423">
        <f t="shared" si="20"/>
        <v>271842</v>
      </c>
      <c r="AA25" s="423">
        <f t="shared" si="13"/>
        <v>268719</v>
      </c>
      <c r="AB25" s="423">
        <f t="shared" si="21"/>
        <v>270654</v>
      </c>
      <c r="AC25" s="423">
        <f t="shared" si="21"/>
        <v>294655</v>
      </c>
      <c r="AD25" s="423">
        <f t="shared" si="21"/>
        <v>-501789</v>
      </c>
      <c r="AE25" s="423">
        <f t="shared" si="14"/>
        <v>96535</v>
      </c>
      <c r="AF25" s="423">
        <f t="shared" si="22"/>
        <v>99192</v>
      </c>
    </row>
    <row r="26" spans="1:32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</row>
    <row r="27" spans="1:32">
      <c r="A27" s="429" t="s">
        <v>630</v>
      </c>
      <c r="B27" s="429" t="s">
        <v>631</v>
      </c>
      <c r="D27" s="420">
        <f t="shared" ref="D27:I27" si="23">SUM(D29:D37)</f>
        <v>0</v>
      </c>
      <c r="E27" s="420">
        <f t="shared" si="23"/>
        <v>0</v>
      </c>
      <c r="F27" s="420">
        <f t="shared" si="23"/>
        <v>0</v>
      </c>
      <c r="G27" s="420">
        <f t="shared" si="23"/>
        <v>0</v>
      </c>
      <c r="H27" s="420">
        <f t="shared" si="23"/>
        <v>-854262</v>
      </c>
      <c r="I27" s="420">
        <f t="shared" si="23"/>
        <v>-1834721</v>
      </c>
      <c r="J27" s="420">
        <f t="shared" ref="J27:T27" si="24">SUM(J29:J37)</f>
        <v>-2737450</v>
      </c>
      <c r="K27" s="420">
        <f t="shared" si="24"/>
        <v>-3927658</v>
      </c>
      <c r="L27" s="420">
        <f t="shared" si="24"/>
        <v>-1127632</v>
      </c>
      <c r="M27" s="420">
        <f t="shared" si="24"/>
        <v>-2276403</v>
      </c>
      <c r="N27" s="420">
        <f t="shared" si="24"/>
        <v>-3371258</v>
      </c>
      <c r="O27" s="420">
        <f t="shared" si="24"/>
        <v>-4541309</v>
      </c>
      <c r="P27" s="420">
        <f t="shared" si="24"/>
        <v>-1105242</v>
      </c>
      <c r="Q27" s="420">
        <f t="shared" si="24"/>
        <v>-2328683</v>
      </c>
      <c r="R27" s="420">
        <f t="shared" si="24"/>
        <v>-3591752</v>
      </c>
      <c r="S27" s="420">
        <f t="shared" si="24"/>
        <v>-5235946</v>
      </c>
      <c r="T27" s="420">
        <f t="shared" si="24"/>
        <v>-1360641</v>
      </c>
      <c r="U27" s="741">
        <f>SUM(U29:U37)</f>
        <v>-2787450</v>
      </c>
      <c r="W27" s="420">
        <f t="shared" ref="W27:AC27" si="25">SUM(W29:W37)</f>
        <v>-1127632</v>
      </c>
      <c r="X27" s="420">
        <f t="shared" si="25"/>
        <v>-1148771</v>
      </c>
      <c r="Y27" s="420">
        <f t="shared" si="25"/>
        <v>-1094855</v>
      </c>
      <c r="Z27" s="420">
        <f t="shared" si="25"/>
        <v>-1170051</v>
      </c>
      <c r="AA27" s="420">
        <f t="shared" si="25"/>
        <v>-1105242</v>
      </c>
      <c r="AB27" s="420">
        <f t="shared" si="25"/>
        <v>-1223441</v>
      </c>
      <c r="AC27" s="420">
        <f t="shared" si="25"/>
        <v>-1263069</v>
      </c>
      <c r="AD27" s="420">
        <f t="shared" ref="AD27:AE27" si="26">SUM(AD29:AD37)</f>
        <v>-1644194</v>
      </c>
      <c r="AE27" s="420">
        <f t="shared" si="26"/>
        <v>-1360641</v>
      </c>
      <c r="AF27" s="741">
        <f>SUM(AF29:AF37)</f>
        <v>-1426809</v>
      </c>
    </row>
    <row r="28" spans="1:32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</row>
    <row r="29" spans="1:32" outlineLevel="1">
      <c r="A29" s="418" t="s">
        <v>632</v>
      </c>
      <c r="B29" s="418" t="s">
        <v>632</v>
      </c>
      <c r="D29" s="423"/>
      <c r="E29" s="423"/>
      <c r="F29" s="423"/>
      <c r="G29" s="423"/>
      <c r="H29" s="423">
        <v>-328292</v>
      </c>
      <c r="I29" s="423">
        <v>-678082</v>
      </c>
      <c r="J29" s="423">
        <v>-1021070</v>
      </c>
      <c r="K29" s="423">
        <v>-1466693</v>
      </c>
      <c r="L29" s="423">
        <v>-396258</v>
      </c>
      <c r="M29" s="423">
        <v>-841509</v>
      </c>
      <c r="N29" s="423">
        <v>-1290581</v>
      </c>
      <c r="O29" s="423">
        <v>-1838897</v>
      </c>
      <c r="P29" s="423">
        <v>-460856</v>
      </c>
      <c r="Q29" s="423">
        <v>-934668</v>
      </c>
      <c r="R29" s="423">
        <v>-1409013</v>
      </c>
      <c r="S29" s="423">
        <v>-2047558</v>
      </c>
      <c r="T29" s="423">
        <v>-579711</v>
      </c>
      <c r="U29" s="423">
        <v>-1201006</v>
      </c>
      <c r="W29" s="423">
        <f t="shared" ref="W29:W37" si="27">L29</f>
        <v>-396258</v>
      </c>
      <c r="X29" s="423">
        <f t="shared" ref="X29:X37" si="28">M29-W29</f>
        <v>-445251</v>
      </c>
      <c r="Y29" s="423">
        <f t="shared" ref="Y29:Y37" si="29">N29-M29</f>
        <v>-449072</v>
      </c>
      <c r="Z29" s="423">
        <f t="shared" ref="Z29:Z37" si="30">O29-N29</f>
        <v>-548316</v>
      </c>
      <c r="AA29" s="423">
        <f t="shared" ref="AA29:AA37" si="31">P29</f>
        <v>-460856</v>
      </c>
      <c r="AB29" s="423">
        <f t="shared" ref="AB29:AB37" si="32">Q29-P29</f>
        <v>-473812</v>
      </c>
      <c r="AC29" s="423">
        <f t="shared" ref="AC29:AC37" si="33">R29-Q29</f>
        <v>-474345</v>
      </c>
      <c r="AD29" s="423">
        <f t="shared" ref="AD29:AD37" si="34">S29-R29</f>
        <v>-638545</v>
      </c>
      <c r="AE29" s="423">
        <f t="shared" ref="AE29:AE37" si="35">T29</f>
        <v>-579711</v>
      </c>
      <c r="AF29" s="423">
        <f t="shared" ref="AF29:AF37" si="36">U29-T29</f>
        <v>-621295</v>
      </c>
    </row>
    <row r="30" spans="1:32" outlineLevel="1">
      <c r="A30" s="418" t="s">
        <v>633</v>
      </c>
      <c r="B30" s="418" t="s">
        <v>634</v>
      </c>
      <c r="D30" s="423"/>
      <c r="E30" s="423"/>
      <c r="F30" s="423"/>
      <c r="G30" s="423"/>
      <c r="H30" s="423">
        <v>-177368</v>
      </c>
      <c r="I30" s="423">
        <v>-427024</v>
      </c>
      <c r="J30" s="423">
        <v>-632267</v>
      </c>
      <c r="K30" s="423">
        <v>-954467</v>
      </c>
      <c r="L30" s="423">
        <v>-256598</v>
      </c>
      <c r="M30" s="423">
        <v>-521126</v>
      </c>
      <c r="N30" s="423">
        <v>-754650</v>
      </c>
      <c r="O30" s="423">
        <v>-1100482</v>
      </c>
      <c r="P30" s="423">
        <v>-202541</v>
      </c>
      <c r="Q30" s="423">
        <v>-515904</v>
      </c>
      <c r="R30" s="423">
        <v>-759001</v>
      </c>
      <c r="S30" s="423">
        <v>-1184937</v>
      </c>
      <c r="T30" s="423">
        <v>-211145</v>
      </c>
      <c r="U30" s="423">
        <v>-453540</v>
      </c>
      <c r="W30" s="423">
        <f t="shared" si="27"/>
        <v>-256598</v>
      </c>
      <c r="X30" s="423">
        <f t="shared" si="28"/>
        <v>-264528</v>
      </c>
      <c r="Y30" s="423">
        <f t="shared" si="29"/>
        <v>-233524</v>
      </c>
      <c r="Z30" s="423">
        <f t="shared" si="30"/>
        <v>-345832</v>
      </c>
      <c r="AA30" s="423">
        <f t="shared" si="31"/>
        <v>-202541</v>
      </c>
      <c r="AB30" s="423">
        <f t="shared" si="32"/>
        <v>-313363</v>
      </c>
      <c r="AC30" s="423">
        <f t="shared" si="33"/>
        <v>-243097</v>
      </c>
      <c r="AD30" s="423">
        <f t="shared" si="34"/>
        <v>-425936</v>
      </c>
      <c r="AE30" s="423">
        <f t="shared" si="35"/>
        <v>-211145</v>
      </c>
      <c r="AF30" s="423">
        <f t="shared" si="36"/>
        <v>-242395</v>
      </c>
    </row>
    <row r="31" spans="1:32" outlineLevel="1">
      <c r="A31" s="418" t="s">
        <v>635</v>
      </c>
      <c r="B31" s="418" t="s">
        <v>636</v>
      </c>
      <c r="D31" s="423"/>
      <c r="E31" s="423"/>
      <c r="F31" s="423"/>
      <c r="G31" s="423"/>
      <c r="H31" s="423">
        <v>0</v>
      </c>
      <c r="I31" s="423">
        <v>0</v>
      </c>
      <c r="J31" s="423">
        <v>0</v>
      </c>
      <c r="K31" s="423">
        <v>0</v>
      </c>
      <c r="L31" s="423">
        <v>0</v>
      </c>
      <c r="M31" s="423">
        <v>0</v>
      </c>
      <c r="N31" s="423">
        <v>0</v>
      </c>
      <c r="O31" s="423">
        <v>0</v>
      </c>
      <c r="P31" s="423">
        <v>0</v>
      </c>
      <c r="Q31" s="423">
        <v>0</v>
      </c>
      <c r="R31" s="423">
        <v>0</v>
      </c>
      <c r="S31" s="423">
        <v>0</v>
      </c>
      <c r="T31" s="423">
        <v>0</v>
      </c>
      <c r="U31" s="423">
        <v>0</v>
      </c>
      <c r="W31" s="423">
        <f t="shared" si="27"/>
        <v>0</v>
      </c>
      <c r="X31" s="423">
        <f t="shared" si="28"/>
        <v>0</v>
      </c>
      <c r="Y31" s="423">
        <f t="shared" si="29"/>
        <v>0</v>
      </c>
      <c r="Z31" s="423">
        <f t="shared" si="30"/>
        <v>0</v>
      </c>
      <c r="AA31" s="423">
        <f t="shared" si="31"/>
        <v>0</v>
      </c>
      <c r="AB31" s="423">
        <f t="shared" si="32"/>
        <v>0</v>
      </c>
      <c r="AC31" s="423">
        <f t="shared" si="33"/>
        <v>0</v>
      </c>
      <c r="AD31" s="423">
        <f t="shared" si="34"/>
        <v>0</v>
      </c>
      <c r="AE31" s="423">
        <f t="shared" si="35"/>
        <v>0</v>
      </c>
      <c r="AF31" s="423">
        <f t="shared" si="36"/>
        <v>0</v>
      </c>
    </row>
    <row r="32" spans="1:32" outlineLevel="1">
      <c r="A32" s="418" t="s">
        <v>637</v>
      </c>
      <c r="B32" s="418" t="s">
        <v>638</v>
      </c>
      <c r="D32" s="423"/>
      <c r="E32" s="423"/>
      <c r="F32" s="423"/>
      <c r="G32" s="423"/>
      <c r="H32" s="423">
        <v>0</v>
      </c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>
        <v>0</v>
      </c>
      <c r="T32" s="423">
        <v>0</v>
      </c>
      <c r="U32" s="423">
        <v>0</v>
      </c>
      <c r="W32" s="423">
        <f t="shared" si="27"/>
        <v>0</v>
      </c>
      <c r="X32" s="423">
        <f t="shared" si="28"/>
        <v>0</v>
      </c>
      <c r="Y32" s="423">
        <f t="shared" si="29"/>
        <v>0</v>
      </c>
      <c r="Z32" s="423">
        <f t="shared" si="30"/>
        <v>0</v>
      </c>
      <c r="AA32" s="423">
        <f t="shared" si="31"/>
        <v>0</v>
      </c>
      <c r="AB32" s="423">
        <f t="shared" si="32"/>
        <v>0</v>
      </c>
      <c r="AC32" s="423">
        <f t="shared" si="33"/>
        <v>0</v>
      </c>
      <c r="AD32" s="423">
        <f t="shared" si="34"/>
        <v>0</v>
      </c>
      <c r="AE32" s="423">
        <f t="shared" si="35"/>
        <v>0</v>
      </c>
      <c r="AF32" s="423">
        <f t="shared" si="36"/>
        <v>0</v>
      </c>
    </row>
    <row r="33" spans="1:32" outlineLevel="1">
      <c r="A33" s="418" t="s">
        <v>639</v>
      </c>
      <c r="B33" s="418" t="s">
        <v>640</v>
      </c>
      <c r="D33" s="423"/>
      <c r="E33" s="423"/>
      <c r="F33" s="423"/>
      <c r="G33" s="423"/>
      <c r="H33" s="423">
        <v>-18098</v>
      </c>
      <c r="I33" s="423">
        <v>-36008</v>
      </c>
      <c r="J33" s="423">
        <v>-55550</v>
      </c>
      <c r="K33" s="423">
        <v>-79210</v>
      </c>
      <c r="L33" s="423">
        <v>-22296</v>
      </c>
      <c r="M33" s="423">
        <v>-39555</v>
      </c>
      <c r="N33" s="423">
        <v>-62500</v>
      </c>
      <c r="O33" s="423">
        <v>-86272</v>
      </c>
      <c r="P33" s="423">
        <v>-21837</v>
      </c>
      <c r="Q33" s="423">
        <v>-45404</v>
      </c>
      <c r="R33" s="423">
        <v>-71890</v>
      </c>
      <c r="S33" s="423">
        <v>-98677</v>
      </c>
      <c r="T33" s="423">
        <v>-21766</v>
      </c>
      <c r="U33" s="423">
        <v>-46313</v>
      </c>
      <c r="W33" s="423">
        <f t="shared" si="27"/>
        <v>-22296</v>
      </c>
      <c r="X33" s="423">
        <f t="shared" si="28"/>
        <v>-17259</v>
      </c>
      <c r="Y33" s="423">
        <f t="shared" si="29"/>
        <v>-22945</v>
      </c>
      <c r="Z33" s="423">
        <f t="shared" si="30"/>
        <v>-23772</v>
      </c>
      <c r="AA33" s="423">
        <f t="shared" si="31"/>
        <v>-21837</v>
      </c>
      <c r="AB33" s="423">
        <f t="shared" si="32"/>
        <v>-23567</v>
      </c>
      <c r="AC33" s="423">
        <f t="shared" si="33"/>
        <v>-26486</v>
      </c>
      <c r="AD33" s="423">
        <f t="shared" si="34"/>
        <v>-26787</v>
      </c>
      <c r="AE33" s="423">
        <f t="shared" si="35"/>
        <v>-21766</v>
      </c>
      <c r="AF33" s="423">
        <f t="shared" si="36"/>
        <v>-24547</v>
      </c>
    </row>
    <row r="34" spans="1:32" outlineLevel="1">
      <c r="A34" s="418" t="s">
        <v>641</v>
      </c>
      <c r="B34" s="418" t="s">
        <v>642</v>
      </c>
      <c r="D34" s="423"/>
      <c r="E34" s="423"/>
      <c r="F34" s="423"/>
      <c r="G34" s="423"/>
      <c r="H34" s="423">
        <v>-2445</v>
      </c>
      <c r="I34" s="423">
        <v>-4889</v>
      </c>
      <c r="J34" s="423">
        <v>-7334</v>
      </c>
      <c r="K34" s="423">
        <v>-10555</v>
      </c>
      <c r="L34" s="423">
        <v>-3221</v>
      </c>
      <c r="M34" s="423">
        <v>-6442</v>
      </c>
      <c r="N34" s="423">
        <v>-9663</v>
      </c>
      <c r="O34" s="423">
        <v>-13371</v>
      </c>
      <c r="P34" s="423">
        <v>-3709</v>
      </c>
      <c r="Q34" s="423">
        <v>-7417</v>
      </c>
      <c r="R34" s="423">
        <v>-11126</v>
      </c>
      <c r="S34" s="423">
        <v>-14883</v>
      </c>
      <c r="T34" s="423">
        <v>-3782</v>
      </c>
      <c r="U34" s="423">
        <v>-7564</v>
      </c>
      <c r="W34" s="423">
        <f t="shared" si="27"/>
        <v>-3221</v>
      </c>
      <c r="X34" s="423">
        <f t="shared" si="28"/>
        <v>-3221</v>
      </c>
      <c r="Y34" s="423">
        <f t="shared" si="29"/>
        <v>-3221</v>
      </c>
      <c r="Z34" s="423">
        <f t="shared" si="30"/>
        <v>-3708</v>
      </c>
      <c r="AA34" s="423">
        <f t="shared" si="31"/>
        <v>-3709</v>
      </c>
      <c r="AB34" s="423">
        <f t="shared" si="32"/>
        <v>-3708</v>
      </c>
      <c r="AC34" s="423">
        <f t="shared" si="33"/>
        <v>-3709</v>
      </c>
      <c r="AD34" s="423">
        <f t="shared" si="34"/>
        <v>-3757</v>
      </c>
      <c r="AE34" s="423">
        <f t="shared" si="35"/>
        <v>-3782</v>
      </c>
      <c r="AF34" s="423">
        <f t="shared" si="36"/>
        <v>-3782</v>
      </c>
    </row>
    <row r="35" spans="1:32" outlineLevel="1">
      <c r="A35" s="418" t="s">
        <v>643</v>
      </c>
      <c r="B35" s="418" t="s">
        <v>644</v>
      </c>
      <c r="D35" s="423"/>
      <c r="E35" s="423"/>
      <c r="F35" s="423"/>
      <c r="G35" s="423"/>
      <c r="H35" s="423">
        <v>-303127</v>
      </c>
      <c r="I35" s="423">
        <v>-639689</v>
      </c>
      <c r="J35" s="423">
        <v>-958838</v>
      </c>
      <c r="K35" s="423">
        <v>-1306298</v>
      </c>
      <c r="L35" s="423">
        <v>-369584</v>
      </c>
      <c r="M35" s="423">
        <v>-739168</v>
      </c>
      <c r="N35" s="423">
        <v>-1108752</v>
      </c>
      <c r="O35" s="423">
        <v>-1396541</v>
      </c>
      <c r="P35" s="423">
        <v>-370899</v>
      </c>
      <c r="Q35" s="423">
        <v>-741798</v>
      </c>
      <c r="R35" s="423">
        <v>-1188183</v>
      </c>
      <c r="S35" s="423">
        <v>-1712686</v>
      </c>
      <c r="T35" s="423">
        <v>-508533</v>
      </c>
      <c r="U35" s="423">
        <v>-1017066</v>
      </c>
      <c r="W35" s="423">
        <f t="shared" si="27"/>
        <v>-369584</v>
      </c>
      <c r="X35" s="423">
        <f t="shared" si="28"/>
        <v>-369584</v>
      </c>
      <c r="Y35" s="423">
        <f t="shared" si="29"/>
        <v>-369584</v>
      </c>
      <c r="Z35" s="423">
        <f t="shared" si="30"/>
        <v>-287789</v>
      </c>
      <c r="AA35" s="423">
        <f t="shared" si="31"/>
        <v>-370899</v>
      </c>
      <c r="AB35" s="423">
        <f t="shared" si="32"/>
        <v>-370899</v>
      </c>
      <c r="AC35" s="423">
        <f t="shared" si="33"/>
        <v>-446385</v>
      </c>
      <c r="AD35" s="423">
        <f t="shared" si="34"/>
        <v>-524503</v>
      </c>
      <c r="AE35" s="423">
        <f t="shared" si="35"/>
        <v>-508533</v>
      </c>
      <c r="AF35" s="423">
        <f t="shared" si="36"/>
        <v>-508533</v>
      </c>
    </row>
    <row r="36" spans="1:32" outlineLevel="1">
      <c r="A36" s="418" t="s">
        <v>645</v>
      </c>
      <c r="B36" s="418" t="s">
        <v>645</v>
      </c>
      <c r="D36" s="423"/>
      <c r="E36" s="423"/>
      <c r="F36" s="423"/>
      <c r="G36" s="423"/>
      <c r="H36" s="423">
        <v>-1114</v>
      </c>
      <c r="I36" s="423">
        <v>-1207</v>
      </c>
      <c r="J36" s="423">
        <v>-1295</v>
      </c>
      <c r="K36" s="423">
        <v>-1387</v>
      </c>
      <c r="L36" s="423">
        <v>-122</v>
      </c>
      <c r="M36" s="423">
        <v>-245</v>
      </c>
      <c r="N36" s="423">
        <v>-358</v>
      </c>
      <c r="O36" s="423">
        <v>-473</v>
      </c>
      <c r="P36" s="423">
        <v>-119</v>
      </c>
      <c r="Q36" s="423">
        <v>-243</v>
      </c>
      <c r="R36" s="423">
        <v>-365</v>
      </c>
      <c r="S36" s="423">
        <v>-498</v>
      </c>
      <c r="T36" s="423">
        <v>-147</v>
      </c>
      <c r="U36" s="423">
        <v>-309</v>
      </c>
      <c r="W36" s="423">
        <f t="shared" si="27"/>
        <v>-122</v>
      </c>
      <c r="X36" s="423">
        <f t="shared" si="28"/>
        <v>-123</v>
      </c>
      <c r="Y36" s="423">
        <f t="shared" si="29"/>
        <v>-113</v>
      </c>
      <c r="Z36" s="423">
        <f t="shared" si="30"/>
        <v>-115</v>
      </c>
      <c r="AA36" s="423">
        <f t="shared" si="31"/>
        <v>-119</v>
      </c>
      <c r="AB36" s="423">
        <f t="shared" si="32"/>
        <v>-124</v>
      </c>
      <c r="AC36" s="423">
        <f t="shared" si="33"/>
        <v>-122</v>
      </c>
      <c r="AD36" s="423">
        <f t="shared" si="34"/>
        <v>-133</v>
      </c>
      <c r="AE36" s="423">
        <f t="shared" si="35"/>
        <v>-147</v>
      </c>
      <c r="AF36" s="423">
        <f t="shared" si="36"/>
        <v>-162</v>
      </c>
    </row>
    <row r="37" spans="1:32" outlineLevel="1">
      <c r="A37" s="418" t="s">
        <v>95</v>
      </c>
      <c r="B37" s="418" t="s">
        <v>96</v>
      </c>
      <c r="D37" s="423"/>
      <c r="E37" s="423"/>
      <c r="F37" s="423"/>
      <c r="G37" s="423"/>
      <c r="H37" s="423">
        <v>-23818</v>
      </c>
      <c r="I37" s="423">
        <v>-47822</v>
      </c>
      <c r="J37" s="423">
        <v>-61096</v>
      </c>
      <c r="K37" s="423">
        <v>-109048</v>
      </c>
      <c r="L37" s="423">
        <v>-79553</v>
      </c>
      <c r="M37" s="423">
        <v>-128358</v>
      </c>
      <c r="N37" s="423">
        <v>-144754</v>
      </c>
      <c r="O37" s="423">
        <v>-105273</v>
      </c>
      <c r="P37" s="423">
        <v>-45281</v>
      </c>
      <c r="Q37" s="423">
        <v>-83249</v>
      </c>
      <c r="R37" s="423">
        <v>-152174</v>
      </c>
      <c r="S37" s="423">
        <v>-176707</v>
      </c>
      <c r="T37" s="423">
        <v>-35557</v>
      </c>
      <c r="U37" s="423">
        <v>-61652</v>
      </c>
      <c r="W37" s="423">
        <f t="shared" si="27"/>
        <v>-79553</v>
      </c>
      <c r="X37" s="423">
        <f t="shared" si="28"/>
        <v>-48805</v>
      </c>
      <c r="Y37" s="423">
        <f t="shared" si="29"/>
        <v>-16396</v>
      </c>
      <c r="Z37" s="423">
        <f t="shared" si="30"/>
        <v>39481</v>
      </c>
      <c r="AA37" s="423">
        <f t="shared" si="31"/>
        <v>-45281</v>
      </c>
      <c r="AB37" s="423">
        <f t="shared" si="32"/>
        <v>-37968</v>
      </c>
      <c r="AC37" s="423">
        <f t="shared" si="33"/>
        <v>-68925</v>
      </c>
      <c r="AD37" s="423">
        <f t="shared" si="34"/>
        <v>-24533</v>
      </c>
      <c r="AE37" s="423">
        <f t="shared" si="35"/>
        <v>-35557</v>
      </c>
      <c r="AF37" s="423">
        <f t="shared" si="36"/>
        <v>-26095</v>
      </c>
    </row>
    <row r="38" spans="1:32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</row>
    <row r="39" spans="1:32">
      <c r="A39" s="429" t="s">
        <v>646</v>
      </c>
      <c r="B39" s="429" t="s">
        <v>647</v>
      </c>
      <c r="D39" s="420">
        <f t="shared" ref="D39:I39" si="37">D27+D6</f>
        <v>0</v>
      </c>
      <c r="E39" s="420">
        <f t="shared" si="37"/>
        <v>0</v>
      </c>
      <c r="F39" s="420">
        <f t="shared" si="37"/>
        <v>0</v>
      </c>
      <c r="G39" s="420">
        <f t="shared" si="37"/>
        <v>0</v>
      </c>
      <c r="H39" s="420">
        <f t="shared" si="37"/>
        <v>2746684</v>
      </c>
      <c r="I39" s="420">
        <f t="shared" si="37"/>
        <v>4680873</v>
      </c>
      <c r="J39" s="420">
        <f t="shared" ref="J39:Q39" si="38">J27+J6</f>
        <v>6585093</v>
      </c>
      <c r="K39" s="420">
        <f t="shared" si="38"/>
        <v>9213201</v>
      </c>
      <c r="L39" s="420">
        <f t="shared" si="38"/>
        <v>2319744</v>
      </c>
      <c r="M39" s="420">
        <f t="shared" si="38"/>
        <v>4826927</v>
      </c>
      <c r="N39" s="420">
        <f t="shared" si="38"/>
        <v>7840405</v>
      </c>
      <c r="O39" s="420">
        <f t="shared" si="38"/>
        <v>10855406</v>
      </c>
      <c r="P39" s="420">
        <f t="shared" si="38"/>
        <v>2728861</v>
      </c>
      <c r="Q39" s="420">
        <f t="shared" si="38"/>
        <v>5848579</v>
      </c>
      <c r="R39" s="420">
        <f t="shared" ref="R39:T39" si="39">R27+R6</f>
        <v>9308049</v>
      </c>
      <c r="S39" s="420">
        <f t="shared" si="39"/>
        <v>12711891</v>
      </c>
      <c r="T39" s="420">
        <f t="shared" si="39"/>
        <v>2895565</v>
      </c>
      <c r="U39" s="741">
        <f>U27+U6</f>
        <v>6124941</v>
      </c>
      <c r="W39" s="420">
        <f t="shared" ref="W39:AC39" si="40">W27+W6</f>
        <v>2319744</v>
      </c>
      <c r="X39" s="420">
        <f t="shared" si="40"/>
        <v>2507183</v>
      </c>
      <c r="Y39" s="420">
        <f t="shared" si="40"/>
        <v>3013478</v>
      </c>
      <c r="Z39" s="420">
        <f t="shared" si="40"/>
        <v>3015001</v>
      </c>
      <c r="AA39" s="420">
        <f t="shared" si="40"/>
        <v>2728861</v>
      </c>
      <c r="AB39" s="420">
        <f t="shared" si="40"/>
        <v>3119718</v>
      </c>
      <c r="AC39" s="420">
        <f t="shared" si="40"/>
        <v>3459470</v>
      </c>
      <c r="AD39" s="420">
        <f t="shared" ref="AD39:AE39" si="41">AD27+AD6</f>
        <v>3403842</v>
      </c>
      <c r="AE39" s="420">
        <f t="shared" si="41"/>
        <v>2895565</v>
      </c>
      <c r="AF39" s="741">
        <f>AF27+AF6</f>
        <v>3229376</v>
      </c>
    </row>
    <row r="40" spans="1:32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</row>
    <row r="41" spans="1:32">
      <c r="A41" s="416" t="s">
        <v>648</v>
      </c>
      <c r="B41" s="416" t="s">
        <v>649</v>
      </c>
      <c r="D41" s="424">
        <f t="shared" ref="D41:I41" si="42">SUM(D43:D49)</f>
        <v>0</v>
      </c>
      <c r="E41" s="424">
        <f t="shared" si="42"/>
        <v>0</v>
      </c>
      <c r="F41" s="424">
        <f t="shared" si="42"/>
        <v>0</v>
      </c>
      <c r="G41" s="424">
        <f t="shared" si="42"/>
        <v>0</v>
      </c>
      <c r="H41" s="424">
        <f t="shared" si="42"/>
        <v>-2323443</v>
      </c>
      <c r="I41" s="424">
        <f t="shared" si="42"/>
        <v>-3980887</v>
      </c>
      <c r="J41" s="424">
        <f t="shared" ref="J41:Q41" si="43">SUM(J43:J49)</f>
        <v>-5412761</v>
      </c>
      <c r="K41" s="424">
        <f t="shared" si="43"/>
        <v>-7513445</v>
      </c>
      <c r="L41" s="424">
        <f t="shared" si="43"/>
        <v>-1788348</v>
      </c>
      <c r="M41" s="424">
        <f t="shared" si="43"/>
        <v>-3759664</v>
      </c>
      <c r="N41" s="424">
        <f t="shared" si="43"/>
        <v>-6145098</v>
      </c>
      <c r="O41" s="424">
        <f t="shared" si="43"/>
        <v>-8744003</v>
      </c>
      <c r="P41" s="424">
        <f t="shared" si="43"/>
        <v>-1956249</v>
      </c>
      <c r="Q41" s="424">
        <f t="shared" si="43"/>
        <v>-4353566</v>
      </c>
      <c r="R41" s="424">
        <f t="shared" ref="R41:T41" si="44">SUM(R43:R49)</f>
        <v>-7049845</v>
      </c>
      <c r="S41" s="424">
        <f t="shared" si="44"/>
        <v>-9321454</v>
      </c>
      <c r="T41" s="424">
        <f t="shared" si="44"/>
        <v>-2208982</v>
      </c>
      <c r="U41" s="424">
        <f>SUM(U43:U49)</f>
        <v>-4682099</v>
      </c>
      <c r="W41" s="424">
        <f t="shared" ref="W41:AC41" si="45">SUM(W43:W49)</f>
        <v>-1788348</v>
      </c>
      <c r="X41" s="424">
        <f t="shared" si="45"/>
        <v>-1971316</v>
      </c>
      <c r="Y41" s="424">
        <f t="shared" si="45"/>
        <v>-2385434</v>
      </c>
      <c r="Z41" s="424">
        <f t="shared" si="45"/>
        <v>-2598905</v>
      </c>
      <c r="AA41" s="424">
        <f t="shared" si="45"/>
        <v>-1956249</v>
      </c>
      <c r="AB41" s="424">
        <f t="shared" si="45"/>
        <v>-2397317</v>
      </c>
      <c r="AC41" s="424">
        <f t="shared" si="45"/>
        <v>-2696279</v>
      </c>
      <c r="AD41" s="424">
        <f t="shared" ref="AD41:AE41" si="46">SUM(AD43:AD49)</f>
        <v>-2271609</v>
      </c>
      <c r="AE41" s="424">
        <f t="shared" si="46"/>
        <v>-2208982</v>
      </c>
      <c r="AF41" s="424">
        <f>SUM(AF43:AF49)</f>
        <v>-1821466</v>
      </c>
    </row>
    <row r="42" spans="1:32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</row>
    <row r="43" spans="1:32">
      <c r="A43" s="417" t="s">
        <v>650</v>
      </c>
      <c r="B43" s="417" t="s">
        <v>651</v>
      </c>
      <c r="D43" s="422"/>
      <c r="E43" s="422"/>
      <c r="F43" s="422"/>
      <c r="G43" s="422"/>
      <c r="H43" s="422">
        <v>-1106337</v>
      </c>
      <c r="I43" s="422">
        <v>-2083384</v>
      </c>
      <c r="J43" s="422">
        <v>-3120803</v>
      </c>
      <c r="K43" s="422">
        <v>-4611426</v>
      </c>
      <c r="L43" s="422">
        <v>-1101785</v>
      </c>
      <c r="M43" s="422">
        <v>-2261061</v>
      </c>
      <c r="N43" s="422">
        <v>-3655117</v>
      </c>
      <c r="O43" s="422">
        <v>-5190963</v>
      </c>
      <c r="P43" s="422">
        <v>-1217407</v>
      </c>
      <c r="Q43" s="422">
        <v>-2662372</v>
      </c>
      <c r="R43" s="422">
        <v>-4326946</v>
      </c>
      <c r="S43" s="422">
        <v>-5877638</v>
      </c>
      <c r="T43" s="422">
        <v>-1278807</v>
      </c>
      <c r="U43" s="422">
        <v>-2070727</v>
      </c>
      <c r="W43" s="422">
        <f>L43</f>
        <v>-1101785</v>
      </c>
      <c r="X43" s="422">
        <f>M43-W43</f>
        <v>-1159276</v>
      </c>
      <c r="Y43" s="422">
        <f>N43-M43</f>
        <v>-1394056</v>
      </c>
      <c r="Z43" s="422">
        <f>O43-N43</f>
        <v>-1535846</v>
      </c>
      <c r="AA43" s="422">
        <f>P43</f>
        <v>-1217407</v>
      </c>
      <c r="AB43" s="422">
        <f>Q43-P43</f>
        <v>-1444965</v>
      </c>
      <c r="AC43" s="422">
        <f>R43-Q43</f>
        <v>-1664574</v>
      </c>
      <c r="AD43" s="422">
        <f>S43-R43</f>
        <v>-1550692</v>
      </c>
      <c r="AE43" s="422">
        <f>T43</f>
        <v>-1278807</v>
      </c>
      <c r="AF43" s="422">
        <f>U43-T43</f>
        <v>-791920</v>
      </c>
    </row>
    <row r="44" spans="1:32">
      <c r="A44" s="417" t="s">
        <v>2498</v>
      </c>
      <c r="B44" s="417" t="s">
        <v>2499</v>
      </c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>
        <v>-651651</v>
      </c>
      <c r="W44" s="422"/>
      <c r="X44" s="422"/>
      <c r="Y44" s="422"/>
      <c r="Z44" s="422"/>
      <c r="AA44" s="422"/>
      <c r="AB44" s="422"/>
      <c r="AC44" s="422"/>
      <c r="AD44" s="422"/>
      <c r="AE44" s="422"/>
      <c r="AF44" s="422"/>
    </row>
    <row r="45" spans="1:32">
      <c r="A45" s="417" t="s">
        <v>652</v>
      </c>
      <c r="B45" s="417" t="s">
        <v>653</v>
      </c>
      <c r="D45" s="422"/>
      <c r="E45" s="422"/>
      <c r="F45" s="422"/>
      <c r="G45" s="422"/>
      <c r="H45" s="422">
        <v>-902134</v>
      </c>
      <c r="I45" s="422">
        <v>-1401597</v>
      </c>
      <c r="J45" s="422">
        <v>-1533674</v>
      </c>
      <c r="K45" s="422">
        <v>-1899604</v>
      </c>
      <c r="L45" s="422">
        <v>-351833</v>
      </c>
      <c r="M45" s="422">
        <v>-831910</v>
      </c>
      <c r="N45" s="422">
        <v>-1470505</v>
      </c>
      <c r="O45" s="422">
        <v>-2124537</v>
      </c>
      <c r="P45" s="422">
        <v>-485538</v>
      </c>
      <c r="Q45" s="422">
        <v>-1193560</v>
      </c>
      <c r="R45" s="422">
        <v>-1944920</v>
      </c>
      <c r="S45" s="422">
        <v>-2617535</v>
      </c>
      <c r="T45" s="422">
        <v>-637650</v>
      </c>
      <c r="U45" s="422">
        <v>-1312668</v>
      </c>
      <c r="W45" s="422">
        <f>L45</f>
        <v>-351833</v>
      </c>
      <c r="X45" s="422">
        <f>M45-W45</f>
        <v>-480077</v>
      </c>
      <c r="Y45" s="422">
        <f t="shared" ref="Y45:Z48" si="47">N45-M45</f>
        <v>-638595</v>
      </c>
      <c r="Z45" s="422">
        <f t="shared" si="47"/>
        <v>-654032</v>
      </c>
      <c r="AA45" s="422">
        <f>P45</f>
        <v>-485538</v>
      </c>
      <c r="AB45" s="422">
        <f t="shared" ref="AB45:AD48" si="48">Q45-P45</f>
        <v>-708022</v>
      </c>
      <c r="AC45" s="422">
        <f t="shared" si="48"/>
        <v>-751360</v>
      </c>
      <c r="AD45" s="422">
        <f t="shared" si="48"/>
        <v>-672615</v>
      </c>
      <c r="AE45" s="422">
        <f>T45</f>
        <v>-637650</v>
      </c>
      <c r="AF45" s="422">
        <f>U45-T45</f>
        <v>-675018</v>
      </c>
    </row>
    <row r="46" spans="1:32">
      <c r="A46" s="417" t="s">
        <v>654</v>
      </c>
      <c r="B46" s="417" t="s">
        <v>655</v>
      </c>
      <c r="D46" s="422"/>
      <c r="E46" s="422"/>
      <c r="F46" s="422"/>
      <c r="G46" s="422"/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>
        <v>0</v>
      </c>
      <c r="T46" s="422">
        <v>0</v>
      </c>
      <c r="U46" s="422">
        <v>0</v>
      </c>
      <c r="W46" s="422">
        <f>L46</f>
        <v>0</v>
      </c>
      <c r="X46" s="422">
        <f>M46-W46</f>
        <v>0</v>
      </c>
      <c r="Y46" s="422">
        <f t="shared" si="47"/>
        <v>0</v>
      </c>
      <c r="Z46" s="422">
        <f t="shared" si="47"/>
        <v>0</v>
      </c>
      <c r="AA46" s="422">
        <f>P46</f>
        <v>0</v>
      </c>
      <c r="AB46" s="422">
        <f t="shared" si="48"/>
        <v>0</v>
      </c>
      <c r="AC46" s="422">
        <f t="shared" si="48"/>
        <v>0</v>
      </c>
      <c r="AD46" s="422">
        <f t="shared" si="48"/>
        <v>0</v>
      </c>
      <c r="AE46" s="422">
        <f>T46</f>
        <v>0</v>
      </c>
      <c r="AF46" s="422">
        <f>U46-T46</f>
        <v>0</v>
      </c>
    </row>
    <row r="47" spans="1:32">
      <c r="A47" s="417" t="s">
        <v>656</v>
      </c>
      <c r="B47" s="417" t="s">
        <v>657</v>
      </c>
      <c r="D47" s="422"/>
      <c r="E47" s="422"/>
      <c r="F47" s="422"/>
      <c r="G47" s="422"/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>
        <v>0</v>
      </c>
      <c r="T47" s="422">
        <v>0</v>
      </c>
      <c r="U47" s="422">
        <v>0</v>
      </c>
      <c r="W47" s="422">
        <f>L47</f>
        <v>0</v>
      </c>
      <c r="X47" s="422">
        <f>M47-W47</f>
        <v>0</v>
      </c>
      <c r="Y47" s="422">
        <f t="shared" si="47"/>
        <v>0</v>
      </c>
      <c r="Z47" s="422">
        <f t="shared" si="47"/>
        <v>0</v>
      </c>
      <c r="AA47" s="422">
        <f>P47</f>
        <v>0</v>
      </c>
      <c r="AB47" s="422">
        <f t="shared" si="48"/>
        <v>0</v>
      </c>
      <c r="AC47" s="422">
        <f t="shared" si="48"/>
        <v>0</v>
      </c>
      <c r="AD47" s="422">
        <f t="shared" si="48"/>
        <v>0</v>
      </c>
      <c r="AE47" s="422">
        <f>T47</f>
        <v>0</v>
      </c>
      <c r="AF47" s="422">
        <f>U47-T47</f>
        <v>0</v>
      </c>
    </row>
    <row r="48" spans="1:32">
      <c r="A48" s="417" t="s">
        <v>658</v>
      </c>
      <c r="B48" s="417" t="s">
        <v>659</v>
      </c>
      <c r="D48" s="422"/>
      <c r="E48" s="422"/>
      <c r="F48" s="422"/>
      <c r="G48" s="422"/>
      <c r="H48" s="422">
        <v>0</v>
      </c>
      <c r="I48" s="422">
        <v>0</v>
      </c>
      <c r="J48" s="422">
        <v>0</v>
      </c>
      <c r="K48" s="422">
        <v>0</v>
      </c>
      <c r="L48" s="422">
        <v>0</v>
      </c>
      <c r="M48" s="422">
        <v>0</v>
      </c>
      <c r="N48" s="422">
        <v>0</v>
      </c>
      <c r="O48" s="422">
        <v>0</v>
      </c>
      <c r="P48" s="422">
        <v>0</v>
      </c>
      <c r="Q48" s="422">
        <v>0</v>
      </c>
      <c r="R48" s="422">
        <v>0</v>
      </c>
      <c r="S48" s="422">
        <v>0</v>
      </c>
      <c r="T48" s="422">
        <v>0</v>
      </c>
      <c r="U48" s="422">
        <v>0</v>
      </c>
      <c r="W48" s="422">
        <f>L48</f>
        <v>0</v>
      </c>
      <c r="X48" s="422">
        <f>M48-W48</f>
        <v>0</v>
      </c>
      <c r="Y48" s="422">
        <f t="shared" si="47"/>
        <v>0</v>
      </c>
      <c r="Z48" s="422">
        <f t="shared" si="47"/>
        <v>0</v>
      </c>
      <c r="AA48" s="422">
        <f>P48</f>
        <v>0</v>
      </c>
      <c r="AB48" s="422">
        <f t="shared" si="48"/>
        <v>0</v>
      </c>
      <c r="AC48" s="422">
        <f t="shared" si="48"/>
        <v>0</v>
      </c>
      <c r="AD48" s="422">
        <f t="shared" si="48"/>
        <v>0</v>
      </c>
      <c r="AE48" s="422">
        <f>T48</f>
        <v>0</v>
      </c>
      <c r="AF48" s="422">
        <f>U48-T48</f>
        <v>0</v>
      </c>
    </row>
    <row r="49" spans="1:32">
      <c r="A49" s="417" t="s">
        <v>660</v>
      </c>
      <c r="B49" s="417" t="s">
        <v>661</v>
      </c>
      <c r="D49" s="422">
        <f t="shared" ref="D49:I49" si="49">SUM(D50:D56)</f>
        <v>0</v>
      </c>
      <c r="E49" s="422">
        <f t="shared" si="49"/>
        <v>0</v>
      </c>
      <c r="F49" s="422">
        <f t="shared" si="49"/>
        <v>0</v>
      </c>
      <c r="G49" s="422">
        <f t="shared" si="49"/>
        <v>0</v>
      </c>
      <c r="H49" s="422">
        <f t="shared" si="49"/>
        <v>-314972</v>
      </c>
      <c r="I49" s="422">
        <f t="shared" si="49"/>
        <v>-495906</v>
      </c>
      <c r="J49" s="422">
        <f t="shared" ref="J49:T49" si="50">SUM(J50:J56)</f>
        <v>-758284</v>
      </c>
      <c r="K49" s="422">
        <f t="shared" si="50"/>
        <v>-1002415</v>
      </c>
      <c r="L49" s="422">
        <f t="shared" si="50"/>
        <v>-334730</v>
      </c>
      <c r="M49" s="422">
        <f t="shared" si="50"/>
        <v>-666693</v>
      </c>
      <c r="N49" s="422">
        <f t="shared" si="50"/>
        <v>-1019476</v>
      </c>
      <c r="O49" s="422">
        <f t="shared" si="50"/>
        <v>-1428503</v>
      </c>
      <c r="P49" s="422">
        <f t="shared" si="50"/>
        <v>-253304</v>
      </c>
      <c r="Q49" s="422">
        <f t="shared" si="50"/>
        <v>-497634</v>
      </c>
      <c r="R49" s="422">
        <f t="shared" si="50"/>
        <v>-777979</v>
      </c>
      <c r="S49" s="422">
        <f t="shared" si="50"/>
        <v>-826281</v>
      </c>
      <c r="T49" s="422">
        <f t="shared" si="50"/>
        <v>-292525</v>
      </c>
      <c r="U49" s="422">
        <f>SUM(U50:U56)</f>
        <v>-647053</v>
      </c>
      <c r="W49" s="422">
        <f t="shared" ref="W49:AC49" si="51">SUM(W50:W56)</f>
        <v>-334730</v>
      </c>
      <c r="X49" s="422">
        <f t="shared" si="51"/>
        <v>-331963</v>
      </c>
      <c r="Y49" s="422">
        <f t="shared" si="51"/>
        <v>-352783</v>
      </c>
      <c r="Z49" s="422">
        <f t="shared" si="51"/>
        <v>-409027</v>
      </c>
      <c r="AA49" s="422">
        <f t="shared" si="51"/>
        <v>-253304</v>
      </c>
      <c r="AB49" s="422">
        <f t="shared" si="51"/>
        <v>-244330</v>
      </c>
      <c r="AC49" s="422">
        <f t="shared" si="51"/>
        <v>-280345</v>
      </c>
      <c r="AD49" s="422">
        <f t="shared" ref="AD49:AE49" si="52">SUM(AD50:AD56)</f>
        <v>-48302</v>
      </c>
      <c r="AE49" s="422">
        <f t="shared" si="52"/>
        <v>-292525</v>
      </c>
      <c r="AF49" s="422">
        <f>SUM(AF50:AF56)</f>
        <v>-354528</v>
      </c>
    </row>
    <row r="50" spans="1:32" outlineLevel="1">
      <c r="A50" s="418" t="s">
        <v>662</v>
      </c>
      <c r="B50" s="418" t="s">
        <v>663</v>
      </c>
      <c r="D50" s="423"/>
      <c r="E50" s="423"/>
      <c r="F50" s="423"/>
      <c r="G50" s="423"/>
      <c r="H50" s="423">
        <v>-14246</v>
      </c>
      <c r="I50" s="423">
        <v>-25326</v>
      </c>
      <c r="J50" s="423">
        <v>-36720</v>
      </c>
      <c r="K50" s="423">
        <v>-74981</v>
      </c>
      <c r="L50" s="423">
        <v>-38846</v>
      </c>
      <c r="M50" s="423">
        <v>-66290</v>
      </c>
      <c r="N50" s="423">
        <v>-93348</v>
      </c>
      <c r="O50" s="423">
        <v>-131220</v>
      </c>
      <c r="P50" s="423">
        <v>-14063</v>
      </c>
      <c r="Q50" s="423">
        <v>-30107</v>
      </c>
      <c r="R50" s="423">
        <v>-68801</v>
      </c>
      <c r="S50" s="423">
        <v>-109114</v>
      </c>
      <c r="T50" s="423">
        <v>-35722</v>
      </c>
      <c r="U50" s="423">
        <v>-83020</v>
      </c>
      <c r="W50" s="423">
        <f t="shared" ref="W50:W56" si="53">L50</f>
        <v>-38846</v>
      </c>
      <c r="X50" s="423">
        <f t="shared" ref="X50:X56" si="54">M50-W50</f>
        <v>-27444</v>
      </c>
      <c r="Y50" s="423">
        <f t="shared" ref="Y50:Z56" si="55">N50-M50</f>
        <v>-27058</v>
      </c>
      <c r="Z50" s="423">
        <f t="shared" si="55"/>
        <v>-37872</v>
      </c>
      <c r="AA50" s="423">
        <f t="shared" ref="AA50:AA56" si="56">P50</f>
        <v>-14063</v>
      </c>
      <c r="AB50" s="423">
        <f t="shared" ref="AB50:AB56" si="57">Q50-AA50</f>
        <v>-16044</v>
      </c>
      <c r="AC50" s="423">
        <f t="shared" ref="AC50:AD56" si="58">R50-Q50</f>
        <v>-38694</v>
      </c>
      <c r="AD50" s="423">
        <f t="shared" si="58"/>
        <v>-40313</v>
      </c>
      <c r="AE50" s="423">
        <f t="shared" ref="AE50:AE56" si="59">T50</f>
        <v>-35722</v>
      </c>
      <c r="AF50" s="423">
        <f t="shared" ref="AF50:AF56" si="60">U50-T50</f>
        <v>-47298</v>
      </c>
    </row>
    <row r="51" spans="1:32" outlineLevel="1">
      <c r="A51" s="418" t="s">
        <v>664</v>
      </c>
      <c r="B51" s="418" t="s">
        <v>665</v>
      </c>
      <c r="D51" s="423"/>
      <c r="E51" s="423"/>
      <c r="F51" s="423"/>
      <c r="G51" s="423"/>
      <c r="H51" s="423">
        <v>-6349</v>
      </c>
      <c r="I51" s="423">
        <v>-4616</v>
      </c>
      <c r="J51" s="423">
        <v>-19374</v>
      </c>
      <c r="K51" s="423">
        <v>-30318</v>
      </c>
      <c r="L51" s="423">
        <v>-12445</v>
      </c>
      <c r="M51" s="423">
        <v>-27583</v>
      </c>
      <c r="N51" s="423">
        <v>-45216</v>
      </c>
      <c r="O51" s="423">
        <v>-70337</v>
      </c>
      <c r="P51" s="423">
        <v>-14116</v>
      </c>
      <c r="Q51" s="423">
        <v>-30345</v>
      </c>
      <c r="R51" s="423">
        <v>-41287</v>
      </c>
      <c r="S51" s="423">
        <v>-56293</v>
      </c>
      <c r="T51" s="423">
        <v>-13330</v>
      </c>
      <c r="U51" s="423">
        <v>-24268</v>
      </c>
      <c r="W51" s="423">
        <f t="shared" si="53"/>
        <v>-12445</v>
      </c>
      <c r="X51" s="423">
        <f t="shared" si="54"/>
        <v>-15138</v>
      </c>
      <c r="Y51" s="423">
        <f t="shared" si="55"/>
        <v>-17633</v>
      </c>
      <c r="Z51" s="423">
        <f t="shared" si="55"/>
        <v>-25121</v>
      </c>
      <c r="AA51" s="423">
        <f t="shared" si="56"/>
        <v>-14116</v>
      </c>
      <c r="AB51" s="423">
        <f t="shared" si="57"/>
        <v>-16229</v>
      </c>
      <c r="AC51" s="423">
        <f t="shared" si="58"/>
        <v>-10942</v>
      </c>
      <c r="AD51" s="423">
        <f t="shared" si="58"/>
        <v>-15006</v>
      </c>
      <c r="AE51" s="423">
        <f t="shared" si="59"/>
        <v>-13330</v>
      </c>
      <c r="AF51" s="423">
        <f t="shared" si="60"/>
        <v>-10938</v>
      </c>
    </row>
    <row r="52" spans="1:32" outlineLevel="1">
      <c r="A52" s="418" t="s">
        <v>666</v>
      </c>
      <c r="B52" s="418" t="s">
        <v>667</v>
      </c>
      <c r="D52" s="423"/>
      <c r="E52" s="423"/>
      <c r="F52" s="423"/>
      <c r="G52" s="423"/>
      <c r="H52" s="423">
        <v>-189958</v>
      </c>
      <c r="I52" s="423">
        <v>-262535</v>
      </c>
      <c r="J52" s="423">
        <v>-364505</v>
      </c>
      <c r="K52" s="423">
        <v>-405094</v>
      </c>
      <c r="L52" s="423">
        <v>-140498</v>
      </c>
      <c r="M52" s="423">
        <v>-292665</v>
      </c>
      <c r="N52" s="423">
        <v>-419989</v>
      </c>
      <c r="O52" s="423">
        <v>-600450</v>
      </c>
      <c r="P52" s="423">
        <v>-117152</v>
      </c>
      <c r="Q52" s="423">
        <v>-220275</v>
      </c>
      <c r="R52" s="423">
        <v>-302424</v>
      </c>
      <c r="S52" s="423">
        <v>-530266</v>
      </c>
      <c r="T52" s="423">
        <v>-102085</v>
      </c>
      <c r="U52" s="423">
        <v>-216645</v>
      </c>
      <c r="W52" s="423">
        <f t="shared" si="53"/>
        <v>-140498</v>
      </c>
      <c r="X52" s="423">
        <f t="shared" si="54"/>
        <v>-152167</v>
      </c>
      <c r="Y52" s="423">
        <f t="shared" si="55"/>
        <v>-127324</v>
      </c>
      <c r="Z52" s="423">
        <f t="shared" si="55"/>
        <v>-180461</v>
      </c>
      <c r="AA52" s="423">
        <f t="shared" si="56"/>
        <v>-117152</v>
      </c>
      <c r="AB52" s="423">
        <f t="shared" si="57"/>
        <v>-103123</v>
      </c>
      <c r="AC52" s="423">
        <f t="shared" si="58"/>
        <v>-82149</v>
      </c>
      <c r="AD52" s="423">
        <f t="shared" si="58"/>
        <v>-227842</v>
      </c>
      <c r="AE52" s="423">
        <f t="shared" si="59"/>
        <v>-102085</v>
      </c>
      <c r="AF52" s="423">
        <f t="shared" si="60"/>
        <v>-114560</v>
      </c>
    </row>
    <row r="53" spans="1:32" outlineLevel="1">
      <c r="A53" s="418" t="s">
        <v>668</v>
      </c>
      <c r="B53" s="418" t="s">
        <v>669</v>
      </c>
      <c r="D53" s="423"/>
      <c r="E53" s="423"/>
      <c r="F53" s="423"/>
      <c r="G53" s="423"/>
      <c r="H53" s="423">
        <v>-97488</v>
      </c>
      <c r="I53" s="423">
        <v>-200067</v>
      </c>
      <c r="J53" s="423">
        <v>-333070</v>
      </c>
      <c r="K53" s="423">
        <v>-496359</v>
      </c>
      <c r="L53" s="423">
        <v>-139718</v>
      </c>
      <c r="M53" s="423">
        <v>-285565</v>
      </c>
      <c r="N53" s="423">
        <v>-460292</v>
      </c>
      <c r="O53" s="423">
        <v>-618077</v>
      </c>
      <c r="P53" s="423">
        <v>-103055</v>
      </c>
      <c r="Q53" s="423">
        <v>-208755</v>
      </c>
      <c r="R53" s="423">
        <v>-354434</v>
      </c>
      <c r="S53" s="423">
        <v>-127143</v>
      </c>
      <c r="T53" s="423">
        <v>-131984</v>
      </c>
      <c r="U53" s="423">
        <v>-319200</v>
      </c>
      <c r="W53" s="423">
        <f t="shared" si="53"/>
        <v>-139718</v>
      </c>
      <c r="X53" s="423">
        <f t="shared" si="54"/>
        <v>-145847</v>
      </c>
      <c r="Y53" s="423">
        <f t="shared" si="55"/>
        <v>-174727</v>
      </c>
      <c r="Z53" s="423">
        <f t="shared" si="55"/>
        <v>-157785</v>
      </c>
      <c r="AA53" s="423">
        <f t="shared" si="56"/>
        <v>-103055</v>
      </c>
      <c r="AB53" s="423">
        <f t="shared" si="57"/>
        <v>-105700</v>
      </c>
      <c r="AC53" s="423">
        <f t="shared" si="58"/>
        <v>-145679</v>
      </c>
      <c r="AD53" s="423">
        <f t="shared" si="58"/>
        <v>227291</v>
      </c>
      <c r="AE53" s="423">
        <f t="shared" si="59"/>
        <v>-131984</v>
      </c>
      <c r="AF53" s="423">
        <f t="shared" si="60"/>
        <v>-187216</v>
      </c>
    </row>
    <row r="54" spans="1:32" outlineLevel="1">
      <c r="A54" s="418" t="s">
        <v>670</v>
      </c>
      <c r="B54" s="418" t="s">
        <v>671</v>
      </c>
      <c r="D54" s="423"/>
      <c r="E54" s="423"/>
      <c r="F54" s="423"/>
      <c r="G54" s="423"/>
      <c r="H54" s="423">
        <v>0</v>
      </c>
      <c r="I54" s="423">
        <v>0</v>
      </c>
      <c r="J54" s="423">
        <v>0</v>
      </c>
      <c r="K54" s="423">
        <v>0</v>
      </c>
      <c r="L54" s="423">
        <v>0</v>
      </c>
      <c r="M54" s="423">
        <v>0</v>
      </c>
      <c r="N54" s="423">
        <v>0</v>
      </c>
      <c r="O54" s="423">
        <v>0</v>
      </c>
      <c r="P54" s="423">
        <v>0</v>
      </c>
      <c r="Q54" s="423">
        <v>0</v>
      </c>
      <c r="R54" s="423">
        <v>0</v>
      </c>
      <c r="S54" s="423">
        <v>-234</v>
      </c>
      <c r="T54" s="423">
        <v>0</v>
      </c>
      <c r="U54" s="423">
        <v>0</v>
      </c>
      <c r="W54" s="423">
        <f t="shared" si="53"/>
        <v>0</v>
      </c>
      <c r="X54" s="423">
        <f t="shared" si="54"/>
        <v>0</v>
      </c>
      <c r="Y54" s="423">
        <f t="shared" si="55"/>
        <v>0</v>
      </c>
      <c r="Z54" s="423">
        <f t="shared" si="55"/>
        <v>0</v>
      </c>
      <c r="AA54" s="423">
        <f t="shared" si="56"/>
        <v>0</v>
      </c>
      <c r="AB54" s="423">
        <f t="shared" si="57"/>
        <v>0</v>
      </c>
      <c r="AC54" s="423">
        <f t="shared" si="58"/>
        <v>0</v>
      </c>
      <c r="AD54" s="423">
        <f t="shared" si="58"/>
        <v>-234</v>
      </c>
      <c r="AE54" s="423">
        <f t="shared" si="59"/>
        <v>0</v>
      </c>
      <c r="AF54" s="423">
        <f t="shared" si="60"/>
        <v>0</v>
      </c>
    </row>
    <row r="55" spans="1:32" outlineLevel="1">
      <c r="A55" s="418" t="s">
        <v>672</v>
      </c>
      <c r="B55" s="418" t="s">
        <v>673</v>
      </c>
      <c r="D55" s="423"/>
      <c r="E55" s="423"/>
      <c r="F55" s="423"/>
      <c r="G55" s="423"/>
      <c r="H55" s="423">
        <v>-1232</v>
      </c>
      <c r="I55" s="423">
        <v>-1752</v>
      </c>
      <c r="J55" s="423">
        <v>-1767</v>
      </c>
      <c r="K55" s="423">
        <v>12260</v>
      </c>
      <c r="L55" s="423">
        <v>3989</v>
      </c>
      <c r="M55" s="423">
        <v>6662</v>
      </c>
      <c r="N55" s="423">
        <v>4564</v>
      </c>
      <c r="O55" s="423">
        <v>1655</v>
      </c>
      <c r="P55" s="423">
        <v>-25</v>
      </c>
      <c r="Q55" s="423">
        <v>-25</v>
      </c>
      <c r="R55" s="423">
        <v>-1</v>
      </c>
      <c r="S55" s="423">
        <v>-5164</v>
      </c>
      <c r="T55" s="423">
        <v>-1385</v>
      </c>
      <c r="U55" s="423">
        <v>-3001</v>
      </c>
      <c r="W55" s="423">
        <f t="shared" si="53"/>
        <v>3989</v>
      </c>
      <c r="X55" s="423">
        <f t="shared" si="54"/>
        <v>2673</v>
      </c>
      <c r="Y55" s="423">
        <f t="shared" si="55"/>
        <v>-2098</v>
      </c>
      <c r="Z55" s="423">
        <f t="shared" si="55"/>
        <v>-2909</v>
      </c>
      <c r="AA55" s="423">
        <f t="shared" si="56"/>
        <v>-25</v>
      </c>
      <c r="AB55" s="423">
        <f t="shared" si="57"/>
        <v>0</v>
      </c>
      <c r="AC55" s="423">
        <f t="shared" si="58"/>
        <v>24</v>
      </c>
      <c r="AD55" s="423">
        <f t="shared" si="58"/>
        <v>-5163</v>
      </c>
      <c r="AE55" s="423">
        <f t="shared" si="59"/>
        <v>-1385</v>
      </c>
      <c r="AF55" s="423">
        <f t="shared" si="60"/>
        <v>-1616</v>
      </c>
    </row>
    <row r="56" spans="1:32" outlineLevel="1">
      <c r="A56" s="418" t="s">
        <v>674</v>
      </c>
      <c r="B56" s="418" t="s">
        <v>675</v>
      </c>
      <c r="D56" s="423"/>
      <c r="E56" s="423"/>
      <c r="F56" s="423"/>
      <c r="G56" s="423"/>
      <c r="H56" s="423">
        <v>-5699</v>
      </c>
      <c r="I56" s="423">
        <v>-1610</v>
      </c>
      <c r="J56" s="423">
        <v>-2848</v>
      </c>
      <c r="K56" s="423">
        <v>-7923</v>
      </c>
      <c r="L56" s="423">
        <v>-7212</v>
      </c>
      <c r="M56" s="423">
        <v>-1252</v>
      </c>
      <c r="N56" s="423">
        <v>-5195</v>
      </c>
      <c r="O56" s="423">
        <v>-10074</v>
      </c>
      <c r="P56" s="423">
        <v>-4893</v>
      </c>
      <c r="Q56" s="423">
        <v>-8127</v>
      </c>
      <c r="R56" s="423">
        <v>-11032</v>
      </c>
      <c r="S56" s="423">
        <v>1933</v>
      </c>
      <c r="T56" s="423">
        <v>-8019</v>
      </c>
      <c r="U56" s="423">
        <v>-919</v>
      </c>
      <c r="W56" s="423">
        <f t="shared" si="53"/>
        <v>-7212</v>
      </c>
      <c r="X56" s="423">
        <f t="shared" si="54"/>
        <v>5960</v>
      </c>
      <c r="Y56" s="423">
        <f t="shared" si="55"/>
        <v>-3943</v>
      </c>
      <c r="Z56" s="423">
        <f t="shared" si="55"/>
        <v>-4879</v>
      </c>
      <c r="AA56" s="423">
        <f t="shared" si="56"/>
        <v>-4893</v>
      </c>
      <c r="AB56" s="423">
        <f t="shared" si="57"/>
        <v>-3234</v>
      </c>
      <c r="AC56" s="423">
        <f t="shared" si="58"/>
        <v>-2905</v>
      </c>
      <c r="AD56" s="423">
        <f t="shared" si="58"/>
        <v>12965</v>
      </c>
      <c r="AE56" s="423">
        <f t="shared" si="59"/>
        <v>-8019</v>
      </c>
      <c r="AF56" s="423">
        <f t="shared" si="60"/>
        <v>7100</v>
      </c>
    </row>
    <row r="57" spans="1:32">
      <c r="A57" s="417"/>
      <c r="B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</row>
    <row r="58" spans="1:32">
      <c r="A58" s="429" t="s">
        <v>676</v>
      </c>
      <c r="B58" s="429" t="s">
        <v>677</v>
      </c>
      <c r="D58" s="420">
        <f t="shared" ref="D58:I58" si="61">D39+D41</f>
        <v>0</v>
      </c>
      <c r="E58" s="420">
        <f t="shared" si="61"/>
        <v>0</v>
      </c>
      <c r="F58" s="420">
        <f t="shared" si="61"/>
        <v>0</v>
      </c>
      <c r="G58" s="420">
        <f t="shared" si="61"/>
        <v>0</v>
      </c>
      <c r="H58" s="420">
        <f t="shared" si="61"/>
        <v>423241</v>
      </c>
      <c r="I58" s="420">
        <f t="shared" si="61"/>
        <v>699986</v>
      </c>
      <c r="J58" s="420">
        <f t="shared" ref="J58:Q58" si="62">J39+J41</f>
        <v>1172332</v>
      </c>
      <c r="K58" s="420">
        <f t="shared" si="62"/>
        <v>1699756</v>
      </c>
      <c r="L58" s="420">
        <f t="shared" si="62"/>
        <v>531396</v>
      </c>
      <c r="M58" s="420">
        <f t="shared" si="62"/>
        <v>1067263</v>
      </c>
      <c r="N58" s="420">
        <f t="shared" si="62"/>
        <v>1695307</v>
      </c>
      <c r="O58" s="420">
        <f t="shared" si="62"/>
        <v>2111403</v>
      </c>
      <c r="P58" s="420">
        <f t="shared" si="62"/>
        <v>772612</v>
      </c>
      <c r="Q58" s="420">
        <f t="shared" si="62"/>
        <v>1495013</v>
      </c>
      <c r="R58" s="420">
        <f t="shared" ref="R58:T58" si="63">R39+R41</f>
        <v>2258204</v>
      </c>
      <c r="S58" s="420">
        <f t="shared" si="63"/>
        <v>3390437</v>
      </c>
      <c r="T58" s="420">
        <f t="shared" si="63"/>
        <v>686583</v>
      </c>
      <c r="U58" s="741">
        <f>U39+U41</f>
        <v>1442842</v>
      </c>
      <c r="W58" s="420">
        <f t="shared" ref="W58:AC58" si="64">W39+W41</f>
        <v>531396</v>
      </c>
      <c r="X58" s="420">
        <f t="shared" si="64"/>
        <v>535867</v>
      </c>
      <c r="Y58" s="420">
        <f t="shared" si="64"/>
        <v>628044</v>
      </c>
      <c r="Z58" s="420">
        <f t="shared" si="64"/>
        <v>416096</v>
      </c>
      <c r="AA58" s="420">
        <f t="shared" si="64"/>
        <v>772612</v>
      </c>
      <c r="AB58" s="420">
        <f t="shared" si="64"/>
        <v>722401</v>
      </c>
      <c r="AC58" s="420">
        <f t="shared" si="64"/>
        <v>763191</v>
      </c>
      <c r="AD58" s="420">
        <f t="shared" ref="AD58:AE58" si="65">AD39+AD41</f>
        <v>1132233</v>
      </c>
      <c r="AE58" s="420">
        <f t="shared" si="65"/>
        <v>686583</v>
      </c>
      <c r="AF58" s="741">
        <f>AF39+AF41</f>
        <v>1407910</v>
      </c>
    </row>
    <row r="59" spans="1:32">
      <c r="A59" s="417"/>
      <c r="B59" s="417"/>
      <c r="D59" s="417"/>
      <c r="E59" s="417"/>
      <c r="F59" s="417"/>
      <c r="G59" s="417"/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</row>
    <row r="60" spans="1:32">
      <c r="A60" s="416" t="s">
        <v>678</v>
      </c>
      <c r="B60" s="416" t="s">
        <v>679</v>
      </c>
      <c r="D60" s="424">
        <f t="shared" ref="D60:I60" si="66">D62+D68+D69+D78+D79</f>
        <v>0</v>
      </c>
      <c r="E60" s="424">
        <f t="shared" si="66"/>
        <v>0</v>
      </c>
      <c r="F60" s="424">
        <f t="shared" si="66"/>
        <v>0</v>
      </c>
      <c r="G60" s="424">
        <f t="shared" si="66"/>
        <v>0</v>
      </c>
      <c r="H60" s="424">
        <f t="shared" si="66"/>
        <v>-176139</v>
      </c>
      <c r="I60" s="424">
        <f t="shared" si="66"/>
        <v>-573186</v>
      </c>
      <c r="J60" s="424">
        <f t="shared" ref="J60:Q60" si="67">J62+J68+J69+J78+J79</f>
        <v>-836318</v>
      </c>
      <c r="K60" s="424">
        <f t="shared" si="67"/>
        <v>-1286817</v>
      </c>
      <c r="L60" s="424">
        <f t="shared" si="67"/>
        <v>-229326</v>
      </c>
      <c r="M60" s="424">
        <f t="shared" si="67"/>
        <v>-484028</v>
      </c>
      <c r="N60" s="424">
        <f t="shared" si="67"/>
        <v>-653440</v>
      </c>
      <c r="O60" s="424">
        <f t="shared" si="67"/>
        <v>-759798</v>
      </c>
      <c r="P60" s="424">
        <f t="shared" si="67"/>
        <v>-364907</v>
      </c>
      <c r="Q60" s="424">
        <f t="shared" si="67"/>
        <v>-679481</v>
      </c>
      <c r="R60" s="424">
        <f t="shared" ref="R60:T60" si="68">R62+R68+R69+R78+R79</f>
        <v>-976445</v>
      </c>
      <c r="S60" s="424">
        <f t="shared" si="68"/>
        <v>-1850544</v>
      </c>
      <c r="T60" s="424">
        <f t="shared" si="68"/>
        <v>-309070</v>
      </c>
      <c r="U60" s="424">
        <f>U62+U68+U69+U78+U79</f>
        <v>-626607</v>
      </c>
      <c r="W60" s="424">
        <f t="shared" ref="W60:AC60" si="69">W62+W68+W69+W78+W79</f>
        <v>-229326</v>
      </c>
      <c r="X60" s="424">
        <f t="shared" si="69"/>
        <v>-254702</v>
      </c>
      <c r="Y60" s="424">
        <f t="shared" si="69"/>
        <v>-169412</v>
      </c>
      <c r="Z60" s="424">
        <f t="shared" si="69"/>
        <v>-106358</v>
      </c>
      <c r="AA60" s="424">
        <f t="shared" si="69"/>
        <v>-364907</v>
      </c>
      <c r="AB60" s="424">
        <f t="shared" si="69"/>
        <v>-314574</v>
      </c>
      <c r="AC60" s="424">
        <f t="shared" si="69"/>
        <v>-296964</v>
      </c>
      <c r="AD60" s="424">
        <f t="shared" ref="AD60:AE60" si="70">AD62+AD68+AD69+AD78+AD79</f>
        <v>-874099</v>
      </c>
      <c r="AE60" s="424">
        <f t="shared" si="70"/>
        <v>-309070</v>
      </c>
      <c r="AF60" s="424">
        <f>AF62+AF68+AF69+AF78+AF79</f>
        <v>-317537</v>
      </c>
    </row>
    <row r="61" spans="1:32">
      <c r="A61" s="416"/>
      <c r="B61" s="416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W61" s="421"/>
      <c r="X61" s="421"/>
      <c r="Y61" s="421"/>
      <c r="Z61" s="421"/>
      <c r="AA61" s="421"/>
      <c r="AB61" s="421"/>
      <c r="AC61" s="421"/>
      <c r="AD61" s="421"/>
      <c r="AE61" s="421"/>
      <c r="AF61" s="421"/>
    </row>
    <row r="62" spans="1:32">
      <c r="A62" s="419" t="s">
        <v>680</v>
      </c>
      <c r="B62" s="419" t="s">
        <v>681</v>
      </c>
      <c r="D62" s="422">
        <f t="shared" ref="D62:I62" si="71">SUM(D63:D67)</f>
        <v>0</v>
      </c>
      <c r="E62" s="422">
        <f t="shared" si="71"/>
        <v>0</v>
      </c>
      <c r="F62" s="422">
        <f t="shared" si="71"/>
        <v>0</v>
      </c>
      <c r="G62" s="422">
        <f t="shared" si="71"/>
        <v>0</v>
      </c>
      <c r="H62" s="422">
        <f t="shared" si="71"/>
        <v>-82909</v>
      </c>
      <c r="I62" s="422">
        <f t="shared" si="71"/>
        <v>-148961</v>
      </c>
      <c r="J62" s="422">
        <f t="shared" ref="J62:T62" si="72">SUM(J63:J67)</f>
        <v>-216436</v>
      </c>
      <c r="K62" s="422">
        <f t="shared" si="72"/>
        <v>-140698</v>
      </c>
      <c r="L62" s="422">
        <f t="shared" si="72"/>
        <v>-26746</v>
      </c>
      <c r="M62" s="422">
        <f t="shared" si="72"/>
        <v>-24825</v>
      </c>
      <c r="N62" s="422">
        <f t="shared" si="72"/>
        <v>-60084</v>
      </c>
      <c r="O62" s="422">
        <f t="shared" si="72"/>
        <v>-78464</v>
      </c>
      <c r="P62" s="422">
        <f t="shared" si="72"/>
        <v>-54226</v>
      </c>
      <c r="Q62" s="422">
        <f t="shared" si="72"/>
        <v>-112181</v>
      </c>
      <c r="R62" s="422">
        <f t="shared" si="72"/>
        <v>-163079</v>
      </c>
      <c r="S62" s="422">
        <f t="shared" si="72"/>
        <v>-220194</v>
      </c>
      <c r="T62" s="422">
        <f t="shared" si="72"/>
        <v>-53388</v>
      </c>
      <c r="U62" s="422">
        <f>SUM(U63:U67)</f>
        <v>-117868</v>
      </c>
      <c r="W62" s="422">
        <f t="shared" ref="W62:AC62" si="73">SUM(W63:W67)</f>
        <v>-26746</v>
      </c>
      <c r="X62" s="422">
        <f t="shared" si="73"/>
        <v>1921</v>
      </c>
      <c r="Y62" s="422">
        <f t="shared" si="73"/>
        <v>-35259</v>
      </c>
      <c r="Z62" s="422">
        <f t="shared" si="73"/>
        <v>-18380</v>
      </c>
      <c r="AA62" s="422">
        <f t="shared" si="73"/>
        <v>-54226</v>
      </c>
      <c r="AB62" s="422">
        <f t="shared" si="73"/>
        <v>-57955</v>
      </c>
      <c r="AC62" s="422">
        <f t="shared" si="73"/>
        <v>-50898</v>
      </c>
      <c r="AD62" s="422">
        <f t="shared" ref="AD62:AE62" si="74">SUM(AD63:AD67)</f>
        <v>-57115</v>
      </c>
      <c r="AE62" s="422">
        <f t="shared" si="74"/>
        <v>-53388</v>
      </c>
      <c r="AF62" s="422">
        <f>SUM(AF63:AF67)</f>
        <v>-64480</v>
      </c>
    </row>
    <row r="63" spans="1:32" outlineLevel="1">
      <c r="A63" s="418" t="s">
        <v>682</v>
      </c>
      <c r="B63" s="418" t="s">
        <v>683</v>
      </c>
      <c r="D63" s="423"/>
      <c r="E63" s="423"/>
      <c r="F63" s="423"/>
      <c r="G63" s="423"/>
      <c r="H63" s="423">
        <v>-22469</v>
      </c>
      <c r="I63" s="423">
        <v>-25672</v>
      </c>
      <c r="J63" s="423">
        <v>-28727</v>
      </c>
      <c r="K63" s="423">
        <v>-59401</v>
      </c>
      <c r="L63" s="423">
        <v>-8051</v>
      </c>
      <c r="M63" s="423">
        <v>-17797</v>
      </c>
      <c r="N63" s="423">
        <v>-24415</v>
      </c>
      <c r="O63" s="423">
        <v>-33126</v>
      </c>
      <c r="P63" s="423">
        <v>-6584</v>
      </c>
      <c r="Q63" s="423">
        <v>-18024</v>
      </c>
      <c r="R63" s="423">
        <v>-24406</v>
      </c>
      <c r="S63" s="423">
        <v>-36599</v>
      </c>
      <c r="T63" s="423">
        <v>-11500</v>
      </c>
      <c r="U63" s="423">
        <v>-22209</v>
      </c>
      <c r="W63" s="423">
        <f t="shared" ref="W63:W68" si="75">L63</f>
        <v>-8051</v>
      </c>
      <c r="X63" s="423">
        <f t="shared" ref="X63:X68" si="76">M63-W63</f>
        <v>-9746</v>
      </c>
      <c r="Y63" s="423">
        <f t="shared" ref="Y63:Z68" si="77">N63-M63</f>
        <v>-6618</v>
      </c>
      <c r="Z63" s="423">
        <f t="shared" si="77"/>
        <v>-8711</v>
      </c>
      <c r="AA63" s="423">
        <f t="shared" ref="AA63:AA68" si="78">P63</f>
        <v>-6584</v>
      </c>
      <c r="AB63" s="423">
        <f t="shared" ref="AB63:AB68" si="79">Q63-AA63</f>
        <v>-11440</v>
      </c>
      <c r="AC63" s="423">
        <f t="shared" ref="AC63:AD68" si="80">R63-Q63</f>
        <v>-6382</v>
      </c>
      <c r="AD63" s="423">
        <f t="shared" si="80"/>
        <v>-12193</v>
      </c>
      <c r="AE63" s="423">
        <f t="shared" ref="AE63:AE68" si="81">T63</f>
        <v>-11500</v>
      </c>
      <c r="AF63" s="423">
        <f t="shared" ref="AF63:AF68" si="82">U63-T63</f>
        <v>-10709</v>
      </c>
    </row>
    <row r="64" spans="1:32" outlineLevel="1">
      <c r="A64" s="418" t="s">
        <v>684</v>
      </c>
      <c r="B64" s="418" t="s">
        <v>685</v>
      </c>
      <c r="D64" s="423"/>
      <c r="E64" s="423"/>
      <c r="F64" s="423"/>
      <c r="G64" s="423"/>
      <c r="H64" s="423">
        <v>-119</v>
      </c>
      <c r="I64" s="423">
        <v>-655</v>
      </c>
      <c r="J64" s="423">
        <v>-3004</v>
      </c>
      <c r="K64" s="423">
        <v>-464</v>
      </c>
      <c r="L64" s="423">
        <v>-995</v>
      </c>
      <c r="M64" s="423">
        <v>-1428</v>
      </c>
      <c r="N64" s="423">
        <v>-3398</v>
      </c>
      <c r="O64" s="423">
        <v>-6094</v>
      </c>
      <c r="P64" s="423">
        <v>-842</v>
      </c>
      <c r="Q64" s="423">
        <v>-1822</v>
      </c>
      <c r="R64" s="423">
        <v>-2544</v>
      </c>
      <c r="S64" s="423">
        <v>-2985</v>
      </c>
      <c r="T64" s="423">
        <v>-915</v>
      </c>
      <c r="U64" s="423">
        <v>-1813</v>
      </c>
      <c r="W64" s="423">
        <f t="shared" si="75"/>
        <v>-995</v>
      </c>
      <c r="X64" s="423">
        <f t="shared" si="76"/>
        <v>-433</v>
      </c>
      <c r="Y64" s="423">
        <f t="shared" si="77"/>
        <v>-1970</v>
      </c>
      <c r="Z64" s="423">
        <f t="shared" si="77"/>
        <v>-2696</v>
      </c>
      <c r="AA64" s="423">
        <f t="shared" si="78"/>
        <v>-842</v>
      </c>
      <c r="AB64" s="423">
        <f t="shared" si="79"/>
        <v>-980</v>
      </c>
      <c r="AC64" s="423">
        <f t="shared" si="80"/>
        <v>-722</v>
      </c>
      <c r="AD64" s="423">
        <f t="shared" si="80"/>
        <v>-441</v>
      </c>
      <c r="AE64" s="423">
        <f t="shared" si="81"/>
        <v>-915</v>
      </c>
      <c r="AF64" s="423">
        <f t="shared" si="82"/>
        <v>-898</v>
      </c>
    </row>
    <row r="65" spans="1:32" outlineLevel="1">
      <c r="A65" s="418" t="s">
        <v>686</v>
      </c>
      <c r="B65" s="418" t="s">
        <v>687</v>
      </c>
      <c r="D65" s="423"/>
      <c r="E65" s="423"/>
      <c r="F65" s="423"/>
      <c r="G65" s="423"/>
      <c r="H65" s="423">
        <v>-51820</v>
      </c>
      <c r="I65" s="423">
        <v>-121598</v>
      </c>
      <c r="J65" s="423">
        <v>-183109</v>
      </c>
      <c r="K65" s="423">
        <v>-73263</v>
      </c>
      <c r="L65" s="423">
        <v>-15926</v>
      </c>
      <c r="M65" s="423">
        <v>-3783</v>
      </c>
      <c r="N65" s="423">
        <v>-30884</v>
      </c>
      <c r="O65" s="423">
        <v>-40867</v>
      </c>
      <c r="P65" s="423">
        <v>-45495</v>
      </c>
      <c r="Q65" s="423">
        <v>-89786</v>
      </c>
      <c r="R65" s="423">
        <v>-131240</v>
      </c>
      <c r="S65" s="423">
        <v>-176813</v>
      </c>
      <c r="T65" s="423">
        <v>-46327</v>
      </c>
      <c r="U65" s="423">
        <v>-92706</v>
      </c>
      <c r="W65" s="423">
        <f t="shared" si="75"/>
        <v>-15926</v>
      </c>
      <c r="X65" s="423">
        <f t="shared" si="76"/>
        <v>12143</v>
      </c>
      <c r="Y65" s="423">
        <f t="shared" si="77"/>
        <v>-27101</v>
      </c>
      <c r="Z65" s="423">
        <f t="shared" si="77"/>
        <v>-9983</v>
      </c>
      <c r="AA65" s="423">
        <f t="shared" si="78"/>
        <v>-45495</v>
      </c>
      <c r="AB65" s="423">
        <f t="shared" si="79"/>
        <v>-44291</v>
      </c>
      <c r="AC65" s="423">
        <f t="shared" si="80"/>
        <v>-41454</v>
      </c>
      <c r="AD65" s="423">
        <f t="shared" si="80"/>
        <v>-45573</v>
      </c>
      <c r="AE65" s="423">
        <f t="shared" si="81"/>
        <v>-46327</v>
      </c>
      <c r="AF65" s="423">
        <f t="shared" si="82"/>
        <v>-46379</v>
      </c>
    </row>
    <row r="66" spans="1:32" outlineLevel="1">
      <c r="A66" s="418" t="s">
        <v>688</v>
      </c>
      <c r="B66" s="418" t="s">
        <v>689</v>
      </c>
      <c r="D66" s="423"/>
      <c r="E66" s="423"/>
      <c r="F66" s="423"/>
      <c r="G66" s="423"/>
      <c r="H66" s="423">
        <v>-162</v>
      </c>
      <c r="I66" s="423">
        <v>-162</v>
      </c>
      <c r="J66" s="423">
        <v>-164</v>
      </c>
      <c r="K66" s="423">
        <v>-4262</v>
      </c>
      <c r="L66" s="423">
        <v>-716</v>
      </c>
      <c r="M66" s="423">
        <v>-716</v>
      </c>
      <c r="N66" s="423">
        <v>-219</v>
      </c>
      <c r="O66" s="423">
        <v>-228</v>
      </c>
      <c r="P66" s="423">
        <v>0</v>
      </c>
      <c r="Q66" s="423">
        <v>0</v>
      </c>
      <c r="R66" s="423">
        <v>0</v>
      </c>
      <c r="S66" s="423">
        <v>-309</v>
      </c>
      <c r="T66" s="423">
        <v>-96</v>
      </c>
      <c r="U66" s="423">
        <v>-244</v>
      </c>
      <c r="W66" s="423">
        <f t="shared" si="75"/>
        <v>-716</v>
      </c>
      <c r="X66" s="423">
        <f t="shared" si="76"/>
        <v>0</v>
      </c>
      <c r="Y66" s="423">
        <f t="shared" si="77"/>
        <v>497</v>
      </c>
      <c r="Z66" s="423">
        <f t="shared" si="77"/>
        <v>-9</v>
      </c>
      <c r="AA66" s="423">
        <f t="shared" si="78"/>
        <v>0</v>
      </c>
      <c r="AB66" s="423">
        <f t="shared" si="79"/>
        <v>0</v>
      </c>
      <c r="AC66" s="423">
        <f t="shared" si="80"/>
        <v>0</v>
      </c>
      <c r="AD66" s="423">
        <f t="shared" si="80"/>
        <v>-309</v>
      </c>
      <c r="AE66" s="423">
        <f t="shared" si="81"/>
        <v>-96</v>
      </c>
      <c r="AF66" s="423">
        <f t="shared" si="82"/>
        <v>-148</v>
      </c>
    </row>
    <row r="67" spans="1:32" outlineLevel="1">
      <c r="A67" s="418" t="s">
        <v>690</v>
      </c>
      <c r="B67" s="418" t="s">
        <v>691</v>
      </c>
      <c r="D67" s="423"/>
      <c r="E67" s="423"/>
      <c r="F67" s="423"/>
      <c r="G67" s="423"/>
      <c r="H67" s="423">
        <v>-8339</v>
      </c>
      <c r="I67" s="423">
        <v>-874</v>
      </c>
      <c r="J67" s="423">
        <v>-1432</v>
      </c>
      <c r="K67" s="423">
        <v>-3308</v>
      </c>
      <c r="L67" s="423">
        <v>-1058</v>
      </c>
      <c r="M67" s="423">
        <v>-1101</v>
      </c>
      <c r="N67" s="423">
        <v>-1168</v>
      </c>
      <c r="O67" s="423">
        <v>1851</v>
      </c>
      <c r="P67" s="423">
        <v>-1305</v>
      </c>
      <c r="Q67" s="423">
        <v>-2549</v>
      </c>
      <c r="R67" s="423">
        <v>-4889</v>
      </c>
      <c r="S67" s="423">
        <v>-3488</v>
      </c>
      <c r="T67" s="423">
        <v>5450</v>
      </c>
      <c r="U67" s="423">
        <v>-896</v>
      </c>
      <c r="W67" s="423">
        <f t="shared" si="75"/>
        <v>-1058</v>
      </c>
      <c r="X67" s="423">
        <f t="shared" si="76"/>
        <v>-43</v>
      </c>
      <c r="Y67" s="423">
        <f t="shared" si="77"/>
        <v>-67</v>
      </c>
      <c r="Z67" s="423">
        <f t="shared" si="77"/>
        <v>3019</v>
      </c>
      <c r="AA67" s="423">
        <f t="shared" si="78"/>
        <v>-1305</v>
      </c>
      <c r="AB67" s="423">
        <f t="shared" si="79"/>
        <v>-1244</v>
      </c>
      <c r="AC67" s="423">
        <f t="shared" si="80"/>
        <v>-2340</v>
      </c>
      <c r="AD67" s="423">
        <f t="shared" si="80"/>
        <v>1401</v>
      </c>
      <c r="AE67" s="423">
        <f t="shared" si="81"/>
        <v>5450</v>
      </c>
      <c r="AF67" s="423">
        <f t="shared" si="82"/>
        <v>-6346</v>
      </c>
    </row>
    <row r="68" spans="1:32">
      <c r="A68" s="417" t="s">
        <v>692</v>
      </c>
      <c r="B68" s="417" t="s">
        <v>693</v>
      </c>
      <c r="D68" s="425"/>
      <c r="E68" s="425"/>
      <c r="F68" s="425"/>
      <c r="G68" s="425"/>
      <c r="H68" s="425">
        <v>-10312</v>
      </c>
      <c r="I68" s="425">
        <v>123506</v>
      </c>
      <c r="J68" s="425">
        <v>120212</v>
      </c>
      <c r="K68" s="425">
        <v>45619</v>
      </c>
      <c r="L68" s="425">
        <v>2632</v>
      </c>
      <c r="M68" s="425">
        <v>1185</v>
      </c>
      <c r="N68" s="425">
        <v>-7114</v>
      </c>
      <c r="O68" s="425">
        <v>-64249</v>
      </c>
      <c r="P68" s="425">
        <v>-38320</v>
      </c>
      <c r="Q68" s="425">
        <v>-117097</v>
      </c>
      <c r="R68" s="425">
        <v>-105793</v>
      </c>
      <c r="S68" s="425">
        <v>-240569</v>
      </c>
      <c r="T68" s="425">
        <v>-56727</v>
      </c>
      <c r="U68" s="756">
        <v>-92857</v>
      </c>
      <c r="W68" s="425">
        <f t="shared" si="75"/>
        <v>2632</v>
      </c>
      <c r="X68" s="425">
        <f t="shared" si="76"/>
        <v>-1447</v>
      </c>
      <c r="Y68" s="425">
        <f t="shared" si="77"/>
        <v>-8299</v>
      </c>
      <c r="Z68" s="425">
        <f t="shared" si="77"/>
        <v>-57135</v>
      </c>
      <c r="AA68" s="425">
        <f t="shared" si="78"/>
        <v>-38320</v>
      </c>
      <c r="AB68" s="425">
        <f t="shared" si="79"/>
        <v>-78777</v>
      </c>
      <c r="AC68" s="425">
        <f t="shared" si="80"/>
        <v>11304</v>
      </c>
      <c r="AD68" s="425">
        <f t="shared" si="80"/>
        <v>-134776</v>
      </c>
      <c r="AE68" s="425">
        <f t="shared" si="81"/>
        <v>-56727</v>
      </c>
      <c r="AF68" s="756">
        <f t="shared" si="82"/>
        <v>-36130</v>
      </c>
    </row>
    <row r="69" spans="1:32">
      <c r="A69" s="417" t="s">
        <v>694</v>
      </c>
      <c r="B69" s="417" t="s">
        <v>695</v>
      </c>
      <c r="D69" s="422">
        <f t="shared" ref="D69:I69" si="83">SUM(D70:D77)</f>
        <v>0</v>
      </c>
      <c r="E69" s="422">
        <f t="shared" si="83"/>
        <v>0</v>
      </c>
      <c r="F69" s="422">
        <f t="shared" si="83"/>
        <v>0</v>
      </c>
      <c r="G69" s="422">
        <f t="shared" si="83"/>
        <v>0</v>
      </c>
      <c r="H69" s="422">
        <f t="shared" si="83"/>
        <v>-130321</v>
      </c>
      <c r="I69" s="422">
        <f t="shared" si="83"/>
        <v>-515917</v>
      </c>
      <c r="J69" s="422">
        <f t="shared" ref="J69:T69" si="84">SUM(J70:J77)</f>
        <v>-677310</v>
      </c>
      <c r="K69" s="422">
        <f t="shared" si="84"/>
        <v>-980333</v>
      </c>
      <c r="L69" s="422">
        <f t="shared" si="84"/>
        <v>-174502</v>
      </c>
      <c r="M69" s="422">
        <f t="shared" si="84"/>
        <v>-335449</v>
      </c>
      <c r="N69" s="422">
        <f t="shared" si="84"/>
        <v>-471523</v>
      </c>
      <c r="O69" s="422">
        <f t="shared" si="84"/>
        <v>-494902</v>
      </c>
      <c r="P69" s="422">
        <f t="shared" si="84"/>
        <v>-192501</v>
      </c>
      <c r="Q69" s="422">
        <f t="shared" si="84"/>
        <v>-412142</v>
      </c>
      <c r="R69" s="422">
        <f t="shared" si="84"/>
        <v>-597258</v>
      </c>
      <c r="S69" s="422">
        <f t="shared" si="84"/>
        <v>-1199046</v>
      </c>
      <c r="T69" s="422">
        <f t="shared" si="84"/>
        <v>-181416</v>
      </c>
      <c r="U69" s="422">
        <f>SUM(U70:U77)</f>
        <v>-359993</v>
      </c>
      <c r="W69" s="422">
        <f t="shared" ref="W69:AC69" si="85">SUM(W70:W77)</f>
        <v>-174502</v>
      </c>
      <c r="X69" s="422">
        <f t="shared" si="85"/>
        <v>-160947</v>
      </c>
      <c r="Y69" s="422">
        <f t="shared" si="85"/>
        <v>-136074</v>
      </c>
      <c r="Z69" s="422">
        <f t="shared" si="85"/>
        <v>-23379</v>
      </c>
      <c r="AA69" s="422">
        <f t="shared" si="85"/>
        <v>-192501</v>
      </c>
      <c r="AB69" s="422">
        <f t="shared" si="85"/>
        <v>-219641</v>
      </c>
      <c r="AC69" s="422">
        <f t="shared" si="85"/>
        <v>-185116</v>
      </c>
      <c r="AD69" s="422">
        <f t="shared" ref="AD69:AE69" si="86">SUM(AD70:AD77)</f>
        <v>-601788</v>
      </c>
      <c r="AE69" s="422">
        <f t="shared" si="86"/>
        <v>-181416</v>
      </c>
      <c r="AF69" s="422">
        <f>SUM(AF70:AF77)</f>
        <v>-178577</v>
      </c>
    </row>
    <row r="70" spans="1:32" outlineLevel="1">
      <c r="A70" s="418" t="s">
        <v>696</v>
      </c>
      <c r="B70" s="418" t="s">
        <v>697</v>
      </c>
      <c r="D70" s="423"/>
      <c r="E70" s="423"/>
      <c r="F70" s="423"/>
      <c r="G70" s="423"/>
      <c r="H70" s="423">
        <v>-33691</v>
      </c>
      <c r="I70" s="423">
        <v>-76179</v>
      </c>
      <c r="J70" s="423">
        <v>-98246</v>
      </c>
      <c r="K70" s="423">
        <v>-58700</v>
      </c>
      <c r="L70" s="423">
        <v>-13130</v>
      </c>
      <c r="M70" s="423">
        <v>-13757</v>
      </c>
      <c r="N70" s="423">
        <v>-19256</v>
      </c>
      <c r="O70" s="423">
        <v>-14848</v>
      </c>
      <c r="P70" s="423">
        <v>-19671</v>
      </c>
      <c r="Q70" s="423">
        <v>-45874</v>
      </c>
      <c r="R70" s="423">
        <v>-73012</v>
      </c>
      <c r="S70" s="423">
        <v>-102577</v>
      </c>
      <c r="T70" s="423">
        <v>-43467</v>
      </c>
      <c r="U70" s="423">
        <v>-83042</v>
      </c>
      <c r="W70" s="423">
        <f t="shared" ref="W70:W78" si="87">L70</f>
        <v>-13130</v>
      </c>
      <c r="X70" s="423">
        <f t="shared" ref="X70:X78" si="88">M70-W70</f>
        <v>-627</v>
      </c>
      <c r="Y70" s="423">
        <f t="shared" ref="Y70:Y78" si="89">N70-M70</f>
        <v>-5499</v>
      </c>
      <c r="Z70" s="423">
        <f t="shared" ref="Z70:Z78" si="90">O70-N70</f>
        <v>4408</v>
      </c>
      <c r="AA70" s="423">
        <f t="shared" ref="AA70:AA78" si="91">P70</f>
        <v>-19671</v>
      </c>
      <c r="AB70" s="423">
        <f t="shared" ref="AB70:AB78" si="92">Q70-AA70</f>
        <v>-26203</v>
      </c>
      <c r="AC70" s="423">
        <f t="shared" ref="AC70:AC78" si="93">R70-Q70</f>
        <v>-27138</v>
      </c>
      <c r="AD70" s="423">
        <f t="shared" ref="AD70:AD78" si="94">S70-R70</f>
        <v>-29565</v>
      </c>
      <c r="AE70" s="423">
        <f t="shared" ref="AE70:AE78" si="95">T70</f>
        <v>-43467</v>
      </c>
      <c r="AF70" s="423">
        <f t="shared" ref="AF70:AF78" si="96">U70-T70</f>
        <v>-39575</v>
      </c>
    </row>
    <row r="71" spans="1:32" outlineLevel="1">
      <c r="A71" s="418" t="s">
        <v>698</v>
      </c>
      <c r="B71" s="418" t="s">
        <v>699</v>
      </c>
      <c r="D71" s="423"/>
      <c r="E71" s="423"/>
      <c r="F71" s="423"/>
      <c r="G71" s="423"/>
      <c r="H71" s="423">
        <v>-11003</v>
      </c>
      <c r="I71" s="423">
        <v>-3755</v>
      </c>
      <c r="J71" s="423">
        <v>-5988</v>
      </c>
      <c r="K71" s="423">
        <v>-18598</v>
      </c>
      <c r="L71" s="423">
        <v>-3718</v>
      </c>
      <c r="M71" s="423">
        <v>-7187</v>
      </c>
      <c r="N71" s="423">
        <v>-10057</v>
      </c>
      <c r="O71" s="423">
        <v>-9669</v>
      </c>
      <c r="P71" s="423">
        <v>-2480</v>
      </c>
      <c r="Q71" s="423">
        <v>-4589</v>
      </c>
      <c r="R71" s="423">
        <v>-7981</v>
      </c>
      <c r="S71" s="423">
        <v>-4752</v>
      </c>
      <c r="T71" s="423">
        <v>-1989</v>
      </c>
      <c r="U71" s="423">
        <v>-1334</v>
      </c>
      <c r="W71" s="423">
        <f t="shared" si="87"/>
        <v>-3718</v>
      </c>
      <c r="X71" s="423">
        <f t="shared" si="88"/>
        <v>-3469</v>
      </c>
      <c r="Y71" s="423">
        <f t="shared" si="89"/>
        <v>-2870</v>
      </c>
      <c r="Z71" s="423">
        <f t="shared" si="90"/>
        <v>388</v>
      </c>
      <c r="AA71" s="423">
        <f t="shared" si="91"/>
        <v>-2480</v>
      </c>
      <c r="AB71" s="423">
        <f t="shared" si="92"/>
        <v>-2109</v>
      </c>
      <c r="AC71" s="423">
        <f t="shared" si="93"/>
        <v>-3392</v>
      </c>
      <c r="AD71" s="423">
        <f t="shared" si="94"/>
        <v>3229</v>
      </c>
      <c r="AE71" s="423">
        <f t="shared" si="95"/>
        <v>-1989</v>
      </c>
      <c r="AF71" s="423">
        <f t="shared" si="96"/>
        <v>655</v>
      </c>
    </row>
    <row r="72" spans="1:32" outlineLevel="1">
      <c r="A72" s="418" t="s">
        <v>700</v>
      </c>
      <c r="B72" s="418" t="s">
        <v>701</v>
      </c>
      <c r="D72" s="423"/>
      <c r="E72" s="423"/>
      <c r="F72" s="423"/>
      <c r="G72" s="423"/>
      <c r="H72" s="423">
        <v>-31704</v>
      </c>
      <c r="I72" s="423">
        <v>-68793</v>
      </c>
      <c r="J72" s="423">
        <v>-134994</v>
      </c>
      <c r="K72" s="423">
        <v>-393203</v>
      </c>
      <c r="L72" s="423">
        <v>-96742</v>
      </c>
      <c r="M72" s="423">
        <v>-194410</v>
      </c>
      <c r="N72" s="423">
        <v>-270293</v>
      </c>
      <c r="O72" s="423">
        <v>-341499</v>
      </c>
      <c r="P72" s="423">
        <v>-54908</v>
      </c>
      <c r="Q72" s="423">
        <v>-150166</v>
      </c>
      <c r="R72" s="423">
        <v>-254436</v>
      </c>
      <c r="S72" s="423">
        <v>-204311</v>
      </c>
      <c r="T72" s="423">
        <v>-27851</v>
      </c>
      <c r="U72" s="423">
        <v>-69034</v>
      </c>
      <c r="W72" s="423">
        <f t="shared" si="87"/>
        <v>-96742</v>
      </c>
      <c r="X72" s="423">
        <f t="shared" si="88"/>
        <v>-97668</v>
      </c>
      <c r="Y72" s="423">
        <f t="shared" si="89"/>
        <v>-75883</v>
      </c>
      <c r="Z72" s="423">
        <f t="shared" si="90"/>
        <v>-71206</v>
      </c>
      <c r="AA72" s="423">
        <f t="shared" si="91"/>
        <v>-54908</v>
      </c>
      <c r="AB72" s="423">
        <f t="shared" si="92"/>
        <v>-95258</v>
      </c>
      <c r="AC72" s="423">
        <f t="shared" si="93"/>
        <v>-104270</v>
      </c>
      <c r="AD72" s="423">
        <f t="shared" si="94"/>
        <v>50125</v>
      </c>
      <c r="AE72" s="423">
        <f t="shared" si="95"/>
        <v>-27851</v>
      </c>
      <c r="AF72" s="423">
        <f t="shared" si="96"/>
        <v>-41183</v>
      </c>
    </row>
    <row r="73" spans="1:32" outlineLevel="1">
      <c r="A73" s="418" t="s">
        <v>702</v>
      </c>
      <c r="B73" s="418" t="s">
        <v>703</v>
      </c>
      <c r="D73" s="423"/>
      <c r="E73" s="423"/>
      <c r="F73" s="423"/>
      <c r="G73" s="423"/>
      <c r="H73" s="423">
        <v>3331</v>
      </c>
      <c r="I73" s="423">
        <v>1787</v>
      </c>
      <c r="J73" s="423">
        <v>2919</v>
      </c>
      <c r="K73" s="423">
        <v>-5293</v>
      </c>
      <c r="L73" s="423">
        <v>-1100</v>
      </c>
      <c r="M73" s="423">
        <v>-1492</v>
      </c>
      <c r="N73" s="423">
        <v>-3074</v>
      </c>
      <c r="O73" s="423">
        <v>-3610</v>
      </c>
      <c r="P73" s="423">
        <v>-1103</v>
      </c>
      <c r="Q73" s="423">
        <v>-2896</v>
      </c>
      <c r="R73" s="423">
        <v>-5098</v>
      </c>
      <c r="S73" s="423">
        <v>-1463</v>
      </c>
      <c r="T73" s="423">
        <v>-433</v>
      </c>
      <c r="U73" s="423">
        <v>7204</v>
      </c>
      <c r="W73" s="423">
        <f t="shared" si="87"/>
        <v>-1100</v>
      </c>
      <c r="X73" s="423">
        <f t="shared" si="88"/>
        <v>-392</v>
      </c>
      <c r="Y73" s="423">
        <f t="shared" si="89"/>
        <v>-1582</v>
      </c>
      <c r="Z73" s="423">
        <f t="shared" si="90"/>
        <v>-536</v>
      </c>
      <c r="AA73" s="423">
        <f t="shared" si="91"/>
        <v>-1103</v>
      </c>
      <c r="AB73" s="423">
        <f t="shared" si="92"/>
        <v>-1793</v>
      </c>
      <c r="AC73" s="423">
        <f t="shared" si="93"/>
        <v>-2202</v>
      </c>
      <c r="AD73" s="423">
        <f t="shared" si="94"/>
        <v>3635</v>
      </c>
      <c r="AE73" s="423">
        <f t="shared" si="95"/>
        <v>-433</v>
      </c>
      <c r="AF73" s="423">
        <f t="shared" si="96"/>
        <v>7637</v>
      </c>
    </row>
    <row r="74" spans="1:32" outlineLevel="1">
      <c r="A74" s="418" t="s">
        <v>704</v>
      </c>
      <c r="B74" s="418" t="s">
        <v>705</v>
      </c>
      <c r="D74" s="423"/>
      <c r="E74" s="423"/>
      <c r="F74" s="423"/>
      <c r="G74" s="423"/>
      <c r="H74" s="423">
        <v>-17776</v>
      </c>
      <c r="I74" s="423">
        <v>-170479</v>
      </c>
      <c r="J74" s="423">
        <v>-202774</v>
      </c>
      <c r="K74" s="423">
        <v>-235873</v>
      </c>
      <c r="L74" s="423">
        <v>-32404</v>
      </c>
      <c r="M74" s="423">
        <v>-68588</v>
      </c>
      <c r="N74" s="423">
        <v>-78180</v>
      </c>
      <c r="O74" s="423">
        <v>-56086</v>
      </c>
      <c r="P74" s="423">
        <v>-17950</v>
      </c>
      <c r="Q74" s="423">
        <v>-14667</v>
      </c>
      <c r="R74" s="423">
        <v>-44884</v>
      </c>
      <c r="S74" s="423">
        <v>-5082</v>
      </c>
      <c r="T74" s="423">
        <v>-31640</v>
      </c>
      <c r="U74" s="423">
        <v>-91649</v>
      </c>
      <c r="W74" s="423">
        <f t="shared" si="87"/>
        <v>-32404</v>
      </c>
      <c r="X74" s="423">
        <f t="shared" si="88"/>
        <v>-36184</v>
      </c>
      <c r="Y74" s="423">
        <f t="shared" si="89"/>
        <v>-9592</v>
      </c>
      <c r="Z74" s="423">
        <f t="shared" si="90"/>
        <v>22094</v>
      </c>
      <c r="AA74" s="423">
        <f t="shared" si="91"/>
        <v>-17950</v>
      </c>
      <c r="AB74" s="423">
        <f t="shared" si="92"/>
        <v>3283</v>
      </c>
      <c r="AC74" s="423">
        <f t="shared" si="93"/>
        <v>-30217</v>
      </c>
      <c r="AD74" s="423">
        <f t="shared" si="94"/>
        <v>39802</v>
      </c>
      <c r="AE74" s="423">
        <f t="shared" si="95"/>
        <v>-31640</v>
      </c>
      <c r="AF74" s="423">
        <f t="shared" si="96"/>
        <v>-60009</v>
      </c>
    </row>
    <row r="75" spans="1:32" outlineLevel="1">
      <c r="A75" s="418" t="s">
        <v>706</v>
      </c>
      <c r="B75" s="418" t="s">
        <v>707</v>
      </c>
      <c r="D75" s="423"/>
      <c r="E75" s="423"/>
      <c r="F75" s="423"/>
      <c r="G75" s="423"/>
      <c r="H75" s="423">
        <v>-17938</v>
      </c>
      <c r="I75" s="423">
        <v>-183571</v>
      </c>
      <c r="J75" s="423">
        <v>-203037</v>
      </c>
      <c r="K75" s="423">
        <v>-242265</v>
      </c>
      <c r="L75" s="423">
        <v>-13205</v>
      </c>
      <c r="M75" s="423">
        <v>-24460</v>
      </c>
      <c r="N75" s="423">
        <v>-44240</v>
      </c>
      <c r="O75" s="423">
        <v>-5051</v>
      </c>
      <c r="P75" s="423">
        <v>-17101</v>
      </c>
      <c r="Q75" s="423">
        <v>-35234</v>
      </c>
      <c r="R75" s="423">
        <v>-49449</v>
      </c>
      <c r="S75" s="423">
        <v>-299751</v>
      </c>
      <c r="T75" s="423">
        <v>-10392</v>
      </c>
      <c r="U75" s="423">
        <v>-31345</v>
      </c>
      <c r="W75" s="423">
        <f t="shared" si="87"/>
        <v>-13205</v>
      </c>
      <c r="X75" s="423">
        <f t="shared" si="88"/>
        <v>-11255</v>
      </c>
      <c r="Y75" s="423">
        <f t="shared" si="89"/>
        <v>-19780</v>
      </c>
      <c r="Z75" s="423">
        <f t="shared" si="90"/>
        <v>39189</v>
      </c>
      <c r="AA75" s="423">
        <f t="shared" si="91"/>
        <v>-17101</v>
      </c>
      <c r="AB75" s="423">
        <f t="shared" si="92"/>
        <v>-18133</v>
      </c>
      <c r="AC75" s="423">
        <f t="shared" si="93"/>
        <v>-14215</v>
      </c>
      <c r="AD75" s="423">
        <f t="shared" si="94"/>
        <v>-250302</v>
      </c>
      <c r="AE75" s="423">
        <f t="shared" si="95"/>
        <v>-10392</v>
      </c>
      <c r="AF75" s="423">
        <f t="shared" si="96"/>
        <v>-20953</v>
      </c>
    </row>
    <row r="76" spans="1:32" outlineLevel="1">
      <c r="A76" s="418" t="s">
        <v>708</v>
      </c>
      <c r="B76" s="418" t="s">
        <v>709</v>
      </c>
      <c r="D76" s="423"/>
      <c r="E76" s="423"/>
      <c r="F76" s="423"/>
      <c r="G76" s="423"/>
      <c r="H76" s="423">
        <v>-21540</v>
      </c>
      <c r="I76" s="423">
        <v>-14927</v>
      </c>
      <c r="J76" s="423">
        <v>-35190</v>
      </c>
      <c r="K76" s="423">
        <v>-26401</v>
      </c>
      <c r="L76" s="423">
        <v>-14203</v>
      </c>
      <c r="M76" s="423">
        <v>-25555</v>
      </c>
      <c r="N76" s="423">
        <v>-46423</v>
      </c>
      <c r="O76" s="423">
        <v>-64139</v>
      </c>
      <c r="P76" s="423">
        <v>-79288</v>
      </c>
      <c r="Q76" s="423">
        <v>-158716</v>
      </c>
      <c r="R76" s="423">
        <v>-162398</v>
      </c>
      <c r="S76" s="423">
        <v>-581110</v>
      </c>
      <c r="T76" s="423">
        <v>-65644</v>
      </c>
      <c r="U76" s="423">
        <v>-90793</v>
      </c>
      <c r="W76" s="423">
        <f t="shared" si="87"/>
        <v>-14203</v>
      </c>
      <c r="X76" s="423">
        <f t="shared" si="88"/>
        <v>-11352</v>
      </c>
      <c r="Y76" s="423">
        <f t="shared" si="89"/>
        <v>-20868</v>
      </c>
      <c r="Z76" s="423">
        <f t="shared" si="90"/>
        <v>-17716</v>
      </c>
      <c r="AA76" s="423">
        <f t="shared" si="91"/>
        <v>-79288</v>
      </c>
      <c r="AB76" s="423">
        <f t="shared" si="92"/>
        <v>-79428</v>
      </c>
      <c r="AC76" s="423">
        <f t="shared" si="93"/>
        <v>-3682</v>
      </c>
      <c r="AD76" s="423">
        <f t="shared" si="94"/>
        <v>-418712</v>
      </c>
      <c r="AE76" s="423">
        <f t="shared" si="95"/>
        <v>-65644</v>
      </c>
      <c r="AF76" s="423">
        <f t="shared" si="96"/>
        <v>-25149</v>
      </c>
    </row>
    <row r="77" spans="1:32" outlineLevel="1">
      <c r="A77" s="418" t="s">
        <v>710</v>
      </c>
      <c r="B77" s="418" t="s">
        <v>711</v>
      </c>
      <c r="D77" s="423"/>
      <c r="E77" s="423"/>
      <c r="F77" s="423"/>
      <c r="G77" s="423"/>
      <c r="H77" s="423">
        <v>0</v>
      </c>
      <c r="I77" s="423">
        <v>0</v>
      </c>
      <c r="J77" s="423">
        <v>0</v>
      </c>
      <c r="K77" s="423">
        <v>0</v>
      </c>
      <c r="L77" s="423">
        <v>0</v>
      </c>
      <c r="M77" s="423">
        <v>0</v>
      </c>
      <c r="N77" s="423">
        <v>0</v>
      </c>
      <c r="O77" s="423">
        <v>0</v>
      </c>
      <c r="P77" s="423">
        <v>0</v>
      </c>
      <c r="Q77" s="423">
        <v>0</v>
      </c>
      <c r="R77" s="423">
        <v>0</v>
      </c>
      <c r="S77" s="423">
        <v>0</v>
      </c>
      <c r="T77" s="423">
        <v>0</v>
      </c>
      <c r="U77" s="423">
        <v>0</v>
      </c>
      <c r="W77" s="423">
        <f t="shared" si="87"/>
        <v>0</v>
      </c>
      <c r="X77" s="423">
        <f t="shared" si="88"/>
        <v>0</v>
      </c>
      <c r="Y77" s="423">
        <f t="shared" si="89"/>
        <v>0</v>
      </c>
      <c r="Z77" s="423">
        <f t="shared" si="90"/>
        <v>0</v>
      </c>
      <c r="AA77" s="423">
        <f t="shared" si="91"/>
        <v>0</v>
      </c>
      <c r="AB77" s="423">
        <f t="shared" si="92"/>
        <v>0</v>
      </c>
      <c r="AC77" s="423">
        <f t="shared" si="93"/>
        <v>0</v>
      </c>
      <c r="AD77" s="423">
        <f t="shared" si="94"/>
        <v>0</v>
      </c>
      <c r="AE77" s="423">
        <f t="shared" si="95"/>
        <v>0</v>
      </c>
      <c r="AF77" s="423">
        <f t="shared" si="96"/>
        <v>0</v>
      </c>
    </row>
    <row r="78" spans="1:32">
      <c r="A78" s="417" t="s">
        <v>712</v>
      </c>
      <c r="B78" s="417" t="s">
        <v>713</v>
      </c>
      <c r="D78" s="422">
        <v>0</v>
      </c>
      <c r="E78" s="422">
        <v>0</v>
      </c>
      <c r="F78" s="422">
        <v>0</v>
      </c>
      <c r="G78" s="422">
        <v>0</v>
      </c>
      <c r="H78" s="422">
        <v>0</v>
      </c>
      <c r="I78" s="422">
        <v>0</v>
      </c>
      <c r="J78" s="422">
        <v>0</v>
      </c>
      <c r="K78" s="422"/>
      <c r="L78" s="422"/>
      <c r="M78" s="422">
        <v>0</v>
      </c>
      <c r="N78" s="422">
        <v>0</v>
      </c>
      <c r="O78" s="422">
        <v>0</v>
      </c>
      <c r="P78" s="422">
        <v>0</v>
      </c>
      <c r="Q78" s="422">
        <v>0</v>
      </c>
      <c r="R78" s="422">
        <v>0</v>
      </c>
      <c r="S78" s="422">
        <v>0</v>
      </c>
      <c r="T78" s="422">
        <v>0</v>
      </c>
      <c r="U78" s="422">
        <v>0</v>
      </c>
      <c r="W78" s="422">
        <f t="shared" si="87"/>
        <v>0</v>
      </c>
      <c r="X78" s="422">
        <f t="shared" si="88"/>
        <v>0</v>
      </c>
      <c r="Y78" s="422">
        <f t="shared" si="89"/>
        <v>0</v>
      </c>
      <c r="Z78" s="422">
        <f t="shared" si="90"/>
        <v>0</v>
      </c>
      <c r="AA78" s="422">
        <f t="shared" si="91"/>
        <v>0</v>
      </c>
      <c r="AB78" s="422">
        <f t="shared" si="92"/>
        <v>0</v>
      </c>
      <c r="AC78" s="422">
        <f t="shared" si="93"/>
        <v>0</v>
      </c>
      <c r="AD78" s="422">
        <f t="shared" si="94"/>
        <v>0</v>
      </c>
      <c r="AE78" s="422">
        <f t="shared" si="95"/>
        <v>0</v>
      </c>
      <c r="AF78" s="422">
        <f t="shared" si="96"/>
        <v>0</v>
      </c>
    </row>
    <row r="79" spans="1:32">
      <c r="A79" s="417" t="s">
        <v>714</v>
      </c>
      <c r="B79" s="417" t="s">
        <v>715</v>
      </c>
      <c r="D79" s="422">
        <f t="shared" ref="D79:L79" si="97">SUM(D80:D82)</f>
        <v>0</v>
      </c>
      <c r="E79" s="422">
        <f t="shared" si="97"/>
        <v>0</v>
      </c>
      <c r="F79" s="422">
        <f t="shared" si="97"/>
        <v>0</v>
      </c>
      <c r="G79" s="422">
        <f t="shared" si="97"/>
        <v>0</v>
      </c>
      <c r="H79" s="422">
        <f t="shared" si="97"/>
        <v>47403</v>
      </c>
      <c r="I79" s="422">
        <f t="shared" si="97"/>
        <v>-31814</v>
      </c>
      <c r="J79" s="422">
        <f t="shared" si="97"/>
        <v>-62784</v>
      </c>
      <c r="K79" s="422">
        <f t="shared" si="97"/>
        <v>-211405</v>
      </c>
      <c r="L79" s="422">
        <f t="shared" si="97"/>
        <v>-30710</v>
      </c>
      <c r="M79" s="422">
        <f t="shared" ref="M79:T79" si="98">SUM(M80:M82)</f>
        <v>-124939</v>
      </c>
      <c r="N79" s="422">
        <f t="shared" si="98"/>
        <v>-114719</v>
      </c>
      <c r="O79" s="422">
        <f t="shared" si="98"/>
        <v>-122183</v>
      </c>
      <c r="P79" s="422">
        <f t="shared" si="98"/>
        <v>-79860</v>
      </c>
      <c r="Q79" s="422">
        <f t="shared" si="98"/>
        <v>-38061</v>
      </c>
      <c r="R79" s="422">
        <f t="shared" si="98"/>
        <v>-110315</v>
      </c>
      <c r="S79" s="422">
        <f t="shared" si="98"/>
        <v>-190735</v>
      </c>
      <c r="T79" s="422">
        <f t="shared" si="98"/>
        <v>-17539</v>
      </c>
      <c r="U79" s="422">
        <f>SUM(U80:U82)</f>
        <v>-55889</v>
      </c>
      <c r="W79" s="422">
        <f t="shared" ref="W79:AC79" si="99">SUM(W80:W82)</f>
        <v>-30710</v>
      </c>
      <c r="X79" s="422">
        <f t="shared" si="99"/>
        <v>-94229</v>
      </c>
      <c r="Y79" s="422">
        <f t="shared" si="99"/>
        <v>10220</v>
      </c>
      <c r="Z79" s="422">
        <f t="shared" si="99"/>
        <v>-7464</v>
      </c>
      <c r="AA79" s="422">
        <f t="shared" si="99"/>
        <v>-79860</v>
      </c>
      <c r="AB79" s="422">
        <f t="shared" si="99"/>
        <v>41799</v>
      </c>
      <c r="AC79" s="422">
        <f t="shared" si="99"/>
        <v>-72254</v>
      </c>
      <c r="AD79" s="422">
        <f t="shared" ref="AD79:AE79" si="100">SUM(AD80:AD82)</f>
        <v>-80420</v>
      </c>
      <c r="AE79" s="422">
        <f t="shared" si="100"/>
        <v>-17539</v>
      </c>
      <c r="AF79" s="422">
        <f>SUM(AF80:AF82)</f>
        <v>-38350</v>
      </c>
    </row>
    <row r="80" spans="1:32" outlineLevel="1">
      <c r="A80" s="418" t="s">
        <v>716</v>
      </c>
      <c r="B80" s="418" t="s">
        <v>717</v>
      </c>
      <c r="D80" s="423"/>
      <c r="E80" s="423"/>
      <c r="F80" s="423"/>
      <c r="G80" s="423"/>
      <c r="H80" s="423">
        <v>-1067</v>
      </c>
      <c r="I80" s="423">
        <v>-21875</v>
      </c>
      <c r="J80" s="423">
        <v>-32563</v>
      </c>
      <c r="K80" s="423">
        <v>-62368</v>
      </c>
      <c r="L80" s="423">
        <v>-29464</v>
      </c>
      <c r="M80" s="423">
        <v>-12115</v>
      </c>
      <c r="N80" s="423">
        <v>-15858</v>
      </c>
      <c r="O80" s="423">
        <v>-42167</v>
      </c>
      <c r="P80" s="423">
        <v>-1994</v>
      </c>
      <c r="Q80" s="423">
        <v>-6154</v>
      </c>
      <c r="R80" s="423">
        <v>-5742</v>
      </c>
      <c r="S80" s="423">
        <v>-48088</v>
      </c>
      <c r="T80" s="423">
        <v>-8700</v>
      </c>
      <c r="U80" s="423">
        <v>-16648</v>
      </c>
      <c r="W80" s="423">
        <f>L80</f>
        <v>-29464</v>
      </c>
      <c r="X80" s="423">
        <f>M80-W80</f>
        <v>17349</v>
      </c>
      <c r="Y80" s="423">
        <f t="shared" ref="Y80:Z82" si="101">N80-M80</f>
        <v>-3743</v>
      </c>
      <c r="Z80" s="423">
        <f t="shared" si="101"/>
        <v>-26309</v>
      </c>
      <c r="AA80" s="423">
        <f>P80</f>
        <v>-1994</v>
      </c>
      <c r="AB80" s="423">
        <f t="shared" ref="AB80:AB82" si="102">Q80-AA80</f>
        <v>-4160</v>
      </c>
      <c r="AC80" s="423">
        <f t="shared" ref="AC80:AD82" si="103">R80-Q80</f>
        <v>412</v>
      </c>
      <c r="AD80" s="423">
        <f t="shared" si="103"/>
        <v>-42346</v>
      </c>
      <c r="AE80" s="423">
        <f>T80</f>
        <v>-8700</v>
      </c>
      <c r="AF80" s="423">
        <f>U80-T80</f>
        <v>-7948</v>
      </c>
    </row>
    <row r="81" spans="1:32" outlineLevel="1">
      <c r="A81" s="418" t="s">
        <v>718</v>
      </c>
      <c r="B81" s="418" t="s">
        <v>719</v>
      </c>
      <c r="D81" s="423"/>
      <c r="E81" s="423"/>
      <c r="F81" s="423"/>
      <c r="G81" s="423"/>
      <c r="H81" s="423">
        <v>48470</v>
      </c>
      <c r="I81" s="423">
        <v>-9939</v>
      </c>
      <c r="J81" s="423">
        <v>-30221</v>
      </c>
      <c r="K81" s="423">
        <v>-149037</v>
      </c>
      <c r="L81" s="423">
        <v>-1246</v>
      </c>
      <c r="M81" s="423">
        <v>-61993</v>
      </c>
      <c r="N81" s="423">
        <v>-30476</v>
      </c>
      <c r="O81" s="423">
        <v>-74257</v>
      </c>
      <c r="P81" s="423">
        <v>-77866</v>
      </c>
      <c r="Q81" s="423">
        <v>-31907</v>
      </c>
      <c r="R81" s="423">
        <v>-104573</v>
      </c>
      <c r="S81" s="423">
        <v>-142647</v>
      </c>
      <c r="T81" s="423">
        <v>-7402</v>
      </c>
      <c r="U81" s="423">
        <v>-36641</v>
      </c>
      <c r="W81" s="423">
        <f>L81</f>
        <v>-1246</v>
      </c>
      <c r="X81" s="423">
        <f>M81-W81</f>
        <v>-60747</v>
      </c>
      <c r="Y81" s="423">
        <f t="shared" si="101"/>
        <v>31517</v>
      </c>
      <c r="Z81" s="423">
        <f t="shared" si="101"/>
        <v>-43781</v>
      </c>
      <c r="AA81" s="423">
        <f>P81</f>
        <v>-77866</v>
      </c>
      <c r="AB81" s="423">
        <f t="shared" si="102"/>
        <v>45959</v>
      </c>
      <c r="AC81" s="423">
        <f t="shared" si="103"/>
        <v>-72666</v>
      </c>
      <c r="AD81" s="423">
        <f t="shared" si="103"/>
        <v>-38074</v>
      </c>
      <c r="AE81" s="423">
        <f>T81</f>
        <v>-7402</v>
      </c>
      <c r="AF81" s="423">
        <f>U81-T81</f>
        <v>-29239</v>
      </c>
    </row>
    <row r="82" spans="1:32" outlineLevel="1">
      <c r="A82" s="418" t="s">
        <v>720</v>
      </c>
      <c r="B82" s="418" t="s">
        <v>721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>
        <v>-50831</v>
      </c>
      <c r="N82" s="423">
        <v>-68385</v>
      </c>
      <c r="O82" s="423">
        <v>-5759</v>
      </c>
      <c r="P82" s="423">
        <v>0</v>
      </c>
      <c r="Q82" s="423">
        <v>0</v>
      </c>
      <c r="R82" s="423">
        <v>0</v>
      </c>
      <c r="S82" s="423">
        <v>0</v>
      </c>
      <c r="T82" s="423">
        <v>-1437</v>
      </c>
      <c r="U82" s="423">
        <v>-2600</v>
      </c>
      <c r="W82" s="423"/>
      <c r="X82" s="423">
        <f>M82-W82</f>
        <v>-50831</v>
      </c>
      <c r="Y82" s="423">
        <f t="shared" si="101"/>
        <v>-17554</v>
      </c>
      <c r="Z82" s="423">
        <f t="shared" si="101"/>
        <v>62626</v>
      </c>
      <c r="AA82" s="423">
        <f>P82</f>
        <v>0</v>
      </c>
      <c r="AB82" s="423">
        <f t="shared" si="102"/>
        <v>0</v>
      </c>
      <c r="AC82" s="423">
        <f t="shared" si="103"/>
        <v>0</v>
      </c>
      <c r="AD82" s="423">
        <f t="shared" si="103"/>
        <v>0</v>
      </c>
      <c r="AE82" s="423">
        <f>T82</f>
        <v>-1437</v>
      </c>
      <c r="AF82" s="423">
        <f>U82-T82</f>
        <v>-1163</v>
      </c>
    </row>
    <row r="83" spans="1:32">
      <c r="A83" s="417"/>
      <c r="B83" s="417"/>
      <c r="D83" s="417"/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</row>
    <row r="84" spans="1:32">
      <c r="A84" s="429" t="s">
        <v>722</v>
      </c>
      <c r="B84" s="429" t="s">
        <v>722</v>
      </c>
      <c r="D84" s="420">
        <f t="shared" ref="D84:I84" si="104">D86-D76-D53-D77</f>
        <v>0</v>
      </c>
      <c r="E84" s="420">
        <f t="shared" si="104"/>
        <v>0</v>
      </c>
      <c r="F84" s="420">
        <f t="shared" si="104"/>
        <v>0</v>
      </c>
      <c r="G84" s="420">
        <f t="shared" si="104"/>
        <v>0</v>
      </c>
      <c r="H84" s="420">
        <f t="shared" si="104"/>
        <v>366130</v>
      </c>
      <c r="I84" s="420">
        <f t="shared" si="104"/>
        <v>341794</v>
      </c>
      <c r="J84" s="420">
        <f t="shared" ref="J84:Q84" si="105">J86-J76-J53-J77</f>
        <v>704274</v>
      </c>
      <c r="K84" s="420">
        <f t="shared" si="105"/>
        <v>935699</v>
      </c>
      <c r="L84" s="420">
        <f t="shared" si="105"/>
        <v>455991</v>
      </c>
      <c r="M84" s="420">
        <f t="shared" si="105"/>
        <v>894355</v>
      </c>
      <c r="N84" s="420">
        <f t="shared" si="105"/>
        <v>1548582</v>
      </c>
      <c r="O84" s="420">
        <f t="shared" si="105"/>
        <v>2033821</v>
      </c>
      <c r="P84" s="420">
        <f t="shared" si="105"/>
        <v>590048</v>
      </c>
      <c r="Q84" s="420">
        <f t="shared" si="105"/>
        <v>1183003</v>
      </c>
      <c r="R84" s="420">
        <f t="shared" ref="R84:T84" si="106">R86-R76-R53-R77</f>
        <v>1798591</v>
      </c>
      <c r="S84" s="420">
        <f t="shared" si="106"/>
        <v>2248146</v>
      </c>
      <c r="T84" s="420">
        <f t="shared" si="106"/>
        <v>575141</v>
      </c>
      <c r="U84" s="741">
        <f>U86-U76-U53-U77</f>
        <v>1226228</v>
      </c>
      <c r="W84" s="420">
        <f t="shared" ref="W84:AC84" si="107">W86-W76-W53-W77</f>
        <v>455991</v>
      </c>
      <c r="X84" s="420">
        <f t="shared" si="107"/>
        <v>438364</v>
      </c>
      <c r="Y84" s="420">
        <f t="shared" si="107"/>
        <v>654227</v>
      </c>
      <c r="Z84" s="420">
        <f t="shared" si="107"/>
        <v>485239</v>
      </c>
      <c r="AA84" s="420">
        <f t="shared" si="107"/>
        <v>590048</v>
      </c>
      <c r="AB84" s="420">
        <f t="shared" si="107"/>
        <v>592955</v>
      </c>
      <c r="AC84" s="420">
        <f t="shared" si="107"/>
        <v>615588</v>
      </c>
      <c r="AD84" s="420">
        <f t="shared" ref="AD84:AE84" si="108">AD86-AD76-AD53-AD77</f>
        <v>449555</v>
      </c>
      <c r="AE84" s="420">
        <f t="shared" si="108"/>
        <v>575141</v>
      </c>
      <c r="AF84" s="741">
        <f>AF86-AF76-AF53-AF77</f>
        <v>1302738</v>
      </c>
    </row>
    <row r="85" spans="1:32">
      <c r="A85" s="417"/>
      <c r="B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</row>
    <row r="86" spans="1:32">
      <c r="A86" s="429" t="s">
        <v>723</v>
      </c>
      <c r="B86" s="429" t="s">
        <v>724</v>
      </c>
      <c r="D86" s="420">
        <f t="shared" ref="D86:I86" si="109">D58+D60</f>
        <v>0</v>
      </c>
      <c r="E86" s="420">
        <f t="shared" si="109"/>
        <v>0</v>
      </c>
      <c r="F86" s="420">
        <f t="shared" si="109"/>
        <v>0</v>
      </c>
      <c r="G86" s="420">
        <f t="shared" si="109"/>
        <v>0</v>
      </c>
      <c r="H86" s="420">
        <f t="shared" si="109"/>
        <v>247102</v>
      </c>
      <c r="I86" s="420">
        <f t="shared" si="109"/>
        <v>126800</v>
      </c>
      <c r="J86" s="420">
        <f t="shared" ref="J86:Q86" si="110">J58+J60</f>
        <v>336014</v>
      </c>
      <c r="K86" s="420">
        <f t="shared" si="110"/>
        <v>412939</v>
      </c>
      <c r="L86" s="420">
        <f t="shared" si="110"/>
        <v>302070</v>
      </c>
      <c r="M86" s="420">
        <f t="shared" si="110"/>
        <v>583235</v>
      </c>
      <c r="N86" s="420">
        <f t="shared" si="110"/>
        <v>1041867</v>
      </c>
      <c r="O86" s="420">
        <f t="shared" si="110"/>
        <v>1351605</v>
      </c>
      <c r="P86" s="420">
        <f t="shared" si="110"/>
        <v>407705</v>
      </c>
      <c r="Q86" s="420">
        <f t="shared" si="110"/>
        <v>815532</v>
      </c>
      <c r="R86" s="420">
        <f t="shared" ref="R86:T86" si="111">R58+R60</f>
        <v>1281759</v>
      </c>
      <c r="S86" s="420">
        <f t="shared" si="111"/>
        <v>1539893</v>
      </c>
      <c r="T86" s="420">
        <f t="shared" si="111"/>
        <v>377513</v>
      </c>
      <c r="U86" s="741">
        <f>U58+U60</f>
        <v>816235</v>
      </c>
      <c r="W86" s="420">
        <f t="shared" ref="W86:AC86" si="112">W58+W60</f>
        <v>302070</v>
      </c>
      <c r="X86" s="420">
        <f t="shared" si="112"/>
        <v>281165</v>
      </c>
      <c r="Y86" s="420">
        <f t="shared" si="112"/>
        <v>458632</v>
      </c>
      <c r="Z86" s="420">
        <f t="shared" si="112"/>
        <v>309738</v>
      </c>
      <c r="AA86" s="420">
        <f t="shared" si="112"/>
        <v>407705</v>
      </c>
      <c r="AB86" s="420">
        <f t="shared" si="112"/>
        <v>407827</v>
      </c>
      <c r="AC86" s="420">
        <f t="shared" si="112"/>
        <v>466227</v>
      </c>
      <c r="AD86" s="420">
        <f t="shared" ref="AD86:AE86" si="113">AD58+AD60</f>
        <v>258134</v>
      </c>
      <c r="AE86" s="420">
        <f t="shared" si="113"/>
        <v>377513</v>
      </c>
      <c r="AF86" s="741">
        <f>AF58+AF60</f>
        <v>1090373</v>
      </c>
    </row>
    <row r="87" spans="1:32">
      <c r="A87" s="417"/>
      <c r="B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</row>
    <row r="88" spans="1:32">
      <c r="A88" s="429" t="s">
        <v>725</v>
      </c>
      <c r="B88" s="429" t="s">
        <v>726</v>
      </c>
      <c r="D88" s="420">
        <f t="shared" ref="D88:I88" si="114">D90+D100</f>
        <v>0</v>
      </c>
      <c r="E88" s="420">
        <f t="shared" si="114"/>
        <v>0</v>
      </c>
      <c r="F88" s="420">
        <f t="shared" si="114"/>
        <v>0</v>
      </c>
      <c r="G88" s="420">
        <f t="shared" si="114"/>
        <v>0</v>
      </c>
      <c r="H88" s="420">
        <f t="shared" si="114"/>
        <v>-276987</v>
      </c>
      <c r="I88" s="420">
        <f t="shared" si="114"/>
        <v>-783699</v>
      </c>
      <c r="J88" s="420">
        <f t="shared" ref="J88:Q88" si="115">J90+J100</f>
        <v>-1111563</v>
      </c>
      <c r="K88" s="420">
        <f t="shared" si="115"/>
        <v>-1479859</v>
      </c>
      <c r="L88" s="420">
        <f t="shared" si="115"/>
        <v>-379425</v>
      </c>
      <c r="M88" s="420">
        <f t="shared" si="115"/>
        <v>-741788</v>
      </c>
      <c r="N88" s="420">
        <f t="shared" si="115"/>
        <v>-1100521</v>
      </c>
      <c r="O88" s="420">
        <f t="shared" si="115"/>
        <v>-1422701</v>
      </c>
      <c r="P88" s="420">
        <f t="shared" si="115"/>
        <v>-430583</v>
      </c>
      <c r="Q88" s="420">
        <f t="shared" si="115"/>
        <v>-842388</v>
      </c>
      <c r="R88" s="420">
        <f t="shared" ref="R88:T88" si="116">R90+R100</f>
        <v>-1328534</v>
      </c>
      <c r="S88" s="420">
        <f t="shared" si="116"/>
        <v>-2178602</v>
      </c>
      <c r="T88" s="420">
        <f t="shared" si="116"/>
        <v>-531368</v>
      </c>
      <c r="U88" s="741">
        <f>U90+U100</f>
        <v>-1110413</v>
      </c>
      <c r="W88" s="420">
        <f t="shared" ref="W88:AC88" si="117">W90+W100</f>
        <v>-379425</v>
      </c>
      <c r="X88" s="420">
        <f t="shared" si="117"/>
        <v>-362363</v>
      </c>
      <c r="Y88" s="420">
        <f t="shared" si="117"/>
        <v>-358733</v>
      </c>
      <c r="Z88" s="420">
        <f t="shared" si="117"/>
        <v>-322180</v>
      </c>
      <c r="AA88" s="420">
        <f t="shared" si="117"/>
        <v>-430583</v>
      </c>
      <c r="AB88" s="420">
        <f t="shared" si="117"/>
        <v>-411805</v>
      </c>
      <c r="AC88" s="420">
        <f t="shared" si="117"/>
        <v>-486146</v>
      </c>
      <c r="AD88" s="420">
        <f t="shared" ref="AD88:AE88" si="118">AD90+AD100</f>
        <v>-850068</v>
      </c>
      <c r="AE88" s="420">
        <f t="shared" si="118"/>
        <v>-531368</v>
      </c>
      <c r="AF88" s="741">
        <f>AF90+AF100</f>
        <v>-579045</v>
      </c>
    </row>
    <row r="89" spans="1:32">
      <c r="A89" s="416"/>
      <c r="B89" s="416"/>
      <c r="D89" s="417"/>
      <c r="E89" s="417"/>
      <c r="F89" s="417"/>
      <c r="G89" s="417"/>
      <c r="H89" s="422"/>
      <c r="I89" s="422"/>
      <c r="J89" s="422"/>
      <c r="K89" s="422"/>
      <c r="L89" s="422"/>
      <c r="M89" s="422"/>
      <c r="N89" s="422"/>
      <c r="O89" s="422"/>
      <c r="P89" s="417"/>
      <c r="Q89" s="417"/>
      <c r="R89" s="417"/>
      <c r="S89" s="417"/>
      <c r="T89" s="417"/>
      <c r="U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</row>
    <row r="90" spans="1:32">
      <c r="A90" s="417" t="s">
        <v>727</v>
      </c>
      <c r="B90" s="417" t="s">
        <v>728</v>
      </c>
      <c r="D90" s="424">
        <f t="shared" ref="D90:I90" si="119">SUM(D91:D99)</f>
        <v>0</v>
      </c>
      <c r="E90" s="424">
        <f t="shared" si="119"/>
        <v>0</v>
      </c>
      <c r="F90" s="424">
        <f t="shared" si="119"/>
        <v>0</v>
      </c>
      <c r="G90" s="424">
        <f t="shared" si="119"/>
        <v>0</v>
      </c>
      <c r="H90" s="424">
        <f t="shared" si="119"/>
        <v>165582</v>
      </c>
      <c r="I90" s="424">
        <f t="shared" si="119"/>
        <v>278893</v>
      </c>
      <c r="J90" s="424">
        <f t="shared" ref="J90:Q90" si="120">SUM(J91:J99)</f>
        <v>337113</v>
      </c>
      <c r="K90" s="424">
        <f t="shared" si="120"/>
        <v>361664</v>
      </c>
      <c r="L90" s="424">
        <f t="shared" si="120"/>
        <v>45641</v>
      </c>
      <c r="M90" s="424">
        <f t="shared" si="120"/>
        <v>173660</v>
      </c>
      <c r="N90" s="424">
        <f t="shared" si="120"/>
        <v>297124</v>
      </c>
      <c r="O90" s="424">
        <f t="shared" si="120"/>
        <v>533697</v>
      </c>
      <c r="P90" s="424">
        <f t="shared" si="120"/>
        <v>181197</v>
      </c>
      <c r="Q90" s="424">
        <f t="shared" si="120"/>
        <v>343954</v>
      </c>
      <c r="R90" s="424">
        <f t="shared" ref="R90:T90" si="121">SUM(R91:R99)</f>
        <v>553043</v>
      </c>
      <c r="S90" s="424">
        <f t="shared" si="121"/>
        <v>746175</v>
      </c>
      <c r="T90" s="424">
        <f t="shared" si="121"/>
        <v>584913</v>
      </c>
      <c r="U90" s="424">
        <f>SUM(U91:U99)</f>
        <v>837044</v>
      </c>
      <c r="W90" s="424">
        <f t="shared" ref="W90:AC90" si="122">SUM(W91:W99)</f>
        <v>45641</v>
      </c>
      <c r="X90" s="424">
        <f t="shared" si="122"/>
        <v>128019</v>
      </c>
      <c r="Y90" s="424">
        <f t="shared" si="122"/>
        <v>123464</v>
      </c>
      <c r="Z90" s="424">
        <f t="shared" si="122"/>
        <v>236573</v>
      </c>
      <c r="AA90" s="424">
        <f t="shared" si="122"/>
        <v>181197</v>
      </c>
      <c r="AB90" s="424">
        <f t="shared" si="122"/>
        <v>162757</v>
      </c>
      <c r="AC90" s="424">
        <f t="shared" si="122"/>
        <v>209089</v>
      </c>
      <c r="AD90" s="424">
        <f t="shared" ref="AD90:AE90" si="123">SUM(AD91:AD99)</f>
        <v>193132</v>
      </c>
      <c r="AE90" s="424">
        <f t="shared" si="123"/>
        <v>584913</v>
      </c>
      <c r="AF90" s="424">
        <f>SUM(AF91:AF99)</f>
        <v>252131</v>
      </c>
    </row>
    <row r="91" spans="1:32" outlineLevel="1">
      <c r="A91" s="418" t="s">
        <v>729</v>
      </c>
      <c r="B91" s="418" t="s">
        <v>728</v>
      </c>
      <c r="D91" s="423"/>
      <c r="E91" s="423"/>
      <c r="F91" s="423"/>
      <c r="G91" s="423"/>
      <c r="H91" s="423">
        <v>38434</v>
      </c>
      <c r="I91" s="423">
        <v>63867</v>
      </c>
      <c r="J91" s="423">
        <v>84109</v>
      </c>
      <c r="K91" s="423">
        <v>110767</v>
      </c>
      <c r="L91" s="423">
        <v>23335</v>
      </c>
      <c r="M91" s="423">
        <v>58024</v>
      </c>
      <c r="N91" s="423">
        <v>105829</v>
      </c>
      <c r="O91" s="423">
        <v>146389</v>
      </c>
      <c r="P91" s="423">
        <f>31942</f>
        <v>31942</v>
      </c>
      <c r="Q91" s="423">
        <f>53988</f>
        <v>53988</v>
      </c>
      <c r="R91" s="423">
        <v>81941</v>
      </c>
      <c r="S91" s="423">
        <v>117754</v>
      </c>
      <c r="T91" s="423">
        <v>48490</v>
      </c>
      <c r="U91" s="423">
        <v>91464</v>
      </c>
      <c r="W91" s="423">
        <f t="shared" ref="W91:W99" si="124">L91</f>
        <v>23335</v>
      </c>
      <c r="X91" s="423">
        <f t="shared" ref="X91:X99" si="125">M91-W91</f>
        <v>34689</v>
      </c>
      <c r="Y91" s="423">
        <f t="shared" ref="Y91:Y99" si="126">N91-M91</f>
        <v>47805</v>
      </c>
      <c r="Z91" s="423">
        <f t="shared" ref="Z91:Z99" si="127">O91-N91</f>
        <v>40560</v>
      </c>
      <c r="AA91" s="423">
        <f t="shared" ref="AA91:AA99" si="128">P91</f>
        <v>31942</v>
      </c>
      <c r="AB91" s="423">
        <f t="shared" ref="AB91:AB99" si="129">Q91-AA91</f>
        <v>22046</v>
      </c>
      <c r="AC91" s="423">
        <f t="shared" ref="AC91:AC99" si="130">R91-Q91</f>
        <v>27953</v>
      </c>
      <c r="AD91" s="423">
        <f t="shared" ref="AD91:AD99" si="131">S91-R91</f>
        <v>35813</v>
      </c>
      <c r="AE91" s="423">
        <f t="shared" ref="AE91:AE99" si="132">T91</f>
        <v>48490</v>
      </c>
      <c r="AF91" s="423">
        <f t="shared" ref="AF91:AF99" si="133">U91-T91</f>
        <v>42974</v>
      </c>
    </row>
    <row r="92" spans="1:32" outlineLevel="1">
      <c r="A92" s="418" t="s">
        <v>730</v>
      </c>
      <c r="B92" s="418" t="s">
        <v>731</v>
      </c>
      <c r="D92" s="423"/>
      <c r="E92" s="423"/>
      <c r="F92" s="423"/>
      <c r="G92" s="423"/>
      <c r="H92" s="423">
        <v>-7554</v>
      </c>
      <c r="I92" s="423">
        <v>-13012</v>
      </c>
      <c r="J92" s="423">
        <v>-15805</v>
      </c>
      <c r="K92" s="423">
        <v>-16978</v>
      </c>
      <c r="L92" s="423">
        <v>-2177</v>
      </c>
      <c r="M92" s="423">
        <v>-8351</v>
      </c>
      <c r="N92" s="423">
        <v>-14037</v>
      </c>
      <c r="O92" s="423">
        <v>-16745</v>
      </c>
      <c r="P92" s="423">
        <v>-5247</v>
      </c>
      <c r="Q92" s="423">
        <v>-8821</v>
      </c>
      <c r="R92" s="423">
        <v>-15209</v>
      </c>
      <c r="S92" s="423">
        <v>-22936</v>
      </c>
      <c r="T92" s="423">
        <v>-5663</v>
      </c>
      <c r="U92" s="423">
        <v>-11311</v>
      </c>
      <c r="W92" s="423">
        <f t="shared" si="124"/>
        <v>-2177</v>
      </c>
      <c r="X92" s="423">
        <f t="shared" si="125"/>
        <v>-6174</v>
      </c>
      <c r="Y92" s="423">
        <f t="shared" si="126"/>
        <v>-5686</v>
      </c>
      <c r="Z92" s="423">
        <f t="shared" si="127"/>
        <v>-2708</v>
      </c>
      <c r="AA92" s="423">
        <f t="shared" si="128"/>
        <v>-5247</v>
      </c>
      <c r="AB92" s="423">
        <f t="shared" si="129"/>
        <v>-3574</v>
      </c>
      <c r="AC92" s="423">
        <f t="shared" si="130"/>
        <v>-6388</v>
      </c>
      <c r="AD92" s="423">
        <f t="shared" si="131"/>
        <v>-7727</v>
      </c>
      <c r="AE92" s="423">
        <f t="shared" si="132"/>
        <v>-5663</v>
      </c>
      <c r="AF92" s="423">
        <f t="shared" si="133"/>
        <v>-5648</v>
      </c>
    </row>
    <row r="93" spans="1:32" outlineLevel="1">
      <c r="A93" s="418" t="s">
        <v>2561</v>
      </c>
      <c r="B93" s="418" t="s">
        <v>2562</v>
      </c>
      <c r="D93" s="423"/>
      <c r="E93" s="423"/>
      <c r="F93" s="423"/>
      <c r="G93" s="423"/>
      <c r="H93" s="423">
        <v>0</v>
      </c>
      <c r="I93" s="423">
        <v>0</v>
      </c>
      <c r="J93" s="423">
        <v>0</v>
      </c>
      <c r="K93" s="423">
        <v>0</v>
      </c>
      <c r="L93" s="423">
        <v>0</v>
      </c>
      <c r="M93" s="423">
        <v>0</v>
      </c>
      <c r="N93" s="423">
        <v>0</v>
      </c>
      <c r="O93" s="423">
        <v>0</v>
      </c>
      <c r="P93" s="423">
        <v>0</v>
      </c>
      <c r="Q93" s="423">
        <v>0</v>
      </c>
      <c r="R93" s="423">
        <v>0</v>
      </c>
      <c r="S93" s="423">
        <v>62879</v>
      </c>
      <c r="T93" s="423">
        <v>243271</v>
      </c>
      <c r="U93" s="423">
        <v>215024</v>
      </c>
      <c r="W93" s="423">
        <f t="shared" si="124"/>
        <v>0</v>
      </c>
      <c r="X93" s="423">
        <f t="shared" si="125"/>
        <v>0</v>
      </c>
      <c r="Y93" s="423">
        <f t="shared" si="126"/>
        <v>0</v>
      </c>
      <c r="Z93" s="423">
        <f t="shared" si="127"/>
        <v>0</v>
      </c>
      <c r="AA93" s="423">
        <f t="shared" si="128"/>
        <v>0</v>
      </c>
      <c r="AB93" s="423">
        <f t="shared" si="129"/>
        <v>0</v>
      </c>
      <c r="AC93" s="423">
        <f t="shared" si="130"/>
        <v>0</v>
      </c>
      <c r="AD93" s="423">
        <f t="shared" si="131"/>
        <v>62879</v>
      </c>
      <c r="AE93" s="423">
        <f t="shared" si="132"/>
        <v>243271</v>
      </c>
      <c r="AF93" s="423">
        <f t="shared" si="133"/>
        <v>-28247</v>
      </c>
    </row>
    <row r="94" spans="1:32" outlineLevel="1">
      <c r="A94" s="418" t="s">
        <v>733</v>
      </c>
      <c r="B94" s="418" t="s">
        <v>734</v>
      </c>
      <c r="D94" s="423"/>
      <c r="E94" s="423"/>
      <c r="F94" s="423"/>
      <c r="G94" s="423"/>
      <c r="H94" s="423">
        <v>15689</v>
      </c>
      <c r="I94" s="423">
        <v>34738</v>
      </c>
      <c r="J94" s="423">
        <v>49243</v>
      </c>
      <c r="K94" s="423">
        <v>61665</v>
      </c>
      <c r="L94" s="423">
        <v>15594</v>
      </c>
      <c r="M94" s="423">
        <v>32050</v>
      </c>
      <c r="N94" s="423">
        <v>47141</v>
      </c>
      <c r="O94" s="423">
        <v>62460</v>
      </c>
      <c r="P94" s="423">
        <v>15404</v>
      </c>
      <c r="Q94" s="423">
        <v>30524</v>
      </c>
      <c r="R94" s="423">
        <v>45394</v>
      </c>
      <c r="S94" s="423">
        <v>58727</v>
      </c>
      <c r="T94" s="423">
        <v>18262</v>
      </c>
      <c r="U94" s="423">
        <v>37232</v>
      </c>
      <c r="W94" s="423">
        <f t="shared" si="124"/>
        <v>15594</v>
      </c>
      <c r="X94" s="423">
        <f t="shared" si="125"/>
        <v>16456</v>
      </c>
      <c r="Y94" s="423">
        <f t="shared" si="126"/>
        <v>15091</v>
      </c>
      <c r="Z94" s="423">
        <f t="shared" si="127"/>
        <v>15319</v>
      </c>
      <c r="AA94" s="423">
        <f t="shared" si="128"/>
        <v>15404</v>
      </c>
      <c r="AB94" s="423">
        <f t="shared" si="129"/>
        <v>15120</v>
      </c>
      <c r="AC94" s="423">
        <f t="shared" si="130"/>
        <v>14870</v>
      </c>
      <c r="AD94" s="423">
        <f t="shared" si="131"/>
        <v>13333</v>
      </c>
      <c r="AE94" s="423">
        <f t="shared" si="132"/>
        <v>18262</v>
      </c>
      <c r="AF94" s="423">
        <f t="shared" si="133"/>
        <v>18970</v>
      </c>
    </row>
    <row r="95" spans="1:32" outlineLevel="1">
      <c r="A95" s="418" t="s">
        <v>735</v>
      </c>
      <c r="B95" s="418" t="s">
        <v>736</v>
      </c>
      <c r="D95" s="423"/>
      <c r="E95" s="423"/>
      <c r="F95" s="423"/>
      <c r="G95" s="423"/>
      <c r="H95" s="423">
        <v>0</v>
      </c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>
        <v>0</v>
      </c>
      <c r="T95" s="423">
        <v>0</v>
      </c>
      <c r="U95" s="423">
        <v>0</v>
      </c>
      <c r="W95" s="423">
        <f t="shared" si="124"/>
        <v>0</v>
      </c>
      <c r="X95" s="423">
        <f t="shared" si="125"/>
        <v>0</v>
      </c>
      <c r="Y95" s="423">
        <f t="shared" si="126"/>
        <v>0</v>
      </c>
      <c r="Z95" s="423">
        <f t="shared" si="127"/>
        <v>0</v>
      </c>
      <c r="AA95" s="423">
        <f t="shared" si="128"/>
        <v>0</v>
      </c>
      <c r="AB95" s="423">
        <f t="shared" si="129"/>
        <v>0</v>
      </c>
      <c r="AC95" s="423">
        <f t="shared" si="130"/>
        <v>0</v>
      </c>
      <c r="AD95" s="423">
        <f t="shared" si="131"/>
        <v>0</v>
      </c>
      <c r="AE95" s="423">
        <f t="shared" si="132"/>
        <v>0</v>
      </c>
      <c r="AF95" s="423">
        <f t="shared" si="133"/>
        <v>0</v>
      </c>
    </row>
    <row r="96" spans="1:32" outlineLevel="1">
      <c r="A96" s="418" t="s">
        <v>737</v>
      </c>
      <c r="B96" s="418" t="s">
        <v>738</v>
      </c>
      <c r="D96" s="423"/>
      <c r="E96" s="423"/>
      <c r="F96" s="423"/>
      <c r="G96" s="423"/>
      <c r="H96" s="423">
        <v>0</v>
      </c>
      <c r="I96" s="423">
        <v>0</v>
      </c>
      <c r="J96" s="423">
        <v>0</v>
      </c>
      <c r="K96" s="423">
        <v>0</v>
      </c>
      <c r="L96" s="423">
        <v>0</v>
      </c>
      <c r="M96" s="423">
        <v>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>
        <v>0</v>
      </c>
      <c r="T96" s="423">
        <v>0</v>
      </c>
      <c r="U96" s="423">
        <v>0</v>
      </c>
      <c r="W96" s="423">
        <f t="shared" si="124"/>
        <v>0</v>
      </c>
      <c r="X96" s="423">
        <f t="shared" si="125"/>
        <v>0</v>
      </c>
      <c r="Y96" s="423">
        <f t="shared" si="126"/>
        <v>0</v>
      </c>
      <c r="Z96" s="423">
        <f t="shared" si="127"/>
        <v>0</v>
      </c>
      <c r="AA96" s="423">
        <f t="shared" si="128"/>
        <v>0</v>
      </c>
      <c r="AB96" s="423">
        <f t="shared" si="129"/>
        <v>0</v>
      </c>
      <c r="AC96" s="423">
        <f t="shared" si="130"/>
        <v>0</v>
      </c>
      <c r="AD96" s="423">
        <f t="shared" si="131"/>
        <v>0</v>
      </c>
      <c r="AE96" s="423">
        <f t="shared" si="132"/>
        <v>0</v>
      </c>
      <c r="AF96" s="423">
        <f t="shared" si="133"/>
        <v>0</v>
      </c>
    </row>
    <row r="97" spans="1:32" outlineLevel="1">
      <c r="A97" s="418" t="s">
        <v>739</v>
      </c>
      <c r="B97" s="418" t="s">
        <v>740</v>
      </c>
      <c r="D97" s="423"/>
      <c r="E97" s="423"/>
      <c r="F97" s="423"/>
      <c r="G97" s="423"/>
      <c r="H97" s="423">
        <v>108333</v>
      </c>
      <c r="I97" s="423">
        <v>181218</v>
      </c>
      <c r="J97" s="423">
        <v>206545</v>
      </c>
      <c r="K97" s="423">
        <v>192689</v>
      </c>
      <c r="L97" s="423">
        <v>8889</v>
      </c>
      <c r="M97" s="423">
        <v>91937</v>
      </c>
      <c r="N97" s="423">
        <v>146088</v>
      </c>
      <c r="O97" s="423">
        <v>329490</v>
      </c>
      <c r="P97" s="423">
        <f>55832+53992</f>
        <v>109824</v>
      </c>
      <c r="Q97" s="423">
        <f>80502+62647</f>
        <v>143149</v>
      </c>
      <c r="R97" s="423">
        <v>247943</v>
      </c>
      <c r="S97" s="423">
        <v>378617</v>
      </c>
      <c r="T97" s="423">
        <v>85943</v>
      </c>
      <c r="U97" s="423">
        <v>174788</v>
      </c>
      <c r="W97" s="423">
        <f t="shared" si="124"/>
        <v>8889</v>
      </c>
      <c r="X97" s="423">
        <f t="shared" si="125"/>
        <v>83048</v>
      </c>
      <c r="Y97" s="423">
        <f t="shared" si="126"/>
        <v>54151</v>
      </c>
      <c r="Z97" s="423">
        <f t="shared" si="127"/>
        <v>183402</v>
      </c>
      <c r="AA97" s="423">
        <f t="shared" si="128"/>
        <v>109824</v>
      </c>
      <c r="AB97" s="423">
        <f t="shared" si="129"/>
        <v>33325</v>
      </c>
      <c r="AC97" s="423">
        <f t="shared" si="130"/>
        <v>104794</v>
      </c>
      <c r="AD97" s="423">
        <f t="shared" si="131"/>
        <v>130674</v>
      </c>
      <c r="AE97" s="423">
        <f t="shared" si="132"/>
        <v>85943</v>
      </c>
      <c r="AF97" s="423">
        <f t="shared" si="133"/>
        <v>88845</v>
      </c>
    </row>
    <row r="98" spans="1:32" outlineLevel="1">
      <c r="A98" s="418" t="s">
        <v>741</v>
      </c>
      <c r="B98" s="418" t="s">
        <v>2536</v>
      </c>
      <c r="D98" s="423"/>
      <c r="E98" s="423"/>
      <c r="F98" s="423"/>
      <c r="G98" s="423"/>
      <c r="H98" s="423"/>
      <c r="I98" s="423"/>
      <c r="J98" s="423"/>
      <c r="K98" s="423"/>
      <c r="L98" s="423"/>
      <c r="M98" s="423"/>
      <c r="N98" s="423"/>
      <c r="O98" s="423"/>
      <c r="P98" s="423"/>
      <c r="Q98" s="423">
        <v>77752</v>
      </c>
      <c r="R98" s="423">
        <v>126278</v>
      </c>
      <c r="S98" s="423">
        <v>96446</v>
      </c>
      <c r="T98" s="423">
        <v>161720</v>
      </c>
      <c r="U98" s="423">
        <v>289964</v>
      </c>
      <c r="W98" s="423">
        <f>L98</f>
        <v>0</v>
      </c>
      <c r="X98" s="423">
        <f>M98-W98</f>
        <v>0</v>
      </c>
      <c r="Y98" s="423">
        <f t="shared" si="126"/>
        <v>0</v>
      </c>
      <c r="Z98" s="423">
        <f t="shared" si="127"/>
        <v>0</v>
      </c>
      <c r="AA98" s="423">
        <f>P98</f>
        <v>0</v>
      </c>
      <c r="AB98" s="423">
        <f>Q98-AA98</f>
        <v>77752</v>
      </c>
      <c r="AC98" s="423">
        <f t="shared" si="130"/>
        <v>48526</v>
      </c>
      <c r="AD98" s="423">
        <f t="shared" si="131"/>
        <v>-29832</v>
      </c>
      <c r="AE98" s="423">
        <f>T98</f>
        <v>161720</v>
      </c>
      <c r="AF98" s="423">
        <f t="shared" si="133"/>
        <v>128244</v>
      </c>
    </row>
    <row r="99" spans="1:32" outlineLevel="1">
      <c r="A99" s="418" t="s">
        <v>742</v>
      </c>
      <c r="B99" s="418" t="s">
        <v>743</v>
      </c>
      <c r="D99" s="423"/>
      <c r="E99" s="423"/>
      <c r="F99" s="423"/>
      <c r="G99" s="423"/>
      <c r="H99" s="423">
        <v>10680</v>
      </c>
      <c r="I99" s="423">
        <v>12082</v>
      </c>
      <c r="J99" s="423">
        <v>13021</v>
      </c>
      <c r="K99" s="423">
        <v>13521</v>
      </c>
      <c r="L99" s="423">
        <v>0</v>
      </c>
      <c r="M99" s="423">
        <v>0</v>
      </c>
      <c r="N99" s="423">
        <v>12103</v>
      </c>
      <c r="O99" s="423">
        <v>12103</v>
      </c>
      <c r="P99" s="423">
        <v>29274</v>
      </c>
      <c r="Q99" s="423">
        <v>47362</v>
      </c>
      <c r="R99" s="423">
        <v>66696</v>
      </c>
      <c r="S99" s="423">
        <v>54688</v>
      </c>
      <c r="T99" s="423">
        <v>32890</v>
      </c>
      <c r="U99" s="423">
        <v>39883</v>
      </c>
      <c r="W99" s="423">
        <f t="shared" si="124"/>
        <v>0</v>
      </c>
      <c r="X99" s="423">
        <f t="shared" si="125"/>
        <v>0</v>
      </c>
      <c r="Y99" s="423">
        <f t="shared" si="126"/>
        <v>12103</v>
      </c>
      <c r="Z99" s="423">
        <f t="shared" si="127"/>
        <v>0</v>
      </c>
      <c r="AA99" s="423">
        <f t="shared" si="128"/>
        <v>29274</v>
      </c>
      <c r="AB99" s="423">
        <f t="shared" si="129"/>
        <v>18088</v>
      </c>
      <c r="AC99" s="423">
        <f t="shared" si="130"/>
        <v>19334</v>
      </c>
      <c r="AD99" s="423">
        <f t="shared" si="131"/>
        <v>-12008</v>
      </c>
      <c r="AE99" s="423">
        <f t="shared" si="132"/>
        <v>32890</v>
      </c>
      <c r="AF99" s="423">
        <f t="shared" si="133"/>
        <v>6993</v>
      </c>
    </row>
    <row r="100" spans="1:32">
      <c r="A100" s="417" t="s">
        <v>744</v>
      </c>
      <c r="B100" s="417" t="s">
        <v>745</v>
      </c>
      <c r="D100" s="422">
        <f t="shared" ref="D100:I100" si="134">SUM(D101:D110)</f>
        <v>0</v>
      </c>
      <c r="E100" s="422">
        <f t="shared" si="134"/>
        <v>0</v>
      </c>
      <c r="F100" s="422">
        <f t="shared" si="134"/>
        <v>0</v>
      </c>
      <c r="G100" s="422">
        <f t="shared" si="134"/>
        <v>0</v>
      </c>
      <c r="H100" s="422">
        <f t="shared" si="134"/>
        <v>-442569</v>
      </c>
      <c r="I100" s="422">
        <f t="shared" si="134"/>
        <v>-1062592</v>
      </c>
      <c r="J100" s="422">
        <f t="shared" ref="J100:T100" si="135">SUM(J101:J110)</f>
        <v>-1448676</v>
      </c>
      <c r="K100" s="422">
        <f t="shared" si="135"/>
        <v>-1841523</v>
      </c>
      <c r="L100" s="422">
        <f t="shared" si="135"/>
        <v>-425066</v>
      </c>
      <c r="M100" s="422">
        <f t="shared" si="135"/>
        <v>-915448</v>
      </c>
      <c r="N100" s="422">
        <f t="shared" si="135"/>
        <v>-1397645</v>
      </c>
      <c r="O100" s="422">
        <f t="shared" si="135"/>
        <v>-1956398</v>
      </c>
      <c r="P100" s="422">
        <f t="shared" si="135"/>
        <v>-611780</v>
      </c>
      <c r="Q100" s="422">
        <f t="shared" si="135"/>
        <v>-1186342</v>
      </c>
      <c r="R100" s="422">
        <f t="shared" si="135"/>
        <v>-1881577</v>
      </c>
      <c r="S100" s="422">
        <f t="shared" si="135"/>
        <v>-2924777</v>
      </c>
      <c r="T100" s="422">
        <f t="shared" si="135"/>
        <v>-1116281</v>
      </c>
      <c r="U100" s="422">
        <f>SUM(U101:U110)</f>
        <v>-1947457</v>
      </c>
      <c r="W100" s="422">
        <f t="shared" ref="W100:AC100" si="136">SUM(W101:W110)</f>
        <v>-425066</v>
      </c>
      <c r="X100" s="422">
        <f t="shared" si="136"/>
        <v>-490382</v>
      </c>
      <c r="Y100" s="422">
        <f t="shared" si="136"/>
        <v>-482197</v>
      </c>
      <c r="Z100" s="422">
        <f t="shared" si="136"/>
        <v>-558753</v>
      </c>
      <c r="AA100" s="422">
        <f t="shared" si="136"/>
        <v>-611780</v>
      </c>
      <c r="AB100" s="422">
        <f t="shared" si="136"/>
        <v>-574562</v>
      </c>
      <c r="AC100" s="422">
        <f t="shared" si="136"/>
        <v>-695235</v>
      </c>
      <c r="AD100" s="422">
        <f t="shared" ref="AD100:AE100" si="137">SUM(AD101:AD110)</f>
        <v>-1043200</v>
      </c>
      <c r="AE100" s="422">
        <f t="shared" si="137"/>
        <v>-1116281</v>
      </c>
      <c r="AF100" s="422">
        <f>SUM(AF101:AF110)</f>
        <v>-831176</v>
      </c>
    </row>
    <row r="101" spans="1:32" outlineLevel="1">
      <c r="A101" s="418" t="s">
        <v>746</v>
      </c>
      <c r="B101" s="418" t="s">
        <v>747</v>
      </c>
      <c r="D101" s="423"/>
      <c r="E101" s="423"/>
      <c r="F101" s="423"/>
      <c r="G101" s="423"/>
      <c r="H101" s="423">
        <v>-326063</v>
      </c>
      <c r="I101" s="423">
        <v>-628405</v>
      </c>
      <c r="J101" s="423">
        <v>-951006</v>
      </c>
      <c r="K101" s="423">
        <v>-1240568</v>
      </c>
      <c r="L101" s="423">
        <v>-284988</v>
      </c>
      <c r="M101" s="423">
        <v>-584601</v>
      </c>
      <c r="N101" s="423">
        <v>-902058</v>
      </c>
      <c r="O101" s="423">
        <v>-1247708</v>
      </c>
      <c r="P101" s="423">
        <v>-317728</v>
      </c>
      <c r="Q101" s="423">
        <v>-656023</v>
      </c>
      <c r="R101" s="423">
        <v>-1047050</v>
      </c>
      <c r="S101" s="423">
        <v>-1443952</v>
      </c>
      <c r="T101" s="423">
        <v>-409598</v>
      </c>
      <c r="U101" s="423">
        <v>-818338</v>
      </c>
      <c r="W101" s="423">
        <f t="shared" ref="W101:W110" si="138">L101</f>
        <v>-284988</v>
      </c>
      <c r="X101" s="423">
        <f t="shared" ref="X101:X110" si="139">M101-W101</f>
        <v>-299613</v>
      </c>
      <c r="Y101" s="423">
        <f t="shared" ref="Y101:Y110" si="140">N101-M101</f>
        <v>-317457</v>
      </c>
      <c r="Z101" s="423">
        <f t="shared" ref="Z101:Z110" si="141">O101-N101</f>
        <v>-345650</v>
      </c>
      <c r="AA101" s="423">
        <f t="shared" ref="AA101:AA110" si="142">P101</f>
        <v>-317728</v>
      </c>
      <c r="AB101" s="423">
        <f t="shared" ref="AB101:AB110" si="143">Q101-AA101</f>
        <v>-338295</v>
      </c>
      <c r="AC101" s="423">
        <f t="shared" ref="AC101:AC110" si="144">R101-Q101</f>
        <v>-391027</v>
      </c>
      <c r="AD101" s="423">
        <f t="shared" ref="AD101:AD110" si="145">S101-R101</f>
        <v>-396902</v>
      </c>
      <c r="AE101" s="423">
        <f t="shared" ref="AE101:AE110" si="146">T101</f>
        <v>-409598</v>
      </c>
      <c r="AF101" s="423">
        <f t="shared" ref="AF101:AF110" si="147">U101-T101</f>
        <v>-408740</v>
      </c>
    </row>
    <row r="102" spans="1:32" outlineLevel="1">
      <c r="A102" s="418" t="s">
        <v>748</v>
      </c>
      <c r="B102" s="418" t="s">
        <v>749</v>
      </c>
      <c r="D102" s="423"/>
      <c r="E102" s="423"/>
      <c r="F102" s="423"/>
      <c r="G102" s="423"/>
      <c r="H102" s="423">
        <v>0</v>
      </c>
      <c r="I102" s="423">
        <v>0</v>
      </c>
      <c r="J102" s="423">
        <v>0</v>
      </c>
      <c r="K102" s="423">
        <v>0</v>
      </c>
      <c r="L102" s="423">
        <v>0</v>
      </c>
      <c r="M102" s="423">
        <v>0</v>
      </c>
      <c r="N102" s="423">
        <v>0</v>
      </c>
      <c r="O102" s="423">
        <v>0</v>
      </c>
      <c r="P102" s="423">
        <v>0</v>
      </c>
      <c r="Q102" s="423">
        <v>0</v>
      </c>
      <c r="R102" s="423">
        <v>0</v>
      </c>
      <c r="S102" s="423">
        <v>0</v>
      </c>
      <c r="T102" s="423">
        <v>0</v>
      </c>
      <c r="U102" s="423">
        <v>0</v>
      </c>
      <c r="W102" s="423">
        <f t="shared" si="138"/>
        <v>0</v>
      </c>
      <c r="X102" s="423">
        <f t="shared" si="139"/>
        <v>0</v>
      </c>
      <c r="Y102" s="423">
        <f t="shared" si="140"/>
        <v>0</v>
      </c>
      <c r="Z102" s="423">
        <f t="shared" si="141"/>
        <v>0</v>
      </c>
      <c r="AA102" s="423">
        <f t="shared" si="142"/>
        <v>0</v>
      </c>
      <c r="AB102" s="423">
        <f t="shared" si="143"/>
        <v>0</v>
      </c>
      <c r="AC102" s="423">
        <f t="shared" si="144"/>
        <v>0</v>
      </c>
      <c r="AD102" s="423">
        <f t="shared" si="145"/>
        <v>0</v>
      </c>
      <c r="AE102" s="423">
        <f t="shared" si="146"/>
        <v>0</v>
      </c>
      <c r="AF102" s="423">
        <f t="shared" si="147"/>
        <v>0</v>
      </c>
    </row>
    <row r="103" spans="1:32" outlineLevel="1">
      <c r="A103" s="418" t="s">
        <v>750</v>
      </c>
      <c r="B103" s="418" t="s">
        <v>751</v>
      </c>
      <c r="D103" s="423"/>
      <c r="E103" s="423"/>
      <c r="F103" s="423"/>
      <c r="G103" s="423"/>
      <c r="H103" s="423">
        <v>-2213</v>
      </c>
      <c r="I103" s="423">
        <v>-13640</v>
      </c>
      <c r="J103" s="423">
        <v>-25533</v>
      </c>
      <c r="K103" s="423">
        <v>-40882</v>
      </c>
      <c r="L103" s="423">
        <v>-46587</v>
      </c>
      <c r="M103" s="423">
        <v>-68634</v>
      </c>
      <c r="N103" s="423">
        <v>-108009</v>
      </c>
      <c r="O103" s="423">
        <v>-209144</v>
      </c>
      <c r="P103" s="423">
        <v>-100140</v>
      </c>
      <c r="Q103" s="423">
        <v>-136016</v>
      </c>
      <c r="R103" s="423">
        <v>-151501</v>
      </c>
      <c r="S103" s="423">
        <v>-484292</v>
      </c>
      <c r="T103" s="423">
        <v>-449964</v>
      </c>
      <c r="U103" s="423">
        <v>-299464</v>
      </c>
      <c r="W103" s="423">
        <f t="shared" si="138"/>
        <v>-46587</v>
      </c>
      <c r="X103" s="423">
        <f t="shared" si="139"/>
        <v>-22047</v>
      </c>
      <c r="Y103" s="423">
        <f t="shared" si="140"/>
        <v>-39375</v>
      </c>
      <c r="Z103" s="423">
        <f t="shared" si="141"/>
        <v>-101135</v>
      </c>
      <c r="AA103" s="423">
        <f t="shared" si="142"/>
        <v>-100140</v>
      </c>
      <c r="AB103" s="423">
        <f t="shared" si="143"/>
        <v>-35876</v>
      </c>
      <c r="AC103" s="423">
        <f t="shared" si="144"/>
        <v>-15485</v>
      </c>
      <c r="AD103" s="423">
        <f t="shared" si="145"/>
        <v>-332791</v>
      </c>
      <c r="AE103" s="423">
        <f t="shared" si="146"/>
        <v>-449964</v>
      </c>
      <c r="AF103" s="423">
        <f t="shared" si="147"/>
        <v>150500</v>
      </c>
    </row>
    <row r="104" spans="1:32" outlineLevel="1">
      <c r="A104" s="418" t="s">
        <v>741</v>
      </c>
      <c r="B104" s="418" t="s">
        <v>2536</v>
      </c>
      <c r="D104" s="423"/>
      <c r="E104" s="423"/>
      <c r="F104" s="423"/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>
        <v>-2425</v>
      </c>
      <c r="R104" s="423">
        <v>0</v>
      </c>
      <c r="S104" s="423">
        <v>-61900</v>
      </c>
      <c r="T104" s="423">
        <v>-133445</v>
      </c>
      <c r="U104" s="423">
        <v>-96446</v>
      </c>
      <c r="W104" s="423">
        <f>L104</f>
        <v>0</v>
      </c>
      <c r="X104" s="423">
        <f>M104-W104</f>
        <v>0</v>
      </c>
      <c r="Y104" s="423">
        <f t="shared" si="140"/>
        <v>0</v>
      </c>
      <c r="Z104" s="423">
        <f t="shared" si="141"/>
        <v>0</v>
      </c>
      <c r="AA104" s="423">
        <f>P104</f>
        <v>0</v>
      </c>
      <c r="AB104" s="423">
        <f>Q104-AA104</f>
        <v>-2425</v>
      </c>
      <c r="AC104" s="423">
        <f t="shared" si="144"/>
        <v>2425</v>
      </c>
      <c r="AD104" s="423">
        <f t="shared" si="145"/>
        <v>-61900</v>
      </c>
      <c r="AE104" s="423">
        <f>T104</f>
        <v>-133445</v>
      </c>
      <c r="AF104" s="423">
        <f t="shared" si="147"/>
        <v>36999</v>
      </c>
    </row>
    <row r="105" spans="1:32" outlineLevel="1">
      <c r="A105" s="418" t="s">
        <v>752</v>
      </c>
      <c r="B105" s="418" t="s">
        <v>753</v>
      </c>
      <c r="D105" s="423"/>
      <c r="E105" s="423"/>
      <c r="F105" s="423"/>
      <c r="G105" s="423"/>
      <c r="H105" s="423">
        <v>0</v>
      </c>
      <c r="I105" s="423">
        <v>0</v>
      </c>
      <c r="J105" s="423">
        <v>0</v>
      </c>
      <c r="K105" s="423">
        <v>0</v>
      </c>
      <c r="L105" s="423">
        <v>0</v>
      </c>
      <c r="M105" s="423">
        <v>0</v>
      </c>
      <c r="N105" s="423">
        <v>0</v>
      </c>
      <c r="O105" s="423">
        <v>0</v>
      </c>
      <c r="P105" s="423">
        <v>0</v>
      </c>
      <c r="Q105" s="423">
        <v>0</v>
      </c>
      <c r="R105" s="423">
        <v>0</v>
      </c>
      <c r="S105" s="423">
        <v>0</v>
      </c>
      <c r="T105" s="423">
        <v>0</v>
      </c>
      <c r="U105" s="423">
        <v>0</v>
      </c>
      <c r="W105" s="423">
        <f>L105</f>
        <v>0</v>
      </c>
      <c r="X105" s="423">
        <f>M105-W105</f>
        <v>0</v>
      </c>
      <c r="Y105" s="423">
        <f t="shared" si="140"/>
        <v>0</v>
      </c>
      <c r="Z105" s="423">
        <f t="shared" si="141"/>
        <v>0</v>
      </c>
      <c r="AA105" s="423">
        <f>P105</f>
        <v>0</v>
      </c>
      <c r="AB105" s="423">
        <f>Q105-AA105</f>
        <v>0</v>
      </c>
      <c r="AC105" s="423">
        <f t="shared" si="144"/>
        <v>0</v>
      </c>
      <c r="AD105" s="423">
        <f t="shared" si="145"/>
        <v>0</v>
      </c>
      <c r="AE105" s="423">
        <f>T105</f>
        <v>0</v>
      </c>
      <c r="AF105" s="423">
        <f t="shared" si="147"/>
        <v>0</v>
      </c>
    </row>
    <row r="106" spans="1:32" outlineLevel="1">
      <c r="A106" s="418" t="s">
        <v>754</v>
      </c>
      <c r="B106" s="418" t="s">
        <v>755</v>
      </c>
      <c r="D106" s="423"/>
      <c r="E106" s="423"/>
      <c r="F106" s="423"/>
      <c r="G106" s="423"/>
      <c r="H106" s="423">
        <v>-14453</v>
      </c>
      <c r="I106" s="423">
        <v>-39975</v>
      </c>
      <c r="J106" s="423">
        <v>-38509</v>
      </c>
      <c r="K106" s="423">
        <v>-86538</v>
      </c>
      <c r="L106" s="423">
        <v>-26071</v>
      </c>
      <c r="M106" s="423">
        <v>-45299</v>
      </c>
      <c r="N106" s="423">
        <v>-59072</v>
      </c>
      <c r="O106" s="423">
        <v>-80252</v>
      </c>
      <c r="P106" s="423">
        <v>-24557</v>
      </c>
      <c r="Q106" s="423">
        <v>-46454</v>
      </c>
      <c r="R106" s="423">
        <v>-84894</v>
      </c>
      <c r="S106" s="423">
        <v>-99130</v>
      </c>
      <c r="T106" s="423">
        <v>-24362</v>
      </c>
      <c r="U106" s="423">
        <v>-45405</v>
      </c>
      <c r="W106" s="423">
        <f t="shared" si="138"/>
        <v>-26071</v>
      </c>
      <c r="X106" s="423">
        <f t="shared" si="139"/>
        <v>-19228</v>
      </c>
      <c r="Y106" s="423">
        <f t="shared" si="140"/>
        <v>-13773</v>
      </c>
      <c r="Z106" s="423">
        <f t="shared" si="141"/>
        <v>-21180</v>
      </c>
      <c r="AA106" s="423">
        <f t="shared" si="142"/>
        <v>-24557</v>
      </c>
      <c r="AB106" s="423">
        <f t="shared" si="143"/>
        <v>-21897</v>
      </c>
      <c r="AC106" s="423">
        <f t="shared" si="144"/>
        <v>-38440</v>
      </c>
      <c r="AD106" s="423">
        <f t="shared" si="145"/>
        <v>-14236</v>
      </c>
      <c r="AE106" s="423">
        <f t="shared" si="146"/>
        <v>-24362</v>
      </c>
      <c r="AF106" s="423">
        <f t="shared" si="147"/>
        <v>-21043</v>
      </c>
    </row>
    <row r="107" spans="1:32" outlineLevel="1">
      <c r="A107" s="418" t="s">
        <v>756</v>
      </c>
      <c r="B107" s="418" t="s">
        <v>757</v>
      </c>
      <c r="D107" s="423"/>
      <c r="E107" s="423"/>
      <c r="F107" s="423"/>
      <c r="G107" s="423"/>
      <c r="H107" s="423">
        <v>-5304</v>
      </c>
      <c r="I107" s="423">
        <v>-2861</v>
      </c>
      <c r="J107" s="423">
        <v>-5303</v>
      </c>
      <c r="K107" s="423">
        <v>-10937</v>
      </c>
      <c r="L107" s="423">
        <v>-2803</v>
      </c>
      <c r="M107" s="423">
        <v>-5529</v>
      </c>
      <c r="N107" s="423">
        <v>-7767</v>
      </c>
      <c r="O107" s="423">
        <v>-3418</v>
      </c>
      <c r="P107" s="423">
        <v>-1455</v>
      </c>
      <c r="Q107" s="423">
        <v>-3750</v>
      </c>
      <c r="R107" s="423">
        <v>-7724</v>
      </c>
      <c r="S107" s="423">
        <v>-164747</v>
      </c>
      <c r="T107" s="423">
        <v>-29958</v>
      </c>
      <c r="U107" s="423">
        <v>-59515</v>
      </c>
      <c r="W107" s="423">
        <f t="shared" si="138"/>
        <v>-2803</v>
      </c>
      <c r="X107" s="423">
        <f t="shared" si="139"/>
        <v>-2726</v>
      </c>
      <c r="Y107" s="423">
        <f t="shared" si="140"/>
        <v>-2238</v>
      </c>
      <c r="Z107" s="423">
        <f t="shared" si="141"/>
        <v>4349</v>
      </c>
      <c r="AA107" s="423">
        <f t="shared" si="142"/>
        <v>-1455</v>
      </c>
      <c r="AB107" s="423">
        <f t="shared" si="143"/>
        <v>-2295</v>
      </c>
      <c r="AC107" s="423">
        <f t="shared" si="144"/>
        <v>-3974</v>
      </c>
      <c r="AD107" s="423">
        <f t="shared" si="145"/>
        <v>-157023</v>
      </c>
      <c r="AE107" s="423">
        <f t="shared" si="146"/>
        <v>-29958</v>
      </c>
      <c r="AF107" s="423">
        <f t="shared" si="147"/>
        <v>-29557</v>
      </c>
    </row>
    <row r="108" spans="1:32" outlineLevel="1">
      <c r="A108" s="418" t="s">
        <v>758</v>
      </c>
      <c r="B108" s="418" t="s">
        <v>759</v>
      </c>
      <c r="D108" s="423"/>
      <c r="E108" s="423"/>
      <c r="F108" s="423"/>
      <c r="G108" s="423"/>
      <c r="H108" s="423">
        <v>0</v>
      </c>
      <c r="I108" s="423">
        <v>0</v>
      </c>
      <c r="J108" s="423">
        <v>0</v>
      </c>
      <c r="K108" s="423">
        <v>0</v>
      </c>
      <c r="L108" s="423">
        <v>0</v>
      </c>
      <c r="M108" s="423">
        <v>0</v>
      </c>
      <c r="N108" s="423">
        <v>0</v>
      </c>
      <c r="O108" s="423">
        <v>0</v>
      </c>
      <c r="P108" s="423">
        <v>0</v>
      </c>
      <c r="Q108" s="423">
        <v>0</v>
      </c>
      <c r="R108" s="423">
        <v>0</v>
      </c>
      <c r="S108" s="423">
        <v>0</v>
      </c>
      <c r="T108" s="423">
        <v>0</v>
      </c>
      <c r="U108" s="423">
        <v>-471483</v>
      </c>
      <c r="W108" s="423">
        <f t="shared" si="138"/>
        <v>0</v>
      </c>
      <c r="X108" s="423">
        <f t="shared" si="139"/>
        <v>0</v>
      </c>
      <c r="Y108" s="423">
        <f t="shared" si="140"/>
        <v>0</v>
      </c>
      <c r="Z108" s="423">
        <f t="shared" si="141"/>
        <v>0</v>
      </c>
      <c r="AA108" s="423">
        <f t="shared" si="142"/>
        <v>0</v>
      </c>
      <c r="AB108" s="423">
        <f t="shared" si="143"/>
        <v>0</v>
      </c>
      <c r="AC108" s="423">
        <f t="shared" si="144"/>
        <v>0</v>
      </c>
      <c r="AD108" s="423">
        <f t="shared" si="145"/>
        <v>0</v>
      </c>
      <c r="AE108" s="423">
        <f t="shared" si="146"/>
        <v>0</v>
      </c>
      <c r="AF108" s="423">
        <f t="shared" si="147"/>
        <v>-471483</v>
      </c>
    </row>
    <row r="109" spans="1:32" outlineLevel="1">
      <c r="A109" s="418" t="s">
        <v>760</v>
      </c>
      <c r="B109" s="418" t="s">
        <v>761</v>
      </c>
      <c r="D109" s="423"/>
      <c r="E109" s="423"/>
      <c r="F109" s="423"/>
      <c r="G109" s="423"/>
      <c r="H109" s="423">
        <v>-1764</v>
      </c>
      <c r="I109" s="423">
        <v>-3957</v>
      </c>
      <c r="J109" s="423">
        <v>-6035</v>
      </c>
      <c r="K109" s="423">
        <v>-8060</v>
      </c>
      <c r="L109" s="423">
        <v>-1437</v>
      </c>
      <c r="M109" s="423">
        <v>-3125</v>
      </c>
      <c r="N109" s="423">
        <v>-5713</v>
      </c>
      <c r="O109" s="423">
        <v>-6857</v>
      </c>
      <c r="P109" s="423">
        <v>-957</v>
      </c>
      <c r="Q109" s="423">
        <v>-1843</v>
      </c>
      <c r="R109" s="423">
        <v>-3127</v>
      </c>
      <c r="S109" s="423">
        <v>-4323</v>
      </c>
      <c r="T109" s="423">
        <v>-1161</v>
      </c>
      <c r="U109" s="423">
        <v>-3071</v>
      </c>
      <c r="W109" s="423">
        <f t="shared" si="138"/>
        <v>-1437</v>
      </c>
      <c r="X109" s="423">
        <f t="shared" si="139"/>
        <v>-1688</v>
      </c>
      <c r="Y109" s="423">
        <f t="shared" si="140"/>
        <v>-2588</v>
      </c>
      <c r="Z109" s="423">
        <f t="shared" si="141"/>
        <v>-1144</v>
      </c>
      <c r="AA109" s="423">
        <f t="shared" si="142"/>
        <v>-957</v>
      </c>
      <c r="AB109" s="423">
        <f t="shared" si="143"/>
        <v>-886</v>
      </c>
      <c r="AC109" s="423">
        <f t="shared" si="144"/>
        <v>-1284</v>
      </c>
      <c r="AD109" s="423">
        <f t="shared" si="145"/>
        <v>-1196</v>
      </c>
      <c r="AE109" s="423">
        <f t="shared" si="146"/>
        <v>-1161</v>
      </c>
      <c r="AF109" s="423">
        <f t="shared" si="147"/>
        <v>-1910</v>
      </c>
    </row>
    <row r="110" spans="1:32" outlineLevel="1">
      <c r="A110" s="418" t="s">
        <v>762</v>
      </c>
      <c r="B110" s="418" t="s">
        <v>763</v>
      </c>
      <c r="D110" s="423"/>
      <c r="E110" s="423"/>
      <c r="F110" s="423"/>
      <c r="G110" s="423"/>
      <c r="H110" s="423">
        <v>-92772</v>
      </c>
      <c r="I110" s="423">
        <v>-373754</v>
      </c>
      <c r="J110" s="423">
        <v>-422290</v>
      </c>
      <c r="K110" s="423">
        <v>-454538</v>
      </c>
      <c r="L110" s="423">
        <v>-63180</v>
      </c>
      <c r="M110" s="423">
        <v>-208260</v>
      </c>
      <c r="N110" s="423">
        <v>-315026</v>
      </c>
      <c r="O110" s="423">
        <v>-409019</v>
      </c>
      <c r="P110" s="423">
        <v>-166943</v>
      </c>
      <c r="Q110" s="423">
        <v>-339831</v>
      </c>
      <c r="R110" s="423">
        <v>-587281</v>
      </c>
      <c r="S110" s="423">
        <v>-666433</v>
      </c>
      <c r="T110" s="423">
        <v>-67793</v>
      </c>
      <c r="U110" s="423">
        <v>-153735</v>
      </c>
      <c r="W110" s="423">
        <f t="shared" si="138"/>
        <v>-63180</v>
      </c>
      <c r="X110" s="423">
        <f t="shared" si="139"/>
        <v>-145080</v>
      </c>
      <c r="Y110" s="423">
        <f t="shared" si="140"/>
        <v>-106766</v>
      </c>
      <c r="Z110" s="423">
        <f t="shared" si="141"/>
        <v>-93993</v>
      </c>
      <c r="AA110" s="423">
        <f t="shared" si="142"/>
        <v>-166943</v>
      </c>
      <c r="AB110" s="423">
        <f t="shared" si="143"/>
        <v>-172888</v>
      </c>
      <c r="AC110" s="423">
        <f t="shared" si="144"/>
        <v>-247450</v>
      </c>
      <c r="AD110" s="423">
        <f t="shared" si="145"/>
        <v>-79152</v>
      </c>
      <c r="AE110" s="423">
        <f t="shared" si="146"/>
        <v>-67793</v>
      </c>
      <c r="AF110" s="423">
        <f t="shared" si="147"/>
        <v>-85942</v>
      </c>
    </row>
    <row r="111" spans="1:32">
      <c r="A111" s="417"/>
      <c r="B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</row>
    <row r="112" spans="1:32">
      <c r="A112" s="429" t="s">
        <v>764</v>
      </c>
      <c r="B112" s="429" t="s">
        <v>765</v>
      </c>
      <c r="D112" s="420">
        <f t="shared" ref="D112:I112" si="148">D86+D88</f>
        <v>0</v>
      </c>
      <c r="E112" s="420">
        <f t="shared" si="148"/>
        <v>0</v>
      </c>
      <c r="F112" s="420">
        <f t="shared" si="148"/>
        <v>0</v>
      </c>
      <c r="G112" s="420">
        <f t="shared" si="148"/>
        <v>0</v>
      </c>
      <c r="H112" s="420">
        <f t="shared" si="148"/>
        <v>-29885</v>
      </c>
      <c r="I112" s="420">
        <f t="shared" si="148"/>
        <v>-656899</v>
      </c>
      <c r="J112" s="420">
        <f t="shared" ref="J112:Q112" si="149">J86+J88</f>
        <v>-775549</v>
      </c>
      <c r="K112" s="420">
        <f t="shared" si="149"/>
        <v>-1066920</v>
      </c>
      <c r="L112" s="420">
        <f t="shared" si="149"/>
        <v>-77355</v>
      </c>
      <c r="M112" s="420">
        <f t="shared" si="149"/>
        <v>-158553</v>
      </c>
      <c r="N112" s="420">
        <f t="shared" si="149"/>
        <v>-58654</v>
      </c>
      <c r="O112" s="420">
        <f t="shared" si="149"/>
        <v>-71096</v>
      </c>
      <c r="P112" s="420">
        <f t="shared" si="149"/>
        <v>-22878</v>
      </c>
      <c r="Q112" s="420">
        <f t="shared" si="149"/>
        <v>-26856</v>
      </c>
      <c r="R112" s="420">
        <f t="shared" ref="R112:T112" si="150">R86+R88</f>
        <v>-46775</v>
      </c>
      <c r="S112" s="420">
        <f t="shared" si="150"/>
        <v>-638709</v>
      </c>
      <c r="T112" s="420">
        <f t="shared" si="150"/>
        <v>-153855</v>
      </c>
      <c r="U112" s="741">
        <f>U86+U88</f>
        <v>-294178</v>
      </c>
      <c r="W112" s="420">
        <f t="shared" ref="W112:AC112" si="151">W86+W88</f>
        <v>-77355</v>
      </c>
      <c r="X112" s="420">
        <f t="shared" si="151"/>
        <v>-81198</v>
      </c>
      <c r="Y112" s="420">
        <f t="shared" si="151"/>
        <v>99899</v>
      </c>
      <c r="Z112" s="420">
        <f t="shared" si="151"/>
        <v>-12442</v>
      </c>
      <c r="AA112" s="420">
        <f t="shared" si="151"/>
        <v>-22878</v>
      </c>
      <c r="AB112" s="420">
        <f t="shared" si="151"/>
        <v>-3978</v>
      </c>
      <c r="AC112" s="420">
        <f t="shared" si="151"/>
        <v>-19919</v>
      </c>
      <c r="AD112" s="420">
        <f t="shared" ref="AD112:AE112" si="152">AD86+AD88</f>
        <v>-591934</v>
      </c>
      <c r="AE112" s="420">
        <f t="shared" si="152"/>
        <v>-153855</v>
      </c>
      <c r="AF112" s="741">
        <f>AF86+AF88</f>
        <v>511328</v>
      </c>
    </row>
    <row r="114" spans="1:32">
      <c r="A114" s="416" t="s">
        <v>766</v>
      </c>
      <c r="B114" s="416" t="s">
        <v>767</v>
      </c>
      <c r="D114" s="424">
        <f t="shared" ref="D114:J114" si="153">SUM(D116:D119)</f>
        <v>0</v>
      </c>
      <c r="E114" s="424">
        <f t="shared" si="153"/>
        <v>0</v>
      </c>
      <c r="F114" s="424">
        <f t="shared" si="153"/>
        <v>0</v>
      </c>
      <c r="G114" s="424">
        <f t="shared" si="153"/>
        <v>0</v>
      </c>
      <c r="H114" s="424">
        <f t="shared" si="153"/>
        <v>-30239</v>
      </c>
      <c r="I114" s="424">
        <f t="shared" si="153"/>
        <v>174103</v>
      </c>
      <c r="J114" s="424">
        <f t="shared" si="153"/>
        <v>214057</v>
      </c>
      <c r="K114" s="424">
        <f t="shared" ref="K114:Q114" si="154">SUM(K116:K119)</f>
        <v>452973</v>
      </c>
      <c r="L114" s="424">
        <f t="shared" si="154"/>
        <v>18544</v>
      </c>
      <c r="M114" s="424">
        <f t="shared" si="154"/>
        <v>6130</v>
      </c>
      <c r="N114" s="424">
        <f t="shared" si="154"/>
        <v>-24241</v>
      </c>
      <c r="O114" s="424">
        <f t="shared" si="154"/>
        <v>427988</v>
      </c>
      <c r="P114" s="424">
        <f t="shared" si="154"/>
        <v>25240</v>
      </c>
      <c r="Q114" s="424">
        <f t="shared" si="154"/>
        <v>34165</v>
      </c>
      <c r="R114" s="424">
        <f t="shared" ref="R114:T114" si="155">SUM(R116:R119)</f>
        <v>57366</v>
      </c>
      <c r="S114" s="424">
        <f t="shared" si="155"/>
        <v>285757</v>
      </c>
      <c r="T114" s="424">
        <f t="shared" si="155"/>
        <v>66134</v>
      </c>
      <c r="U114" s="424">
        <f>SUM(U116:U119)</f>
        <v>122567</v>
      </c>
      <c r="W114" s="424">
        <f t="shared" ref="W114:AC114" si="156">SUM(W116:W119)</f>
        <v>18544</v>
      </c>
      <c r="X114" s="424">
        <f t="shared" si="156"/>
        <v>-12414</v>
      </c>
      <c r="Y114" s="424">
        <f t="shared" si="156"/>
        <v>-30371</v>
      </c>
      <c r="Z114" s="424">
        <f t="shared" si="156"/>
        <v>452229</v>
      </c>
      <c r="AA114" s="424">
        <f t="shared" si="156"/>
        <v>25240</v>
      </c>
      <c r="AB114" s="424">
        <f t="shared" si="156"/>
        <v>8925</v>
      </c>
      <c r="AC114" s="424">
        <f t="shared" si="156"/>
        <v>23201</v>
      </c>
      <c r="AD114" s="424">
        <f t="shared" ref="AD114:AE114" si="157">SUM(AD116:AD119)</f>
        <v>228391</v>
      </c>
      <c r="AE114" s="424">
        <f t="shared" si="157"/>
        <v>66134</v>
      </c>
      <c r="AF114" s="424">
        <f>SUM(AF116:AF119)</f>
        <v>56433</v>
      </c>
    </row>
    <row r="115" spans="1:32">
      <c r="A115" s="417"/>
      <c r="B115" s="417"/>
      <c r="D115" s="417"/>
      <c r="E115" s="417"/>
      <c r="F115" s="417"/>
      <c r="G115" s="417"/>
      <c r="H115" s="417"/>
      <c r="I115" s="417"/>
      <c r="J115" s="417"/>
      <c r="K115" s="417"/>
      <c r="L115" s="417"/>
      <c r="M115" s="417"/>
      <c r="N115" s="417"/>
      <c r="P115" s="417"/>
      <c r="Q115" s="417"/>
      <c r="R115" s="417"/>
      <c r="S115" s="417"/>
      <c r="T115" s="417"/>
      <c r="U115" s="417"/>
      <c r="W115" s="417"/>
      <c r="X115" s="417"/>
      <c r="Y115" s="417"/>
      <c r="AA115" s="417"/>
      <c r="AB115" s="417"/>
      <c r="AC115" s="417"/>
      <c r="AD115" s="417"/>
      <c r="AE115" s="417"/>
      <c r="AF115" s="417"/>
    </row>
    <row r="116" spans="1:32">
      <c r="A116" s="417" t="s">
        <v>768</v>
      </c>
      <c r="B116" s="417" t="s">
        <v>769</v>
      </c>
      <c r="D116" s="425"/>
      <c r="E116" s="425"/>
      <c r="F116" s="425"/>
      <c r="G116" s="425"/>
      <c r="H116" s="425">
        <v>-10934</v>
      </c>
      <c r="I116" s="425">
        <v>-5795</v>
      </c>
      <c r="J116" s="425">
        <v>-5795</v>
      </c>
      <c r="K116" s="425">
        <v>3384</v>
      </c>
      <c r="L116" s="425">
        <v>0</v>
      </c>
      <c r="M116" s="425">
        <v>-15043</v>
      </c>
      <c r="N116" s="425">
        <v>-23700</v>
      </c>
      <c r="O116" s="425">
        <v>-1345</v>
      </c>
      <c r="P116" s="425">
        <v>-1966</v>
      </c>
      <c r="Q116" s="425">
        <v>-10628</v>
      </c>
      <c r="R116" s="425">
        <v>-13543</v>
      </c>
      <c r="S116" s="425">
        <v>-14013</v>
      </c>
      <c r="T116" s="425">
        <v>-1785</v>
      </c>
      <c r="U116" s="756">
        <v>-1785</v>
      </c>
      <c r="W116" s="425">
        <f>L116</f>
        <v>0</v>
      </c>
      <c r="X116" s="425">
        <f>M116-W116</f>
        <v>-15043</v>
      </c>
      <c r="Y116" s="425">
        <f t="shared" ref="Y116:Z119" si="158">N116-M116</f>
        <v>-8657</v>
      </c>
      <c r="Z116" s="425">
        <f t="shared" si="158"/>
        <v>22355</v>
      </c>
      <c r="AA116" s="425">
        <f>P116</f>
        <v>-1966</v>
      </c>
      <c r="AB116" s="425">
        <f t="shared" ref="AB116:AB119" si="159">Q116-AA116</f>
        <v>-8662</v>
      </c>
      <c r="AC116" s="425">
        <f t="shared" ref="AC116:AD119" si="160">R116-Q116</f>
        <v>-2915</v>
      </c>
      <c r="AD116" s="425">
        <f t="shared" si="160"/>
        <v>-470</v>
      </c>
      <c r="AE116" s="425">
        <f>T116</f>
        <v>-1785</v>
      </c>
      <c r="AF116" s="756">
        <f>U116-T116</f>
        <v>0</v>
      </c>
    </row>
    <row r="117" spans="1:32">
      <c r="A117" s="417" t="s">
        <v>770</v>
      </c>
      <c r="B117" s="417" t="s">
        <v>771</v>
      </c>
      <c r="D117" s="425"/>
      <c r="E117" s="425"/>
      <c r="F117" s="425"/>
      <c r="G117" s="425"/>
      <c r="H117" s="425">
        <v>-30339</v>
      </c>
      <c r="I117" s="425">
        <v>-16098</v>
      </c>
      <c r="J117" s="425">
        <v>-16098</v>
      </c>
      <c r="K117" s="425">
        <v>13244</v>
      </c>
      <c r="L117" s="425">
        <v>0</v>
      </c>
      <c r="M117" s="425">
        <v>-41787</v>
      </c>
      <c r="N117" s="425">
        <v>-66069</v>
      </c>
      <c r="O117" s="425">
        <v>-4709</v>
      </c>
      <c r="P117" s="425">
        <v>-5324</v>
      </c>
      <c r="Q117" s="425">
        <v>-28801</v>
      </c>
      <c r="R117" s="425">
        <v>-36937</v>
      </c>
      <c r="S117" s="425">
        <v>-38331</v>
      </c>
      <c r="T117" s="425">
        <v>-4838</v>
      </c>
      <c r="U117" s="756">
        <v>-4837</v>
      </c>
      <c r="W117" s="425">
        <f>L117</f>
        <v>0</v>
      </c>
      <c r="X117" s="425">
        <f>M117-W117</f>
        <v>-41787</v>
      </c>
      <c r="Y117" s="425">
        <f t="shared" si="158"/>
        <v>-24282</v>
      </c>
      <c r="Z117" s="425">
        <f t="shared" si="158"/>
        <v>61360</v>
      </c>
      <c r="AA117" s="425">
        <f>P117</f>
        <v>-5324</v>
      </c>
      <c r="AB117" s="425">
        <f t="shared" si="159"/>
        <v>-23477</v>
      </c>
      <c r="AC117" s="425">
        <f t="shared" si="160"/>
        <v>-8136</v>
      </c>
      <c r="AD117" s="425">
        <f t="shared" si="160"/>
        <v>-1394</v>
      </c>
      <c r="AE117" s="425">
        <f>T117</f>
        <v>-4838</v>
      </c>
      <c r="AF117" s="756">
        <f>U117-T117</f>
        <v>1</v>
      </c>
    </row>
    <row r="118" spans="1:32">
      <c r="A118" s="417" t="s">
        <v>772</v>
      </c>
      <c r="B118" s="417" t="s">
        <v>773</v>
      </c>
      <c r="D118" s="425"/>
      <c r="E118" s="425"/>
      <c r="F118" s="425"/>
      <c r="G118" s="425"/>
      <c r="H118" s="425">
        <v>0</v>
      </c>
      <c r="I118" s="425">
        <v>0</v>
      </c>
      <c r="J118" s="425">
        <v>0</v>
      </c>
      <c r="K118" s="425">
        <v>0</v>
      </c>
      <c r="L118" s="425">
        <v>0</v>
      </c>
      <c r="M118" s="425">
        <v>0</v>
      </c>
      <c r="N118" s="425">
        <v>0</v>
      </c>
      <c r="O118" s="425">
        <v>0</v>
      </c>
      <c r="P118" s="425">
        <v>0</v>
      </c>
      <c r="Q118" s="425">
        <v>0</v>
      </c>
      <c r="R118" s="425">
        <v>0</v>
      </c>
      <c r="S118" s="425">
        <v>0</v>
      </c>
      <c r="T118" s="425">
        <v>0</v>
      </c>
      <c r="U118" s="756">
        <v>0</v>
      </c>
      <c r="W118" s="425">
        <f>L118</f>
        <v>0</v>
      </c>
      <c r="X118" s="425">
        <f>M118-W118</f>
        <v>0</v>
      </c>
      <c r="Y118" s="425">
        <f t="shared" si="158"/>
        <v>0</v>
      </c>
      <c r="Z118" s="425">
        <f t="shared" si="158"/>
        <v>0</v>
      </c>
      <c r="AA118" s="425">
        <f>P118</f>
        <v>0</v>
      </c>
      <c r="AB118" s="425">
        <f t="shared" si="159"/>
        <v>0</v>
      </c>
      <c r="AC118" s="425">
        <f t="shared" si="160"/>
        <v>0</v>
      </c>
      <c r="AD118" s="425">
        <f t="shared" si="160"/>
        <v>0</v>
      </c>
      <c r="AE118" s="425">
        <f>T118</f>
        <v>0</v>
      </c>
      <c r="AF118" s="756">
        <f>U118-T118</f>
        <v>0</v>
      </c>
    </row>
    <row r="119" spans="1:32">
      <c r="A119" s="417" t="s">
        <v>774</v>
      </c>
      <c r="B119" s="417" t="s">
        <v>775</v>
      </c>
      <c r="D119" s="425"/>
      <c r="E119" s="425"/>
      <c r="F119" s="425"/>
      <c r="G119" s="425"/>
      <c r="H119" s="425">
        <v>11034</v>
      </c>
      <c r="I119" s="425">
        <v>195996</v>
      </c>
      <c r="J119" s="425">
        <v>235950</v>
      </c>
      <c r="K119" s="425">
        <v>436345</v>
      </c>
      <c r="L119" s="425">
        <v>18544</v>
      </c>
      <c r="M119" s="425">
        <v>62960</v>
      </c>
      <c r="N119" s="425">
        <v>65528</v>
      </c>
      <c r="O119" s="425">
        <v>434042</v>
      </c>
      <c r="P119" s="425">
        <v>32530</v>
      </c>
      <c r="Q119" s="425">
        <v>73594</v>
      </c>
      <c r="R119" s="425">
        <v>107846</v>
      </c>
      <c r="S119" s="425">
        <v>338101</v>
      </c>
      <c r="T119" s="425">
        <v>72757</v>
      </c>
      <c r="U119" s="756">
        <v>129189</v>
      </c>
      <c r="W119" s="425">
        <f>L119</f>
        <v>18544</v>
      </c>
      <c r="X119" s="425">
        <f>M119-W119</f>
        <v>44416</v>
      </c>
      <c r="Y119" s="425">
        <f t="shared" si="158"/>
        <v>2568</v>
      </c>
      <c r="Z119" s="425">
        <f t="shared" si="158"/>
        <v>368514</v>
      </c>
      <c r="AA119" s="425">
        <f>P119</f>
        <v>32530</v>
      </c>
      <c r="AB119" s="425">
        <f t="shared" si="159"/>
        <v>41064</v>
      </c>
      <c r="AC119" s="425">
        <f t="shared" si="160"/>
        <v>34252</v>
      </c>
      <c r="AD119" s="425">
        <f t="shared" si="160"/>
        <v>230255</v>
      </c>
      <c r="AE119" s="425">
        <f>T119</f>
        <v>72757</v>
      </c>
      <c r="AF119" s="756">
        <f>U119-T119</f>
        <v>56432</v>
      </c>
    </row>
    <row r="120" spans="1:32">
      <c r="A120" s="417"/>
      <c r="B120" s="417"/>
      <c r="D120" s="417"/>
      <c r="E120" s="417"/>
      <c r="F120" s="417"/>
      <c r="G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</row>
    <row r="121" spans="1:32" ht="15" thickBot="1">
      <c r="A121" s="430" t="s">
        <v>776</v>
      </c>
      <c r="B121" s="430" t="s">
        <v>777</v>
      </c>
      <c r="D121" s="426">
        <f t="shared" ref="D121:K121" si="161">D112+D114</f>
        <v>0</v>
      </c>
      <c r="E121" s="426">
        <f t="shared" si="161"/>
        <v>0</v>
      </c>
      <c r="F121" s="426">
        <f t="shared" si="161"/>
        <v>0</v>
      </c>
      <c r="G121" s="426">
        <f t="shared" si="161"/>
        <v>0</v>
      </c>
      <c r="H121" s="426">
        <f t="shared" si="161"/>
        <v>-60124</v>
      </c>
      <c r="I121" s="426">
        <f t="shared" si="161"/>
        <v>-482796</v>
      </c>
      <c r="J121" s="426">
        <f t="shared" si="161"/>
        <v>-561492</v>
      </c>
      <c r="K121" s="426">
        <f t="shared" si="161"/>
        <v>-613947</v>
      </c>
      <c r="L121" s="426">
        <f t="shared" ref="L121:T121" si="162">L112+L114</f>
        <v>-58811</v>
      </c>
      <c r="M121" s="426">
        <f t="shared" si="162"/>
        <v>-152423</v>
      </c>
      <c r="N121" s="426">
        <f t="shared" si="162"/>
        <v>-82895</v>
      </c>
      <c r="O121" s="426">
        <f t="shared" si="162"/>
        <v>356892</v>
      </c>
      <c r="P121" s="426">
        <f t="shared" si="162"/>
        <v>2362</v>
      </c>
      <c r="Q121" s="426">
        <f t="shared" si="162"/>
        <v>7309</v>
      </c>
      <c r="R121" s="426">
        <f t="shared" si="162"/>
        <v>10591</v>
      </c>
      <c r="S121" s="426">
        <f t="shared" si="162"/>
        <v>-352952</v>
      </c>
      <c r="T121" s="426">
        <f t="shared" si="162"/>
        <v>-87721</v>
      </c>
      <c r="U121" s="426">
        <f>U112+U114</f>
        <v>-171611</v>
      </c>
      <c r="W121" s="426">
        <f t="shared" ref="W121:AC121" si="163">W112+W114</f>
        <v>-58811</v>
      </c>
      <c r="X121" s="426">
        <f t="shared" si="163"/>
        <v>-93612</v>
      </c>
      <c r="Y121" s="426">
        <f t="shared" si="163"/>
        <v>69528</v>
      </c>
      <c r="Z121" s="426">
        <f t="shared" si="163"/>
        <v>439787</v>
      </c>
      <c r="AA121" s="426">
        <f t="shared" si="163"/>
        <v>2362</v>
      </c>
      <c r="AB121" s="426">
        <f t="shared" si="163"/>
        <v>4947</v>
      </c>
      <c r="AC121" s="426">
        <f t="shared" si="163"/>
        <v>3282</v>
      </c>
      <c r="AD121" s="426">
        <f t="shared" ref="AD121:AE121" si="164">AD112+AD114</f>
        <v>-363543</v>
      </c>
      <c r="AE121" s="426">
        <f t="shared" si="164"/>
        <v>-87721</v>
      </c>
      <c r="AF121" s="426">
        <f>AF112+AF114</f>
        <v>567761</v>
      </c>
    </row>
    <row r="122" spans="1:32" ht="15" thickTop="1">
      <c r="A122" s="417"/>
      <c r="B122" s="417"/>
      <c r="D122" s="417"/>
      <c r="E122" s="417"/>
      <c r="F122" s="417"/>
      <c r="G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S122" s="417"/>
      <c r="T122" s="417"/>
      <c r="U122" s="417"/>
      <c r="W122" s="417"/>
      <c r="X122" s="417"/>
      <c r="Y122" s="417"/>
      <c r="Z122" s="417"/>
      <c r="AA122" s="417"/>
      <c r="AB122" s="417"/>
      <c r="AC122" s="417"/>
      <c r="AD122" s="417"/>
      <c r="AE122" s="417"/>
      <c r="AF122" s="417"/>
    </row>
    <row r="123" spans="1:32">
      <c r="A123" s="416" t="s">
        <v>778</v>
      </c>
      <c r="B123" s="416" t="s">
        <v>779</v>
      </c>
      <c r="D123" s="425"/>
      <c r="E123" s="425"/>
      <c r="F123" s="425"/>
      <c r="G123" s="425"/>
      <c r="H123" s="425"/>
      <c r="I123" s="425"/>
      <c r="J123" s="425"/>
      <c r="K123" s="425"/>
      <c r="L123" s="425"/>
      <c r="M123" s="425"/>
      <c r="N123" s="425"/>
      <c r="O123" s="425"/>
      <c r="P123" s="425"/>
      <c r="Q123" s="425"/>
      <c r="R123" s="425"/>
      <c r="S123" s="425"/>
      <c r="T123" s="425"/>
      <c r="U123" s="756"/>
      <c r="W123" s="425"/>
      <c r="X123" s="425"/>
      <c r="Y123" s="425"/>
      <c r="Z123" s="425"/>
      <c r="AA123" s="425"/>
      <c r="AB123" s="425"/>
      <c r="AC123" s="425"/>
      <c r="AD123" s="425"/>
      <c r="AE123" s="425"/>
      <c r="AF123" s="756"/>
    </row>
    <row r="124" spans="1:32">
      <c r="A124" s="417" t="s">
        <v>780</v>
      </c>
      <c r="B124" s="417" t="s">
        <v>781</v>
      </c>
      <c r="D124" s="425"/>
      <c r="E124" s="425"/>
      <c r="F124" s="425"/>
      <c r="G124" s="425"/>
      <c r="H124" s="425">
        <v>-482623</v>
      </c>
      <c r="I124" s="425">
        <v>-482623</v>
      </c>
      <c r="J124" s="425">
        <f>J121-J125</f>
        <v>-561289.62923469744</v>
      </c>
      <c r="K124" s="425">
        <f>K121-K125</f>
        <v>-613725.72360737971</v>
      </c>
      <c r="L124" s="425">
        <v>-58790</v>
      </c>
      <c r="M124" s="425">
        <v>-152368</v>
      </c>
      <c r="N124" s="425">
        <v>-82865</v>
      </c>
      <c r="O124" s="425">
        <v>356763</v>
      </c>
      <c r="P124" s="425">
        <v>2361</v>
      </c>
      <c r="Q124" s="425">
        <v>7306</v>
      </c>
      <c r="R124" s="425">
        <v>10587</v>
      </c>
      <c r="S124" s="425">
        <v>-352956</v>
      </c>
      <c r="T124" s="425">
        <v>-87698</v>
      </c>
      <c r="U124" s="756">
        <v>-171566</v>
      </c>
      <c r="W124" s="425">
        <f>L124</f>
        <v>-58790</v>
      </c>
      <c r="X124" s="425">
        <f>M124-W124</f>
        <v>-93578</v>
      </c>
      <c r="Y124" s="425">
        <f>N124-M124</f>
        <v>69503</v>
      </c>
      <c r="Z124" s="425">
        <f>O124-N124</f>
        <v>439628</v>
      </c>
      <c r="AA124" s="425">
        <f>P124</f>
        <v>2361</v>
      </c>
      <c r="AB124" s="425">
        <f>Q124-AA124</f>
        <v>4945</v>
      </c>
      <c r="AC124" s="425">
        <f>R124-Q124</f>
        <v>3281</v>
      </c>
      <c r="AD124" s="425">
        <f>S124-R124</f>
        <v>-363543</v>
      </c>
      <c r="AE124" s="425">
        <f>T124</f>
        <v>-87698</v>
      </c>
      <c r="AF124" s="756">
        <f>U124-T124</f>
        <v>-83868</v>
      </c>
    </row>
    <row r="125" spans="1:32">
      <c r="A125" s="417" t="s">
        <v>782</v>
      </c>
      <c r="B125" s="417" t="s">
        <v>783</v>
      </c>
      <c r="D125" s="425"/>
      <c r="E125" s="425"/>
      <c r="F125" s="425"/>
      <c r="G125" s="425"/>
      <c r="H125" s="425">
        <v>-173</v>
      </c>
      <c r="I125" s="425">
        <v>-173</v>
      </c>
      <c r="J125" s="425">
        <f>J121*J130</f>
        <v>-202.37076530251176</v>
      </c>
      <c r="K125" s="425">
        <f>K121*K130</f>
        <v>-221.27639262034219</v>
      </c>
      <c r="L125" s="425">
        <v>-21</v>
      </c>
      <c r="M125" s="425">
        <v>-55</v>
      </c>
      <c r="N125" s="425">
        <v>-30</v>
      </c>
      <c r="O125" s="425">
        <v>129</v>
      </c>
      <c r="P125" s="425">
        <v>1</v>
      </c>
      <c r="Q125" s="425">
        <v>3</v>
      </c>
      <c r="R125" s="425">
        <v>4</v>
      </c>
      <c r="S125" s="425">
        <v>4</v>
      </c>
      <c r="T125" s="425">
        <v>-24</v>
      </c>
      <c r="U125" s="756">
        <v>-45</v>
      </c>
      <c r="W125" s="425">
        <f>L125</f>
        <v>-21</v>
      </c>
      <c r="X125" s="425">
        <f>M125-W125</f>
        <v>-34</v>
      </c>
      <c r="Y125" s="425">
        <f>N125-M125</f>
        <v>25</v>
      </c>
      <c r="Z125" s="425">
        <f>O125-N125</f>
        <v>159</v>
      </c>
      <c r="AA125" s="425">
        <f>P125</f>
        <v>1</v>
      </c>
      <c r="AB125" s="425">
        <f>Q125-AA125</f>
        <v>2</v>
      </c>
      <c r="AC125" s="425">
        <f>R125-Q125</f>
        <v>1</v>
      </c>
      <c r="AD125" s="425">
        <f>S125-R125</f>
        <v>0</v>
      </c>
      <c r="AE125" s="425">
        <f>T125</f>
        <v>-24</v>
      </c>
      <c r="AF125" s="756">
        <f>U125-T125</f>
        <v>-21</v>
      </c>
    </row>
    <row r="126" spans="1:32">
      <c r="A126" s="417"/>
      <c r="B126" s="417"/>
      <c r="D126" s="417"/>
      <c r="E126" s="417"/>
      <c r="F126" s="417"/>
      <c r="G126" s="417"/>
      <c r="H126" s="417"/>
      <c r="I126" s="417"/>
      <c r="J126" s="417"/>
      <c r="K126" s="417"/>
      <c r="L126" s="417"/>
      <c r="M126" s="417"/>
      <c r="N126" s="417"/>
      <c r="P126" s="417"/>
      <c r="Q126" s="417"/>
      <c r="R126" s="417"/>
      <c r="S126" s="417"/>
      <c r="T126" s="417"/>
      <c r="U126" s="417"/>
      <c r="W126" s="417"/>
      <c r="X126" s="417"/>
      <c r="Y126" s="417"/>
      <c r="Z126" s="417"/>
      <c r="AA126" s="417"/>
      <c r="AB126" s="417"/>
      <c r="AC126" s="417"/>
      <c r="AD126" s="417"/>
      <c r="AE126" s="417"/>
      <c r="AF126" s="417"/>
    </row>
    <row r="127" spans="1:32" ht="15" thickBot="1">
      <c r="A127" s="430" t="s">
        <v>776</v>
      </c>
      <c r="B127" s="430" t="s">
        <v>784</v>
      </c>
      <c r="D127" s="426">
        <f t="shared" ref="D127:J127" si="165">SUM(D124:D125)</f>
        <v>0</v>
      </c>
      <c r="E127" s="426">
        <f t="shared" si="165"/>
        <v>0</v>
      </c>
      <c r="F127" s="426">
        <f t="shared" si="165"/>
        <v>0</v>
      </c>
      <c r="G127" s="426">
        <f t="shared" si="165"/>
        <v>0</v>
      </c>
      <c r="H127" s="426">
        <f t="shared" si="165"/>
        <v>-482796</v>
      </c>
      <c r="I127" s="426">
        <f t="shared" si="165"/>
        <v>-482796</v>
      </c>
      <c r="J127" s="426">
        <f t="shared" si="165"/>
        <v>-561492</v>
      </c>
      <c r="K127" s="426">
        <f t="shared" ref="K127:T127" si="166">SUM(K124:K125)</f>
        <v>-613947</v>
      </c>
      <c r="L127" s="426">
        <f t="shared" si="166"/>
        <v>-58811</v>
      </c>
      <c r="M127" s="426">
        <f t="shared" si="166"/>
        <v>-152423</v>
      </c>
      <c r="N127" s="426">
        <f t="shared" si="166"/>
        <v>-82895</v>
      </c>
      <c r="O127" s="426">
        <f t="shared" si="166"/>
        <v>356892</v>
      </c>
      <c r="P127" s="426">
        <f t="shared" si="166"/>
        <v>2362</v>
      </c>
      <c r="Q127" s="426">
        <f t="shared" si="166"/>
        <v>7309</v>
      </c>
      <c r="R127" s="426">
        <f t="shared" si="166"/>
        <v>10591</v>
      </c>
      <c r="S127" s="426">
        <f t="shared" si="166"/>
        <v>-352952</v>
      </c>
      <c r="T127" s="426">
        <f t="shared" si="166"/>
        <v>-87722</v>
      </c>
      <c r="U127" s="426">
        <f>SUM(U124:U125)</f>
        <v>-171611</v>
      </c>
      <c r="W127" s="426">
        <f t="shared" ref="W127:AC127" si="167">SUM(W124:W125)</f>
        <v>-58811</v>
      </c>
      <c r="X127" s="426">
        <f t="shared" si="167"/>
        <v>-93612</v>
      </c>
      <c r="Y127" s="426">
        <f t="shared" si="167"/>
        <v>69528</v>
      </c>
      <c r="Z127" s="426">
        <f t="shared" si="167"/>
        <v>439787</v>
      </c>
      <c r="AA127" s="426">
        <f t="shared" si="167"/>
        <v>2362</v>
      </c>
      <c r="AB127" s="426">
        <f t="shared" si="167"/>
        <v>4947</v>
      </c>
      <c r="AC127" s="426">
        <f t="shared" si="167"/>
        <v>3282</v>
      </c>
      <c r="AD127" s="426">
        <f t="shared" ref="AD127:AE127" si="168">SUM(AD124:AD125)</f>
        <v>-363543</v>
      </c>
      <c r="AE127" s="426">
        <f t="shared" si="168"/>
        <v>-87722</v>
      </c>
      <c r="AF127" s="426">
        <f>SUM(AF124:AF125)</f>
        <v>-83889</v>
      </c>
    </row>
    <row r="129" spans="1:32" s="432" customFormat="1" ht="10.199999999999999">
      <c r="A129" s="431" t="s">
        <v>785</v>
      </c>
      <c r="B129" s="431" t="s">
        <v>786</v>
      </c>
      <c r="D129" s="433"/>
      <c r="E129" s="433"/>
      <c r="F129" s="433"/>
      <c r="G129" s="433"/>
      <c r="H129" s="433">
        <v>0.99963958388489504</v>
      </c>
      <c r="I129" s="433">
        <v>0.99963958388489504</v>
      </c>
      <c r="J129" s="433">
        <v>0.99963958388489504</v>
      </c>
      <c r="K129" s="433">
        <v>0.99963958388489504</v>
      </c>
      <c r="L129" s="433">
        <v>0.99963958388489504</v>
      </c>
      <c r="M129" s="433">
        <v>0.99963958388489504</v>
      </c>
      <c r="N129" s="433">
        <f t="shared" ref="N129:T130" si="169">M129</f>
        <v>0.99963958388489504</v>
      </c>
      <c r="O129" s="433">
        <f t="shared" si="169"/>
        <v>0.99963958388489504</v>
      </c>
      <c r="P129" s="433">
        <f t="shared" si="169"/>
        <v>0.99963958388489504</v>
      </c>
      <c r="Q129" s="433">
        <f t="shared" si="169"/>
        <v>0.99963958388489504</v>
      </c>
      <c r="R129" s="433">
        <f t="shared" si="169"/>
        <v>0.99963958388489504</v>
      </c>
      <c r="S129" s="433">
        <f t="shared" si="169"/>
        <v>0.99963958388489504</v>
      </c>
      <c r="T129" s="433">
        <f t="shared" si="169"/>
        <v>0.99963958388489504</v>
      </c>
      <c r="U129" s="433">
        <f>S129</f>
        <v>0.99963958388489504</v>
      </c>
      <c r="W129" s="433">
        <f>L129</f>
        <v>0.99963958388489504</v>
      </c>
      <c r="X129" s="433">
        <v>0.99963958388489504</v>
      </c>
      <c r="Y129" s="433">
        <f>X129</f>
        <v>0.99963958388489504</v>
      </c>
      <c r="Z129" s="433">
        <f>Y129</f>
        <v>0.99963958388489504</v>
      </c>
      <c r="AA129" s="433">
        <f>P129</f>
        <v>0.99963958388489504</v>
      </c>
      <c r="AB129" s="433">
        <f t="shared" ref="AB129:AD130" si="170">AA129</f>
        <v>0.99963958388489504</v>
      </c>
      <c r="AC129" s="433">
        <f t="shared" si="170"/>
        <v>0.99963958388489504</v>
      </c>
      <c r="AD129" s="433">
        <f t="shared" si="170"/>
        <v>0.99963958388489504</v>
      </c>
      <c r="AE129" s="433">
        <f>T129</f>
        <v>0.99963958388489504</v>
      </c>
      <c r="AF129" s="433">
        <f>U129</f>
        <v>0.99963958388489504</v>
      </c>
    </row>
    <row r="130" spans="1:32" s="432" customFormat="1" ht="10.199999999999999">
      <c r="A130" s="431" t="s">
        <v>787</v>
      </c>
      <c r="B130" s="431" t="s">
        <v>788</v>
      </c>
      <c r="D130" s="433"/>
      <c r="E130" s="433"/>
      <c r="F130" s="433"/>
      <c r="G130" s="433"/>
      <c r="H130" s="433">
        <v>3.6041611510495564E-4</v>
      </c>
      <c r="I130" s="433">
        <v>3.6041611510495564E-4</v>
      </c>
      <c r="J130" s="433">
        <v>3.6041611510495564E-4</v>
      </c>
      <c r="K130" s="433">
        <v>3.6041611510495564E-4</v>
      </c>
      <c r="L130" s="433">
        <v>3.6041611510495564E-4</v>
      </c>
      <c r="M130" s="433">
        <v>3.6041611510495564E-4</v>
      </c>
      <c r="N130" s="433">
        <f t="shared" si="169"/>
        <v>3.6041611510495564E-4</v>
      </c>
      <c r="O130" s="433">
        <f t="shared" si="169"/>
        <v>3.6041611510495564E-4</v>
      </c>
      <c r="P130" s="433">
        <f t="shared" si="169"/>
        <v>3.6041611510495564E-4</v>
      </c>
      <c r="Q130" s="433">
        <f t="shared" si="169"/>
        <v>3.6041611510495564E-4</v>
      </c>
      <c r="R130" s="433">
        <f t="shared" si="169"/>
        <v>3.6041611510495564E-4</v>
      </c>
      <c r="S130" s="433">
        <f t="shared" si="169"/>
        <v>3.6041611510495564E-4</v>
      </c>
      <c r="T130" s="433">
        <f t="shared" si="169"/>
        <v>3.6041611510495564E-4</v>
      </c>
      <c r="U130" s="433">
        <f>S130</f>
        <v>3.6041611510495564E-4</v>
      </c>
      <c r="W130" s="433">
        <f>L130</f>
        <v>3.6041611510495564E-4</v>
      </c>
      <c r="X130" s="433">
        <v>3.6041611510495564E-4</v>
      </c>
      <c r="Y130" s="433">
        <f>X130</f>
        <v>3.6041611510495564E-4</v>
      </c>
      <c r="Z130" s="433">
        <f>Y130</f>
        <v>3.6041611510495564E-4</v>
      </c>
      <c r="AA130" s="433">
        <f>P130</f>
        <v>3.6041611510495564E-4</v>
      </c>
      <c r="AB130" s="433">
        <f t="shared" si="170"/>
        <v>3.6041611510495564E-4</v>
      </c>
      <c r="AC130" s="433">
        <f t="shared" si="170"/>
        <v>3.6041611510495564E-4</v>
      </c>
      <c r="AD130" s="433">
        <f t="shared" si="170"/>
        <v>3.6041611510495564E-4</v>
      </c>
      <c r="AE130" s="433">
        <f>T130</f>
        <v>3.6041611510495564E-4</v>
      </c>
      <c r="AF130" s="433">
        <f>U130</f>
        <v>3.6041611510495564E-4</v>
      </c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9" tint="0.79998168889431442"/>
  </sheetPr>
  <dimension ref="A3:AF130"/>
  <sheetViews>
    <sheetView showGridLines="0" zoomScale="40" zoomScaleNormal="40" workbookViewId="0">
      <pane xSplit="2" ySplit="5" topLeftCell="G6" activePane="bottomRight" state="frozen"/>
      <selection pane="topRight" activeCell="C1" sqref="C1"/>
      <selection pane="bottomLeft" activeCell="A6" sqref="A6"/>
      <selection pane="bottomRight" activeCell="H88" sqref="H88"/>
    </sheetView>
  </sheetViews>
  <sheetFormatPr defaultRowHeight="14.4" outlineLevelRow="1"/>
  <cols>
    <col min="1" max="1" width="65.5546875" bestFit="1" customWidth="1"/>
    <col min="2" max="2" width="66" customWidth="1"/>
    <col min="3" max="3" width="1.5546875" customWidth="1"/>
    <col min="4" max="18" width="15.21875" customWidth="1"/>
    <col min="19" max="19" width="15.33203125" customWidth="1"/>
    <col min="20" max="21" width="14.6640625" customWidth="1"/>
    <col min="22" max="22" width="1.5546875" customWidth="1"/>
    <col min="23" max="32" width="15.21875" customWidth="1"/>
  </cols>
  <sheetData>
    <row r="3" spans="1:32">
      <c r="D3" s="740" t="s">
        <v>821</v>
      </c>
    </row>
    <row r="4" spans="1:32">
      <c r="A4" s="428" t="s">
        <v>822</v>
      </c>
      <c r="B4" s="428" t="s">
        <v>2112</v>
      </c>
      <c r="D4" s="427" t="s">
        <v>823</v>
      </c>
      <c r="E4" s="427" t="s">
        <v>585</v>
      </c>
      <c r="F4" s="427" t="s">
        <v>586</v>
      </c>
      <c r="G4" s="427">
        <v>2022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T4" s="427" t="s">
        <v>2488</v>
      </c>
      <c r="U4" s="427" t="s">
        <v>2497</v>
      </c>
      <c r="W4" s="427" t="s">
        <v>83</v>
      </c>
      <c r="X4" s="427" t="s">
        <v>84</v>
      </c>
      <c r="Y4" s="427" t="s">
        <v>85</v>
      </c>
      <c r="Z4" s="427" t="s">
        <v>86</v>
      </c>
      <c r="AA4" s="427" t="s">
        <v>87</v>
      </c>
      <c r="AB4" s="427" t="s">
        <v>88</v>
      </c>
      <c r="AC4" s="427" t="s">
        <v>2074</v>
      </c>
      <c r="AD4" s="427" t="s">
        <v>2127</v>
      </c>
      <c r="AE4" s="427" t="s">
        <v>2360</v>
      </c>
      <c r="AF4" s="427" t="s">
        <v>2494</v>
      </c>
    </row>
    <row r="5" spans="1:32" ht="6.75" customHeight="1"/>
    <row r="6" spans="1:32">
      <c r="A6" s="429" t="s">
        <v>596</v>
      </c>
      <c r="B6" s="429" t="s">
        <v>597</v>
      </c>
      <c r="D6" s="420">
        <f t="shared" ref="D6:J6" si="0">SUM(D8,D11:D17)</f>
        <v>67086</v>
      </c>
      <c r="E6" s="420">
        <f t="shared" si="0"/>
        <v>271077</v>
      </c>
      <c r="F6" s="420">
        <f t="shared" si="0"/>
        <v>582227</v>
      </c>
      <c r="G6" s="420">
        <f t="shared" si="0"/>
        <v>871697</v>
      </c>
      <c r="H6" s="420">
        <f t="shared" si="0"/>
        <v>250573</v>
      </c>
      <c r="I6" s="420">
        <f t="shared" si="0"/>
        <v>467925</v>
      </c>
      <c r="J6" s="420">
        <f t="shared" si="0"/>
        <v>761293</v>
      </c>
      <c r="K6" s="420">
        <f t="shared" ref="K6:T6" si="1">SUM(K8,K11:K17)</f>
        <v>1058695</v>
      </c>
      <c r="L6" s="420">
        <f t="shared" si="1"/>
        <v>212024</v>
      </c>
      <c r="M6" s="420">
        <f t="shared" si="1"/>
        <v>426573</v>
      </c>
      <c r="N6" s="420">
        <f t="shared" si="1"/>
        <v>767317</v>
      </c>
      <c r="O6" s="420">
        <f t="shared" si="1"/>
        <v>1114091</v>
      </c>
      <c r="P6" s="420">
        <f t="shared" si="1"/>
        <v>235381</v>
      </c>
      <c r="Q6" s="420">
        <f t="shared" si="1"/>
        <v>498355</v>
      </c>
      <c r="R6" s="420">
        <f t="shared" si="1"/>
        <v>821096</v>
      </c>
      <c r="S6" s="420">
        <f t="shared" si="1"/>
        <v>1176676</v>
      </c>
      <c r="T6" s="741">
        <f t="shared" si="1"/>
        <v>251484</v>
      </c>
      <c r="U6" s="741">
        <f>SUM(U8,U11:U17)</f>
        <v>489154</v>
      </c>
      <c r="W6" s="420">
        <f t="shared" ref="W6:AC6" si="2">SUM(W8,W11:W17)</f>
        <v>212024</v>
      </c>
      <c r="X6" s="420">
        <f t="shared" si="2"/>
        <v>214549</v>
      </c>
      <c r="Y6" s="420">
        <f t="shared" si="2"/>
        <v>340744</v>
      </c>
      <c r="Z6" s="420">
        <f t="shared" si="2"/>
        <v>346774</v>
      </c>
      <c r="AA6" s="420">
        <f t="shared" si="2"/>
        <v>235381</v>
      </c>
      <c r="AB6" s="420">
        <f t="shared" si="2"/>
        <v>262974</v>
      </c>
      <c r="AC6" s="420">
        <f t="shared" si="2"/>
        <v>322741</v>
      </c>
      <c r="AD6" s="420">
        <f t="shared" ref="AD6:AE6" si="3">SUM(AD8,AD11:AD17)</f>
        <v>355580</v>
      </c>
      <c r="AE6" s="420">
        <f t="shared" si="3"/>
        <v>251484</v>
      </c>
      <c r="AF6" s="741">
        <f>SUM(AF8,AF11:AF17)</f>
        <v>237670</v>
      </c>
    </row>
    <row r="7" spans="1:32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W7" s="421"/>
      <c r="X7" s="421"/>
      <c r="Y7" s="421"/>
      <c r="Z7" s="421"/>
      <c r="AA7" s="421"/>
      <c r="AB7" s="421"/>
      <c r="AC7" s="421"/>
      <c r="AD7" s="421"/>
      <c r="AE7" s="421"/>
      <c r="AF7" s="421"/>
    </row>
    <row r="8" spans="1:32">
      <c r="A8" s="417" t="s">
        <v>598</v>
      </c>
      <c r="B8" s="417" t="s">
        <v>599</v>
      </c>
      <c r="D8" s="422">
        <f t="shared" ref="D8:I8" si="4">SUM(D9:D10)</f>
        <v>0</v>
      </c>
      <c r="E8" s="422">
        <f t="shared" si="4"/>
        <v>0</v>
      </c>
      <c r="F8" s="422">
        <f t="shared" si="4"/>
        <v>0</v>
      </c>
      <c r="G8" s="422">
        <f t="shared" si="4"/>
        <v>0</v>
      </c>
      <c r="H8" s="422">
        <f t="shared" si="4"/>
        <v>0</v>
      </c>
      <c r="I8" s="422">
        <f t="shared" si="4"/>
        <v>0</v>
      </c>
      <c r="J8" s="422">
        <f t="shared" ref="J8:T8" si="5">SUM(J9:J10)</f>
        <v>0</v>
      </c>
      <c r="K8" s="422">
        <f t="shared" si="5"/>
        <v>0</v>
      </c>
      <c r="L8" s="422">
        <f t="shared" si="5"/>
        <v>0</v>
      </c>
      <c r="M8" s="422">
        <f t="shared" si="5"/>
        <v>0</v>
      </c>
      <c r="N8" s="422">
        <f t="shared" si="5"/>
        <v>0</v>
      </c>
      <c r="O8" s="422">
        <f t="shared" si="5"/>
        <v>0</v>
      </c>
      <c r="P8" s="422">
        <f t="shared" si="5"/>
        <v>0</v>
      </c>
      <c r="Q8" s="422">
        <f t="shared" si="5"/>
        <v>0</v>
      </c>
      <c r="R8" s="422">
        <f t="shared" si="5"/>
        <v>0</v>
      </c>
      <c r="S8" s="422">
        <f t="shared" si="5"/>
        <v>0</v>
      </c>
      <c r="T8" s="422">
        <f t="shared" si="5"/>
        <v>0</v>
      </c>
      <c r="U8" s="422">
        <f>SUM(U9:U10)</f>
        <v>0</v>
      </c>
      <c r="W8" s="422">
        <f t="shared" ref="W8:AC8" si="6">SUM(W9:W10)</f>
        <v>0</v>
      </c>
      <c r="X8" s="422">
        <f t="shared" si="6"/>
        <v>0</v>
      </c>
      <c r="Y8" s="422">
        <f t="shared" si="6"/>
        <v>0</v>
      </c>
      <c r="Z8" s="422">
        <f t="shared" si="6"/>
        <v>0</v>
      </c>
      <c r="AA8" s="422">
        <f t="shared" si="6"/>
        <v>0</v>
      </c>
      <c r="AB8" s="422">
        <f t="shared" si="6"/>
        <v>0</v>
      </c>
      <c r="AC8" s="422">
        <f t="shared" si="6"/>
        <v>0</v>
      </c>
      <c r="AD8" s="422">
        <f t="shared" ref="AD8:AE8" si="7">SUM(AD9:AD10)</f>
        <v>0</v>
      </c>
      <c r="AE8" s="422">
        <f t="shared" si="7"/>
        <v>0</v>
      </c>
      <c r="AF8" s="422">
        <f>SUM(AF9:AF10)</f>
        <v>0</v>
      </c>
    </row>
    <row r="9" spans="1:32" outlineLevel="1">
      <c r="A9" s="418" t="s">
        <v>598</v>
      </c>
      <c r="B9" s="418" t="s">
        <v>599</v>
      </c>
      <c r="D9" s="423">
        <v>0</v>
      </c>
      <c r="E9" s="423">
        <v>0</v>
      </c>
      <c r="F9" s="423">
        <v>0</v>
      </c>
      <c r="G9" s="423">
        <v>0</v>
      </c>
      <c r="H9" s="423">
        <v>0</v>
      </c>
      <c r="I9" s="423">
        <v>0</v>
      </c>
      <c r="J9" s="423">
        <v>0</v>
      </c>
      <c r="K9" s="423">
        <v>0</v>
      </c>
      <c r="L9" s="423">
        <v>0</v>
      </c>
      <c r="M9" s="423">
        <v>0</v>
      </c>
      <c r="N9" s="423">
        <v>0</v>
      </c>
      <c r="O9" s="423">
        <v>0</v>
      </c>
      <c r="P9" s="423">
        <v>0</v>
      </c>
      <c r="Q9" s="423">
        <v>0</v>
      </c>
      <c r="R9" s="423">
        <v>0</v>
      </c>
      <c r="S9" s="423">
        <v>0</v>
      </c>
      <c r="T9" s="423">
        <v>0</v>
      </c>
      <c r="U9" s="423">
        <v>0</v>
      </c>
      <c r="W9" s="423">
        <f>L9</f>
        <v>0</v>
      </c>
      <c r="X9" s="423">
        <f>M9-W9</f>
        <v>0</v>
      </c>
      <c r="Y9" s="423">
        <f t="shared" ref="Y9:Z16" si="8">N9-M9</f>
        <v>0</v>
      </c>
      <c r="Z9" s="423">
        <f t="shared" si="8"/>
        <v>0</v>
      </c>
      <c r="AA9" s="423">
        <f>P9</f>
        <v>0</v>
      </c>
      <c r="AB9" s="423">
        <f t="shared" ref="AB9:AD16" si="9">Q9-P9</f>
        <v>0</v>
      </c>
      <c r="AC9" s="423">
        <f t="shared" si="9"/>
        <v>0</v>
      </c>
      <c r="AD9" s="423">
        <f t="shared" si="9"/>
        <v>0</v>
      </c>
      <c r="AE9" s="423">
        <f>T9</f>
        <v>0</v>
      </c>
      <c r="AF9" s="423">
        <f t="shared" ref="AF9:AF16" si="10">U9-T9</f>
        <v>0</v>
      </c>
    </row>
    <row r="10" spans="1:32" outlineLevel="1">
      <c r="A10" s="418" t="s">
        <v>600</v>
      </c>
      <c r="B10" s="418" t="s">
        <v>601</v>
      </c>
      <c r="D10" s="423">
        <v>0</v>
      </c>
      <c r="E10" s="423">
        <v>0</v>
      </c>
      <c r="F10" s="423">
        <v>0</v>
      </c>
      <c r="G10" s="423">
        <v>0</v>
      </c>
      <c r="H10" s="423">
        <v>0</v>
      </c>
      <c r="I10" s="423">
        <v>0</v>
      </c>
      <c r="J10" s="423">
        <v>0</v>
      </c>
      <c r="K10" s="423">
        <v>0</v>
      </c>
      <c r="L10" s="423">
        <v>0</v>
      </c>
      <c r="M10" s="423">
        <v>0</v>
      </c>
      <c r="N10" s="423">
        <v>0</v>
      </c>
      <c r="O10" s="423">
        <v>0</v>
      </c>
      <c r="P10" s="423">
        <v>0</v>
      </c>
      <c r="Q10" s="423">
        <v>0</v>
      </c>
      <c r="R10" s="423">
        <v>0</v>
      </c>
      <c r="S10" s="423">
        <v>0</v>
      </c>
      <c r="T10" s="423">
        <v>0</v>
      </c>
      <c r="U10" s="423">
        <v>0</v>
      </c>
      <c r="W10" s="423">
        <f t="shared" ref="W10:W25" si="11">L10</f>
        <v>0</v>
      </c>
      <c r="X10" s="423">
        <f t="shared" ref="X10:X16" si="12">M10-W10</f>
        <v>0</v>
      </c>
      <c r="Y10" s="423">
        <f t="shared" si="8"/>
        <v>0</v>
      </c>
      <c r="Z10" s="423">
        <f t="shared" si="8"/>
        <v>0</v>
      </c>
      <c r="AA10" s="423">
        <f t="shared" ref="AA10:AA25" si="13">P10</f>
        <v>0</v>
      </c>
      <c r="AB10" s="423">
        <f t="shared" si="9"/>
        <v>0</v>
      </c>
      <c r="AC10" s="423">
        <f t="shared" si="9"/>
        <v>0</v>
      </c>
      <c r="AD10" s="423">
        <f t="shared" si="9"/>
        <v>0</v>
      </c>
      <c r="AE10" s="423">
        <f t="shared" ref="AE10:AE25" si="14">T10</f>
        <v>0</v>
      </c>
      <c r="AF10" s="423">
        <f t="shared" si="10"/>
        <v>0</v>
      </c>
    </row>
    <row r="11" spans="1:32">
      <c r="A11" s="417" t="s">
        <v>602</v>
      </c>
      <c r="B11" s="417" t="s">
        <v>603</v>
      </c>
      <c r="D11" s="422">
        <v>0</v>
      </c>
      <c r="E11" s="422">
        <v>0</v>
      </c>
      <c r="F11" s="422">
        <v>0</v>
      </c>
      <c r="G11" s="422">
        <v>0</v>
      </c>
      <c r="H11" s="422">
        <v>0</v>
      </c>
      <c r="I11" s="422">
        <v>0</v>
      </c>
      <c r="J11" s="422">
        <v>0</v>
      </c>
      <c r="K11" s="422">
        <v>0</v>
      </c>
      <c r="L11" s="422">
        <v>0</v>
      </c>
      <c r="M11" s="422">
        <v>0</v>
      </c>
      <c r="N11" s="422">
        <v>0</v>
      </c>
      <c r="O11" s="422">
        <v>0</v>
      </c>
      <c r="P11" s="422">
        <v>0</v>
      </c>
      <c r="Q11" s="422">
        <v>0</v>
      </c>
      <c r="R11" s="422">
        <v>0</v>
      </c>
      <c r="S11" s="422">
        <v>0</v>
      </c>
      <c r="T11" s="422">
        <v>0</v>
      </c>
      <c r="U11" s="422">
        <v>0</v>
      </c>
      <c r="W11" s="422">
        <f t="shared" si="11"/>
        <v>0</v>
      </c>
      <c r="X11" s="422">
        <f t="shared" si="12"/>
        <v>0</v>
      </c>
      <c r="Y11" s="422">
        <f t="shared" si="8"/>
        <v>0</v>
      </c>
      <c r="Z11" s="422">
        <f t="shared" si="8"/>
        <v>0</v>
      </c>
      <c r="AA11" s="422">
        <f>P11</f>
        <v>0</v>
      </c>
      <c r="AB11" s="422">
        <f t="shared" si="9"/>
        <v>0</v>
      </c>
      <c r="AC11" s="422">
        <f t="shared" si="9"/>
        <v>0</v>
      </c>
      <c r="AD11" s="422">
        <f t="shared" si="9"/>
        <v>0</v>
      </c>
      <c r="AE11" s="422">
        <f>T11</f>
        <v>0</v>
      </c>
      <c r="AF11" s="422">
        <f t="shared" si="10"/>
        <v>0</v>
      </c>
    </row>
    <row r="12" spans="1:32">
      <c r="A12" s="417" t="s">
        <v>604</v>
      </c>
      <c r="B12" s="417" t="s">
        <v>605</v>
      </c>
      <c r="D12" s="422">
        <v>66744</v>
      </c>
      <c r="E12" s="422">
        <v>265619</v>
      </c>
      <c r="F12" s="422">
        <v>573582</v>
      </c>
      <c r="G12" s="422">
        <v>862231</v>
      </c>
      <c r="H12" s="422">
        <v>250025</v>
      </c>
      <c r="I12" s="422">
        <v>465137</v>
      </c>
      <c r="J12" s="422">
        <v>746949</v>
      </c>
      <c r="K12" s="422">
        <v>1057938</v>
      </c>
      <c r="L12" s="422">
        <v>205711</v>
      </c>
      <c r="M12" s="422">
        <v>416779</v>
      </c>
      <c r="N12" s="422">
        <v>755919</v>
      </c>
      <c r="O12" s="422">
        <v>1094950</v>
      </c>
      <c r="P12" s="422">
        <v>231856</v>
      </c>
      <c r="Q12" s="422">
        <v>483362</v>
      </c>
      <c r="R12" s="422">
        <v>806559</v>
      </c>
      <c r="S12" s="422">
        <v>1159382</v>
      </c>
      <c r="T12" s="422">
        <v>247138</v>
      </c>
      <c r="U12" s="422">
        <v>480307</v>
      </c>
      <c r="W12" s="422">
        <f t="shared" si="11"/>
        <v>205711</v>
      </c>
      <c r="X12" s="422">
        <f t="shared" si="12"/>
        <v>211068</v>
      </c>
      <c r="Y12" s="422">
        <f t="shared" si="8"/>
        <v>339140</v>
      </c>
      <c r="Z12" s="422">
        <f t="shared" si="8"/>
        <v>339031</v>
      </c>
      <c r="AA12" s="422">
        <f t="shared" si="13"/>
        <v>231856</v>
      </c>
      <c r="AB12" s="422">
        <f t="shared" si="9"/>
        <v>251506</v>
      </c>
      <c r="AC12" s="422">
        <f t="shared" si="9"/>
        <v>323197</v>
      </c>
      <c r="AD12" s="422">
        <f t="shared" si="9"/>
        <v>352823</v>
      </c>
      <c r="AE12" s="422">
        <f t="shared" si="14"/>
        <v>247138</v>
      </c>
      <c r="AF12" s="422">
        <f t="shared" si="10"/>
        <v>233169</v>
      </c>
    </row>
    <row r="13" spans="1:32">
      <c r="A13" s="417" t="s">
        <v>606</v>
      </c>
      <c r="B13" s="417" t="s">
        <v>607</v>
      </c>
      <c r="D13" s="422">
        <v>0</v>
      </c>
      <c r="E13" s="422">
        <v>0</v>
      </c>
      <c r="F13" s="422">
        <v>0</v>
      </c>
      <c r="G13" s="422">
        <v>0</v>
      </c>
      <c r="H13" s="422">
        <v>0</v>
      </c>
      <c r="I13" s="422">
        <v>0</v>
      </c>
      <c r="J13" s="422">
        <v>0</v>
      </c>
      <c r="K13" s="422">
        <v>0</v>
      </c>
      <c r="L13" s="422">
        <v>0</v>
      </c>
      <c r="M13" s="422">
        <v>0</v>
      </c>
      <c r="N13" s="422">
        <v>0</v>
      </c>
      <c r="O13" s="422">
        <v>0</v>
      </c>
      <c r="P13" s="422">
        <v>0</v>
      </c>
      <c r="Q13" s="422">
        <v>0</v>
      </c>
      <c r="R13" s="422">
        <v>0</v>
      </c>
      <c r="S13" s="422">
        <v>0</v>
      </c>
      <c r="T13" s="422">
        <v>0</v>
      </c>
      <c r="U13" s="422">
        <v>0</v>
      </c>
      <c r="W13" s="422">
        <f t="shared" si="11"/>
        <v>0</v>
      </c>
      <c r="X13" s="422">
        <f t="shared" si="12"/>
        <v>0</v>
      </c>
      <c r="Y13" s="422">
        <f t="shared" si="8"/>
        <v>0</v>
      </c>
      <c r="Z13" s="422">
        <f t="shared" si="8"/>
        <v>0</v>
      </c>
      <c r="AA13" s="422">
        <f t="shared" si="13"/>
        <v>0</v>
      </c>
      <c r="AB13" s="422">
        <f t="shared" si="9"/>
        <v>0</v>
      </c>
      <c r="AC13" s="422">
        <f t="shared" si="9"/>
        <v>0</v>
      </c>
      <c r="AD13" s="422">
        <f t="shared" si="9"/>
        <v>0</v>
      </c>
      <c r="AE13" s="422">
        <f t="shared" si="14"/>
        <v>0</v>
      </c>
      <c r="AF13" s="422">
        <f t="shared" si="10"/>
        <v>0</v>
      </c>
    </row>
    <row r="14" spans="1:32">
      <c r="A14" s="417" t="s">
        <v>608</v>
      </c>
      <c r="B14" s="417" t="s">
        <v>609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>
        <v>0</v>
      </c>
      <c r="T14" s="422">
        <v>0</v>
      </c>
      <c r="U14" s="422">
        <v>0</v>
      </c>
      <c r="W14" s="422">
        <f t="shared" si="11"/>
        <v>0</v>
      </c>
      <c r="X14" s="422">
        <f t="shared" si="12"/>
        <v>0</v>
      </c>
      <c r="Y14" s="422">
        <f t="shared" si="8"/>
        <v>0</v>
      </c>
      <c r="Z14" s="422">
        <f t="shared" si="8"/>
        <v>0</v>
      </c>
      <c r="AA14" s="422">
        <f t="shared" si="13"/>
        <v>0</v>
      </c>
      <c r="AB14" s="422">
        <f t="shared" si="9"/>
        <v>0</v>
      </c>
      <c r="AC14" s="422">
        <f t="shared" si="9"/>
        <v>0</v>
      </c>
      <c r="AD14" s="422">
        <f t="shared" si="9"/>
        <v>0</v>
      </c>
      <c r="AE14" s="422">
        <f t="shared" si="14"/>
        <v>0</v>
      </c>
      <c r="AF14" s="422">
        <f t="shared" si="10"/>
        <v>0</v>
      </c>
    </row>
    <row r="15" spans="1:32">
      <c r="A15" s="417" t="s">
        <v>610</v>
      </c>
      <c r="B15" s="417" t="s">
        <v>611</v>
      </c>
      <c r="D15" s="422">
        <v>0</v>
      </c>
      <c r="E15" s="422">
        <v>0</v>
      </c>
      <c r="F15" s="422">
        <v>0</v>
      </c>
      <c r="G15" s="422">
        <v>0</v>
      </c>
      <c r="H15" s="422">
        <v>0</v>
      </c>
      <c r="I15" s="422">
        <v>0</v>
      </c>
      <c r="J15" s="422">
        <v>0</v>
      </c>
      <c r="K15" s="422">
        <v>0</v>
      </c>
      <c r="L15" s="422">
        <v>0</v>
      </c>
      <c r="M15" s="422">
        <v>0</v>
      </c>
      <c r="N15" s="422">
        <v>0</v>
      </c>
      <c r="O15" s="422">
        <v>0</v>
      </c>
      <c r="P15" s="422">
        <v>0</v>
      </c>
      <c r="Q15" s="422">
        <v>0</v>
      </c>
      <c r="R15" s="422">
        <v>0</v>
      </c>
      <c r="S15" s="422">
        <v>0</v>
      </c>
      <c r="T15" s="422">
        <v>0</v>
      </c>
      <c r="U15" s="422">
        <v>0</v>
      </c>
      <c r="W15" s="422">
        <f t="shared" si="11"/>
        <v>0</v>
      </c>
      <c r="X15" s="422">
        <f t="shared" si="12"/>
        <v>0</v>
      </c>
      <c r="Y15" s="422">
        <f t="shared" si="8"/>
        <v>0</v>
      </c>
      <c r="Z15" s="422">
        <f t="shared" si="8"/>
        <v>0</v>
      </c>
      <c r="AA15" s="422">
        <f t="shared" si="13"/>
        <v>0</v>
      </c>
      <c r="AB15" s="422">
        <f t="shared" si="9"/>
        <v>0</v>
      </c>
      <c r="AC15" s="422">
        <f t="shared" si="9"/>
        <v>0</v>
      </c>
      <c r="AD15" s="422">
        <f t="shared" si="9"/>
        <v>0</v>
      </c>
      <c r="AE15" s="422">
        <f t="shared" si="14"/>
        <v>0</v>
      </c>
      <c r="AF15" s="422">
        <f t="shared" si="10"/>
        <v>0</v>
      </c>
    </row>
    <row r="16" spans="1:32">
      <c r="A16" s="417" t="s">
        <v>612</v>
      </c>
      <c r="B16" s="417" t="s">
        <v>613</v>
      </c>
      <c r="D16" s="422">
        <v>0</v>
      </c>
      <c r="E16" s="422">
        <v>0</v>
      </c>
      <c r="F16" s="422">
        <v>0</v>
      </c>
      <c r="G16" s="422">
        <v>0</v>
      </c>
      <c r="H16" s="422">
        <v>0</v>
      </c>
      <c r="I16" s="422">
        <v>0</v>
      </c>
      <c r="J16" s="422">
        <v>0</v>
      </c>
      <c r="K16" s="422">
        <v>0</v>
      </c>
      <c r="L16" s="422">
        <v>0</v>
      </c>
      <c r="M16" s="422">
        <v>0</v>
      </c>
      <c r="N16" s="422">
        <v>0</v>
      </c>
      <c r="O16" s="422">
        <v>0</v>
      </c>
      <c r="P16" s="422">
        <v>0</v>
      </c>
      <c r="Q16" s="422">
        <v>0</v>
      </c>
      <c r="R16" s="422">
        <v>0</v>
      </c>
      <c r="S16" s="422">
        <v>0</v>
      </c>
      <c r="T16" s="422">
        <v>0</v>
      </c>
      <c r="U16" s="422">
        <v>0</v>
      </c>
      <c r="W16" s="422">
        <f t="shared" si="11"/>
        <v>0</v>
      </c>
      <c r="X16" s="422">
        <f t="shared" si="12"/>
        <v>0</v>
      </c>
      <c r="Y16" s="422">
        <f t="shared" si="8"/>
        <v>0</v>
      </c>
      <c r="Z16" s="422">
        <f t="shared" si="8"/>
        <v>0</v>
      </c>
      <c r="AA16" s="422">
        <f t="shared" si="13"/>
        <v>0</v>
      </c>
      <c r="AB16" s="422">
        <f t="shared" si="9"/>
        <v>0</v>
      </c>
      <c r="AC16" s="422">
        <f t="shared" si="9"/>
        <v>0</v>
      </c>
      <c r="AD16" s="422">
        <f t="shared" si="9"/>
        <v>0</v>
      </c>
      <c r="AE16" s="422">
        <f t="shared" si="14"/>
        <v>0</v>
      </c>
      <c r="AF16" s="422">
        <f t="shared" si="10"/>
        <v>0</v>
      </c>
    </row>
    <row r="17" spans="1:32">
      <c r="A17" s="417" t="s">
        <v>614</v>
      </c>
      <c r="B17" s="417" t="s">
        <v>615</v>
      </c>
      <c r="D17" s="422">
        <f t="shared" ref="D17:I17" si="15">SUM(D18:D25)</f>
        <v>342</v>
      </c>
      <c r="E17" s="422">
        <f t="shared" si="15"/>
        <v>5458</v>
      </c>
      <c r="F17" s="422">
        <f t="shared" si="15"/>
        <v>8645</v>
      </c>
      <c r="G17" s="422">
        <f t="shared" si="15"/>
        <v>9466</v>
      </c>
      <c r="H17" s="422">
        <f t="shared" si="15"/>
        <v>548</v>
      </c>
      <c r="I17" s="422">
        <f t="shared" si="15"/>
        <v>2788</v>
      </c>
      <c r="J17" s="422">
        <f t="shared" ref="J17:T17" si="16">SUM(J18:J25)</f>
        <v>14344</v>
      </c>
      <c r="K17" s="422">
        <f t="shared" si="16"/>
        <v>757</v>
      </c>
      <c r="L17" s="422">
        <f t="shared" si="16"/>
        <v>6313</v>
      </c>
      <c r="M17" s="422">
        <f t="shared" si="16"/>
        <v>9794</v>
      </c>
      <c r="N17" s="422">
        <f t="shared" si="16"/>
        <v>11398</v>
      </c>
      <c r="O17" s="422">
        <f t="shared" si="16"/>
        <v>19141</v>
      </c>
      <c r="P17" s="422">
        <f t="shared" si="16"/>
        <v>3525</v>
      </c>
      <c r="Q17" s="422">
        <f t="shared" si="16"/>
        <v>14993</v>
      </c>
      <c r="R17" s="422">
        <f t="shared" si="16"/>
        <v>14537</v>
      </c>
      <c r="S17" s="422">
        <f t="shared" si="16"/>
        <v>17294</v>
      </c>
      <c r="T17" s="422">
        <f t="shared" si="16"/>
        <v>4346</v>
      </c>
      <c r="U17" s="422">
        <f>SUM(U18:U25)</f>
        <v>8847</v>
      </c>
      <c r="W17" s="422">
        <f t="shared" ref="W17:AC17" si="17">SUM(W18:W25)</f>
        <v>6313</v>
      </c>
      <c r="X17" s="422">
        <f t="shared" si="17"/>
        <v>3481</v>
      </c>
      <c r="Y17" s="422">
        <f t="shared" si="17"/>
        <v>1604</v>
      </c>
      <c r="Z17" s="422">
        <f t="shared" si="17"/>
        <v>7743</v>
      </c>
      <c r="AA17" s="422">
        <f t="shared" si="17"/>
        <v>3525</v>
      </c>
      <c r="AB17" s="422">
        <f t="shared" si="17"/>
        <v>11468</v>
      </c>
      <c r="AC17" s="422">
        <f t="shared" si="17"/>
        <v>-456</v>
      </c>
      <c r="AD17" s="422">
        <f t="shared" ref="AD17:AE17" si="18">SUM(AD18:AD25)</f>
        <v>2757</v>
      </c>
      <c r="AE17" s="422">
        <f t="shared" si="18"/>
        <v>4346</v>
      </c>
      <c r="AF17" s="422">
        <f>SUM(AF18:AF25)</f>
        <v>4501</v>
      </c>
    </row>
    <row r="18" spans="1:32" outlineLevel="1">
      <c r="A18" s="418" t="s">
        <v>616</v>
      </c>
      <c r="B18" s="418" t="s">
        <v>617</v>
      </c>
      <c r="D18" s="423">
        <v>0</v>
      </c>
      <c r="E18" s="423">
        <v>0</v>
      </c>
      <c r="F18" s="423">
        <v>0</v>
      </c>
      <c r="G18" s="423">
        <v>0</v>
      </c>
      <c r="H18" s="423">
        <v>0</v>
      </c>
      <c r="I18" s="423">
        <v>0</v>
      </c>
      <c r="J18" s="423">
        <v>0</v>
      </c>
      <c r="K18" s="423">
        <v>0</v>
      </c>
      <c r="L18" s="423">
        <v>0</v>
      </c>
      <c r="M18" s="423">
        <v>0</v>
      </c>
      <c r="N18" s="423">
        <v>0</v>
      </c>
      <c r="O18" s="423">
        <v>0</v>
      </c>
      <c r="P18" s="423">
        <v>0</v>
      </c>
      <c r="Q18" s="423">
        <v>0</v>
      </c>
      <c r="R18" s="423">
        <v>0</v>
      </c>
      <c r="S18" s="423">
        <v>0</v>
      </c>
      <c r="T18" s="423">
        <v>0</v>
      </c>
      <c r="U18" s="423">
        <v>0</v>
      </c>
      <c r="W18" s="423">
        <f t="shared" si="11"/>
        <v>0</v>
      </c>
      <c r="X18" s="423">
        <f t="shared" ref="X18:X25" si="19">M18-W18</f>
        <v>0</v>
      </c>
      <c r="Y18" s="423">
        <f t="shared" ref="Y18:Z25" si="20">N18-M18</f>
        <v>0</v>
      </c>
      <c r="Z18" s="423">
        <f t="shared" si="20"/>
        <v>0</v>
      </c>
      <c r="AA18" s="423">
        <f t="shared" si="13"/>
        <v>0</v>
      </c>
      <c r="AB18" s="423">
        <f t="shared" ref="AB18:AD25" si="21">Q18-P18</f>
        <v>0</v>
      </c>
      <c r="AC18" s="423">
        <f t="shared" si="21"/>
        <v>0</v>
      </c>
      <c r="AD18" s="423">
        <f t="shared" si="21"/>
        <v>0</v>
      </c>
      <c r="AE18" s="423">
        <f t="shared" si="14"/>
        <v>0</v>
      </c>
      <c r="AF18" s="423">
        <f t="shared" ref="AF18:AF25" si="22">U18-T18</f>
        <v>0</v>
      </c>
    </row>
    <row r="19" spans="1:32" outlineLevel="1">
      <c r="A19" s="418" t="s">
        <v>618</v>
      </c>
      <c r="B19" s="418" t="s">
        <v>619</v>
      </c>
      <c r="D19" s="423">
        <v>0</v>
      </c>
      <c r="E19" s="423">
        <v>0</v>
      </c>
      <c r="F19" s="423">
        <v>0</v>
      </c>
      <c r="G19" s="423">
        <v>0</v>
      </c>
      <c r="H19" s="423">
        <v>0</v>
      </c>
      <c r="I19" s="423">
        <v>0</v>
      </c>
      <c r="J19" s="423">
        <v>0</v>
      </c>
      <c r="K19" s="423">
        <v>0</v>
      </c>
      <c r="L19" s="423">
        <v>0</v>
      </c>
      <c r="M19" s="423">
        <v>0</v>
      </c>
      <c r="N19" s="423">
        <v>0</v>
      </c>
      <c r="O19" s="423">
        <v>0</v>
      </c>
      <c r="P19" s="423">
        <v>0</v>
      </c>
      <c r="Q19" s="423">
        <v>0</v>
      </c>
      <c r="R19" s="423">
        <v>0</v>
      </c>
      <c r="S19" s="423">
        <v>0</v>
      </c>
      <c r="T19" s="423">
        <v>0</v>
      </c>
      <c r="U19" s="423">
        <v>0</v>
      </c>
      <c r="W19" s="423">
        <f t="shared" si="11"/>
        <v>0</v>
      </c>
      <c r="X19" s="423">
        <f t="shared" si="19"/>
        <v>0</v>
      </c>
      <c r="Y19" s="423">
        <f t="shared" si="20"/>
        <v>0</v>
      </c>
      <c r="Z19" s="423">
        <f t="shared" si="20"/>
        <v>0</v>
      </c>
      <c r="AA19" s="423">
        <f t="shared" si="13"/>
        <v>0</v>
      </c>
      <c r="AB19" s="423">
        <f t="shared" si="21"/>
        <v>0</v>
      </c>
      <c r="AC19" s="423">
        <f t="shared" si="21"/>
        <v>0</v>
      </c>
      <c r="AD19" s="423">
        <f t="shared" si="21"/>
        <v>0</v>
      </c>
      <c r="AE19" s="423">
        <f t="shared" si="14"/>
        <v>0</v>
      </c>
      <c r="AF19" s="423">
        <f t="shared" si="22"/>
        <v>0</v>
      </c>
    </row>
    <row r="20" spans="1:32" outlineLevel="1">
      <c r="A20" s="418" t="s">
        <v>620</v>
      </c>
      <c r="B20" s="418" t="s">
        <v>621</v>
      </c>
      <c r="D20" s="423">
        <v>0</v>
      </c>
      <c r="E20" s="423">
        <v>0</v>
      </c>
      <c r="F20" s="423">
        <v>0</v>
      </c>
      <c r="G20" s="423">
        <v>0</v>
      </c>
      <c r="H20" s="423">
        <v>0</v>
      </c>
      <c r="I20" s="423">
        <v>0</v>
      </c>
      <c r="J20" s="423">
        <v>0</v>
      </c>
      <c r="K20" s="423">
        <v>0</v>
      </c>
      <c r="L20" s="423">
        <v>0</v>
      </c>
      <c r="M20" s="423">
        <v>0</v>
      </c>
      <c r="N20" s="423">
        <v>0</v>
      </c>
      <c r="O20" s="423">
        <v>0</v>
      </c>
      <c r="P20" s="423">
        <v>0</v>
      </c>
      <c r="Q20" s="423">
        <v>0</v>
      </c>
      <c r="R20" s="423">
        <v>0</v>
      </c>
      <c r="S20" s="423">
        <v>0</v>
      </c>
      <c r="T20" s="423">
        <v>0</v>
      </c>
      <c r="U20" s="423">
        <v>0</v>
      </c>
      <c r="W20" s="423">
        <f t="shared" si="11"/>
        <v>0</v>
      </c>
      <c r="X20" s="423">
        <f t="shared" si="19"/>
        <v>0</v>
      </c>
      <c r="Y20" s="423">
        <f t="shared" si="20"/>
        <v>0</v>
      </c>
      <c r="Z20" s="423">
        <f t="shared" si="20"/>
        <v>0</v>
      </c>
      <c r="AA20" s="423">
        <f t="shared" si="13"/>
        <v>0</v>
      </c>
      <c r="AB20" s="423">
        <f t="shared" si="21"/>
        <v>0</v>
      </c>
      <c r="AC20" s="423">
        <f t="shared" si="21"/>
        <v>0</v>
      </c>
      <c r="AD20" s="423">
        <f t="shared" si="21"/>
        <v>0</v>
      </c>
      <c r="AE20" s="423">
        <f t="shared" si="14"/>
        <v>0</v>
      </c>
      <c r="AF20" s="423">
        <f t="shared" si="22"/>
        <v>0</v>
      </c>
    </row>
    <row r="21" spans="1:32" outlineLevel="1">
      <c r="A21" s="418" t="s">
        <v>622</v>
      </c>
      <c r="B21" s="418" t="s">
        <v>623</v>
      </c>
      <c r="D21" s="423">
        <v>0</v>
      </c>
      <c r="E21" s="423">
        <v>0</v>
      </c>
      <c r="F21" s="423">
        <v>0</v>
      </c>
      <c r="G21" s="423">
        <v>0</v>
      </c>
      <c r="H21" s="423">
        <v>0</v>
      </c>
      <c r="I21" s="423">
        <v>0</v>
      </c>
      <c r="J21" s="423">
        <v>0</v>
      </c>
      <c r="K21" s="423">
        <v>0</v>
      </c>
      <c r="L21" s="423">
        <v>0</v>
      </c>
      <c r="M21" s="423">
        <v>0</v>
      </c>
      <c r="N21" s="423">
        <v>0</v>
      </c>
      <c r="O21" s="423">
        <v>0</v>
      </c>
      <c r="P21" s="423">
        <v>0</v>
      </c>
      <c r="Q21" s="423">
        <v>0</v>
      </c>
      <c r="R21" s="423">
        <v>0</v>
      </c>
      <c r="S21" s="423">
        <v>0</v>
      </c>
      <c r="T21" s="423">
        <v>0</v>
      </c>
      <c r="U21" s="423">
        <v>0</v>
      </c>
      <c r="W21" s="423">
        <f t="shared" si="11"/>
        <v>0</v>
      </c>
      <c r="X21" s="423">
        <f t="shared" si="19"/>
        <v>0</v>
      </c>
      <c r="Y21" s="423">
        <f t="shared" si="20"/>
        <v>0</v>
      </c>
      <c r="Z21" s="423">
        <f t="shared" si="20"/>
        <v>0</v>
      </c>
      <c r="AA21" s="423">
        <f t="shared" si="13"/>
        <v>0</v>
      </c>
      <c r="AB21" s="423">
        <f t="shared" si="21"/>
        <v>0</v>
      </c>
      <c r="AC21" s="423">
        <f t="shared" si="21"/>
        <v>0</v>
      </c>
      <c r="AD21" s="423">
        <f t="shared" si="21"/>
        <v>0</v>
      </c>
      <c r="AE21" s="423">
        <f t="shared" si="14"/>
        <v>0</v>
      </c>
      <c r="AF21" s="423">
        <f t="shared" si="22"/>
        <v>0</v>
      </c>
    </row>
    <row r="22" spans="1:32" outlineLevel="1">
      <c r="A22" s="418" t="s">
        <v>624</v>
      </c>
      <c r="B22" s="418" t="s">
        <v>625</v>
      </c>
      <c r="D22" s="423">
        <v>0</v>
      </c>
      <c r="E22" s="423">
        <v>0</v>
      </c>
      <c r="F22" s="423">
        <v>0</v>
      </c>
      <c r="G22" s="423">
        <v>0</v>
      </c>
      <c r="H22" s="423">
        <v>0</v>
      </c>
      <c r="I22" s="423">
        <v>0</v>
      </c>
      <c r="J22" s="423">
        <v>0</v>
      </c>
      <c r="K22" s="423">
        <v>0</v>
      </c>
      <c r="L22" s="423">
        <v>0</v>
      </c>
      <c r="M22" s="423">
        <v>0</v>
      </c>
      <c r="N22" s="423">
        <v>0</v>
      </c>
      <c r="O22" s="423">
        <v>0</v>
      </c>
      <c r="P22" s="423">
        <v>0</v>
      </c>
      <c r="Q22" s="423">
        <v>0</v>
      </c>
      <c r="R22" s="423">
        <v>0</v>
      </c>
      <c r="S22" s="423">
        <v>0</v>
      </c>
      <c r="T22" s="423">
        <v>0</v>
      </c>
      <c r="U22" s="423">
        <v>0</v>
      </c>
      <c r="W22" s="423">
        <f t="shared" si="11"/>
        <v>0</v>
      </c>
      <c r="X22" s="423">
        <f t="shared" si="19"/>
        <v>0</v>
      </c>
      <c r="Y22" s="423">
        <f t="shared" si="20"/>
        <v>0</v>
      </c>
      <c r="Z22" s="423">
        <f t="shared" si="20"/>
        <v>0</v>
      </c>
      <c r="AA22" s="423">
        <f t="shared" si="13"/>
        <v>0</v>
      </c>
      <c r="AB22" s="423">
        <f t="shared" si="21"/>
        <v>0</v>
      </c>
      <c r="AC22" s="423">
        <f t="shared" si="21"/>
        <v>0</v>
      </c>
      <c r="AD22" s="423">
        <f t="shared" si="21"/>
        <v>0</v>
      </c>
      <c r="AE22" s="423">
        <f t="shared" si="14"/>
        <v>0</v>
      </c>
      <c r="AF22" s="423">
        <f t="shared" si="22"/>
        <v>0</v>
      </c>
    </row>
    <row r="23" spans="1:32" outlineLevel="1">
      <c r="A23" s="418" t="s">
        <v>626</v>
      </c>
      <c r="B23" s="418" t="s">
        <v>811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0</v>
      </c>
      <c r="T23" s="423">
        <v>0</v>
      </c>
      <c r="U23" s="423">
        <v>0</v>
      </c>
      <c r="W23" s="423">
        <f t="shared" si="11"/>
        <v>0</v>
      </c>
      <c r="X23" s="423">
        <f t="shared" si="19"/>
        <v>0</v>
      </c>
      <c r="Y23" s="423">
        <f t="shared" si="20"/>
        <v>0</v>
      </c>
      <c r="Z23" s="423">
        <f t="shared" si="20"/>
        <v>0</v>
      </c>
      <c r="AA23" s="423">
        <f t="shared" si="13"/>
        <v>0</v>
      </c>
      <c r="AB23" s="423">
        <f t="shared" si="21"/>
        <v>0</v>
      </c>
      <c r="AC23" s="423">
        <f t="shared" si="21"/>
        <v>0</v>
      </c>
      <c r="AD23" s="423">
        <f t="shared" si="21"/>
        <v>0</v>
      </c>
      <c r="AE23" s="423">
        <f t="shared" si="14"/>
        <v>0</v>
      </c>
      <c r="AF23" s="423">
        <f t="shared" si="22"/>
        <v>0</v>
      </c>
    </row>
    <row r="24" spans="1:32" outlineLevel="1">
      <c r="A24" s="418" t="s">
        <v>628</v>
      </c>
      <c r="B24" s="418" t="s">
        <v>629</v>
      </c>
      <c r="D24" s="423">
        <v>0</v>
      </c>
      <c r="E24" s="423">
        <v>0</v>
      </c>
      <c r="F24" s="423">
        <v>0</v>
      </c>
      <c r="G24" s="423">
        <v>0</v>
      </c>
      <c r="H24" s="423">
        <v>0</v>
      </c>
      <c r="I24" s="423">
        <v>0</v>
      </c>
      <c r="J24" s="423">
        <v>0</v>
      </c>
      <c r="K24" s="423">
        <v>-167</v>
      </c>
      <c r="L24" s="423">
        <v>0</v>
      </c>
      <c r="M24" s="423">
        <v>0</v>
      </c>
      <c r="N24" s="423">
        <v>0</v>
      </c>
      <c r="O24" s="423">
        <v>0</v>
      </c>
      <c r="P24" s="423">
        <v>0</v>
      </c>
      <c r="Q24" s="423">
        <v>0</v>
      </c>
      <c r="R24" s="423">
        <v>0</v>
      </c>
      <c r="S24" s="423">
        <v>0</v>
      </c>
      <c r="T24" s="423">
        <v>0</v>
      </c>
      <c r="U24" s="423">
        <v>0</v>
      </c>
      <c r="W24" s="423">
        <f t="shared" si="11"/>
        <v>0</v>
      </c>
      <c r="X24" s="423">
        <f t="shared" si="19"/>
        <v>0</v>
      </c>
      <c r="Y24" s="423">
        <f t="shared" si="20"/>
        <v>0</v>
      </c>
      <c r="Z24" s="423">
        <f t="shared" si="20"/>
        <v>0</v>
      </c>
      <c r="AA24" s="423">
        <f t="shared" si="13"/>
        <v>0</v>
      </c>
      <c r="AB24" s="423">
        <f t="shared" si="21"/>
        <v>0</v>
      </c>
      <c r="AC24" s="423">
        <f t="shared" si="21"/>
        <v>0</v>
      </c>
      <c r="AD24" s="423">
        <f t="shared" si="21"/>
        <v>0</v>
      </c>
      <c r="AE24" s="423">
        <f t="shared" si="14"/>
        <v>0</v>
      </c>
      <c r="AF24" s="423">
        <f t="shared" si="22"/>
        <v>0</v>
      </c>
    </row>
    <row r="25" spans="1:32" outlineLevel="1">
      <c r="A25" s="418" t="s">
        <v>614</v>
      </c>
      <c r="B25" s="418" t="s">
        <v>615</v>
      </c>
      <c r="D25" s="423">
        <v>342</v>
      </c>
      <c r="E25" s="423">
        <v>5458</v>
      </c>
      <c r="F25" s="423">
        <v>8645</v>
      </c>
      <c r="G25" s="423">
        <v>9466</v>
      </c>
      <c r="H25" s="423">
        <v>548</v>
      </c>
      <c r="I25" s="423">
        <v>2788</v>
      </c>
      <c r="J25" s="423">
        <v>14344</v>
      </c>
      <c r="K25" s="423">
        <v>924</v>
      </c>
      <c r="L25" s="423">
        <v>6313</v>
      </c>
      <c r="M25" s="423">
        <v>9794</v>
      </c>
      <c r="N25" s="423">
        <v>11398</v>
      </c>
      <c r="O25" s="423">
        <v>19141</v>
      </c>
      <c r="P25" s="423">
        <v>3525</v>
      </c>
      <c r="Q25" s="423">
        <v>14993</v>
      </c>
      <c r="R25" s="423">
        <v>14537</v>
      </c>
      <c r="S25" s="423">
        <v>17294</v>
      </c>
      <c r="T25" s="423">
        <v>4346</v>
      </c>
      <c r="U25" s="423">
        <v>8847</v>
      </c>
      <c r="W25" s="423">
        <f t="shared" si="11"/>
        <v>6313</v>
      </c>
      <c r="X25" s="423">
        <f t="shared" si="19"/>
        <v>3481</v>
      </c>
      <c r="Y25" s="423">
        <f t="shared" si="20"/>
        <v>1604</v>
      </c>
      <c r="Z25" s="423">
        <f t="shared" si="20"/>
        <v>7743</v>
      </c>
      <c r="AA25" s="423">
        <f t="shared" si="13"/>
        <v>3525</v>
      </c>
      <c r="AB25" s="423">
        <f t="shared" si="21"/>
        <v>11468</v>
      </c>
      <c r="AC25" s="423">
        <f t="shared" si="21"/>
        <v>-456</v>
      </c>
      <c r="AD25" s="423">
        <f t="shared" si="21"/>
        <v>2757</v>
      </c>
      <c r="AE25" s="423">
        <f t="shared" si="14"/>
        <v>4346</v>
      </c>
      <c r="AF25" s="423">
        <f t="shared" si="22"/>
        <v>4501</v>
      </c>
    </row>
    <row r="26" spans="1:32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</row>
    <row r="27" spans="1:32">
      <c r="A27" s="429" t="s">
        <v>630</v>
      </c>
      <c r="B27" s="429" t="s">
        <v>631</v>
      </c>
      <c r="D27" s="420">
        <f t="shared" ref="D27:I27" si="23">SUM(D29:D37)</f>
        <v>-2541</v>
      </c>
      <c r="E27" s="420">
        <f t="shared" si="23"/>
        <v>-9790</v>
      </c>
      <c r="F27" s="420">
        <f t="shared" si="23"/>
        <v>-21107</v>
      </c>
      <c r="G27" s="420">
        <f t="shared" si="23"/>
        <v>-32140</v>
      </c>
      <c r="H27" s="420">
        <f t="shared" si="23"/>
        <v>-9949</v>
      </c>
      <c r="I27" s="420">
        <f t="shared" si="23"/>
        <v>-17671</v>
      </c>
      <c r="J27" s="420">
        <f t="shared" ref="J27:T27" si="24">SUM(J29:J37)</f>
        <v>-27812</v>
      </c>
      <c r="K27" s="420">
        <f t="shared" si="24"/>
        <v>-39164</v>
      </c>
      <c r="L27" s="420">
        <f t="shared" si="24"/>
        <v>-10408</v>
      </c>
      <c r="M27" s="420">
        <f t="shared" si="24"/>
        <v>-19354</v>
      </c>
      <c r="N27" s="420">
        <f t="shared" si="24"/>
        <v>-32898</v>
      </c>
      <c r="O27" s="420">
        <f t="shared" si="24"/>
        <v>-46382</v>
      </c>
      <c r="P27" s="420">
        <f t="shared" si="24"/>
        <v>-14470</v>
      </c>
      <c r="Q27" s="420">
        <f t="shared" si="24"/>
        <v>-28906</v>
      </c>
      <c r="R27" s="420">
        <f t="shared" si="24"/>
        <v>-54380</v>
      </c>
      <c r="S27" s="420">
        <f t="shared" si="24"/>
        <v>-69323</v>
      </c>
      <c r="T27" s="741">
        <f t="shared" si="24"/>
        <v>-16189</v>
      </c>
      <c r="U27" s="741">
        <f>SUM(U29:U37)</f>
        <v>-32239</v>
      </c>
      <c r="W27" s="420">
        <f t="shared" ref="W27:AC27" si="25">SUM(W29:W37)</f>
        <v>-10408</v>
      </c>
      <c r="X27" s="420">
        <f t="shared" si="25"/>
        <v>-8946</v>
      </c>
      <c r="Y27" s="420">
        <f t="shared" si="25"/>
        <v>-13544</v>
      </c>
      <c r="Z27" s="420">
        <f t="shared" si="25"/>
        <v>-13484</v>
      </c>
      <c r="AA27" s="420">
        <f t="shared" si="25"/>
        <v>-14470</v>
      </c>
      <c r="AB27" s="420">
        <f t="shared" si="25"/>
        <v>-14436</v>
      </c>
      <c r="AC27" s="420">
        <f t="shared" si="25"/>
        <v>-25474</v>
      </c>
      <c r="AD27" s="420">
        <f t="shared" ref="AD27:AE27" si="26">SUM(AD29:AD37)</f>
        <v>-14943</v>
      </c>
      <c r="AE27" s="420">
        <f t="shared" si="26"/>
        <v>-16189</v>
      </c>
      <c r="AF27" s="741">
        <f>SUM(AF29:AF37)</f>
        <v>-16050</v>
      </c>
    </row>
    <row r="28" spans="1:32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</row>
    <row r="29" spans="1:32" outlineLevel="1">
      <c r="A29" s="418" t="s">
        <v>632</v>
      </c>
      <c r="B29" s="418" t="s">
        <v>632</v>
      </c>
      <c r="D29" s="423">
        <v>0</v>
      </c>
      <c r="E29" s="423">
        <v>0</v>
      </c>
      <c r="F29" s="423">
        <v>0</v>
      </c>
      <c r="G29" s="423">
        <v>0</v>
      </c>
      <c r="H29" s="423">
        <v>0</v>
      </c>
      <c r="I29" s="423">
        <v>-15</v>
      </c>
      <c r="J29" s="423">
        <v>-15</v>
      </c>
      <c r="K29" s="423">
        <v>-15</v>
      </c>
      <c r="L29" s="423">
        <v>-1250</v>
      </c>
      <c r="M29" s="423">
        <v>-2036</v>
      </c>
      <c r="N29" s="423">
        <v>-2790</v>
      </c>
      <c r="O29" s="423">
        <v>-3417</v>
      </c>
      <c r="P29" s="423">
        <v>-2999</v>
      </c>
      <c r="Q29" s="423">
        <v>-7624</v>
      </c>
      <c r="R29" s="423">
        <v>-12980</v>
      </c>
      <c r="S29" s="423">
        <v>-14790</v>
      </c>
      <c r="T29" s="423">
        <v>-4815</v>
      </c>
      <c r="U29" s="423">
        <v>-9270</v>
      </c>
      <c r="W29" s="423">
        <f t="shared" ref="W29:W37" si="27">L29</f>
        <v>-1250</v>
      </c>
      <c r="X29" s="423">
        <f t="shared" ref="X29:X37" si="28">M29-W29</f>
        <v>-786</v>
      </c>
      <c r="Y29" s="423">
        <f t="shared" ref="Y29:Y37" si="29">N29-M29</f>
        <v>-754</v>
      </c>
      <c r="Z29" s="423">
        <f t="shared" ref="Z29:Z37" si="30">O29-N29</f>
        <v>-627</v>
      </c>
      <c r="AA29" s="423">
        <f t="shared" ref="AA29:AA37" si="31">P29</f>
        <v>-2999</v>
      </c>
      <c r="AB29" s="423">
        <f t="shared" ref="AB29:AB37" si="32">Q29-P29</f>
        <v>-4625</v>
      </c>
      <c r="AC29" s="423">
        <f t="shared" ref="AC29:AC37" si="33">R29-Q29</f>
        <v>-5356</v>
      </c>
      <c r="AD29" s="423">
        <f t="shared" ref="AD29:AD37" si="34">S29-R29</f>
        <v>-1810</v>
      </c>
      <c r="AE29" s="423">
        <f t="shared" ref="AE29:AE37" si="35">T29</f>
        <v>-4815</v>
      </c>
      <c r="AF29" s="423">
        <f t="shared" ref="AF29:AF37" si="36">U29-T29</f>
        <v>-4455</v>
      </c>
    </row>
    <row r="30" spans="1:32" outlineLevel="1">
      <c r="A30" s="418" t="s">
        <v>633</v>
      </c>
      <c r="B30" s="418" t="s">
        <v>634</v>
      </c>
      <c r="D30" s="423">
        <v>-2541</v>
      </c>
      <c r="E30" s="423">
        <v>-9790</v>
      </c>
      <c r="F30" s="423">
        <v>-21107</v>
      </c>
      <c r="G30" s="423">
        <v>-32140</v>
      </c>
      <c r="H30" s="423">
        <v>-9949</v>
      </c>
      <c r="I30" s="423">
        <v>-17656</v>
      </c>
      <c r="J30" s="423">
        <v>-27557</v>
      </c>
      <c r="K30" s="423">
        <v>-39138</v>
      </c>
      <c r="L30" s="423">
        <v>-9158</v>
      </c>
      <c r="M30" s="423">
        <v>-17318</v>
      </c>
      <c r="N30" s="423">
        <v>-30108</v>
      </c>
      <c r="O30" s="423">
        <v>-42965</v>
      </c>
      <c r="P30" s="423">
        <v>-11423</v>
      </c>
      <c r="Q30" s="423">
        <v>-21230</v>
      </c>
      <c r="R30" s="423">
        <v>-41345</v>
      </c>
      <c r="S30" s="423">
        <v>-54453</v>
      </c>
      <c r="T30" s="423">
        <v>-11377</v>
      </c>
      <c r="U30" s="423">
        <v>-22972</v>
      </c>
      <c r="W30" s="423">
        <f t="shared" si="27"/>
        <v>-9158</v>
      </c>
      <c r="X30" s="423">
        <f t="shared" si="28"/>
        <v>-8160</v>
      </c>
      <c r="Y30" s="423">
        <f t="shared" si="29"/>
        <v>-12790</v>
      </c>
      <c r="Z30" s="423">
        <f t="shared" si="30"/>
        <v>-12857</v>
      </c>
      <c r="AA30" s="423">
        <f t="shared" si="31"/>
        <v>-11423</v>
      </c>
      <c r="AB30" s="423">
        <f t="shared" si="32"/>
        <v>-9807</v>
      </c>
      <c r="AC30" s="423">
        <f t="shared" si="33"/>
        <v>-20115</v>
      </c>
      <c r="AD30" s="423">
        <f t="shared" si="34"/>
        <v>-13108</v>
      </c>
      <c r="AE30" s="423">
        <f t="shared" si="35"/>
        <v>-11377</v>
      </c>
      <c r="AF30" s="423">
        <f t="shared" si="36"/>
        <v>-11595</v>
      </c>
    </row>
    <row r="31" spans="1:32" outlineLevel="1">
      <c r="A31" s="418" t="s">
        <v>635</v>
      </c>
      <c r="B31" s="418" t="s">
        <v>636</v>
      </c>
      <c r="D31" s="423">
        <v>0</v>
      </c>
      <c r="E31" s="423">
        <v>0</v>
      </c>
      <c r="F31" s="423">
        <v>0</v>
      </c>
      <c r="G31" s="423">
        <v>0</v>
      </c>
      <c r="H31" s="423">
        <v>0</v>
      </c>
      <c r="I31" s="423">
        <v>0</v>
      </c>
      <c r="J31" s="423">
        <v>-240</v>
      </c>
      <c r="K31" s="423">
        <v>-11</v>
      </c>
      <c r="L31" s="423">
        <v>0</v>
      </c>
      <c r="M31" s="423">
        <v>0</v>
      </c>
      <c r="N31" s="423">
        <v>0</v>
      </c>
      <c r="O31" s="423">
        <v>0</v>
      </c>
      <c r="P31" s="423">
        <v>0</v>
      </c>
      <c r="Q31" s="423">
        <v>0</v>
      </c>
      <c r="R31" s="423">
        <v>0</v>
      </c>
      <c r="S31" s="423">
        <v>0</v>
      </c>
      <c r="T31" s="423">
        <v>0</v>
      </c>
      <c r="U31" s="423">
        <v>0</v>
      </c>
      <c r="W31" s="423">
        <f t="shared" si="27"/>
        <v>0</v>
      </c>
      <c r="X31" s="423">
        <f t="shared" si="28"/>
        <v>0</v>
      </c>
      <c r="Y31" s="423">
        <f t="shared" si="29"/>
        <v>0</v>
      </c>
      <c r="Z31" s="423">
        <f t="shared" si="30"/>
        <v>0</v>
      </c>
      <c r="AA31" s="423">
        <f t="shared" si="31"/>
        <v>0</v>
      </c>
      <c r="AB31" s="423">
        <f t="shared" si="32"/>
        <v>0</v>
      </c>
      <c r="AC31" s="423">
        <f t="shared" si="33"/>
        <v>0</v>
      </c>
      <c r="AD31" s="423">
        <f t="shared" si="34"/>
        <v>0</v>
      </c>
      <c r="AE31" s="423">
        <f t="shared" si="35"/>
        <v>0</v>
      </c>
      <c r="AF31" s="423">
        <f t="shared" si="36"/>
        <v>0</v>
      </c>
    </row>
    <row r="32" spans="1:32" outlineLevel="1">
      <c r="A32" s="418" t="s">
        <v>637</v>
      </c>
      <c r="B32" s="418" t="s">
        <v>638</v>
      </c>
      <c r="D32" s="423">
        <v>0</v>
      </c>
      <c r="E32" s="423">
        <v>0</v>
      </c>
      <c r="F32" s="423">
        <v>0</v>
      </c>
      <c r="G32" s="423">
        <v>0</v>
      </c>
      <c r="H32" s="423">
        <v>0</v>
      </c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>
        <v>0</v>
      </c>
      <c r="T32" s="423">
        <v>0</v>
      </c>
      <c r="U32" s="423">
        <v>0</v>
      </c>
      <c r="W32" s="423">
        <f t="shared" si="27"/>
        <v>0</v>
      </c>
      <c r="X32" s="423">
        <f t="shared" si="28"/>
        <v>0</v>
      </c>
      <c r="Y32" s="423">
        <f t="shared" si="29"/>
        <v>0</v>
      </c>
      <c r="Z32" s="423">
        <f t="shared" si="30"/>
        <v>0</v>
      </c>
      <c r="AA32" s="423">
        <f t="shared" si="31"/>
        <v>0</v>
      </c>
      <c r="AB32" s="423">
        <f t="shared" si="32"/>
        <v>0</v>
      </c>
      <c r="AC32" s="423">
        <f t="shared" si="33"/>
        <v>0</v>
      </c>
      <c r="AD32" s="423">
        <f t="shared" si="34"/>
        <v>0</v>
      </c>
      <c r="AE32" s="423">
        <f t="shared" si="35"/>
        <v>0</v>
      </c>
      <c r="AF32" s="423">
        <f t="shared" si="36"/>
        <v>0</v>
      </c>
    </row>
    <row r="33" spans="1:32" outlineLevel="1">
      <c r="A33" s="418" t="s">
        <v>639</v>
      </c>
      <c r="B33" s="418" t="s">
        <v>640</v>
      </c>
      <c r="D33" s="423">
        <v>0</v>
      </c>
      <c r="E33" s="423">
        <v>0</v>
      </c>
      <c r="F33" s="423">
        <v>0</v>
      </c>
      <c r="G33" s="423">
        <v>0</v>
      </c>
      <c r="H33" s="423">
        <v>0</v>
      </c>
      <c r="I33" s="423">
        <v>0</v>
      </c>
      <c r="J33" s="423">
        <v>0</v>
      </c>
      <c r="K33" s="423">
        <v>0</v>
      </c>
      <c r="L33" s="423">
        <v>0</v>
      </c>
      <c r="M33" s="423">
        <v>0</v>
      </c>
      <c r="N33" s="423">
        <v>0</v>
      </c>
      <c r="O33" s="423">
        <v>0</v>
      </c>
      <c r="P33" s="423">
        <v>0</v>
      </c>
      <c r="Q33" s="423">
        <v>0</v>
      </c>
      <c r="R33" s="423">
        <v>0</v>
      </c>
      <c r="S33" s="423">
        <v>0</v>
      </c>
      <c r="T33" s="423">
        <v>0</v>
      </c>
      <c r="U33" s="423">
        <v>0</v>
      </c>
      <c r="W33" s="423">
        <f t="shared" si="27"/>
        <v>0</v>
      </c>
      <c r="X33" s="423">
        <f t="shared" si="28"/>
        <v>0</v>
      </c>
      <c r="Y33" s="423">
        <f t="shared" si="29"/>
        <v>0</v>
      </c>
      <c r="Z33" s="423">
        <f t="shared" si="30"/>
        <v>0</v>
      </c>
      <c r="AA33" s="423">
        <f t="shared" si="31"/>
        <v>0</v>
      </c>
      <c r="AB33" s="423">
        <f t="shared" si="32"/>
        <v>0</v>
      </c>
      <c r="AC33" s="423">
        <f t="shared" si="33"/>
        <v>0</v>
      </c>
      <c r="AD33" s="423">
        <f t="shared" si="34"/>
        <v>0</v>
      </c>
      <c r="AE33" s="423">
        <f t="shared" si="35"/>
        <v>0</v>
      </c>
      <c r="AF33" s="423">
        <f t="shared" si="36"/>
        <v>0</v>
      </c>
    </row>
    <row r="34" spans="1:32" outlineLevel="1">
      <c r="A34" s="418" t="s">
        <v>641</v>
      </c>
      <c r="B34" s="418" t="s">
        <v>642</v>
      </c>
      <c r="D34" s="423">
        <v>0</v>
      </c>
      <c r="E34" s="423">
        <v>0</v>
      </c>
      <c r="F34" s="423">
        <v>0</v>
      </c>
      <c r="G34" s="423">
        <v>0</v>
      </c>
      <c r="H34" s="423">
        <v>0</v>
      </c>
      <c r="I34" s="423">
        <v>0</v>
      </c>
      <c r="J34" s="423">
        <v>0</v>
      </c>
      <c r="K34" s="423">
        <v>0</v>
      </c>
      <c r="L34" s="423">
        <v>0</v>
      </c>
      <c r="M34" s="423">
        <v>0</v>
      </c>
      <c r="N34" s="423">
        <v>0</v>
      </c>
      <c r="O34" s="423">
        <v>0</v>
      </c>
      <c r="P34" s="423">
        <v>0</v>
      </c>
      <c r="Q34" s="423">
        <v>0</v>
      </c>
      <c r="R34" s="423">
        <v>0</v>
      </c>
      <c r="S34" s="423">
        <v>0</v>
      </c>
      <c r="T34" s="423">
        <v>0</v>
      </c>
      <c r="U34" s="423">
        <v>0</v>
      </c>
      <c r="W34" s="423">
        <f t="shared" si="27"/>
        <v>0</v>
      </c>
      <c r="X34" s="423">
        <f t="shared" si="28"/>
        <v>0</v>
      </c>
      <c r="Y34" s="423">
        <f t="shared" si="29"/>
        <v>0</v>
      </c>
      <c r="Z34" s="423">
        <f t="shared" si="30"/>
        <v>0</v>
      </c>
      <c r="AA34" s="423">
        <f t="shared" si="31"/>
        <v>0</v>
      </c>
      <c r="AB34" s="423">
        <f t="shared" si="32"/>
        <v>0</v>
      </c>
      <c r="AC34" s="423">
        <f t="shared" si="33"/>
        <v>0</v>
      </c>
      <c r="AD34" s="423">
        <f t="shared" si="34"/>
        <v>0</v>
      </c>
      <c r="AE34" s="423">
        <f t="shared" si="35"/>
        <v>0</v>
      </c>
      <c r="AF34" s="423">
        <f t="shared" si="36"/>
        <v>0</v>
      </c>
    </row>
    <row r="35" spans="1:32" outlineLevel="1">
      <c r="A35" s="418" t="s">
        <v>643</v>
      </c>
      <c r="B35" s="418" t="s">
        <v>644</v>
      </c>
      <c r="D35" s="423">
        <v>0</v>
      </c>
      <c r="E35" s="423">
        <v>0</v>
      </c>
      <c r="F35" s="423">
        <v>0</v>
      </c>
      <c r="G35" s="423">
        <v>0</v>
      </c>
      <c r="H35" s="423">
        <v>0</v>
      </c>
      <c r="I35" s="423">
        <v>0</v>
      </c>
      <c r="J35" s="423">
        <v>0</v>
      </c>
      <c r="K35" s="423">
        <v>0</v>
      </c>
      <c r="L35" s="423">
        <v>0</v>
      </c>
      <c r="M35" s="423">
        <v>0</v>
      </c>
      <c r="N35" s="423">
        <v>0</v>
      </c>
      <c r="O35" s="423">
        <v>0</v>
      </c>
      <c r="P35" s="423">
        <v>0</v>
      </c>
      <c r="Q35" s="423">
        <v>0</v>
      </c>
      <c r="R35" s="423">
        <v>0</v>
      </c>
      <c r="S35" s="423">
        <v>0</v>
      </c>
      <c r="T35" s="423">
        <v>0</v>
      </c>
      <c r="U35" s="423">
        <v>0</v>
      </c>
      <c r="W35" s="423">
        <f t="shared" si="27"/>
        <v>0</v>
      </c>
      <c r="X35" s="423">
        <f t="shared" si="28"/>
        <v>0</v>
      </c>
      <c r="Y35" s="423">
        <f t="shared" si="29"/>
        <v>0</v>
      </c>
      <c r="Z35" s="423">
        <f t="shared" si="30"/>
        <v>0</v>
      </c>
      <c r="AA35" s="423">
        <f t="shared" si="31"/>
        <v>0</v>
      </c>
      <c r="AB35" s="423">
        <f t="shared" si="32"/>
        <v>0</v>
      </c>
      <c r="AC35" s="423">
        <f t="shared" si="33"/>
        <v>0</v>
      </c>
      <c r="AD35" s="423">
        <f t="shared" si="34"/>
        <v>0</v>
      </c>
      <c r="AE35" s="423">
        <f t="shared" si="35"/>
        <v>0</v>
      </c>
      <c r="AF35" s="423">
        <f t="shared" si="36"/>
        <v>0</v>
      </c>
    </row>
    <row r="36" spans="1:32" outlineLevel="1">
      <c r="A36" s="418" t="s">
        <v>645</v>
      </c>
      <c r="B36" s="418" t="s">
        <v>645</v>
      </c>
      <c r="D36" s="423">
        <v>0</v>
      </c>
      <c r="E36" s="423">
        <v>0</v>
      </c>
      <c r="F36" s="423">
        <v>0</v>
      </c>
      <c r="G36" s="423">
        <v>0</v>
      </c>
      <c r="H36" s="423">
        <v>0</v>
      </c>
      <c r="I36" s="423">
        <v>0</v>
      </c>
      <c r="J36" s="423">
        <v>0</v>
      </c>
      <c r="K36" s="423">
        <v>0</v>
      </c>
      <c r="L36" s="423">
        <v>0</v>
      </c>
      <c r="M36" s="423">
        <v>0</v>
      </c>
      <c r="N36" s="423">
        <v>0</v>
      </c>
      <c r="O36" s="423">
        <v>0</v>
      </c>
      <c r="P36" s="423">
        <v>-48</v>
      </c>
      <c r="Q36" s="423">
        <v>-52</v>
      </c>
      <c r="R36" s="423">
        <v>-55</v>
      </c>
      <c r="S36" s="423">
        <v>-80</v>
      </c>
      <c r="T36" s="423">
        <v>3</v>
      </c>
      <c r="U36" s="423">
        <v>3</v>
      </c>
      <c r="W36" s="423">
        <f t="shared" si="27"/>
        <v>0</v>
      </c>
      <c r="X36" s="423">
        <f t="shared" si="28"/>
        <v>0</v>
      </c>
      <c r="Y36" s="423">
        <f t="shared" si="29"/>
        <v>0</v>
      </c>
      <c r="Z36" s="423">
        <f t="shared" si="30"/>
        <v>0</v>
      </c>
      <c r="AA36" s="423">
        <f t="shared" si="31"/>
        <v>-48</v>
      </c>
      <c r="AB36" s="423">
        <f t="shared" si="32"/>
        <v>-4</v>
      </c>
      <c r="AC36" s="423">
        <f t="shared" si="33"/>
        <v>-3</v>
      </c>
      <c r="AD36" s="423">
        <f t="shared" si="34"/>
        <v>-25</v>
      </c>
      <c r="AE36" s="423">
        <f t="shared" si="35"/>
        <v>3</v>
      </c>
      <c r="AF36" s="423">
        <f t="shared" si="36"/>
        <v>0</v>
      </c>
    </row>
    <row r="37" spans="1:32" outlineLevel="1">
      <c r="A37" s="418" t="s">
        <v>95</v>
      </c>
      <c r="B37" s="418" t="s">
        <v>96</v>
      </c>
      <c r="D37" s="423">
        <v>0</v>
      </c>
      <c r="E37" s="423">
        <v>0</v>
      </c>
      <c r="F37" s="423">
        <v>0</v>
      </c>
      <c r="G37" s="423">
        <v>0</v>
      </c>
      <c r="H37" s="423">
        <v>0</v>
      </c>
      <c r="I37" s="423">
        <v>0</v>
      </c>
      <c r="J37" s="423">
        <v>0</v>
      </c>
      <c r="K37" s="423">
        <v>0</v>
      </c>
      <c r="L37" s="423">
        <v>0</v>
      </c>
      <c r="M37" s="423">
        <v>0</v>
      </c>
      <c r="N37" s="423">
        <v>0</v>
      </c>
      <c r="O37" s="423">
        <v>0</v>
      </c>
      <c r="P37" s="423">
        <v>0</v>
      </c>
      <c r="Q37" s="423">
        <v>0</v>
      </c>
      <c r="R37" s="423">
        <v>0</v>
      </c>
      <c r="S37" s="423">
        <v>0</v>
      </c>
      <c r="T37" s="423">
        <v>0</v>
      </c>
      <c r="U37" s="423">
        <v>0</v>
      </c>
      <c r="W37" s="423">
        <f t="shared" si="27"/>
        <v>0</v>
      </c>
      <c r="X37" s="423">
        <f t="shared" si="28"/>
        <v>0</v>
      </c>
      <c r="Y37" s="423">
        <f t="shared" si="29"/>
        <v>0</v>
      </c>
      <c r="Z37" s="423">
        <f t="shared" si="30"/>
        <v>0</v>
      </c>
      <c r="AA37" s="423">
        <f t="shared" si="31"/>
        <v>0</v>
      </c>
      <c r="AB37" s="423">
        <f t="shared" si="32"/>
        <v>0</v>
      </c>
      <c r="AC37" s="423">
        <f t="shared" si="33"/>
        <v>0</v>
      </c>
      <c r="AD37" s="423">
        <f t="shared" si="34"/>
        <v>0</v>
      </c>
      <c r="AE37" s="423">
        <f t="shared" si="35"/>
        <v>0</v>
      </c>
      <c r="AF37" s="423">
        <f t="shared" si="36"/>
        <v>0</v>
      </c>
    </row>
    <row r="38" spans="1:32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</row>
    <row r="39" spans="1:32">
      <c r="A39" s="429" t="s">
        <v>646</v>
      </c>
      <c r="B39" s="429" t="s">
        <v>647</v>
      </c>
      <c r="D39" s="420">
        <f t="shared" ref="D39:I39" si="37">D27+D6</f>
        <v>64545</v>
      </c>
      <c r="E39" s="420">
        <f t="shared" si="37"/>
        <v>261287</v>
      </c>
      <c r="F39" s="420">
        <f t="shared" si="37"/>
        <v>561120</v>
      </c>
      <c r="G39" s="420">
        <f t="shared" si="37"/>
        <v>839557</v>
      </c>
      <c r="H39" s="420">
        <f t="shared" si="37"/>
        <v>240624</v>
      </c>
      <c r="I39" s="420">
        <f t="shared" si="37"/>
        <v>450254</v>
      </c>
      <c r="J39" s="420">
        <f t="shared" ref="J39:Q39" si="38">J27+J6</f>
        <v>733481</v>
      </c>
      <c r="K39" s="420">
        <f t="shared" si="38"/>
        <v>1019531</v>
      </c>
      <c r="L39" s="420">
        <f t="shared" si="38"/>
        <v>201616</v>
      </c>
      <c r="M39" s="420">
        <f t="shared" si="38"/>
        <v>407219</v>
      </c>
      <c r="N39" s="420">
        <f t="shared" si="38"/>
        <v>734419</v>
      </c>
      <c r="O39" s="420">
        <f t="shared" si="38"/>
        <v>1067709</v>
      </c>
      <c r="P39" s="420">
        <f t="shared" si="38"/>
        <v>220911</v>
      </c>
      <c r="Q39" s="420">
        <f t="shared" si="38"/>
        <v>469449</v>
      </c>
      <c r="R39" s="420">
        <f t="shared" ref="R39:T39" si="39">R27+R6</f>
        <v>766716</v>
      </c>
      <c r="S39" s="420">
        <f t="shared" si="39"/>
        <v>1107353</v>
      </c>
      <c r="T39" s="741">
        <f t="shared" si="39"/>
        <v>235295</v>
      </c>
      <c r="U39" s="741">
        <f>U27+U6</f>
        <v>456915</v>
      </c>
      <c r="W39" s="420">
        <f t="shared" ref="W39:AC39" si="40">W27+W6</f>
        <v>201616</v>
      </c>
      <c r="X39" s="420">
        <f t="shared" si="40"/>
        <v>205603</v>
      </c>
      <c r="Y39" s="420">
        <f t="shared" si="40"/>
        <v>327200</v>
      </c>
      <c r="Z39" s="420">
        <f t="shared" si="40"/>
        <v>333290</v>
      </c>
      <c r="AA39" s="420">
        <f t="shared" si="40"/>
        <v>220911</v>
      </c>
      <c r="AB39" s="420">
        <f t="shared" si="40"/>
        <v>248538</v>
      </c>
      <c r="AC39" s="420">
        <f t="shared" si="40"/>
        <v>297267</v>
      </c>
      <c r="AD39" s="420">
        <f t="shared" ref="AD39:AE39" si="41">AD27+AD6</f>
        <v>340637</v>
      </c>
      <c r="AE39" s="420">
        <f t="shared" si="41"/>
        <v>235295</v>
      </c>
      <c r="AF39" s="741">
        <f>AF27+AF6</f>
        <v>221620</v>
      </c>
    </row>
    <row r="40" spans="1:32">
      <c r="A40" s="417"/>
      <c r="B40" s="417"/>
      <c r="D40" s="417"/>
      <c r="E40" s="417"/>
      <c r="F40" s="417"/>
      <c r="G40" s="417"/>
      <c r="H40" s="417"/>
      <c r="I40" s="422"/>
      <c r="J40" s="422"/>
      <c r="K40" s="422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</row>
    <row r="41" spans="1:32">
      <c r="A41" s="416" t="s">
        <v>648</v>
      </c>
      <c r="B41" s="416" t="s">
        <v>649</v>
      </c>
      <c r="D41" s="424">
        <f t="shared" ref="D41:I41" si="42">SUM(D43:D49)</f>
        <v>-43056</v>
      </c>
      <c r="E41" s="424">
        <f t="shared" si="42"/>
        <v>-175059</v>
      </c>
      <c r="F41" s="424">
        <f t="shared" si="42"/>
        <v>-307570</v>
      </c>
      <c r="G41" s="424">
        <f t="shared" si="42"/>
        <v>-440843</v>
      </c>
      <c r="H41" s="424">
        <f t="shared" si="42"/>
        <v>-149145</v>
      </c>
      <c r="I41" s="424">
        <f t="shared" si="42"/>
        <v>-303574</v>
      </c>
      <c r="J41" s="424">
        <f t="shared" ref="J41:Q41" si="43">SUM(J43:J49)</f>
        <v>-440208</v>
      </c>
      <c r="K41" s="424">
        <f t="shared" si="43"/>
        <v>-497945</v>
      </c>
      <c r="L41" s="424">
        <f t="shared" si="43"/>
        <v>-132764</v>
      </c>
      <c r="M41" s="424">
        <f t="shared" si="43"/>
        <v>-262920</v>
      </c>
      <c r="N41" s="424">
        <f t="shared" si="43"/>
        <v>-426187</v>
      </c>
      <c r="O41" s="424">
        <f t="shared" si="43"/>
        <v>-613241</v>
      </c>
      <c r="P41" s="424">
        <f t="shared" si="43"/>
        <v>-144198</v>
      </c>
      <c r="Q41" s="424">
        <f t="shared" si="43"/>
        <v>-302998</v>
      </c>
      <c r="R41" s="424">
        <f t="shared" ref="R41:T41" si="44">SUM(R43:R49)</f>
        <v>-451429</v>
      </c>
      <c r="S41" s="424">
        <f t="shared" si="44"/>
        <v>-642905</v>
      </c>
      <c r="T41" s="424">
        <f t="shared" si="44"/>
        <v>-168944</v>
      </c>
      <c r="U41" s="424">
        <f>SUM(U43:U49)</f>
        <v>-342750</v>
      </c>
      <c r="W41" s="424">
        <f t="shared" ref="W41:AC41" si="45">SUM(W43:W49)</f>
        <v>-132764</v>
      </c>
      <c r="X41" s="424">
        <f t="shared" si="45"/>
        <v>-130156</v>
      </c>
      <c r="Y41" s="424">
        <f t="shared" si="45"/>
        <v>-163267</v>
      </c>
      <c r="Z41" s="424">
        <f t="shared" si="45"/>
        <v>-187054</v>
      </c>
      <c r="AA41" s="424">
        <f t="shared" si="45"/>
        <v>-144198</v>
      </c>
      <c r="AB41" s="424">
        <f t="shared" si="45"/>
        <v>-158800</v>
      </c>
      <c r="AC41" s="424">
        <f t="shared" si="45"/>
        <v>-148431</v>
      </c>
      <c r="AD41" s="424">
        <f t="shared" ref="AD41:AE41" si="46">SUM(AD43:AD49)</f>
        <v>-191476</v>
      </c>
      <c r="AE41" s="424">
        <f t="shared" si="46"/>
        <v>-168944</v>
      </c>
      <c r="AF41" s="424">
        <f>SUM(AF43:AF49)</f>
        <v>-132185</v>
      </c>
    </row>
    <row r="42" spans="1:32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</row>
    <row r="43" spans="1:32">
      <c r="A43" s="417" t="s">
        <v>650</v>
      </c>
      <c r="B43" s="417" t="s">
        <v>651</v>
      </c>
      <c r="D43" s="422">
        <v>-2745</v>
      </c>
      <c r="E43" s="422">
        <v>-3459</v>
      </c>
      <c r="F43" s="422">
        <v>-4124</v>
      </c>
      <c r="G43" s="422">
        <v>-5659</v>
      </c>
      <c r="H43" s="422">
        <v>-12504</v>
      </c>
      <c r="I43" s="422">
        <v>-21129</v>
      </c>
      <c r="J43" s="422">
        <v>-23807</v>
      </c>
      <c r="K43" s="422">
        <v>-26429</v>
      </c>
      <c r="L43" s="422">
        <v>-6242</v>
      </c>
      <c r="M43" s="422">
        <v>-10609</v>
      </c>
      <c r="N43" s="422">
        <v>-58505</v>
      </c>
      <c r="O43" s="422">
        <v>-101379</v>
      </c>
      <c r="P43" s="422">
        <v>-66281</v>
      </c>
      <c r="Q43" s="422">
        <v>-85794</v>
      </c>
      <c r="R43" s="422">
        <v>-144365</v>
      </c>
      <c r="S43" s="422">
        <v>-211250</v>
      </c>
      <c r="T43" s="422">
        <v>-50528</v>
      </c>
      <c r="U43" s="422">
        <v>-62573</v>
      </c>
      <c r="W43" s="422">
        <f>L43</f>
        <v>-6242</v>
      </c>
      <c r="X43" s="422">
        <f>M43-W43</f>
        <v>-4367</v>
      </c>
      <c r="Y43" s="422">
        <f>N43-M43</f>
        <v>-47896</v>
      </c>
      <c r="Z43" s="422">
        <f>O43-N43</f>
        <v>-42874</v>
      </c>
      <c r="AA43" s="422">
        <f>P43</f>
        <v>-66281</v>
      </c>
      <c r="AB43" s="422">
        <f>Q43-P43</f>
        <v>-19513</v>
      </c>
      <c r="AC43" s="422">
        <f>R43-Q43</f>
        <v>-58571</v>
      </c>
      <c r="AD43" s="422">
        <f>S43-R43</f>
        <v>-66885</v>
      </c>
      <c r="AE43" s="422">
        <f>T43</f>
        <v>-50528</v>
      </c>
      <c r="AF43" s="422">
        <f>U43-T43</f>
        <v>-12045</v>
      </c>
    </row>
    <row r="44" spans="1:32">
      <c r="A44" s="417" t="s">
        <v>2498</v>
      </c>
      <c r="B44" s="417" t="s">
        <v>2499</v>
      </c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>
        <v>-41621</v>
      </c>
      <c r="W44" s="422"/>
      <c r="X44" s="422"/>
      <c r="Y44" s="422"/>
      <c r="Z44" s="422"/>
      <c r="AA44" s="422"/>
      <c r="AB44" s="422"/>
      <c r="AC44" s="422"/>
      <c r="AD44" s="422"/>
      <c r="AE44" s="422"/>
      <c r="AF44" s="422"/>
    </row>
    <row r="45" spans="1:32">
      <c r="A45" s="417" t="s">
        <v>652</v>
      </c>
      <c r="B45" s="417" t="s">
        <v>653</v>
      </c>
      <c r="D45" s="422">
        <v>0</v>
      </c>
      <c r="E45" s="422">
        <v>0</v>
      </c>
      <c r="F45" s="422">
        <v>0</v>
      </c>
      <c r="G45" s="422">
        <v>0</v>
      </c>
      <c r="H45" s="422">
        <v>0</v>
      </c>
      <c r="I45" s="422">
        <v>0</v>
      </c>
      <c r="J45" s="422">
        <v>0</v>
      </c>
      <c r="K45" s="422">
        <v>0</v>
      </c>
      <c r="L45" s="422">
        <v>0</v>
      </c>
      <c r="M45" s="422">
        <v>0</v>
      </c>
      <c r="N45" s="422">
        <v>0</v>
      </c>
      <c r="O45" s="422">
        <v>0</v>
      </c>
      <c r="P45" s="422">
        <v>0</v>
      </c>
      <c r="Q45" s="422">
        <v>0</v>
      </c>
      <c r="R45" s="422">
        <v>0</v>
      </c>
      <c r="S45" s="422">
        <v>0</v>
      </c>
      <c r="T45" s="422">
        <v>0</v>
      </c>
      <c r="U45" s="422">
        <v>0</v>
      </c>
      <c r="W45" s="422">
        <f>L45</f>
        <v>0</v>
      </c>
      <c r="X45" s="422">
        <f>M45-W45</f>
        <v>0</v>
      </c>
      <c r="Y45" s="422">
        <f t="shared" ref="Y45:Z48" si="47">N45-M45</f>
        <v>0</v>
      </c>
      <c r="Z45" s="422">
        <f t="shared" si="47"/>
        <v>0</v>
      </c>
      <c r="AA45" s="422">
        <f>P45</f>
        <v>0</v>
      </c>
      <c r="AB45" s="422">
        <f t="shared" ref="AB45:AD48" si="48">Q45-P45</f>
        <v>0</v>
      </c>
      <c r="AC45" s="422">
        <f t="shared" si="48"/>
        <v>0</v>
      </c>
      <c r="AD45" s="422">
        <f t="shared" si="48"/>
        <v>0</v>
      </c>
      <c r="AE45" s="422">
        <f>T45</f>
        <v>0</v>
      </c>
      <c r="AF45" s="422">
        <f>U45-T45</f>
        <v>0</v>
      </c>
    </row>
    <row r="46" spans="1:32">
      <c r="A46" s="417" t="s">
        <v>654</v>
      </c>
      <c r="B46" s="417" t="s">
        <v>655</v>
      </c>
      <c r="D46" s="422">
        <v>0</v>
      </c>
      <c r="E46" s="422">
        <v>0</v>
      </c>
      <c r="F46" s="422">
        <v>0</v>
      </c>
      <c r="G46" s="422">
        <v>0</v>
      </c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>
        <v>0</v>
      </c>
      <c r="T46" s="422">
        <v>0</v>
      </c>
      <c r="U46" s="422">
        <v>0</v>
      </c>
      <c r="W46" s="422">
        <f>L46</f>
        <v>0</v>
      </c>
      <c r="X46" s="422">
        <f>M46-W46</f>
        <v>0</v>
      </c>
      <c r="Y46" s="422">
        <f t="shared" si="47"/>
        <v>0</v>
      </c>
      <c r="Z46" s="422">
        <f t="shared" si="47"/>
        <v>0</v>
      </c>
      <c r="AA46" s="422">
        <f>P46</f>
        <v>0</v>
      </c>
      <c r="AB46" s="422">
        <f t="shared" si="48"/>
        <v>0</v>
      </c>
      <c r="AC46" s="422">
        <f t="shared" si="48"/>
        <v>0</v>
      </c>
      <c r="AD46" s="422">
        <f t="shared" si="48"/>
        <v>0</v>
      </c>
      <c r="AE46" s="422">
        <f>T46</f>
        <v>0</v>
      </c>
      <c r="AF46" s="422">
        <f>U46-T46</f>
        <v>0</v>
      </c>
    </row>
    <row r="47" spans="1:32">
      <c r="A47" s="417" t="s">
        <v>656</v>
      </c>
      <c r="B47" s="417" t="s">
        <v>657</v>
      </c>
      <c r="D47" s="422">
        <v>0</v>
      </c>
      <c r="E47" s="422">
        <v>0</v>
      </c>
      <c r="F47" s="422">
        <v>0</v>
      </c>
      <c r="G47" s="422">
        <v>0</v>
      </c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>
        <v>0</v>
      </c>
      <c r="T47" s="422">
        <v>0</v>
      </c>
      <c r="U47" s="422">
        <v>0</v>
      </c>
      <c r="W47" s="422">
        <f>L47</f>
        <v>0</v>
      </c>
      <c r="X47" s="422">
        <f>M47-W47</f>
        <v>0</v>
      </c>
      <c r="Y47" s="422">
        <f t="shared" si="47"/>
        <v>0</v>
      </c>
      <c r="Z47" s="422">
        <f t="shared" si="47"/>
        <v>0</v>
      </c>
      <c r="AA47" s="422">
        <f>P47</f>
        <v>0</v>
      </c>
      <c r="AB47" s="422">
        <f t="shared" si="48"/>
        <v>0</v>
      </c>
      <c r="AC47" s="422">
        <f t="shared" si="48"/>
        <v>0</v>
      </c>
      <c r="AD47" s="422">
        <f t="shared" si="48"/>
        <v>0</v>
      </c>
      <c r="AE47" s="422">
        <f>T47</f>
        <v>0</v>
      </c>
      <c r="AF47" s="422">
        <f>U47-T47</f>
        <v>0</v>
      </c>
    </row>
    <row r="48" spans="1:32">
      <c r="A48" s="417" t="s">
        <v>658</v>
      </c>
      <c r="B48" s="417" t="s">
        <v>659</v>
      </c>
      <c r="D48" s="422">
        <v>0</v>
      </c>
      <c r="E48" s="422">
        <v>0</v>
      </c>
      <c r="F48" s="422">
        <v>0</v>
      </c>
      <c r="G48" s="422">
        <v>0</v>
      </c>
      <c r="H48" s="422">
        <v>0</v>
      </c>
      <c r="I48" s="422">
        <v>0</v>
      </c>
      <c r="J48" s="422">
        <v>0</v>
      </c>
      <c r="K48" s="422">
        <v>0</v>
      </c>
      <c r="L48" s="422">
        <v>0</v>
      </c>
      <c r="M48" s="422">
        <v>0</v>
      </c>
      <c r="N48" s="422">
        <v>0</v>
      </c>
      <c r="O48" s="422">
        <v>0</v>
      </c>
      <c r="P48" s="422">
        <v>0</v>
      </c>
      <c r="Q48" s="422">
        <v>0</v>
      </c>
      <c r="R48" s="422">
        <v>0</v>
      </c>
      <c r="S48" s="422">
        <v>0</v>
      </c>
      <c r="T48" s="422">
        <v>0</v>
      </c>
      <c r="U48" s="422">
        <v>0</v>
      </c>
      <c r="W48" s="422">
        <f>L48</f>
        <v>0</v>
      </c>
      <c r="X48" s="422">
        <f>M48-W48</f>
        <v>0</v>
      </c>
      <c r="Y48" s="422">
        <f t="shared" si="47"/>
        <v>0</v>
      </c>
      <c r="Z48" s="422">
        <f t="shared" si="47"/>
        <v>0</v>
      </c>
      <c r="AA48" s="422">
        <f>P48</f>
        <v>0</v>
      </c>
      <c r="AB48" s="422">
        <f t="shared" si="48"/>
        <v>0</v>
      </c>
      <c r="AC48" s="422">
        <f t="shared" si="48"/>
        <v>0</v>
      </c>
      <c r="AD48" s="422">
        <f t="shared" si="48"/>
        <v>0</v>
      </c>
      <c r="AE48" s="422">
        <f>T48</f>
        <v>0</v>
      </c>
      <c r="AF48" s="422">
        <f>U48-T48</f>
        <v>0</v>
      </c>
    </row>
    <row r="49" spans="1:32">
      <c r="A49" s="417" t="s">
        <v>660</v>
      </c>
      <c r="B49" s="417" t="s">
        <v>661</v>
      </c>
      <c r="D49" s="422">
        <f t="shared" ref="D49:I49" si="49">SUM(D50:D56)</f>
        <v>-40311</v>
      </c>
      <c r="E49" s="422">
        <f t="shared" si="49"/>
        <v>-171600</v>
      </c>
      <c r="F49" s="422">
        <f t="shared" si="49"/>
        <v>-303446</v>
      </c>
      <c r="G49" s="422">
        <f t="shared" si="49"/>
        <v>-435184</v>
      </c>
      <c r="H49" s="422">
        <f t="shared" si="49"/>
        <v>-136641</v>
      </c>
      <c r="I49" s="422">
        <f t="shared" si="49"/>
        <v>-282445</v>
      </c>
      <c r="J49" s="422">
        <f t="shared" ref="J49:T49" si="50">SUM(J50:J56)</f>
        <v>-416401</v>
      </c>
      <c r="K49" s="422">
        <f t="shared" si="50"/>
        <v>-471516</v>
      </c>
      <c r="L49" s="422">
        <f t="shared" si="50"/>
        <v>-126522</v>
      </c>
      <c r="M49" s="422">
        <f t="shared" si="50"/>
        <v>-252311</v>
      </c>
      <c r="N49" s="422">
        <f t="shared" si="50"/>
        <v>-367682</v>
      </c>
      <c r="O49" s="422">
        <f t="shared" si="50"/>
        <v>-511862</v>
      </c>
      <c r="P49" s="422">
        <f t="shared" si="50"/>
        <v>-77917</v>
      </c>
      <c r="Q49" s="422">
        <f t="shared" si="50"/>
        <v>-217204</v>
      </c>
      <c r="R49" s="422">
        <f t="shared" si="50"/>
        <v>-307064</v>
      </c>
      <c r="S49" s="422">
        <f t="shared" si="50"/>
        <v>-431655</v>
      </c>
      <c r="T49" s="422">
        <f t="shared" si="50"/>
        <v>-118416</v>
      </c>
      <c r="U49" s="422">
        <f>SUM(U50:U56)</f>
        <v>-238556</v>
      </c>
      <c r="W49" s="422">
        <f t="shared" ref="W49:AC49" si="51">SUM(W50:W56)</f>
        <v>-126522</v>
      </c>
      <c r="X49" s="422">
        <f t="shared" si="51"/>
        <v>-125789</v>
      </c>
      <c r="Y49" s="422">
        <f t="shared" si="51"/>
        <v>-115371</v>
      </c>
      <c r="Z49" s="422">
        <f t="shared" si="51"/>
        <v>-144180</v>
      </c>
      <c r="AA49" s="422">
        <f t="shared" si="51"/>
        <v>-77917</v>
      </c>
      <c r="AB49" s="422">
        <f t="shared" si="51"/>
        <v>-139287</v>
      </c>
      <c r="AC49" s="422">
        <f t="shared" si="51"/>
        <v>-89860</v>
      </c>
      <c r="AD49" s="422">
        <f t="shared" ref="AD49:AE49" si="52">SUM(AD50:AD56)</f>
        <v>-124591</v>
      </c>
      <c r="AE49" s="422">
        <f t="shared" si="52"/>
        <v>-118416</v>
      </c>
      <c r="AF49" s="422">
        <f>SUM(AF50:AF56)</f>
        <v>-120140</v>
      </c>
    </row>
    <row r="50" spans="1:32" outlineLevel="1">
      <c r="A50" s="418" t="s">
        <v>662</v>
      </c>
      <c r="B50" s="418" t="s">
        <v>663</v>
      </c>
      <c r="D50" s="423">
        <v>-2646</v>
      </c>
      <c r="E50" s="423">
        <v>-10842</v>
      </c>
      <c r="F50" s="423">
        <v>-19658</v>
      </c>
      <c r="G50" s="423">
        <v>-24781</v>
      </c>
      <c r="H50" s="423">
        <v>-5502</v>
      </c>
      <c r="I50" s="423">
        <v>-14857</v>
      </c>
      <c r="J50" s="423">
        <v>-21426</v>
      </c>
      <c r="K50" s="423">
        <v>-28313</v>
      </c>
      <c r="L50" s="423">
        <v>-6691</v>
      </c>
      <c r="M50" s="423">
        <v>-14188</v>
      </c>
      <c r="N50" s="423">
        <v>-21880</v>
      </c>
      <c r="O50" s="423">
        <v>-29423</v>
      </c>
      <c r="P50" s="423">
        <v>-5526</v>
      </c>
      <c r="Q50" s="423">
        <v>-13256</v>
      </c>
      <c r="R50" s="423">
        <v>-20414</v>
      </c>
      <c r="S50" s="423">
        <v>-28005</v>
      </c>
      <c r="T50" s="423">
        <v>-7695</v>
      </c>
      <c r="U50" s="423">
        <v>-14321</v>
      </c>
      <c r="W50" s="423">
        <f t="shared" ref="W50:W56" si="53">L50</f>
        <v>-6691</v>
      </c>
      <c r="X50" s="423">
        <f t="shared" ref="X50:X56" si="54">M50-W50</f>
        <v>-7497</v>
      </c>
      <c r="Y50" s="423">
        <f t="shared" ref="Y50:Z56" si="55">N50-M50</f>
        <v>-7692</v>
      </c>
      <c r="Z50" s="423">
        <f t="shared" si="55"/>
        <v>-7543</v>
      </c>
      <c r="AA50" s="423">
        <f t="shared" ref="AA50:AA56" si="56">P50</f>
        <v>-5526</v>
      </c>
      <c r="AB50" s="423">
        <f t="shared" ref="AB50:AB56" si="57">Q50-AA50</f>
        <v>-7730</v>
      </c>
      <c r="AC50" s="423">
        <f t="shared" ref="AC50:AD56" si="58">R50-Q50</f>
        <v>-7158</v>
      </c>
      <c r="AD50" s="423">
        <f t="shared" si="58"/>
        <v>-7591</v>
      </c>
      <c r="AE50" s="423">
        <f t="shared" ref="AE50:AE56" si="59">T50</f>
        <v>-7695</v>
      </c>
      <c r="AF50" s="423">
        <f t="shared" ref="AF50:AF56" si="60">U50-T50</f>
        <v>-6626</v>
      </c>
    </row>
    <row r="51" spans="1:32" outlineLevel="1">
      <c r="A51" s="418" t="s">
        <v>664</v>
      </c>
      <c r="B51" s="418" t="s">
        <v>665</v>
      </c>
      <c r="D51" s="423">
        <v>-964</v>
      </c>
      <c r="E51" s="423">
        <v>-4860</v>
      </c>
      <c r="F51" s="423">
        <v>-6561</v>
      </c>
      <c r="G51" s="423">
        <v>-8438</v>
      </c>
      <c r="H51" s="423">
        <v>-2190</v>
      </c>
      <c r="I51" s="423">
        <v>-6993</v>
      </c>
      <c r="J51" s="423">
        <v>-10569</v>
      </c>
      <c r="K51" s="423">
        <v>-12910</v>
      </c>
      <c r="L51" s="423">
        <v>-2619</v>
      </c>
      <c r="M51" s="423">
        <v>-4355</v>
      </c>
      <c r="N51" s="423">
        <v>-5728</v>
      </c>
      <c r="O51" s="423">
        <v>-7501</v>
      </c>
      <c r="P51" s="423">
        <v>-892</v>
      </c>
      <c r="Q51" s="423">
        <v>-3891</v>
      </c>
      <c r="R51" s="423">
        <v>-10282</v>
      </c>
      <c r="S51" s="423">
        <v>-9267</v>
      </c>
      <c r="T51" s="423">
        <v>-7243</v>
      </c>
      <c r="U51" s="423">
        <v>-11301</v>
      </c>
      <c r="W51" s="423">
        <f t="shared" si="53"/>
        <v>-2619</v>
      </c>
      <c r="X51" s="423">
        <f t="shared" si="54"/>
        <v>-1736</v>
      </c>
      <c r="Y51" s="423">
        <f t="shared" si="55"/>
        <v>-1373</v>
      </c>
      <c r="Z51" s="423">
        <f t="shared" si="55"/>
        <v>-1773</v>
      </c>
      <c r="AA51" s="423">
        <f t="shared" si="56"/>
        <v>-892</v>
      </c>
      <c r="AB51" s="423">
        <f t="shared" si="57"/>
        <v>-2999</v>
      </c>
      <c r="AC51" s="423">
        <f t="shared" si="58"/>
        <v>-6391</v>
      </c>
      <c r="AD51" s="423">
        <f t="shared" si="58"/>
        <v>1015</v>
      </c>
      <c r="AE51" s="423">
        <f t="shared" si="59"/>
        <v>-7243</v>
      </c>
      <c r="AF51" s="423">
        <f t="shared" si="60"/>
        <v>-4058</v>
      </c>
    </row>
    <row r="52" spans="1:32" outlineLevel="1">
      <c r="A52" s="418" t="s">
        <v>666</v>
      </c>
      <c r="B52" s="418" t="s">
        <v>667</v>
      </c>
      <c r="D52" s="423">
        <v>-1442</v>
      </c>
      <c r="E52" s="423">
        <v>-6377</v>
      </c>
      <c r="F52" s="423">
        <v>-9919</v>
      </c>
      <c r="G52" s="423">
        <v>-15554</v>
      </c>
      <c r="H52" s="423">
        <v>-3156</v>
      </c>
      <c r="I52" s="423">
        <v>-8520</v>
      </c>
      <c r="J52" s="423">
        <v>-11645</v>
      </c>
      <c r="K52" s="423">
        <v>-15038</v>
      </c>
      <c r="L52" s="423">
        <v>-4793</v>
      </c>
      <c r="M52" s="423">
        <v>-9845</v>
      </c>
      <c r="N52" s="423">
        <v>-13448</v>
      </c>
      <c r="O52" s="423">
        <v>-36505</v>
      </c>
      <c r="P52" s="423">
        <v>-5544</v>
      </c>
      <c r="Q52" s="423">
        <v>-67010</v>
      </c>
      <c r="R52" s="423">
        <v>-84690</v>
      </c>
      <c r="S52" s="423">
        <v>-139568</v>
      </c>
      <c r="T52" s="423">
        <v>-36594</v>
      </c>
      <c r="U52" s="423">
        <v>-79523</v>
      </c>
      <c r="W52" s="423">
        <f t="shared" si="53"/>
        <v>-4793</v>
      </c>
      <c r="X52" s="423">
        <f t="shared" si="54"/>
        <v>-5052</v>
      </c>
      <c r="Y52" s="423">
        <f t="shared" si="55"/>
        <v>-3603</v>
      </c>
      <c r="Z52" s="423">
        <f t="shared" si="55"/>
        <v>-23057</v>
      </c>
      <c r="AA52" s="423">
        <f t="shared" si="56"/>
        <v>-5544</v>
      </c>
      <c r="AB52" s="423">
        <f t="shared" si="57"/>
        <v>-61466</v>
      </c>
      <c r="AC52" s="423">
        <f t="shared" si="58"/>
        <v>-17680</v>
      </c>
      <c r="AD52" s="423">
        <f t="shared" si="58"/>
        <v>-54878</v>
      </c>
      <c r="AE52" s="423">
        <f t="shared" si="59"/>
        <v>-36594</v>
      </c>
      <c r="AF52" s="423">
        <f t="shared" si="60"/>
        <v>-42929</v>
      </c>
    </row>
    <row r="53" spans="1:32" outlineLevel="1">
      <c r="A53" s="418" t="s">
        <v>668</v>
      </c>
      <c r="B53" s="418" t="s">
        <v>669</v>
      </c>
      <c r="D53" s="423">
        <v>-21627</v>
      </c>
      <c r="E53" s="423">
        <v>-83087</v>
      </c>
      <c r="F53" s="423">
        <v>-146669</v>
      </c>
      <c r="G53" s="423">
        <v>-215870</v>
      </c>
      <c r="H53" s="423">
        <v>-66532</v>
      </c>
      <c r="I53" s="423">
        <v>-132167</v>
      </c>
      <c r="J53" s="423">
        <v>-195393</v>
      </c>
      <c r="K53" s="423">
        <v>-211954</v>
      </c>
      <c r="L53" s="423">
        <v>-54169</v>
      </c>
      <c r="M53" s="423">
        <v>-108521</v>
      </c>
      <c r="N53" s="423">
        <v>-163005</v>
      </c>
      <c r="O53" s="423">
        <v>-218476</v>
      </c>
      <c r="P53" s="423">
        <v>-54106</v>
      </c>
      <c r="Q53" s="423">
        <v>-108211</v>
      </c>
      <c r="R53" s="423">
        <v>-162317</v>
      </c>
      <c r="S53" s="423">
        <v>-220667</v>
      </c>
      <c r="T53" s="423">
        <v>-55171</v>
      </c>
      <c r="U53" s="423">
        <v>-110555</v>
      </c>
      <c r="W53" s="423">
        <f t="shared" si="53"/>
        <v>-54169</v>
      </c>
      <c r="X53" s="423">
        <f t="shared" si="54"/>
        <v>-54352</v>
      </c>
      <c r="Y53" s="423">
        <f t="shared" si="55"/>
        <v>-54484</v>
      </c>
      <c r="Z53" s="423">
        <f t="shared" si="55"/>
        <v>-55471</v>
      </c>
      <c r="AA53" s="423">
        <f t="shared" si="56"/>
        <v>-54106</v>
      </c>
      <c r="AB53" s="423">
        <f t="shared" si="57"/>
        <v>-54105</v>
      </c>
      <c r="AC53" s="423">
        <f t="shared" si="58"/>
        <v>-54106</v>
      </c>
      <c r="AD53" s="423">
        <f t="shared" si="58"/>
        <v>-58350</v>
      </c>
      <c r="AE53" s="423">
        <f t="shared" si="59"/>
        <v>-55171</v>
      </c>
      <c r="AF53" s="423">
        <f t="shared" si="60"/>
        <v>-55384</v>
      </c>
    </row>
    <row r="54" spans="1:32" outlineLevel="1">
      <c r="A54" s="418" t="s">
        <v>670</v>
      </c>
      <c r="B54" s="418" t="s">
        <v>671</v>
      </c>
      <c r="D54" s="423">
        <v>0</v>
      </c>
      <c r="E54" s="423">
        <v>0</v>
      </c>
      <c r="F54" s="423">
        <v>0</v>
      </c>
      <c r="G54" s="423">
        <v>0</v>
      </c>
      <c r="H54" s="423">
        <v>0</v>
      </c>
      <c r="I54" s="423">
        <v>0</v>
      </c>
      <c r="J54" s="423">
        <v>0</v>
      </c>
      <c r="K54" s="423">
        <v>0</v>
      </c>
      <c r="L54" s="423">
        <v>0</v>
      </c>
      <c r="M54" s="423">
        <v>0</v>
      </c>
      <c r="N54" s="423">
        <v>0</v>
      </c>
      <c r="O54" s="423">
        <v>0</v>
      </c>
      <c r="P54" s="423">
        <v>0</v>
      </c>
      <c r="Q54" s="423">
        <v>0</v>
      </c>
      <c r="R54" s="423">
        <v>0</v>
      </c>
      <c r="S54" s="423">
        <v>0</v>
      </c>
      <c r="T54" s="423">
        <v>0</v>
      </c>
      <c r="U54" s="423">
        <v>0</v>
      </c>
      <c r="W54" s="423">
        <f t="shared" si="53"/>
        <v>0</v>
      </c>
      <c r="X54" s="423">
        <f t="shared" si="54"/>
        <v>0</v>
      </c>
      <c r="Y54" s="423">
        <f t="shared" si="55"/>
        <v>0</v>
      </c>
      <c r="Z54" s="423">
        <f t="shared" si="55"/>
        <v>0</v>
      </c>
      <c r="AA54" s="423">
        <f t="shared" si="56"/>
        <v>0</v>
      </c>
      <c r="AB54" s="423">
        <f t="shared" si="57"/>
        <v>0</v>
      </c>
      <c r="AC54" s="423">
        <f t="shared" si="58"/>
        <v>0</v>
      </c>
      <c r="AD54" s="423">
        <f t="shared" si="58"/>
        <v>0</v>
      </c>
      <c r="AE54" s="423">
        <f t="shared" si="59"/>
        <v>0</v>
      </c>
      <c r="AF54" s="423">
        <f t="shared" si="60"/>
        <v>0</v>
      </c>
    </row>
    <row r="55" spans="1:32" outlineLevel="1">
      <c r="A55" s="418" t="s">
        <v>672</v>
      </c>
      <c r="B55" s="418" t="s">
        <v>673</v>
      </c>
      <c r="D55" s="423">
        <v>0</v>
      </c>
      <c r="E55" s="423">
        <v>0</v>
      </c>
      <c r="F55" s="423">
        <v>0</v>
      </c>
      <c r="G55" s="423">
        <v>0</v>
      </c>
      <c r="H55" s="423">
        <v>0</v>
      </c>
      <c r="I55" s="423">
        <v>0</v>
      </c>
      <c r="J55" s="423">
        <v>0</v>
      </c>
      <c r="K55" s="423">
        <v>0</v>
      </c>
      <c r="L55" s="423">
        <v>0</v>
      </c>
      <c r="M55" s="423">
        <v>0</v>
      </c>
      <c r="N55" s="423">
        <v>0</v>
      </c>
      <c r="O55" s="423">
        <v>0</v>
      </c>
      <c r="P55" s="423">
        <v>0</v>
      </c>
      <c r="Q55" s="423">
        <v>0</v>
      </c>
      <c r="R55" s="423">
        <v>0</v>
      </c>
      <c r="S55" s="423">
        <v>0</v>
      </c>
      <c r="T55" s="423">
        <v>0</v>
      </c>
      <c r="U55" s="423">
        <v>0</v>
      </c>
      <c r="W55" s="423">
        <f t="shared" si="53"/>
        <v>0</v>
      </c>
      <c r="X55" s="423">
        <f t="shared" si="54"/>
        <v>0</v>
      </c>
      <c r="Y55" s="423">
        <f t="shared" si="55"/>
        <v>0</v>
      </c>
      <c r="Z55" s="423">
        <f t="shared" si="55"/>
        <v>0</v>
      </c>
      <c r="AA55" s="423">
        <f t="shared" si="56"/>
        <v>0</v>
      </c>
      <c r="AB55" s="423">
        <f t="shared" si="57"/>
        <v>0</v>
      </c>
      <c r="AC55" s="423">
        <f t="shared" si="58"/>
        <v>0</v>
      </c>
      <c r="AD55" s="423">
        <f t="shared" si="58"/>
        <v>0</v>
      </c>
      <c r="AE55" s="423">
        <f t="shared" si="59"/>
        <v>0</v>
      </c>
      <c r="AF55" s="423">
        <f t="shared" si="60"/>
        <v>0</v>
      </c>
    </row>
    <row r="56" spans="1:32" outlineLevel="1">
      <c r="A56" s="418" t="s">
        <v>674</v>
      </c>
      <c r="B56" s="418" t="s">
        <v>675</v>
      </c>
      <c r="D56" s="423">
        <v>-13632</v>
      </c>
      <c r="E56" s="423">
        <v>-66434</v>
      </c>
      <c r="F56" s="423">
        <v>-120639</v>
      </c>
      <c r="G56" s="423">
        <v>-170541</v>
      </c>
      <c r="H56" s="423">
        <v>-59261</v>
      </c>
      <c r="I56" s="423">
        <v>-119908</v>
      </c>
      <c r="J56" s="423">
        <v>-177368</v>
      </c>
      <c r="K56" s="423">
        <v>-203301</v>
      </c>
      <c r="L56" s="423">
        <v>-58250</v>
      </c>
      <c r="M56" s="423">
        <v>-115402</v>
      </c>
      <c r="N56" s="423">
        <v>-163621</v>
      </c>
      <c r="O56" s="423">
        <v>-219957</v>
      </c>
      <c r="P56" s="423">
        <v>-11849</v>
      </c>
      <c r="Q56" s="423">
        <v>-24836</v>
      </c>
      <c r="R56" s="423">
        <v>-29361</v>
      </c>
      <c r="S56" s="423">
        <v>-34148</v>
      </c>
      <c r="T56" s="423">
        <v>-11713</v>
      </c>
      <c r="U56" s="423">
        <v>-22856</v>
      </c>
      <c r="W56" s="423">
        <f t="shared" si="53"/>
        <v>-58250</v>
      </c>
      <c r="X56" s="423">
        <f t="shared" si="54"/>
        <v>-57152</v>
      </c>
      <c r="Y56" s="423">
        <f t="shared" si="55"/>
        <v>-48219</v>
      </c>
      <c r="Z56" s="423">
        <f t="shared" si="55"/>
        <v>-56336</v>
      </c>
      <c r="AA56" s="423">
        <f t="shared" si="56"/>
        <v>-11849</v>
      </c>
      <c r="AB56" s="423">
        <f t="shared" si="57"/>
        <v>-12987</v>
      </c>
      <c r="AC56" s="423">
        <f t="shared" si="58"/>
        <v>-4525</v>
      </c>
      <c r="AD56" s="423">
        <f t="shared" si="58"/>
        <v>-4787</v>
      </c>
      <c r="AE56" s="423">
        <f t="shared" si="59"/>
        <v>-11713</v>
      </c>
      <c r="AF56" s="423">
        <f t="shared" si="60"/>
        <v>-11143</v>
      </c>
    </row>
    <row r="57" spans="1:32">
      <c r="A57" s="417"/>
      <c r="B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</row>
    <row r="58" spans="1:32">
      <c r="A58" s="429" t="s">
        <v>676</v>
      </c>
      <c r="B58" s="429" t="s">
        <v>677</v>
      </c>
      <c r="D58" s="420">
        <f t="shared" ref="D58:I58" si="61">D39+D41</f>
        <v>21489</v>
      </c>
      <c r="E58" s="420">
        <f t="shared" si="61"/>
        <v>86228</v>
      </c>
      <c r="F58" s="420">
        <f t="shared" si="61"/>
        <v>253550</v>
      </c>
      <c r="G58" s="420">
        <f t="shared" si="61"/>
        <v>398714</v>
      </c>
      <c r="H58" s="420">
        <f t="shared" si="61"/>
        <v>91479</v>
      </c>
      <c r="I58" s="420">
        <f t="shared" si="61"/>
        <v>146680</v>
      </c>
      <c r="J58" s="420">
        <f t="shared" ref="J58:Q58" si="62">J39+J41</f>
        <v>293273</v>
      </c>
      <c r="K58" s="420">
        <f t="shared" si="62"/>
        <v>521586</v>
      </c>
      <c r="L58" s="420">
        <f t="shared" si="62"/>
        <v>68852</v>
      </c>
      <c r="M58" s="420">
        <f t="shared" si="62"/>
        <v>144299</v>
      </c>
      <c r="N58" s="420">
        <f t="shared" si="62"/>
        <v>308232</v>
      </c>
      <c r="O58" s="420">
        <f t="shared" si="62"/>
        <v>454468</v>
      </c>
      <c r="P58" s="420">
        <f t="shared" si="62"/>
        <v>76713</v>
      </c>
      <c r="Q58" s="420">
        <f t="shared" si="62"/>
        <v>166451</v>
      </c>
      <c r="R58" s="420">
        <f t="shared" ref="R58:T58" si="63">R39+R41</f>
        <v>315287</v>
      </c>
      <c r="S58" s="420">
        <f t="shared" si="63"/>
        <v>464448</v>
      </c>
      <c r="T58" s="741">
        <f t="shared" si="63"/>
        <v>66351</v>
      </c>
      <c r="U58" s="741">
        <f>U39+U41</f>
        <v>114165</v>
      </c>
      <c r="W58" s="420">
        <f t="shared" ref="W58:AC58" si="64">W39+W41</f>
        <v>68852</v>
      </c>
      <c r="X58" s="420">
        <f t="shared" si="64"/>
        <v>75447</v>
      </c>
      <c r="Y58" s="420">
        <f t="shared" si="64"/>
        <v>163933</v>
      </c>
      <c r="Z58" s="420">
        <f t="shared" si="64"/>
        <v>146236</v>
      </c>
      <c r="AA58" s="420">
        <f t="shared" si="64"/>
        <v>76713</v>
      </c>
      <c r="AB58" s="420">
        <f t="shared" si="64"/>
        <v>89738</v>
      </c>
      <c r="AC58" s="420">
        <f t="shared" si="64"/>
        <v>148836</v>
      </c>
      <c r="AD58" s="420">
        <f t="shared" ref="AD58:AE58" si="65">AD39+AD41</f>
        <v>149161</v>
      </c>
      <c r="AE58" s="420">
        <f t="shared" si="65"/>
        <v>66351</v>
      </c>
      <c r="AF58" s="741">
        <f>AF39+AF41</f>
        <v>89435</v>
      </c>
    </row>
    <row r="59" spans="1:32">
      <c r="A59" s="417"/>
      <c r="B59" s="417"/>
      <c r="D59" s="417"/>
      <c r="E59" s="417"/>
      <c r="F59" s="417"/>
      <c r="G59" s="417"/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</row>
    <row r="60" spans="1:32">
      <c r="A60" s="416" t="s">
        <v>678</v>
      </c>
      <c r="B60" s="416" t="s">
        <v>679</v>
      </c>
      <c r="D60" s="424">
        <f t="shared" ref="D60:I60" si="66">D62+D68+D69+D78+D79</f>
        <v>-7067</v>
      </c>
      <c r="E60" s="424">
        <f t="shared" si="66"/>
        <v>-29071</v>
      </c>
      <c r="F60" s="424">
        <f t="shared" si="66"/>
        <v>-48929</v>
      </c>
      <c r="G60" s="424">
        <f t="shared" si="66"/>
        <v>-78504</v>
      </c>
      <c r="H60" s="424">
        <f t="shared" si="66"/>
        <v>-29915</v>
      </c>
      <c r="I60" s="424">
        <f t="shared" si="66"/>
        <v>-35422</v>
      </c>
      <c r="J60" s="424">
        <f t="shared" ref="J60:Q60" si="67">J62+J68+J69+J78+J79</f>
        <v>-56774</v>
      </c>
      <c r="K60" s="424">
        <f t="shared" si="67"/>
        <v>-98640</v>
      </c>
      <c r="L60" s="424">
        <f t="shared" si="67"/>
        <v>-19157</v>
      </c>
      <c r="M60" s="424">
        <f t="shared" si="67"/>
        <v>-50025</v>
      </c>
      <c r="N60" s="424">
        <f t="shared" si="67"/>
        <v>-73153</v>
      </c>
      <c r="O60" s="424">
        <f t="shared" si="67"/>
        <v>-93471</v>
      </c>
      <c r="P60" s="424">
        <f t="shared" si="67"/>
        <v>-22782</v>
      </c>
      <c r="Q60" s="424">
        <f t="shared" si="67"/>
        <v>-54031</v>
      </c>
      <c r="R60" s="424">
        <f t="shared" ref="R60:T60" si="68">R62+R68+R69+R78+R79</f>
        <v>-81129</v>
      </c>
      <c r="S60" s="424">
        <f t="shared" si="68"/>
        <v>-394009</v>
      </c>
      <c r="T60" s="424">
        <f t="shared" si="68"/>
        <v>-26653</v>
      </c>
      <c r="U60" s="424">
        <f>U62+U68+U69+U78+U79</f>
        <v>-48031</v>
      </c>
      <c r="W60" s="424">
        <f t="shared" ref="W60:AC60" si="69">W62+W68+W69+W78+W79</f>
        <v>-19157</v>
      </c>
      <c r="X60" s="424">
        <f t="shared" si="69"/>
        <v>-30868</v>
      </c>
      <c r="Y60" s="424">
        <f t="shared" si="69"/>
        <v>-23128</v>
      </c>
      <c r="Z60" s="424">
        <f t="shared" si="69"/>
        <v>-20318</v>
      </c>
      <c r="AA60" s="424">
        <f t="shared" si="69"/>
        <v>-22782</v>
      </c>
      <c r="AB60" s="424">
        <f t="shared" si="69"/>
        <v>-31249</v>
      </c>
      <c r="AC60" s="424">
        <f t="shared" si="69"/>
        <v>-27098</v>
      </c>
      <c r="AD60" s="424">
        <f t="shared" ref="AD60:AE60" si="70">AD62+AD68+AD69+AD78+AD79</f>
        <v>-312880</v>
      </c>
      <c r="AE60" s="424">
        <f t="shared" si="70"/>
        <v>-26653</v>
      </c>
      <c r="AF60" s="424">
        <f>AF62+AF68+AF69+AF78+AF79</f>
        <v>-21378</v>
      </c>
    </row>
    <row r="61" spans="1:32">
      <c r="A61" s="416"/>
      <c r="B61" s="416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W61" s="421"/>
      <c r="X61" s="421"/>
      <c r="Y61" s="421"/>
      <c r="Z61" s="421"/>
      <c r="AA61" s="421"/>
      <c r="AB61" s="421"/>
      <c r="AC61" s="421"/>
      <c r="AD61" s="421"/>
      <c r="AE61" s="421"/>
      <c r="AF61" s="421"/>
    </row>
    <row r="62" spans="1:32">
      <c r="A62" s="419" t="s">
        <v>680</v>
      </c>
      <c r="B62" s="419" t="s">
        <v>681</v>
      </c>
      <c r="D62" s="422">
        <f t="shared" ref="D62:I62" si="71">SUM(D63:D67)</f>
        <v>0</v>
      </c>
      <c r="E62" s="422">
        <f t="shared" si="71"/>
        <v>0</v>
      </c>
      <c r="F62" s="422">
        <f t="shared" si="71"/>
        <v>0</v>
      </c>
      <c r="G62" s="422">
        <f t="shared" si="71"/>
        <v>0</v>
      </c>
      <c r="H62" s="422">
        <f t="shared" si="71"/>
        <v>0</v>
      </c>
      <c r="I62" s="422">
        <f t="shared" si="71"/>
        <v>0</v>
      </c>
      <c r="J62" s="422">
        <f t="shared" ref="J62:T62" si="72">SUM(J63:J67)</f>
        <v>0</v>
      </c>
      <c r="K62" s="422">
        <f t="shared" si="72"/>
        <v>0</v>
      </c>
      <c r="L62" s="422">
        <f t="shared" si="72"/>
        <v>0</v>
      </c>
      <c r="M62" s="422">
        <f t="shared" si="72"/>
        <v>0</v>
      </c>
      <c r="N62" s="422">
        <f t="shared" si="72"/>
        <v>0</v>
      </c>
      <c r="O62" s="422">
        <f t="shared" si="72"/>
        <v>0</v>
      </c>
      <c r="P62" s="422">
        <f t="shared" si="72"/>
        <v>0</v>
      </c>
      <c r="Q62" s="422">
        <f t="shared" si="72"/>
        <v>0</v>
      </c>
      <c r="R62" s="422">
        <f t="shared" si="72"/>
        <v>0</v>
      </c>
      <c r="S62" s="422">
        <f t="shared" si="72"/>
        <v>0</v>
      </c>
      <c r="T62" s="422">
        <f t="shared" si="72"/>
        <v>0</v>
      </c>
      <c r="U62" s="422">
        <f>SUM(U63:U67)</f>
        <v>0</v>
      </c>
      <c r="W62" s="422">
        <f>SUM(W63:W67)</f>
        <v>0</v>
      </c>
      <c r="X62" s="422">
        <f t="shared" ref="X62:X68" si="73">M62-W62</f>
        <v>0</v>
      </c>
      <c r="Y62" s="422">
        <f>SUM(Y63:Y67)</f>
        <v>0</v>
      </c>
      <c r="Z62" s="422">
        <f>SUM(Z63:Z67)</f>
        <v>0</v>
      </c>
      <c r="AA62" s="422">
        <f>SUM(AA63:AA67)</f>
        <v>0</v>
      </c>
      <c r="AB62" s="422">
        <f>SUM(AB63:AB67)</f>
        <v>0</v>
      </c>
      <c r="AC62" s="422">
        <f t="shared" ref="AC62:AD62" si="74">SUM(AC63:AC67)</f>
        <v>0</v>
      </c>
      <c r="AD62" s="422">
        <f t="shared" si="74"/>
        <v>0</v>
      </c>
      <c r="AE62" s="422">
        <f>SUM(AE63:AE67)</f>
        <v>0</v>
      </c>
      <c r="AF62" s="422">
        <f>SUM(AF63:AF67)</f>
        <v>0</v>
      </c>
    </row>
    <row r="63" spans="1:32" outlineLevel="1">
      <c r="A63" s="418" t="s">
        <v>682</v>
      </c>
      <c r="B63" s="418" t="s">
        <v>683</v>
      </c>
      <c r="D63" s="423">
        <v>0</v>
      </c>
      <c r="E63" s="423">
        <v>0</v>
      </c>
      <c r="F63" s="423">
        <v>0</v>
      </c>
      <c r="G63" s="423">
        <v>0</v>
      </c>
      <c r="H63" s="423">
        <v>0</v>
      </c>
      <c r="I63" s="423">
        <v>0</v>
      </c>
      <c r="J63" s="423">
        <v>0</v>
      </c>
      <c r="K63" s="423">
        <v>0</v>
      </c>
      <c r="L63" s="423">
        <v>0</v>
      </c>
      <c r="M63" s="423">
        <v>0</v>
      </c>
      <c r="N63" s="423">
        <v>0</v>
      </c>
      <c r="O63" s="423">
        <v>0</v>
      </c>
      <c r="P63" s="423">
        <v>0</v>
      </c>
      <c r="Q63" s="423">
        <v>0</v>
      </c>
      <c r="R63" s="423">
        <v>0</v>
      </c>
      <c r="S63" s="423">
        <v>0</v>
      </c>
      <c r="T63" s="423">
        <v>0</v>
      </c>
      <c r="U63" s="423">
        <v>0</v>
      </c>
      <c r="W63" s="423">
        <f t="shared" ref="W63:W68" si="75">L63</f>
        <v>0</v>
      </c>
      <c r="X63" s="423">
        <f t="shared" si="73"/>
        <v>0</v>
      </c>
      <c r="Y63" s="423">
        <f t="shared" ref="Y63:Z68" si="76">N63-M63</f>
        <v>0</v>
      </c>
      <c r="Z63" s="423">
        <f t="shared" si="76"/>
        <v>0</v>
      </c>
      <c r="AA63" s="423">
        <f t="shared" ref="AA63:AA68" si="77">P63</f>
        <v>0</v>
      </c>
      <c r="AB63" s="423">
        <f t="shared" ref="AB63:AB68" si="78">Q63-AA63</f>
        <v>0</v>
      </c>
      <c r="AC63" s="423">
        <f t="shared" ref="AC63:AD68" si="79">R63-Q63</f>
        <v>0</v>
      </c>
      <c r="AD63" s="423">
        <f t="shared" si="79"/>
        <v>0</v>
      </c>
      <c r="AE63" s="423">
        <f t="shared" ref="AE63:AE68" si="80">T63</f>
        <v>0</v>
      </c>
      <c r="AF63" s="423">
        <f t="shared" ref="AF63:AF68" si="81">U63-T63</f>
        <v>0</v>
      </c>
    </row>
    <row r="64" spans="1:32" outlineLevel="1">
      <c r="A64" s="418" t="s">
        <v>684</v>
      </c>
      <c r="B64" s="418" t="s">
        <v>685</v>
      </c>
      <c r="D64" s="423">
        <v>0</v>
      </c>
      <c r="E64" s="423">
        <v>0</v>
      </c>
      <c r="F64" s="423">
        <v>0</v>
      </c>
      <c r="G64" s="423">
        <v>0</v>
      </c>
      <c r="H64" s="423">
        <v>0</v>
      </c>
      <c r="I64" s="423">
        <v>0</v>
      </c>
      <c r="J64" s="423">
        <v>0</v>
      </c>
      <c r="K64" s="423">
        <v>0</v>
      </c>
      <c r="L64" s="423">
        <v>0</v>
      </c>
      <c r="M64" s="423">
        <v>0</v>
      </c>
      <c r="N64" s="423">
        <v>0</v>
      </c>
      <c r="O64" s="423">
        <v>0</v>
      </c>
      <c r="P64" s="423">
        <v>0</v>
      </c>
      <c r="Q64" s="423">
        <v>0</v>
      </c>
      <c r="R64" s="423">
        <v>0</v>
      </c>
      <c r="S64" s="423">
        <v>0</v>
      </c>
      <c r="T64" s="423">
        <v>0</v>
      </c>
      <c r="U64" s="423">
        <v>0</v>
      </c>
      <c r="W64" s="423">
        <f t="shared" si="75"/>
        <v>0</v>
      </c>
      <c r="X64" s="423">
        <f t="shared" si="73"/>
        <v>0</v>
      </c>
      <c r="Y64" s="423">
        <f t="shared" si="76"/>
        <v>0</v>
      </c>
      <c r="Z64" s="423">
        <f t="shared" si="76"/>
        <v>0</v>
      </c>
      <c r="AA64" s="423">
        <f t="shared" si="77"/>
        <v>0</v>
      </c>
      <c r="AB64" s="423">
        <f t="shared" si="78"/>
        <v>0</v>
      </c>
      <c r="AC64" s="423">
        <f t="shared" si="79"/>
        <v>0</v>
      </c>
      <c r="AD64" s="423">
        <f t="shared" si="79"/>
        <v>0</v>
      </c>
      <c r="AE64" s="423">
        <f t="shared" si="80"/>
        <v>0</v>
      </c>
      <c r="AF64" s="423">
        <f t="shared" si="81"/>
        <v>0</v>
      </c>
    </row>
    <row r="65" spans="1:32" outlineLevel="1">
      <c r="A65" s="418" t="s">
        <v>686</v>
      </c>
      <c r="B65" s="418" t="s">
        <v>687</v>
      </c>
      <c r="D65" s="423">
        <v>0</v>
      </c>
      <c r="E65" s="423">
        <v>0</v>
      </c>
      <c r="F65" s="423">
        <v>0</v>
      </c>
      <c r="G65" s="423">
        <v>0</v>
      </c>
      <c r="H65" s="423">
        <v>0</v>
      </c>
      <c r="I65" s="423">
        <v>0</v>
      </c>
      <c r="J65" s="423">
        <v>0</v>
      </c>
      <c r="K65" s="423">
        <v>0</v>
      </c>
      <c r="L65" s="423">
        <v>0</v>
      </c>
      <c r="M65" s="423">
        <v>0</v>
      </c>
      <c r="N65" s="423">
        <v>0</v>
      </c>
      <c r="O65" s="423">
        <v>0</v>
      </c>
      <c r="P65" s="423">
        <v>0</v>
      </c>
      <c r="Q65" s="423">
        <v>0</v>
      </c>
      <c r="R65" s="423">
        <v>0</v>
      </c>
      <c r="S65" s="423">
        <v>0</v>
      </c>
      <c r="T65" s="423">
        <v>0</v>
      </c>
      <c r="U65" s="423">
        <v>0</v>
      </c>
      <c r="W65" s="423">
        <f t="shared" si="75"/>
        <v>0</v>
      </c>
      <c r="X65" s="423">
        <f t="shared" si="73"/>
        <v>0</v>
      </c>
      <c r="Y65" s="423">
        <f t="shared" si="76"/>
        <v>0</v>
      </c>
      <c r="Z65" s="423">
        <f t="shared" si="76"/>
        <v>0</v>
      </c>
      <c r="AA65" s="423">
        <f t="shared" si="77"/>
        <v>0</v>
      </c>
      <c r="AB65" s="423">
        <f t="shared" si="78"/>
        <v>0</v>
      </c>
      <c r="AC65" s="423">
        <f t="shared" si="79"/>
        <v>0</v>
      </c>
      <c r="AD65" s="423">
        <f t="shared" si="79"/>
        <v>0</v>
      </c>
      <c r="AE65" s="423">
        <f t="shared" si="80"/>
        <v>0</v>
      </c>
      <c r="AF65" s="423">
        <f t="shared" si="81"/>
        <v>0</v>
      </c>
    </row>
    <row r="66" spans="1:32" outlineLevel="1">
      <c r="A66" s="418" t="s">
        <v>688</v>
      </c>
      <c r="B66" s="418" t="s">
        <v>689</v>
      </c>
      <c r="D66" s="423">
        <v>0</v>
      </c>
      <c r="E66" s="423">
        <v>0</v>
      </c>
      <c r="F66" s="423">
        <v>0</v>
      </c>
      <c r="G66" s="423">
        <v>0</v>
      </c>
      <c r="H66" s="423">
        <v>0</v>
      </c>
      <c r="I66" s="423">
        <v>0</v>
      </c>
      <c r="J66" s="423">
        <v>0</v>
      </c>
      <c r="K66" s="423">
        <v>0</v>
      </c>
      <c r="L66" s="423">
        <v>0</v>
      </c>
      <c r="M66" s="423">
        <v>0</v>
      </c>
      <c r="N66" s="423">
        <v>0</v>
      </c>
      <c r="O66" s="423">
        <v>0</v>
      </c>
      <c r="P66" s="423">
        <v>0</v>
      </c>
      <c r="Q66" s="423">
        <v>0</v>
      </c>
      <c r="R66" s="423">
        <v>0</v>
      </c>
      <c r="S66" s="423">
        <v>0</v>
      </c>
      <c r="T66" s="423">
        <v>0</v>
      </c>
      <c r="U66" s="423">
        <v>0</v>
      </c>
      <c r="W66" s="423">
        <f t="shared" si="75"/>
        <v>0</v>
      </c>
      <c r="X66" s="423">
        <f t="shared" si="73"/>
        <v>0</v>
      </c>
      <c r="Y66" s="423">
        <f t="shared" si="76"/>
        <v>0</v>
      </c>
      <c r="Z66" s="423">
        <f t="shared" si="76"/>
        <v>0</v>
      </c>
      <c r="AA66" s="423">
        <f t="shared" si="77"/>
        <v>0</v>
      </c>
      <c r="AB66" s="423">
        <f t="shared" si="78"/>
        <v>0</v>
      </c>
      <c r="AC66" s="423">
        <f t="shared" si="79"/>
        <v>0</v>
      </c>
      <c r="AD66" s="423">
        <f t="shared" si="79"/>
        <v>0</v>
      </c>
      <c r="AE66" s="423">
        <f t="shared" si="80"/>
        <v>0</v>
      </c>
      <c r="AF66" s="423">
        <f t="shared" si="81"/>
        <v>0</v>
      </c>
    </row>
    <row r="67" spans="1:32" outlineLevel="1">
      <c r="A67" s="418" t="s">
        <v>690</v>
      </c>
      <c r="B67" s="418" t="s">
        <v>691</v>
      </c>
      <c r="D67" s="423">
        <v>0</v>
      </c>
      <c r="E67" s="423">
        <v>0</v>
      </c>
      <c r="F67" s="423">
        <v>0</v>
      </c>
      <c r="G67" s="423">
        <v>0</v>
      </c>
      <c r="H67" s="423">
        <v>0</v>
      </c>
      <c r="I67" s="423">
        <v>0</v>
      </c>
      <c r="J67" s="423">
        <v>0</v>
      </c>
      <c r="K67" s="423">
        <v>0</v>
      </c>
      <c r="L67" s="423">
        <v>0</v>
      </c>
      <c r="M67" s="423">
        <v>0</v>
      </c>
      <c r="N67" s="423">
        <v>0</v>
      </c>
      <c r="O67" s="423">
        <v>0</v>
      </c>
      <c r="P67" s="423">
        <v>0</v>
      </c>
      <c r="Q67" s="423">
        <v>0</v>
      </c>
      <c r="R67" s="423">
        <v>0</v>
      </c>
      <c r="S67" s="423">
        <v>0</v>
      </c>
      <c r="T67" s="423">
        <v>0</v>
      </c>
      <c r="U67" s="423">
        <v>0</v>
      </c>
      <c r="W67" s="423">
        <f t="shared" si="75"/>
        <v>0</v>
      </c>
      <c r="X67" s="423">
        <f t="shared" si="73"/>
        <v>0</v>
      </c>
      <c r="Y67" s="423">
        <f t="shared" si="76"/>
        <v>0</v>
      </c>
      <c r="Z67" s="423">
        <f t="shared" si="76"/>
        <v>0</v>
      </c>
      <c r="AA67" s="423">
        <f t="shared" si="77"/>
        <v>0</v>
      </c>
      <c r="AB67" s="423">
        <f t="shared" si="78"/>
        <v>0</v>
      </c>
      <c r="AC67" s="423">
        <f t="shared" si="79"/>
        <v>0</v>
      </c>
      <c r="AD67" s="423">
        <f t="shared" si="79"/>
        <v>0</v>
      </c>
      <c r="AE67" s="423">
        <f t="shared" si="80"/>
        <v>0</v>
      </c>
      <c r="AF67" s="423">
        <f t="shared" si="81"/>
        <v>0</v>
      </c>
    </row>
    <row r="68" spans="1:32">
      <c r="A68" s="417" t="s">
        <v>692</v>
      </c>
      <c r="B68" s="417" t="s">
        <v>693</v>
      </c>
      <c r="D68" s="425">
        <v>0</v>
      </c>
      <c r="E68" s="425">
        <v>0</v>
      </c>
      <c r="F68" s="425">
        <v>0</v>
      </c>
      <c r="G68" s="425">
        <v>0</v>
      </c>
      <c r="H68" s="425">
        <v>0</v>
      </c>
      <c r="I68" s="425">
        <v>0</v>
      </c>
      <c r="J68" s="425">
        <v>0</v>
      </c>
      <c r="K68" s="425"/>
      <c r="L68" s="425"/>
      <c r="M68" s="425">
        <v>0</v>
      </c>
      <c r="N68" s="425">
        <v>0</v>
      </c>
      <c r="O68" s="425">
        <v>0</v>
      </c>
      <c r="P68" s="425">
        <v>0</v>
      </c>
      <c r="Q68" s="425">
        <v>0</v>
      </c>
      <c r="R68" s="425">
        <v>0</v>
      </c>
      <c r="S68" s="425">
        <v>0</v>
      </c>
      <c r="T68" s="425">
        <v>0</v>
      </c>
      <c r="U68" s="756">
        <v>0</v>
      </c>
      <c r="W68" s="425">
        <f t="shared" si="75"/>
        <v>0</v>
      </c>
      <c r="X68" s="425">
        <f t="shared" si="73"/>
        <v>0</v>
      </c>
      <c r="Y68" s="425">
        <f t="shared" si="76"/>
        <v>0</v>
      </c>
      <c r="Z68" s="425">
        <f t="shared" si="76"/>
        <v>0</v>
      </c>
      <c r="AA68" s="425">
        <f t="shared" si="77"/>
        <v>0</v>
      </c>
      <c r="AB68" s="425">
        <f t="shared" si="78"/>
        <v>0</v>
      </c>
      <c r="AC68" s="425">
        <f t="shared" si="79"/>
        <v>0</v>
      </c>
      <c r="AD68" s="425">
        <f t="shared" si="79"/>
        <v>0</v>
      </c>
      <c r="AE68" s="425">
        <f t="shared" si="80"/>
        <v>0</v>
      </c>
      <c r="AF68" s="756">
        <f t="shared" si="81"/>
        <v>0</v>
      </c>
    </row>
    <row r="69" spans="1:32">
      <c r="A69" s="417" t="s">
        <v>694</v>
      </c>
      <c r="B69" s="417" t="s">
        <v>695</v>
      </c>
      <c r="D69" s="422">
        <f t="shared" ref="D69:I69" si="82">SUM(D70:D77)</f>
        <v>-7067</v>
      </c>
      <c r="E69" s="422">
        <f t="shared" si="82"/>
        <v>-29071</v>
      </c>
      <c r="F69" s="422">
        <f t="shared" si="82"/>
        <v>-48929</v>
      </c>
      <c r="G69" s="422">
        <f t="shared" si="82"/>
        <v>-78504</v>
      </c>
      <c r="H69" s="422">
        <f t="shared" si="82"/>
        <v>-29469</v>
      </c>
      <c r="I69" s="422">
        <f t="shared" si="82"/>
        <v>-35692</v>
      </c>
      <c r="J69" s="422">
        <f t="shared" ref="J69:T69" si="83">SUM(J70:J77)</f>
        <v>-56281</v>
      </c>
      <c r="K69" s="422">
        <f t="shared" si="83"/>
        <v>-78439</v>
      </c>
      <c r="L69" s="422">
        <f t="shared" si="83"/>
        <v>-19216</v>
      </c>
      <c r="M69" s="422">
        <f t="shared" si="83"/>
        <v>-50147</v>
      </c>
      <c r="N69" s="422">
        <f t="shared" si="83"/>
        <v>-73323</v>
      </c>
      <c r="O69" s="422">
        <f t="shared" si="83"/>
        <v>-104527</v>
      </c>
      <c r="P69" s="422">
        <f t="shared" si="83"/>
        <v>-22830</v>
      </c>
      <c r="Q69" s="422">
        <f t="shared" si="83"/>
        <v>-49301</v>
      </c>
      <c r="R69" s="422">
        <f t="shared" si="83"/>
        <v>-67958</v>
      </c>
      <c r="S69" s="422">
        <f t="shared" si="83"/>
        <v>-97295</v>
      </c>
      <c r="T69" s="422">
        <f t="shared" si="83"/>
        <v>-22314</v>
      </c>
      <c r="U69" s="422">
        <f>SUM(U70:U77)</f>
        <v>-46082</v>
      </c>
      <c r="W69" s="422">
        <f t="shared" ref="W69:AC69" si="84">SUM(W70:W77)</f>
        <v>-19216</v>
      </c>
      <c r="X69" s="422">
        <f t="shared" si="84"/>
        <v>-30931</v>
      </c>
      <c r="Y69" s="422">
        <f t="shared" si="84"/>
        <v>-23176</v>
      </c>
      <c r="Z69" s="422">
        <f t="shared" si="84"/>
        <v>-31204</v>
      </c>
      <c r="AA69" s="422">
        <f t="shared" si="84"/>
        <v>-22830</v>
      </c>
      <c r="AB69" s="422">
        <f t="shared" si="84"/>
        <v>-26471</v>
      </c>
      <c r="AC69" s="422">
        <f t="shared" si="84"/>
        <v>-18657</v>
      </c>
      <c r="AD69" s="422">
        <f t="shared" ref="AD69:AE69" si="85">SUM(AD70:AD77)</f>
        <v>-29337</v>
      </c>
      <c r="AE69" s="422">
        <f t="shared" si="85"/>
        <v>-22314</v>
      </c>
      <c r="AF69" s="422">
        <f>SUM(AF70:AF77)</f>
        <v>-23768</v>
      </c>
    </row>
    <row r="70" spans="1:32" outlineLevel="1">
      <c r="A70" s="418" t="s">
        <v>696</v>
      </c>
      <c r="B70" s="418" t="s">
        <v>697</v>
      </c>
      <c r="D70" s="423">
        <v>-1731</v>
      </c>
      <c r="E70" s="423">
        <v>-5170</v>
      </c>
      <c r="F70" s="423">
        <v>-11064</v>
      </c>
      <c r="G70" s="423">
        <v>-17579</v>
      </c>
      <c r="H70" s="423">
        <v>-5606</v>
      </c>
      <c r="I70" s="423">
        <v>-8887</v>
      </c>
      <c r="J70" s="423">
        <v>-15263</v>
      </c>
      <c r="K70" s="423">
        <v>-16396</v>
      </c>
      <c r="L70" s="423">
        <v>-6075</v>
      </c>
      <c r="M70" s="423">
        <v>-17477</v>
      </c>
      <c r="N70" s="423">
        <v>-23713</v>
      </c>
      <c r="O70" s="423">
        <v>-32282</v>
      </c>
      <c r="P70" s="423">
        <v>-8915</v>
      </c>
      <c r="Q70" s="423">
        <v>-15695</v>
      </c>
      <c r="R70" s="423">
        <v>-23399</v>
      </c>
      <c r="S70" s="423">
        <v>-34952</v>
      </c>
      <c r="T70" s="423">
        <v>-8483</v>
      </c>
      <c r="U70" s="423">
        <v>-17615</v>
      </c>
      <c r="W70" s="423">
        <f t="shared" ref="W70:W78" si="86">L70</f>
        <v>-6075</v>
      </c>
      <c r="X70" s="423">
        <f t="shared" ref="X70:X82" si="87">M70-W70</f>
        <v>-11402</v>
      </c>
      <c r="Y70" s="423">
        <f t="shared" ref="Y70:Y78" si="88">N70-M70</f>
        <v>-6236</v>
      </c>
      <c r="Z70" s="423">
        <f t="shared" ref="Z70:Z78" si="89">O70-N70</f>
        <v>-8569</v>
      </c>
      <c r="AA70" s="423">
        <f t="shared" ref="AA70:AA78" si="90">P70</f>
        <v>-8915</v>
      </c>
      <c r="AB70" s="423">
        <f t="shared" ref="AB70:AB78" si="91">Q70-AA70</f>
        <v>-6780</v>
      </c>
      <c r="AC70" s="423">
        <f t="shared" ref="AC70:AC78" si="92">R70-Q70</f>
        <v>-7704</v>
      </c>
      <c r="AD70" s="423">
        <f t="shared" ref="AD70:AD78" si="93">S70-R70</f>
        <v>-11553</v>
      </c>
      <c r="AE70" s="423">
        <f t="shared" ref="AE70:AE78" si="94">T70</f>
        <v>-8483</v>
      </c>
      <c r="AF70" s="423">
        <f t="shared" ref="AF70:AF78" si="95">U70-T70</f>
        <v>-9132</v>
      </c>
    </row>
    <row r="71" spans="1:32" outlineLevel="1">
      <c r="A71" s="418" t="s">
        <v>698</v>
      </c>
      <c r="B71" s="418" t="s">
        <v>699</v>
      </c>
      <c r="D71" s="423">
        <v>0</v>
      </c>
      <c r="E71" s="423">
        <v>0</v>
      </c>
      <c r="F71" s="423">
        <v>0</v>
      </c>
      <c r="G71" s="423">
        <v>-78</v>
      </c>
      <c r="H71" s="423">
        <v>-17</v>
      </c>
      <c r="I71" s="423">
        <v>-71</v>
      </c>
      <c r="J71" s="423">
        <v>-104</v>
      </c>
      <c r="K71" s="423">
        <v>-245</v>
      </c>
      <c r="L71" s="423">
        <v>-61</v>
      </c>
      <c r="M71" s="423">
        <v>-158</v>
      </c>
      <c r="N71" s="423">
        <v>-261</v>
      </c>
      <c r="O71" s="423">
        <v>-219</v>
      </c>
      <c r="P71" s="423">
        <v>-1006</v>
      </c>
      <c r="Q71" s="423">
        <v>-2277</v>
      </c>
      <c r="R71" s="423">
        <v>-2118</v>
      </c>
      <c r="S71" s="423">
        <v>-2107</v>
      </c>
      <c r="T71" s="423">
        <v>-203</v>
      </c>
      <c r="U71" s="423">
        <v>-347</v>
      </c>
      <c r="W71" s="423">
        <f t="shared" si="86"/>
        <v>-61</v>
      </c>
      <c r="X71" s="423">
        <f t="shared" si="87"/>
        <v>-97</v>
      </c>
      <c r="Y71" s="423">
        <f t="shared" si="88"/>
        <v>-103</v>
      </c>
      <c r="Z71" s="423">
        <f t="shared" si="89"/>
        <v>42</v>
      </c>
      <c r="AA71" s="423">
        <f t="shared" si="90"/>
        <v>-1006</v>
      </c>
      <c r="AB71" s="423">
        <f t="shared" si="91"/>
        <v>-1271</v>
      </c>
      <c r="AC71" s="423">
        <f t="shared" si="92"/>
        <v>159</v>
      </c>
      <c r="AD71" s="423">
        <f t="shared" si="93"/>
        <v>11</v>
      </c>
      <c r="AE71" s="423">
        <f t="shared" si="94"/>
        <v>-203</v>
      </c>
      <c r="AF71" s="423">
        <f t="shared" si="95"/>
        <v>-144</v>
      </c>
    </row>
    <row r="72" spans="1:32" outlineLevel="1">
      <c r="A72" s="418" t="s">
        <v>700</v>
      </c>
      <c r="B72" s="418" t="s">
        <v>701</v>
      </c>
      <c r="D72" s="423">
        <v>-1807</v>
      </c>
      <c r="E72" s="423">
        <v>-4616</v>
      </c>
      <c r="F72" s="423">
        <v>-11201</v>
      </c>
      <c r="G72" s="423">
        <v>-17331</v>
      </c>
      <c r="H72" s="423">
        <v>-13015</v>
      </c>
      <c r="I72" s="423">
        <v>-2814</v>
      </c>
      <c r="J72" s="423">
        <v>-5444</v>
      </c>
      <c r="K72" s="423">
        <v>-6869</v>
      </c>
      <c r="L72" s="423">
        <v>-1408</v>
      </c>
      <c r="M72" s="423">
        <v>-6061</v>
      </c>
      <c r="N72" s="423">
        <v>-7695</v>
      </c>
      <c r="O72" s="423">
        <v>-11313</v>
      </c>
      <c r="P72" s="423">
        <v>-862</v>
      </c>
      <c r="Q72" s="423">
        <v>-3409</v>
      </c>
      <c r="R72" s="423">
        <v>-7414</v>
      </c>
      <c r="S72" s="423">
        <v>-10129</v>
      </c>
      <c r="T72" s="423">
        <v>-1675</v>
      </c>
      <c r="U72" s="423">
        <v>-3277</v>
      </c>
      <c r="W72" s="423">
        <f t="shared" si="86"/>
        <v>-1408</v>
      </c>
      <c r="X72" s="423">
        <f t="shared" si="87"/>
        <v>-4653</v>
      </c>
      <c r="Y72" s="423">
        <f t="shared" si="88"/>
        <v>-1634</v>
      </c>
      <c r="Z72" s="423">
        <f t="shared" si="89"/>
        <v>-3618</v>
      </c>
      <c r="AA72" s="423">
        <f t="shared" si="90"/>
        <v>-862</v>
      </c>
      <c r="AB72" s="423">
        <f t="shared" si="91"/>
        <v>-2547</v>
      </c>
      <c r="AC72" s="423">
        <f t="shared" si="92"/>
        <v>-4005</v>
      </c>
      <c r="AD72" s="423">
        <f t="shared" si="93"/>
        <v>-2715</v>
      </c>
      <c r="AE72" s="423">
        <f t="shared" si="94"/>
        <v>-1675</v>
      </c>
      <c r="AF72" s="423">
        <f t="shared" si="95"/>
        <v>-1602</v>
      </c>
    </row>
    <row r="73" spans="1:32" outlineLevel="1">
      <c r="A73" s="418" t="s">
        <v>702</v>
      </c>
      <c r="B73" s="418" t="s">
        <v>703</v>
      </c>
      <c r="D73" s="423">
        <v>0</v>
      </c>
      <c r="E73" s="423">
        <v>0</v>
      </c>
      <c r="F73" s="423">
        <v>0</v>
      </c>
      <c r="G73" s="423">
        <v>0</v>
      </c>
      <c r="H73" s="423">
        <v>0</v>
      </c>
      <c r="I73" s="423">
        <v>0</v>
      </c>
      <c r="J73" s="423">
        <v>0</v>
      </c>
      <c r="K73" s="423">
        <v>0</v>
      </c>
      <c r="L73" s="423">
        <v>0</v>
      </c>
      <c r="M73" s="423">
        <v>0</v>
      </c>
      <c r="N73" s="423">
        <v>0</v>
      </c>
      <c r="O73" s="423">
        <v>0</v>
      </c>
      <c r="P73" s="423">
        <v>0</v>
      </c>
      <c r="Q73" s="423">
        <v>0</v>
      </c>
      <c r="R73" s="423">
        <v>0</v>
      </c>
      <c r="S73" s="423">
        <v>0</v>
      </c>
      <c r="T73" s="423">
        <v>0</v>
      </c>
      <c r="U73" s="423">
        <v>0</v>
      </c>
      <c r="W73" s="423">
        <f t="shared" si="86"/>
        <v>0</v>
      </c>
      <c r="X73" s="423">
        <f t="shared" si="87"/>
        <v>0</v>
      </c>
      <c r="Y73" s="423">
        <f t="shared" si="88"/>
        <v>0</v>
      </c>
      <c r="Z73" s="423">
        <f t="shared" si="89"/>
        <v>0</v>
      </c>
      <c r="AA73" s="423">
        <f t="shared" si="90"/>
        <v>0</v>
      </c>
      <c r="AB73" s="423">
        <f t="shared" si="91"/>
        <v>0</v>
      </c>
      <c r="AC73" s="423">
        <f t="shared" si="92"/>
        <v>0</v>
      </c>
      <c r="AD73" s="423">
        <f t="shared" si="93"/>
        <v>0</v>
      </c>
      <c r="AE73" s="423">
        <f t="shared" si="94"/>
        <v>0</v>
      </c>
      <c r="AF73" s="423">
        <f t="shared" si="95"/>
        <v>0</v>
      </c>
    </row>
    <row r="74" spans="1:32" outlineLevel="1">
      <c r="A74" s="418" t="s">
        <v>704</v>
      </c>
      <c r="B74" s="418" t="s">
        <v>705</v>
      </c>
      <c r="D74" s="423">
        <v>-323</v>
      </c>
      <c r="E74" s="423">
        <v>-9378</v>
      </c>
      <c r="F74" s="423">
        <v>-3883</v>
      </c>
      <c r="G74" s="423">
        <v>-11022</v>
      </c>
      <c r="H74" s="423">
        <v>-1242</v>
      </c>
      <c r="I74" s="423">
        <v>-4686</v>
      </c>
      <c r="J74" s="423">
        <v>-5173</v>
      </c>
      <c r="K74" s="423">
        <v>-11076</v>
      </c>
      <c r="L74" s="423">
        <v>-622</v>
      </c>
      <c r="M74" s="423">
        <v>-4632</v>
      </c>
      <c r="N74" s="423">
        <v>-8814</v>
      </c>
      <c r="O74" s="423">
        <v>-14326</v>
      </c>
      <c r="P74" s="423">
        <v>-1162</v>
      </c>
      <c r="Q74" s="423">
        <v>-5438</v>
      </c>
      <c r="R74" s="423">
        <v>-1307</v>
      </c>
      <c r="S74" s="423">
        <v>-5135</v>
      </c>
      <c r="T74" s="423">
        <v>-775</v>
      </c>
      <c r="U74" s="423">
        <v>-2493</v>
      </c>
      <c r="W74" s="423">
        <f t="shared" si="86"/>
        <v>-622</v>
      </c>
      <c r="X74" s="423">
        <f t="shared" si="87"/>
        <v>-4010</v>
      </c>
      <c r="Y74" s="423">
        <f t="shared" si="88"/>
        <v>-4182</v>
      </c>
      <c r="Z74" s="423">
        <f t="shared" si="89"/>
        <v>-5512</v>
      </c>
      <c r="AA74" s="423">
        <f t="shared" si="90"/>
        <v>-1162</v>
      </c>
      <c r="AB74" s="423">
        <f t="shared" si="91"/>
        <v>-4276</v>
      </c>
      <c r="AC74" s="423">
        <f t="shared" si="92"/>
        <v>4131</v>
      </c>
      <c r="AD74" s="423">
        <f t="shared" si="93"/>
        <v>-3828</v>
      </c>
      <c r="AE74" s="423">
        <f t="shared" si="94"/>
        <v>-775</v>
      </c>
      <c r="AF74" s="423">
        <f t="shared" si="95"/>
        <v>-1718</v>
      </c>
    </row>
    <row r="75" spans="1:32" outlineLevel="1">
      <c r="A75" s="418" t="s">
        <v>706</v>
      </c>
      <c r="B75" s="418" t="s">
        <v>707</v>
      </c>
      <c r="D75" s="423">
        <v>0</v>
      </c>
      <c r="E75" s="423">
        <v>0</v>
      </c>
      <c r="F75" s="423">
        <v>0</v>
      </c>
      <c r="G75" s="423">
        <v>0</v>
      </c>
      <c r="H75" s="423">
        <v>0</v>
      </c>
      <c r="I75" s="423">
        <v>0</v>
      </c>
      <c r="J75" s="423">
        <v>0</v>
      </c>
      <c r="K75" s="423">
        <v>0</v>
      </c>
      <c r="L75" s="423">
        <v>0</v>
      </c>
      <c r="M75" s="423">
        <v>0</v>
      </c>
      <c r="N75" s="423">
        <v>0</v>
      </c>
      <c r="O75" s="423">
        <v>0</v>
      </c>
      <c r="P75" s="423">
        <v>0</v>
      </c>
      <c r="Q75" s="423">
        <v>0</v>
      </c>
      <c r="R75" s="423">
        <v>0</v>
      </c>
      <c r="S75" s="423">
        <v>0</v>
      </c>
      <c r="T75" s="423">
        <v>0</v>
      </c>
      <c r="U75" s="423">
        <v>0</v>
      </c>
      <c r="W75" s="423">
        <f t="shared" si="86"/>
        <v>0</v>
      </c>
      <c r="X75" s="423">
        <f t="shared" si="87"/>
        <v>0</v>
      </c>
      <c r="Y75" s="423">
        <f t="shared" si="88"/>
        <v>0</v>
      </c>
      <c r="Z75" s="423">
        <f t="shared" si="89"/>
        <v>0</v>
      </c>
      <c r="AA75" s="423">
        <f t="shared" si="90"/>
        <v>0</v>
      </c>
      <c r="AB75" s="423">
        <f t="shared" si="91"/>
        <v>0</v>
      </c>
      <c r="AC75" s="423">
        <f t="shared" si="92"/>
        <v>0</v>
      </c>
      <c r="AD75" s="423">
        <f t="shared" si="93"/>
        <v>0</v>
      </c>
      <c r="AE75" s="423">
        <f t="shared" si="94"/>
        <v>0</v>
      </c>
      <c r="AF75" s="423">
        <f t="shared" si="95"/>
        <v>0</v>
      </c>
    </row>
    <row r="76" spans="1:32" outlineLevel="1">
      <c r="A76" s="418" t="s">
        <v>708</v>
      </c>
      <c r="B76" s="418" t="s">
        <v>709</v>
      </c>
      <c r="D76" s="423">
        <v>-3206</v>
      </c>
      <c r="E76" s="423">
        <v>-9907</v>
      </c>
      <c r="F76" s="423">
        <v>-753</v>
      </c>
      <c r="G76" s="423">
        <v>-1025</v>
      </c>
      <c r="H76" s="423">
        <v>-148</v>
      </c>
      <c r="I76" s="423">
        <v>-353</v>
      </c>
      <c r="J76" s="423">
        <v>-1975</v>
      </c>
      <c r="K76" s="423">
        <v>-6090</v>
      </c>
      <c r="L76" s="423">
        <v>-1609</v>
      </c>
      <c r="M76" s="423">
        <v>-2938</v>
      </c>
      <c r="N76" s="423">
        <v>-4518</v>
      </c>
      <c r="O76" s="423">
        <v>-8624</v>
      </c>
      <c r="P76" s="423">
        <v>-1444</v>
      </c>
      <c r="Q76" s="423">
        <v>-3601</v>
      </c>
      <c r="R76" s="423">
        <v>-5398</v>
      </c>
      <c r="S76" s="423">
        <v>-7209</v>
      </c>
      <c r="T76" s="423">
        <v>-1737</v>
      </c>
      <c r="U76" s="423">
        <v>-3469</v>
      </c>
      <c r="W76" s="423">
        <f t="shared" si="86"/>
        <v>-1609</v>
      </c>
      <c r="X76" s="423">
        <f t="shared" si="87"/>
        <v>-1329</v>
      </c>
      <c r="Y76" s="423">
        <f t="shared" si="88"/>
        <v>-1580</v>
      </c>
      <c r="Z76" s="423">
        <f t="shared" si="89"/>
        <v>-4106</v>
      </c>
      <c r="AA76" s="423">
        <f t="shared" si="90"/>
        <v>-1444</v>
      </c>
      <c r="AB76" s="423">
        <f t="shared" si="91"/>
        <v>-2157</v>
      </c>
      <c r="AC76" s="423">
        <f t="shared" si="92"/>
        <v>-1797</v>
      </c>
      <c r="AD76" s="423">
        <f t="shared" si="93"/>
        <v>-1811</v>
      </c>
      <c r="AE76" s="423">
        <f t="shared" si="94"/>
        <v>-1737</v>
      </c>
      <c r="AF76" s="423">
        <f t="shared" si="95"/>
        <v>-1732</v>
      </c>
    </row>
    <row r="77" spans="1:32" outlineLevel="1">
      <c r="A77" s="418" t="s">
        <v>710</v>
      </c>
      <c r="B77" s="418" t="s">
        <v>711</v>
      </c>
      <c r="D77" s="423">
        <v>0</v>
      </c>
      <c r="E77" s="423">
        <v>0</v>
      </c>
      <c r="F77" s="423">
        <v>-22028</v>
      </c>
      <c r="G77" s="423">
        <v>-31469</v>
      </c>
      <c r="H77" s="423">
        <v>-9441</v>
      </c>
      <c r="I77" s="423">
        <v>-18881</v>
      </c>
      <c r="J77" s="423">
        <v>-28322</v>
      </c>
      <c r="K77" s="423">
        <v>-37763</v>
      </c>
      <c r="L77" s="423">
        <v>-9441</v>
      </c>
      <c r="M77" s="423">
        <v>-18881</v>
      </c>
      <c r="N77" s="423">
        <v>-28322</v>
      </c>
      <c r="O77" s="423">
        <v>-37763</v>
      </c>
      <c r="P77" s="423">
        <v>-9441</v>
      </c>
      <c r="Q77" s="423">
        <v>-18881</v>
      </c>
      <c r="R77" s="423">
        <v>-28322</v>
      </c>
      <c r="S77" s="423">
        <v>-37763</v>
      </c>
      <c r="T77" s="423">
        <v>-9441</v>
      </c>
      <c r="U77" s="423">
        <v>-18881</v>
      </c>
      <c r="W77" s="423">
        <f t="shared" si="86"/>
        <v>-9441</v>
      </c>
      <c r="X77" s="423">
        <f t="shared" si="87"/>
        <v>-9440</v>
      </c>
      <c r="Y77" s="423">
        <f t="shared" si="88"/>
        <v>-9441</v>
      </c>
      <c r="Z77" s="423">
        <f t="shared" si="89"/>
        <v>-9441</v>
      </c>
      <c r="AA77" s="423">
        <f t="shared" si="90"/>
        <v>-9441</v>
      </c>
      <c r="AB77" s="423">
        <f t="shared" si="91"/>
        <v>-9440</v>
      </c>
      <c r="AC77" s="423">
        <f t="shared" si="92"/>
        <v>-9441</v>
      </c>
      <c r="AD77" s="423">
        <f t="shared" si="93"/>
        <v>-9441</v>
      </c>
      <c r="AE77" s="423">
        <f t="shared" si="94"/>
        <v>-9441</v>
      </c>
      <c r="AF77" s="423">
        <f t="shared" si="95"/>
        <v>-9440</v>
      </c>
    </row>
    <row r="78" spans="1:32">
      <c r="A78" s="417" t="s">
        <v>712</v>
      </c>
      <c r="B78" s="417" t="s">
        <v>713</v>
      </c>
      <c r="D78" s="422">
        <v>0</v>
      </c>
      <c r="E78" s="422">
        <v>0</v>
      </c>
      <c r="F78" s="422">
        <v>0</v>
      </c>
      <c r="G78" s="422">
        <v>0</v>
      </c>
      <c r="H78" s="422">
        <v>0</v>
      </c>
      <c r="I78" s="422">
        <v>0</v>
      </c>
      <c r="J78" s="422">
        <v>0</v>
      </c>
      <c r="K78" s="422"/>
      <c r="L78" s="422"/>
      <c r="M78" s="422">
        <v>0</v>
      </c>
      <c r="N78" s="422">
        <v>0</v>
      </c>
      <c r="O78" s="422">
        <v>0</v>
      </c>
      <c r="P78" s="422">
        <v>0</v>
      </c>
      <c r="Q78" s="422">
        <v>0</v>
      </c>
      <c r="R78" s="422">
        <v>0</v>
      </c>
      <c r="S78" s="422">
        <v>0</v>
      </c>
      <c r="T78" s="422">
        <v>0</v>
      </c>
      <c r="U78" s="422">
        <v>0</v>
      </c>
      <c r="W78" s="422">
        <f t="shared" si="86"/>
        <v>0</v>
      </c>
      <c r="X78" s="422">
        <f t="shared" si="87"/>
        <v>0</v>
      </c>
      <c r="Y78" s="422">
        <f t="shared" si="88"/>
        <v>0</v>
      </c>
      <c r="Z78" s="422">
        <f t="shared" si="89"/>
        <v>0</v>
      </c>
      <c r="AA78" s="422">
        <f t="shared" si="90"/>
        <v>0</v>
      </c>
      <c r="AB78" s="422">
        <f t="shared" si="91"/>
        <v>0</v>
      </c>
      <c r="AC78" s="422">
        <f t="shared" si="92"/>
        <v>0</v>
      </c>
      <c r="AD78" s="422">
        <f t="shared" si="93"/>
        <v>0</v>
      </c>
      <c r="AE78" s="422">
        <f t="shared" si="94"/>
        <v>0</v>
      </c>
      <c r="AF78" s="422">
        <f t="shared" si="95"/>
        <v>0</v>
      </c>
    </row>
    <row r="79" spans="1:32">
      <c r="A79" s="417" t="s">
        <v>714</v>
      </c>
      <c r="B79" s="417" t="s">
        <v>715</v>
      </c>
      <c r="D79" s="422">
        <f>SUM(D80:D82)</f>
        <v>0</v>
      </c>
      <c r="E79" s="422">
        <f t="shared" ref="E79:M79" si="96">SUM(E80:E82)</f>
        <v>0</v>
      </c>
      <c r="F79" s="422">
        <f t="shared" si="96"/>
        <v>0</v>
      </c>
      <c r="G79" s="422">
        <f t="shared" si="96"/>
        <v>0</v>
      </c>
      <c r="H79" s="422">
        <f t="shared" si="96"/>
        <v>-446</v>
      </c>
      <c r="I79" s="422">
        <f t="shared" si="96"/>
        <v>270</v>
      </c>
      <c r="J79" s="422">
        <f t="shared" si="96"/>
        <v>-493</v>
      </c>
      <c r="K79" s="422">
        <f t="shared" si="96"/>
        <v>-20201</v>
      </c>
      <c r="L79" s="422">
        <f t="shared" si="96"/>
        <v>59</v>
      </c>
      <c r="M79" s="422">
        <f t="shared" si="96"/>
        <v>122</v>
      </c>
      <c r="N79" s="422">
        <f t="shared" ref="N79:T79" si="97">SUM(N80:N82)</f>
        <v>170</v>
      </c>
      <c r="O79" s="422">
        <f t="shared" si="97"/>
        <v>11056</v>
      </c>
      <c r="P79" s="422">
        <f t="shared" si="97"/>
        <v>48</v>
      </c>
      <c r="Q79" s="422">
        <f t="shared" si="97"/>
        <v>-4730</v>
      </c>
      <c r="R79" s="422">
        <f t="shared" si="97"/>
        <v>-13171</v>
      </c>
      <c r="S79" s="422">
        <f t="shared" si="97"/>
        <v>-296714</v>
      </c>
      <c r="T79" s="422">
        <f t="shared" si="97"/>
        <v>-4339</v>
      </c>
      <c r="U79" s="422">
        <f>SUM(U80:U82)</f>
        <v>-1949</v>
      </c>
      <c r="W79" s="422">
        <f t="shared" ref="W79:AC79" si="98">SUM(W80:W82)</f>
        <v>59</v>
      </c>
      <c r="X79" s="422">
        <f t="shared" si="98"/>
        <v>63</v>
      </c>
      <c r="Y79" s="422">
        <f t="shared" si="98"/>
        <v>48</v>
      </c>
      <c r="Z79" s="422">
        <f t="shared" si="98"/>
        <v>10886</v>
      </c>
      <c r="AA79" s="422">
        <f t="shared" si="98"/>
        <v>48</v>
      </c>
      <c r="AB79" s="422">
        <f t="shared" si="98"/>
        <v>-4778</v>
      </c>
      <c r="AC79" s="422">
        <f t="shared" si="98"/>
        <v>-8441</v>
      </c>
      <c r="AD79" s="422">
        <f t="shared" ref="AD79:AE79" si="99">SUM(AD80:AD82)</f>
        <v>-283543</v>
      </c>
      <c r="AE79" s="422">
        <f t="shared" si="99"/>
        <v>-4339</v>
      </c>
      <c r="AF79" s="422">
        <f>SUM(AF80:AF82)</f>
        <v>2390</v>
      </c>
    </row>
    <row r="80" spans="1:32" outlineLevel="1">
      <c r="A80" s="418" t="s">
        <v>716</v>
      </c>
      <c r="B80" s="418" t="s">
        <v>717</v>
      </c>
      <c r="D80" s="423">
        <v>0</v>
      </c>
      <c r="E80" s="423">
        <v>0</v>
      </c>
      <c r="F80" s="423">
        <v>0</v>
      </c>
      <c r="G80" s="423">
        <v>0</v>
      </c>
      <c r="H80" s="423">
        <v>-446</v>
      </c>
      <c r="I80" s="423">
        <v>270</v>
      </c>
      <c r="J80" s="423">
        <v>-493</v>
      </c>
      <c r="K80" s="423">
        <v>-20201</v>
      </c>
      <c r="L80" s="423">
        <v>59</v>
      </c>
      <c r="M80" s="423">
        <v>122</v>
      </c>
      <c r="N80" s="423">
        <v>170</v>
      </c>
      <c r="O80" s="423">
        <v>11056</v>
      </c>
      <c r="P80" s="423">
        <v>48</v>
      </c>
      <c r="Q80" s="423">
        <v>-4730</v>
      </c>
      <c r="R80" s="423">
        <v>-13171</v>
      </c>
      <c r="S80" s="423">
        <v>-296714</v>
      </c>
      <c r="T80" s="423">
        <v>-4339</v>
      </c>
      <c r="U80" s="423">
        <v>-1949</v>
      </c>
      <c r="W80" s="423">
        <f>L80</f>
        <v>59</v>
      </c>
      <c r="X80" s="423">
        <f t="shared" si="87"/>
        <v>63</v>
      </c>
      <c r="Y80" s="423">
        <f t="shared" ref="Y80:Z82" si="100">N80-M80</f>
        <v>48</v>
      </c>
      <c r="Z80" s="423">
        <f t="shared" si="100"/>
        <v>10886</v>
      </c>
      <c r="AA80" s="423">
        <f>P80</f>
        <v>48</v>
      </c>
      <c r="AB80" s="423">
        <f t="shared" ref="AB80:AB82" si="101">Q80-AA80</f>
        <v>-4778</v>
      </c>
      <c r="AC80" s="423">
        <f t="shared" ref="AC80:AD82" si="102">R80-Q80</f>
        <v>-8441</v>
      </c>
      <c r="AD80" s="423">
        <f t="shared" si="102"/>
        <v>-283543</v>
      </c>
      <c r="AE80" s="423">
        <f>T80</f>
        <v>-4339</v>
      </c>
      <c r="AF80" s="423">
        <f>U80-T80</f>
        <v>2390</v>
      </c>
    </row>
    <row r="81" spans="1:32" outlineLevel="1">
      <c r="A81" s="418" t="s">
        <v>718</v>
      </c>
      <c r="B81" s="418" t="s">
        <v>719</v>
      </c>
      <c r="D81" s="423">
        <v>0</v>
      </c>
      <c r="E81" s="423">
        <v>0</v>
      </c>
      <c r="F81" s="423">
        <v>0</v>
      </c>
      <c r="G81" s="423">
        <v>0</v>
      </c>
      <c r="H81" s="423">
        <v>0</v>
      </c>
      <c r="I81" s="423">
        <v>0</v>
      </c>
      <c r="J81" s="423">
        <v>0</v>
      </c>
      <c r="K81" s="423">
        <v>0</v>
      </c>
      <c r="L81" s="423">
        <v>0</v>
      </c>
      <c r="M81" s="423">
        <v>0</v>
      </c>
      <c r="N81" s="423">
        <v>0</v>
      </c>
      <c r="O81" s="423">
        <v>0</v>
      </c>
      <c r="P81" s="423">
        <v>0</v>
      </c>
      <c r="Q81" s="423">
        <v>0</v>
      </c>
      <c r="R81" s="423">
        <v>0</v>
      </c>
      <c r="S81" s="423">
        <v>0</v>
      </c>
      <c r="T81" s="423">
        <v>0</v>
      </c>
      <c r="U81" s="423">
        <v>0</v>
      </c>
      <c r="W81" s="423">
        <f>L81</f>
        <v>0</v>
      </c>
      <c r="X81" s="423">
        <f t="shared" si="87"/>
        <v>0</v>
      </c>
      <c r="Y81" s="423">
        <f t="shared" si="100"/>
        <v>0</v>
      </c>
      <c r="Z81" s="423">
        <f t="shared" si="100"/>
        <v>0</v>
      </c>
      <c r="AA81" s="423">
        <f>P81</f>
        <v>0</v>
      </c>
      <c r="AB81" s="423">
        <f t="shared" si="101"/>
        <v>0</v>
      </c>
      <c r="AC81" s="423">
        <f t="shared" si="102"/>
        <v>0</v>
      </c>
      <c r="AD81" s="423">
        <f t="shared" si="102"/>
        <v>0</v>
      </c>
      <c r="AE81" s="423">
        <f>T81</f>
        <v>0</v>
      </c>
      <c r="AF81" s="423">
        <f>U81-T81</f>
        <v>0</v>
      </c>
    </row>
    <row r="82" spans="1:32" outlineLevel="1">
      <c r="A82" s="418" t="s">
        <v>720</v>
      </c>
      <c r="B82" s="418" t="s">
        <v>721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>
        <v>0</v>
      </c>
      <c r="N82" s="423">
        <v>0</v>
      </c>
      <c r="O82" s="423">
        <v>0</v>
      </c>
      <c r="P82" s="423">
        <v>0</v>
      </c>
      <c r="Q82" s="423">
        <v>0</v>
      </c>
      <c r="R82" s="423">
        <v>0</v>
      </c>
      <c r="S82" s="423">
        <v>0</v>
      </c>
      <c r="T82" s="423">
        <v>0</v>
      </c>
      <c r="U82" s="423">
        <v>0</v>
      </c>
      <c r="W82" s="423"/>
      <c r="X82" s="423">
        <f t="shared" si="87"/>
        <v>0</v>
      </c>
      <c r="Y82" s="423">
        <f t="shared" si="100"/>
        <v>0</v>
      </c>
      <c r="Z82" s="423">
        <f t="shared" si="100"/>
        <v>0</v>
      </c>
      <c r="AA82" s="423">
        <f>P82</f>
        <v>0</v>
      </c>
      <c r="AB82" s="423">
        <f t="shared" si="101"/>
        <v>0</v>
      </c>
      <c r="AC82" s="423">
        <f t="shared" si="102"/>
        <v>0</v>
      </c>
      <c r="AD82" s="423">
        <f t="shared" si="102"/>
        <v>0</v>
      </c>
      <c r="AE82" s="423">
        <f>T82</f>
        <v>0</v>
      </c>
      <c r="AF82" s="423">
        <f>U82-T82</f>
        <v>0</v>
      </c>
    </row>
    <row r="83" spans="1:32">
      <c r="A83" s="417"/>
      <c r="B83" s="417"/>
      <c r="D83" s="417"/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</row>
    <row r="84" spans="1:32">
      <c r="A84" s="429" t="s">
        <v>722</v>
      </c>
      <c r="B84" s="429" t="s">
        <v>722</v>
      </c>
      <c r="D84" s="420">
        <f t="shared" ref="D84:I84" si="103">D86-D76-D53-D77</f>
        <v>39255</v>
      </c>
      <c r="E84" s="420">
        <f t="shared" si="103"/>
        <v>150151</v>
      </c>
      <c r="F84" s="420">
        <f t="shared" si="103"/>
        <v>374071</v>
      </c>
      <c r="G84" s="420">
        <f t="shared" si="103"/>
        <v>568574</v>
      </c>
      <c r="H84" s="420">
        <f t="shared" si="103"/>
        <v>137685</v>
      </c>
      <c r="I84" s="420">
        <f t="shared" si="103"/>
        <v>262659</v>
      </c>
      <c r="J84" s="420">
        <f t="shared" ref="J84:Q84" si="104">J86-J76-J53-J77</f>
        <v>462189</v>
      </c>
      <c r="K84" s="420">
        <f t="shared" si="104"/>
        <v>678753</v>
      </c>
      <c r="L84" s="420">
        <f t="shared" si="104"/>
        <v>114914</v>
      </c>
      <c r="M84" s="420">
        <f t="shared" si="104"/>
        <v>224614</v>
      </c>
      <c r="N84" s="420">
        <f t="shared" si="104"/>
        <v>430924</v>
      </c>
      <c r="O84" s="420">
        <f t="shared" si="104"/>
        <v>625860</v>
      </c>
      <c r="P84" s="420">
        <f t="shared" si="104"/>
        <v>118922</v>
      </c>
      <c r="Q84" s="420">
        <f t="shared" si="104"/>
        <v>243113</v>
      </c>
      <c r="R84" s="420">
        <f t="shared" ref="R84:T84" si="105">R86-R76-R53-R77</f>
        <v>430195</v>
      </c>
      <c r="S84" s="420">
        <f t="shared" si="105"/>
        <v>336078</v>
      </c>
      <c r="T84" s="741">
        <f t="shared" si="105"/>
        <v>106047</v>
      </c>
      <c r="U84" s="741">
        <f>U86-U76-U53-U77</f>
        <v>199039</v>
      </c>
      <c r="W84" s="420">
        <f t="shared" ref="W84:AC84" si="106">W86-W76-W53-W77</f>
        <v>114914</v>
      </c>
      <c r="X84" s="420">
        <f t="shared" si="106"/>
        <v>109700</v>
      </c>
      <c r="Y84" s="420">
        <f t="shared" si="106"/>
        <v>206310</v>
      </c>
      <c r="Z84" s="420">
        <f t="shared" si="106"/>
        <v>194936</v>
      </c>
      <c r="AA84" s="420">
        <f t="shared" si="106"/>
        <v>118922</v>
      </c>
      <c r="AB84" s="420">
        <f t="shared" si="106"/>
        <v>124191</v>
      </c>
      <c r="AC84" s="420">
        <f t="shared" si="106"/>
        <v>187082</v>
      </c>
      <c r="AD84" s="420">
        <f t="shared" ref="AD84:AE84" si="107">AD86-AD76-AD53-AD77</f>
        <v>-94117</v>
      </c>
      <c r="AE84" s="420">
        <f t="shared" si="107"/>
        <v>106047</v>
      </c>
      <c r="AF84" s="741">
        <f>AF86-AF76-AF53-AF77</f>
        <v>134613</v>
      </c>
    </row>
    <row r="85" spans="1:32">
      <c r="A85" s="417"/>
      <c r="B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</row>
    <row r="86" spans="1:32">
      <c r="A86" s="429" t="s">
        <v>723</v>
      </c>
      <c r="B86" s="429" t="s">
        <v>724</v>
      </c>
      <c r="D86" s="420">
        <f t="shared" ref="D86:I86" si="108">D58+D60</f>
        <v>14422</v>
      </c>
      <c r="E86" s="420">
        <f t="shared" si="108"/>
        <v>57157</v>
      </c>
      <c r="F86" s="420">
        <f t="shared" si="108"/>
        <v>204621</v>
      </c>
      <c r="G86" s="420">
        <f t="shared" si="108"/>
        <v>320210</v>
      </c>
      <c r="H86" s="420">
        <f t="shared" si="108"/>
        <v>61564</v>
      </c>
      <c r="I86" s="420">
        <f t="shared" si="108"/>
        <v>111258</v>
      </c>
      <c r="J86" s="420">
        <f t="shared" ref="J86:Q86" si="109">J58+J60</f>
        <v>236499</v>
      </c>
      <c r="K86" s="420">
        <f t="shared" si="109"/>
        <v>422946</v>
      </c>
      <c r="L86" s="420">
        <f t="shared" si="109"/>
        <v>49695</v>
      </c>
      <c r="M86" s="420">
        <f t="shared" si="109"/>
        <v>94274</v>
      </c>
      <c r="N86" s="420">
        <f t="shared" si="109"/>
        <v>235079</v>
      </c>
      <c r="O86" s="420">
        <f t="shared" si="109"/>
        <v>360997</v>
      </c>
      <c r="P86" s="420">
        <f t="shared" si="109"/>
        <v>53931</v>
      </c>
      <c r="Q86" s="420">
        <f t="shared" si="109"/>
        <v>112420</v>
      </c>
      <c r="R86" s="420">
        <f t="shared" ref="R86:T86" si="110">R58+R60</f>
        <v>234158</v>
      </c>
      <c r="S86" s="420">
        <f t="shared" si="110"/>
        <v>70439</v>
      </c>
      <c r="T86" s="741">
        <f t="shared" si="110"/>
        <v>39698</v>
      </c>
      <c r="U86" s="741">
        <f>U58+U60</f>
        <v>66134</v>
      </c>
      <c r="W86" s="420">
        <f t="shared" ref="W86:AC86" si="111">W58+W60</f>
        <v>49695</v>
      </c>
      <c r="X86" s="420">
        <f t="shared" si="111"/>
        <v>44579</v>
      </c>
      <c r="Y86" s="420">
        <f t="shared" si="111"/>
        <v>140805</v>
      </c>
      <c r="Z86" s="420">
        <f t="shared" si="111"/>
        <v>125918</v>
      </c>
      <c r="AA86" s="420">
        <f t="shared" si="111"/>
        <v>53931</v>
      </c>
      <c r="AB86" s="420">
        <f t="shared" si="111"/>
        <v>58489</v>
      </c>
      <c r="AC86" s="420">
        <f t="shared" si="111"/>
        <v>121738</v>
      </c>
      <c r="AD86" s="420">
        <f t="shared" ref="AD86:AE86" si="112">AD58+AD60</f>
        <v>-163719</v>
      </c>
      <c r="AE86" s="420">
        <f t="shared" si="112"/>
        <v>39698</v>
      </c>
      <c r="AF86" s="741">
        <f>AF58+AF60</f>
        <v>68057</v>
      </c>
    </row>
    <row r="87" spans="1:32">
      <c r="A87" s="417"/>
      <c r="B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</row>
    <row r="88" spans="1:32">
      <c r="A88" s="429" t="s">
        <v>725</v>
      </c>
      <c r="B88" s="429" t="s">
        <v>726</v>
      </c>
      <c r="D88" s="420">
        <f t="shared" ref="D88:I88" si="113">D90+D100</f>
        <v>-43230</v>
      </c>
      <c r="E88" s="420">
        <f t="shared" si="113"/>
        <v>-172981</v>
      </c>
      <c r="F88" s="420">
        <f t="shared" si="113"/>
        <v>-230249</v>
      </c>
      <c r="G88" s="420">
        <f t="shared" si="113"/>
        <v>-292548</v>
      </c>
      <c r="H88" s="420">
        <f t="shared" si="113"/>
        <v>-90274</v>
      </c>
      <c r="I88" s="420">
        <f t="shared" si="113"/>
        <v>-176461</v>
      </c>
      <c r="J88" s="420">
        <f t="shared" ref="J88:Q88" si="114">J90+J100</f>
        <v>-226255</v>
      </c>
      <c r="K88" s="420">
        <f t="shared" si="114"/>
        <v>-295054</v>
      </c>
      <c r="L88" s="420">
        <f t="shared" si="114"/>
        <v>-72304</v>
      </c>
      <c r="M88" s="420">
        <f t="shared" si="114"/>
        <v>-139225</v>
      </c>
      <c r="N88" s="420">
        <f t="shared" si="114"/>
        <v>-191834</v>
      </c>
      <c r="O88" s="420">
        <f t="shared" si="114"/>
        <v>-261698</v>
      </c>
      <c r="P88" s="420">
        <f t="shared" si="114"/>
        <v>-68017</v>
      </c>
      <c r="Q88" s="420">
        <f t="shared" si="114"/>
        <v>-133320</v>
      </c>
      <c r="R88" s="420">
        <f t="shared" ref="R88:T88" si="115">R90+R100</f>
        <v>-178077</v>
      </c>
      <c r="S88" s="420">
        <f t="shared" si="115"/>
        <v>-217208</v>
      </c>
      <c r="T88" s="741">
        <f t="shared" si="115"/>
        <v>-48478</v>
      </c>
      <c r="U88" s="741">
        <f>U90+U100</f>
        <v>-116773</v>
      </c>
      <c r="W88" s="420">
        <f t="shared" ref="W88:AC88" si="116">W90+W100</f>
        <v>-72304</v>
      </c>
      <c r="X88" s="420">
        <f t="shared" si="116"/>
        <v>-66921</v>
      </c>
      <c r="Y88" s="420">
        <f t="shared" si="116"/>
        <v>-52609</v>
      </c>
      <c r="Z88" s="420">
        <f t="shared" si="116"/>
        <v>-69864</v>
      </c>
      <c r="AA88" s="420">
        <f t="shared" si="116"/>
        <v>-68017</v>
      </c>
      <c r="AB88" s="420">
        <f t="shared" si="116"/>
        <v>-65303</v>
      </c>
      <c r="AC88" s="420">
        <f t="shared" si="116"/>
        <v>-44757</v>
      </c>
      <c r="AD88" s="420">
        <f t="shared" ref="AD88:AE88" si="117">AD90+AD100</f>
        <v>-39131</v>
      </c>
      <c r="AE88" s="420">
        <f t="shared" si="117"/>
        <v>-48478</v>
      </c>
      <c r="AF88" s="741">
        <f>AF90+AF100</f>
        <v>-68295</v>
      </c>
    </row>
    <row r="89" spans="1:32">
      <c r="A89" s="416"/>
      <c r="B89" s="416"/>
      <c r="D89" s="417"/>
      <c r="E89" s="417"/>
      <c r="F89" s="417"/>
      <c r="G89" s="417"/>
      <c r="H89" s="417"/>
      <c r="I89" s="417"/>
      <c r="J89" s="417"/>
      <c r="K89" s="417"/>
      <c r="L89" s="417"/>
      <c r="M89" s="417"/>
      <c r="N89" s="417"/>
      <c r="O89" s="417"/>
      <c r="P89" s="417"/>
      <c r="Q89" s="417"/>
      <c r="R89" s="417"/>
      <c r="S89" s="417"/>
      <c r="T89" s="417"/>
      <c r="U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</row>
    <row r="90" spans="1:32">
      <c r="A90" s="417" t="s">
        <v>727</v>
      </c>
      <c r="B90" s="417" t="s">
        <v>728</v>
      </c>
      <c r="D90" s="424">
        <f t="shared" ref="D90:I90" si="118">SUM(D91:D99)</f>
        <v>6816</v>
      </c>
      <c r="E90" s="424">
        <f t="shared" si="118"/>
        <v>28331</v>
      </c>
      <c r="F90" s="424">
        <f t="shared" si="118"/>
        <v>53683</v>
      </c>
      <c r="G90" s="424">
        <f t="shared" si="118"/>
        <v>83340</v>
      </c>
      <c r="H90" s="424">
        <f t="shared" si="118"/>
        <v>30826</v>
      </c>
      <c r="I90" s="424">
        <f t="shared" si="118"/>
        <v>57384</v>
      </c>
      <c r="J90" s="424">
        <f t="shared" ref="J90:T90" si="119">SUM(J91:J99)</f>
        <v>86030</v>
      </c>
      <c r="K90" s="424">
        <f t="shared" si="119"/>
        <v>112000</v>
      </c>
      <c r="L90" s="424">
        <f t="shared" si="119"/>
        <v>23036</v>
      </c>
      <c r="M90" s="424">
        <f t="shared" si="119"/>
        <v>43805</v>
      </c>
      <c r="N90" s="424">
        <f t="shared" si="119"/>
        <v>65239</v>
      </c>
      <c r="O90" s="424">
        <f t="shared" si="119"/>
        <v>89207</v>
      </c>
      <c r="P90" s="424">
        <f t="shared" si="119"/>
        <v>27887</v>
      </c>
      <c r="Q90" s="424">
        <f t="shared" si="119"/>
        <v>59176</v>
      </c>
      <c r="R90" s="424">
        <f t="shared" si="119"/>
        <v>97539</v>
      </c>
      <c r="S90" s="424">
        <f t="shared" si="119"/>
        <v>137429</v>
      </c>
      <c r="T90" s="424">
        <f t="shared" si="119"/>
        <v>46492</v>
      </c>
      <c r="U90" s="424">
        <f>SUM(U91:U99)</f>
        <v>89400</v>
      </c>
      <c r="W90" s="424">
        <f t="shared" ref="W90:AC90" si="120">SUM(W91:W99)</f>
        <v>23036</v>
      </c>
      <c r="X90" s="424">
        <f t="shared" si="120"/>
        <v>20769</v>
      </c>
      <c r="Y90" s="424">
        <f t="shared" si="120"/>
        <v>21434</v>
      </c>
      <c r="Z90" s="424">
        <f t="shared" si="120"/>
        <v>23968</v>
      </c>
      <c r="AA90" s="424">
        <f t="shared" si="120"/>
        <v>27887</v>
      </c>
      <c r="AB90" s="424">
        <f t="shared" si="120"/>
        <v>31289</v>
      </c>
      <c r="AC90" s="424">
        <f t="shared" si="120"/>
        <v>38363</v>
      </c>
      <c r="AD90" s="424">
        <f t="shared" ref="AD90:AE90" si="121">SUM(AD91:AD99)</f>
        <v>39890</v>
      </c>
      <c r="AE90" s="424">
        <f t="shared" si="121"/>
        <v>46492</v>
      </c>
      <c r="AF90" s="424">
        <f>SUM(AF91:AF99)</f>
        <v>42908</v>
      </c>
    </row>
    <row r="91" spans="1:32" outlineLevel="1">
      <c r="A91" s="418" t="s">
        <v>729</v>
      </c>
      <c r="B91" s="418" t="s">
        <v>728</v>
      </c>
      <c r="D91" s="423">
        <v>6810</v>
      </c>
      <c r="E91" s="423">
        <v>27646</v>
      </c>
      <c r="F91" s="423">
        <v>51481</v>
      </c>
      <c r="G91" s="423">
        <v>76658</v>
      </c>
      <c r="H91" s="423">
        <v>30672</v>
      </c>
      <c r="I91" s="423">
        <v>56766</v>
      </c>
      <c r="J91" s="423">
        <v>84510</v>
      </c>
      <c r="K91" s="423">
        <v>109662</v>
      </c>
      <c r="L91" s="423">
        <v>22793</v>
      </c>
      <c r="M91" s="423">
        <v>43028</v>
      </c>
      <c r="N91" s="423">
        <v>64052</v>
      </c>
      <c r="O91" s="423">
        <v>87569</v>
      </c>
      <c r="P91" s="423">
        <v>27116</v>
      </c>
      <c r="Q91" s="423">
        <v>58065</v>
      </c>
      <c r="R91" s="423">
        <v>96129</v>
      </c>
      <c r="S91" s="423">
        <v>134130</v>
      </c>
      <c r="T91" s="423">
        <v>39027</v>
      </c>
      <c r="U91" s="423">
        <v>77007</v>
      </c>
      <c r="W91" s="423">
        <f t="shared" ref="W91:W99" si="122">L91</f>
        <v>22793</v>
      </c>
      <c r="X91" s="423">
        <f t="shared" ref="X91:X99" si="123">M91-W91</f>
        <v>20235</v>
      </c>
      <c r="Y91" s="423">
        <f t="shared" ref="Y91:Y99" si="124">N91-M91</f>
        <v>21024</v>
      </c>
      <c r="Z91" s="423">
        <f t="shared" ref="Z91:Z99" si="125">O91-N91</f>
        <v>23517</v>
      </c>
      <c r="AA91" s="423">
        <f t="shared" ref="AA91:AA99" si="126">P91</f>
        <v>27116</v>
      </c>
      <c r="AB91" s="423">
        <f t="shared" ref="AB91:AB99" si="127">Q91-AA91</f>
        <v>30949</v>
      </c>
      <c r="AC91" s="423">
        <f t="shared" ref="AC91:AC99" si="128">R91-Q91</f>
        <v>38064</v>
      </c>
      <c r="AD91" s="423">
        <f t="shared" ref="AD91:AD99" si="129">S91-R91</f>
        <v>38001</v>
      </c>
      <c r="AE91" s="423">
        <f t="shared" ref="AE91:AE99" si="130">T91</f>
        <v>39027</v>
      </c>
      <c r="AF91" s="423">
        <f t="shared" ref="AF91:AF99" si="131">U91-T91</f>
        <v>37980</v>
      </c>
    </row>
    <row r="92" spans="1:32" outlineLevel="1">
      <c r="A92" s="418" t="s">
        <v>730</v>
      </c>
      <c r="B92" s="418" t="s">
        <v>731</v>
      </c>
      <c r="D92" s="423">
        <v>0</v>
      </c>
      <c r="E92" s="423">
        <v>0</v>
      </c>
      <c r="F92" s="423">
        <v>0</v>
      </c>
      <c r="G92" s="423">
        <v>0</v>
      </c>
      <c r="H92" s="423">
        <v>0</v>
      </c>
      <c r="I92" s="423">
        <v>0</v>
      </c>
      <c r="J92" s="423">
        <v>-546</v>
      </c>
      <c r="K92" s="423">
        <v>-573</v>
      </c>
      <c r="L92" s="423">
        <v>-28</v>
      </c>
      <c r="M92" s="423">
        <v>-72</v>
      </c>
      <c r="N92" s="423">
        <v>-110</v>
      </c>
      <c r="O92" s="423">
        <v>-198</v>
      </c>
      <c r="P92" s="423">
        <v>-109</v>
      </c>
      <c r="Q92" s="423">
        <v>-204</v>
      </c>
      <c r="R92" s="423">
        <v>-338</v>
      </c>
      <c r="S92" s="423">
        <v>-472</v>
      </c>
      <c r="T92" s="423">
        <v>-67</v>
      </c>
      <c r="U92" s="423">
        <v>-130</v>
      </c>
      <c r="W92" s="423">
        <f t="shared" si="122"/>
        <v>-28</v>
      </c>
      <c r="X92" s="423">
        <f t="shared" si="123"/>
        <v>-44</v>
      </c>
      <c r="Y92" s="423">
        <f t="shared" si="124"/>
        <v>-38</v>
      </c>
      <c r="Z92" s="423">
        <f t="shared" si="125"/>
        <v>-88</v>
      </c>
      <c r="AA92" s="423">
        <f t="shared" si="126"/>
        <v>-109</v>
      </c>
      <c r="AB92" s="423">
        <f t="shared" si="127"/>
        <v>-95</v>
      </c>
      <c r="AC92" s="423">
        <f t="shared" si="128"/>
        <v>-134</v>
      </c>
      <c r="AD92" s="423">
        <f t="shared" si="129"/>
        <v>-134</v>
      </c>
      <c r="AE92" s="423">
        <f t="shared" si="130"/>
        <v>-67</v>
      </c>
      <c r="AF92" s="423">
        <f t="shared" si="131"/>
        <v>-63</v>
      </c>
    </row>
    <row r="93" spans="1:32" outlineLevel="1">
      <c r="A93" s="418" t="s">
        <v>2561</v>
      </c>
      <c r="B93" s="418" t="s">
        <v>2562</v>
      </c>
      <c r="D93" s="423">
        <v>0</v>
      </c>
      <c r="E93" s="423">
        <v>0</v>
      </c>
      <c r="F93" s="423">
        <v>0</v>
      </c>
      <c r="G93" s="423">
        <v>0</v>
      </c>
      <c r="H93" s="423">
        <v>0</v>
      </c>
      <c r="I93" s="423">
        <v>0</v>
      </c>
      <c r="J93" s="423">
        <v>0</v>
      </c>
      <c r="K93" s="423">
        <v>0</v>
      </c>
      <c r="L93" s="423">
        <v>0</v>
      </c>
      <c r="M93" s="423">
        <v>0</v>
      </c>
      <c r="N93" s="423">
        <v>0</v>
      </c>
      <c r="O93" s="423">
        <v>0</v>
      </c>
      <c r="P93" s="423">
        <v>0</v>
      </c>
      <c r="Q93" s="423">
        <v>0</v>
      </c>
      <c r="R93" s="423">
        <v>0</v>
      </c>
      <c r="S93" s="423">
        <v>0</v>
      </c>
      <c r="T93" s="423">
        <v>0</v>
      </c>
      <c r="U93" s="423">
        <v>0</v>
      </c>
      <c r="W93" s="423">
        <f t="shared" si="122"/>
        <v>0</v>
      </c>
      <c r="X93" s="423">
        <f t="shared" si="123"/>
        <v>0</v>
      </c>
      <c r="Y93" s="423">
        <f t="shared" si="124"/>
        <v>0</v>
      </c>
      <c r="Z93" s="423">
        <f t="shared" si="125"/>
        <v>0</v>
      </c>
      <c r="AA93" s="423">
        <f t="shared" si="126"/>
        <v>0</v>
      </c>
      <c r="AB93" s="423">
        <f t="shared" si="127"/>
        <v>0</v>
      </c>
      <c r="AC93" s="423">
        <f t="shared" si="128"/>
        <v>0</v>
      </c>
      <c r="AD93" s="423">
        <f t="shared" si="129"/>
        <v>0</v>
      </c>
      <c r="AE93" s="423">
        <f t="shared" si="130"/>
        <v>0</v>
      </c>
      <c r="AF93" s="423">
        <f t="shared" si="131"/>
        <v>0</v>
      </c>
    </row>
    <row r="94" spans="1:32" outlineLevel="1">
      <c r="A94" s="418" t="s">
        <v>733</v>
      </c>
      <c r="B94" s="418" t="s">
        <v>734</v>
      </c>
      <c r="D94" s="423">
        <v>0</v>
      </c>
      <c r="E94" s="423">
        <v>0</v>
      </c>
      <c r="F94" s="423">
        <v>0</v>
      </c>
      <c r="G94" s="423">
        <v>0</v>
      </c>
      <c r="H94" s="423">
        <v>0</v>
      </c>
      <c r="I94" s="423">
        <v>0</v>
      </c>
      <c r="J94" s="423">
        <v>0</v>
      </c>
      <c r="K94" s="423">
        <v>0</v>
      </c>
      <c r="L94" s="423">
        <v>0</v>
      </c>
      <c r="M94" s="423">
        <v>0</v>
      </c>
      <c r="N94" s="423">
        <v>0</v>
      </c>
      <c r="O94" s="423">
        <v>0</v>
      </c>
      <c r="P94" s="423">
        <v>455</v>
      </c>
      <c r="Q94" s="423">
        <v>462</v>
      </c>
      <c r="R94" s="423">
        <v>473</v>
      </c>
      <c r="S94" s="423">
        <v>948</v>
      </c>
      <c r="T94" s="423">
        <v>234</v>
      </c>
      <c r="U94" s="423">
        <v>303</v>
      </c>
      <c r="W94" s="423">
        <f t="shared" si="122"/>
        <v>0</v>
      </c>
      <c r="X94" s="423">
        <f t="shared" si="123"/>
        <v>0</v>
      </c>
      <c r="Y94" s="423">
        <f t="shared" si="124"/>
        <v>0</v>
      </c>
      <c r="Z94" s="423">
        <f t="shared" si="125"/>
        <v>0</v>
      </c>
      <c r="AA94" s="423">
        <f t="shared" si="126"/>
        <v>455</v>
      </c>
      <c r="AB94" s="423">
        <f t="shared" si="127"/>
        <v>7</v>
      </c>
      <c r="AC94" s="423">
        <f t="shared" si="128"/>
        <v>11</v>
      </c>
      <c r="AD94" s="423">
        <f t="shared" si="129"/>
        <v>475</v>
      </c>
      <c r="AE94" s="423">
        <f t="shared" si="130"/>
        <v>234</v>
      </c>
      <c r="AF94" s="423">
        <f t="shared" si="131"/>
        <v>69</v>
      </c>
    </row>
    <row r="95" spans="1:32" outlineLevel="1">
      <c r="A95" s="418" t="s">
        <v>735</v>
      </c>
      <c r="B95" s="418" t="s">
        <v>736</v>
      </c>
      <c r="D95" s="423">
        <v>0</v>
      </c>
      <c r="E95" s="423">
        <v>0</v>
      </c>
      <c r="F95" s="423">
        <v>0</v>
      </c>
      <c r="G95" s="423">
        <v>0</v>
      </c>
      <c r="H95" s="423">
        <v>0</v>
      </c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>
        <v>0</v>
      </c>
      <c r="T95" s="423">
        <v>0</v>
      </c>
      <c r="U95" s="423">
        <v>0</v>
      </c>
      <c r="W95" s="423">
        <f t="shared" si="122"/>
        <v>0</v>
      </c>
      <c r="X95" s="423">
        <f t="shared" si="123"/>
        <v>0</v>
      </c>
      <c r="Y95" s="423">
        <f t="shared" si="124"/>
        <v>0</v>
      </c>
      <c r="Z95" s="423">
        <f t="shared" si="125"/>
        <v>0</v>
      </c>
      <c r="AA95" s="423">
        <f t="shared" si="126"/>
        <v>0</v>
      </c>
      <c r="AB95" s="423">
        <f t="shared" si="127"/>
        <v>0</v>
      </c>
      <c r="AC95" s="423">
        <f t="shared" si="128"/>
        <v>0</v>
      </c>
      <c r="AD95" s="423">
        <f t="shared" si="129"/>
        <v>0</v>
      </c>
      <c r="AE95" s="423">
        <f t="shared" si="130"/>
        <v>0</v>
      </c>
      <c r="AF95" s="423">
        <f t="shared" si="131"/>
        <v>0</v>
      </c>
    </row>
    <row r="96" spans="1:32" outlineLevel="1">
      <c r="A96" s="418" t="s">
        <v>737</v>
      </c>
      <c r="B96" s="418" t="s">
        <v>738</v>
      </c>
      <c r="D96" s="423">
        <v>0</v>
      </c>
      <c r="E96" s="423">
        <v>0</v>
      </c>
      <c r="F96" s="423">
        <v>0</v>
      </c>
      <c r="G96" s="423">
        <v>0</v>
      </c>
      <c r="H96" s="423">
        <v>0</v>
      </c>
      <c r="I96" s="423">
        <v>0</v>
      </c>
      <c r="J96" s="423">
        <v>0</v>
      </c>
      <c r="K96" s="423">
        <v>0</v>
      </c>
      <c r="L96" s="423">
        <v>0</v>
      </c>
      <c r="M96" s="423">
        <v>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>
        <v>0</v>
      </c>
      <c r="T96" s="423">
        <v>0</v>
      </c>
      <c r="U96" s="423">
        <v>0</v>
      </c>
      <c r="W96" s="423">
        <f t="shared" si="122"/>
        <v>0</v>
      </c>
      <c r="X96" s="423">
        <f t="shared" si="123"/>
        <v>0</v>
      </c>
      <c r="Y96" s="423">
        <f t="shared" si="124"/>
        <v>0</v>
      </c>
      <c r="Z96" s="423">
        <f t="shared" si="125"/>
        <v>0</v>
      </c>
      <c r="AA96" s="423">
        <f t="shared" si="126"/>
        <v>0</v>
      </c>
      <c r="AB96" s="423">
        <f t="shared" si="127"/>
        <v>0</v>
      </c>
      <c r="AC96" s="423">
        <f t="shared" si="128"/>
        <v>0</v>
      </c>
      <c r="AD96" s="423">
        <f t="shared" si="129"/>
        <v>0</v>
      </c>
      <c r="AE96" s="423">
        <f t="shared" si="130"/>
        <v>0</v>
      </c>
      <c r="AF96" s="423">
        <f t="shared" si="131"/>
        <v>0</v>
      </c>
    </row>
    <row r="97" spans="1:32" outlineLevel="1">
      <c r="A97" s="418" t="s">
        <v>739</v>
      </c>
      <c r="B97" s="418" t="s">
        <v>740</v>
      </c>
      <c r="D97" s="423">
        <v>6</v>
      </c>
      <c r="E97" s="423">
        <v>685</v>
      </c>
      <c r="F97" s="423">
        <v>2202</v>
      </c>
      <c r="G97" s="423">
        <v>6682</v>
      </c>
      <c r="H97" s="423">
        <v>154</v>
      </c>
      <c r="I97" s="423">
        <v>618</v>
      </c>
      <c r="J97" s="423">
        <v>2066</v>
      </c>
      <c r="K97" s="423">
        <v>2911</v>
      </c>
      <c r="L97" s="423">
        <v>271</v>
      </c>
      <c r="M97" s="423">
        <v>849</v>
      </c>
      <c r="N97" s="423">
        <v>1297</v>
      </c>
      <c r="O97" s="423">
        <v>1836</v>
      </c>
      <c r="P97" s="423">
        <v>425</v>
      </c>
      <c r="Q97" s="423">
        <v>853</v>
      </c>
      <c r="R97" s="423">
        <v>1275</v>
      </c>
      <c r="S97" s="423">
        <v>2823</v>
      </c>
      <c r="T97" s="423">
        <v>450</v>
      </c>
      <c r="U97" s="423">
        <v>920</v>
      </c>
      <c r="W97" s="423">
        <f t="shared" si="122"/>
        <v>271</v>
      </c>
      <c r="X97" s="423">
        <f t="shared" si="123"/>
        <v>578</v>
      </c>
      <c r="Y97" s="423">
        <f t="shared" si="124"/>
        <v>448</v>
      </c>
      <c r="Z97" s="423">
        <f t="shared" si="125"/>
        <v>539</v>
      </c>
      <c r="AA97" s="423">
        <f t="shared" si="126"/>
        <v>425</v>
      </c>
      <c r="AB97" s="423">
        <f t="shared" si="127"/>
        <v>428</v>
      </c>
      <c r="AC97" s="423">
        <f t="shared" si="128"/>
        <v>422</v>
      </c>
      <c r="AD97" s="423">
        <f t="shared" si="129"/>
        <v>1548</v>
      </c>
      <c r="AE97" s="423">
        <f t="shared" si="130"/>
        <v>450</v>
      </c>
      <c r="AF97" s="423">
        <f t="shared" si="131"/>
        <v>470</v>
      </c>
    </row>
    <row r="98" spans="1:32" outlineLevel="1">
      <c r="A98" s="418" t="s">
        <v>741</v>
      </c>
      <c r="B98" s="418" t="s">
        <v>2536</v>
      </c>
      <c r="D98" s="423"/>
      <c r="E98" s="423"/>
      <c r="F98" s="423"/>
      <c r="G98" s="423"/>
      <c r="H98" s="423"/>
      <c r="I98" s="423"/>
      <c r="J98" s="423"/>
      <c r="K98" s="423"/>
      <c r="L98" s="423"/>
      <c r="M98" s="423"/>
      <c r="N98" s="423"/>
      <c r="O98" s="423"/>
      <c r="P98" s="423"/>
      <c r="Q98" s="423">
        <v>0</v>
      </c>
      <c r="R98" s="423">
        <v>0</v>
      </c>
      <c r="S98" s="423">
        <v>0</v>
      </c>
      <c r="T98" s="423">
        <v>0</v>
      </c>
      <c r="U98" s="423">
        <v>0</v>
      </c>
      <c r="W98" s="423">
        <f>L98</f>
        <v>0</v>
      </c>
      <c r="X98" s="423">
        <f>M98-W98</f>
        <v>0</v>
      </c>
      <c r="Y98" s="423">
        <f t="shared" si="124"/>
        <v>0</v>
      </c>
      <c r="Z98" s="423">
        <f t="shared" si="125"/>
        <v>0</v>
      </c>
      <c r="AA98" s="423">
        <f>P98</f>
        <v>0</v>
      </c>
      <c r="AB98" s="423">
        <f>Q98-AA98</f>
        <v>0</v>
      </c>
      <c r="AC98" s="423">
        <f t="shared" si="128"/>
        <v>0</v>
      </c>
      <c r="AD98" s="423">
        <f t="shared" si="129"/>
        <v>0</v>
      </c>
      <c r="AE98" s="423">
        <f>T98</f>
        <v>0</v>
      </c>
      <c r="AF98" s="423">
        <f t="shared" si="131"/>
        <v>0</v>
      </c>
    </row>
    <row r="99" spans="1:32" outlineLevel="1">
      <c r="A99" s="418" t="s">
        <v>742</v>
      </c>
      <c r="B99" s="418" t="s">
        <v>743</v>
      </c>
      <c r="D99" s="423">
        <v>0</v>
      </c>
      <c r="E99" s="423">
        <v>0</v>
      </c>
      <c r="F99" s="423">
        <v>0</v>
      </c>
      <c r="G99" s="423">
        <v>0</v>
      </c>
      <c r="H99" s="423">
        <v>0</v>
      </c>
      <c r="I99" s="423">
        <v>0</v>
      </c>
      <c r="J99" s="423">
        <v>0</v>
      </c>
      <c r="K99" s="423">
        <v>0</v>
      </c>
      <c r="L99" s="423">
        <v>0</v>
      </c>
      <c r="M99" s="423">
        <v>0</v>
      </c>
      <c r="N99" s="423">
        <v>0</v>
      </c>
      <c r="O99" s="423">
        <v>0</v>
      </c>
      <c r="P99" s="423">
        <v>0</v>
      </c>
      <c r="Q99" s="423">
        <v>0</v>
      </c>
      <c r="R99" s="423">
        <v>0</v>
      </c>
      <c r="S99" s="423">
        <v>0</v>
      </c>
      <c r="T99" s="423">
        <v>6848</v>
      </c>
      <c r="U99" s="423">
        <v>11300</v>
      </c>
      <c r="W99" s="423">
        <f t="shared" si="122"/>
        <v>0</v>
      </c>
      <c r="X99" s="423">
        <f t="shared" si="123"/>
        <v>0</v>
      </c>
      <c r="Y99" s="423">
        <f t="shared" si="124"/>
        <v>0</v>
      </c>
      <c r="Z99" s="423">
        <f t="shared" si="125"/>
        <v>0</v>
      </c>
      <c r="AA99" s="423">
        <f t="shared" si="126"/>
        <v>0</v>
      </c>
      <c r="AB99" s="423">
        <f t="shared" si="127"/>
        <v>0</v>
      </c>
      <c r="AC99" s="423">
        <f t="shared" si="128"/>
        <v>0</v>
      </c>
      <c r="AD99" s="423">
        <f t="shared" si="129"/>
        <v>0</v>
      </c>
      <c r="AE99" s="423">
        <f t="shared" si="130"/>
        <v>6848</v>
      </c>
      <c r="AF99" s="423">
        <f t="shared" si="131"/>
        <v>4452</v>
      </c>
    </row>
    <row r="100" spans="1:32">
      <c r="A100" s="417" t="s">
        <v>744</v>
      </c>
      <c r="B100" s="417" t="s">
        <v>745</v>
      </c>
      <c r="D100" s="422">
        <f t="shared" ref="D100:I100" si="132">SUM(D101:D110)</f>
        <v>-50046</v>
      </c>
      <c r="E100" s="422">
        <f t="shared" si="132"/>
        <v>-201312</v>
      </c>
      <c r="F100" s="422">
        <f t="shared" si="132"/>
        <v>-283932</v>
      </c>
      <c r="G100" s="422">
        <f t="shared" si="132"/>
        <v>-375888</v>
      </c>
      <c r="H100" s="422">
        <f t="shared" si="132"/>
        <v>-121100</v>
      </c>
      <c r="I100" s="422">
        <f t="shared" si="132"/>
        <v>-233845</v>
      </c>
      <c r="J100" s="422">
        <f t="shared" ref="J100:T100" si="133">SUM(J101:J110)</f>
        <v>-312285</v>
      </c>
      <c r="K100" s="422">
        <f t="shared" si="133"/>
        <v>-407054</v>
      </c>
      <c r="L100" s="422">
        <f t="shared" si="133"/>
        <v>-95340</v>
      </c>
      <c r="M100" s="422">
        <f t="shared" si="133"/>
        <v>-183030</v>
      </c>
      <c r="N100" s="422">
        <f t="shared" si="133"/>
        <v>-257073</v>
      </c>
      <c r="O100" s="422">
        <f t="shared" si="133"/>
        <v>-350905</v>
      </c>
      <c r="P100" s="422">
        <f t="shared" si="133"/>
        <v>-95904</v>
      </c>
      <c r="Q100" s="422">
        <f t="shared" si="133"/>
        <v>-192496</v>
      </c>
      <c r="R100" s="422">
        <f t="shared" si="133"/>
        <v>-275616</v>
      </c>
      <c r="S100" s="422">
        <f t="shared" si="133"/>
        <v>-354637</v>
      </c>
      <c r="T100" s="422">
        <f t="shared" si="133"/>
        <v>-94970</v>
      </c>
      <c r="U100" s="422">
        <f>SUM(U101:U110)</f>
        <v>-206173</v>
      </c>
      <c r="W100" s="422">
        <f t="shared" ref="W100:AC100" si="134">SUM(W101:W110)</f>
        <v>-95340</v>
      </c>
      <c r="X100" s="422">
        <f t="shared" si="134"/>
        <v>-87690</v>
      </c>
      <c r="Y100" s="422">
        <f t="shared" si="134"/>
        <v>-74043</v>
      </c>
      <c r="Z100" s="422">
        <f t="shared" si="134"/>
        <v>-93832</v>
      </c>
      <c r="AA100" s="422">
        <f t="shared" si="134"/>
        <v>-95904</v>
      </c>
      <c r="AB100" s="422">
        <f t="shared" si="134"/>
        <v>-96592</v>
      </c>
      <c r="AC100" s="422">
        <f t="shared" si="134"/>
        <v>-83120</v>
      </c>
      <c r="AD100" s="422">
        <f t="shared" ref="AD100:AE100" si="135">SUM(AD101:AD110)</f>
        <v>-79021</v>
      </c>
      <c r="AE100" s="422">
        <f t="shared" si="135"/>
        <v>-94970</v>
      </c>
      <c r="AF100" s="422">
        <f>SUM(AF101:AF110)</f>
        <v>-111203</v>
      </c>
    </row>
    <row r="101" spans="1:32" outlineLevel="1">
      <c r="A101" s="418" t="s">
        <v>746</v>
      </c>
      <c r="B101" s="418" t="s">
        <v>747</v>
      </c>
      <c r="D101" s="423">
        <v>-46369</v>
      </c>
      <c r="E101" s="423">
        <v>-189178</v>
      </c>
      <c r="F101" s="423">
        <v>-248455</v>
      </c>
      <c r="G101" s="423">
        <v>-332217</v>
      </c>
      <c r="H101" s="423">
        <v>-111501</v>
      </c>
      <c r="I101" s="423">
        <v>-212780</v>
      </c>
      <c r="J101" s="423">
        <v>-281764</v>
      </c>
      <c r="K101" s="423">
        <v>-360546</v>
      </c>
      <c r="L101" s="423">
        <v>-79111</v>
      </c>
      <c r="M101" s="423">
        <v>-152002</v>
      </c>
      <c r="N101" s="423">
        <v>-222225</v>
      </c>
      <c r="O101" s="423">
        <v>-304530</v>
      </c>
      <c r="P101" s="423">
        <v>-68092</v>
      </c>
      <c r="Q101" s="423">
        <v>-134039</v>
      </c>
      <c r="R101" s="423">
        <v>-181624</v>
      </c>
      <c r="S101" s="423">
        <v>-247358</v>
      </c>
      <c r="T101" s="423">
        <v>-56732</v>
      </c>
      <c r="U101" s="423">
        <v>-126068</v>
      </c>
      <c r="W101" s="423">
        <f t="shared" ref="W101:W110" si="136">L101</f>
        <v>-79111</v>
      </c>
      <c r="X101" s="423">
        <f t="shared" ref="X101:X110" si="137">M101-W101</f>
        <v>-72891</v>
      </c>
      <c r="Y101" s="423">
        <f t="shared" ref="Y101:Y110" si="138">N101-M101</f>
        <v>-70223</v>
      </c>
      <c r="Z101" s="423">
        <f t="shared" ref="Z101:Z110" si="139">O101-N101</f>
        <v>-82305</v>
      </c>
      <c r="AA101" s="423">
        <f t="shared" ref="AA101:AA110" si="140">P101</f>
        <v>-68092</v>
      </c>
      <c r="AB101" s="423">
        <f t="shared" ref="AB101:AB110" si="141">Q101-AA101</f>
        <v>-65947</v>
      </c>
      <c r="AC101" s="423">
        <f t="shared" ref="AC101:AC110" si="142">R101-Q101</f>
        <v>-47585</v>
      </c>
      <c r="AD101" s="423">
        <f t="shared" ref="AD101:AD110" si="143">S101-R101</f>
        <v>-65734</v>
      </c>
      <c r="AE101" s="423">
        <f t="shared" ref="AE101:AE110" si="144">T101</f>
        <v>-56732</v>
      </c>
      <c r="AF101" s="423">
        <f t="shared" ref="AF101:AF110" si="145">U101-T101</f>
        <v>-69336</v>
      </c>
    </row>
    <row r="102" spans="1:32" outlineLevel="1">
      <c r="A102" s="418" t="s">
        <v>748</v>
      </c>
      <c r="B102" s="418" t="s">
        <v>749</v>
      </c>
      <c r="D102" s="423">
        <v>0</v>
      </c>
      <c r="E102" s="423">
        <v>0</v>
      </c>
      <c r="F102" s="423">
        <v>0</v>
      </c>
      <c r="G102" s="423">
        <v>0</v>
      </c>
      <c r="H102" s="423">
        <v>0</v>
      </c>
      <c r="I102" s="423">
        <v>0</v>
      </c>
      <c r="J102" s="423">
        <v>0</v>
      </c>
      <c r="K102" s="423">
        <v>0</v>
      </c>
      <c r="L102" s="423">
        <v>0</v>
      </c>
      <c r="M102" s="423">
        <v>0</v>
      </c>
      <c r="N102" s="423">
        <v>0</v>
      </c>
      <c r="O102" s="423">
        <v>0</v>
      </c>
      <c r="P102" s="423">
        <v>0</v>
      </c>
      <c r="Q102" s="423">
        <v>0</v>
      </c>
      <c r="R102" s="423">
        <v>0</v>
      </c>
      <c r="S102" s="423">
        <v>0</v>
      </c>
      <c r="T102" s="423">
        <v>0</v>
      </c>
      <c r="U102" s="423">
        <v>0</v>
      </c>
      <c r="W102" s="423">
        <f t="shared" si="136"/>
        <v>0</v>
      </c>
      <c r="X102" s="423">
        <f t="shared" si="137"/>
        <v>0</v>
      </c>
      <c r="Y102" s="423">
        <f t="shared" si="138"/>
        <v>0</v>
      </c>
      <c r="Z102" s="423">
        <f t="shared" si="139"/>
        <v>0</v>
      </c>
      <c r="AA102" s="423">
        <f t="shared" si="140"/>
        <v>0</v>
      </c>
      <c r="AB102" s="423">
        <f t="shared" si="141"/>
        <v>0</v>
      </c>
      <c r="AC102" s="423">
        <f t="shared" si="142"/>
        <v>0</v>
      </c>
      <c r="AD102" s="423">
        <f t="shared" si="143"/>
        <v>0</v>
      </c>
      <c r="AE102" s="423">
        <f t="shared" si="144"/>
        <v>0</v>
      </c>
      <c r="AF102" s="423">
        <f t="shared" si="145"/>
        <v>0</v>
      </c>
    </row>
    <row r="103" spans="1:32" outlineLevel="1">
      <c r="A103" s="418" t="s">
        <v>750</v>
      </c>
      <c r="B103" s="418" t="s">
        <v>751</v>
      </c>
      <c r="D103" s="423">
        <v>0</v>
      </c>
      <c r="E103" s="423">
        <v>0</v>
      </c>
      <c r="F103" s="423">
        <v>0</v>
      </c>
      <c r="G103" s="423">
        <v>0</v>
      </c>
      <c r="H103" s="423">
        <v>0</v>
      </c>
      <c r="I103" s="423">
        <v>0</v>
      </c>
      <c r="J103" s="423">
        <v>0</v>
      </c>
      <c r="K103" s="423">
        <v>0</v>
      </c>
      <c r="L103" s="423">
        <v>0</v>
      </c>
      <c r="M103" s="423">
        <v>0</v>
      </c>
      <c r="N103" s="423">
        <v>0</v>
      </c>
      <c r="O103" s="423">
        <v>0</v>
      </c>
      <c r="P103" s="423">
        <v>-21747</v>
      </c>
      <c r="Q103" s="423">
        <v>-37093</v>
      </c>
      <c r="R103" s="423">
        <v>-47871</v>
      </c>
      <c r="S103" s="423">
        <v>-63046</v>
      </c>
      <c r="T103" s="423">
        <v>-27608</v>
      </c>
      <c r="U103" s="423">
        <v>-56788</v>
      </c>
      <c r="W103" s="423">
        <f t="shared" si="136"/>
        <v>0</v>
      </c>
      <c r="X103" s="423">
        <f t="shared" si="137"/>
        <v>0</v>
      </c>
      <c r="Y103" s="423">
        <f t="shared" si="138"/>
        <v>0</v>
      </c>
      <c r="Z103" s="423">
        <f t="shared" si="139"/>
        <v>0</v>
      </c>
      <c r="AA103" s="423">
        <f t="shared" si="140"/>
        <v>-21747</v>
      </c>
      <c r="AB103" s="423">
        <f t="shared" si="141"/>
        <v>-15346</v>
      </c>
      <c r="AC103" s="423">
        <f t="shared" si="142"/>
        <v>-10778</v>
      </c>
      <c r="AD103" s="423">
        <f t="shared" si="143"/>
        <v>-15175</v>
      </c>
      <c r="AE103" s="423">
        <f t="shared" si="144"/>
        <v>-27608</v>
      </c>
      <c r="AF103" s="423">
        <f t="shared" si="145"/>
        <v>-29180</v>
      </c>
    </row>
    <row r="104" spans="1:32" outlineLevel="1">
      <c r="A104" s="418" t="s">
        <v>741</v>
      </c>
      <c r="B104" s="418" t="s">
        <v>2536</v>
      </c>
      <c r="D104" s="423"/>
      <c r="E104" s="423"/>
      <c r="F104" s="423"/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>
        <v>0</v>
      </c>
      <c r="R104" s="423">
        <v>0</v>
      </c>
      <c r="S104" s="423">
        <v>0</v>
      </c>
      <c r="T104" s="423">
        <v>0</v>
      </c>
      <c r="U104" s="423">
        <v>0</v>
      </c>
      <c r="W104" s="423">
        <f>L104</f>
        <v>0</v>
      </c>
      <c r="X104" s="423">
        <f>M104-W104</f>
        <v>0</v>
      </c>
      <c r="Y104" s="423">
        <f t="shared" si="138"/>
        <v>0</v>
      </c>
      <c r="Z104" s="423">
        <f t="shared" si="139"/>
        <v>0</v>
      </c>
      <c r="AA104" s="423">
        <f>P104</f>
        <v>0</v>
      </c>
      <c r="AB104" s="423">
        <f>Q104-AA104</f>
        <v>0</v>
      </c>
      <c r="AC104" s="423">
        <f t="shared" si="142"/>
        <v>0</v>
      </c>
      <c r="AD104" s="423">
        <f t="shared" si="143"/>
        <v>0</v>
      </c>
      <c r="AE104" s="423">
        <f>T104</f>
        <v>0</v>
      </c>
      <c r="AF104" s="423">
        <f t="shared" si="145"/>
        <v>0</v>
      </c>
    </row>
    <row r="105" spans="1:32" outlineLevel="1">
      <c r="A105" s="418" t="s">
        <v>752</v>
      </c>
      <c r="B105" s="418" t="s">
        <v>753</v>
      </c>
      <c r="D105" s="423"/>
      <c r="E105" s="423">
        <v>0</v>
      </c>
      <c r="F105" s="423">
        <v>0</v>
      </c>
      <c r="G105" s="423">
        <v>0</v>
      </c>
      <c r="H105" s="423">
        <v>0</v>
      </c>
      <c r="I105" s="423">
        <v>0</v>
      </c>
      <c r="J105" s="423">
        <v>0</v>
      </c>
      <c r="K105" s="423">
        <v>0</v>
      </c>
      <c r="L105" s="423">
        <v>0</v>
      </c>
      <c r="M105" s="423">
        <v>0</v>
      </c>
      <c r="N105" s="423">
        <v>0</v>
      </c>
      <c r="O105" s="423">
        <v>0</v>
      </c>
      <c r="P105" s="423">
        <v>0</v>
      </c>
      <c r="Q105" s="423">
        <v>0</v>
      </c>
      <c r="R105" s="423">
        <v>0</v>
      </c>
      <c r="S105" s="423">
        <v>0</v>
      </c>
      <c r="T105" s="423">
        <v>0</v>
      </c>
      <c r="U105" s="423">
        <v>0</v>
      </c>
      <c r="W105" s="423">
        <f>L105</f>
        <v>0</v>
      </c>
      <c r="X105" s="423">
        <f>M105-W105</f>
        <v>0</v>
      </c>
      <c r="Y105" s="423">
        <f t="shared" si="138"/>
        <v>0</v>
      </c>
      <c r="Z105" s="423">
        <f t="shared" si="139"/>
        <v>0</v>
      </c>
      <c r="AA105" s="423">
        <f>P105</f>
        <v>0</v>
      </c>
      <c r="AB105" s="423">
        <f>Q105-AA105</f>
        <v>0</v>
      </c>
      <c r="AC105" s="423">
        <f t="shared" si="142"/>
        <v>0</v>
      </c>
      <c r="AD105" s="423">
        <f t="shared" si="143"/>
        <v>0</v>
      </c>
      <c r="AE105" s="423">
        <f>T105</f>
        <v>0</v>
      </c>
      <c r="AF105" s="423">
        <f t="shared" si="145"/>
        <v>0</v>
      </c>
    </row>
    <row r="106" spans="1:32" outlineLevel="1">
      <c r="A106" s="418" t="s">
        <v>754</v>
      </c>
      <c r="B106" s="418" t="s">
        <v>755</v>
      </c>
      <c r="D106" s="423"/>
      <c r="E106" s="423">
        <v>0</v>
      </c>
      <c r="F106" s="423">
        <v>0</v>
      </c>
      <c r="G106" s="423">
        <v>0</v>
      </c>
      <c r="H106" s="423">
        <v>0</v>
      </c>
      <c r="I106" s="423">
        <v>0</v>
      </c>
      <c r="J106" s="423">
        <v>0</v>
      </c>
      <c r="K106" s="423">
        <v>0</v>
      </c>
      <c r="L106" s="423">
        <v>0</v>
      </c>
      <c r="M106" s="423">
        <v>0</v>
      </c>
      <c r="N106" s="423">
        <v>0</v>
      </c>
      <c r="O106" s="423">
        <v>0</v>
      </c>
      <c r="P106" s="423">
        <v>0</v>
      </c>
      <c r="Q106" s="423">
        <v>0</v>
      </c>
      <c r="R106" s="423">
        <v>0</v>
      </c>
      <c r="S106" s="423">
        <v>0</v>
      </c>
      <c r="T106" s="423">
        <v>0</v>
      </c>
      <c r="U106" s="423">
        <v>0</v>
      </c>
      <c r="W106" s="423">
        <f>L106</f>
        <v>0</v>
      </c>
      <c r="X106" s="423">
        <f>M106-W106</f>
        <v>0</v>
      </c>
      <c r="Y106" s="423">
        <f t="shared" si="138"/>
        <v>0</v>
      </c>
      <c r="Z106" s="423">
        <f t="shared" si="139"/>
        <v>0</v>
      </c>
      <c r="AA106" s="423">
        <f>P106</f>
        <v>0</v>
      </c>
      <c r="AB106" s="423">
        <f>Q106-AA106</f>
        <v>0</v>
      </c>
      <c r="AC106" s="423">
        <f t="shared" si="142"/>
        <v>0</v>
      </c>
      <c r="AD106" s="423">
        <f t="shared" si="143"/>
        <v>0</v>
      </c>
      <c r="AE106" s="423">
        <f>T106</f>
        <v>0</v>
      </c>
      <c r="AF106" s="423">
        <f t="shared" si="145"/>
        <v>0</v>
      </c>
    </row>
    <row r="107" spans="1:32" outlineLevel="1">
      <c r="A107" s="418" t="s">
        <v>756</v>
      </c>
      <c r="B107" s="418" t="s">
        <v>757</v>
      </c>
      <c r="D107" s="423"/>
      <c r="E107" s="423">
        <v>0</v>
      </c>
      <c r="F107" s="423">
        <v>0</v>
      </c>
      <c r="G107" s="423">
        <v>0</v>
      </c>
      <c r="H107" s="423">
        <v>0</v>
      </c>
      <c r="I107" s="423">
        <v>0</v>
      </c>
      <c r="J107" s="423">
        <v>0</v>
      </c>
      <c r="K107" s="423">
        <v>0</v>
      </c>
      <c r="L107" s="423">
        <v>0</v>
      </c>
      <c r="M107" s="423">
        <v>0</v>
      </c>
      <c r="N107" s="423">
        <v>0</v>
      </c>
      <c r="O107" s="423">
        <v>0</v>
      </c>
      <c r="P107" s="423">
        <v>0</v>
      </c>
      <c r="Q107" s="423">
        <v>0</v>
      </c>
      <c r="R107" s="423">
        <v>0</v>
      </c>
      <c r="S107" s="423">
        <v>0</v>
      </c>
      <c r="T107" s="423">
        <v>0</v>
      </c>
      <c r="U107" s="423">
        <v>0</v>
      </c>
      <c r="W107" s="423">
        <f>L107</f>
        <v>0</v>
      </c>
      <c r="X107" s="423">
        <f>M107-W107</f>
        <v>0</v>
      </c>
      <c r="Y107" s="423">
        <f t="shared" si="138"/>
        <v>0</v>
      </c>
      <c r="Z107" s="423">
        <f t="shared" si="139"/>
        <v>0</v>
      </c>
      <c r="AA107" s="423">
        <f>P107</f>
        <v>0</v>
      </c>
      <c r="AB107" s="423">
        <f>Q107-AA107</f>
        <v>0</v>
      </c>
      <c r="AC107" s="423">
        <f t="shared" si="142"/>
        <v>0</v>
      </c>
      <c r="AD107" s="423">
        <f t="shared" si="143"/>
        <v>0</v>
      </c>
      <c r="AE107" s="423">
        <f>T107</f>
        <v>0</v>
      </c>
      <c r="AF107" s="423">
        <f t="shared" si="145"/>
        <v>0</v>
      </c>
    </row>
    <row r="108" spans="1:32" outlineLevel="1">
      <c r="A108" s="418" t="s">
        <v>758</v>
      </c>
      <c r="B108" s="418" t="s">
        <v>759</v>
      </c>
      <c r="D108" s="423"/>
      <c r="E108" s="423">
        <v>0</v>
      </c>
      <c r="F108" s="423">
        <v>0</v>
      </c>
      <c r="G108" s="423">
        <v>0</v>
      </c>
      <c r="H108" s="423">
        <v>0</v>
      </c>
      <c r="I108" s="423">
        <v>0</v>
      </c>
      <c r="J108" s="423">
        <v>0</v>
      </c>
      <c r="K108" s="423">
        <v>0</v>
      </c>
      <c r="L108" s="423">
        <v>0</v>
      </c>
      <c r="M108" s="423">
        <v>0</v>
      </c>
      <c r="N108" s="423">
        <v>0</v>
      </c>
      <c r="O108" s="423">
        <v>0</v>
      </c>
      <c r="P108" s="423">
        <v>0</v>
      </c>
      <c r="Q108" s="423">
        <v>0</v>
      </c>
      <c r="R108" s="423">
        <v>0</v>
      </c>
      <c r="S108" s="423">
        <v>0</v>
      </c>
      <c r="T108" s="423">
        <v>0</v>
      </c>
      <c r="U108" s="423">
        <v>0</v>
      </c>
      <c r="W108" s="423">
        <f t="shared" si="136"/>
        <v>0</v>
      </c>
      <c r="X108" s="423">
        <f t="shared" si="137"/>
        <v>0</v>
      </c>
      <c r="Y108" s="423">
        <f t="shared" si="138"/>
        <v>0</v>
      </c>
      <c r="Z108" s="423">
        <f t="shared" si="139"/>
        <v>0</v>
      </c>
      <c r="AA108" s="423">
        <f t="shared" si="140"/>
        <v>0</v>
      </c>
      <c r="AB108" s="423">
        <f t="shared" si="141"/>
        <v>0</v>
      </c>
      <c r="AC108" s="423">
        <f t="shared" si="142"/>
        <v>0</v>
      </c>
      <c r="AD108" s="423">
        <f t="shared" si="143"/>
        <v>0</v>
      </c>
      <c r="AE108" s="423">
        <f t="shared" si="144"/>
        <v>0</v>
      </c>
      <c r="AF108" s="423">
        <f t="shared" si="145"/>
        <v>0</v>
      </c>
    </row>
    <row r="109" spans="1:32" outlineLevel="1">
      <c r="A109" s="418" t="s">
        <v>760</v>
      </c>
      <c r="B109" s="418" t="s">
        <v>761</v>
      </c>
      <c r="D109" s="423"/>
      <c r="E109" s="423">
        <v>0</v>
      </c>
      <c r="F109" s="423">
        <v>0</v>
      </c>
      <c r="G109" s="423">
        <v>0</v>
      </c>
      <c r="H109" s="423">
        <v>0</v>
      </c>
      <c r="I109" s="423">
        <v>0</v>
      </c>
      <c r="J109" s="423">
        <v>0</v>
      </c>
      <c r="K109" s="423">
        <v>0</v>
      </c>
      <c r="L109" s="423">
        <v>0</v>
      </c>
      <c r="M109" s="423">
        <v>0</v>
      </c>
      <c r="N109" s="423">
        <v>0</v>
      </c>
      <c r="O109" s="423">
        <v>0</v>
      </c>
      <c r="P109" s="423">
        <v>0</v>
      </c>
      <c r="Q109" s="423">
        <v>0</v>
      </c>
      <c r="R109" s="423">
        <v>0</v>
      </c>
      <c r="S109" s="423">
        <v>0</v>
      </c>
      <c r="T109" s="423">
        <v>0</v>
      </c>
      <c r="U109" s="423">
        <v>0</v>
      </c>
      <c r="W109" s="423">
        <f t="shared" si="136"/>
        <v>0</v>
      </c>
      <c r="X109" s="423">
        <f t="shared" si="137"/>
        <v>0</v>
      </c>
      <c r="Y109" s="423">
        <f t="shared" si="138"/>
        <v>0</v>
      </c>
      <c r="Z109" s="423">
        <f t="shared" si="139"/>
        <v>0</v>
      </c>
      <c r="AA109" s="423">
        <f t="shared" si="140"/>
        <v>0</v>
      </c>
      <c r="AB109" s="423">
        <f t="shared" si="141"/>
        <v>0</v>
      </c>
      <c r="AC109" s="423">
        <f t="shared" si="142"/>
        <v>0</v>
      </c>
      <c r="AD109" s="423">
        <f t="shared" si="143"/>
        <v>0</v>
      </c>
      <c r="AE109" s="423">
        <f t="shared" si="144"/>
        <v>0</v>
      </c>
      <c r="AF109" s="423">
        <f t="shared" si="145"/>
        <v>0</v>
      </c>
    </row>
    <row r="110" spans="1:32" outlineLevel="1">
      <c r="A110" s="418" t="s">
        <v>762</v>
      </c>
      <c r="B110" s="418" t="s">
        <v>763</v>
      </c>
      <c r="D110" s="423">
        <v>-3677</v>
      </c>
      <c r="E110" s="423">
        <v>-12134</v>
      </c>
      <c r="F110" s="423">
        <v>-35477</v>
      </c>
      <c r="G110" s="423">
        <v>-43671</v>
      </c>
      <c r="H110" s="423">
        <v>-9599</v>
      </c>
      <c r="I110" s="423">
        <v>-21065</v>
      </c>
      <c r="J110" s="423">
        <v>-30521</v>
      </c>
      <c r="K110" s="423">
        <v>-46508</v>
      </c>
      <c r="L110" s="423">
        <v>-16229</v>
      </c>
      <c r="M110" s="423">
        <v>-31028</v>
      </c>
      <c r="N110" s="423">
        <v>-34848</v>
      </c>
      <c r="O110" s="423">
        <v>-46375</v>
      </c>
      <c r="P110" s="423">
        <v>-6065</v>
      </c>
      <c r="Q110" s="423">
        <v>-21364</v>
      </c>
      <c r="R110" s="423">
        <v>-46121</v>
      </c>
      <c r="S110" s="423">
        <v>-44233</v>
      </c>
      <c r="T110" s="423">
        <v>-10630</v>
      </c>
      <c r="U110" s="423">
        <v>-23317</v>
      </c>
      <c r="W110" s="423">
        <f t="shared" si="136"/>
        <v>-16229</v>
      </c>
      <c r="X110" s="423">
        <f t="shared" si="137"/>
        <v>-14799</v>
      </c>
      <c r="Y110" s="423">
        <f t="shared" si="138"/>
        <v>-3820</v>
      </c>
      <c r="Z110" s="423">
        <f t="shared" si="139"/>
        <v>-11527</v>
      </c>
      <c r="AA110" s="423">
        <f t="shared" si="140"/>
        <v>-6065</v>
      </c>
      <c r="AB110" s="423">
        <f t="shared" si="141"/>
        <v>-15299</v>
      </c>
      <c r="AC110" s="423">
        <f t="shared" si="142"/>
        <v>-24757</v>
      </c>
      <c r="AD110" s="423">
        <f t="shared" si="143"/>
        <v>1888</v>
      </c>
      <c r="AE110" s="423">
        <f t="shared" si="144"/>
        <v>-10630</v>
      </c>
      <c r="AF110" s="423">
        <f t="shared" si="145"/>
        <v>-12687</v>
      </c>
    </row>
    <row r="111" spans="1:32">
      <c r="A111" s="417"/>
      <c r="B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</row>
    <row r="112" spans="1:32">
      <c r="A112" s="429" t="s">
        <v>764</v>
      </c>
      <c r="B112" s="429" t="s">
        <v>765</v>
      </c>
      <c r="D112" s="420">
        <f t="shared" ref="D112:I112" si="146">D86+D88</f>
        <v>-28808</v>
      </c>
      <c r="E112" s="420">
        <f t="shared" si="146"/>
        <v>-115824</v>
      </c>
      <c r="F112" s="420">
        <f t="shared" si="146"/>
        <v>-25628</v>
      </c>
      <c r="G112" s="420">
        <f t="shared" si="146"/>
        <v>27662</v>
      </c>
      <c r="H112" s="420">
        <f t="shared" si="146"/>
        <v>-28710</v>
      </c>
      <c r="I112" s="420">
        <f t="shared" si="146"/>
        <v>-65203</v>
      </c>
      <c r="J112" s="420">
        <f t="shared" ref="J112:Q112" si="147">J86+J88</f>
        <v>10244</v>
      </c>
      <c r="K112" s="420">
        <f t="shared" si="147"/>
        <v>127892</v>
      </c>
      <c r="L112" s="420">
        <f t="shared" si="147"/>
        <v>-22609</v>
      </c>
      <c r="M112" s="420">
        <f t="shared" si="147"/>
        <v>-44951</v>
      </c>
      <c r="N112" s="420">
        <f t="shared" si="147"/>
        <v>43245</v>
      </c>
      <c r="O112" s="420">
        <f t="shared" si="147"/>
        <v>99299</v>
      </c>
      <c r="P112" s="420">
        <f t="shared" si="147"/>
        <v>-14086</v>
      </c>
      <c r="Q112" s="420">
        <f t="shared" si="147"/>
        <v>-20900</v>
      </c>
      <c r="R112" s="420">
        <f t="shared" ref="R112:T112" si="148">R86+R88</f>
        <v>56081</v>
      </c>
      <c r="S112" s="420">
        <f t="shared" si="148"/>
        <v>-146769</v>
      </c>
      <c r="T112" s="741">
        <f t="shared" si="148"/>
        <v>-8780</v>
      </c>
      <c r="U112" s="741">
        <f>U86+U88</f>
        <v>-50639</v>
      </c>
      <c r="W112" s="420">
        <f t="shared" ref="W112:AC112" si="149">W86+W88</f>
        <v>-22609</v>
      </c>
      <c r="X112" s="420">
        <f t="shared" si="149"/>
        <v>-22342</v>
      </c>
      <c r="Y112" s="420">
        <f t="shared" si="149"/>
        <v>88196</v>
      </c>
      <c r="Z112" s="420">
        <f t="shared" si="149"/>
        <v>56054</v>
      </c>
      <c r="AA112" s="420">
        <f t="shared" si="149"/>
        <v>-14086</v>
      </c>
      <c r="AB112" s="420">
        <f t="shared" si="149"/>
        <v>-6814</v>
      </c>
      <c r="AC112" s="420">
        <f t="shared" si="149"/>
        <v>76981</v>
      </c>
      <c r="AD112" s="420">
        <f t="shared" ref="AD112:AE112" si="150">AD86+AD88</f>
        <v>-202850</v>
      </c>
      <c r="AE112" s="420">
        <f t="shared" si="150"/>
        <v>-8780</v>
      </c>
      <c r="AF112" s="741">
        <f>AF86+AF88</f>
        <v>-238</v>
      </c>
    </row>
    <row r="114" spans="1:32">
      <c r="A114" s="416" t="s">
        <v>766</v>
      </c>
      <c r="B114" s="416" t="s">
        <v>767</v>
      </c>
      <c r="D114" s="424">
        <f t="shared" ref="D114:I114" si="151">SUM(D116:D119)</f>
        <v>-2699</v>
      </c>
      <c r="E114" s="424">
        <f t="shared" si="151"/>
        <v>-12548</v>
      </c>
      <c r="F114" s="424">
        <f t="shared" si="151"/>
        <v>-26532</v>
      </c>
      <c r="G114" s="424">
        <f t="shared" si="151"/>
        <v>-44230</v>
      </c>
      <c r="H114" s="424">
        <f t="shared" si="151"/>
        <v>-13024</v>
      </c>
      <c r="I114" s="424">
        <f t="shared" si="151"/>
        <v>-25508</v>
      </c>
      <c r="J114" s="424">
        <f t="shared" ref="J114:Q114" si="152">SUM(J116:J119)</f>
        <v>-43790</v>
      </c>
      <c r="K114" s="424">
        <f t="shared" si="152"/>
        <v>-60396</v>
      </c>
      <c r="L114" s="424">
        <f t="shared" si="152"/>
        <v>-11075</v>
      </c>
      <c r="M114" s="424">
        <f t="shared" si="152"/>
        <v>-20560</v>
      </c>
      <c r="N114" s="424">
        <f t="shared" si="152"/>
        <v>-34475</v>
      </c>
      <c r="O114" s="424">
        <f t="shared" si="152"/>
        <v>-2290</v>
      </c>
      <c r="P114" s="424">
        <f t="shared" si="152"/>
        <v>-12304</v>
      </c>
      <c r="Q114" s="424">
        <f t="shared" si="152"/>
        <v>-28384</v>
      </c>
      <c r="R114" s="424">
        <f t="shared" ref="R114:T114" si="153">SUM(R116:R119)</f>
        <v>-48221</v>
      </c>
      <c r="S114" s="424">
        <f t="shared" si="153"/>
        <v>-73360</v>
      </c>
      <c r="T114" s="424">
        <f t="shared" si="153"/>
        <v>-18482</v>
      </c>
      <c r="U114" s="424">
        <f>SUM(U116:U119)</f>
        <v>-36098</v>
      </c>
      <c r="W114" s="424">
        <f t="shared" ref="W114:AC114" si="154">SUM(W116:W119)</f>
        <v>-11075</v>
      </c>
      <c r="X114" s="424">
        <f t="shared" si="154"/>
        <v>-9485</v>
      </c>
      <c r="Y114" s="424">
        <f t="shared" si="154"/>
        <v>-13915</v>
      </c>
      <c r="Z114" s="424">
        <f t="shared" si="154"/>
        <v>32185</v>
      </c>
      <c r="AA114" s="424">
        <f t="shared" si="154"/>
        <v>-12304</v>
      </c>
      <c r="AB114" s="424">
        <f t="shared" si="154"/>
        <v>-16080</v>
      </c>
      <c r="AC114" s="424">
        <f t="shared" si="154"/>
        <v>-19837</v>
      </c>
      <c r="AD114" s="424">
        <f t="shared" ref="AD114:AE114" si="155">SUM(AD116:AD119)</f>
        <v>-25139</v>
      </c>
      <c r="AE114" s="424">
        <f t="shared" si="155"/>
        <v>-18482</v>
      </c>
      <c r="AF114" s="424">
        <f>SUM(AF116:AF119)</f>
        <v>-17616</v>
      </c>
    </row>
    <row r="115" spans="1:32">
      <c r="A115" s="417"/>
      <c r="B115" s="417"/>
      <c r="D115" s="417"/>
      <c r="E115" s="417"/>
      <c r="F115" s="417"/>
      <c r="G115" s="417"/>
      <c r="H115" s="417"/>
      <c r="I115" s="417"/>
      <c r="J115" s="417"/>
      <c r="K115" s="417"/>
      <c r="L115" s="417"/>
      <c r="M115" s="417"/>
      <c r="N115" s="417"/>
      <c r="P115" s="417"/>
      <c r="Q115" s="417"/>
      <c r="R115" s="417"/>
      <c r="S115" s="417"/>
      <c r="T115" s="417"/>
      <c r="U115" s="417"/>
      <c r="W115" s="417"/>
      <c r="X115" s="417"/>
      <c r="Y115" s="417"/>
      <c r="AA115" s="417"/>
      <c r="AB115" s="417"/>
      <c r="AC115" s="417"/>
      <c r="AD115" s="417"/>
      <c r="AE115" s="417"/>
      <c r="AF115" s="417"/>
    </row>
    <row r="116" spans="1:32">
      <c r="A116" s="417" t="s">
        <v>768</v>
      </c>
      <c r="B116" s="417" t="s">
        <v>769</v>
      </c>
      <c r="D116" s="425">
        <v>-1196</v>
      </c>
      <c r="E116" s="425">
        <v>-5274</v>
      </c>
      <c r="F116" s="425">
        <v>-10653</v>
      </c>
      <c r="G116" s="425">
        <v>-16866</v>
      </c>
      <c r="H116" s="425">
        <v>-5042</v>
      </c>
      <c r="I116" s="425">
        <v>-9829</v>
      </c>
      <c r="J116" s="425">
        <v>-16321</v>
      </c>
      <c r="K116" s="425">
        <v>-22356</v>
      </c>
      <c r="L116" s="425">
        <v>-4376</v>
      </c>
      <c r="M116" s="425">
        <v>-8297</v>
      </c>
      <c r="N116" s="425">
        <v>-13885</v>
      </c>
      <c r="O116" s="425">
        <v>-19509</v>
      </c>
      <c r="P116" s="425">
        <v>-4787</v>
      </c>
      <c r="Q116" s="425">
        <v>-10116</v>
      </c>
      <c r="R116" s="425">
        <v>-17134</v>
      </c>
      <c r="S116" s="425">
        <v>-25103</v>
      </c>
      <c r="T116" s="425">
        <v>-6098</v>
      </c>
      <c r="U116" s="756">
        <v>-12079</v>
      </c>
      <c r="W116" s="425">
        <f>L116</f>
        <v>-4376</v>
      </c>
      <c r="X116" s="425">
        <f>M116-W116</f>
        <v>-3921</v>
      </c>
      <c r="Y116" s="425">
        <f t="shared" ref="Y116:Z119" si="156">N116-M116</f>
        <v>-5588</v>
      </c>
      <c r="Z116" s="425">
        <f t="shared" si="156"/>
        <v>-5624</v>
      </c>
      <c r="AA116" s="425">
        <f>P116</f>
        <v>-4787</v>
      </c>
      <c r="AB116" s="425">
        <f t="shared" ref="AB116:AB119" si="157">Q116-AA116</f>
        <v>-5329</v>
      </c>
      <c r="AC116" s="425">
        <f t="shared" ref="AC116:AD119" si="158">R116-Q116</f>
        <v>-7018</v>
      </c>
      <c r="AD116" s="425">
        <f t="shared" si="158"/>
        <v>-7969</v>
      </c>
      <c r="AE116" s="425">
        <f>T116</f>
        <v>-6098</v>
      </c>
      <c r="AF116" s="756">
        <f>U116-T116</f>
        <v>-5981</v>
      </c>
    </row>
    <row r="117" spans="1:32">
      <c r="A117" s="417" t="s">
        <v>770</v>
      </c>
      <c r="B117" s="417" t="s">
        <v>771</v>
      </c>
      <c r="D117" s="425">
        <v>-2573</v>
      </c>
      <c r="E117" s="425">
        <v>-11554</v>
      </c>
      <c r="F117" s="425">
        <v>-23369</v>
      </c>
      <c r="G117" s="425">
        <v>-37439</v>
      </c>
      <c r="H117" s="425">
        <v>-11287</v>
      </c>
      <c r="I117" s="425">
        <v>-22208</v>
      </c>
      <c r="J117" s="425">
        <v>-37208</v>
      </c>
      <c r="K117" s="425">
        <v>-50989</v>
      </c>
      <c r="L117" s="425">
        <v>-9909</v>
      </c>
      <c r="M117" s="425">
        <v>-18683</v>
      </c>
      <c r="N117" s="425">
        <v>-30219</v>
      </c>
      <c r="O117" s="425">
        <v>-42194</v>
      </c>
      <c r="P117" s="425">
        <v>-10727</v>
      </c>
      <c r="Q117" s="425">
        <v>-22762</v>
      </c>
      <c r="R117" s="425">
        <v>-38791</v>
      </c>
      <c r="S117" s="425">
        <v>-57244</v>
      </c>
      <c r="T117" s="425">
        <v>-14631</v>
      </c>
      <c r="U117" s="756">
        <v>-28513</v>
      </c>
      <c r="W117" s="425">
        <f>L117</f>
        <v>-9909</v>
      </c>
      <c r="X117" s="425">
        <f>M117-W117</f>
        <v>-8774</v>
      </c>
      <c r="Y117" s="425">
        <f t="shared" si="156"/>
        <v>-11536</v>
      </c>
      <c r="Z117" s="425">
        <f t="shared" si="156"/>
        <v>-11975</v>
      </c>
      <c r="AA117" s="425">
        <f>P117</f>
        <v>-10727</v>
      </c>
      <c r="AB117" s="425">
        <f t="shared" si="157"/>
        <v>-12035</v>
      </c>
      <c r="AC117" s="425">
        <f t="shared" si="158"/>
        <v>-16029</v>
      </c>
      <c r="AD117" s="425">
        <f t="shared" si="158"/>
        <v>-18453</v>
      </c>
      <c r="AE117" s="425">
        <f>T117</f>
        <v>-14631</v>
      </c>
      <c r="AF117" s="756">
        <f>U117-T117</f>
        <v>-13882</v>
      </c>
    </row>
    <row r="118" spans="1:32">
      <c r="A118" s="417" t="s">
        <v>772</v>
      </c>
      <c r="B118" s="417" t="s">
        <v>773</v>
      </c>
      <c r="D118" s="425">
        <v>0</v>
      </c>
      <c r="E118" s="425">
        <v>0</v>
      </c>
      <c r="F118" s="425">
        <v>0</v>
      </c>
      <c r="G118" s="425">
        <v>0</v>
      </c>
      <c r="H118" s="425">
        <v>0</v>
      </c>
      <c r="I118" s="425">
        <v>0</v>
      </c>
      <c r="J118" s="425">
        <v>0</v>
      </c>
      <c r="K118" s="425">
        <v>0</v>
      </c>
      <c r="L118" s="425">
        <v>0</v>
      </c>
      <c r="M118" s="425">
        <v>0</v>
      </c>
      <c r="N118" s="425">
        <v>0</v>
      </c>
      <c r="O118" s="425">
        <v>0</v>
      </c>
      <c r="P118" s="425">
        <v>0</v>
      </c>
      <c r="Q118" s="425">
        <v>0</v>
      </c>
      <c r="R118" s="425">
        <v>0</v>
      </c>
      <c r="S118" s="425">
        <v>0</v>
      </c>
      <c r="T118" s="425">
        <v>0</v>
      </c>
      <c r="U118" s="756">
        <v>0</v>
      </c>
      <c r="W118" s="425">
        <f>L118</f>
        <v>0</v>
      </c>
      <c r="X118" s="425">
        <f>M118-W118</f>
        <v>0</v>
      </c>
      <c r="Y118" s="425">
        <f t="shared" si="156"/>
        <v>0</v>
      </c>
      <c r="Z118" s="425">
        <f t="shared" si="156"/>
        <v>0</v>
      </c>
      <c r="AA118" s="425">
        <f>P118</f>
        <v>0</v>
      </c>
      <c r="AB118" s="425">
        <f t="shared" si="157"/>
        <v>0</v>
      </c>
      <c r="AC118" s="425">
        <f t="shared" si="158"/>
        <v>0</v>
      </c>
      <c r="AD118" s="425">
        <f t="shared" si="158"/>
        <v>0</v>
      </c>
      <c r="AE118" s="425">
        <f>T118</f>
        <v>0</v>
      </c>
      <c r="AF118" s="756">
        <f>U118-T118</f>
        <v>0</v>
      </c>
    </row>
    <row r="119" spans="1:32">
      <c r="A119" s="417" t="s">
        <v>774</v>
      </c>
      <c r="B119" s="417" t="s">
        <v>775</v>
      </c>
      <c r="D119" s="425">
        <v>1070</v>
      </c>
      <c r="E119" s="425">
        <v>4280</v>
      </c>
      <c r="F119" s="425">
        <v>7490</v>
      </c>
      <c r="G119" s="425">
        <v>10075</v>
      </c>
      <c r="H119" s="425">
        <v>3305</v>
      </c>
      <c r="I119" s="425">
        <v>6529</v>
      </c>
      <c r="J119" s="425">
        <v>9739</v>
      </c>
      <c r="K119" s="425">
        <v>12949</v>
      </c>
      <c r="L119" s="425">
        <v>3210</v>
      </c>
      <c r="M119" s="425">
        <v>6420</v>
      </c>
      <c r="N119" s="425">
        <v>9629</v>
      </c>
      <c r="O119" s="425">
        <v>59413</v>
      </c>
      <c r="P119" s="425">
        <v>3210</v>
      </c>
      <c r="Q119" s="425">
        <v>4494</v>
      </c>
      <c r="R119" s="425">
        <v>7704</v>
      </c>
      <c r="S119" s="425">
        <v>8987</v>
      </c>
      <c r="T119" s="425">
        <v>2247</v>
      </c>
      <c r="U119" s="756">
        <v>4494</v>
      </c>
      <c r="W119" s="425">
        <f>L119</f>
        <v>3210</v>
      </c>
      <c r="X119" s="425">
        <f>M119-W119</f>
        <v>3210</v>
      </c>
      <c r="Y119" s="425">
        <f t="shared" si="156"/>
        <v>3209</v>
      </c>
      <c r="Z119" s="425">
        <f t="shared" si="156"/>
        <v>49784</v>
      </c>
      <c r="AA119" s="425">
        <f>P119</f>
        <v>3210</v>
      </c>
      <c r="AB119" s="425">
        <f t="shared" si="157"/>
        <v>1284</v>
      </c>
      <c r="AC119" s="425">
        <f t="shared" si="158"/>
        <v>3210</v>
      </c>
      <c r="AD119" s="425">
        <f t="shared" si="158"/>
        <v>1283</v>
      </c>
      <c r="AE119" s="425">
        <f>T119</f>
        <v>2247</v>
      </c>
      <c r="AF119" s="756">
        <f>U119-T119</f>
        <v>2247</v>
      </c>
    </row>
    <row r="120" spans="1:32">
      <c r="A120" s="417"/>
      <c r="B120" s="417"/>
      <c r="D120" s="417"/>
      <c r="E120" s="417"/>
      <c r="F120" s="417"/>
      <c r="G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</row>
    <row r="121" spans="1:32" ht="15" thickBot="1">
      <c r="A121" s="430" t="s">
        <v>776</v>
      </c>
      <c r="B121" s="430" t="s">
        <v>777</v>
      </c>
      <c r="D121" s="426">
        <f t="shared" ref="D121:I121" si="159">D112+D114</f>
        <v>-31507</v>
      </c>
      <c r="E121" s="426">
        <f t="shared" si="159"/>
        <v>-128372</v>
      </c>
      <c r="F121" s="426">
        <f t="shared" si="159"/>
        <v>-52160</v>
      </c>
      <c r="G121" s="426">
        <f t="shared" si="159"/>
        <v>-16568</v>
      </c>
      <c r="H121" s="426">
        <f t="shared" si="159"/>
        <v>-41734</v>
      </c>
      <c r="I121" s="426">
        <f t="shared" si="159"/>
        <v>-90711</v>
      </c>
      <c r="J121" s="426">
        <f t="shared" ref="J121:T121" si="160">J112+J114</f>
        <v>-33546</v>
      </c>
      <c r="K121" s="426">
        <f t="shared" si="160"/>
        <v>67496</v>
      </c>
      <c r="L121" s="426">
        <f t="shared" si="160"/>
        <v>-33684</v>
      </c>
      <c r="M121" s="426">
        <f t="shared" si="160"/>
        <v>-65511</v>
      </c>
      <c r="N121" s="426">
        <f t="shared" si="160"/>
        <v>8770</v>
      </c>
      <c r="O121" s="426">
        <f t="shared" si="160"/>
        <v>97009</v>
      </c>
      <c r="P121" s="426">
        <f t="shared" si="160"/>
        <v>-26390</v>
      </c>
      <c r="Q121" s="426">
        <f t="shared" si="160"/>
        <v>-49284</v>
      </c>
      <c r="R121" s="426">
        <f t="shared" si="160"/>
        <v>7860</v>
      </c>
      <c r="S121" s="426">
        <f t="shared" si="160"/>
        <v>-220129</v>
      </c>
      <c r="T121" s="426">
        <f t="shared" si="160"/>
        <v>-27262</v>
      </c>
      <c r="U121" s="426">
        <f>U112+U114</f>
        <v>-86737</v>
      </c>
      <c r="W121" s="426">
        <f t="shared" ref="W121:AC121" si="161">W112+W114</f>
        <v>-33684</v>
      </c>
      <c r="X121" s="426">
        <f t="shared" si="161"/>
        <v>-31827</v>
      </c>
      <c r="Y121" s="426">
        <f t="shared" si="161"/>
        <v>74281</v>
      </c>
      <c r="Z121" s="426">
        <f t="shared" si="161"/>
        <v>88239</v>
      </c>
      <c r="AA121" s="426">
        <f t="shared" si="161"/>
        <v>-26390</v>
      </c>
      <c r="AB121" s="426">
        <f t="shared" si="161"/>
        <v>-22894</v>
      </c>
      <c r="AC121" s="426">
        <f t="shared" si="161"/>
        <v>57144</v>
      </c>
      <c r="AD121" s="426">
        <f t="shared" ref="AD121:AE121" si="162">AD112+AD114</f>
        <v>-227989</v>
      </c>
      <c r="AE121" s="426">
        <f t="shared" si="162"/>
        <v>-27262</v>
      </c>
      <c r="AF121" s="426">
        <f>AF112+AF114</f>
        <v>-17854</v>
      </c>
    </row>
    <row r="122" spans="1:32" ht="15" thickTop="1">
      <c r="A122" s="417"/>
      <c r="B122" s="417"/>
      <c r="D122" s="417"/>
      <c r="E122" s="417"/>
      <c r="F122" s="417"/>
      <c r="G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S122" s="417"/>
      <c r="T122" s="417"/>
      <c r="U122" s="417"/>
      <c r="W122" s="417"/>
      <c r="X122" s="417"/>
      <c r="Y122" s="417"/>
      <c r="Z122" s="417"/>
      <c r="AA122" s="417"/>
      <c r="AB122" s="417"/>
      <c r="AC122" s="417"/>
      <c r="AD122" s="417"/>
      <c r="AE122" s="417"/>
      <c r="AF122" s="417"/>
    </row>
    <row r="123" spans="1:32">
      <c r="A123" s="416" t="s">
        <v>778</v>
      </c>
      <c r="B123" s="416" t="s">
        <v>779</v>
      </c>
      <c r="D123" s="425"/>
      <c r="E123" s="425"/>
      <c r="F123" s="425"/>
      <c r="G123" s="425"/>
      <c r="H123" s="425"/>
      <c r="I123" s="425"/>
      <c r="J123" s="425"/>
      <c r="K123" s="425"/>
      <c r="L123" s="425"/>
      <c r="M123" s="425"/>
      <c r="N123" s="425"/>
      <c r="O123" s="425"/>
      <c r="P123" s="425"/>
      <c r="Q123" s="425"/>
      <c r="R123" s="425"/>
      <c r="S123" s="425"/>
      <c r="T123" s="425"/>
      <c r="U123" s="756"/>
      <c r="W123" s="425"/>
      <c r="X123" s="425"/>
      <c r="Y123" s="425"/>
      <c r="Z123" s="425"/>
      <c r="AA123" s="425"/>
      <c r="AB123" s="425"/>
      <c r="AC123" s="425"/>
      <c r="AD123" s="425"/>
      <c r="AE123" s="425"/>
      <c r="AF123" s="756"/>
    </row>
    <row r="124" spans="1:32">
      <c r="A124" s="417" t="s">
        <v>780</v>
      </c>
      <c r="B124" s="417" t="s">
        <v>781</v>
      </c>
      <c r="D124" s="425">
        <f t="shared" ref="D124:I124" si="163">D121-D125</f>
        <v>-31507</v>
      </c>
      <c r="E124" s="425">
        <f t="shared" si="163"/>
        <v>-128372</v>
      </c>
      <c r="F124" s="425">
        <f t="shared" si="163"/>
        <v>-52160</v>
      </c>
      <c r="G124" s="425">
        <f t="shared" si="163"/>
        <v>-16568</v>
      </c>
      <c r="H124" s="425">
        <f t="shared" si="163"/>
        <v>-41734</v>
      </c>
      <c r="I124" s="425">
        <f t="shared" si="163"/>
        <v>-90711</v>
      </c>
      <c r="J124" s="425">
        <f>J121-J125</f>
        <v>-33637</v>
      </c>
      <c r="K124" s="425">
        <f>K121-K125</f>
        <v>67405</v>
      </c>
      <c r="L124" s="425">
        <v>-33684</v>
      </c>
      <c r="M124" s="425">
        <v>-65511</v>
      </c>
      <c r="N124" s="425">
        <v>8770</v>
      </c>
      <c r="O124" s="425">
        <v>97009</v>
      </c>
      <c r="P124" s="425">
        <v>-26390</v>
      </c>
      <c r="Q124" s="425">
        <v>-49284</v>
      </c>
      <c r="R124" s="425">
        <v>7860</v>
      </c>
      <c r="S124" s="425">
        <v>-220129</v>
      </c>
      <c r="T124" s="425">
        <v>-27262</v>
      </c>
      <c r="U124" s="756">
        <v>-85554</v>
      </c>
      <c r="W124" s="425">
        <f>L124</f>
        <v>-33684</v>
      </c>
      <c r="X124" s="425">
        <f>M124-W124</f>
        <v>-31827</v>
      </c>
      <c r="Y124" s="425">
        <f>N124-M124</f>
        <v>74281</v>
      </c>
      <c r="Z124" s="425">
        <f>O124-N124</f>
        <v>88239</v>
      </c>
      <c r="AA124" s="425">
        <f>P124</f>
        <v>-26390</v>
      </c>
      <c r="AB124" s="425">
        <f>Q124-AA124</f>
        <v>-22894</v>
      </c>
      <c r="AC124" s="425">
        <f>R124-Q124</f>
        <v>57144</v>
      </c>
      <c r="AD124" s="425">
        <f>S124-R124</f>
        <v>-227989</v>
      </c>
      <c r="AE124" s="425">
        <f>T124</f>
        <v>-27262</v>
      </c>
      <c r="AF124" s="756">
        <f>U124-T124</f>
        <v>-58292</v>
      </c>
    </row>
    <row r="125" spans="1:32">
      <c r="A125" s="417" t="s">
        <v>782</v>
      </c>
      <c r="B125" s="417" t="s">
        <v>783</v>
      </c>
      <c r="D125" s="425">
        <f t="shared" ref="D125:I125" si="164">D121*D130</f>
        <v>0</v>
      </c>
      <c r="E125" s="425">
        <f t="shared" si="164"/>
        <v>0</v>
      </c>
      <c r="F125" s="425">
        <f t="shared" si="164"/>
        <v>0</v>
      </c>
      <c r="G125" s="425">
        <f t="shared" si="164"/>
        <v>0</v>
      </c>
      <c r="H125" s="425">
        <f t="shared" si="164"/>
        <v>0</v>
      </c>
      <c r="I125" s="425">
        <f t="shared" si="164"/>
        <v>0</v>
      </c>
      <c r="J125" s="425">
        <v>91</v>
      </c>
      <c r="K125" s="425">
        <v>91</v>
      </c>
      <c r="L125" s="425">
        <v>0</v>
      </c>
      <c r="M125" s="425">
        <v>0</v>
      </c>
      <c r="N125" s="425">
        <v>0</v>
      </c>
      <c r="O125" s="425">
        <v>0</v>
      </c>
      <c r="P125" s="425">
        <v>0</v>
      </c>
      <c r="Q125" s="425">
        <v>0</v>
      </c>
      <c r="R125" s="425">
        <v>0</v>
      </c>
      <c r="T125" s="425">
        <v>0</v>
      </c>
      <c r="U125" s="756">
        <v>-1183</v>
      </c>
      <c r="W125" s="425">
        <f>L125</f>
        <v>0</v>
      </c>
      <c r="X125" s="425">
        <f>M125-W125</f>
        <v>0</v>
      </c>
      <c r="Y125" s="425">
        <f>N125-M125</f>
        <v>0</v>
      </c>
      <c r="Z125" s="425">
        <f>O125-N125</f>
        <v>0</v>
      </c>
      <c r="AA125" s="425">
        <f>P125</f>
        <v>0</v>
      </c>
      <c r="AB125" s="425">
        <f>Q125-AA125</f>
        <v>0</v>
      </c>
      <c r="AC125" s="425">
        <f>R125-Q125</f>
        <v>0</v>
      </c>
      <c r="AD125" s="425">
        <f>S125-R125</f>
        <v>0</v>
      </c>
      <c r="AE125" s="425">
        <f>T125</f>
        <v>0</v>
      </c>
      <c r="AF125" s="756">
        <f>U125-T125</f>
        <v>-1183</v>
      </c>
    </row>
    <row r="126" spans="1:32">
      <c r="A126" s="417"/>
      <c r="B126" s="417"/>
      <c r="D126" s="417"/>
      <c r="E126" s="417"/>
      <c r="F126" s="417"/>
      <c r="G126" s="417"/>
      <c r="H126" s="417"/>
      <c r="I126" s="417"/>
      <c r="J126" s="417"/>
      <c r="K126" s="417"/>
      <c r="L126" s="417"/>
      <c r="M126" s="417"/>
      <c r="N126" s="417"/>
      <c r="P126" s="417"/>
      <c r="Q126" s="417"/>
      <c r="R126" s="417"/>
      <c r="S126" s="417"/>
      <c r="T126" s="417"/>
      <c r="U126" s="417"/>
      <c r="W126" s="417"/>
      <c r="X126" s="417"/>
      <c r="Y126" s="417"/>
      <c r="AA126" s="417"/>
      <c r="AB126" s="417"/>
      <c r="AC126" s="417"/>
      <c r="AD126" s="417"/>
      <c r="AE126" s="417"/>
      <c r="AF126" s="417"/>
    </row>
    <row r="127" spans="1:32" ht="15" thickBot="1">
      <c r="A127" s="430" t="s">
        <v>776</v>
      </c>
      <c r="B127" s="430" t="s">
        <v>784</v>
      </c>
      <c r="D127" s="426">
        <f t="shared" ref="D127:I127" si="165">SUM(D124:D125)</f>
        <v>-31507</v>
      </c>
      <c r="E127" s="426">
        <f t="shared" si="165"/>
        <v>-128372</v>
      </c>
      <c r="F127" s="426">
        <f t="shared" si="165"/>
        <v>-52160</v>
      </c>
      <c r="G127" s="426">
        <f t="shared" si="165"/>
        <v>-16568</v>
      </c>
      <c r="H127" s="426">
        <f t="shared" si="165"/>
        <v>-41734</v>
      </c>
      <c r="I127" s="426">
        <f t="shared" si="165"/>
        <v>-90711</v>
      </c>
      <c r="J127" s="426">
        <f t="shared" ref="J127:Q127" si="166">SUM(J124:J125)</f>
        <v>-33546</v>
      </c>
      <c r="K127" s="426">
        <f t="shared" si="166"/>
        <v>67496</v>
      </c>
      <c r="L127" s="426">
        <f t="shared" si="166"/>
        <v>-33684</v>
      </c>
      <c r="M127" s="426">
        <f t="shared" si="166"/>
        <v>-65511</v>
      </c>
      <c r="N127" s="426">
        <f t="shared" si="166"/>
        <v>8770</v>
      </c>
      <c r="O127" s="426">
        <f t="shared" si="166"/>
        <v>97009</v>
      </c>
      <c r="P127" s="426">
        <f t="shared" si="166"/>
        <v>-26390</v>
      </c>
      <c r="Q127" s="426">
        <f t="shared" si="166"/>
        <v>-49284</v>
      </c>
      <c r="R127" s="426">
        <f t="shared" ref="R127" si="167">SUM(R124:R125)</f>
        <v>7860</v>
      </c>
      <c r="S127" s="426">
        <f>SUM(S124:S124)</f>
        <v>-220129</v>
      </c>
      <c r="T127" s="426">
        <f t="shared" ref="T127" si="168">SUM(T124:T125)</f>
        <v>-27262</v>
      </c>
      <c r="U127" s="426">
        <f>SUM(U124:U125)</f>
        <v>-86737</v>
      </c>
      <c r="W127" s="426">
        <f t="shared" ref="W127:AC127" si="169">SUM(W124:W125)</f>
        <v>-33684</v>
      </c>
      <c r="X127" s="426">
        <f t="shared" si="169"/>
        <v>-31827</v>
      </c>
      <c r="Y127" s="426">
        <f t="shared" si="169"/>
        <v>74281</v>
      </c>
      <c r="Z127" s="426">
        <f t="shared" si="169"/>
        <v>88239</v>
      </c>
      <c r="AA127" s="426">
        <f t="shared" si="169"/>
        <v>-26390</v>
      </c>
      <c r="AB127" s="426">
        <f t="shared" si="169"/>
        <v>-22894</v>
      </c>
      <c r="AC127" s="426">
        <f t="shared" si="169"/>
        <v>57144</v>
      </c>
      <c r="AD127" s="426">
        <f t="shared" ref="AD127:AE127" si="170">SUM(AD124:AD125)</f>
        <v>-227989</v>
      </c>
      <c r="AE127" s="426">
        <f t="shared" si="170"/>
        <v>-27262</v>
      </c>
      <c r="AF127" s="426">
        <f>SUM(AF124:AF125)</f>
        <v>-59475</v>
      </c>
    </row>
    <row r="129" spans="1:32" s="432" customFormat="1" ht="10.199999999999999">
      <c r="A129" s="431" t="s">
        <v>785</v>
      </c>
      <c r="B129" s="431" t="s">
        <v>786</v>
      </c>
      <c r="D129" s="433">
        <v>1</v>
      </c>
      <c r="E129" s="433">
        <v>1</v>
      </c>
      <c r="F129" s="433">
        <v>1</v>
      </c>
      <c r="G129" s="433">
        <v>1</v>
      </c>
      <c r="H129" s="433">
        <v>1</v>
      </c>
      <c r="I129" s="433">
        <v>1</v>
      </c>
      <c r="J129" s="433">
        <v>1</v>
      </c>
      <c r="K129" s="433">
        <v>1</v>
      </c>
      <c r="L129" s="433">
        <v>1</v>
      </c>
      <c r="M129" s="433">
        <v>1</v>
      </c>
      <c r="N129" s="433">
        <f t="shared" ref="N129:T130" si="171">M129</f>
        <v>1</v>
      </c>
      <c r="O129" s="433">
        <f t="shared" si="171"/>
        <v>1</v>
      </c>
      <c r="P129" s="433">
        <f t="shared" si="171"/>
        <v>1</v>
      </c>
      <c r="Q129" s="433">
        <f t="shared" si="171"/>
        <v>1</v>
      </c>
      <c r="R129" s="433">
        <f t="shared" si="171"/>
        <v>1</v>
      </c>
      <c r="S129" s="433">
        <f t="shared" si="171"/>
        <v>1</v>
      </c>
      <c r="T129" s="433">
        <f t="shared" si="171"/>
        <v>1</v>
      </c>
      <c r="U129" s="433">
        <f>S129</f>
        <v>1</v>
      </c>
      <c r="W129" s="433">
        <f>L129</f>
        <v>1</v>
      </c>
      <c r="X129" s="433">
        <v>1</v>
      </c>
      <c r="Y129" s="433">
        <f>X129</f>
        <v>1</v>
      </c>
      <c r="Z129" s="433">
        <f>Y129</f>
        <v>1</v>
      </c>
      <c r="AA129" s="433">
        <f>P129</f>
        <v>1</v>
      </c>
      <c r="AB129" s="433">
        <f t="shared" ref="AB129:AD130" si="172">AA129</f>
        <v>1</v>
      </c>
      <c r="AC129" s="433">
        <f t="shared" si="172"/>
        <v>1</v>
      </c>
      <c r="AD129" s="433">
        <f t="shared" si="172"/>
        <v>1</v>
      </c>
      <c r="AE129" s="433">
        <f>T129</f>
        <v>1</v>
      </c>
      <c r="AF129" s="433">
        <f>U129</f>
        <v>1</v>
      </c>
    </row>
    <row r="130" spans="1:32" s="432" customFormat="1" ht="10.199999999999999">
      <c r="A130" s="431" t="s">
        <v>787</v>
      </c>
      <c r="B130" s="431" t="s">
        <v>788</v>
      </c>
      <c r="D130" s="433">
        <v>0</v>
      </c>
      <c r="E130" s="433">
        <v>0</v>
      </c>
      <c r="F130" s="433">
        <v>0</v>
      </c>
      <c r="G130" s="433">
        <v>0</v>
      </c>
      <c r="H130" s="433">
        <v>0</v>
      </c>
      <c r="I130" s="433">
        <v>0</v>
      </c>
      <c r="J130" s="433">
        <v>0</v>
      </c>
      <c r="K130" s="433">
        <v>0</v>
      </c>
      <c r="L130" s="433">
        <v>0</v>
      </c>
      <c r="M130" s="433">
        <v>0</v>
      </c>
      <c r="N130" s="433">
        <f t="shared" si="171"/>
        <v>0</v>
      </c>
      <c r="O130" s="433">
        <f t="shared" si="171"/>
        <v>0</v>
      </c>
      <c r="P130" s="433">
        <f t="shared" si="171"/>
        <v>0</v>
      </c>
      <c r="Q130" s="433">
        <f t="shared" si="171"/>
        <v>0</v>
      </c>
      <c r="R130" s="433">
        <f t="shared" si="171"/>
        <v>0</v>
      </c>
      <c r="S130" s="433">
        <f t="shared" si="171"/>
        <v>0</v>
      </c>
      <c r="T130" s="433">
        <f t="shared" si="171"/>
        <v>0</v>
      </c>
      <c r="U130" s="433">
        <f>S130</f>
        <v>0</v>
      </c>
      <c r="W130" s="433">
        <f>L130</f>
        <v>0</v>
      </c>
      <c r="X130" s="433">
        <v>0</v>
      </c>
      <c r="Y130" s="433">
        <f>X130</f>
        <v>0</v>
      </c>
      <c r="Z130" s="433">
        <f>Y130</f>
        <v>0</v>
      </c>
      <c r="AA130" s="433">
        <f>P130</f>
        <v>0</v>
      </c>
      <c r="AB130" s="433">
        <f t="shared" si="172"/>
        <v>0</v>
      </c>
      <c r="AC130" s="433">
        <f t="shared" si="172"/>
        <v>0</v>
      </c>
      <c r="AD130" s="433">
        <f t="shared" si="172"/>
        <v>0</v>
      </c>
      <c r="AE130" s="433">
        <f>T130</f>
        <v>0</v>
      </c>
      <c r="AF130" s="433">
        <f>U130</f>
        <v>0</v>
      </c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9" tint="0.79998168889431442"/>
  </sheetPr>
  <dimension ref="A3:AF130"/>
  <sheetViews>
    <sheetView showGridLines="0" zoomScale="85" zoomScaleNormal="85" workbookViewId="0">
      <pane xSplit="2" ySplit="5" topLeftCell="I6" activePane="bottomRight" state="frozen"/>
      <selection pane="topRight" activeCell="C1" sqref="C1"/>
      <selection pane="bottomLeft" activeCell="A6" sqref="A6"/>
      <selection pane="bottomRight" activeCell="A93" sqref="A93:B93"/>
    </sheetView>
  </sheetViews>
  <sheetFormatPr defaultRowHeight="14.4" outlineLevelRow="1"/>
  <cols>
    <col min="1" max="1" width="65.5546875" bestFit="1" customWidth="1"/>
    <col min="2" max="2" width="65.5546875" customWidth="1"/>
    <col min="3" max="3" width="1.5546875" customWidth="1"/>
    <col min="4" max="18" width="15.21875" customWidth="1"/>
    <col min="19" max="19" width="15.33203125" customWidth="1"/>
    <col min="20" max="21" width="14.6640625" customWidth="1"/>
    <col min="22" max="22" width="1.5546875" customWidth="1"/>
    <col min="23" max="32" width="15.21875" customWidth="1"/>
  </cols>
  <sheetData>
    <row r="3" spans="1:32">
      <c r="D3" s="436" t="s">
        <v>824</v>
      </c>
      <c r="E3" s="436"/>
      <c r="F3" s="436"/>
      <c r="G3" s="436"/>
      <c r="H3" s="436"/>
    </row>
    <row r="4" spans="1:32">
      <c r="A4" s="428" t="s">
        <v>825</v>
      </c>
      <c r="B4" s="428" t="s">
        <v>826</v>
      </c>
      <c r="D4" s="435" t="s">
        <v>584</v>
      </c>
      <c r="E4" s="435" t="s">
        <v>585</v>
      </c>
      <c r="F4" s="435" t="s">
        <v>586</v>
      </c>
      <c r="G4" s="435">
        <v>2022</v>
      </c>
      <c r="H4" s="435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T4" s="427" t="s">
        <v>2488</v>
      </c>
      <c r="U4" s="427" t="s">
        <v>2497</v>
      </c>
      <c r="W4" s="427" t="s">
        <v>83</v>
      </c>
      <c r="X4" s="427" t="s">
        <v>84</v>
      </c>
      <c r="Y4" s="427" t="s">
        <v>85</v>
      </c>
      <c r="Z4" s="427" t="s">
        <v>86</v>
      </c>
      <c r="AA4" s="427" t="s">
        <v>87</v>
      </c>
      <c r="AB4" s="427" t="s">
        <v>88</v>
      </c>
      <c r="AC4" s="427" t="s">
        <v>2074</v>
      </c>
      <c r="AD4" s="427" t="s">
        <v>2127</v>
      </c>
      <c r="AE4" s="427" t="s">
        <v>2360</v>
      </c>
      <c r="AF4" s="427" t="s">
        <v>2494</v>
      </c>
    </row>
    <row r="5" spans="1:32" ht="6.75" customHeight="1"/>
    <row r="6" spans="1:32">
      <c r="A6" s="429" t="s">
        <v>596</v>
      </c>
      <c r="B6" s="429" t="s">
        <v>597</v>
      </c>
      <c r="D6" s="420">
        <f t="shared" ref="D6:J6" si="0">SUM(D8,D11:D17)</f>
        <v>0</v>
      </c>
      <c r="E6" s="420">
        <f t="shared" si="0"/>
        <v>0</v>
      </c>
      <c r="F6" s="420">
        <f t="shared" si="0"/>
        <v>0</v>
      </c>
      <c r="G6" s="420">
        <f t="shared" si="0"/>
        <v>0</v>
      </c>
      <c r="H6" s="420">
        <f t="shared" si="0"/>
        <v>0</v>
      </c>
      <c r="I6" s="420">
        <f t="shared" si="0"/>
        <v>0</v>
      </c>
      <c r="J6" s="420">
        <f t="shared" si="0"/>
        <v>4527</v>
      </c>
      <c r="K6" s="420">
        <f t="shared" ref="K6:T6" si="1">SUM(K8,K11:K17)</f>
        <v>9290</v>
      </c>
      <c r="L6" s="420">
        <f t="shared" si="1"/>
        <v>4733</v>
      </c>
      <c r="M6" s="420">
        <f t="shared" si="1"/>
        <v>19464</v>
      </c>
      <c r="N6" s="420">
        <f t="shared" si="1"/>
        <v>84041</v>
      </c>
      <c r="O6" s="420">
        <f t="shared" si="1"/>
        <v>144177</v>
      </c>
      <c r="P6" s="420">
        <f t="shared" si="1"/>
        <v>100413</v>
      </c>
      <c r="Q6" s="420">
        <f t="shared" si="1"/>
        <v>217033</v>
      </c>
      <c r="R6" s="420">
        <f t="shared" si="1"/>
        <v>322964</v>
      </c>
      <c r="S6" s="420">
        <f t="shared" si="1"/>
        <v>413583</v>
      </c>
      <c r="T6" s="741">
        <f t="shared" si="1"/>
        <v>90983</v>
      </c>
      <c r="U6" s="741">
        <f>SUM(U8,U11:U17)</f>
        <v>176145</v>
      </c>
      <c r="W6" s="420">
        <f t="shared" ref="W6:AC6" si="2">SUM(W8,W11:W17)</f>
        <v>4733</v>
      </c>
      <c r="X6" s="420">
        <f t="shared" si="2"/>
        <v>14731</v>
      </c>
      <c r="Y6" s="420">
        <f t="shared" si="2"/>
        <v>64577</v>
      </c>
      <c r="Z6" s="420">
        <f t="shared" si="2"/>
        <v>60136</v>
      </c>
      <c r="AA6" s="420">
        <f t="shared" si="2"/>
        <v>100413</v>
      </c>
      <c r="AB6" s="420">
        <f t="shared" si="2"/>
        <v>116620</v>
      </c>
      <c r="AC6" s="420">
        <f t="shared" si="2"/>
        <v>105931</v>
      </c>
      <c r="AD6" s="420">
        <f t="shared" ref="AD6:AE6" si="3">SUM(AD8,AD11:AD17)</f>
        <v>90619</v>
      </c>
      <c r="AE6" s="420">
        <f t="shared" si="3"/>
        <v>90983</v>
      </c>
      <c r="AF6" s="741">
        <f>SUM(AF8,AF11:AF17)</f>
        <v>85162</v>
      </c>
    </row>
    <row r="7" spans="1:32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W7" s="421"/>
      <c r="X7" s="421"/>
      <c r="Y7" s="421"/>
      <c r="Z7" s="421"/>
      <c r="AA7" s="421"/>
      <c r="AB7" s="421"/>
      <c r="AC7" s="421"/>
      <c r="AD7" s="421"/>
      <c r="AE7" s="421"/>
      <c r="AF7" s="421"/>
    </row>
    <row r="8" spans="1:32">
      <c r="A8" s="417" t="s">
        <v>598</v>
      </c>
      <c r="B8" s="417" t="s">
        <v>599</v>
      </c>
      <c r="D8" s="422">
        <f t="shared" ref="D8:I8" si="4">SUM(D9:D10)</f>
        <v>0</v>
      </c>
      <c r="E8" s="422">
        <f t="shared" si="4"/>
        <v>0</v>
      </c>
      <c r="F8" s="422">
        <f t="shared" si="4"/>
        <v>0</v>
      </c>
      <c r="G8" s="422">
        <f t="shared" si="4"/>
        <v>0</v>
      </c>
      <c r="H8" s="422">
        <f t="shared" si="4"/>
        <v>0</v>
      </c>
      <c r="I8" s="422">
        <f t="shared" si="4"/>
        <v>0</v>
      </c>
      <c r="J8" s="422">
        <f t="shared" ref="J8:T8" si="5">SUM(J9:J10)</f>
        <v>0</v>
      </c>
      <c r="K8" s="422">
        <f t="shared" si="5"/>
        <v>0</v>
      </c>
      <c r="L8" s="422">
        <f t="shared" si="5"/>
        <v>0</v>
      </c>
      <c r="M8" s="422">
        <f t="shared" si="5"/>
        <v>0</v>
      </c>
      <c r="N8" s="422">
        <f t="shared" si="5"/>
        <v>0</v>
      </c>
      <c r="O8" s="422">
        <f t="shared" si="5"/>
        <v>0</v>
      </c>
      <c r="P8" s="422">
        <f t="shared" si="5"/>
        <v>0</v>
      </c>
      <c r="Q8" s="422">
        <f t="shared" si="5"/>
        <v>0</v>
      </c>
      <c r="R8" s="422">
        <f t="shared" si="5"/>
        <v>0</v>
      </c>
      <c r="S8" s="422">
        <f t="shared" si="5"/>
        <v>0</v>
      </c>
      <c r="T8" s="422">
        <f t="shared" si="5"/>
        <v>0</v>
      </c>
      <c r="U8" s="422">
        <f>SUM(U9:U10)</f>
        <v>0</v>
      </c>
      <c r="W8" s="422">
        <f t="shared" ref="W8:AC8" si="6">SUM(W9:W10)</f>
        <v>0</v>
      </c>
      <c r="X8" s="422">
        <f t="shared" si="6"/>
        <v>0</v>
      </c>
      <c r="Y8" s="422">
        <f t="shared" si="6"/>
        <v>0</v>
      </c>
      <c r="Z8" s="422">
        <f t="shared" si="6"/>
        <v>0</v>
      </c>
      <c r="AA8" s="422">
        <f t="shared" si="6"/>
        <v>0</v>
      </c>
      <c r="AB8" s="422">
        <f t="shared" si="6"/>
        <v>0</v>
      </c>
      <c r="AC8" s="422">
        <f t="shared" si="6"/>
        <v>0</v>
      </c>
      <c r="AD8" s="422">
        <f t="shared" ref="AD8:AE8" si="7">SUM(AD9:AD10)</f>
        <v>0</v>
      </c>
      <c r="AE8" s="422">
        <f t="shared" si="7"/>
        <v>0</v>
      </c>
      <c r="AF8" s="422">
        <f>SUM(AF9:AF10)</f>
        <v>0</v>
      </c>
    </row>
    <row r="9" spans="1:32" outlineLevel="1">
      <c r="A9" s="418" t="s">
        <v>598</v>
      </c>
      <c r="B9" s="418" t="s">
        <v>599</v>
      </c>
      <c r="D9" s="423"/>
      <c r="E9" s="423"/>
      <c r="F9" s="423"/>
      <c r="G9" s="423"/>
      <c r="H9" s="423"/>
      <c r="I9" s="423">
        <v>0</v>
      </c>
      <c r="J9" s="423">
        <v>0</v>
      </c>
      <c r="K9" s="423">
        <v>0</v>
      </c>
      <c r="L9" s="423">
        <v>0</v>
      </c>
      <c r="M9" s="423">
        <v>0</v>
      </c>
      <c r="N9" s="423">
        <v>0</v>
      </c>
      <c r="O9" s="423">
        <v>0</v>
      </c>
      <c r="P9" s="423">
        <v>0</v>
      </c>
      <c r="Q9" s="423">
        <v>0</v>
      </c>
      <c r="R9" s="423">
        <v>0</v>
      </c>
      <c r="S9" s="423">
        <v>0</v>
      </c>
      <c r="T9" s="423">
        <v>0</v>
      </c>
      <c r="U9" s="423">
        <v>0</v>
      </c>
      <c r="W9" s="423">
        <f>L9</f>
        <v>0</v>
      </c>
      <c r="X9" s="423">
        <f>M9-W9</f>
        <v>0</v>
      </c>
      <c r="Y9" s="423">
        <f t="shared" ref="Y9:Z16" si="8">N9-M9</f>
        <v>0</v>
      </c>
      <c r="Z9" s="423">
        <f t="shared" si="8"/>
        <v>0</v>
      </c>
      <c r="AA9" s="423">
        <f>P9</f>
        <v>0</v>
      </c>
      <c r="AB9" s="423">
        <f t="shared" ref="AB9:AD16" si="9">Q9-P9</f>
        <v>0</v>
      </c>
      <c r="AC9" s="423">
        <f t="shared" si="9"/>
        <v>0</v>
      </c>
      <c r="AD9" s="423">
        <f t="shared" si="9"/>
        <v>0</v>
      </c>
      <c r="AE9" s="423">
        <f>T9</f>
        <v>0</v>
      </c>
      <c r="AF9" s="423">
        <f t="shared" ref="AF9:AF16" si="10">U9-T9</f>
        <v>0</v>
      </c>
    </row>
    <row r="10" spans="1:32" outlineLevel="1">
      <c r="A10" s="418" t="s">
        <v>600</v>
      </c>
      <c r="B10" s="418" t="s">
        <v>601</v>
      </c>
      <c r="D10" s="423"/>
      <c r="E10" s="423"/>
      <c r="F10" s="423"/>
      <c r="G10" s="423"/>
      <c r="H10" s="423"/>
      <c r="I10" s="423">
        <v>0</v>
      </c>
      <c r="J10" s="423">
        <v>0</v>
      </c>
      <c r="K10" s="423">
        <v>0</v>
      </c>
      <c r="L10" s="423">
        <v>0</v>
      </c>
      <c r="M10" s="423">
        <v>0</v>
      </c>
      <c r="N10" s="423">
        <v>0</v>
      </c>
      <c r="O10" s="423">
        <v>0</v>
      </c>
      <c r="P10" s="423">
        <v>0</v>
      </c>
      <c r="Q10" s="423">
        <v>0</v>
      </c>
      <c r="R10" s="423">
        <v>0</v>
      </c>
      <c r="S10" s="423">
        <v>0</v>
      </c>
      <c r="T10" s="423">
        <v>0</v>
      </c>
      <c r="U10" s="423">
        <v>0</v>
      </c>
      <c r="W10" s="423">
        <f t="shared" ref="W10:W25" si="11">L10</f>
        <v>0</v>
      </c>
      <c r="X10" s="423">
        <f t="shared" ref="X10:X16" si="12">M10-W10</f>
        <v>0</v>
      </c>
      <c r="Y10" s="423">
        <f t="shared" si="8"/>
        <v>0</v>
      </c>
      <c r="Z10" s="423">
        <f t="shared" si="8"/>
        <v>0</v>
      </c>
      <c r="AA10" s="423">
        <f t="shared" ref="AA10:AA25" si="13">P10</f>
        <v>0</v>
      </c>
      <c r="AB10" s="423">
        <f t="shared" si="9"/>
        <v>0</v>
      </c>
      <c r="AC10" s="423">
        <f t="shared" si="9"/>
        <v>0</v>
      </c>
      <c r="AD10" s="423">
        <f t="shared" si="9"/>
        <v>0</v>
      </c>
      <c r="AE10" s="423">
        <f t="shared" ref="AE10:AE25" si="14">T10</f>
        <v>0</v>
      </c>
      <c r="AF10" s="423">
        <f t="shared" si="10"/>
        <v>0</v>
      </c>
    </row>
    <row r="11" spans="1:32">
      <c r="A11" s="417" t="s">
        <v>602</v>
      </c>
      <c r="B11" s="417" t="s">
        <v>603</v>
      </c>
      <c r="D11" s="422"/>
      <c r="E11" s="422"/>
      <c r="F11" s="422"/>
      <c r="G11" s="422"/>
      <c r="H11" s="422"/>
      <c r="I11" s="422">
        <v>0</v>
      </c>
      <c r="J11" s="422">
        <v>0</v>
      </c>
      <c r="K11" s="422">
        <v>0</v>
      </c>
      <c r="L11" s="422">
        <v>0</v>
      </c>
      <c r="M11" s="422">
        <v>0</v>
      </c>
      <c r="N11" s="422">
        <v>0</v>
      </c>
      <c r="O11" s="422">
        <v>0</v>
      </c>
      <c r="P11" s="422">
        <v>0</v>
      </c>
      <c r="Q11" s="422">
        <v>0</v>
      </c>
      <c r="R11" s="422">
        <v>0</v>
      </c>
      <c r="S11" s="422">
        <v>0</v>
      </c>
      <c r="T11" s="422">
        <v>0</v>
      </c>
      <c r="U11" s="422">
        <v>0</v>
      </c>
      <c r="W11" s="422">
        <f t="shared" si="11"/>
        <v>0</v>
      </c>
      <c r="X11" s="422">
        <f t="shared" si="12"/>
        <v>0</v>
      </c>
      <c r="Y11" s="422">
        <f t="shared" si="8"/>
        <v>0</v>
      </c>
      <c r="Z11" s="422">
        <f t="shared" si="8"/>
        <v>0</v>
      </c>
      <c r="AA11" s="422">
        <f>P11</f>
        <v>0</v>
      </c>
      <c r="AB11" s="422">
        <f t="shared" si="9"/>
        <v>0</v>
      </c>
      <c r="AC11" s="422">
        <f t="shared" si="9"/>
        <v>0</v>
      </c>
      <c r="AD11" s="422">
        <f t="shared" si="9"/>
        <v>0</v>
      </c>
      <c r="AE11" s="422">
        <f>T11</f>
        <v>0</v>
      </c>
      <c r="AF11" s="422">
        <f t="shared" si="10"/>
        <v>0</v>
      </c>
    </row>
    <row r="12" spans="1:32">
      <c r="A12" s="417" t="s">
        <v>604</v>
      </c>
      <c r="B12" s="417" t="s">
        <v>605</v>
      </c>
      <c r="D12" s="422"/>
      <c r="E12" s="422"/>
      <c r="F12" s="422"/>
      <c r="G12" s="422"/>
      <c r="H12" s="422"/>
      <c r="I12" s="422">
        <v>0</v>
      </c>
      <c r="J12" s="422">
        <v>4527</v>
      </c>
      <c r="K12" s="422">
        <v>9651</v>
      </c>
      <c r="L12" s="422">
        <v>4810</v>
      </c>
      <c r="M12" s="422">
        <v>19588</v>
      </c>
      <c r="N12" s="422">
        <v>84194</v>
      </c>
      <c r="O12" s="422">
        <v>144473</v>
      </c>
      <c r="P12" s="422">
        <v>100278</v>
      </c>
      <c r="Q12" s="422">
        <v>217012</v>
      </c>
      <c r="R12" s="422">
        <v>323000</v>
      </c>
      <c r="S12" s="422">
        <v>413668</v>
      </c>
      <c r="T12" s="422">
        <v>91073</v>
      </c>
      <c r="U12" s="422">
        <v>176272</v>
      </c>
      <c r="W12" s="422">
        <f t="shared" si="11"/>
        <v>4810</v>
      </c>
      <c r="X12" s="422">
        <f t="shared" si="12"/>
        <v>14778</v>
      </c>
      <c r="Y12" s="422">
        <f t="shared" si="8"/>
        <v>64606</v>
      </c>
      <c r="Z12" s="422">
        <f t="shared" si="8"/>
        <v>60279</v>
      </c>
      <c r="AA12" s="422">
        <f t="shared" si="13"/>
        <v>100278</v>
      </c>
      <c r="AB12" s="422">
        <f t="shared" si="9"/>
        <v>116734</v>
      </c>
      <c r="AC12" s="422">
        <f t="shared" si="9"/>
        <v>105988</v>
      </c>
      <c r="AD12" s="422">
        <f t="shared" si="9"/>
        <v>90668</v>
      </c>
      <c r="AE12" s="422">
        <f t="shared" si="14"/>
        <v>91073</v>
      </c>
      <c r="AF12" s="422">
        <f t="shared" si="10"/>
        <v>85199</v>
      </c>
    </row>
    <row r="13" spans="1:32">
      <c r="A13" s="417" t="s">
        <v>606</v>
      </c>
      <c r="B13" s="417" t="s">
        <v>607</v>
      </c>
      <c r="D13" s="422"/>
      <c r="E13" s="422"/>
      <c r="F13" s="422"/>
      <c r="G13" s="422"/>
      <c r="H13" s="422"/>
      <c r="I13" s="422">
        <v>0</v>
      </c>
      <c r="J13" s="422">
        <v>0</v>
      </c>
      <c r="K13" s="422">
        <v>0</v>
      </c>
      <c r="L13" s="422">
        <v>0</v>
      </c>
      <c r="M13" s="422">
        <v>0</v>
      </c>
      <c r="N13" s="422">
        <v>0</v>
      </c>
      <c r="O13" s="422">
        <v>0</v>
      </c>
      <c r="P13" s="422">
        <v>0</v>
      </c>
      <c r="Q13" s="422">
        <v>0</v>
      </c>
      <c r="R13" s="422">
        <v>0</v>
      </c>
      <c r="S13" s="422">
        <v>0</v>
      </c>
      <c r="T13" s="422">
        <v>0</v>
      </c>
      <c r="U13" s="422">
        <v>0</v>
      </c>
      <c r="W13" s="422">
        <f t="shared" si="11"/>
        <v>0</v>
      </c>
      <c r="X13" s="422">
        <f t="shared" si="12"/>
        <v>0</v>
      </c>
      <c r="Y13" s="422">
        <f t="shared" si="8"/>
        <v>0</v>
      </c>
      <c r="Z13" s="422">
        <f t="shared" si="8"/>
        <v>0</v>
      </c>
      <c r="AA13" s="422">
        <f t="shared" si="13"/>
        <v>0</v>
      </c>
      <c r="AB13" s="422">
        <f t="shared" si="9"/>
        <v>0</v>
      </c>
      <c r="AC13" s="422">
        <f t="shared" si="9"/>
        <v>0</v>
      </c>
      <c r="AD13" s="422">
        <f t="shared" si="9"/>
        <v>0</v>
      </c>
      <c r="AE13" s="422">
        <f t="shared" si="14"/>
        <v>0</v>
      </c>
      <c r="AF13" s="422">
        <f t="shared" si="10"/>
        <v>0</v>
      </c>
    </row>
    <row r="14" spans="1:32">
      <c r="A14" s="417" t="s">
        <v>608</v>
      </c>
      <c r="B14" s="417" t="s">
        <v>609</v>
      </c>
      <c r="D14" s="422"/>
      <c r="E14" s="422"/>
      <c r="F14" s="422"/>
      <c r="G14" s="422"/>
      <c r="H14" s="422"/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>
        <v>0</v>
      </c>
      <c r="T14" s="422">
        <v>0</v>
      </c>
      <c r="U14" s="422">
        <v>0</v>
      </c>
      <c r="W14" s="422">
        <f t="shared" si="11"/>
        <v>0</v>
      </c>
      <c r="X14" s="422">
        <f t="shared" si="12"/>
        <v>0</v>
      </c>
      <c r="Y14" s="422">
        <f t="shared" si="8"/>
        <v>0</v>
      </c>
      <c r="Z14" s="422">
        <f t="shared" si="8"/>
        <v>0</v>
      </c>
      <c r="AA14" s="422">
        <f t="shared" si="13"/>
        <v>0</v>
      </c>
      <c r="AB14" s="422">
        <f t="shared" si="9"/>
        <v>0</v>
      </c>
      <c r="AC14" s="422">
        <f t="shared" si="9"/>
        <v>0</v>
      </c>
      <c r="AD14" s="422">
        <f t="shared" si="9"/>
        <v>0</v>
      </c>
      <c r="AE14" s="422">
        <f t="shared" si="14"/>
        <v>0</v>
      </c>
      <c r="AF14" s="422">
        <f t="shared" si="10"/>
        <v>0</v>
      </c>
    </row>
    <row r="15" spans="1:32">
      <c r="A15" s="417" t="s">
        <v>610</v>
      </c>
      <c r="B15" s="417" t="s">
        <v>611</v>
      </c>
      <c r="D15" s="422"/>
      <c r="E15" s="422"/>
      <c r="F15" s="422"/>
      <c r="G15" s="422"/>
      <c r="H15" s="422"/>
      <c r="I15" s="422">
        <v>0</v>
      </c>
      <c r="J15" s="422">
        <v>0</v>
      </c>
      <c r="K15" s="422">
        <v>0</v>
      </c>
      <c r="L15" s="422">
        <v>0</v>
      </c>
      <c r="M15" s="422">
        <v>0</v>
      </c>
      <c r="N15" s="422">
        <v>0</v>
      </c>
      <c r="O15" s="422">
        <v>0</v>
      </c>
      <c r="P15" s="422">
        <v>0</v>
      </c>
      <c r="Q15" s="422">
        <v>0</v>
      </c>
      <c r="R15" s="422">
        <v>0</v>
      </c>
      <c r="S15" s="422">
        <v>0</v>
      </c>
      <c r="T15" s="422">
        <v>0</v>
      </c>
      <c r="U15" s="422">
        <v>0</v>
      </c>
      <c r="W15" s="422">
        <f t="shared" si="11"/>
        <v>0</v>
      </c>
      <c r="X15" s="422">
        <f t="shared" si="12"/>
        <v>0</v>
      </c>
      <c r="Y15" s="422">
        <f t="shared" si="8"/>
        <v>0</v>
      </c>
      <c r="Z15" s="422">
        <f t="shared" si="8"/>
        <v>0</v>
      </c>
      <c r="AA15" s="422">
        <f t="shared" si="13"/>
        <v>0</v>
      </c>
      <c r="AB15" s="422">
        <f t="shared" si="9"/>
        <v>0</v>
      </c>
      <c r="AC15" s="422">
        <f t="shared" si="9"/>
        <v>0</v>
      </c>
      <c r="AD15" s="422">
        <f t="shared" si="9"/>
        <v>0</v>
      </c>
      <c r="AE15" s="422">
        <f t="shared" si="14"/>
        <v>0</v>
      </c>
      <c r="AF15" s="422">
        <f t="shared" si="10"/>
        <v>0</v>
      </c>
    </row>
    <row r="16" spans="1:32">
      <c r="A16" s="417" t="s">
        <v>612</v>
      </c>
      <c r="B16" s="417" t="s">
        <v>613</v>
      </c>
      <c r="D16" s="422"/>
      <c r="E16" s="422"/>
      <c r="F16" s="422"/>
      <c r="G16" s="422"/>
      <c r="H16" s="422"/>
      <c r="I16" s="422">
        <v>0</v>
      </c>
      <c r="J16" s="422">
        <v>0</v>
      </c>
      <c r="K16" s="422">
        <v>0</v>
      </c>
      <c r="L16" s="422">
        <v>0</v>
      </c>
      <c r="M16" s="422">
        <v>0</v>
      </c>
      <c r="N16" s="422">
        <v>0</v>
      </c>
      <c r="O16" s="422">
        <v>0</v>
      </c>
      <c r="P16" s="422">
        <v>0</v>
      </c>
      <c r="Q16" s="422">
        <v>0</v>
      </c>
      <c r="R16" s="422">
        <v>0</v>
      </c>
      <c r="S16" s="422">
        <v>0</v>
      </c>
      <c r="T16" s="422">
        <v>0</v>
      </c>
      <c r="U16" s="422">
        <v>0</v>
      </c>
      <c r="W16" s="422">
        <f t="shared" si="11"/>
        <v>0</v>
      </c>
      <c r="X16" s="422">
        <f t="shared" si="12"/>
        <v>0</v>
      </c>
      <c r="Y16" s="422">
        <f t="shared" si="8"/>
        <v>0</v>
      </c>
      <c r="Z16" s="422">
        <f t="shared" si="8"/>
        <v>0</v>
      </c>
      <c r="AA16" s="422">
        <f t="shared" si="13"/>
        <v>0</v>
      </c>
      <c r="AB16" s="422">
        <f t="shared" si="9"/>
        <v>0</v>
      </c>
      <c r="AC16" s="422">
        <f t="shared" si="9"/>
        <v>0</v>
      </c>
      <c r="AD16" s="422">
        <f t="shared" si="9"/>
        <v>0</v>
      </c>
      <c r="AE16" s="422">
        <f t="shared" si="14"/>
        <v>0</v>
      </c>
      <c r="AF16" s="422">
        <f t="shared" si="10"/>
        <v>0</v>
      </c>
    </row>
    <row r="17" spans="1:32">
      <c r="A17" s="417" t="s">
        <v>614</v>
      </c>
      <c r="B17" s="417" t="s">
        <v>615</v>
      </c>
      <c r="D17" s="422">
        <f t="shared" ref="D17:I17" si="15">SUM(D18:D25)</f>
        <v>0</v>
      </c>
      <c r="E17" s="422">
        <f t="shared" si="15"/>
        <v>0</v>
      </c>
      <c r="F17" s="422">
        <f t="shared" si="15"/>
        <v>0</v>
      </c>
      <c r="G17" s="422">
        <f t="shared" si="15"/>
        <v>0</v>
      </c>
      <c r="H17" s="422">
        <f t="shared" si="15"/>
        <v>0</v>
      </c>
      <c r="I17" s="422">
        <f t="shared" si="15"/>
        <v>0</v>
      </c>
      <c r="J17" s="422">
        <f t="shared" ref="J17:T17" si="16">SUM(J18:J25)</f>
        <v>0</v>
      </c>
      <c r="K17" s="422">
        <f t="shared" si="16"/>
        <v>-361</v>
      </c>
      <c r="L17" s="422">
        <f t="shared" si="16"/>
        <v>-77</v>
      </c>
      <c r="M17" s="422">
        <f t="shared" si="16"/>
        <v>-124</v>
      </c>
      <c r="N17" s="422">
        <f t="shared" si="16"/>
        <v>-153</v>
      </c>
      <c r="O17" s="422">
        <f t="shared" si="16"/>
        <v>-296</v>
      </c>
      <c r="P17" s="422">
        <f t="shared" si="16"/>
        <v>135</v>
      </c>
      <c r="Q17" s="422">
        <f t="shared" si="16"/>
        <v>21</v>
      </c>
      <c r="R17" s="422">
        <f t="shared" si="16"/>
        <v>-36</v>
      </c>
      <c r="S17" s="422">
        <f t="shared" si="16"/>
        <v>-85</v>
      </c>
      <c r="T17" s="422">
        <f t="shared" si="16"/>
        <v>-90</v>
      </c>
      <c r="U17" s="422">
        <f>SUM(U18:U25)</f>
        <v>-127</v>
      </c>
      <c r="W17" s="422">
        <f t="shared" ref="W17:AC17" si="17">SUM(W18:W25)</f>
        <v>-77</v>
      </c>
      <c r="X17" s="422">
        <f t="shared" si="17"/>
        <v>-47</v>
      </c>
      <c r="Y17" s="422">
        <f t="shared" si="17"/>
        <v>-29</v>
      </c>
      <c r="Z17" s="422">
        <f t="shared" si="17"/>
        <v>-143</v>
      </c>
      <c r="AA17" s="422">
        <f t="shared" si="17"/>
        <v>135</v>
      </c>
      <c r="AB17" s="422">
        <f t="shared" si="17"/>
        <v>-114</v>
      </c>
      <c r="AC17" s="422">
        <f t="shared" si="17"/>
        <v>-57</v>
      </c>
      <c r="AD17" s="422">
        <f t="shared" ref="AD17:AE17" si="18">SUM(AD18:AD25)</f>
        <v>-49</v>
      </c>
      <c r="AE17" s="422">
        <f t="shared" si="18"/>
        <v>-90</v>
      </c>
      <c r="AF17" s="422">
        <f>SUM(AF18:AF25)</f>
        <v>-37</v>
      </c>
    </row>
    <row r="18" spans="1:32" outlineLevel="1">
      <c r="A18" s="418" t="s">
        <v>616</v>
      </c>
      <c r="B18" s="418" t="s">
        <v>617</v>
      </c>
      <c r="D18" s="423"/>
      <c r="E18" s="423"/>
      <c r="F18" s="423"/>
      <c r="G18" s="423"/>
      <c r="H18" s="423"/>
      <c r="I18" s="423">
        <v>0</v>
      </c>
      <c r="J18" s="423">
        <v>0</v>
      </c>
      <c r="K18" s="423">
        <v>0</v>
      </c>
      <c r="L18" s="423">
        <v>0</v>
      </c>
      <c r="M18" s="423">
        <v>0</v>
      </c>
      <c r="N18" s="423">
        <v>0</v>
      </c>
      <c r="O18" s="423">
        <v>0</v>
      </c>
      <c r="P18" s="423">
        <v>0</v>
      </c>
      <c r="Q18" s="423">
        <v>0</v>
      </c>
      <c r="R18" s="423">
        <v>0</v>
      </c>
      <c r="S18" s="423">
        <v>0</v>
      </c>
      <c r="T18" s="423">
        <v>0</v>
      </c>
      <c r="U18" s="423">
        <v>0</v>
      </c>
      <c r="W18" s="423">
        <f t="shared" si="11"/>
        <v>0</v>
      </c>
      <c r="X18" s="423">
        <f t="shared" ref="X18:X25" si="19">M18-W18</f>
        <v>0</v>
      </c>
      <c r="Y18" s="423">
        <f t="shared" ref="Y18:Z25" si="20">N18-M18</f>
        <v>0</v>
      </c>
      <c r="Z18" s="423">
        <f t="shared" si="20"/>
        <v>0</v>
      </c>
      <c r="AA18" s="423">
        <f t="shared" si="13"/>
        <v>0</v>
      </c>
      <c r="AB18" s="423">
        <f t="shared" ref="AB18:AD25" si="21">Q18-P18</f>
        <v>0</v>
      </c>
      <c r="AC18" s="423">
        <f t="shared" si="21"/>
        <v>0</v>
      </c>
      <c r="AD18" s="423">
        <f t="shared" si="21"/>
        <v>0</v>
      </c>
      <c r="AE18" s="423">
        <f t="shared" si="14"/>
        <v>0</v>
      </c>
      <c r="AF18" s="423">
        <f t="shared" ref="AF18:AF25" si="22">U18-T18</f>
        <v>0</v>
      </c>
    </row>
    <row r="19" spans="1:32" outlineLevel="1">
      <c r="A19" s="418" t="s">
        <v>618</v>
      </c>
      <c r="B19" s="418" t="s">
        <v>619</v>
      </c>
      <c r="D19" s="423"/>
      <c r="E19" s="423"/>
      <c r="F19" s="423"/>
      <c r="G19" s="423"/>
      <c r="H19" s="423"/>
      <c r="I19" s="423">
        <v>0</v>
      </c>
      <c r="J19" s="423">
        <v>0</v>
      </c>
      <c r="K19" s="423">
        <v>0</v>
      </c>
      <c r="L19" s="423">
        <v>0</v>
      </c>
      <c r="M19" s="423">
        <v>0</v>
      </c>
      <c r="N19" s="423">
        <v>0</v>
      </c>
      <c r="O19" s="423">
        <v>0</v>
      </c>
      <c r="P19" s="423">
        <v>0</v>
      </c>
      <c r="Q19" s="423">
        <v>0</v>
      </c>
      <c r="R19" s="423">
        <v>0</v>
      </c>
      <c r="S19" s="423">
        <v>0</v>
      </c>
      <c r="T19" s="423">
        <v>0</v>
      </c>
      <c r="U19" s="423">
        <v>0</v>
      </c>
      <c r="W19" s="423">
        <f t="shared" si="11"/>
        <v>0</v>
      </c>
      <c r="X19" s="423">
        <f t="shared" si="19"/>
        <v>0</v>
      </c>
      <c r="Y19" s="423">
        <f t="shared" si="20"/>
        <v>0</v>
      </c>
      <c r="Z19" s="423">
        <f t="shared" si="20"/>
        <v>0</v>
      </c>
      <c r="AA19" s="423">
        <f t="shared" si="13"/>
        <v>0</v>
      </c>
      <c r="AB19" s="423">
        <f t="shared" si="21"/>
        <v>0</v>
      </c>
      <c r="AC19" s="423">
        <f t="shared" si="21"/>
        <v>0</v>
      </c>
      <c r="AD19" s="423">
        <f t="shared" si="21"/>
        <v>0</v>
      </c>
      <c r="AE19" s="423">
        <f t="shared" si="14"/>
        <v>0</v>
      </c>
      <c r="AF19" s="423">
        <f t="shared" si="22"/>
        <v>0</v>
      </c>
    </row>
    <row r="20" spans="1:32" outlineLevel="1">
      <c r="A20" s="418" t="s">
        <v>620</v>
      </c>
      <c r="B20" s="418" t="s">
        <v>621</v>
      </c>
      <c r="D20" s="423"/>
      <c r="E20" s="423"/>
      <c r="F20" s="423"/>
      <c r="G20" s="423"/>
      <c r="H20" s="423"/>
      <c r="I20" s="423">
        <v>0</v>
      </c>
      <c r="J20" s="423">
        <v>0</v>
      </c>
      <c r="K20" s="423">
        <v>0</v>
      </c>
      <c r="L20" s="423">
        <v>0</v>
      </c>
      <c r="M20" s="423">
        <v>0</v>
      </c>
      <c r="N20" s="423">
        <v>0</v>
      </c>
      <c r="O20" s="423">
        <v>0</v>
      </c>
      <c r="P20" s="423">
        <v>0</v>
      </c>
      <c r="Q20" s="423">
        <v>0</v>
      </c>
      <c r="R20" s="423">
        <v>0</v>
      </c>
      <c r="S20" s="423">
        <v>0</v>
      </c>
      <c r="T20" s="423">
        <v>0</v>
      </c>
      <c r="U20" s="423">
        <v>0</v>
      </c>
      <c r="W20" s="423">
        <f t="shared" si="11"/>
        <v>0</v>
      </c>
      <c r="X20" s="423">
        <f t="shared" si="19"/>
        <v>0</v>
      </c>
      <c r="Y20" s="423">
        <f t="shared" si="20"/>
        <v>0</v>
      </c>
      <c r="Z20" s="423">
        <f t="shared" si="20"/>
        <v>0</v>
      </c>
      <c r="AA20" s="423">
        <f t="shared" si="13"/>
        <v>0</v>
      </c>
      <c r="AB20" s="423">
        <f t="shared" si="21"/>
        <v>0</v>
      </c>
      <c r="AC20" s="423">
        <f t="shared" si="21"/>
        <v>0</v>
      </c>
      <c r="AD20" s="423">
        <f t="shared" si="21"/>
        <v>0</v>
      </c>
      <c r="AE20" s="423">
        <f t="shared" si="14"/>
        <v>0</v>
      </c>
      <c r="AF20" s="423">
        <f t="shared" si="22"/>
        <v>0</v>
      </c>
    </row>
    <row r="21" spans="1:32" outlineLevel="1">
      <c r="A21" s="418" t="s">
        <v>622</v>
      </c>
      <c r="B21" s="418" t="s">
        <v>623</v>
      </c>
      <c r="D21" s="423"/>
      <c r="E21" s="423"/>
      <c r="F21" s="423"/>
      <c r="G21" s="423"/>
      <c r="H21" s="423"/>
      <c r="I21" s="423">
        <v>0</v>
      </c>
      <c r="J21" s="423">
        <v>0</v>
      </c>
      <c r="K21" s="423">
        <v>0</v>
      </c>
      <c r="L21" s="423">
        <v>0</v>
      </c>
      <c r="M21" s="423">
        <v>0</v>
      </c>
      <c r="N21" s="423">
        <v>0</v>
      </c>
      <c r="O21" s="423">
        <v>0</v>
      </c>
      <c r="P21" s="423">
        <v>0</v>
      </c>
      <c r="Q21" s="423">
        <v>0</v>
      </c>
      <c r="R21" s="423">
        <v>0</v>
      </c>
      <c r="S21" s="423">
        <v>0</v>
      </c>
      <c r="T21" s="423">
        <v>0</v>
      </c>
      <c r="U21" s="423">
        <v>0</v>
      </c>
      <c r="W21" s="423">
        <f t="shared" si="11"/>
        <v>0</v>
      </c>
      <c r="X21" s="423">
        <f t="shared" si="19"/>
        <v>0</v>
      </c>
      <c r="Y21" s="423">
        <f t="shared" si="20"/>
        <v>0</v>
      </c>
      <c r="Z21" s="423">
        <f t="shared" si="20"/>
        <v>0</v>
      </c>
      <c r="AA21" s="423">
        <f t="shared" si="13"/>
        <v>0</v>
      </c>
      <c r="AB21" s="423">
        <f t="shared" si="21"/>
        <v>0</v>
      </c>
      <c r="AC21" s="423">
        <f t="shared" si="21"/>
        <v>0</v>
      </c>
      <c r="AD21" s="423">
        <f t="shared" si="21"/>
        <v>0</v>
      </c>
      <c r="AE21" s="423">
        <f t="shared" si="14"/>
        <v>0</v>
      </c>
      <c r="AF21" s="423">
        <f t="shared" si="22"/>
        <v>0</v>
      </c>
    </row>
    <row r="22" spans="1:32" outlineLevel="1">
      <c r="A22" s="418" t="s">
        <v>624</v>
      </c>
      <c r="B22" s="418" t="s">
        <v>625</v>
      </c>
      <c r="D22" s="423"/>
      <c r="E22" s="423"/>
      <c r="F22" s="423"/>
      <c r="G22" s="423"/>
      <c r="H22" s="423"/>
      <c r="I22" s="423">
        <v>0</v>
      </c>
      <c r="J22" s="423">
        <v>0</v>
      </c>
      <c r="K22" s="423">
        <v>0</v>
      </c>
      <c r="L22" s="423">
        <v>0</v>
      </c>
      <c r="M22" s="423">
        <v>0</v>
      </c>
      <c r="N22" s="423">
        <v>0</v>
      </c>
      <c r="O22" s="423">
        <v>0</v>
      </c>
      <c r="P22" s="423">
        <v>0</v>
      </c>
      <c r="Q22" s="423">
        <v>0</v>
      </c>
      <c r="R22" s="423">
        <v>0</v>
      </c>
      <c r="S22" s="423">
        <v>0</v>
      </c>
      <c r="T22" s="423">
        <v>0</v>
      </c>
      <c r="U22" s="423">
        <v>0</v>
      </c>
      <c r="W22" s="423">
        <f t="shared" si="11"/>
        <v>0</v>
      </c>
      <c r="X22" s="423">
        <f t="shared" si="19"/>
        <v>0</v>
      </c>
      <c r="Y22" s="423">
        <f t="shared" si="20"/>
        <v>0</v>
      </c>
      <c r="Z22" s="423">
        <f t="shared" si="20"/>
        <v>0</v>
      </c>
      <c r="AA22" s="423">
        <f t="shared" si="13"/>
        <v>0</v>
      </c>
      <c r="AB22" s="423">
        <f t="shared" si="21"/>
        <v>0</v>
      </c>
      <c r="AC22" s="423">
        <f t="shared" si="21"/>
        <v>0</v>
      </c>
      <c r="AD22" s="423">
        <f t="shared" si="21"/>
        <v>0</v>
      </c>
      <c r="AE22" s="423">
        <f t="shared" si="14"/>
        <v>0</v>
      </c>
      <c r="AF22" s="423">
        <f t="shared" si="22"/>
        <v>0</v>
      </c>
    </row>
    <row r="23" spans="1:32" outlineLevel="1">
      <c r="A23" s="418" t="s">
        <v>626</v>
      </c>
      <c r="B23" s="418" t="s">
        <v>811</v>
      </c>
      <c r="D23" s="423"/>
      <c r="E23" s="423"/>
      <c r="F23" s="423"/>
      <c r="G23" s="423"/>
      <c r="H23" s="423"/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0</v>
      </c>
      <c r="T23" s="423">
        <v>0</v>
      </c>
      <c r="U23" s="423">
        <v>0</v>
      </c>
      <c r="W23" s="423">
        <f t="shared" si="11"/>
        <v>0</v>
      </c>
      <c r="X23" s="423">
        <f t="shared" si="19"/>
        <v>0</v>
      </c>
      <c r="Y23" s="423">
        <f t="shared" si="20"/>
        <v>0</v>
      </c>
      <c r="Z23" s="423">
        <f t="shared" si="20"/>
        <v>0</v>
      </c>
      <c r="AA23" s="423">
        <f t="shared" si="13"/>
        <v>0</v>
      </c>
      <c r="AB23" s="423">
        <f t="shared" si="21"/>
        <v>0</v>
      </c>
      <c r="AC23" s="423">
        <f t="shared" si="21"/>
        <v>0</v>
      </c>
      <c r="AD23" s="423">
        <f t="shared" si="21"/>
        <v>0</v>
      </c>
      <c r="AE23" s="423">
        <f t="shared" si="14"/>
        <v>0</v>
      </c>
      <c r="AF23" s="423">
        <f t="shared" si="22"/>
        <v>0</v>
      </c>
    </row>
    <row r="24" spans="1:32" outlineLevel="1">
      <c r="A24" s="418" t="s">
        <v>628</v>
      </c>
      <c r="B24" s="418" t="s">
        <v>629</v>
      </c>
      <c r="D24" s="423"/>
      <c r="E24" s="423"/>
      <c r="F24" s="423"/>
      <c r="G24" s="423"/>
      <c r="H24" s="423"/>
      <c r="I24" s="423">
        <v>0</v>
      </c>
      <c r="J24" s="423">
        <v>0</v>
      </c>
      <c r="K24" s="423">
        <v>-361</v>
      </c>
      <c r="L24" s="423">
        <v>-77</v>
      </c>
      <c r="M24" s="423">
        <v>-124</v>
      </c>
      <c r="N24" s="423">
        <v>-153</v>
      </c>
      <c r="O24" s="423">
        <v>-296</v>
      </c>
      <c r="P24" s="423">
        <v>135</v>
      </c>
      <c r="Q24" s="423">
        <v>21</v>
      </c>
      <c r="R24" s="423">
        <v>-36</v>
      </c>
      <c r="S24" s="423">
        <v>-85</v>
      </c>
      <c r="T24" s="423">
        <v>-90</v>
      </c>
      <c r="U24" s="423">
        <v>-127</v>
      </c>
      <c r="W24" s="423">
        <f t="shared" si="11"/>
        <v>-77</v>
      </c>
      <c r="X24" s="423">
        <f t="shared" si="19"/>
        <v>-47</v>
      </c>
      <c r="Y24" s="423">
        <f t="shared" si="20"/>
        <v>-29</v>
      </c>
      <c r="Z24" s="423">
        <f t="shared" si="20"/>
        <v>-143</v>
      </c>
      <c r="AA24" s="423">
        <f t="shared" si="13"/>
        <v>135</v>
      </c>
      <c r="AB24" s="423">
        <f t="shared" si="21"/>
        <v>-114</v>
      </c>
      <c r="AC24" s="423">
        <f t="shared" si="21"/>
        <v>-57</v>
      </c>
      <c r="AD24" s="423">
        <f t="shared" si="21"/>
        <v>-49</v>
      </c>
      <c r="AE24" s="423">
        <f t="shared" si="14"/>
        <v>-90</v>
      </c>
      <c r="AF24" s="423">
        <f t="shared" si="22"/>
        <v>-37</v>
      </c>
    </row>
    <row r="25" spans="1:32" outlineLevel="1">
      <c r="A25" s="418" t="s">
        <v>614</v>
      </c>
      <c r="B25" s="418" t="s">
        <v>615</v>
      </c>
      <c r="D25" s="423"/>
      <c r="E25" s="423"/>
      <c r="F25" s="423"/>
      <c r="G25" s="423"/>
      <c r="H25" s="423"/>
      <c r="I25" s="423">
        <v>0</v>
      </c>
      <c r="J25" s="423">
        <v>0</v>
      </c>
      <c r="K25" s="423">
        <v>0</v>
      </c>
      <c r="L25" s="423">
        <v>0</v>
      </c>
      <c r="M25" s="423">
        <v>0</v>
      </c>
      <c r="N25" s="423">
        <v>0</v>
      </c>
      <c r="O25" s="423">
        <v>0</v>
      </c>
      <c r="P25" s="423">
        <v>0</v>
      </c>
      <c r="Q25" s="423">
        <v>0</v>
      </c>
      <c r="R25" s="423">
        <v>0</v>
      </c>
      <c r="S25" s="423">
        <v>0</v>
      </c>
      <c r="T25" s="423">
        <v>0</v>
      </c>
      <c r="U25" s="423">
        <v>0</v>
      </c>
      <c r="W25" s="423">
        <f t="shared" si="11"/>
        <v>0</v>
      </c>
      <c r="X25" s="423">
        <f t="shared" si="19"/>
        <v>0</v>
      </c>
      <c r="Y25" s="423">
        <f t="shared" si="20"/>
        <v>0</v>
      </c>
      <c r="Z25" s="423">
        <f t="shared" si="20"/>
        <v>0</v>
      </c>
      <c r="AA25" s="423">
        <f t="shared" si="13"/>
        <v>0</v>
      </c>
      <c r="AB25" s="423">
        <f t="shared" si="21"/>
        <v>0</v>
      </c>
      <c r="AC25" s="423">
        <f t="shared" si="21"/>
        <v>0</v>
      </c>
      <c r="AD25" s="423">
        <f t="shared" si="21"/>
        <v>0</v>
      </c>
      <c r="AE25" s="423">
        <f t="shared" si="14"/>
        <v>0</v>
      </c>
      <c r="AF25" s="423">
        <f t="shared" si="22"/>
        <v>0</v>
      </c>
    </row>
    <row r="26" spans="1:32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</row>
    <row r="27" spans="1:32">
      <c r="A27" s="429" t="s">
        <v>630</v>
      </c>
      <c r="B27" s="429" t="s">
        <v>631</v>
      </c>
      <c r="D27" s="420">
        <f t="shared" ref="D27:I27" si="23">SUM(D29:D37)</f>
        <v>0</v>
      </c>
      <c r="E27" s="420">
        <f t="shared" si="23"/>
        <v>0</v>
      </c>
      <c r="F27" s="420">
        <f t="shared" si="23"/>
        <v>0</v>
      </c>
      <c r="G27" s="420">
        <f t="shared" si="23"/>
        <v>0</v>
      </c>
      <c r="H27" s="420">
        <f t="shared" si="23"/>
        <v>0</v>
      </c>
      <c r="I27" s="420">
        <f t="shared" si="23"/>
        <v>0</v>
      </c>
      <c r="J27" s="420">
        <f t="shared" ref="J27:T27" si="24">SUM(J29:J37)</f>
        <v>-447</v>
      </c>
      <c r="K27" s="420">
        <f t="shared" si="24"/>
        <v>-859</v>
      </c>
      <c r="L27" s="420">
        <f t="shared" si="24"/>
        <v>-438</v>
      </c>
      <c r="M27" s="420">
        <f t="shared" si="24"/>
        <v>-1600</v>
      </c>
      <c r="N27" s="420">
        <f t="shared" si="24"/>
        <v>-4515</v>
      </c>
      <c r="O27" s="420">
        <f t="shared" si="24"/>
        <v>-7265</v>
      </c>
      <c r="P27" s="420">
        <f t="shared" si="24"/>
        <v>-3993</v>
      </c>
      <c r="Q27" s="420">
        <f t="shared" si="24"/>
        <v>-9230</v>
      </c>
      <c r="R27" s="420">
        <f t="shared" si="24"/>
        <v>-14492</v>
      </c>
      <c r="S27" s="420">
        <f t="shared" si="24"/>
        <v>-19483</v>
      </c>
      <c r="T27" s="741">
        <f t="shared" si="24"/>
        <v>-5869</v>
      </c>
      <c r="U27" s="741">
        <f>SUM(U29:U37)</f>
        <v>-11425</v>
      </c>
      <c r="W27" s="420">
        <f t="shared" ref="W27:AC27" si="25">SUM(W29:W37)</f>
        <v>-438</v>
      </c>
      <c r="X27" s="420">
        <f t="shared" si="25"/>
        <v>-1162</v>
      </c>
      <c r="Y27" s="420">
        <f t="shared" si="25"/>
        <v>-2915</v>
      </c>
      <c r="Z27" s="420">
        <f t="shared" si="25"/>
        <v>-2750</v>
      </c>
      <c r="AA27" s="420">
        <f t="shared" si="25"/>
        <v>-3993</v>
      </c>
      <c r="AB27" s="420">
        <f t="shared" si="25"/>
        <v>-5237</v>
      </c>
      <c r="AC27" s="420">
        <f t="shared" si="25"/>
        <v>-5262</v>
      </c>
      <c r="AD27" s="420">
        <f t="shared" ref="AD27:AE27" si="26">SUM(AD29:AD37)</f>
        <v>-4991</v>
      </c>
      <c r="AE27" s="420">
        <f t="shared" si="26"/>
        <v>-5869</v>
      </c>
      <c r="AF27" s="741">
        <f>SUM(AF29:AF37)</f>
        <v>-5556</v>
      </c>
    </row>
    <row r="28" spans="1:32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</row>
    <row r="29" spans="1:32" outlineLevel="1">
      <c r="A29" s="418" t="s">
        <v>632</v>
      </c>
      <c r="B29" s="418" t="s">
        <v>632</v>
      </c>
      <c r="D29" s="423"/>
      <c r="E29" s="423"/>
      <c r="F29" s="423"/>
      <c r="G29" s="423"/>
      <c r="H29" s="423"/>
      <c r="I29" s="423">
        <v>0</v>
      </c>
      <c r="J29" s="423">
        <v>0</v>
      </c>
      <c r="K29" s="423">
        <v>0</v>
      </c>
      <c r="L29" s="423">
        <v>0</v>
      </c>
      <c r="M29" s="423">
        <v>-281</v>
      </c>
      <c r="N29" s="423">
        <v>-581</v>
      </c>
      <c r="O29" s="423">
        <v>-857</v>
      </c>
      <c r="P29" s="423">
        <v>1</v>
      </c>
      <c r="Q29" s="423">
        <v>-660</v>
      </c>
      <c r="R29" s="423">
        <v>-1697</v>
      </c>
      <c r="S29" s="423">
        <v>-3124</v>
      </c>
      <c r="T29" s="423">
        <v>-2435</v>
      </c>
      <c r="U29" s="423">
        <v>-4893</v>
      </c>
      <c r="W29" s="423">
        <f t="shared" ref="W29:W37" si="27">L29</f>
        <v>0</v>
      </c>
      <c r="X29" s="423">
        <f t="shared" ref="X29:X37" si="28">M29-W29</f>
        <v>-281</v>
      </c>
      <c r="Y29" s="423">
        <f t="shared" ref="Y29:Y37" si="29">N29-M29</f>
        <v>-300</v>
      </c>
      <c r="Z29" s="423">
        <f t="shared" ref="Z29:Z37" si="30">O29-N29</f>
        <v>-276</v>
      </c>
      <c r="AA29" s="423">
        <f t="shared" ref="AA29:AA37" si="31">P29</f>
        <v>1</v>
      </c>
      <c r="AB29" s="423">
        <f t="shared" ref="AB29:AB37" si="32">Q29-P29</f>
        <v>-661</v>
      </c>
      <c r="AC29" s="423">
        <f t="shared" ref="AC29:AC37" si="33">R29-Q29</f>
        <v>-1037</v>
      </c>
      <c r="AD29" s="423">
        <f t="shared" ref="AD29:AD37" si="34">S29-R29</f>
        <v>-1427</v>
      </c>
      <c r="AE29" s="423">
        <f t="shared" ref="AE29:AE37" si="35">T29</f>
        <v>-2435</v>
      </c>
      <c r="AF29" s="423">
        <f t="shared" ref="AF29:AF37" si="36">U29-T29</f>
        <v>-2458</v>
      </c>
    </row>
    <row r="30" spans="1:32" outlineLevel="1">
      <c r="A30" s="418" t="s">
        <v>633</v>
      </c>
      <c r="B30" s="418" t="s">
        <v>827</v>
      </c>
      <c r="D30" s="423"/>
      <c r="E30" s="423"/>
      <c r="F30" s="423"/>
      <c r="G30" s="423"/>
      <c r="H30" s="423"/>
      <c r="I30" s="423">
        <v>0</v>
      </c>
      <c r="J30" s="423">
        <v>0</v>
      </c>
      <c r="K30" s="423">
        <v>-893</v>
      </c>
      <c r="L30" s="423">
        <v>-445</v>
      </c>
      <c r="M30" s="423">
        <v>-1330</v>
      </c>
      <c r="N30" s="423">
        <v>-3948</v>
      </c>
      <c r="O30" s="423">
        <v>-6435</v>
      </c>
      <c r="P30" s="423">
        <v>-3982</v>
      </c>
      <c r="Q30" s="423">
        <v>-8568</v>
      </c>
      <c r="R30" s="423">
        <v>-12799</v>
      </c>
      <c r="S30" s="423">
        <v>-16366</v>
      </c>
      <c r="T30" s="423">
        <v>-3441</v>
      </c>
      <c r="U30" s="423">
        <v>-6532</v>
      </c>
      <c r="W30" s="423">
        <f t="shared" si="27"/>
        <v>-445</v>
      </c>
      <c r="X30" s="423">
        <f t="shared" si="28"/>
        <v>-885</v>
      </c>
      <c r="Y30" s="423">
        <f t="shared" si="29"/>
        <v>-2618</v>
      </c>
      <c r="Z30" s="423">
        <f t="shared" si="30"/>
        <v>-2487</v>
      </c>
      <c r="AA30" s="423">
        <f t="shared" si="31"/>
        <v>-3982</v>
      </c>
      <c r="AB30" s="423">
        <f t="shared" si="32"/>
        <v>-4586</v>
      </c>
      <c r="AC30" s="423">
        <f t="shared" si="33"/>
        <v>-4231</v>
      </c>
      <c r="AD30" s="423">
        <f t="shared" si="34"/>
        <v>-3567</v>
      </c>
      <c r="AE30" s="423">
        <f t="shared" si="35"/>
        <v>-3441</v>
      </c>
      <c r="AF30" s="423">
        <f t="shared" si="36"/>
        <v>-3091</v>
      </c>
    </row>
    <row r="31" spans="1:32" outlineLevel="1">
      <c r="A31" s="418" t="s">
        <v>635</v>
      </c>
      <c r="B31" s="418" t="s">
        <v>636</v>
      </c>
      <c r="D31" s="423"/>
      <c r="E31" s="423"/>
      <c r="F31" s="423"/>
      <c r="G31" s="423"/>
      <c r="H31" s="423"/>
      <c r="I31" s="423">
        <v>0</v>
      </c>
      <c r="J31" s="423">
        <v>-447</v>
      </c>
      <c r="K31" s="423">
        <v>34</v>
      </c>
      <c r="L31" s="423">
        <v>7</v>
      </c>
      <c r="M31" s="423">
        <v>11</v>
      </c>
      <c r="N31" s="423">
        <v>14</v>
      </c>
      <c r="O31" s="423">
        <v>27</v>
      </c>
      <c r="P31" s="423">
        <v>-12</v>
      </c>
      <c r="Q31" s="423">
        <v>-2</v>
      </c>
      <c r="R31" s="423">
        <v>4</v>
      </c>
      <c r="S31" s="423">
        <v>7</v>
      </c>
      <c r="T31" s="423">
        <v>7</v>
      </c>
      <c r="U31" s="423">
        <v>0</v>
      </c>
      <c r="W31" s="423">
        <f t="shared" si="27"/>
        <v>7</v>
      </c>
      <c r="X31" s="423">
        <f t="shared" si="28"/>
        <v>4</v>
      </c>
      <c r="Y31" s="423">
        <f t="shared" si="29"/>
        <v>3</v>
      </c>
      <c r="Z31" s="423">
        <f t="shared" si="30"/>
        <v>13</v>
      </c>
      <c r="AA31" s="423">
        <f t="shared" si="31"/>
        <v>-12</v>
      </c>
      <c r="AB31" s="423">
        <f t="shared" si="32"/>
        <v>10</v>
      </c>
      <c r="AC31" s="423">
        <f t="shared" si="33"/>
        <v>6</v>
      </c>
      <c r="AD31" s="423">
        <f t="shared" si="34"/>
        <v>3</v>
      </c>
      <c r="AE31" s="423">
        <f t="shared" si="35"/>
        <v>7</v>
      </c>
      <c r="AF31" s="423">
        <f t="shared" si="36"/>
        <v>-7</v>
      </c>
    </row>
    <row r="32" spans="1:32" outlineLevel="1">
      <c r="A32" s="418" t="s">
        <v>637</v>
      </c>
      <c r="B32" s="418" t="s">
        <v>638</v>
      </c>
      <c r="D32" s="423"/>
      <c r="E32" s="423"/>
      <c r="F32" s="423"/>
      <c r="G32" s="423"/>
      <c r="H32" s="423"/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>
        <v>0</v>
      </c>
      <c r="T32" s="423">
        <v>0</v>
      </c>
      <c r="U32" s="423">
        <v>0</v>
      </c>
      <c r="W32" s="423">
        <f t="shared" si="27"/>
        <v>0</v>
      </c>
      <c r="X32" s="423">
        <f t="shared" si="28"/>
        <v>0</v>
      </c>
      <c r="Y32" s="423">
        <f t="shared" si="29"/>
        <v>0</v>
      </c>
      <c r="Z32" s="423">
        <f t="shared" si="30"/>
        <v>0</v>
      </c>
      <c r="AA32" s="423">
        <f t="shared" si="31"/>
        <v>0</v>
      </c>
      <c r="AB32" s="423">
        <f t="shared" si="32"/>
        <v>0</v>
      </c>
      <c r="AC32" s="423">
        <f t="shared" si="33"/>
        <v>0</v>
      </c>
      <c r="AD32" s="423">
        <f t="shared" si="34"/>
        <v>0</v>
      </c>
      <c r="AE32" s="423">
        <f t="shared" si="35"/>
        <v>0</v>
      </c>
      <c r="AF32" s="423">
        <f t="shared" si="36"/>
        <v>0</v>
      </c>
    </row>
    <row r="33" spans="1:32" outlineLevel="1">
      <c r="A33" s="418" t="s">
        <v>639</v>
      </c>
      <c r="B33" s="418" t="s">
        <v>640</v>
      </c>
      <c r="D33" s="423"/>
      <c r="E33" s="423"/>
      <c r="F33" s="423"/>
      <c r="G33" s="423"/>
      <c r="H33" s="423"/>
      <c r="I33" s="423">
        <v>0</v>
      </c>
      <c r="J33" s="423">
        <v>0</v>
      </c>
      <c r="K33" s="423">
        <v>0</v>
      </c>
      <c r="L33" s="423">
        <v>0</v>
      </c>
      <c r="M33" s="423">
        <v>0</v>
      </c>
      <c r="N33" s="423">
        <v>0</v>
      </c>
      <c r="O33" s="423">
        <v>0</v>
      </c>
      <c r="P33" s="423">
        <v>0</v>
      </c>
      <c r="Q33" s="423">
        <v>0</v>
      </c>
      <c r="R33" s="423">
        <v>0</v>
      </c>
      <c r="S33" s="423">
        <v>0</v>
      </c>
      <c r="T33" s="423">
        <v>0</v>
      </c>
      <c r="U33" s="423">
        <v>0</v>
      </c>
      <c r="W33" s="423">
        <f t="shared" si="27"/>
        <v>0</v>
      </c>
      <c r="X33" s="423">
        <f t="shared" si="28"/>
        <v>0</v>
      </c>
      <c r="Y33" s="423">
        <f t="shared" si="29"/>
        <v>0</v>
      </c>
      <c r="Z33" s="423">
        <f t="shared" si="30"/>
        <v>0</v>
      </c>
      <c r="AA33" s="423">
        <f t="shared" si="31"/>
        <v>0</v>
      </c>
      <c r="AB33" s="423">
        <f t="shared" si="32"/>
        <v>0</v>
      </c>
      <c r="AC33" s="423">
        <f t="shared" si="33"/>
        <v>0</v>
      </c>
      <c r="AD33" s="423">
        <f t="shared" si="34"/>
        <v>0</v>
      </c>
      <c r="AE33" s="423">
        <f t="shared" si="35"/>
        <v>0</v>
      </c>
      <c r="AF33" s="423">
        <f t="shared" si="36"/>
        <v>0</v>
      </c>
    </row>
    <row r="34" spans="1:32" outlineLevel="1">
      <c r="A34" s="418" t="s">
        <v>641</v>
      </c>
      <c r="B34" s="418" t="s">
        <v>642</v>
      </c>
      <c r="D34" s="423"/>
      <c r="E34" s="423"/>
      <c r="F34" s="423"/>
      <c r="G34" s="423"/>
      <c r="H34" s="423"/>
      <c r="I34" s="423">
        <v>0</v>
      </c>
      <c r="J34" s="423">
        <v>0</v>
      </c>
      <c r="K34" s="423">
        <v>0</v>
      </c>
      <c r="L34" s="423">
        <v>0</v>
      </c>
      <c r="M34" s="423">
        <v>0</v>
      </c>
      <c r="N34" s="423">
        <v>0</v>
      </c>
      <c r="O34" s="423">
        <v>0</v>
      </c>
      <c r="P34" s="423">
        <v>0</v>
      </c>
      <c r="Q34" s="423">
        <v>0</v>
      </c>
      <c r="R34" s="423">
        <v>0</v>
      </c>
      <c r="S34" s="423">
        <v>0</v>
      </c>
      <c r="T34" s="423">
        <v>0</v>
      </c>
      <c r="U34" s="423">
        <v>0</v>
      </c>
      <c r="W34" s="423">
        <f t="shared" si="27"/>
        <v>0</v>
      </c>
      <c r="X34" s="423">
        <f t="shared" si="28"/>
        <v>0</v>
      </c>
      <c r="Y34" s="423">
        <f t="shared" si="29"/>
        <v>0</v>
      </c>
      <c r="Z34" s="423">
        <f t="shared" si="30"/>
        <v>0</v>
      </c>
      <c r="AA34" s="423">
        <f t="shared" si="31"/>
        <v>0</v>
      </c>
      <c r="AB34" s="423">
        <f t="shared" si="32"/>
        <v>0</v>
      </c>
      <c r="AC34" s="423">
        <f t="shared" si="33"/>
        <v>0</v>
      </c>
      <c r="AD34" s="423">
        <f t="shared" si="34"/>
        <v>0</v>
      </c>
      <c r="AE34" s="423">
        <f t="shared" si="35"/>
        <v>0</v>
      </c>
      <c r="AF34" s="423">
        <f t="shared" si="36"/>
        <v>0</v>
      </c>
    </row>
    <row r="35" spans="1:32" outlineLevel="1">
      <c r="A35" s="418" t="s">
        <v>643</v>
      </c>
      <c r="B35" s="418" t="s">
        <v>644</v>
      </c>
      <c r="D35" s="423"/>
      <c r="E35" s="423"/>
      <c r="F35" s="423"/>
      <c r="G35" s="423"/>
      <c r="H35" s="423"/>
      <c r="I35" s="423">
        <v>0</v>
      </c>
      <c r="J35" s="423">
        <v>0</v>
      </c>
      <c r="K35" s="423">
        <v>0</v>
      </c>
      <c r="L35" s="423">
        <v>0</v>
      </c>
      <c r="M35" s="423">
        <v>0</v>
      </c>
      <c r="N35" s="423">
        <v>0</v>
      </c>
      <c r="O35" s="423">
        <v>0</v>
      </c>
      <c r="P35" s="423">
        <v>0</v>
      </c>
      <c r="Q35" s="423">
        <v>0</v>
      </c>
      <c r="R35" s="423">
        <v>0</v>
      </c>
      <c r="S35" s="423">
        <v>0</v>
      </c>
      <c r="T35" s="423">
        <v>0</v>
      </c>
      <c r="U35" s="423">
        <v>0</v>
      </c>
      <c r="W35" s="423">
        <f t="shared" si="27"/>
        <v>0</v>
      </c>
      <c r="X35" s="423">
        <f t="shared" si="28"/>
        <v>0</v>
      </c>
      <c r="Y35" s="423">
        <f t="shared" si="29"/>
        <v>0</v>
      </c>
      <c r="Z35" s="423">
        <f t="shared" si="30"/>
        <v>0</v>
      </c>
      <c r="AA35" s="423">
        <f t="shared" si="31"/>
        <v>0</v>
      </c>
      <c r="AB35" s="423">
        <f t="shared" si="32"/>
        <v>0</v>
      </c>
      <c r="AC35" s="423">
        <f t="shared" si="33"/>
        <v>0</v>
      </c>
      <c r="AD35" s="423">
        <f t="shared" si="34"/>
        <v>0</v>
      </c>
      <c r="AE35" s="423">
        <f t="shared" si="35"/>
        <v>0</v>
      </c>
      <c r="AF35" s="423">
        <f t="shared" si="36"/>
        <v>0</v>
      </c>
    </row>
    <row r="36" spans="1:32" outlineLevel="1">
      <c r="A36" s="418" t="s">
        <v>645</v>
      </c>
      <c r="B36" s="418" t="s">
        <v>645</v>
      </c>
      <c r="D36" s="423"/>
      <c r="E36" s="423"/>
      <c r="F36" s="423"/>
      <c r="G36" s="423"/>
      <c r="H36" s="423"/>
      <c r="I36" s="423">
        <v>0</v>
      </c>
      <c r="J36" s="423">
        <v>0</v>
      </c>
      <c r="K36" s="423">
        <v>0</v>
      </c>
      <c r="L36" s="423">
        <v>0</v>
      </c>
      <c r="M36" s="423">
        <v>0</v>
      </c>
      <c r="N36" s="423">
        <v>0</v>
      </c>
      <c r="O36" s="423">
        <v>0</v>
      </c>
      <c r="P36" s="423">
        <v>0</v>
      </c>
      <c r="Q36" s="423">
        <v>0</v>
      </c>
      <c r="R36" s="423">
        <v>0</v>
      </c>
      <c r="S36" s="423">
        <v>0</v>
      </c>
      <c r="T36" s="423">
        <v>0</v>
      </c>
      <c r="U36" s="423">
        <v>0</v>
      </c>
      <c r="W36" s="423">
        <f t="shared" si="27"/>
        <v>0</v>
      </c>
      <c r="X36" s="423">
        <f t="shared" si="28"/>
        <v>0</v>
      </c>
      <c r="Y36" s="423">
        <f t="shared" si="29"/>
        <v>0</v>
      </c>
      <c r="Z36" s="423">
        <f t="shared" si="30"/>
        <v>0</v>
      </c>
      <c r="AA36" s="423">
        <f t="shared" si="31"/>
        <v>0</v>
      </c>
      <c r="AB36" s="423">
        <f t="shared" si="32"/>
        <v>0</v>
      </c>
      <c r="AC36" s="423">
        <f t="shared" si="33"/>
        <v>0</v>
      </c>
      <c r="AD36" s="423">
        <f t="shared" si="34"/>
        <v>0</v>
      </c>
      <c r="AE36" s="423">
        <f t="shared" si="35"/>
        <v>0</v>
      </c>
      <c r="AF36" s="423">
        <f t="shared" si="36"/>
        <v>0</v>
      </c>
    </row>
    <row r="37" spans="1:32" outlineLevel="1">
      <c r="A37" s="418" t="s">
        <v>95</v>
      </c>
      <c r="B37" s="418" t="s">
        <v>96</v>
      </c>
      <c r="D37" s="423"/>
      <c r="E37" s="423"/>
      <c r="F37" s="423"/>
      <c r="G37" s="423"/>
      <c r="H37" s="423"/>
      <c r="I37" s="423">
        <v>0</v>
      </c>
      <c r="J37" s="423">
        <v>0</v>
      </c>
      <c r="K37" s="423">
        <v>0</v>
      </c>
      <c r="L37" s="423">
        <v>0</v>
      </c>
      <c r="M37" s="423">
        <v>0</v>
      </c>
      <c r="N37" s="423">
        <v>0</v>
      </c>
      <c r="O37" s="423">
        <v>0</v>
      </c>
      <c r="P37" s="423">
        <v>0</v>
      </c>
      <c r="Q37" s="423">
        <v>0</v>
      </c>
      <c r="R37" s="423">
        <v>0</v>
      </c>
      <c r="S37" s="423">
        <v>0</v>
      </c>
      <c r="T37" s="423">
        <v>0</v>
      </c>
      <c r="U37" s="423">
        <v>0</v>
      </c>
      <c r="W37" s="423">
        <f t="shared" si="27"/>
        <v>0</v>
      </c>
      <c r="X37" s="423">
        <f t="shared" si="28"/>
        <v>0</v>
      </c>
      <c r="Y37" s="423">
        <f t="shared" si="29"/>
        <v>0</v>
      </c>
      <c r="Z37" s="423">
        <f t="shared" si="30"/>
        <v>0</v>
      </c>
      <c r="AA37" s="423">
        <f t="shared" si="31"/>
        <v>0</v>
      </c>
      <c r="AB37" s="423">
        <f t="shared" si="32"/>
        <v>0</v>
      </c>
      <c r="AC37" s="423">
        <f t="shared" si="33"/>
        <v>0</v>
      </c>
      <c r="AD37" s="423">
        <f t="shared" si="34"/>
        <v>0</v>
      </c>
      <c r="AE37" s="423">
        <f t="shared" si="35"/>
        <v>0</v>
      </c>
      <c r="AF37" s="423">
        <f t="shared" si="36"/>
        <v>0</v>
      </c>
    </row>
    <row r="38" spans="1:32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</row>
    <row r="39" spans="1:32">
      <c r="A39" s="429" t="s">
        <v>646</v>
      </c>
      <c r="B39" s="429" t="s">
        <v>647</v>
      </c>
      <c r="D39" s="420">
        <f t="shared" ref="D39:I39" si="37">D27+D6</f>
        <v>0</v>
      </c>
      <c r="E39" s="420">
        <f t="shared" si="37"/>
        <v>0</v>
      </c>
      <c r="F39" s="420">
        <f t="shared" si="37"/>
        <v>0</v>
      </c>
      <c r="G39" s="420">
        <f t="shared" si="37"/>
        <v>0</v>
      </c>
      <c r="H39" s="420">
        <f t="shared" si="37"/>
        <v>0</v>
      </c>
      <c r="I39" s="420">
        <f t="shared" si="37"/>
        <v>0</v>
      </c>
      <c r="J39" s="420">
        <f t="shared" ref="J39:T39" si="38">J27+J6</f>
        <v>4080</v>
      </c>
      <c r="K39" s="420">
        <f t="shared" si="38"/>
        <v>8431</v>
      </c>
      <c r="L39" s="420">
        <f t="shared" si="38"/>
        <v>4295</v>
      </c>
      <c r="M39" s="420">
        <f t="shared" si="38"/>
        <v>17864</v>
      </c>
      <c r="N39" s="420">
        <f t="shared" si="38"/>
        <v>79526</v>
      </c>
      <c r="O39" s="420">
        <f t="shared" si="38"/>
        <v>136912</v>
      </c>
      <c r="P39" s="420">
        <f t="shared" si="38"/>
        <v>96420</v>
      </c>
      <c r="Q39" s="420">
        <f t="shared" si="38"/>
        <v>207803</v>
      </c>
      <c r="R39" s="420">
        <f t="shared" si="38"/>
        <v>308472</v>
      </c>
      <c r="S39" s="420">
        <f t="shared" si="38"/>
        <v>394100</v>
      </c>
      <c r="T39" s="741">
        <f t="shared" si="38"/>
        <v>85114</v>
      </c>
      <c r="U39" s="741">
        <f>U27+U6</f>
        <v>164720</v>
      </c>
      <c r="W39" s="420">
        <f t="shared" ref="W39:AC39" si="39">W27+W6</f>
        <v>4295</v>
      </c>
      <c r="X39" s="420">
        <f t="shared" si="39"/>
        <v>13569</v>
      </c>
      <c r="Y39" s="420">
        <f t="shared" si="39"/>
        <v>61662</v>
      </c>
      <c r="Z39" s="420">
        <f t="shared" si="39"/>
        <v>57386</v>
      </c>
      <c r="AA39" s="420">
        <f t="shared" si="39"/>
        <v>96420</v>
      </c>
      <c r="AB39" s="420">
        <f t="shared" si="39"/>
        <v>111383</v>
      </c>
      <c r="AC39" s="420">
        <f t="shared" si="39"/>
        <v>100669</v>
      </c>
      <c r="AD39" s="420">
        <f t="shared" ref="AD39:AE39" si="40">AD27+AD6</f>
        <v>85628</v>
      </c>
      <c r="AE39" s="420">
        <f t="shared" si="40"/>
        <v>85114</v>
      </c>
      <c r="AF39" s="741">
        <f>AF27+AF6</f>
        <v>79606</v>
      </c>
    </row>
    <row r="40" spans="1:32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</row>
    <row r="41" spans="1:32">
      <c r="A41" s="416" t="s">
        <v>648</v>
      </c>
      <c r="B41" s="416" t="s">
        <v>649</v>
      </c>
      <c r="D41" s="424">
        <f t="shared" ref="D41:I41" si="41">SUM(D43:D49)</f>
        <v>0</v>
      </c>
      <c r="E41" s="424">
        <f t="shared" si="41"/>
        <v>0</v>
      </c>
      <c r="F41" s="424">
        <f t="shared" si="41"/>
        <v>0</v>
      </c>
      <c r="G41" s="424">
        <f t="shared" si="41"/>
        <v>0</v>
      </c>
      <c r="H41" s="424">
        <f t="shared" si="41"/>
        <v>0</v>
      </c>
      <c r="I41" s="424">
        <f t="shared" si="41"/>
        <v>0</v>
      </c>
      <c r="J41" s="424">
        <f t="shared" ref="J41:T41" si="42">SUM(J43:J49)</f>
        <v>-3989</v>
      </c>
      <c r="K41" s="424">
        <f t="shared" si="42"/>
        <v>-8433</v>
      </c>
      <c r="L41" s="424">
        <f t="shared" si="42"/>
        <v>-3454</v>
      </c>
      <c r="M41" s="424">
        <f t="shared" si="42"/>
        <v>-9420</v>
      </c>
      <c r="N41" s="424">
        <f t="shared" si="42"/>
        <v>-53369</v>
      </c>
      <c r="O41" s="424">
        <f t="shared" si="42"/>
        <v>-92575</v>
      </c>
      <c r="P41" s="424">
        <f t="shared" si="42"/>
        <v>-71163</v>
      </c>
      <c r="Q41" s="424">
        <f t="shared" si="42"/>
        <v>-147900</v>
      </c>
      <c r="R41" s="424">
        <f t="shared" si="42"/>
        <v>-234796</v>
      </c>
      <c r="S41" s="424">
        <f t="shared" si="42"/>
        <v>-300157</v>
      </c>
      <c r="T41" s="424">
        <f t="shared" si="42"/>
        <v>-59842</v>
      </c>
      <c r="U41" s="424">
        <f>SUM(U43:U49)</f>
        <v>-113311</v>
      </c>
      <c r="W41" s="424">
        <f t="shared" ref="W41:AC41" si="43">SUM(W43:W49)</f>
        <v>-3454</v>
      </c>
      <c r="X41" s="424">
        <f t="shared" si="43"/>
        <v>-5966</v>
      </c>
      <c r="Y41" s="424">
        <f t="shared" si="43"/>
        <v>-43949</v>
      </c>
      <c r="Z41" s="424">
        <f t="shared" si="43"/>
        <v>-39206</v>
      </c>
      <c r="AA41" s="424">
        <f t="shared" si="43"/>
        <v>-71163</v>
      </c>
      <c r="AB41" s="424">
        <f t="shared" si="43"/>
        <v>-76737</v>
      </c>
      <c r="AC41" s="424">
        <f t="shared" si="43"/>
        <v>-86896</v>
      </c>
      <c r="AD41" s="424">
        <f t="shared" ref="AD41:AE41" si="44">SUM(AD43:AD49)</f>
        <v>-65361</v>
      </c>
      <c r="AE41" s="424">
        <f t="shared" si="44"/>
        <v>-59842</v>
      </c>
      <c r="AF41" s="424">
        <f>SUM(AF43:AF49)</f>
        <v>-32604</v>
      </c>
    </row>
    <row r="42" spans="1:32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</row>
    <row r="43" spans="1:32">
      <c r="A43" s="417" t="s">
        <v>650</v>
      </c>
      <c r="B43" s="417" t="s">
        <v>651</v>
      </c>
      <c r="D43" s="422"/>
      <c r="E43" s="422"/>
      <c r="F43" s="422"/>
      <c r="G43" s="422"/>
      <c r="H43" s="422"/>
      <c r="I43" s="422">
        <v>0</v>
      </c>
      <c r="J43" s="422">
        <v>-4591</v>
      </c>
      <c r="K43" s="422">
        <v>-8332</v>
      </c>
      <c r="L43" s="422">
        <v>-3427</v>
      </c>
      <c r="M43" s="422">
        <v>-7673</v>
      </c>
      <c r="N43" s="422">
        <v>-13069</v>
      </c>
      <c r="O43" s="422">
        <v>-17598</v>
      </c>
      <c r="P43" s="422">
        <v>-45090</v>
      </c>
      <c r="Q43" s="422">
        <v>-94128</v>
      </c>
      <c r="R43" s="422">
        <v>-152863</v>
      </c>
      <c r="S43" s="422">
        <v>-189438</v>
      </c>
      <c r="T43" s="422">
        <v>-30509</v>
      </c>
      <c r="U43" s="422">
        <v>-34603</v>
      </c>
      <c r="W43" s="422">
        <f>L43</f>
        <v>-3427</v>
      </c>
      <c r="X43" s="422">
        <f>M43-W43</f>
        <v>-4246</v>
      </c>
      <c r="Y43" s="422">
        <f>N43-M43</f>
        <v>-5396</v>
      </c>
      <c r="Z43" s="422">
        <f>O43-N43</f>
        <v>-4529</v>
      </c>
      <c r="AA43" s="422">
        <f>P43</f>
        <v>-45090</v>
      </c>
      <c r="AB43" s="422">
        <f>Q43-P43</f>
        <v>-49038</v>
      </c>
      <c r="AC43" s="422">
        <f>R43-Q43</f>
        <v>-58735</v>
      </c>
      <c r="AD43" s="422">
        <f>S43-R43</f>
        <v>-36575</v>
      </c>
      <c r="AE43" s="422">
        <f>T43</f>
        <v>-30509</v>
      </c>
      <c r="AF43" s="422">
        <f>U43-T43</f>
        <v>-4094</v>
      </c>
    </row>
    <row r="44" spans="1:32">
      <c r="A44" s="417" t="s">
        <v>2498</v>
      </c>
      <c r="B44" s="417" t="s">
        <v>2499</v>
      </c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>
        <v>-20865</v>
      </c>
      <c r="W44" s="422"/>
      <c r="X44" s="422"/>
      <c r="Y44" s="422"/>
      <c r="Z44" s="422"/>
      <c r="AA44" s="422"/>
      <c r="AB44" s="422"/>
      <c r="AC44" s="422"/>
      <c r="AD44" s="422"/>
      <c r="AE44" s="422"/>
      <c r="AF44" s="422"/>
    </row>
    <row r="45" spans="1:32">
      <c r="A45" s="417" t="s">
        <v>652</v>
      </c>
      <c r="B45" s="417" t="s">
        <v>653</v>
      </c>
      <c r="D45" s="422"/>
      <c r="E45" s="422"/>
      <c r="F45" s="422"/>
      <c r="G45" s="422"/>
      <c r="H45" s="422"/>
      <c r="I45" s="422">
        <v>0</v>
      </c>
      <c r="J45" s="422">
        <v>0</v>
      </c>
      <c r="K45" s="422">
        <v>0</v>
      </c>
      <c r="L45" s="422">
        <v>0</v>
      </c>
      <c r="M45" s="422">
        <v>0</v>
      </c>
      <c r="N45" s="422">
        <v>0</v>
      </c>
      <c r="O45" s="422">
        <v>0</v>
      </c>
      <c r="P45" s="422">
        <v>0</v>
      </c>
      <c r="Q45" s="422">
        <v>0</v>
      </c>
      <c r="R45" s="422">
        <v>0</v>
      </c>
      <c r="S45" s="422">
        <v>0</v>
      </c>
      <c r="T45" s="422">
        <v>0</v>
      </c>
      <c r="U45" s="422">
        <v>0</v>
      </c>
      <c r="W45" s="422">
        <f>L45</f>
        <v>0</v>
      </c>
      <c r="X45" s="422">
        <f>M45-W45</f>
        <v>0</v>
      </c>
      <c r="Y45" s="422">
        <f t="shared" ref="Y45:Z48" si="45">N45-M45</f>
        <v>0</v>
      </c>
      <c r="Z45" s="422">
        <f t="shared" si="45"/>
        <v>0</v>
      </c>
      <c r="AA45" s="422">
        <f>P45</f>
        <v>0</v>
      </c>
      <c r="AB45" s="422">
        <f t="shared" ref="AB45:AD48" si="46">Q45-P45</f>
        <v>0</v>
      </c>
      <c r="AC45" s="422">
        <f t="shared" si="46"/>
        <v>0</v>
      </c>
      <c r="AD45" s="422">
        <f t="shared" si="46"/>
        <v>0</v>
      </c>
      <c r="AE45" s="422">
        <f>T45</f>
        <v>0</v>
      </c>
      <c r="AF45" s="422">
        <f>U45-T45</f>
        <v>0</v>
      </c>
    </row>
    <row r="46" spans="1:32">
      <c r="A46" s="417" t="s">
        <v>654</v>
      </c>
      <c r="B46" s="417" t="s">
        <v>655</v>
      </c>
      <c r="D46" s="422"/>
      <c r="E46" s="422"/>
      <c r="F46" s="422"/>
      <c r="G46" s="422"/>
      <c r="H46" s="422"/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>
        <v>0</v>
      </c>
      <c r="T46" s="422">
        <v>0</v>
      </c>
      <c r="U46" s="422">
        <v>0</v>
      </c>
      <c r="W46" s="422">
        <f>L46</f>
        <v>0</v>
      </c>
      <c r="X46" s="422">
        <f>M46-W46</f>
        <v>0</v>
      </c>
      <c r="Y46" s="422">
        <f t="shared" si="45"/>
        <v>0</v>
      </c>
      <c r="Z46" s="422">
        <f t="shared" si="45"/>
        <v>0</v>
      </c>
      <c r="AA46" s="422">
        <f>P46</f>
        <v>0</v>
      </c>
      <c r="AB46" s="422">
        <f t="shared" si="46"/>
        <v>0</v>
      </c>
      <c r="AC46" s="422">
        <f t="shared" si="46"/>
        <v>0</v>
      </c>
      <c r="AD46" s="422">
        <f t="shared" si="46"/>
        <v>0</v>
      </c>
      <c r="AE46" s="422">
        <f>T46</f>
        <v>0</v>
      </c>
      <c r="AF46" s="422">
        <f>U46-T46</f>
        <v>0</v>
      </c>
    </row>
    <row r="47" spans="1:32">
      <c r="A47" s="417" t="s">
        <v>656</v>
      </c>
      <c r="B47" s="417" t="s">
        <v>657</v>
      </c>
      <c r="D47" s="422"/>
      <c r="E47" s="422"/>
      <c r="F47" s="422"/>
      <c r="G47" s="422"/>
      <c r="H47" s="422"/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>
        <v>0</v>
      </c>
      <c r="T47" s="422">
        <v>0</v>
      </c>
      <c r="U47" s="422">
        <v>0</v>
      </c>
      <c r="W47" s="422">
        <f>L47</f>
        <v>0</v>
      </c>
      <c r="X47" s="422">
        <f>M47-W47</f>
        <v>0</v>
      </c>
      <c r="Y47" s="422">
        <f t="shared" si="45"/>
        <v>0</v>
      </c>
      <c r="Z47" s="422">
        <f t="shared" si="45"/>
        <v>0</v>
      </c>
      <c r="AA47" s="422">
        <f>P47</f>
        <v>0</v>
      </c>
      <c r="AB47" s="422">
        <f t="shared" si="46"/>
        <v>0</v>
      </c>
      <c r="AC47" s="422">
        <f t="shared" si="46"/>
        <v>0</v>
      </c>
      <c r="AD47" s="422">
        <f t="shared" si="46"/>
        <v>0</v>
      </c>
      <c r="AE47" s="422">
        <f>T47</f>
        <v>0</v>
      </c>
      <c r="AF47" s="422">
        <f>U47-T47</f>
        <v>0</v>
      </c>
    </row>
    <row r="48" spans="1:32">
      <c r="A48" s="417" t="s">
        <v>658</v>
      </c>
      <c r="B48" s="417" t="s">
        <v>659</v>
      </c>
      <c r="D48" s="422"/>
      <c r="E48" s="422"/>
      <c r="F48" s="422"/>
      <c r="G48" s="422"/>
      <c r="H48" s="422"/>
      <c r="I48" s="422">
        <v>0</v>
      </c>
      <c r="J48" s="422">
        <v>0</v>
      </c>
      <c r="K48" s="422">
        <v>0</v>
      </c>
      <c r="L48" s="422">
        <v>0</v>
      </c>
      <c r="M48" s="422">
        <v>0</v>
      </c>
      <c r="N48" s="422">
        <v>0</v>
      </c>
      <c r="O48" s="422">
        <v>0</v>
      </c>
      <c r="P48" s="422">
        <v>0</v>
      </c>
      <c r="Q48" s="422">
        <v>0</v>
      </c>
      <c r="R48" s="422">
        <v>0</v>
      </c>
      <c r="S48" s="422">
        <v>0</v>
      </c>
      <c r="T48" s="422">
        <v>0</v>
      </c>
      <c r="U48" s="422">
        <v>0</v>
      </c>
      <c r="W48" s="422">
        <f>L48</f>
        <v>0</v>
      </c>
      <c r="X48" s="422">
        <f>M48-W48</f>
        <v>0</v>
      </c>
      <c r="Y48" s="422">
        <f t="shared" si="45"/>
        <v>0</v>
      </c>
      <c r="Z48" s="422">
        <f t="shared" si="45"/>
        <v>0</v>
      </c>
      <c r="AA48" s="422">
        <f>P48</f>
        <v>0</v>
      </c>
      <c r="AB48" s="422">
        <f t="shared" si="46"/>
        <v>0</v>
      </c>
      <c r="AC48" s="422">
        <f t="shared" si="46"/>
        <v>0</v>
      </c>
      <c r="AD48" s="422">
        <f t="shared" si="46"/>
        <v>0</v>
      </c>
      <c r="AE48" s="422">
        <f>T48</f>
        <v>0</v>
      </c>
      <c r="AF48" s="422">
        <f>U48-T48</f>
        <v>0</v>
      </c>
    </row>
    <row r="49" spans="1:32">
      <c r="A49" s="417" t="s">
        <v>660</v>
      </c>
      <c r="B49" s="417" t="s">
        <v>661</v>
      </c>
      <c r="D49" s="422">
        <f t="shared" ref="D49:I49" si="47">SUM(D50:D56)</f>
        <v>0</v>
      </c>
      <c r="E49" s="422">
        <f t="shared" si="47"/>
        <v>0</v>
      </c>
      <c r="F49" s="422">
        <f t="shared" si="47"/>
        <v>0</v>
      </c>
      <c r="G49" s="422">
        <f t="shared" si="47"/>
        <v>0</v>
      </c>
      <c r="H49" s="422">
        <f t="shared" si="47"/>
        <v>0</v>
      </c>
      <c r="I49" s="422">
        <f t="shared" si="47"/>
        <v>0</v>
      </c>
      <c r="J49" s="422">
        <f t="shared" ref="J49:T49" si="48">SUM(J50:J56)</f>
        <v>602</v>
      </c>
      <c r="K49" s="422">
        <f t="shared" si="48"/>
        <v>-101</v>
      </c>
      <c r="L49" s="422">
        <f t="shared" si="48"/>
        <v>-27</v>
      </c>
      <c r="M49" s="422">
        <f t="shared" si="48"/>
        <v>-1747</v>
      </c>
      <c r="N49" s="422">
        <f t="shared" si="48"/>
        <v>-40300</v>
      </c>
      <c r="O49" s="422">
        <f t="shared" si="48"/>
        <v>-74977</v>
      </c>
      <c r="P49" s="422">
        <f t="shared" si="48"/>
        <v>-26073</v>
      </c>
      <c r="Q49" s="422">
        <f t="shared" si="48"/>
        <v>-53772</v>
      </c>
      <c r="R49" s="422">
        <f t="shared" si="48"/>
        <v>-81933</v>
      </c>
      <c r="S49" s="422">
        <f t="shared" si="48"/>
        <v>-110719</v>
      </c>
      <c r="T49" s="422">
        <f t="shared" si="48"/>
        <v>-29333</v>
      </c>
      <c r="U49" s="422">
        <f>SUM(U50:U56)</f>
        <v>-57843</v>
      </c>
      <c r="W49" s="422">
        <f t="shared" ref="W49:AC49" si="49">SUM(W50:W56)</f>
        <v>-27</v>
      </c>
      <c r="X49" s="422">
        <f t="shared" si="49"/>
        <v>-1720</v>
      </c>
      <c r="Y49" s="422">
        <f t="shared" si="49"/>
        <v>-38553</v>
      </c>
      <c r="Z49" s="422">
        <f t="shared" si="49"/>
        <v>-34677</v>
      </c>
      <c r="AA49" s="422">
        <f t="shared" si="49"/>
        <v>-26073</v>
      </c>
      <c r="AB49" s="422">
        <f t="shared" si="49"/>
        <v>-27699</v>
      </c>
      <c r="AC49" s="422">
        <f t="shared" si="49"/>
        <v>-28161</v>
      </c>
      <c r="AD49" s="422">
        <f t="shared" ref="AD49:AE49" si="50">SUM(AD50:AD56)</f>
        <v>-28786</v>
      </c>
      <c r="AE49" s="422">
        <f t="shared" si="50"/>
        <v>-29333</v>
      </c>
      <c r="AF49" s="422">
        <f>SUM(AF50:AF56)</f>
        <v>-28510</v>
      </c>
    </row>
    <row r="50" spans="1:32" outlineLevel="1">
      <c r="A50" s="418" t="s">
        <v>662</v>
      </c>
      <c r="B50" s="418" t="s">
        <v>663</v>
      </c>
      <c r="D50" s="423"/>
      <c r="E50" s="423"/>
      <c r="F50" s="423"/>
      <c r="G50" s="423"/>
      <c r="H50" s="423"/>
      <c r="I50" s="423">
        <v>0</v>
      </c>
      <c r="J50" s="423">
        <v>-10</v>
      </c>
      <c r="K50" s="423">
        <v>-25</v>
      </c>
      <c r="L50" s="423">
        <v>5</v>
      </c>
      <c r="M50" s="423">
        <v>-170</v>
      </c>
      <c r="N50" s="423">
        <v>-1450</v>
      </c>
      <c r="O50" s="423">
        <v>-3742</v>
      </c>
      <c r="P50" s="423">
        <v>-2295</v>
      </c>
      <c r="Q50" s="423">
        <v>-5369</v>
      </c>
      <c r="R50" s="423">
        <v>-7695</v>
      </c>
      <c r="S50" s="423">
        <v>-10243</v>
      </c>
      <c r="T50" s="423">
        <v>-2868</v>
      </c>
      <c r="U50" s="423">
        <v>-5643</v>
      </c>
      <c r="W50" s="423">
        <f t="shared" ref="W50:W56" si="51">L50</f>
        <v>5</v>
      </c>
      <c r="X50" s="423">
        <f t="shared" ref="X50:X56" si="52">M50-W50</f>
        <v>-175</v>
      </c>
      <c r="Y50" s="423">
        <f t="shared" ref="Y50:Z56" si="53">N50-M50</f>
        <v>-1280</v>
      </c>
      <c r="Z50" s="423">
        <f t="shared" si="53"/>
        <v>-2292</v>
      </c>
      <c r="AA50" s="423">
        <f t="shared" ref="AA50:AA56" si="54">P50</f>
        <v>-2295</v>
      </c>
      <c r="AB50" s="423">
        <f t="shared" ref="AB50:AB56" si="55">Q50-AA50</f>
        <v>-3074</v>
      </c>
      <c r="AC50" s="423">
        <f t="shared" ref="AC50:AD56" si="56">R50-Q50</f>
        <v>-2326</v>
      </c>
      <c r="AD50" s="423">
        <f t="shared" si="56"/>
        <v>-2548</v>
      </c>
      <c r="AE50" s="423">
        <f t="shared" ref="AE50:AE56" si="57">T50</f>
        <v>-2868</v>
      </c>
      <c r="AF50" s="423">
        <f t="shared" ref="AF50:AF56" si="58">U50-T50</f>
        <v>-2775</v>
      </c>
    </row>
    <row r="51" spans="1:32" outlineLevel="1">
      <c r="A51" s="418" t="s">
        <v>664</v>
      </c>
      <c r="B51" s="418" t="s">
        <v>665</v>
      </c>
      <c r="D51" s="423"/>
      <c r="E51" s="423"/>
      <c r="F51" s="423"/>
      <c r="G51" s="423"/>
      <c r="H51" s="423"/>
      <c r="I51" s="423">
        <v>0</v>
      </c>
      <c r="J51" s="423">
        <v>0</v>
      </c>
      <c r="K51" s="423">
        <v>0</v>
      </c>
      <c r="L51" s="423">
        <v>0</v>
      </c>
      <c r="M51" s="423">
        <v>-9</v>
      </c>
      <c r="N51" s="423">
        <v>-193</v>
      </c>
      <c r="O51" s="423">
        <v>-240</v>
      </c>
      <c r="P51" s="423">
        <v>-95</v>
      </c>
      <c r="Q51" s="423">
        <v>-199</v>
      </c>
      <c r="R51" s="423">
        <v>-259</v>
      </c>
      <c r="S51" s="423">
        <v>-551</v>
      </c>
      <c r="T51" s="423">
        <v>-927</v>
      </c>
      <c r="U51" s="423">
        <v>-1823</v>
      </c>
      <c r="W51" s="423">
        <f t="shared" si="51"/>
        <v>0</v>
      </c>
      <c r="X51" s="423">
        <f t="shared" si="52"/>
        <v>-9</v>
      </c>
      <c r="Y51" s="423">
        <f t="shared" si="53"/>
        <v>-184</v>
      </c>
      <c r="Z51" s="423">
        <f t="shared" si="53"/>
        <v>-47</v>
      </c>
      <c r="AA51" s="423">
        <f t="shared" si="54"/>
        <v>-95</v>
      </c>
      <c r="AB51" s="423">
        <f t="shared" si="55"/>
        <v>-104</v>
      </c>
      <c r="AC51" s="423">
        <f t="shared" si="56"/>
        <v>-60</v>
      </c>
      <c r="AD51" s="423">
        <f t="shared" si="56"/>
        <v>-292</v>
      </c>
      <c r="AE51" s="423">
        <f t="shared" si="57"/>
        <v>-927</v>
      </c>
      <c r="AF51" s="423">
        <f t="shared" si="58"/>
        <v>-896</v>
      </c>
    </row>
    <row r="52" spans="1:32" outlineLevel="1">
      <c r="A52" s="418" t="s">
        <v>666</v>
      </c>
      <c r="B52" s="418" t="s">
        <v>667</v>
      </c>
      <c r="D52" s="423"/>
      <c r="E52" s="423"/>
      <c r="F52" s="423"/>
      <c r="G52" s="423"/>
      <c r="H52" s="423"/>
      <c r="I52" s="423">
        <v>0</v>
      </c>
      <c r="J52" s="423">
        <v>284</v>
      </c>
      <c r="K52" s="423">
        <v>141</v>
      </c>
      <c r="L52" s="423">
        <v>-14</v>
      </c>
      <c r="M52" s="423">
        <v>-58</v>
      </c>
      <c r="N52" s="423">
        <v>-384</v>
      </c>
      <c r="O52" s="423">
        <v>-1948</v>
      </c>
      <c r="P52" s="423">
        <v>-1387</v>
      </c>
      <c r="Q52" s="423">
        <v>-2980</v>
      </c>
      <c r="R52" s="423">
        <v>-5305</v>
      </c>
      <c r="S52" s="423">
        <v>-7967</v>
      </c>
      <c r="T52" s="423">
        <v>-2377</v>
      </c>
      <c r="U52" s="423">
        <v>-4378</v>
      </c>
      <c r="W52" s="423">
        <f t="shared" si="51"/>
        <v>-14</v>
      </c>
      <c r="X52" s="423">
        <f t="shared" si="52"/>
        <v>-44</v>
      </c>
      <c r="Y52" s="423">
        <f t="shared" si="53"/>
        <v>-326</v>
      </c>
      <c r="Z52" s="423">
        <f t="shared" si="53"/>
        <v>-1564</v>
      </c>
      <c r="AA52" s="423">
        <f t="shared" si="54"/>
        <v>-1387</v>
      </c>
      <c r="AB52" s="423">
        <f t="shared" si="55"/>
        <v>-1593</v>
      </c>
      <c r="AC52" s="423">
        <f t="shared" si="56"/>
        <v>-2325</v>
      </c>
      <c r="AD52" s="423">
        <f t="shared" si="56"/>
        <v>-2662</v>
      </c>
      <c r="AE52" s="423">
        <f t="shared" si="57"/>
        <v>-2377</v>
      </c>
      <c r="AF52" s="423">
        <f t="shared" si="58"/>
        <v>-2001</v>
      </c>
    </row>
    <row r="53" spans="1:32" outlineLevel="1">
      <c r="A53" s="418" t="s">
        <v>668</v>
      </c>
      <c r="B53" s="418" t="s">
        <v>669</v>
      </c>
      <c r="D53" s="423"/>
      <c r="E53" s="423"/>
      <c r="F53" s="423"/>
      <c r="G53" s="423"/>
      <c r="H53" s="423"/>
      <c r="I53" s="423">
        <v>0</v>
      </c>
      <c r="J53" s="423">
        <v>-4</v>
      </c>
      <c r="K53" s="423">
        <v>0</v>
      </c>
      <c r="L53" s="423">
        <v>-7</v>
      </c>
      <c r="M53" s="423">
        <v>-11</v>
      </c>
      <c r="N53" s="423">
        <v>-20714</v>
      </c>
      <c r="O53" s="423">
        <v>-38624</v>
      </c>
      <c r="P53" s="423">
        <v>-18858</v>
      </c>
      <c r="Q53" s="423">
        <v>-38749</v>
      </c>
      <c r="R53" s="423">
        <v>-58131</v>
      </c>
      <c r="S53" s="423">
        <v>-77511</v>
      </c>
      <c r="T53" s="423">
        <v>-19380</v>
      </c>
      <c r="U53" s="423">
        <v>-38761</v>
      </c>
      <c r="W53" s="423">
        <f t="shared" si="51"/>
        <v>-7</v>
      </c>
      <c r="X53" s="423">
        <f t="shared" si="52"/>
        <v>-4</v>
      </c>
      <c r="Y53" s="423">
        <f t="shared" si="53"/>
        <v>-20703</v>
      </c>
      <c r="Z53" s="423">
        <f t="shared" si="53"/>
        <v>-17910</v>
      </c>
      <c r="AA53" s="423">
        <f t="shared" si="54"/>
        <v>-18858</v>
      </c>
      <c r="AB53" s="423">
        <f t="shared" si="55"/>
        <v>-19891</v>
      </c>
      <c r="AC53" s="423">
        <f t="shared" si="56"/>
        <v>-19382</v>
      </c>
      <c r="AD53" s="423">
        <f t="shared" si="56"/>
        <v>-19380</v>
      </c>
      <c r="AE53" s="423">
        <f t="shared" si="57"/>
        <v>-19380</v>
      </c>
      <c r="AF53" s="423">
        <f t="shared" si="58"/>
        <v>-19381</v>
      </c>
    </row>
    <row r="54" spans="1:32" outlineLevel="1">
      <c r="A54" s="418" t="s">
        <v>670</v>
      </c>
      <c r="B54" s="418" t="s">
        <v>671</v>
      </c>
      <c r="D54" s="423"/>
      <c r="E54" s="423"/>
      <c r="F54" s="423"/>
      <c r="G54" s="423"/>
      <c r="H54" s="423"/>
      <c r="I54" s="423">
        <v>0</v>
      </c>
      <c r="J54" s="423">
        <v>0</v>
      </c>
      <c r="K54" s="423">
        <v>0</v>
      </c>
      <c r="L54" s="423">
        <v>0</v>
      </c>
      <c r="M54" s="423">
        <v>0</v>
      </c>
      <c r="N54" s="423">
        <v>0</v>
      </c>
      <c r="O54" s="423">
        <v>0</v>
      </c>
      <c r="P54" s="423">
        <v>0</v>
      </c>
      <c r="Q54" s="423">
        <v>0</v>
      </c>
      <c r="R54" s="423">
        <v>0</v>
      </c>
      <c r="S54" s="423">
        <v>0</v>
      </c>
      <c r="T54" s="423">
        <v>0</v>
      </c>
      <c r="U54" s="423">
        <v>0</v>
      </c>
      <c r="W54" s="423">
        <f t="shared" si="51"/>
        <v>0</v>
      </c>
      <c r="X54" s="423">
        <f t="shared" si="52"/>
        <v>0</v>
      </c>
      <c r="Y54" s="423">
        <f t="shared" si="53"/>
        <v>0</v>
      </c>
      <c r="Z54" s="423">
        <f t="shared" si="53"/>
        <v>0</v>
      </c>
      <c r="AA54" s="423">
        <f t="shared" si="54"/>
        <v>0</v>
      </c>
      <c r="AB54" s="423">
        <f t="shared" si="55"/>
        <v>0</v>
      </c>
      <c r="AC54" s="423">
        <f t="shared" si="56"/>
        <v>0</v>
      </c>
      <c r="AD54" s="423">
        <f t="shared" si="56"/>
        <v>0</v>
      </c>
      <c r="AE54" s="423">
        <f t="shared" si="57"/>
        <v>0</v>
      </c>
      <c r="AF54" s="423">
        <f t="shared" si="58"/>
        <v>0</v>
      </c>
    </row>
    <row r="55" spans="1:32" outlineLevel="1">
      <c r="A55" s="418" t="s">
        <v>672</v>
      </c>
      <c r="B55" s="418" t="s">
        <v>673</v>
      </c>
      <c r="D55" s="423"/>
      <c r="E55" s="423"/>
      <c r="F55" s="423"/>
      <c r="G55" s="423"/>
      <c r="H55" s="423"/>
      <c r="I55" s="423">
        <v>0</v>
      </c>
      <c r="J55" s="423">
        <v>0</v>
      </c>
      <c r="K55" s="423">
        <v>0</v>
      </c>
      <c r="L55" s="423">
        <v>0</v>
      </c>
      <c r="M55" s="423">
        <v>0</v>
      </c>
      <c r="N55" s="423">
        <v>0</v>
      </c>
      <c r="O55" s="423">
        <v>0</v>
      </c>
      <c r="P55" s="423">
        <v>-512</v>
      </c>
      <c r="Q55" s="423">
        <v>0</v>
      </c>
      <c r="R55" s="423">
        <v>0</v>
      </c>
      <c r="S55" s="423">
        <v>0</v>
      </c>
      <c r="T55" s="423">
        <v>0</v>
      </c>
      <c r="U55" s="423">
        <v>0</v>
      </c>
      <c r="W55" s="423">
        <f t="shared" si="51"/>
        <v>0</v>
      </c>
      <c r="X55" s="423">
        <f t="shared" si="52"/>
        <v>0</v>
      </c>
      <c r="Y55" s="423">
        <f t="shared" si="53"/>
        <v>0</v>
      </c>
      <c r="Z55" s="423">
        <f t="shared" si="53"/>
        <v>0</v>
      </c>
      <c r="AA55" s="423">
        <f t="shared" si="54"/>
        <v>-512</v>
      </c>
      <c r="AB55" s="423">
        <f t="shared" si="55"/>
        <v>512</v>
      </c>
      <c r="AC55" s="423">
        <f t="shared" si="56"/>
        <v>0</v>
      </c>
      <c r="AD55" s="423">
        <f t="shared" si="56"/>
        <v>0</v>
      </c>
      <c r="AE55" s="423">
        <f t="shared" si="57"/>
        <v>0</v>
      </c>
      <c r="AF55" s="423">
        <f t="shared" si="58"/>
        <v>0</v>
      </c>
    </row>
    <row r="56" spans="1:32" outlineLevel="1">
      <c r="A56" s="418" t="s">
        <v>674</v>
      </c>
      <c r="B56" s="418" t="s">
        <v>675</v>
      </c>
      <c r="D56" s="423"/>
      <c r="E56" s="423"/>
      <c r="F56" s="423"/>
      <c r="G56" s="423"/>
      <c r="H56" s="423"/>
      <c r="I56" s="423">
        <v>0</v>
      </c>
      <c r="J56" s="423">
        <v>332</v>
      </c>
      <c r="K56" s="423">
        <v>-217</v>
      </c>
      <c r="L56" s="423">
        <v>-11</v>
      </c>
      <c r="M56" s="423">
        <v>-1499</v>
      </c>
      <c r="N56" s="423">
        <v>-17559</v>
      </c>
      <c r="O56" s="423">
        <v>-30423</v>
      </c>
      <c r="P56" s="423">
        <v>-2926</v>
      </c>
      <c r="Q56" s="423">
        <v>-6475</v>
      </c>
      <c r="R56" s="423">
        <v>-10543</v>
      </c>
      <c r="S56" s="423">
        <v>-14447</v>
      </c>
      <c r="T56" s="423">
        <v>-3781</v>
      </c>
      <c r="U56" s="423">
        <v>-7238</v>
      </c>
      <c r="W56" s="423">
        <f t="shared" si="51"/>
        <v>-11</v>
      </c>
      <c r="X56" s="423">
        <f t="shared" si="52"/>
        <v>-1488</v>
      </c>
      <c r="Y56" s="423">
        <f t="shared" si="53"/>
        <v>-16060</v>
      </c>
      <c r="Z56" s="423">
        <f t="shared" si="53"/>
        <v>-12864</v>
      </c>
      <c r="AA56" s="423">
        <f t="shared" si="54"/>
        <v>-2926</v>
      </c>
      <c r="AB56" s="423">
        <f t="shared" si="55"/>
        <v>-3549</v>
      </c>
      <c r="AC56" s="423">
        <f t="shared" si="56"/>
        <v>-4068</v>
      </c>
      <c r="AD56" s="423">
        <f t="shared" si="56"/>
        <v>-3904</v>
      </c>
      <c r="AE56" s="423">
        <f t="shared" si="57"/>
        <v>-3781</v>
      </c>
      <c r="AF56" s="423">
        <f t="shared" si="58"/>
        <v>-3457</v>
      </c>
    </row>
    <row r="57" spans="1:32">
      <c r="A57" s="417"/>
      <c r="B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</row>
    <row r="58" spans="1:32">
      <c r="A58" s="429" t="s">
        <v>676</v>
      </c>
      <c r="B58" s="429" t="s">
        <v>677</v>
      </c>
      <c r="D58" s="420">
        <f t="shared" ref="D58:I58" si="59">D39+D41</f>
        <v>0</v>
      </c>
      <c r="E58" s="420">
        <f t="shared" si="59"/>
        <v>0</v>
      </c>
      <c r="F58" s="420">
        <f t="shared" si="59"/>
        <v>0</v>
      </c>
      <c r="G58" s="420">
        <f t="shared" si="59"/>
        <v>0</v>
      </c>
      <c r="H58" s="420">
        <f t="shared" si="59"/>
        <v>0</v>
      </c>
      <c r="I58" s="420">
        <f t="shared" si="59"/>
        <v>0</v>
      </c>
      <c r="J58" s="420">
        <f t="shared" ref="J58:T58" si="60">J39+J41</f>
        <v>91</v>
      </c>
      <c r="K58" s="420">
        <f t="shared" si="60"/>
        <v>-2</v>
      </c>
      <c r="L58" s="420">
        <f t="shared" si="60"/>
        <v>841</v>
      </c>
      <c r="M58" s="420">
        <f t="shared" si="60"/>
        <v>8444</v>
      </c>
      <c r="N58" s="420">
        <f t="shared" si="60"/>
        <v>26157</v>
      </c>
      <c r="O58" s="420">
        <f t="shared" si="60"/>
        <v>44337</v>
      </c>
      <c r="P58" s="420">
        <f t="shared" si="60"/>
        <v>25257</v>
      </c>
      <c r="Q58" s="420">
        <f t="shared" si="60"/>
        <v>59903</v>
      </c>
      <c r="R58" s="420">
        <f t="shared" si="60"/>
        <v>73676</v>
      </c>
      <c r="S58" s="420">
        <f t="shared" si="60"/>
        <v>93943</v>
      </c>
      <c r="T58" s="741">
        <f t="shared" si="60"/>
        <v>25272</v>
      </c>
      <c r="U58" s="741">
        <f>U39+U41</f>
        <v>51409</v>
      </c>
      <c r="W58" s="420">
        <f t="shared" ref="W58:AC58" si="61">W39+W41</f>
        <v>841</v>
      </c>
      <c r="X58" s="420">
        <f t="shared" si="61"/>
        <v>7603</v>
      </c>
      <c r="Y58" s="420">
        <f t="shared" si="61"/>
        <v>17713</v>
      </c>
      <c r="Z58" s="420">
        <f t="shared" si="61"/>
        <v>18180</v>
      </c>
      <c r="AA58" s="420">
        <f t="shared" si="61"/>
        <v>25257</v>
      </c>
      <c r="AB58" s="420">
        <f t="shared" si="61"/>
        <v>34646</v>
      </c>
      <c r="AC58" s="420">
        <f t="shared" si="61"/>
        <v>13773</v>
      </c>
      <c r="AD58" s="420">
        <f t="shared" ref="AD58:AE58" si="62">AD39+AD41</f>
        <v>20267</v>
      </c>
      <c r="AE58" s="420">
        <f t="shared" si="62"/>
        <v>25272</v>
      </c>
      <c r="AF58" s="741">
        <f>AF39+AF41</f>
        <v>47002</v>
      </c>
    </row>
    <row r="59" spans="1:32">
      <c r="A59" s="417"/>
      <c r="B59" s="417"/>
      <c r="D59" s="417"/>
      <c r="E59" s="417"/>
      <c r="F59" s="417"/>
      <c r="G59" s="417"/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</row>
    <row r="60" spans="1:32">
      <c r="A60" s="416" t="s">
        <v>678</v>
      </c>
      <c r="B60" s="416" t="s">
        <v>679</v>
      </c>
      <c r="D60" s="424">
        <f t="shared" ref="D60:I60" si="63">D62+D68+D69+D78+D79</f>
        <v>0</v>
      </c>
      <c r="E60" s="424">
        <f t="shared" si="63"/>
        <v>0</v>
      </c>
      <c r="F60" s="424">
        <f t="shared" si="63"/>
        <v>0</v>
      </c>
      <c r="G60" s="424">
        <f t="shared" si="63"/>
        <v>0</v>
      </c>
      <c r="H60" s="424">
        <f t="shared" si="63"/>
        <v>0</v>
      </c>
      <c r="I60" s="424">
        <f t="shared" si="63"/>
        <v>91</v>
      </c>
      <c r="J60" s="424">
        <f t="shared" ref="J60:T60" si="64">J62+J68+J69+J78+J79</f>
        <v>768</v>
      </c>
      <c r="K60" s="424">
        <f t="shared" si="64"/>
        <v>96</v>
      </c>
      <c r="L60" s="424">
        <f t="shared" si="64"/>
        <v>-188</v>
      </c>
      <c r="M60" s="424">
        <f t="shared" si="64"/>
        <v>-1134</v>
      </c>
      <c r="N60" s="424">
        <f t="shared" si="64"/>
        <v>-3120</v>
      </c>
      <c r="O60" s="424">
        <f t="shared" si="64"/>
        <v>-55812</v>
      </c>
      <c r="P60" s="424">
        <f t="shared" si="64"/>
        <v>-4369</v>
      </c>
      <c r="Q60" s="424">
        <f t="shared" si="64"/>
        <v>-8157</v>
      </c>
      <c r="R60" s="424">
        <f t="shared" si="64"/>
        <v>-11706</v>
      </c>
      <c r="S60" s="424">
        <f t="shared" si="64"/>
        <v>-595703</v>
      </c>
      <c r="T60" s="424">
        <f t="shared" si="64"/>
        <v>-3271</v>
      </c>
      <c r="U60" s="424">
        <f>U62+U68+U69+U78+U79</f>
        <v>-6493</v>
      </c>
      <c r="W60" s="424">
        <f t="shared" ref="W60:AC60" si="65">W62+W68+W69+W78+W79</f>
        <v>-188</v>
      </c>
      <c r="X60" s="424">
        <f t="shared" si="65"/>
        <v>-946</v>
      </c>
      <c r="Y60" s="424">
        <f t="shared" si="65"/>
        <v>-1986</v>
      </c>
      <c r="Z60" s="424">
        <f t="shared" si="65"/>
        <v>-52692</v>
      </c>
      <c r="AA60" s="424">
        <f t="shared" si="65"/>
        <v>-4369</v>
      </c>
      <c r="AB60" s="424">
        <f t="shared" si="65"/>
        <v>-3788</v>
      </c>
      <c r="AC60" s="424">
        <f t="shared" si="65"/>
        <v>-3549</v>
      </c>
      <c r="AD60" s="424">
        <f t="shared" ref="AD60:AE60" si="66">AD62+AD68+AD69+AD78+AD79</f>
        <v>-583997</v>
      </c>
      <c r="AE60" s="424">
        <f t="shared" si="66"/>
        <v>-3271</v>
      </c>
      <c r="AF60" s="424">
        <f>AF62+AF68+AF69+AF78+AF79</f>
        <v>-3222</v>
      </c>
    </row>
    <row r="61" spans="1:32">
      <c r="A61" s="416"/>
      <c r="B61" s="416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W61" s="421"/>
      <c r="X61" s="421"/>
      <c r="Y61" s="421"/>
      <c r="Z61" s="421"/>
      <c r="AA61" s="421"/>
      <c r="AB61" s="421"/>
      <c r="AC61" s="421"/>
      <c r="AD61" s="421"/>
      <c r="AE61" s="421"/>
      <c r="AF61" s="421"/>
    </row>
    <row r="62" spans="1:32">
      <c r="A62" s="419" t="s">
        <v>680</v>
      </c>
      <c r="B62" s="419" t="s">
        <v>681</v>
      </c>
      <c r="D62" s="422">
        <f t="shared" ref="D62:I62" si="67">SUM(D63:D67)</f>
        <v>0</v>
      </c>
      <c r="E62" s="422">
        <f t="shared" si="67"/>
        <v>0</v>
      </c>
      <c r="F62" s="422">
        <f t="shared" si="67"/>
        <v>0</v>
      </c>
      <c r="G62" s="422">
        <f t="shared" si="67"/>
        <v>0</v>
      </c>
      <c r="H62" s="422">
        <f t="shared" si="67"/>
        <v>0</v>
      </c>
      <c r="I62" s="422">
        <f t="shared" si="67"/>
        <v>0</v>
      </c>
      <c r="J62" s="422">
        <f>SUM(J63:J67)</f>
        <v>0</v>
      </c>
      <c r="K62" s="422">
        <f>SUM(K63:K67)</f>
        <v>0</v>
      </c>
      <c r="L62" s="422">
        <f>SUM(L63:L67)</f>
        <v>0</v>
      </c>
      <c r="M62" s="422"/>
      <c r="N62" s="422">
        <f>SUM(N63:N67)</f>
        <v>0</v>
      </c>
      <c r="O62" s="422">
        <f>SUM(O63:O67)</f>
        <v>0</v>
      </c>
      <c r="P62" s="422">
        <f>SUM(P63:P67)</f>
        <v>0</v>
      </c>
      <c r="Q62" s="422">
        <f>SUM(Q63:Q67)</f>
        <v>0</v>
      </c>
      <c r="R62" s="422">
        <f t="shared" ref="R62:T62" si="68">SUM(R63:R67)</f>
        <v>0</v>
      </c>
      <c r="S62" s="422">
        <f t="shared" si="68"/>
        <v>0</v>
      </c>
      <c r="T62" s="422">
        <f t="shared" si="68"/>
        <v>0</v>
      </c>
      <c r="U62" s="422">
        <f>SUM(U63:U67)</f>
        <v>0</v>
      </c>
      <c r="W62" s="422">
        <f>SUM(W63:W67)</f>
        <v>0</v>
      </c>
      <c r="X62" s="422"/>
      <c r="Y62" s="422">
        <f>SUM(Y63:Y67)</f>
        <v>0</v>
      </c>
      <c r="Z62" s="422">
        <f>SUM(Z63:Z67)</f>
        <v>0</v>
      </c>
      <c r="AA62" s="422">
        <f>SUM(AA63:AA67)</f>
        <v>0</v>
      </c>
      <c r="AB62" s="422">
        <f>SUM(AB63:AB67)</f>
        <v>0</v>
      </c>
      <c r="AC62" s="422">
        <f t="shared" ref="AC62:AD62" si="69">SUM(AC63:AC67)</f>
        <v>0</v>
      </c>
      <c r="AD62" s="422">
        <f t="shared" si="69"/>
        <v>0</v>
      </c>
      <c r="AE62" s="422">
        <f>SUM(AE63:AE67)</f>
        <v>0</v>
      </c>
      <c r="AF62" s="422">
        <f>SUM(AF63:AF67)</f>
        <v>0</v>
      </c>
    </row>
    <row r="63" spans="1:32" outlineLevel="1">
      <c r="A63" s="418" t="s">
        <v>682</v>
      </c>
      <c r="B63" s="418" t="s">
        <v>683</v>
      </c>
      <c r="D63" s="423"/>
      <c r="E63" s="423"/>
      <c r="F63" s="423"/>
      <c r="G63" s="423"/>
      <c r="H63" s="423"/>
      <c r="I63" s="423">
        <v>0</v>
      </c>
      <c r="J63" s="423">
        <v>0</v>
      </c>
      <c r="K63" s="423">
        <v>0</v>
      </c>
      <c r="L63" s="423">
        <v>0</v>
      </c>
      <c r="M63" s="423">
        <v>0</v>
      </c>
      <c r="N63" s="423">
        <v>0</v>
      </c>
      <c r="O63" s="423">
        <v>0</v>
      </c>
      <c r="P63" s="423">
        <v>0</v>
      </c>
      <c r="Q63" s="423">
        <v>0</v>
      </c>
      <c r="R63" s="423">
        <v>0</v>
      </c>
      <c r="S63" s="423">
        <v>0</v>
      </c>
      <c r="T63" s="423">
        <v>0</v>
      </c>
      <c r="U63" s="423">
        <v>0</v>
      </c>
      <c r="W63" s="423">
        <f t="shared" ref="W63:W68" si="70">L63</f>
        <v>0</v>
      </c>
      <c r="X63" s="423">
        <f t="shared" ref="X63:X68" si="71">M63-W63</f>
        <v>0</v>
      </c>
      <c r="Y63" s="423">
        <f t="shared" ref="Y63:Z68" si="72">N63-M63</f>
        <v>0</v>
      </c>
      <c r="Z63" s="423">
        <f t="shared" si="72"/>
        <v>0</v>
      </c>
      <c r="AA63" s="423">
        <f t="shared" ref="AA63:AA68" si="73">P63</f>
        <v>0</v>
      </c>
      <c r="AB63" s="423">
        <f t="shared" ref="AB63:AB68" si="74">Q63-AA63</f>
        <v>0</v>
      </c>
      <c r="AC63" s="423">
        <f t="shared" ref="AC63:AD68" si="75">R63-Q63</f>
        <v>0</v>
      </c>
      <c r="AD63" s="423">
        <f t="shared" si="75"/>
        <v>0</v>
      </c>
      <c r="AE63" s="423">
        <f t="shared" ref="AE63:AE68" si="76">T63</f>
        <v>0</v>
      </c>
      <c r="AF63" s="423">
        <f t="shared" ref="AF63:AF68" si="77">U63-T63</f>
        <v>0</v>
      </c>
    </row>
    <row r="64" spans="1:32" outlineLevel="1">
      <c r="A64" s="418" t="s">
        <v>684</v>
      </c>
      <c r="B64" s="418" t="s">
        <v>685</v>
      </c>
      <c r="D64" s="423"/>
      <c r="E64" s="423"/>
      <c r="F64" s="423"/>
      <c r="G64" s="423"/>
      <c r="H64" s="423"/>
      <c r="I64" s="423">
        <v>0</v>
      </c>
      <c r="J64" s="423">
        <v>0</v>
      </c>
      <c r="K64" s="423">
        <v>0</v>
      </c>
      <c r="L64" s="423">
        <v>0</v>
      </c>
      <c r="M64" s="423">
        <v>0</v>
      </c>
      <c r="N64" s="423">
        <v>0</v>
      </c>
      <c r="O64" s="423">
        <v>0</v>
      </c>
      <c r="P64" s="423">
        <v>0</v>
      </c>
      <c r="Q64" s="423">
        <v>0</v>
      </c>
      <c r="R64" s="423">
        <v>0</v>
      </c>
      <c r="S64" s="423">
        <v>0</v>
      </c>
      <c r="T64" s="423">
        <v>0</v>
      </c>
      <c r="U64" s="423">
        <v>0</v>
      </c>
      <c r="W64" s="423">
        <f t="shared" si="70"/>
        <v>0</v>
      </c>
      <c r="X64" s="423">
        <f t="shared" si="71"/>
        <v>0</v>
      </c>
      <c r="Y64" s="423">
        <f t="shared" si="72"/>
        <v>0</v>
      </c>
      <c r="Z64" s="423">
        <f t="shared" si="72"/>
        <v>0</v>
      </c>
      <c r="AA64" s="423">
        <f t="shared" si="73"/>
        <v>0</v>
      </c>
      <c r="AB64" s="423">
        <f t="shared" si="74"/>
        <v>0</v>
      </c>
      <c r="AC64" s="423">
        <f t="shared" si="75"/>
        <v>0</v>
      </c>
      <c r="AD64" s="423">
        <f t="shared" si="75"/>
        <v>0</v>
      </c>
      <c r="AE64" s="423">
        <f t="shared" si="76"/>
        <v>0</v>
      </c>
      <c r="AF64" s="423">
        <f t="shared" si="77"/>
        <v>0</v>
      </c>
    </row>
    <row r="65" spans="1:32" outlineLevel="1">
      <c r="A65" s="418" t="s">
        <v>686</v>
      </c>
      <c r="B65" s="418" t="s">
        <v>687</v>
      </c>
      <c r="D65" s="423"/>
      <c r="E65" s="423"/>
      <c r="F65" s="423"/>
      <c r="G65" s="423"/>
      <c r="H65" s="423"/>
      <c r="I65" s="423">
        <v>0</v>
      </c>
      <c r="J65" s="423">
        <v>0</v>
      </c>
      <c r="K65" s="423">
        <v>0</v>
      </c>
      <c r="L65" s="423">
        <v>0</v>
      </c>
      <c r="M65" s="423">
        <v>0</v>
      </c>
      <c r="N65" s="423">
        <v>0</v>
      </c>
      <c r="O65" s="423">
        <v>0</v>
      </c>
      <c r="P65" s="423">
        <v>0</v>
      </c>
      <c r="Q65" s="423">
        <v>0</v>
      </c>
      <c r="R65" s="423">
        <v>0</v>
      </c>
      <c r="S65" s="423">
        <v>0</v>
      </c>
      <c r="T65" s="423">
        <v>0</v>
      </c>
      <c r="U65" s="423">
        <v>0</v>
      </c>
      <c r="W65" s="423">
        <f t="shared" si="70"/>
        <v>0</v>
      </c>
      <c r="X65" s="423">
        <f t="shared" si="71"/>
        <v>0</v>
      </c>
      <c r="Y65" s="423">
        <f t="shared" si="72"/>
        <v>0</v>
      </c>
      <c r="Z65" s="423">
        <f t="shared" si="72"/>
        <v>0</v>
      </c>
      <c r="AA65" s="423">
        <f t="shared" si="73"/>
        <v>0</v>
      </c>
      <c r="AB65" s="423">
        <f t="shared" si="74"/>
        <v>0</v>
      </c>
      <c r="AC65" s="423">
        <f t="shared" si="75"/>
        <v>0</v>
      </c>
      <c r="AD65" s="423">
        <f t="shared" si="75"/>
        <v>0</v>
      </c>
      <c r="AE65" s="423">
        <f t="shared" si="76"/>
        <v>0</v>
      </c>
      <c r="AF65" s="423">
        <f t="shared" si="77"/>
        <v>0</v>
      </c>
    </row>
    <row r="66" spans="1:32" outlineLevel="1">
      <c r="A66" s="418" t="s">
        <v>688</v>
      </c>
      <c r="B66" s="418" t="s">
        <v>689</v>
      </c>
      <c r="D66" s="423"/>
      <c r="E66" s="423"/>
      <c r="F66" s="423"/>
      <c r="G66" s="423"/>
      <c r="H66" s="423"/>
      <c r="I66" s="423">
        <v>0</v>
      </c>
      <c r="J66" s="423">
        <v>0</v>
      </c>
      <c r="K66" s="423">
        <v>0</v>
      </c>
      <c r="L66" s="423">
        <v>0</v>
      </c>
      <c r="M66" s="423">
        <v>0</v>
      </c>
      <c r="N66" s="423">
        <v>0</v>
      </c>
      <c r="O66" s="423">
        <v>0</v>
      </c>
      <c r="P66" s="423">
        <v>0</v>
      </c>
      <c r="Q66" s="423">
        <v>0</v>
      </c>
      <c r="R66" s="423">
        <v>0</v>
      </c>
      <c r="S66" s="423">
        <v>0</v>
      </c>
      <c r="T66" s="423">
        <v>0</v>
      </c>
      <c r="U66" s="423">
        <v>0</v>
      </c>
      <c r="W66" s="423">
        <f t="shared" si="70"/>
        <v>0</v>
      </c>
      <c r="X66" s="423">
        <f t="shared" si="71"/>
        <v>0</v>
      </c>
      <c r="Y66" s="423">
        <f t="shared" si="72"/>
        <v>0</v>
      </c>
      <c r="Z66" s="423">
        <f t="shared" si="72"/>
        <v>0</v>
      </c>
      <c r="AA66" s="423">
        <f t="shared" si="73"/>
        <v>0</v>
      </c>
      <c r="AB66" s="423">
        <f t="shared" si="74"/>
        <v>0</v>
      </c>
      <c r="AC66" s="423">
        <f t="shared" si="75"/>
        <v>0</v>
      </c>
      <c r="AD66" s="423">
        <f t="shared" si="75"/>
        <v>0</v>
      </c>
      <c r="AE66" s="423">
        <f t="shared" si="76"/>
        <v>0</v>
      </c>
      <c r="AF66" s="423">
        <f t="shared" si="77"/>
        <v>0</v>
      </c>
    </row>
    <row r="67" spans="1:32" outlineLevel="1">
      <c r="A67" s="418" t="s">
        <v>690</v>
      </c>
      <c r="B67" s="418" t="s">
        <v>691</v>
      </c>
      <c r="D67" s="423"/>
      <c r="E67" s="423"/>
      <c r="F67" s="423"/>
      <c r="G67" s="423"/>
      <c r="H67" s="423"/>
      <c r="I67" s="423">
        <v>0</v>
      </c>
      <c r="J67" s="423">
        <v>0</v>
      </c>
      <c r="K67" s="423">
        <v>0</v>
      </c>
      <c r="L67" s="423">
        <v>0</v>
      </c>
      <c r="M67" s="423">
        <v>0</v>
      </c>
      <c r="N67" s="423">
        <v>0</v>
      </c>
      <c r="O67" s="423">
        <v>0</v>
      </c>
      <c r="P67" s="423">
        <v>0</v>
      </c>
      <c r="Q67" s="423">
        <v>0</v>
      </c>
      <c r="R67" s="423">
        <v>0</v>
      </c>
      <c r="S67" s="423">
        <v>0</v>
      </c>
      <c r="T67" s="423">
        <v>0</v>
      </c>
      <c r="U67" s="423">
        <v>0</v>
      </c>
      <c r="W67" s="423">
        <f t="shared" si="70"/>
        <v>0</v>
      </c>
      <c r="X67" s="423">
        <f t="shared" si="71"/>
        <v>0</v>
      </c>
      <c r="Y67" s="423">
        <f t="shared" si="72"/>
        <v>0</v>
      </c>
      <c r="Z67" s="423">
        <f t="shared" si="72"/>
        <v>0</v>
      </c>
      <c r="AA67" s="423">
        <f t="shared" si="73"/>
        <v>0</v>
      </c>
      <c r="AB67" s="423">
        <f t="shared" si="74"/>
        <v>0</v>
      </c>
      <c r="AC67" s="423">
        <f t="shared" si="75"/>
        <v>0</v>
      </c>
      <c r="AD67" s="423">
        <f t="shared" si="75"/>
        <v>0</v>
      </c>
      <c r="AE67" s="423">
        <f t="shared" si="76"/>
        <v>0</v>
      </c>
      <c r="AF67" s="423">
        <f t="shared" si="77"/>
        <v>0</v>
      </c>
    </row>
    <row r="68" spans="1:32">
      <c r="A68" s="417" t="s">
        <v>692</v>
      </c>
      <c r="B68" s="417" t="s">
        <v>693</v>
      </c>
      <c r="D68" s="425"/>
      <c r="E68" s="425"/>
      <c r="F68" s="425"/>
      <c r="G68" s="425"/>
      <c r="H68" s="425"/>
      <c r="I68" s="425">
        <v>0</v>
      </c>
      <c r="J68" s="425">
        <v>0</v>
      </c>
      <c r="K68" s="425"/>
      <c r="L68" s="425"/>
      <c r="M68" s="425">
        <v>0</v>
      </c>
      <c r="N68" s="425">
        <v>0</v>
      </c>
      <c r="O68" s="425">
        <v>0</v>
      </c>
      <c r="P68" s="425">
        <v>0</v>
      </c>
      <c r="Q68" s="425">
        <v>0</v>
      </c>
      <c r="R68" s="425">
        <v>0</v>
      </c>
      <c r="S68" s="425">
        <v>0</v>
      </c>
      <c r="T68" s="425">
        <v>0</v>
      </c>
      <c r="U68" s="756">
        <v>0</v>
      </c>
      <c r="W68" s="425">
        <f t="shared" si="70"/>
        <v>0</v>
      </c>
      <c r="X68" s="425">
        <f t="shared" si="71"/>
        <v>0</v>
      </c>
      <c r="Y68" s="425">
        <f t="shared" si="72"/>
        <v>0</v>
      </c>
      <c r="Z68" s="425">
        <f t="shared" si="72"/>
        <v>0</v>
      </c>
      <c r="AA68" s="425">
        <f t="shared" si="73"/>
        <v>0</v>
      </c>
      <c r="AB68" s="425">
        <f t="shared" si="74"/>
        <v>0</v>
      </c>
      <c r="AC68" s="425">
        <f t="shared" si="75"/>
        <v>0</v>
      </c>
      <c r="AD68" s="425">
        <f t="shared" si="75"/>
        <v>0</v>
      </c>
      <c r="AE68" s="425">
        <f t="shared" si="76"/>
        <v>0</v>
      </c>
      <c r="AF68" s="756">
        <f t="shared" si="77"/>
        <v>0</v>
      </c>
    </row>
    <row r="69" spans="1:32">
      <c r="A69" s="417" t="s">
        <v>694</v>
      </c>
      <c r="B69" s="417" t="s">
        <v>695</v>
      </c>
      <c r="D69" s="422">
        <f t="shared" ref="D69:I69" si="78">SUM(D70:D77)</f>
        <v>0</v>
      </c>
      <c r="E69" s="422">
        <f t="shared" si="78"/>
        <v>0</v>
      </c>
      <c r="F69" s="422">
        <f t="shared" si="78"/>
        <v>0</v>
      </c>
      <c r="G69" s="422">
        <f t="shared" si="78"/>
        <v>0</v>
      </c>
      <c r="H69" s="422">
        <f t="shared" si="78"/>
        <v>0</v>
      </c>
      <c r="I69" s="422">
        <f t="shared" si="78"/>
        <v>0</v>
      </c>
      <c r="J69" s="422">
        <f t="shared" ref="J69:T69" si="79">SUM(J70:J77)</f>
        <v>629</v>
      </c>
      <c r="K69" s="422">
        <f t="shared" si="79"/>
        <v>-61</v>
      </c>
      <c r="L69" s="422">
        <f t="shared" si="79"/>
        <v>-188</v>
      </c>
      <c r="M69" s="422">
        <f t="shared" si="79"/>
        <v>-1134</v>
      </c>
      <c r="N69" s="422">
        <f t="shared" si="79"/>
        <v>-3120</v>
      </c>
      <c r="O69" s="422">
        <f t="shared" si="79"/>
        <v>-6056</v>
      </c>
      <c r="P69" s="422">
        <f t="shared" si="79"/>
        <v>-4369</v>
      </c>
      <c r="Q69" s="422">
        <f t="shared" si="79"/>
        <v>-7843</v>
      </c>
      <c r="R69" s="422">
        <f t="shared" si="79"/>
        <v>-10779</v>
      </c>
      <c r="S69" s="422">
        <f t="shared" si="79"/>
        <v>-14896</v>
      </c>
      <c r="T69" s="422">
        <f t="shared" si="79"/>
        <v>-3271</v>
      </c>
      <c r="U69" s="422">
        <f>SUM(U70:U77)</f>
        <v>-8622</v>
      </c>
      <c r="W69" s="422">
        <f t="shared" ref="W69:AC69" si="80">SUM(W70:W77)</f>
        <v>-188</v>
      </c>
      <c r="X69" s="422">
        <f t="shared" si="80"/>
        <v>-946</v>
      </c>
      <c r="Y69" s="422">
        <f t="shared" si="80"/>
        <v>-1986</v>
      </c>
      <c r="Z69" s="422">
        <f t="shared" si="80"/>
        <v>-2936</v>
      </c>
      <c r="AA69" s="422">
        <f t="shared" si="80"/>
        <v>-4369</v>
      </c>
      <c r="AB69" s="422">
        <f t="shared" si="80"/>
        <v>-3474</v>
      </c>
      <c r="AC69" s="422">
        <f t="shared" si="80"/>
        <v>-2936</v>
      </c>
      <c r="AD69" s="422">
        <f t="shared" ref="AD69:AE69" si="81">SUM(AD70:AD77)</f>
        <v>-4117</v>
      </c>
      <c r="AE69" s="422">
        <f t="shared" si="81"/>
        <v>-3271</v>
      </c>
      <c r="AF69" s="422">
        <f>SUM(AF70:AF77)</f>
        <v>-5351</v>
      </c>
    </row>
    <row r="70" spans="1:32" outlineLevel="1">
      <c r="A70" s="418" t="s">
        <v>696</v>
      </c>
      <c r="B70" s="418" t="s">
        <v>697</v>
      </c>
      <c r="D70" s="423"/>
      <c r="E70" s="423"/>
      <c r="F70" s="423"/>
      <c r="G70" s="423"/>
      <c r="H70" s="423"/>
      <c r="I70" s="423">
        <v>0</v>
      </c>
      <c r="J70" s="423">
        <v>752</v>
      </c>
      <c r="K70" s="423">
        <v>783</v>
      </c>
      <c r="L70" s="423">
        <v>-129</v>
      </c>
      <c r="M70" s="423">
        <v>-559</v>
      </c>
      <c r="N70" s="423">
        <v>-900</v>
      </c>
      <c r="O70" s="423">
        <v>-2335</v>
      </c>
      <c r="P70" s="423">
        <v>-3539</v>
      </c>
      <c r="Q70" s="423">
        <v>-4739</v>
      </c>
      <c r="R70" s="423">
        <v>-6636</v>
      </c>
      <c r="S70" s="423">
        <v>-8878</v>
      </c>
      <c r="T70" s="423">
        <v>-2209</v>
      </c>
      <c r="U70" s="423">
        <v>-6473</v>
      </c>
      <c r="W70" s="423">
        <f t="shared" ref="W70:W78" si="82">L70</f>
        <v>-129</v>
      </c>
      <c r="X70" s="423">
        <f t="shared" ref="X70:X78" si="83">M70-W70</f>
        <v>-430</v>
      </c>
      <c r="Y70" s="423">
        <f t="shared" ref="Y70:Y78" si="84">N70-M70</f>
        <v>-341</v>
      </c>
      <c r="Z70" s="423">
        <f t="shared" ref="Z70:Z78" si="85">O70-N70</f>
        <v>-1435</v>
      </c>
      <c r="AA70" s="423">
        <f t="shared" ref="AA70:AA78" si="86">P70</f>
        <v>-3539</v>
      </c>
      <c r="AB70" s="423">
        <f t="shared" ref="AB70:AB78" si="87">Q70-AA70</f>
        <v>-1200</v>
      </c>
      <c r="AC70" s="423">
        <f t="shared" ref="AC70:AC78" si="88">R70-Q70</f>
        <v>-1897</v>
      </c>
      <c r="AD70" s="423">
        <f t="shared" ref="AD70:AD78" si="89">S70-R70</f>
        <v>-2242</v>
      </c>
      <c r="AE70" s="423">
        <f t="shared" ref="AE70:AE78" si="90">T70</f>
        <v>-2209</v>
      </c>
      <c r="AF70" s="423">
        <f t="shared" ref="AF70:AF78" si="91">U70-T70</f>
        <v>-4264</v>
      </c>
    </row>
    <row r="71" spans="1:32" outlineLevel="1">
      <c r="A71" s="418" t="s">
        <v>698</v>
      </c>
      <c r="B71" s="418" t="s">
        <v>699</v>
      </c>
      <c r="D71" s="423"/>
      <c r="E71" s="423"/>
      <c r="F71" s="423"/>
      <c r="G71" s="423"/>
      <c r="H71" s="423"/>
      <c r="I71" s="423">
        <v>0</v>
      </c>
      <c r="J71" s="423">
        <v>-1</v>
      </c>
      <c r="K71" s="423">
        <v>-4</v>
      </c>
      <c r="L71" s="423">
        <v>-1</v>
      </c>
      <c r="M71" s="423">
        <v>-27</v>
      </c>
      <c r="N71" s="423">
        <v>-10</v>
      </c>
      <c r="O71" s="423">
        <v>-15</v>
      </c>
      <c r="P71" s="423">
        <v>-401</v>
      </c>
      <c r="Q71" s="423">
        <v>-780</v>
      </c>
      <c r="R71" s="423">
        <v>-601</v>
      </c>
      <c r="S71" s="423">
        <v>-685</v>
      </c>
      <c r="T71" s="423">
        <v>-35</v>
      </c>
      <c r="U71" s="423">
        <v>-65</v>
      </c>
      <c r="W71" s="423">
        <f t="shared" si="82"/>
        <v>-1</v>
      </c>
      <c r="X71" s="423">
        <f t="shared" si="83"/>
        <v>-26</v>
      </c>
      <c r="Y71" s="423">
        <f t="shared" si="84"/>
        <v>17</v>
      </c>
      <c r="Z71" s="423">
        <f t="shared" si="85"/>
        <v>-5</v>
      </c>
      <c r="AA71" s="423">
        <f t="shared" si="86"/>
        <v>-401</v>
      </c>
      <c r="AB71" s="423">
        <f t="shared" si="87"/>
        <v>-379</v>
      </c>
      <c r="AC71" s="423">
        <f t="shared" si="88"/>
        <v>179</v>
      </c>
      <c r="AD71" s="423">
        <f t="shared" si="89"/>
        <v>-84</v>
      </c>
      <c r="AE71" s="423">
        <f t="shared" si="90"/>
        <v>-35</v>
      </c>
      <c r="AF71" s="423">
        <f t="shared" si="91"/>
        <v>-30</v>
      </c>
    </row>
    <row r="72" spans="1:32" outlineLevel="1">
      <c r="A72" s="418" t="s">
        <v>700</v>
      </c>
      <c r="B72" s="418" t="s">
        <v>701</v>
      </c>
      <c r="D72" s="423"/>
      <c r="E72" s="423"/>
      <c r="F72" s="423"/>
      <c r="G72" s="423"/>
      <c r="H72" s="423"/>
      <c r="I72" s="423">
        <v>0</v>
      </c>
      <c r="J72" s="423">
        <v>-93</v>
      </c>
      <c r="K72" s="423">
        <v>-409</v>
      </c>
      <c r="L72" s="423">
        <v>-33</v>
      </c>
      <c r="M72" s="423">
        <v>-180</v>
      </c>
      <c r="N72" s="423">
        <v>-451</v>
      </c>
      <c r="O72" s="423">
        <v>-930</v>
      </c>
      <c r="P72" s="423">
        <v>-277</v>
      </c>
      <c r="Q72" s="423">
        <v>-2005</v>
      </c>
      <c r="R72" s="423">
        <v>-3116</v>
      </c>
      <c r="S72" s="423">
        <v>-4078</v>
      </c>
      <c r="T72" s="423">
        <v>-572</v>
      </c>
      <c r="U72" s="423">
        <v>-1374</v>
      </c>
      <c r="W72" s="423">
        <f t="shared" si="82"/>
        <v>-33</v>
      </c>
      <c r="X72" s="423">
        <f t="shared" si="83"/>
        <v>-147</v>
      </c>
      <c r="Y72" s="423">
        <f t="shared" si="84"/>
        <v>-271</v>
      </c>
      <c r="Z72" s="423">
        <f t="shared" si="85"/>
        <v>-479</v>
      </c>
      <c r="AA72" s="423">
        <f t="shared" si="86"/>
        <v>-277</v>
      </c>
      <c r="AB72" s="423">
        <f t="shared" si="87"/>
        <v>-1728</v>
      </c>
      <c r="AC72" s="423">
        <f t="shared" si="88"/>
        <v>-1111</v>
      </c>
      <c r="AD72" s="423">
        <f t="shared" si="89"/>
        <v>-962</v>
      </c>
      <c r="AE72" s="423">
        <f t="shared" si="90"/>
        <v>-572</v>
      </c>
      <c r="AF72" s="423">
        <f t="shared" si="91"/>
        <v>-802</v>
      </c>
    </row>
    <row r="73" spans="1:32" outlineLevel="1">
      <c r="A73" s="418" t="s">
        <v>702</v>
      </c>
      <c r="B73" s="418" t="s">
        <v>703</v>
      </c>
      <c r="D73" s="423"/>
      <c r="E73" s="423"/>
      <c r="F73" s="423"/>
      <c r="G73" s="423"/>
      <c r="H73" s="423"/>
      <c r="I73" s="423">
        <v>0</v>
      </c>
      <c r="J73" s="423">
        <v>0</v>
      </c>
      <c r="K73" s="423">
        <v>0</v>
      </c>
      <c r="L73" s="423">
        <v>0</v>
      </c>
      <c r="M73" s="423">
        <v>0</v>
      </c>
      <c r="N73" s="423">
        <v>0</v>
      </c>
      <c r="O73" s="423">
        <v>0</v>
      </c>
      <c r="P73" s="423">
        <v>0</v>
      </c>
      <c r="Q73" s="423">
        <v>0</v>
      </c>
      <c r="R73" s="423">
        <v>0</v>
      </c>
      <c r="S73" s="423">
        <v>0</v>
      </c>
      <c r="T73" s="423">
        <v>0</v>
      </c>
      <c r="U73" s="423">
        <v>0</v>
      </c>
      <c r="W73" s="423">
        <f t="shared" si="82"/>
        <v>0</v>
      </c>
      <c r="X73" s="423">
        <f t="shared" si="83"/>
        <v>0</v>
      </c>
      <c r="Y73" s="423">
        <f t="shared" si="84"/>
        <v>0</v>
      </c>
      <c r="Z73" s="423">
        <f t="shared" si="85"/>
        <v>0</v>
      </c>
      <c r="AA73" s="423">
        <f t="shared" si="86"/>
        <v>0</v>
      </c>
      <c r="AB73" s="423">
        <f t="shared" si="87"/>
        <v>0</v>
      </c>
      <c r="AC73" s="423">
        <f t="shared" si="88"/>
        <v>0</v>
      </c>
      <c r="AD73" s="423">
        <f t="shared" si="89"/>
        <v>0</v>
      </c>
      <c r="AE73" s="423">
        <f t="shared" si="90"/>
        <v>0</v>
      </c>
      <c r="AF73" s="423">
        <f t="shared" si="91"/>
        <v>0</v>
      </c>
    </row>
    <row r="74" spans="1:32" outlineLevel="1">
      <c r="A74" s="418" t="s">
        <v>704</v>
      </c>
      <c r="B74" s="418" t="s">
        <v>705</v>
      </c>
      <c r="D74" s="423"/>
      <c r="E74" s="423"/>
      <c r="F74" s="423"/>
      <c r="G74" s="423"/>
      <c r="H74" s="423"/>
      <c r="I74" s="423">
        <v>0</v>
      </c>
      <c r="J74" s="423">
        <v>-29</v>
      </c>
      <c r="K74" s="423">
        <v>-251</v>
      </c>
      <c r="L74" s="423">
        <v>-25</v>
      </c>
      <c r="M74" s="423">
        <v>-197</v>
      </c>
      <c r="N74" s="423">
        <v>-1076</v>
      </c>
      <c r="O74" s="423">
        <v>-1582</v>
      </c>
      <c r="P74" s="423">
        <v>-146</v>
      </c>
      <c r="Q74" s="423">
        <v>-306</v>
      </c>
      <c r="R74" s="423">
        <v>-408</v>
      </c>
      <c r="S74" s="423">
        <v>-1230</v>
      </c>
      <c r="T74" s="423">
        <v>-449</v>
      </c>
      <c r="U74" s="423">
        <v>-701</v>
      </c>
      <c r="W74" s="423">
        <f t="shared" si="82"/>
        <v>-25</v>
      </c>
      <c r="X74" s="423">
        <f t="shared" si="83"/>
        <v>-172</v>
      </c>
      <c r="Y74" s="423">
        <f t="shared" si="84"/>
        <v>-879</v>
      </c>
      <c r="Z74" s="423">
        <f t="shared" si="85"/>
        <v>-506</v>
      </c>
      <c r="AA74" s="423">
        <f t="shared" si="86"/>
        <v>-146</v>
      </c>
      <c r="AB74" s="423">
        <f t="shared" si="87"/>
        <v>-160</v>
      </c>
      <c r="AC74" s="423">
        <f t="shared" si="88"/>
        <v>-102</v>
      </c>
      <c r="AD74" s="423">
        <f t="shared" si="89"/>
        <v>-822</v>
      </c>
      <c r="AE74" s="423">
        <f t="shared" si="90"/>
        <v>-449</v>
      </c>
      <c r="AF74" s="423">
        <f t="shared" si="91"/>
        <v>-252</v>
      </c>
    </row>
    <row r="75" spans="1:32" outlineLevel="1">
      <c r="A75" s="418" t="s">
        <v>706</v>
      </c>
      <c r="B75" s="418" t="s">
        <v>707</v>
      </c>
      <c r="D75" s="423"/>
      <c r="E75" s="423"/>
      <c r="F75" s="423"/>
      <c r="G75" s="423"/>
      <c r="H75" s="423"/>
      <c r="I75" s="423">
        <v>0</v>
      </c>
      <c r="J75" s="423">
        <v>0</v>
      </c>
      <c r="K75" s="423">
        <v>0</v>
      </c>
      <c r="L75" s="423">
        <v>0</v>
      </c>
      <c r="M75" s="423">
        <v>0</v>
      </c>
      <c r="N75" s="423">
        <v>0</v>
      </c>
      <c r="O75" s="423">
        <v>0</v>
      </c>
      <c r="P75" s="423">
        <v>0</v>
      </c>
      <c r="Q75" s="423">
        <v>0</v>
      </c>
      <c r="R75" s="423">
        <v>0</v>
      </c>
      <c r="S75" s="423">
        <v>0</v>
      </c>
      <c r="T75" s="423">
        <v>0</v>
      </c>
      <c r="U75" s="423">
        <v>0</v>
      </c>
      <c r="W75" s="423">
        <f t="shared" si="82"/>
        <v>0</v>
      </c>
      <c r="X75" s="423">
        <f t="shared" si="83"/>
        <v>0</v>
      </c>
      <c r="Y75" s="423">
        <f t="shared" si="84"/>
        <v>0</v>
      </c>
      <c r="Z75" s="423">
        <f t="shared" si="85"/>
        <v>0</v>
      </c>
      <c r="AA75" s="423">
        <f t="shared" si="86"/>
        <v>0</v>
      </c>
      <c r="AB75" s="423">
        <f t="shared" si="87"/>
        <v>0</v>
      </c>
      <c r="AC75" s="423">
        <f t="shared" si="88"/>
        <v>0</v>
      </c>
      <c r="AD75" s="423">
        <f t="shared" si="89"/>
        <v>0</v>
      </c>
      <c r="AE75" s="423">
        <f t="shared" si="90"/>
        <v>0</v>
      </c>
      <c r="AF75" s="423">
        <f t="shared" si="91"/>
        <v>0</v>
      </c>
    </row>
    <row r="76" spans="1:32" outlineLevel="1">
      <c r="A76" s="418" t="s">
        <v>708</v>
      </c>
      <c r="B76" s="418" t="s">
        <v>709</v>
      </c>
      <c r="D76" s="423"/>
      <c r="E76" s="423"/>
      <c r="F76" s="423"/>
      <c r="G76" s="423"/>
      <c r="H76" s="423"/>
      <c r="I76" s="423">
        <v>0</v>
      </c>
      <c r="J76" s="423">
        <v>0</v>
      </c>
      <c r="K76" s="423">
        <v>-180</v>
      </c>
      <c r="L76" s="423">
        <v>0</v>
      </c>
      <c r="M76" s="423">
        <v>-171</v>
      </c>
      <c r="N76" s="423">
        <v>-683</v>
      </c>
      <c r="O76" s="423">
        <v>-1194</v>
      </c>
      <c r="P76" s="423">
        <v>-6</v>
      </c>
      <c r="Q76" s="423">
        <v>-13</v>
      </c>
      <c r="R76" s="423">
        <v>-18</v>
      </c>
      <c r="S76" s="423">
        <v>-25</v>
      </c>
      <c r="T76" s="423">
        <v>-6</v>
      </c>
      <c r="U76" s="423">
        <v>-9</v>
      </c>
      <c r="W76" s="423">
        <f t="shared" si="82"/>
        <v>0</v>
      </c>
      <c r="X76" s="423">
        <f t="shared" si="83"/>
        <v>-171</v>
      </c>
      <c r="Y76" s="423">
        <f t="shared" si="84"/>
        <v>-512</v>
      </c>
      <c r="Z76" s="423">
        <f t="shared" si="85"/>
        <v>-511</v>
      </c>
      <c r="AA76" s="423">
        <f t="shared" si="86"/>
        <v>-6</v>
      </c>
      <c r="AB76" s="423">
        <f t="shared" si="87"/>
        <v>-7</v>
      </c>
      <c r="AC76" s="423">
        <f t="shared" si="88"/>
        <v>-5</v>
      </c>
      <c r="AD76" s="423">
        <f t="shared" si="89"/>
        <v>-7</v>
      </c>
      <c r="AE76" s="423">
        <f t="shared" si="90"/>
        <v>-6</v>
      </c>
      <c r="AF76" s="423">
        <f t="shared" si="91"/>
        <v>-3</v>
      </c>
    </row>
    <row r="77" spans="1:32" outlineLevel="1">
      <c r="A77" s="418" t="s">
        <v>710</v>
      </c>
      <c r="B77" s="418" t="s">
        <v>711</v>
      </c>
      <c r="D77" s="423"/>
      <c r="E77" s="423"/>
      <c r="F77" s="423"/>
      <c r="G77" s="423"/>
      <c r="H77" s="423"/>
      <c r="I77" s="423">
        <v>0</v>
      </c>
      <c r="J77" s="423"/>
      <c r="K77" s="423">
        <v>0</v>
      </c>
      <c r="L77" s="423">
        <v>0</v>
      </c>
      <c r="M77" s="423">
        <v>0</v>
      </c>
      <c r="N77" s="423">
        <v>0</v>
      </c>
      <c r="O77" s="423">
        <v>0</v>
      </c>
      <c r="P77" s="423">
        <v>0</v>
      </c>
      <c r="Q77" s="423">
        <v>0</v>
      </c>
      <c r="R77" s="423">
        <v>0</v>
      </c>
      <c r="S77" s="423">
        <v>0</v>
      </c>
      <c r="T77" s="423">
        <v>0</v>
      </c>
      <c r="U77" s="423">
        <v>0</v>
      </c>
      <c r="W77" s="423">
        <f t="shared" si="82"/>
        <v>0</v>
      </c>
      <c r="X77" s="423">
        <f t="shared" si="83"/>
        <v>0</v>
      </c>
      <c r="Y77" s="423">
        <f t="shared" si="84"/>
        <v>0</v>
      </c>
      <c r="Z77" s="423">
        <f t="shared" si="85"/>
        <v>0</v>
      </c>
      <c r="AA77" s="423">
        <f t="shared" si="86"/>
        <v>0</v>
      </c>
      <c r="AB77" s="423">
        <f t="shared" si="87"/>
        <v>0</v>
      </c>
      <c r="AC77" s="423">
        <f t="shared" si="88"/>
        <v>0</v>
      </c>
      <c r="AD77" s="423">
        <f t="shared" si="89"/>
        <v>0</v>
      </c>
      <c r="AE77" s="423">
        <f t="shared" si="90"/>
        <v>0</v>
      </c>
      <c r="AF77" s="423">
        <f t="shared" si="91"/>
        <v>0</v>
      </c>
    </row>
    <row r="78" spans="1:32">
      <c r="A78" s="417" t="s">
        <v>712</v>
      </c>
      <c r="B78" s="417" t="s">
        <v>713</v>
      </c>
      <c r="D78" s="422"/>
      <c r="E78" s="422"/>
      <c r="F78" s="422"/>
      <c r="G78" s="422"/>
      <c r="H78" s="422"/>
      <c r="I78" s="422">
        <v>91</v>
      </c>
      <c r="J78" s="422">
        <v>91</v>
      </c>
      <c r="K78" s="422">
        <v>91</v>
      </c>
      <c r="L78" s="422">
        <v>0</v>
      </c>
      <c r="M78" s="422">
        <v>0</v>
      </c>
      <c r="N78" s="422">
        <v>0</v>
      </c>
      <c r="O78" s="422">
        <v>0</v>
      </c>
      <c r="P78" s="422">
        <v>0</v>
      </c>
      <c r="Q78" s="422">
        <v>-314</v>
      </c>
      <c r="R78" s="422">
        <v>-927</v>
      </c>
      <c r="S78" s="422">
        <v>24817</v>
      </c>
      <c r="T78" s="422">
        <v>0</v>
      </c>
      <c r="U78" s="422">
        <v>0</v>
      </c>
      <c r="W78" s="422">
        <f t="shared" si="82"/>
        <v>0</v>
      </c>
      <c r="X78" s="422">
        <f t="shared" si="83"/>
        <v>0</v>
      </c>
      <c r="Y78" s="422">
        <f t="shared" si="84"/>
        <v>0</v>
      </c>
      <c r="Z78" s="422">
        <f t="shared" si="85"/>
        <v>0</v>
      </c>
      <c r="AA78" s="422">
        <f t="shared" si="86"/>
        <v>0</v>
      </c>
      <c r="AB78" s="422">
        <f t="shared" si="87"/>
        <v>-314</v>
      </c>
      <c r="AC78" s="422">
        <f t="shared" si="88"/>
        <v>-613</v>
      </c>
      <c r="AD78" s="422">
        <f t="shared" si="89"/>
        <v>25744</v>
      </c>
      <c r="AE78" s="422">
        <f t="shared" si="90"/>
        <v>0</v>
      </c>
      <c r="AF78" s="422">
        <f t="shared" si="91"/>
        <v>0</v>
      </c>
    </row>
    <row r="79" spans="1:32">
      <c r="A79" s="417" t="s">
        <v>714</v>
      </c>
      <c r="B79" s="417" t="s">
        <v>715</v>
      </c>
      <c r="D79" s="422">
        <f t="shared" ref="D79:L79" si="92">SUM(D80:D82)</f>
        <v>0</v>
      </c>
      <c r="E79" s="422">
        <f t="shared" si="92"/>
        <v>0</v>
      </c>
      <c r="F79" s="422">
        <f t="shared" si="92"/>
        <v>0</v>
      </c>
      <c r="G79" s="422">
        <f t="shared" si="92"/>
        <v>0</v>
      </c>
      <c r="H79" s="422">
        <f t="shared" si="92"/>
        <v>0</v>
      </c>
      <c r="I79" s="422">
        <f t="shared" si="92"/>
        <v>0</v>
      </c>
      <c r="J79" s="422">
        <f t="shared" si="92"/>
        <v>48</v>
      </c>
      <c r="K79" s="422">
        <f t="shared" si="92"/>
        <v>66</v>
      </c>
      <c r="L79" s="422">
        <f t="shared" si="92"/>
        <v>0</v>
      </c>
      <c r="M79" s="422">
        <f t="shared" ref="M79:T79" si="93">SUM(M80:M82)</f>
        <v>0</v>
      </c>
      <c r="N79" s="422">
        <f t="shared" si="93"/>
        <v>0</v>
      </c>
      <c r="O79" s="422">
        <f t="shared" si="93"/>
        <v>-49756</v>
      </c>
      <c r="P79" s="422">
        <f t="shared" si="93"/>
        <v>0</v>
      </c>
      <c r="Q79" s="422">
        <f t="shared" si="93"/>
        <v>0</v>
      </c>
      <c r="R79" s="422">
        <f t="shared" si="93"/>
        <v>0</v>
      </c>
      <c r="S79" s="422">
        <f t="shared" si="93"/>
        <v>-605624</v>
      </c>
      <c r="T79" s="422">
        <f t="shared" si="93"/>
        <v>0</v>
      </c>
      <c r="U79" s="422">
        <f>SUM(U80:U82)</f>
        <v>2129</v>
      </c>
      <c r="W79" s="422">
        <f t="shared" ref="W79:AC79" si="94">SUM(W80:W82)</f>
        <v>0</v>
      </c>
      <c r="X79" s="422">
        <f t="shared" si="94"/>
        <v>0</v>
      </c>
      <c r="Y79" s="422">
        <f t="shared" si="94"/>
        <v>0</v>
      </c>
      <c r="Z79" s="422">
        <f t="shared" si="94"/>
        <v>-49756</v>
      </c>
      <c r="AA79" s="422">
        <f t="shared" si="94"/>
        <v>0</v>
      </c>
      <c r="AB79" s="422">
        <f t="shared" si="94"/>
        <v>0</v>
      </c>
      <c r="AC79" s="422">
        <f t="shared" si="94"/>
        <v>0</v>
      </c>
      <c r="AD79" s="422">
        <f t="shared" ref="AD79:AE79" si="95">SUM(AD80:AD82)</f>
        <v>-605624</v>
      </c>
      <c r="AE79" s="422">
        <f t="shared" si="95"/>
        <v>0</v>
      </c>
      <c r="AF79" s="422">
        <f>SUM(AF80:AF82)</f>
        <v>2129</v>
      </c>
    </row>
    <row r="80" spans="1:32" outlineLevel="1">
      <c r="A80" s="418" t="s">
        <v>716</v>
      </c>
      <c r="B80" s="418" t="s">
        <v>717</v>
      </c>
      <c r="D80" s="423"/>
      <c r="E80" s="423"/>
      <c r="F80" s="423"/>
      <c r="G80" s="423"/>
      <c r="H80" s="423"/>
      <c r="I80" s="423">
        <v>0</v>
      </c>
      <c r="J80" s="423">
        <v>48</v>
      </c>
      <c r="K80" s="423">
        <v>66</v>
      </c>
      <c r="L80" s="423">
        <v>0</v>
      </c>
      <c r="M80" s="423">
        <v>0</v>
      </c>
      <c r="N80" s="423">
        <v>0</v>
      </c>
      <c r="O80" s="423">
        <v>-49756</v>
      </c>
      <c r="P80" s="423">
        <v>0</v>
      </c>
      <c r="Q80" s="423">
        <v>0</v>
      </c>
      <c r="R80" s="423">
        <v>0</v>
      </c>
      <c r="S80" s="423">
        <v>-605624</v>
      </c>
      <c r="T80" s="423">
        <v>0</v>
      </c>
      <c r="U80" s="423">
        <v>2129</v>
      </c>
      <c r="W80" s="423">
        <f>L80</f>
        <v>0</v>
      </c>
      <c r="X80" s="423">
        <f>M80-W80</f>
        <v>0</v>
      </c>
      <c r="Y80" s="423">
        <f t="shared" ref="Y80:Z82" si="96">N80-M80</f>
        <v>0</v>
      </c>
      <c r="Z80" s="423">
        <f t="shared" si="96"/>
        <v>-49756</v>
      </c>
      <c r="AA80" s="423">
        <f>P80</f>
        <v>0</v>
      </c>
      <c r="AB80" s="423">
        <f t="shared" ref="AB80:AB82" si="97">Q80-AA80</f>
        <v>0</v>
      </c>
      <c r="AC80" s="423">
        <f t="shared" ref="AC80:AD82" si="98">R80-Q80</f>
        <v>0</v>
      </c>
      <c r="AD80" s="423">
        <f t="shared" si="98"/>
        <v>-605624</v>
      </c>
      <c r="AE80" s="423">
        <f>T80</f>
        <v>0</v>
      </c>
      <c r="AF80" s="423">
        <f>U80-T80</f>
        <v>2129</v>
      </c>
    </row>
    <row r="81" spans="1:32" outlineLevel="1">
      <c r="A81" s="418" t="s">
        <v>718</v>
      </c>
      <c r="B81" s="418" t="s">
        <v>719</v>
      </c>
      <c r="D81" s="423"/>
      <c r="E81" s="423"/>
      <c r="F81" s="423"/>
      <c r="G81" s="423"/>
      <c r="H81" s="423"/>
      <c r="I81" s="423">
        <v>0</v>
      </c>
      <c r="J81" s="423">
        <v>0</v>
      </c>
      <c r="K81" s="423">
        <v>0</v>
      </c>
      <c r="L81" s="423">
        <v>0</v>
      </c>
      <c r="M81" s="423">
        <v>0</v>
      </c>
      <c r="N81" s="423">
        <v>0</v>
      </c>
      <c r="O81" s="423">
        <v>0</v>
      </c>
      <c r="P81" s="423">
        <v>0</v>
      </c>
      <c r="Q81" s="423">
        <v>0</v>
      </c>
      <c r="R81" s="423">
        <v>0</v>
      </c>
      <c r="S81" s="423">
        <v>0</v>
      </c>
      <c r="T81" s="423">
        <v>0</v>
      </c>
      <c r="U81" s="423">
        <v>0</v>
      </c>
      <c r="W81" s="423">
        <f>L81</f>
        <v>0</v>
      </c>
      <c r="X81" s="423">
        <f>M81-W81</f>
        <v>0</v>
      </c>
      <c r="Y81" s="423">
        <f t="shared" si="96"/>
        <v>0</v>
      </c>
      <c r="Z81" s="423">
        <f t="shared" si="96"/>
        <v>0</v>
      </c>
      <c r="AA81" s="423">
        <f>P81</f>
        <v>0</v>
      </c>
      <c r="AB81" s="423">
        <f t="shared" si="97"/>
        <v>0</v>
      </c>
      <c r="AC81" s="423">
        <f t="shared" si="98"/>
        <v>0</v>
      </c>
      <c r="AD81" s="423">
        <f t="shared" si="98"/>
        <v>0</v>
      </c>
      <c r="AE81" s="423">
        <f>T81</f>
        <v>0</v>
      </c>
      <c r="AF81" s="423">
        <f>U81-T81</f>
        <v>0</v>
      </c>
    </row>
    <row r="82" spans="1:32" outlineLevel="1">
      <c r="A82" s="418" t="s">
        <v>720</v>
      </c>
      <c r="B82" s="418" t="s">
        <v>721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>
        <v>0</v>
      </c>
      <c r="N82" s="423">
        <v>0</v>
      </c>
      <c r="O82" s="423">
        <v>0</v>
      </c>
      <c r="P82" s="423">
        <v>0</v>
      </c>
      <c r="Q82" s="423">
        <v>0</v>
      </c>
      <c r="R82" s="423">
        <v>0</v>
      </c>
      <c r="S82" s="423">
        <v>0</v>
      </c>
      <c r="T82" s="423">
        <v>0</v>
      </c>
      <c r="U82" s="423">
        <v>0</v>
      </c>
      <c r="W82" s="423"/>
      <c r="X82" s="423">
        <f>M82-W82</f>
        <v>0</v>
      </c>
      <c r="Y82" s="423">
        <f t="shared" si="96"/>
        <v>0</v>
      </c>
      <c r="Z82" s="423">
        <f t="shared" si="96"/>
        <v>0</v>
      </c>
      <c r="AA82" s="423">
        <f>P82</f>
        <v>0</v>
      </c>
      <c r="AB82" s="423">
        <f t="shared" si="97"/>
        <v>0</v>
      </c>
      <c r="AC82" s="423">
        <f t="shared" si="98"/>
        <v>0</v>
      </c>
      <c r="AD82" s="423">
        <f t="shared" si="98"/>
        <v>0</v>
      </c>
      <c r="AE82" s="423">
        <f>T82</f>
        <v>0</v>
      </c>
      <c r="AF82" s="423">
        <f>U82-T82</f>
        <v>0</v>
      </c>
    </row>
    <row r="83" spans="1:32">
      <c r="A83" s="417"/>
      <c r="B83" s="417"/>
      <c r="D83" s="417"/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</row>
    <row r="84" spans="1:32">
      <c r="A84" s="429" t="s">
        <v>722</v>
      </c>
      <c r="B84" s="429" t="s">
        <v>722</v>
      </c>
      <c r="D84" s="420">
        <f t="shared" ref="D84:I84" si="99">D86-D76-D53-D77</f>
        <v>0</v>
      </c>
      <c r="E84" s="420">
        <f t="shared" si="99"/>
        <v>0</v>
      </c>
      <c r="F84" s="420">
        <f t="shared" si="99"/>
        <v>0</v>
      </c>
      <c r="G84" s="420">
        <f t="shared" si="99"/>
        <v>0</v>
      </c>
      <c r="H84" s="420">
        <f t="shared" si="99"/>
        <v>0</v>
      </c>
      <c r="I84" s="420">
        <f t="shared" si="99"/>
        <v>91</v>
      </c>
      <c r="J84" s="420">
        <f t="shared" ref="J84:T84" si="100">J86-J76-J53-J77</f>
        <v>863</v>
      </c>
      <c r="K84" s="420">
        <f t="shared" si="100"/>
        <v>274</v>
      </c>
      <c r="L84" s="420">
        <f t="shared" si="100"/>
        <v>660</v>
      </c>
      <c r="M84" s="420">
        <f t="shared" si="100"/>
        <v>7492</v>
      </c>
      <c r="N84" s="420">
        <f t="shared" si="100"/>
        <v>44434</v>
      </c>
      <c r="O84" s="420">
        <f t="shared" si="100"/>
        <v>28343</v>
      </c>
      <c r="P84" s="420">
        <f t="shared" si="100"/>
        <v>39752</v>
      </c>
      <c r="Q84" s="420">
        <f t="shared" si="100"/>
        <v>90508</v>
      </c>
      <c r="R84" s="420">
        <f t="shared" si="100"/>
        <v>120119</v>
      </c>
      <c r="S84" s="420">
        <f t="shared" si="100"/>
        <v>-424224</v>
      </c>
      <c r="T84" s="741">
        <f t="shared" si="100"/>
        <v>41387</v>
      </c>
      <c r="U84" s="741">
        <f>U86-U76-U53-U77</f>
        <v>83686</v>
      </c>
      <c r="W84" s="420">
        <f t="shared" ref="W84:AC84" si="101">W86-W76-W53-W77</f>
        <v>660</v>
      </c>
      <c r="X84" s="420">
        <f t="shared" si="101"/>
        <v>6832</v>
      </c>
      <c r="Y84" s="420">
        <f t="shared" si="101"/>
        <v>36942</v>
      </c>
      <c r="Z84" s="420">
        <f t="shared" si="101"/>
        <v>-16091</v>
      </c>
      <c r="AA84" s="420">
        <f t="shared" si="101"/>
        <v>39752</v>
      </c>
      <c r="AB84" s="420">
        <f t="shared" si="101"/>
        <v>50756</v>
      </c>
      <c r="AC84" s="420">
        <f t="shared" si="101"/>
        <v>29611</v>
      </c>
      <c r="AD84" s="420">
        <f t="shared" ref="AD84:AE84" si="102">AD86-AD76-AD53-AD77</f>
        <v>-544343</v>
      </c>
      <c r="AE84" s="420">
        <f t="shared" si="102"/>
        <v>41387</v>
      </c>
      <c r="AF84" s="741">
        <f>AF86-AF76-AF53-AF77</f>
        <v>63164</v>
      </c>
    </row>
    <row r="85" spans="1:32">
      <c r="A85" s="417"/>
      <c r="B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</row>
    <row r="86" spans="1:32">
      <c r="A86" s="429" t="s">
        <v>723</v>
      </c>
      <c r="B86" s="429" t="s">
        <v>724</v>
      </c>
      <c r="D86" s="420">
        <f t="shared" ref="D86:I86" si="103">D58+D60</f>
        <v>0</v>
      </c>
      <c r="E86" s="420">
        <f t="shared" si="103"/>
        <v>0</v>
      </c>
      <c r="F86" s="420">
        <f t="shared" si="103"/>
        <v>0</v>
      </c>
      <c r="G86" s="420">
        <f t="shared" si="103"/>
        <v>0</v>
      </c>
      <c r="H86" s="420">
        <f t="shared" si="103"/>
        <v>0</v>
      </c>
      <c r="I86" s="420">
        <f t="shared" si="103"/>
        <v>91</v>
      </c>
      <c r="J86" s="420">
        <f t="shared" ref="J86:T86" si="104">J58+J60</f>
        <v>859</v>
      </c>
      <c r="K86" s="420">
        <f t="shared" si="104"/>
        <v>94</v>
      </c>
      <c r="L86" s="420">
        <f t="shared" si="104"/>
        <v>653</v>
      </c>
      <c r="M86" s="420">
        <f t="shared" si="104"/>
        <v>7310</v>
      </c>
      <c r="N86" s="420">
        <f t="shared" si="104"/>
        <v>23037</v>
      </c>
      <c r="O86" s="420">
        <f t="shared" si="104"/>
        <v>-11475</v>
      </c>
      <c r="P86" s="420">
        <f t="shared" si="104"/>
        <v>20888</v>
      </c>
      <c r="Q86" s="420">
        <f t="shared" si="104"/>
        <v>51746</v>
      </c>
      <c r="R86" s="420">
        <f t="shared" si="104"/>
        <v>61970</v>
      </c>
      <c r="S86" s="420">
        <f t="shared" si="104"/>
        <v>-501760</v>
      </c>
      <c r="T86" s="741">
        <f t="shared" si="104"/>
        <v>22001</v>
      </c>
      <c r="U86" s="741">
        <f>U58+U60</f>
        <v>44916</v>
      </c>
      <c r="W86" s="420">
        <f t="shared" ref="W86:AC86" si="105">W58+W60</f>
        <v>653</v>
      </c>
      <c r="X86" s="420">
        <f t="shared" si="105"/>
        <v>6657</v>
      </c>
      <c r="Y86" s="420">
        <f t="shared" si="105"/>
        <v>15727</v>
      </c>
      <c r="Z86" s="420">
        <f t="shared" si="105"/>
        <v>-34512</v>
      </c>
      <c r="AA86" s="420">
        <f t="shared" si="105"/>
        <v>20888</v>
      </c>
      <c r="AB86" s="420">
        <f t="shared" si="105"/>
        <v>30858</v>
      </c>
      <c r="AC86" s="420">
        <f t="shared" si="105"/>
        <v>10224</v>
      </c>
      <c r="AD86" s="420">
        <f t="shared" ref="AD86:AE86" si="106">AD58+AD60</f>
        <v>-563730</v>
      </c>
      <c r="AE86" s="420">
        <f t="shared" si="106"/>
        <v>22001</v>
      </c>
      <c r="AF86" s="741">
        <f>AF58+AF60</f>
        <v>43780</v>
      </c>
    </row>
    <row r="87" spans="1:32">
      <c r="A87" s="417"/>
      <c r="B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</row>
    <row r="88" spans="1:32">
      <c r="A88" s="429" t="s">
        <v>725</v>
      </c>
      <c r="B88" s="429" t="s">
        <v>726</v>
      </c>
      <c r="D88" s="420">
        <f t="shared" ref="D88:I88" si="107">D90+D100</f>
        <v>0</v>
      </c>
      <c r="E88" s="420">
        <f t="shared" si="107"/>
        <v>0</v>
      </c>
      <c r="F88" s="420">
        <f t="shared" si="107"/>
        <v>0</v>
      </c>
      <c r="G88" s="420">
        <f t="shared" si="107"/>
        <v>0</v>
      </c>
      <c r="H88" s="420">
        <f t="shared" si="107"/>
        <v>0</v>
      </c>
      <c r="I88" s="420">
        <f t="shared" si="107"/>
        <v>8</v>
      </c>
      <c r="J88" s="420">
        <f t="shared" ref="J88:T88" si="108">J90+J100</f>
        <v>7500</v>
      </c>
      <c r="K88" s="420">
        <f t="shared" si="108"/>
        <v>-771</v>
      </c>
      <c r="L88" s="420">
        <f t="shared" si="108"/>
        <v>144</v>
      </c>
      <c r="M88" s="420">
        <f t="shared" si="108"/>
        <v>-29669</v>
      </c>
      <c r="N88" s="420">
        <f t="shared" si="108"/>
        <v>-81835</v>
      </c>
      <c r="O88" s="420">
        <f t="shared" si="108"/>
        <v>-150560</v>
      </c>
      <c r="P88" s="420">
        <f t="shared" si="108"/>
        <v>-88957</v>
      </c>
      <c r="Q88" s="420">
        <f t="shared" si="108"/>
        <v>-156021</v>
      </c>
      <c r="R88" s="420">
        <f t="shared" si="108"/>
        <v>-193036</v>
      </c>
      <c r="S88" s="420">
        <f t="shared" si="108"/>
        <v>-246575</v>
      </c>
      <c r="T88" s="741">
        <f t="shared" si="108"/>
        <v>-65111</v>
      </c>
      <c r="U88" s="741">
        <f>U90+U100</f>
        <v>-140874</v>
      </c>
      <c r="W88" s="420">
        <f t="shared" ref="W88:AC88" si="109">W90+W100</f>
        <v>144</v>
      </c>
      <c r="X88" s="420">
        <f t="shared" si="109"/>
        <v>-29813</v>
      </c>
      <c r="Y88" s="420">
        <f t="shared" si="109"/>
        <v>-52166</v>
      </c>
      <c r="Z88" s="420">
        <f t="shared" si="109"/>
        <v>-68725</v>
      </c>
      <c r="AA88" s="420">
        <f t="shared" si="109"/>
        <v>-88957</v>
      </c>
      <c r="AB88" s="420">
        <f t="shared" si="109"/>
        <v>-67064</v>
      </c>
      <c r="AC88" s="420">
        <f t="shared" si="109"/>
        <v>-37015</v>
      </c>
      <c r="AD88" s="420">
        <f t="shared" ref="AD88:AE88" si="110">AD90+AD100</f>
        <v>-53539</v>
      </c>
      <c r="AE88" s="420">
        <f t="shared" si="110"/>
        <v>-65111</v>
      </c>
      <c r="AF88" s="741">
        <f>AF90+AF100</f>
        <v>-75763</v>
      </c>
    </row>
    <row r="89" spans="1:32">
      <c r="A89" s="416"/>
      <c r="B89" s="416"/>
      <c r="D89" s="417"/>
      <c r="E89" s="417"/>
      <c r="F89" s="417"/>
      <c r="G89" s="417"/>
      <c r="H89" s="417"/>
      <c r="I89" s="417"/>
      <c r="J89" s="417"/>
      <c r="K89" s="417"/>
      <c r="L89" s="417"/>
      <c r="M89" s="417"/>
      <c r="N89" s="417"/>
      <c r="O89" s="417"/>
      <c r="P89" s="417"/>
      <c r="Q89" s="417"/>
      <c r="R89" s="417"/>
      <c r="S89" s="417"/>
      <c r="T89" s="417"/>
      <c r="U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</row>
    <row r="90" spans="1:32">
      <c r="A90" s="417" t="s">
        <v>727</v>
      </c>
      <c r="B90" s="417" t="s">
        <v>728</v>
      </c>
      <c r="D90" s="424">
        <f t="shared" ref="D90:I90" si="111">SUM(D91:D99)</f>
        <v>0</v>
      </c>
      <c r="E90" s="424">
        <f t="shared" si="111"/>
        <v>0</v>
      </c>
      <c r="F90" s="424">
        <f t="shared" si="111"/>
        <v>0</v>
      </c>
      <c r="G90" s="424">
        <f t="shared" si="111"/>
        <v>0</v>
      </c>
      <c r="H90" s="424">
        <f t="shared" si="111"/>
        <v>0</v>
      </c>
      <c r="I90" s="424">
        <f t="shared" si="111"/>
        <v>8</v>
      </c>
      <c r="J90" s="424">
        <f t="shared" ref="J90:T90" si="112">SUM(J91:J99)</f>
        <v>6477</v>
      </c>
      <c r="K90" s="424">
        <f t="shared" si="112"/>
        <v>1515</v>
      </c>
      <c r="L90" s="424">
        <f t="shared" si="112"/>
        <v>146</v>
      </c>
      <c r="M90" s="424">
        <f t="shared" si="112"/>
        <v>4195</v>
      </c>
      <c r="N90" s="424">
        <f t="shared" si="112"/>
        <v>5674</v>
      </c>
      <c r="O90" s="424">
        <f t="shared" si="112"/>
        <v>9424</v>
      </c>
      <c r="P90" s="424">
        <f t="shared" si="112"/>
        <v>27949</v>
      </c>
      <c r="Q90" s="424">
        <f t="shared" si="112"/>
        <v>9601</v>
      </c>
      <c r="R90" s="424">
        <f t="shared" si="112"/>
        <v>13586</v>
      </c>
      <c r="S90" s="424">
        <f t="shared" si="112"/>
        <v>19356</v>
      </c>
      <c r="T90" s="424">
        <f t="shared" si="112"/>
        <v>5342</v>
      </c>
      <c r="U90" s="424">
        <f>SUM(U91:U99)</f>
        <v>8595</v>
      </c>
      <c r="W90" s="424">
        <f t="shared" ref="W90:AC90" si="113">SUM(W91:W99)</f>
        <v>146</v>
      </c>
      <c r="X90" s="424">
        <f t="shared" si="113"/>
        <v>4049</v>
      </c>
      <c r="Y90" s="424">
        <f t="shared" si="113"/>
        <v>1479</v>
      </c>
      <c r="Z90" s="424">
        <f t="shared" si="113"/>
        <v>3750</v>
      </c>
      <c r="AA90" s="424">
        <f t="shared" si="113"/>
        <v>27949</v>
      </c>
      <c r="AB90" s="424">
        <f t="shared" si="113"/>
        <v>-18348</v>
      </c>
      <c r="AC90" s="424">
        <f t="shared" si="113"/>
        <v>3985</v>
      </c>
      <c r="AD90" s="424">
        <f t="shared" ref="AD90:AE90" si="114">SUM(AD91:AD99)</f>
        <v>5770</v>
      </c>
      <c r="AE90" s="424">
        <f t="shared" si="114"/>
        <v>5342</v>
      </c>
      <c r="AF90" s="424">
        <f>SUM(AF91:AF99)</f>
        <v>3253</v>
      </c>
    </row>
    <row r="91" spans="1:32" outlineLevel="1">
      <c r="A91" s="418" t="s">
        <v>729</v>
      </c>
      <c r="B91" s="418" t="s">
        <v>728</v>
      </c>
      <c r="D91" s="423"/>
      <c r="E91" s="423"/>
      <c r="F91" s="423"/>
      <c r="G91" s="423"/>
      <c r="H91" s="423"/>
      <c r="I91" s="423">
        <v>8</v>
      </c>
      <c r="J91" s="423">
        <v>6770</v>
      </c>
      <c r="K91" s="423">
        <v>0</v>
      </c>
      <c r="L91" s="423">
        <v>146</v>
      </c>
      <c r="M91" s="423">
        <v>4385</v>
      </c>
      <c r="N91" s="423">
        <v>5810</v>
      </c>
      <c r="O91" s="423">
        <v>9431</v>
      </c>
      <c r="P91" s="423">
        <v>2866</v>
      </c>
      <c r="Q91" s="423">
        <v>8113</v>
      </c>
      <c r="R91" s="423">
        <v>14566</v>
      </c>
      <c r="S91" s="423">
        <v>20500</v>
      </c>
      <c r="T91" s="423">
        <v>5475</v>
      </c>
      <c r="U91" s="423">
        <v>9030</v>
      </c>
      <c r="W91" s="423">
        <f t="shared" ref="W91:W99" si="115">L91</f>
        <v>146</v>
      </c>
      <c r="X91" s="423">
        <f t="shared" ref="X91:X99" si="116">M91-W91</f>
        <v>4239</v>
      </c>
      <c r="Y91" s="423">
        <f t="shared" ref="Y91:Y99" si="117">N91-M91</f>
        <v>1425</v>
      </c>
      <c r="Z91" s="423">
        <f t="shared" ref="Z91:Z99" si="118">O91-N91</f>
        <v>3621</v>
      </c>
      <c r="AA91" s="423">
        <f t="shared" ref="AA91:AA99" si="119">P91</f>
        <v>2866</v>
      </c>
      <c r="AB91" s="423">
        <f t="shared" ref="AB91:AB99" si="120">Q91-AA91</f>
        <v>5247</v>
      </c>
      <c r="AC91" s="423">
        <f t="shared" ref="AC91:AC99" si="121">R91-Q91</f>
        <v>6453</v>
      </c>
      <c r="AD91" s="423">
        <f t="shared" ref="AD91:AD99" si="122">S91-R91</f>
        <v>5934</v>
      </c>
      <c r="AE91" s="423">
        <f t="shared" ref="AE91:AE99" si="123">T91</f>
        <v>5475</v>
      </c>
      <c r="AF91" s="423">
        <f t="shared" ref="AF91:AF99" si="124">U91-T91</f>
        <v>3555</v>
      </c>
    </row>
    <row r="92" spans="1:32" outlineLevel="1">
      <c r="A92" s="418" t="s">
        <v>730</v>
      </c>
      <c r="B92" s="418" t="s">
        <v>731</v>
      </c>
      <c r="D92" s="423"/>
      <c r="E92" s="423"/>
      <c r="F92" s="423"/>
      <c r="G92" s="423"/>
      <c r="H92" s="423"/>
      <c r="I92" s="423">
        <v>0</v>
      </c>
      <c r="J92" s="423">
        <v>-293</v>
      </c>
      <c r="K92" s="423">
        <v>13</v>
      </c>
      <c r="L92" s="423">
        <v>0</v>
      </c>
      <c r="M92" s="423">
        <v>-202</v>
      </c>
      <c r="N92" s="423">
        <v>-241</v>
      </c>
      <c r="O92" s="423">
        <v>-350</v>
      </c>
      <c r="P92" s="423">
        <v>-77</v>
      </c>
      <c r="Q92" s="423">
        <v>-278</v>
      </c>
      <c r="R92" s="423">
        <v>-1411</v>
      </c>
      <c r="S92" s="423">
        <v>-1715</v>
      </c>
      <c r="T92" s="423">
        <v>-335</v>
      </c>
      <c r="U92" s="423">
        <v>-675</v>
      </c>
      <c r="W92" s="423">
        <f t="shared" si="115"/>
        <v>0</v>
      </c>
      <c r="X92" s="423">
        <f t="shared" si="116"/>
        <v>-202</v>
      </c>
      <c r="Y92" s="423">
        <f t="shared" si="117"/>
        <v>-39</v>
      </c>
      <c r="Z92" s="423">
        <f t="shared" si="118"/>
        <v>-109</v>
      </c>
      <c r="AA92" s="423">
        <f t="shared" si="119"/>
        <v>-77</v>
      </c>
      <c r="AB92" s="423">
        <f t="shared" si="120"/>
        <v>-201</v>
      </c>
      <c r="AC92" s="423">
        <f t="shared" si="121"/>
        <v>-1133</v>
      </c>
      <c r="AD92" s="423">
        <f t="shared" si="122"/>
        <v>-304</v>
      </c>
      <c r="AE92" s="423">
        <f t="shared" si="123"/>
        <v>-335</v>
      </c>
      <c r="AF92" s="423">
        <f t="shared" si="124"/>
        <v>-340</v>
      </c>
    </row>
    <row r="93" spans="1:32" outlineLevel="1">
      <c r="A93" s="418" t="s">
        <v>2561</v>
      </c>
      <c r="B93" s="418" t="s">
        <v>2562</v>
      </c>
      <c r="D93" s="423"/>
      <c r="E93" s="423"/>
      <c r="F93" s="423"/>
      <c r="G93" s="423"/>
      <c r="H93" s="423"/>
      <c r="I93" s="423">
        <v>0</v>
      </c>
      <c r="J93" s="423">
        <v>0</v>
      </c>
      <c r="K93" s="423">
        <v>0</v>
      </c>
      <c r="L93" s="423">
        <v>0</v>
      </c>
      <c r="M93" s="423">
        <v>0</v>
      </c>
      <c r="N93" s="423">
        <v>0</v>
      </c>
      <c r="O93" s="423">
        <v>0</v>
      </c>
      <c r="P93" s="423">
        <v>0</v>
      </c>
      <c r="Q93" s="423">
        <v>0</v>
      </c>
      <c r="R93" s="423">
        <v>0</v>
      </c>
      <c r="S93" s="423">
        <v>0</v>
      </c>
      <c r="T93" s="423">
        <v>0</v>
      </c>
      <c r="U93" s="423">
        <v>0</v>
      </c>
      <c r="W93" s="423">
        <f t="shared" si="115"/>
        <v>0</v>
      </c>
      <c r="X93" s="423">
        <f t="shared" si="116"/>
        <v>0</v>
      </c>
      <c r="Y93" s="423">
        <f t="shared" si="117"/>
        <v>0</v>
      </c>
      <c r="Z93" s="423">
        <f t="shared" si="118"/>
        <v>0</v>
      </c>
      <c r="AA93" s="423">
        <f t="shared" si="119"/>
        <v>0</v>
      </c>
      <c r="AB93" s="423">
        <f t="shared" si="120"/>
        <v>0</v>
      </c>
      <c r="AC93" s="423">
        <f t="shared" si="121"/>
        <v>0</v>
      </c>
      <c r="AD93" s="423">
        <f t="shared" si="122"/>
        <v>0</v>
      </c>
      <c r="AE93" s="423">
        <f t="shared" si="123"/>
        <v>0</v>
      </c>
      <c r="AF93" s="423">
        <f t="shared" si="124"/>
        <v>0</v>
      </c>
    </row>
    <row r="94" spans="1:32" outlineLevel="1">
      <c r="A94" s="418" t="s">
        <v>733</v>
      </c>
      <c r="B94" s="418" t="s">
        <v>734</v>
      </c>
      <c r="D94" s="423"/>
      <c r="E94" s="423"/>
      <c r="F94" s="423"/>
      <c r="G94" s="423"/>
      <c r="H94" s="423"/>
      <c r="I94" s="423">
        <v>0</v>
      </c>
      <c r="J94" s="423">
        <v>0</v>
      </c>
      <c r="K94" s="423">
        <v>0</v>
      </c>
      <c r="L94" s="423">
        <v>0</v>
      </c>
      <c r="M94" s="423">
        <v>0</v>
      </c>
      <c r="N94" s="423">
        <v>0</v>
      </c>
      <c r="O94" s="423">
        <v>0</v>
      </c>
      <c r="P94" s="423">
        <v>163</v>
      </c>
      <c r="Q94" s="423">
        <v>198</v>
      </c>
      <c r="R94" s="423">
        <v>371</v>
      </c>
      <c r="S94" s="423">
        <v>441</v>
      </c>
      <c r="T94" s="423">
        <v>180</v>
      </c>
      <c r="U94" s="423">
        <v>0</v>
      </c>
      <c r="W94" s="423">
        <f t="shared" si="115"/>
        <v>0</v>
      </c>
      <c r="X94" s="423">
        <f t="shared" si="116"/>
        <v>0</v>
      </c>
      <c r="Y94" s="423">
        <f t="shared" si="117"/>
        <v>0</v>
      </c>
      <c r="Z94" s="423">
        <f t="shared" si="118"/>
        <v>0</v>
      </c>
      <c r="AA94" s="423">
        <f t="shared" si="119"/>
        <v>163</v>
      </c>
      <c r="AB94" s="423">
        <f t="shared" si="120"/>
        <v>35</v>
      </c>
      <c r="AC94" s="423">
        <f t="shared" si="121"/>
        <v>173</v>
      </c>
      <c r="AD94" s="423">
        <f t="shared" si="122"/>
        <v>70</v>
      </c>
      <c r="AE94" s="423">
        <f t="shared" si="123"/>
        <v>180</v>
      </c>
      <c r="AF94" s="423">
        <f t="shared" si="124"/>
        <v>-180</v>
      </c>
    </row>
    <row r="95" spans="1:32" outlineLevel="1">
      <c r="A95" s="418" t="s">
        <v>735</v>
      </c>
      <c r="B95" s="418" t="s">
        <v>736</v>
      </c>
      <c r="D95" s="423"/>
      <c r="E95" s="423"/>
      <c r="F95" s="423"/>
      <c r="G95" s="423"/>
      <c r="H95" s="423"/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>
        <v>0</v>
      </c>
      <c r="T95" s="423">
        <v>0</v>
      </c>
      <c r="U95" s="423">
        <v>0</v>
      </c>
      <c r="W95" s="423">
        <f t="shared" si="115"/>
        <v>0</v>
      </c>
      <c r="X95" s="423">
        <f t="shared" si="116"/>
        <v>0</v>
      </c>
      <c r="Y95" s="423">
        <f t="shared" si="117"/>
        <v>0</v>
      </c>
      <c r="Z95" s="423">
        <f t="shared" si="118"/>
        <v>0</v>
      </c>
      <c r="AA95" s="423">
        <f t="shared" si="119"/>
        <v>0</v>
      </c>
      <c r="AB95" s="423">
        <f t="shared" si="120"/>
        <v>0</v>
      </c>
      <c r="AC95" s="423">
        <f t="shared" si="121"/>
        <v>0</v>
      </c>
      <c r="AD95" s="423">
        <f t="shared" si="122"/>
        <v>0</v>
      </c>
      <c r="AE95" s="423">
        <f t="shared" si="123"/>
        <v>0</v>
      </c>
      <c r="AF95" s="423">
        <f t="shared" si="124"/>
        <v>0</v>
      </c>
    </row>
    <row r="96" spans="1:32" outlineLevel="1">
      <c r="A96" s="418" t="s">
        <v>737</v>
      </c>
      <c r="B96" s="418" t="s">
        <v>738</v>
      </c>
      <c r="D96" s="423"/>
      <c r="E96" s="423"/>
      <c r="F96" s="423"/>
      <c r="G96" s="423"/>
      <c r="H96" s="423"/>
      <c r="I96" s="423">
        <v>0</v>
      </c>
      <c r="J96" s="423">
        <v>0</v>
      </c>
      <c r="K96" s="423">
        <v>0</v>
      </c>
      <c r="L96" s="423">
        <v>0</v>
      </c>
      <c r="M96" s="423">
        <v>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>
        <v>0</v>
      </c>
      <c r="T96" s="423">
        <v>0</v>
      </c>
      <c r="U96" s="423">
        <v>0</v>
      </c>
      <c r="W96" s="423">
        <f t="shared" si="115"/>
        <v>0</v>
      </c>
      <c r="X96" s="423">
        <f t="shared" si="116"/>
        <v>0</v>
      </c>
      <c r="Y96" s="423">
        <f t="shared" si="117"/>
        <v>0</v>
      </c>
      <c r="Z96" s="423">
        <f t="shared" si="118"/>
        <v>0</v>
      </c>
      <c r="AA96" s="423">
        <f t="shared" si="119"/>
        <v>0</v>
      </c>
      <c r="AB96" s="423">
        <f t="shared" si="120"/>
        <v>0</v>
      </c>
      <c r="AC96" s="423">
        <f t="shared" si="121"/>
        <v>0</v>
      </c>
      <c r="AD96" s="423">
        <f t="shared" si="122"/>
        <v>0</v>
      </c>
      <c r="AE96" s="423">
        <f t="shared" si="123"/>
        <v>0</v>
      </c>
      <c r="AF96" s="423">
        <f t="shared" si="124"/>
        <v>0</v>
      </c>
    </row>
    <row r="97" spans="1:32" outlineLevel="1">
      <c r="A97" s="418" t="s">
        <v>739</v>
      </c>
      <c r="B97" s="418" t="s">
        <v>740</v>
      </c>
      <c r="D97" s="423"/>
      <c r="E97" s="423"/>
      <c r="F97" s="423"/>
      <c r="G97" s="423"/>
      <c r="H97" s="423"/>
      <c r="I97" s="423">
        <v>0</v>
      </c>
      <c r="J97" s="423"/>
      <c r="K97" s="423">
        <v>1502</v>
      </c>
      <c r="L97" s="423">
        <v>0</v>
      </c>
      <c r="M97" s="423">
        <v>12</v>
      </c>
      <c r="N97" s="423">
        <v>105</v>
      </c>
      <c r="O97" s="423">
        <v>343</v>
      </c>
      <c r="P97" s="423">
        <v>355</v>
      </c>
      <c r="Q97" s="423">
        <v>1568</v>
      </c>
      <c r="R97" s="423">
        <v>60</v>
      </c>
      <c r="S97" s="423">
        <v>130</v>
      </c>
      <c r="T97" s="423">
        <v>22</v>
      </c>
      <c r="U97" s="423">
        <v>240</v>
      </c>
      <c r="W97" s="423">
        <f t="shared" si="115"/>
        <v>0</v>
      </c>
      <c r="X97" s="423">
        <f t="shared" si="116"/>
        <v>12</v>
      </c>
      <c r="Y97" s="423">
        <f t="shared" si="117"/>
        <v>93</v>
      </c>
      <c r="Z97" s="423">
        <f t="shared" si="118"/>
        <v>238</v>
      </c>
      <c r="AA97" s="423">
        <f t="shared" si="119"/>
        <v>355</v>
      </c>
      <c r="AB97" s="423">
        <f t="shared" si="120"/>
        <v>1213</v>
      </c>
      <c r="AC97" s="423">
        <f t="shared" si="121"/>
        <v>-1508</v>
      </c>
      <c r="AD97" s="423">
        <f t="shared" si="122"/>
        <v>70</v>
      </c>
      <c r="AE97" s="423">
        <f t="shared" si="123"/>
        <v>22</v>
      </c>
      <c r="AF97" s="423">
        <f t="shared" si="124"/>
        <v>218</v>
      </c>
    </row>
    <row r="98" spans="1:32" outlineLevel="1">
      <c r="A98" s="418" t="s">
        <v>741</v>
      </c>
      <c r="B98" s="418" t="s">
        <v>2536</v>
      </c>
      <c r="D98" s="423"/>
      <c r="E98" s="423"/>
      <c r="F98" s="423"/>
      <c r="G98" s="423"/>
      <c r="H98" s="423"/>
      <c r="I98" s="423"/>
      <c r="J98" s="423"/>
      <c r="K98" s="423"/>
      <c r="L98" s="423"/>
      <c r="M98" s="423"/>
      <c r="N98" s="423"/>
      <c r="O98" s="423"/>
      <c r="P98" s="423"/>
      <c r="Q98" s="423">
        <v>0</v>
      </c>
      <c r="R98" s="423">
        <v>0</v>
      </c>
      <c r="S98" s="423">
        <v>0</v>
      </c>
      <c r="T98" s="423">
        <v>0</v>
      </c>
      <c r="U98" s="423">
        <v>0</v>
      </c>
      <c r="W98" s="423">
        <f>L98</f>
        <v>0</v>
      </c>
      <c r="X98" s="423">
        <f>M98-W98</f>
        <v>0</v>
      </c>
      <c r="Y98" s="423">
        <f t="shared" si="117"/>
        <v>0</v>
      </c>
      <c r="Z98" s="423">
        <f t="shared" si="118"/>
        <v>0</v>
      </c>
      <c r="AA98" s="423">
        <f>P98</f>
        <v>0</v>
      </c>
      <c r="AB98" s="423">
        <f>Q98-AA98</f>
        <v>0</v>
      </c>
      <c r="AC98" s="423">
        <f t="shared" si="121"/>
        <v>0</v>
      </c>
      <c r="AD98" s="423">
        <f t="shared" si="122"/>
        <v>0</v>
      </c>
      <c r="AE98" s="423">
        <f>T98</f>
        <v>0</v>
      </c>
      <c r="AF98" s="423">
        <f t="shared" si="124"/>
        <v>0</v>
      </c>
    </row>
    <row r="99" spans="1:32" outlineLevel="1">
      <c r="A99" s="418" t="s">
        <v>742</v>
      </c>
      <c r="B99" s="418" t="s">
        <v>743</v>
      </c>
      <c r="D99" s="423"/>
      <c r="E99" s="423"/>
      <c r="F99" s="423"/>
      <c r="G99" s="423"/>
      <c r="H99" s="423"/>
      <c r="I99" s="423">
        <v>0</v>
      </c>
      <c r="J99" s="423">
        <v>0</v>
      </c>
      <c r="K99" s="423">
        <v>0</v>
      </c>
      <c r="L99" s="423">
        <v>0</v>
      </c>
      <c r="M99" s="423">
        <v>0</v>
      </c>
      <c r="N99" s="423">
        <v>0</v>
      </c>
      <c r="O99" s="423">
        <v>0</v>
      </c>
      <c r="P99" s="423">
        <v>24642</v>
      </c>
      <c r="Q99" s="423">
        <v>0</v>
      </c>
      <c r="R99" s="423">
        <v>0</v>
      </c>
      <c r="S99" s="423">
        <v>0</v>
      </c>
      <c r="T99" s="423">
        <v>0</v>
      </c>
      <c r="U99" s="423">
        <v>0</v>
      </c>
      <c r="W99" s="423">
        <f t="shared" si="115"/>
        <v>0</v>
      </c>
      <c r="X99" s="423">
        <f t="shared" si="116"/>
        <v>0</v>
      </c>
      <c r="Y99" s="423">
        <f t="shared" si="117"/>
        <v>0</v>
      </c>
      <c r="Z99" s="423">
        <f t="shared" si="118"/>
        <v>0</v>
      </c>
      <c r="AA99" s="423">
        <f t="shared" si="119"/>
        <v>24642</v>
      </c>
      <c r="AB99" s="423">
        <f t="shared" si="120"/>
        <v>-24642</v>
      </c>
      <c r="AC99" s="423">
        <f t="shared" si="121"/>
        <v>0</v>
      </c>
      <c r="AD99" s="423">
        <f t="shared" si="122"/>
        <v>0</v>
      </c>
      <c r="AE99" s="423">
        <f t="shared" si="123"/>
        <v>0</v>
      </c>
      <c r="AF99" s="423">
        <f t="shared" si="124"/>
        <v>0</v>
      </c>
    </row>
    <row r="100" spans="1:32">
      <c r="A100" s="417" t="s">
        <v>744</v>
      </c>
      <c r="B100" s="417" t="s">
        <v>745</v>
      </c>
      <c r="D100" s="422">
        <f t="shared" ref="D100:I100" si="125">SUM(D101:D110)</f>
        <v>0</v>
      </c>
      <c r="E100" s="422">
        <f t="shared" si="125"/>
        <v>0</v>
      </c>
      <c r="F100" s="422">
        <f t="shared" si="125"/>
        <v>0</v>
      </c>
      <c r="G100" s="422">
        <f t="shared" si="125"/>
        <v>0</v>
      </c>
      <c r="H100" s="422">
        <f t="shared" si="125"/>
        <v>0</v>
      </c>
      <c r="I100" s="422">
        <f t="shared" si="125"/>
        <v>0</v>
      </c>
      <c r="J100" s="422">
        <f t="shared" ref="J100:T100" si="126">SUM(J101:J110)</f>
        <v>1023</v>
      </c>
      <c r="K100" s="422">
        <f t="shared" si="126"/>
        <v>-2286</v>
      </c>
      <c r="L100" s="422">
        <f t="shared" si="126"/>
        <v>-2</v>
      </c>
      <c r="M100" s="422">
        <f t="shared" si="126"/>
        <v>-33864</v>
      </c>
      <c r="N100" s="422">
        <f t="shared" si="126"/>
        <v>-87509</v>
      </c>
      <c r="O100" s="422">
        <f t="shared" si="126"/>
        <v>-159984</v>
      </c>
      <c r="P100" s="422">
        <f t="shared" si="126"/>
        <v>-116906</v>
      </c>
      <c r="Q100" s="422">
        <f t="shared" si="126"/>
        <v>-165622</v>
      </c>
      <c r="R100" s="422">
        <f t="shared" si="126"/>
        <v>-206622</v>
      </c>
      <c r="S100" s="422">
        <f t="shared" si="126"/>
        <v>-265931</v>
      </c>
      <c r="T100" s="422">
        <f t="shared" si="126"/>
        <v>-70453</v>
      </c>
      <c r="U100" s="422">
        <f>SUM(U101:U110)</f>
        <v>-149469</v>
      </c>
      <c r="W100" s="422">
        <f t="shared" ref="W100:AC100" si="127">SUM(W101:W110)</f>
        <v>-2</v>
      </c>
      <c r="X100" s="422">
        <f t="shared" si="127"/>
        <v>-33862</v>
      </c>
      <c r="Y100" s="422">
        <f t="shared" si="127"/>
        <v>-53645</v>
      </c>
      <c r="Z100" s="422">
        <f t="shared" si="127"/>
        <v>-72475</v>
      </c>
      <c r="AA100" s="422">
        <f t="shared" si="127"/>
        <v>-116906</v>
      </c>
      <c r="AB100" s="422">
        <f t="shared" si="127"/>
        <v>-48716</v>
      </c>
      <c r="AC100" s="422">
        <f t="shared" si="127"/>
        <v>-41000</v>
      </c>
      <c r="AD100" s="422">
        <f t="shared" ref="AD100:AE100" si="128">SUM(AD101:AD110)</f>
        <v>-59309</v>
      </c>
      <c r="AE100" s="422">
        <f t="shared" si="128"/>
        <v>-70453</v>
      </c>
      <c r="AF100" s="422">
        <f>SUM(AF101:AF110)</f>
        <v>-79016</v>
      </c>
    </row>
    <row r="101" spans="1:32" outlineLevel="1">
      <c r="A101" s="418" t="s">
        <v>746</v>
      </c>
      <c r="B101" s="418" t="s">
        <v>747</v>
      </c>
      <c r="D101" s="423"/>
      <c r="E101" s="423"/>
      <c r="F101" s="423"/>
      <c r="G101" s="423"/>
      <c r="H101" s="423"/>
      <c r="I101" s="423">
        <v>0</v>
      </c>
      <c r="J101" s="423">
        <v>1049</v>
      </c>
      <c r="K101" s="423">
        <v>0</v>
      </c>
      <c r="L101" s="423">
        <v>0</v>
      </c>
      <c r="M101" s="423">
        <v>-31893</v>
      </c>
      <c r="N101" s="423">
        <v>-82186</v>
      </c>
      <c r="O101" s="423">
        <v>-153487</v>
      </c>
      <c r="P101" s="423">
        <v>-44020</v>
      </c>
      <c r="Q101" s="423">
        <v>-87310</v>
      </c>
      <c r="R101" s="423">
        <v>-152267</v>
      </c>
      <c r="S101" s="423">
        <v>-178337</v>
      </c>
      <c r="T101" s="423">
        <v>-42134</v>
      </c>
      <c r="U101" s="423">
        <v>-85136</v>
      </c>
      <c r="W101" s="423">
        <f t="shared" ref="W101:W110" si="129">L101</f>
        <v>0</v>
      </c>
      <c r="X101" s="423">
        <f t="shared" ref="X101:X110" si="130">M101-W101</f>
        <v>-31893</v>
      </c>
      <c r="Y101" s="423">
        <f t="shared" ref="Y101:Y110" si="131">N101-M101</f>
        <v>-50293</v>
      </c>
      <c r="Z101" s="423">
        <f t="shared" ref="Z101:Z110" si="132">O101-N101</f>
        <v>-71301</v>
      </c>
      <c r="AA101" s="423">
        <f t="shared" ref="AA101:AA110" si="133">P101</f>
        <v>-44020</v>
      </c>
      <c r="AB101" s="423">
        <f t="shared" ref="AB101:AB110" si="134">Q101-AA101</f>
        <v>-43290</v>
      </c>
      <c r="AC101" s="423">
        <f t="shared" ref="AC101:AC110" si="135">R101-Q101</f>
        <v>-64957</v>
      </c>
      <c r="AD101" s="423">
        <f t="shared" ref="AD101:AD110" si="136">S101-R101</f>
        <v>-26070</v>
      </c>
      <c r="AE101" s="423">
        <f t="shared" ref="AE101:AE110" si="137">T101</f>
        <v>-42134</v>
      </c>
      <c r="AF101" s="423">
        <f t="shared" ref="AF101:AF110" si="138">U101-T101</f>
        <v>-43002</v>
      </c>
    </row>
    <row r="102" spans="1:32" outlineLevel="1">
      <c r="A102" s="418" t="s">
        <v>748</v>
      </c>
      <c r="B102" s="418" t="s">
        <v>749</v>
      </c>
      <c r="D102" s="423"/>
      <c r="E102" s="423"/>
      <c r="F102" s="423"/>
      <c r="G102" s="423"/>
      <c r="H102" s="423"/>
      <c r="I102" s="423">
        <v>0</v>
      </c>
      <c r="J102" s="423">
        <v>0</v>
      </c>
      <c r="K102" s="423">
        <v>0</v>
      </c>
      <c r="L102" s="423">
        <v>0</v>
      </c>
      <c r="M102" s="423">
        <v>0</v>
      </c>
      <c r="N102" s="423">
        <v>0</v>
      </c>
      <c r="O102" s="423">
        <v>0</v>
      </c>
      <c r="P102" s="423">
        <v>0</v>
      </c>
      <c r="Q102" s="423">
        <v>0</v>
      </c>
      <c r="R102" s="423">
        <v>0</v>
      </c>
      <c r="S102" s="423">
        <v>0</v>
      </c>
      <c r="T102" s="423">
        <v>0</v>
      </c>
      <c r="U102" s="423">
        <v>0</v>
      </c>
      <c r="W102" s="423">
        <f t="shared" si="129"/>
        <v>0</v>
      </c>
      <c r="X102" s="423">
        <f t="shared" si="130"/>
        <v>0</v>
      </c>
      <c r="Y102" s="423">
        <f t="shared" si="131"/>
        <v>0</v>
      </c>
      <c r="Z102" s="423">
        <f t="shared" si="132"/>
        <v>0</v>
      </c>
      <c r="AA102" s="423">
        <f t="shared" si="133"/>
        <v>0</v>
      </c>
      <c r="AB102" s="423">
        <f t="shared" si="134"/>
        <v>0</v>
      </c>
      <c r="AC102" s="423">
        <f t="shared" si="135"/>
        <v>0</v>
      </c>
      <c r="AD102" s="423">
        <f t="shared" si="136"/>
        <v>0</v>
      </c>
      <c r="AE102" s="423">
        <f t="shared" si="137"/>
        <v>0</v>
      </c>
      <c r="AF102" s="423">
        <f t="shared" si="138"/>
        <v>0</v>
      </c>
    </row>
    <row r="103" spans="1:32" outlineLevel="1">
      <c r="A103" s="418" t="s">
        <v>750</v>
      </c>
      <c r="B103" s="418" t="s">
        <v>751</v>
      </c>
      <c r="D103" s="423"/>
      <c r="E103" s="423"/>
      <c r="F103" s="423"/>
      <c r="G103" s="423"/>
      <c r="H103" s="423"/>
      <c r="I103" s="423">
        <v>0</v>
      </c>
      <c r="J103" s="423">
        <v>0</v>
      </c>
      <c r="K103" s="423">
        <v>0</v>
      </c>
      <c r="L103" s="423">
        <v>0</v>
      </c>
      <c r="M103" s="423">
        <v>0</v>
      </c>
      <c r="N103" s="423">
        <v>-1449</v>
      </c>
      <c r="O103" s="423">
        <v>0</v>
      </c>
      <c r="P103" s="423">
        <v>-32532</v>
      </c>
      <c r="Q103" s="423">
        <v>-59047</v>
      </c>
      <c r="R103" s="423">
        <v>-42205</v>
      </c>
      <c r="S103" s="423">
        <v>-78671</v>
      </c>
      <c r="T103" s="423">
        <v>-23795</v>
      </c>
      <c r="U103" s="423">
        <v>-59257</v>
      </c>
      <c r="W103" s="423">
        <f t="shared" si="129"/>
        <v>0</v>
      </c>
      <c r="X103" s="423">
        <f t="shared" si="130"/>
        <v>0</v>
      </c>
      <c r="Y103" s="423">
        <f t="shared" si="131"/>
        <v>-1449</v>
      </c>
      <c r="Z103" s="423">
        <f t="shared" si="132"/>
        <v>1449</v>
      </c>
      <c r="AA103" s="423">
        <f t="shared" si="133"/>
        <v>-32532</v>
      </c>
      <c r="AB103" s="423">
        <f t="shared" si="134"/>
        <v>-26515</v>
      </c>
      <c r="AC103" s="423">
        <f t="shared" si="135"/>
        <v>16842</v>
      </c>
      <c r="AD103" s="423">
        <f t="shared" si="136"/>
        <v>-36466</v>
      </c>
      <c r="AE103" s="423">
        <f t="shared" si="137"/>
        <v>-23795</v>
      </c>
      <c r="AF103" s="423">
        <f t="shared" si="138"/>
        <v>-35462</v>
      </c>
    </row>
    <row r="104" spans="1:32" outlineLevel="1">
      <c r="A104" s="418" t="s">
        <v>741</v>
      </c>
      <c r="B104" s="418" t="s">
        <v>2536</v>
      </c>
      <c r="D104" s="423"/>
      <c r="E104" s="423"/>
      <c r="F104" s="423"/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>
        <v>0</v>
      </c>
      <c r="R104" s="423">
        <v>0</v>
      </c>
      <c r="S104" s="423">
        <v>0</v>
      </c>
      <c r="T104" s="423">
        <v>0</v>
      </c>
      <c r="U104" s="423">
        <v>0</v>
      </c>
      <c r="W104" s="423">
        <f>L104</f>
        <v>0</v>
      </c>
      <c r="X104" s="423">
        <f>M104-W104</f>
        <v>0</v>
      </c>
      <c r="Y104" s="423">
        <f t="shared" si="131"/>
        <v>0</v>
      </c>
      <c r="Z104" s="423">
        <f t="shared" si="132"/>
        <v>0</v>
      </c>
      <c r="AA104" s="423">
        <f>P104</f>
        <v>0</v>
      </c>
      <c r="AB104" s="423">
        <f>Q104-AA104</f>
        <v>0</v>
      </c>
      <c r="AC104" s="423">
        <f t="shared" si="135"/>
        <v>0</v>
      </c>
      <c r="AD104" s="423">
        <f t="shared" si="136"/>
        <v>0</v>
      </c>
      <c r="AE104" s="423">
        <f>T104</f>
        <v>0</v>
      </c>
      <c r="AF104" s="423">
        <f t="shared" si="138"/>
        <v>0</v>
      </c>
    </row>
    <row r="105" spans="1:32" outlineLevel="1">
      <c r="A105" s="418" t="s">
        <v>752</v>
      </c>
      <c r="B105" s="418" t="s">
        <v>753</v>
      </c>
      <c r="D105" s="423"/>
      <c r="E105" s="423"/>
      <c r="F105" s="423"/>
      <c r="G105" s="423"/>
      <c r="H105" s="423"/>
      <c r="I105" s="423">
        <v>0</v>
      </c>
      <c r="J105" s="423">
        <v>0</v>
      </c>
      <c r="K105" s="423">
        <v>0</v>
      </c>
      <c r="L105" s="423">
        <v>0</v>
      </c>
      <c r="M105" s="423">
        <v>0</v>
      </c>
      <c r="N105" s="423">
        <v>0</v>
      </c>
      <c r="O105" s="423">
        <v>0</v>
      </c>
      <c r="P105" s="423">
        <v>0</v>
      </c>
      <c r="Q105" s="423">
        <v>0</v>
      </c>
      <c r="R105" s="423">
        <v>0</v>
      </c>
      <c r="S105" s="423">
        <v>0</v>
      </c>
      <c r="T105" s="423">
        <v>0</v>
      </c>
      <c r="U105" s="423">
        <v>0</v>
      </c>
      <c r="W105" s="423">
        <f>L105</f>
        <v>0</v>
      </c>
      <c r="X105" s="423">
        <f>M105-W105</f>
        <v>0</v>
      </c>
      <c r="Y105" s="423">
        <f t="shared" si="131"/>
        <v>0</v>
      </c>
      <c r="Z105" s="423">
        <f t="shared" si="132"/>
        <v>0</v>
      </c>
      <c r="AA105" s="423">
        <f>P105</f>
        <v>0</v>
      </c>
      <c r="AB105" s="423">
        <f>Q105-AA105</f>
        <v>0</v>
      </c>
      <c r="AC105" s="423">
        <f t="shared" si="135"/>
        <v>0</v>
      </c>
      <c r="AD105" s="423">
        <f t="shared" si="136"/>
        <v>0</v>
      </c>
      <c r="AE105" s="423">
        <f>T105</f>
        <v>0</v>
      </c>
      <c r="AF105" s="423">
        <f t="shared" si="138"/>
        <v>0</v>
      </c>
    </row>
    <row r="106" spans="1:32" outlineLevel="1">
      <c r="A106" s="418" t="s">
        <v>754</v>
      </c>
      <c r="B106" s="418" t="s">
        <v>755</v>
      </c>
      <c r="D106" s="423"/>
      <c r="E106" s="423"/>
      <c r="F106" s="423"/>
      <c r="G106" s="423"/>
      <c r="H106" s="423"/>
      <c r="I106" s="423">
        <v>0</v>
      </c>
      <c r="J106" s="423">
        <v>0</v>
      </c>
      <c r="K106" s="423">
        <v>0</v>
      </c>
      <c r="L106" s="423">
        <v>0</v>
      </c>
      <c r="M106" s="423">
        <v>0</v>
      </c>
      <c r="N106" s="423">
        <v>0</v>
      </c>
      <c r="O106" s="423">
        <v>0</v>
      </c>
      <c r="P106" s="423">
        <v>0</v>
      </c>
      <c r="Q106" s="423">
        <v>0</v>
      </c>
      <c r="R106" s="423">
        <v>0</v>
      </c>
      <c r="S106" s="423">
        <v>0</v>
      </c>
      <c r="T106" s="423">
        <v>0</v>
      </c>
      <c r="U106" s="423">
        <v>0</v>
      </c>
      <c r="W106" s="423">
        <f>L106</f>
        <v>0</v>
      </c>
      <c r="X106" s="423">
        <f>M106-W106</f>
        <v>0</v>
      </c>
      <c r="Y106" s="423">
        <f t="shared" si="131"/>
        <v>0</v>
      </c>
      <c r="Z106" s="423">
        <f t="shared" si="132"/>
        <v>0</v>
      </c>
      <c r="AA106" s="423">
        <f>P106</f>
        <v>0</v>
      </c>
      <c r="AB106" s="423">
        <f>Q106-AA106</f>
        <v>0</v>
      </c>
      <c r="AC106" s="423">
        <f t="shared" si="135"/>
        <v>0</v>
      </c>
      <c r="AD106" s="423">
        <f t="shared" si="136"/>
        <v>0</v>
      </c>
      <c r="AE106" s="423">
        <f>T106</f>
        <v>0</v>
      </c>
      <c r="AF106" s="423">
        <f t="shared" si="138"/>
        <v>0</v>
      </c>
    </row>
    <row r="107" spans="1:32" outlineLevel="1">
      <c r="A107" s="418" t="s">
        <v>756</v>
      </c>
      <c r="B107" s="418" t="s">
        <v>757</v>
      </c>
      <c r="D107" s="423"/>
      <c r="E107" s="423"/>
      <c r="F107" s="423"/>
      <c r="G107" s="423"/>
      <c r="H107" s="423"/>
      <c r="I107" s="423">
        <v>0</v>
      </c>
      <c r="J107" s="423">
        <v>0</v>
      </c>
      <c r="K107" s="423">
        <v>0</v>
      </c>
      <c r="L107" s="423">
        <v>-2</v>
      </c>
      <c r="M107" s="423">
        <v>0</v>
      </c>
      <c r="N107" s="423">
        <v>0</v>
      </c>
      <c r="O107" s="423">
        <v>0</v>
      </c>
      <c r="P107" s="423">
        <v>0</v>
      </c>
      <c r="Q107" s="423">
        <v>0</v>
      </c>
      <c r="R107" s="423">
        <v>0</v>
      </c>
      <c r="S107" s="423">
        <v>0</v>
      </c>
      <c r="T107" s="423">
        <v>0</v>
      </c>
      <c r="U107" s="423">
        <v>0</v>
      </c>
      <c r="W107" s="423">
        <f t="shared" si="129"/>
        <v>-2</v>
      </c>
      <c r="X107" s="423">
        <f t="shared" si="130"/>
        <v>2</v>
      </c>
      <c r="Y107" s="423">
        <f t="shared" si="131"/>
        <v>0</v>
      </c>
      <c r="Z107" s="423">
        <f t="shared" si="132"/>
        <v>0</v>
      </c>
      <c r="AA107" s="423">
        <f t="shared" si="133"/>
        <v>0</v>
      </c>
      <c r="AB107" s="423">
        <f t="shared" si="134"/>
        <v>0</v>
      </c>
      <c r="AC107" s="423">
        <f t="shared" si="135"/>
        <v>0</v>
      </c>
      <c r="AD107" s="423">
        <f t="shared" si="136"/>
        <v>0</v>
      </c>
      <c r="AE107" s="423">
        <f t="shared" si="137"/>
        <v>0</v>
      </c>
      <c r="AF107" s="423">
        <f t="shared" si="138"/>
        <v>0</v>
      </c>
    </row>
    <row r="108" spans="1:32" outlineLevel="1">
      <c r="A108" s="418" t="s">
        <v>758</v>
      </c>
      <c r="B108" s="418" t="s">
        <v>759</v>
      </c>
      <c r="D108" s="423"/>
      <c r="E108" s="423"/>
      <c r="F108" s="423"/>
      <c r="G108" s="423"/>
      <c r="H108" s="423"/>
      <c r="I108" s="423">
        <v>0</v>
      </c>
      <c r="J108" s="423">
        <v>0</v>
      </c>
      <c r="K108" s="423">
        <v>0</v>
      </c>
      <c r="L108" s="423">
        <v>0</v>
      </c>
      <c r="M108" s="423">
        <v>0</v>
      </c>
      <c r="N108" s="423">
        <v>0</v>
      </c>
      <c r="O108" s="423">
        <v>0</v>
      </c>
      <c r="P108" s="423">
        <v>0</v>
      </c>
      <c r="Q108" s="423">
        <v>0</v>
      </c>
      <c r="R108" s="423">
        <v>0</v>
      </c>
      <c r="S108" s="423">
        <v>0</v>
      </c>
      <c r="T108" s="423">
        <v>0</v>
      </c>
      <c r="U108" s="423">
        <v>0</v>
      </c>
      <c r="W108" s="423">
        <f t="shared" si="129"/>
        <v>0</v>
      </c>
      <c r="X108" s="423">
        <f t="shared" si="130"/>
        <v>0</v>
      </c>
      <c r="Y108" s="423">
        <f t="shared" si="131"/>
        <v>0</v>
      </c>
      <c r="Z108" s="423">
        <f t="shared" si="132"/>
        <v>0</v>
      </c>
      <c r="AA108" s="423">
        <f t="shared" si="133"/>
        <v>0</v>
      </c>
      <c r="AB108" s="423">
        <f t="shared" si="134"/>
        <v>0</v>
      </c>
      <c r="AC108" s="423">
        <f t="shared" si="135"/>
        <v>0</v>
      </c>
      <c r="AD108" s="423">
        <f t="shared" si="136"/>
        <v>0</v>
      </c>
      <c r="AE108" s="423">
        <f t="shared" si="137"/>
        <v>0</v>
      </c>
      <c r="AF108" s="423">
        <f t="shared" si="138"/>
        <v>0</v>
      </c>
    </row>
    <row r="109" spans="1:32" outlineLevel="1">
      <c r="A109" s="418" t="s">
        <v>760</v>
      </c>
      <c r="B109" s="418" t="s">
        <v>761</v>
      </c>
      <c r="D109" s="423"/>
      <c r="E109" s="423"/>
      <c r="F109" s="423"/>
      <c r="G109" s="423"/>
      <c r="H109" s="423"/>
      <c r="I109" s="423">
        <v>0</v>
      </c>
      <c r="J109" s="423">
        <v>0</v>
      </c>
      <c r="K109" s="423">
        <v>0</v>
      </c>
      <c r="L109" s="423">
        <v>0</v>
      </c>
      <c r="M109" s="423">
        <v>0</v>
      </c>
      <c r="N109" s="423">
        <v>0</v>
      </c>
      <c r="O109" s="423">
        <v>0</v>
      </c>
      <c r="P109" s="423">
        <v>0</v>
      </c>
      <c r="Q109" s="423">
        <v>0</v>
      </c>
      <c r="R109" s="423">
        <v>0</v>
      </c>
      <c r="S109" s="423">
        <v>0</v>
      </c>
      <c r="T109" s="423">
        <v>0</v>
      </c>
      <c r="U109" s="423">
        <v>0</v>
      </c>
      <c r="W109" s="423">
        <f t="shared" si="129"/>
        <v>0</v>
      </c>
      <c r="X109" s="423">
        <f t="shared" si="130"/>
        <v>0</v>
      </c>
      <c r="Y109" s="423">
        <f t="shared" si="131"/>
        <v>0</v>
      </c>
      <c r="Z109" s="423">
        <f t="shared" si="132"/>
        <v>0</v>
      </c>
      <c r="AA109" s="423">
        <f t="shared" si="133"/>
        <v>0</v>
      </c>
      <c r="AB109" s="423">
        <f t="shared" si="134"/>
        <v>0</v>
      </c>
      <c r="AC109" s="423">
        <f t="shared" si="135"/>
        <v>0</v>
      </c>
      <c r="AD109" s="423">
        <f t="shared" si="136"/>
        <v>0</v>
      </c>
      <c r="AE109" s="423">
        <f t="shared" si="137"/>
        <v>0</v>
      </c>
      <c r="AF109" s="423">
        <f t="shared" si="138"/>
        <v>0</v>
      </c>
    </row>
    <row r="110" spans="1:32" outlineLevel="1">
      <c r="A110" s="418" t="s">
        <v>762</v>
      </c>
      <c r="B110" s="418" t="s">
        <v>763</v>
      </c>
      <c r="D110" s="423"/>
      <c r="E110" s="423"/>
      <c r="F110" s="423"/>
      <c r="G110" s="423"/>
      <c r="H110" s="423"/>
      <c r="I110" s="423">
        <v>0</v>
      </c>
      <c r="J110" s="423">
        <v>-26</v>
      </c>
      <c r="K110" s="423">
        <v>-2286</v>
      </c>
      <c r="L110" s="423">
        <v>0</v>
      </c>
      <c r="M110" s="423">
        <v>-1971</v>
      </c>
      <c r="N110" s="423">
        <v>-3874</v>
      </c>
      <c r="O110" s="423">
        <v>-6497</v>
      </c>
      <c r="P110" s="423">
        <v>-40354</v>
      </c>
      <c r="Q110" s="423">
        <v>-19265</v>
      </c>
      <c r="R110" s="423">
        <v>-12150</v>
      </c>
      <c r="S110" s="423">
        <v>-8923</v>
      </c>
      <c r="T110" s="423">
        <v>-4524</v>
      </c>
      <c r="U110" s="423">
        <v>-5076</v>
      </c>
      <c r="W110" s="423">
        <f t="shared" si="129"/>
        <v>0</v>
      </c>
      <c r="X110" s="423">
        <f t="shared" si="130"/>
        <v>-1971</v>
      </c>
      <c r="Y110" s="423">
        <f t="shared" si="131"/>
        <v>-1903</v>
      </c>
      <c r="Z110" s="423">
        <f t="shared" si="132"/>
        <v>-2623</v>
      </c>
      <c r="AA110" s="423">
        <f t="shared" si="133"/>
        <v>-40354</v>
      </c>
      <c r="AB110" s="423">
        <f t="shared" si="134"/>
        <v>21089</v>
      </c>
      <c r="AC110" s="423">
        <f t="shared" si="135"/>
        <v>7115</v>
      </c>
      <c r="AD110" s="423">
        <f t="shared" si="136"/>
        <v>3227</v>
      </c>
      <c r="AE110" s="423">
        <f t="shared" si="137"/>
        <v>-4524</v>
      </c>
      <c r="AF110" s="423">
        <f t="shared" si="138"/>
        <v>-552</v>
      </c>
    </row>
    <row r="111" spans="1:32">
      <c r="A111" s="417"/>
      <c r="B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</row>
    <row r="112" spans="1:32">
      <c r="A112" s="429" t="s">
        <v>764</v>
      </c>
      <c r="B112" s="429" t="s">
        <v>765</v>
      </c>
      <c r="D112" s="420">
        <f t="shared" ref="D112:I112" si="139">D86+D88</f>
        <v>0</v>
      </c>
      <c r="E112" s="420">
        <f t="shared" si="139"/>
        <v>0</v>
      </c>
      <c r="F112" s="420">
        <f t="shared" si="139"/>
        <v>0</v>
      </c>
      <c r="G112" s="420">
        <f t="shared" si="139"/>
        <v>0</v>
      </c>
      <c r="H112" s="420">
        <f t="shared" si="139"/>
        <v>0</v>
      </c>
      <c r="I112" s="420">
        <f t="shared" si="139"/>
        <v>99</v>
      </c>
      <c r="J112" s="420">
        <f t="shared" ref="J112:T112" si="140">J86+J88</f>
        <v>8359</v>
      </c>
      <c r="K112" s="420">
        <f t="shared" si="140"/>
        <v>-677</v>
      </c>
      <c r="L112" s="420">
        <f t="shared" si="140"/>
        <v>797</v>
      </c>
      <c r="M112" s="420">
        <f t="shared" si="140"/>
        <v>-22359</v>
      </c>
      <c r="N112" s="420">
        <f t="shared" si="140"/>
        <v>-58798</v>
      </c>
      <c r="O112" s="420">
        <f t="shared" si="140"/>
        <v>-162035</v>
      </c>
      <c r="P112" s="420">
        <f t="shared" si="140"/>
        <v>-68069</v>
      </c>
      <c r="Q112" s="420">
        <f t="shared" si="140"/>
        <v>-104275</v>
      </c>
      <c r="R112" s="420">
        <f t="shared" si="140"/>
        <v>-131066</v>
      </c>
      <c r="S112" s="420">
        <f t="shared" si="140"/>
        <v>-748335</v>
      </c>
      <c r="T112" s="741">
        <f t="shared" si="140"/>
        <v>-43110</v>
      </c>
      <c r="U112" s="741">
        <f>U86+U88</f>
        <v>-95958</v>
      </c>
      <c r="W112" s="420">
        <f t="shared" ref="W112:AC112" si="141">W86+W88</f>
        <v>797</v>
      </c>
      <c r="X112" s="420">
        <f t="shared" si="141"/>
        <v>-23156</v>
      </c>
      <c r="Y112" s="420">
        <f t="shared" si="141"/>
        <v>-36439</v>
      </c>
      <c r="Z112" s="420">
        <f t="shared" si="141"/>
        <v>-103237</v>
      </c>
      <c r="AA112" s="420">
        <f t="shared" si="141"/>
        <v>-68069</v>
      </c>
      <c r="AB112" s="420">
        <f t="shared" si="141"/>
        <v>-36206</v>
      </c>
      <c r="AC112" s="420">
        <f t="shared" si="141"/>
        <v>-26791</v>
      </c>
      <c r="AD112" s="420">
        <f t="shared" ref="AD112:AE112" si="142">AD86+AD88</f>
        <v>-617269</v>
      </c>
      <c r="AE112" s="420">
        <f t="shared" si="142"/>
        <v>-43110</v>
      </c>
      <c r="AF112" s="741">
        <f>AF86+AF88</f>
        <v>-31983</v>
      </c>
    </row>
    <row r="114" spans="1:32">
      <c r="A114" s="416" t="s">
        <v>766</v>
      </c>
      <c r="B114" s="416" t="s">
        <v>767</v>
      </c>
      <c r="D114" s="424">
        <f t="shared" ref="D114:I114" si="143">SUM(D116:D119)</f>
        <v>0</v>
      </c>
      <c r="E114" s="424">
        <f t="shared" si="143"/>
        <v>0</v>
      </c>
      <c r="F114" s="424">
        <f t="shared" si="143"/>
        <v>0</v>
      </c>
      <c r="G114" s="424">
        <f t="shared" si="143"/>
        <v>0</v>
      </c>
      <c r="H114" s="424">
        <f t="shared" si="143"/>
        <v>0</v>
      </c>
      <c r="I114" s="424">
        <f t="shared" si="143"/>
        <v>-2</v>
      </c>
      <c r="J114" s="424">
        <f t="shared" ref="J114:T114" si="144">SUM(J116:J119)</f>
        <v>-2048</v>
      </c>
      <c r="K114" s="424">
        <f t="shared" si="144"/>
        <v>-316</v>
      </c>
      <c r="L114" s="424">
        <f t="shared" si="144"/>
        <v>-171</v>
      </c>
      <c r="M114" s="424">
        <f t="shared" si="144"/>
        <v>-315</v>
      </c>
      <c r="N114" s="424">
        <f t="shared" si="144"/>
        <v>-2333</v>
      </c>
      <c r="O114" s="424">
        <f t="shared" si="144"/>
        <v>-4571</v>
      </c>
      <c r="P114" s="424">
        <f t="shared" si="144"/>
        <v>-3390</v>
      </c>
      <c r="Q114" s="424">
        <f t="shared" si="144"/>
        <v>-8089</v>
      </c>
      <c r="R114" s="424">
        <f t="shared" si="144"/>
        <v>-12852</v>
      </c>
      <c r="S114" s="424">
        <f t="shared" si="144"/>
        <v>-17506</v>
      </c>
      <c r="T114" s="424">
        <f t="shared" si="144"/>
        <v>-4675</v>
      </c>
      <c r="U114" s="424">
        <f>SUM(U116:U119)</f>
        <v>-8598</v>
      </c>
      <c r="W114" s="424">
        <f t="shared" ref="W114:AC114" si="145">SUM(W116:W119)</f>
        <v>-171</v>
      </c>
      <c r="X114" s="424">
        <f t="shared" si="145"/>
        <v>-144</v>
      </c>
      <c r="Y114" s="424">
        <f t="shared" si="145"/>
        <v>-2018</v>
      </c>
      <c r="Z114" s="424">
        <f t="shared" si="145"/>
        <v>-2238</v>
      </c>
      <c r="AA114" s="424">
        <f t="shared" si="145"/>
        <v>-3390</v>
      </c>
      <c r="AB114" s="424">
        <f t="shared" si="145"/>
        <v>-4699</v>
      </c>
      <c r="AC114" s="424">
        <f t="shared" si="145"/>
        <v>-4763</v>
      </c>
      <c r="AD114" s="424">
        <f t="shared" ref="AD114:AE114" si="146">SUM(AD116:AD119)</f>
        <v>-4654</v>
      </c>
      <c r="AE114" s="424">
        <f t="shared" si="146"/>
        <v>-4675</v>
      </c>
      <c r="AF114" s="424">
        <f>SUM(AF116:AF119)</f>
        <v>-3923</v>
      </c>
    </row>
    <row r="115" spans="1:32">
      <c r="A115" s="417"/>
      <c r="B115" s="417"/>
      <c r="D115" s="417"/>
      <c r="E115" s="417"/>
      <c r="F115" s="417"/>
      <c r="G115" s="417"/>
      <c r="H115" s="417"/>
      <c r="I115" s="417"/>
      <c r="J115" s="417"/>
      <c r="K115" s="417"/>
      <c r="L115" s="417"/>
      <c r="M115" s="417"/>
      <c r="N115" s="417"/>
      <c r="P115" s="417"/>
      <c r="Q115" s="417"/>
      <c r="R115" s="417"/>
      <c r="S115" s="417"/>
      <c r="T115" s="417"/>
      <c r="U115" s="417"/>
      <c r="W115" s="417"/>
      <c r="X115" s="417"/>
      <c r="Y115" s="417"/>
      <c r="AA115" s="417"/>
      <c r="AB115" s="417"/>
      <c r="AC115" s="417"/>
      <c r="AD115" s="417"/>
      <c r="AE115" s="417"/>
      <c r="AF115" s="417"/>
    </row>
    <row r="116" spans="1:32">
      <c r="A116" s="417" t="s">
        <v>768</v>
      </c>
      <c r="B116" s="417" t="s">
        <v>769</v>
      </c>
      <c r="D116" s="425"/>
      <c r="E116" s="425"/>
      <c r="F116" s="425"/>
      <c r="G116" s="425"/>
      <c r="H116" s="425"/>
      <c r="I116" s="425">
        <v>0</v>
      </c>
      <c r="J116" s="425">
        <v>-605</v>
      </c>
      <c r="K116" s="425">
        <v>-119</v>
      </c>
      <c r="L116" s="425">
        <v>-57</v>
      </c>
      <c r="M116" s="425">
        <v>-133</v>
      </c>
      <c r="N116" s="425">
        <v>-850</v>
      </c>
      <c r="O116" s="425">
        <v>-1624</v>
      </c>
      <c r="P116" s="425">
        <v>-1160</v>
      </c>
      <c r="Q116" s="425">
        <v>-2731</v>
      </c>
      <c r="R116" s="425">
        <v>-4288</v>
      </c>
      <c r="S116" s="425">
        <v>-5772</v>
      </c>
      <c r="T116" s="425">
        <v>-1463</v>
      </c>
      <c r="U116" s="756">
        <v>-2757</v>
      </c>
      <c r="W116" s="425">
        <f>L116</f>
        <v>-57</v>
      </c>
      <c r="X116" s="425">
        <f>M116-W116</f>
        <v>-76</v>
      </c>
      <c r="Y116" s="425">
        <f t="shared" ref="Y116:Z119" si="147">N116-M116</f>
        <v>-717</v>
      </c>
      <c r="Z116" s="425">
        <f t="shared" si="147"/>
        <v>-774</v>
      </c>
      <c r="AA116" s="425">
        <f>P116</f>
        <v>-1160</v>
      </c>
      <c r="AB116" s="425">
        <f t="shared" ref="AB116:AB119" si="148">Q116-AA116</f>
        <v>-1571</v>
      </c>
      <c r="AC116" s="425">
        <f t="shared" ref="AC116:AD119" si="149">R116-Q116</f>
        <v>-1557</v>
      </c>
      <c r="AD116" s="425">
        <f t="shared" si="149"/>
        <v>-1484</v>
      </c>
      <c r="AE116" s="425">
        <f>T116</f>
        <v>-1463</v>
      </c>
      <c r="AF116" s="756">
        <f>U116-T116</f>
        <v>-1294</v>
      </c>
    </row>
    <row r="117" spans="1:32">
      <c r="A117" s="417" t="s">
        <v>770</v>
      </c>
      <c r="B117" s="417" t="s">
        <v>771</v>
      </c>
      <c r="D117" s="425"/>
      <c r="E117" s="425"/>
      <c r="F117" s="425"/>
      <c r="G117" s="425"/>
      <c r="H117" s="425"/>
      <c r="I117" s="425">
        <v>-2</v>
      </c>
      <c r="J117" s="425">
        <v>-1535</v>
      </c>
      <c r="K117" s="425">
        <v>-308</v>
      </c>
      <c r="L117" s="425">
        <v>-137</v>
      </c>
      <c r="M117" s="425">
        <v>-220</v>
      </c>
      <c r="N117" s="425">
        <v>-1530</v>
      </c>
      <c r="O117" s="425">
        <v>-3038</v>
      </c>
      <c r="P117" s="425">
        <v>-2188</v>
      </c>
      <c r="Q117" s="425">
        <v>-5352</v>
      </c>
      <c r="R117" s="425">
        <v>-8575</v>
      </c>
      <c r="S117" s="425">
        <v>-11760</v>
      </c>
      <c r="T117" s="425">
        <v>-3240</v>
      </c>
      <c r="U117" s="756">
        <v>-5880</v>
      </c>
      <c r="W117" s="425">
        <f>L117</f>
        <v>-137</v>
      </c>
      <c r="X117" s="425">
        <f>M117-W117</f>
        <v>-83</v>
      </c>
      <c r="Y117" s="425">
        <f t="shared" si="147"/>
        <v>-1310</v>
      </c>
      <c r="Z117" s="425">
        <f t="shared" si="147"/>
        <v>-1508</v>
      </c>
      <c r="AA117" s="425">
        <f>P117</f>
        <v>-2188</v>
      </c>
      <c r="AB117" s="425">
        <f t="shared" si="148"/>
        <v>-3164</v>
      </c>
      <c r="AC117" s="425">
        <f t="shared" si="149"/>
        <v>-3223</v>
      </c>
      <c r="AD117" s="425">
        <f t="shared" si="149"/>
        <v>-3185</v>
      </c>
      <c r="AE117" s="425">
        <f>T117</f>
        <v>-3240</v>
      </c>
      <c r="AF117" s="756">
        <f>U117-T117</f>
        <v>-2640</v>
      </c>
    </row>
    <row r="118" spans="1:32">
      <c r="A118" s="417" t="s">
        <v>772</v>
      </c>
      <c r="B118" s="417" t="s">
        <v>773</v>
      </c>
      <c r="D118" s="425"/>
      <c r="E118" s="425"/>
      <c r="F118" s="425"/>
      <c r="G118" s="425"/>
      <c r="H118" s="425"/>
      <c r="I118" s="425">
        <v>0</v>
      </c>
      <c r="J118" s="425">
        <v>0</v>
      </c>
      <c r="K118" s="425">
        <v>0</v>
      </c>
      <c r="L118" s="425">
        <v>0</v>
      </c>
      <c r="M118" s="425">
        <v>0</v>
      </c>
      <c r="N118" s="425">
        <v>0</v>
      </c>
      <c r="O118" s="425">
        <v>0</v>
      </c>
      <c r="P118" s="425">
        <v>0</v>
      </c>
      <c r="Q118" s="425">
        <v>0</v>
      </c>
      <c r="R118" s="425">
        <v>0</v>
      </c>
      <c r="S118" s="425">
        <v>0</v>
      </c>
      <c r="T118" s="425">
        <v>0</v>
      </c>
      <c r="U118" s="756">
        <v>0</v>
      </c>
      <c r="W118" s="425">
        <f>L118</f>
        <v>0</v>
      </c>
      <c r="X118" s="425">
        <f>M118-W118</f>
        <v>0</v>
      </c>
      <c r="Y118" s="425">
        <f t="shared" si="147"/>
        <v>0</v>
      </c>
      <c r="Z118" s="425">
        <f t="shared" si="147"/>
        <v>0</v>
      </c>
      <c r="AA118" s="425">
        <f>P118</f>
        <v>0</v>
      </c>
      <c r="AB118" s="425">
        <f t="shared" si="148"/>
        <v>0</v>
      </c>
      <c r="AC118" s="425">
        <f t="shared" si="149"/>
        <v>0</v>
      </c>
      <c r="AD118" s="425">
        <f t="shared" si="149"/>
        <v>0</v>
      </c>
      <c r="AE118" s="425">
        <f>T118</f>
        <v>0</v>
      </c>
      <c r="AF118" s="756">
        <f>U118-T118</f>
        <v>0</v>
      </c>
    </row>
    <row r="119" spans="1:32">
      <c r="A119" s="417" t="s">
        <v>774</v>
      </c>
      <c r="B119" s="417" t="s">
        <v>775</v>
      </c>
      <c r="D119" s="425"/>
      <c r="E119" s="425"/>
      <c r="F119" s="425"/>
      <c r="G119" s="425"/>
      <c r="H119" s="425"/>
      <c r="I119" s="425">
        <v>0</v>
      </c>
      <c r="J119" s="425">
        <v>92</v>
      </c>
      <c r="K119" s="425">
        <v>111</v>
      </c>
      <c r="L119" s="425">
        <v>23</v>
      </c>
      <c r="M119" s="425">
        <v>38</v>
      </c>
      <c r="N119" s="425">
        <v>47</v>
      </c>
      <c r="O119" s="425">
        <v>91</v>
      </c>
      <c r="P119" s="425">
        <v>-42</v>
      </c>
      <c r="Q119" s="425">
        <v>-6</v>
      </c>
      <c r="R119" s="425">
        <v>11</v>
      </c>
      <c r="S119" s="425">
        <v>26</v>
      </c>
      <c r="T119" s="425">
        <v>28</v>
      </c>
      <c r="U119" s="756">
        <v>39</v>
      </c>
      <c r="W119" s="425">
        <f>L119</f>
        <v>23</v>
      </c>
      <c r="X119" s="425">
        <f>M119-W119</f>
        <v>15</v>
      </c>
      <c r="Y119" s="425">
        <f t="shared" si="147"/>
        <v>9</v>
      </c>
      <c r="Z119" s="425">
        <f t="shared" si="147"/>
        <v>44</v>
      </c>
      <c r="AA119" s="425">
        <f>P119</f>
        <v>-42</v>
      </c>
      <c r="AB119" s="425">
        <f t="shared" si="148"/>
        <v>36</v>
      </c>
      <c r="AC119" s="425">
        <f t="shared" si="149"/>
        <v>17</v>
      </c>
      <c r="AD119" s="425">
        <f t="shared" si="149"/>
        <v>15</v>
      </c>
      <c r="AE119" s="425">
        <f>T119</f>
        <v>28</v>
      </c>
      <c r="AF119" s="756">
        <f>U119-T119</f>
        <v>11</v>
      </c>
    </row>
    <row r="120" spans="1:32">
      <c r="A120" s="417"/>
      <c r="B120" s="417"/>
      <c r="D120" s="417"/>
      <c r="E120" s="417"/>
      <c r="F120" s="417"/>
      <c r="G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</row>
    <row r="121" spans="1:32" ht="15" thickBot="1">
      <c r="A121" s="430" t="s">
        <v>776</v>
      </c>
      <c r="B121" s="430" t="s">
        <v>777</v>
      </c>
      <c r="D121" s="426">
        <f t="shared" ref="D121:I121" si="150">D112+D114</f>
        <v>0</v>
      </c>
      <c r="E121" s="426">
        <f t="shared" si="150"/>
        <v>0</v>
      </c>
      <c r="F121" s="426">
        <f t="shared" si="150"/>
        <v>0</v>
      </c>
      <c r="G121" s="426">
        <f t="shared" si="150"/>
        <v>0</v>
      </c>
      <c r="H121" s="426">
        <f t="shared" si="150"/>
        <v>0</v>
      </c>
      <c r="I121" s="426">
        <f t="shared" si="150"/>
        <v>97</v>
      </c>
      <c r="J121" s="426">
        <f t="shared" ref="J121:T121" si="151">J112+J114</f>
        <v>6311</v>
      </c>
      <c r="K121" s="426">
        <f t="shared" si="151"/>
        <v>-993</v>
      </c>
      <c r="L121" s="426">
        <f t="shared" si="151"/>
        <v>626</v>
      </c>
      <c r="M121" s="426">
        <f t="shared" si="151"/>
        <v>-22674</v>
      </c>
      <c r="N121" s="426">
        <f t="shared" si="151"/>
        <v>-61131</v>
      </c>
      <c r="O121" s="426">
        <f t="shared" si="151"/>
        <v>-166606</v>
      </c>
      <c r="P121" s="426">
        <f t="shared" si="151"/>
        <v>-71459</v>
      </c>
      <c r="Q121" s="426">
        <f t="shared" si="151"/>
        <v>-112364</v>
      </c>
      <c r="R121" s="426">
        <f t="shared" si="151"/>
        <v>-143918</v>
      </c>
      <c r="S121" s="426">
        <f t="shared" si="151"/>
        <v>-765841</v>
      </c>
      <c r="T121" s="426">
        <f t="shared" si="151"/>
        <v>-47785</v>
      </c>
      <c r="U121" s="426">
        <f>U112+U114</f>
        <v>-104556</v>
      </c>
      <c r="W121" s="426">
        <f t="shared" ref="W121:AC121" si="152">W112+W114</f>
        <v>626</v>
      </c>
      <c r="X121" s="426">
        <f t="shared" si="152"/>
        <v>-23300</v>
      </c>
      <c r="Y121" s="426">
        <f t="shared" si="152"/>
        <v>-38457</v>
      </c>
      <c r="Z121" s="426">
        <f t="shared" si="152"/>
        <v>-105475</v>
      </c>
      <c r="AA121" s="426">
        <f t="shared" si="152"/>
        <v>-71459</v>
      </c>
      <c r="AB121" s="426">
        <f t="shared" si="152"/>
        <v>-40905</v>
      </c>
      <c r="AC121" s="426">
        <f t="shared" si="152"/>
        <v>-31554</v>
      </c>
      <c r="AD121" s="426">
        <f t="shared" ref="AD121:AE121" si="153">AD112+AD114</f>
        <v>-621923</v>
      </c>
      <c r="AE121" s="426">
        <f t="shared" si="153"/>
        <v>-47785</v>
      </c>
      <c r="AF121" s="426">
        <f>AF112+AF114</f>
        <v>-35906</v>
      </c>
    </row>
    <row r="122" spans="1:32" ht="15" thickTop="1">
      <c r="A122" s="417"/>
      <c r="B122" s="417"/>
      <c r="D122" s="417"/>
      <c r="E122" s="417"/>
      <c r="F122" s="417"/>
      <c r="G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S122" s="417"/>
      <c r="T122" s="417"/>
      <c r="U122" s="417"/>
      <c r="W122" s="417"/>
      <c r="X122" s="417"/>
      <c r="Y122" s="417"/>
      <c r="Z122" s="417"/>
      <c r="AA122" s="417"/>
      <c r="AB122" s="417"/>
      <c r="AC122" s="417"/>
      <c r="AD122" s="417"/>
      <c r="AE122" s="417"/>
      <c r="AF122" s="417"/>
    </row>
    <row r="123" spans="1:32">
      <c r="A123" s="416" t="s">
        <v>778</v>
      </c>
      <c r="B123" s="416" t="s">
        <v>779</v>
      </c>
      <c r="D123" s="425"/>
      <c r="E123" s="425"/>
      <c r="F123" s="425"/>
      <c r="G123" s="425"/>
      <c r="H123" s="425"/>
      <c r="I123" s="425"/>
      <c r="J123" s="425"/>
      <c r="K123" s="425"/>
      <c r="L123" s="425"/>
      <c r="M123" s="425"/>
      <c r="N123" s="425"/>
      <c r="O123" s="425"/>
      <c r="P123" s="425"/>
      <c r="Q123" s="425"/>
      <c r="R123" s="425"/>
      <c r="S123" s="425"/>
      <c r="T123" s="425"/>
      <c r="U123" s="756"/>
      <c r="W123" s="425"/>
      <c r="X123" s="425"/>
      <c r="Y123" s="425"/>
      <c r="Z123" s="425"/>
      <c r="AA123" s="425"/>
      <c r="AB123" s="425"/>
      <c r="AC123" s="425"/>
      <c r="AD123" s="425"/>
      <c r="AE123" s="425"/>
      <c r="AF123" s="756"/>
    </row>
    <row r="124" spans="1:32">
      <c r="A124" s="417" t="s">
        <v>780</v>
      </c>
      <c r="B124" s="417" t="s">
        <v>781</v>
      </c>
      <c r="D124" s="425">
        <f t="shared" ref="D124:I124" si="154">D121-D125</f>
        <v>0</v>
      </c>
      <c r="E124" s="425">
        <f t="shared" si="154"/>
        <v>0</v>
      </c>
      <c r="F124" s="425">
        <f t="shared" si="154"/>
        <v>0</v>
      </c>
      <c r="G124" s="425">
        <f t="shared" si="154"/>
        <v>0</v>
      </c>
      <c r="H124" s="425">
        <f t="shared" si="154"/>
        <v>0</v>
      </c>
      <c r="I124" s="425">
        <f t="shared" si="154"/>
        <v>97</v>
      </c>
      <c r="J124" s="425">
        <f>J121-J125</f>
        <v>6311</v>
      </c>
      <c r="K124" s="425">
        <f>K121-K125</f>
        <v>-993</v>
      </c>
      <c r="L124" s="425">
        <v>626</v>
      </c>
      <c r="M124" s="425">
        <v>-22674</v>
      </c>
      <c r="N124" s="425">
        <v>-61131</v>
      </c>
      <c r="O124" s="425">
        <v>-166606</v>
      </c>
      <c r="P124" s="425">
        <v>-71459</v>
      </c>
      <c r="Q124" s="425">
        <v>-112050</v>
      </c>
      <c r="R124" s="425">
        <v>-142991</v>
      </c>
      <c r="S124" s="425">
        <v>-764271</v>
      </c>
      <c r="T124" s="425">
        <v>-49973</v>
      </c>
      <c r="U124" s="756">
        <v>-108671</v>
      </c>
      <c r="W124" s="425">
        <f>L124</f>
        <v>626</v>
      </c>
      <c r="X124" s="425">
        <f>M124-W124</f>
        <v>-23300</v>
      </c>
      <c r="Y124" s="425">
        <f>N124-M124</f>
        <v>-38457</v>
      </c>
      <c r="Z124" s="425">
        <f>O124-N124</f>
        <v>-105475</v>
      </c>
      <c r="AA124" s="425">
        <f>P124</f>
        <v>-71459</v>
      </c>
      <c r="AB124" s="425">
        <f>Q124-AA124</f>
        <v>-40591</v>
      </c>
      <c r="AC124" s="425">
        <f>R124-Q124</f>
        <v>-30941</v>
      </c>
      <c r="AD124" s="425">
        <f>S124-R124</f>
        <v>-621280</v>
      </c>
      <c r="AE124" s="425">
        <f>T124</f>
        <v>-49973</v>
      </c>
      <c r="AF124" s="756">
        <f>U124-T124</f>
        <v>-58698</v>
      </c>
    </row>
    <row r="125" spans="1:32">
      <c r="A125" s="417" t="s">
        <v>782</v>
      </c>
      <c r="B125" s="417" t="s">
        <v>828</v>
      </c>
      <c r="D125" s="425">
        <f t="shared" ref="D125:I125" si="155">D121*D130</f>
        <v>0</v>
      </c>
      <c r="E125" s="425">
        <f t="shared" si="155"/>
        <v>0</v>
      </c>
      <c r="F125" s="425">
        <f t="shared" si="155"/>
        <v>0</v>
      </c>
      <c r="G125" s="425">
        <f t="shared" si="155"/>
        <v>0</v>
      </c>
      <c r="H125" s="425">
        <f t="shared" si="155"/>
        <v>0</v>
      </c>
      <c r="I125" s="425">
        <f t="shared" si="155"/>
        <v>0</v>
      </c>
      <c r="J125" s="425">
        <f>J121*J130</f>
        <v>0</v>
      </c>
      <c r="K125" s="425">
        <f>K121*K130</f>
        <v>0</v>
      </c>
      <c r="L125" s="425">
        <v>0</v>
      </c>
      <c r="M125" s="425">
        <v>0</v>
      </c>
      <c r="N125" s="425">
        <v>0</v>
      </c>
      <c r="O125" s="425">
        <v>0</v>
      </c>
      <c r="P125" s="425">
        <v>0</v>
      </c>
      <c r="Q125" s="425">
        <v>-314</v>
      </c>
      <c r="R125" s="425">
        <v>-927</v>
      </c>
      <c r="S125" s="425">
        <v>-1570</v>
      </c>
      <c r="T125" s="425">
        <v>2188</v>
      </c>
      <c r="U125" s="756">
        <v>4115</v>
      </c>
      <c r="W125" s="425">
        <f>L125</f>
        <v>0</v>
      </c>
      <c r="X125" s="425">
        <f>M125-W125</f>
        <v>0</v>
      </c>
      <c r="Y125" s="425">
        <f>N125-M125</f>
        <v>0</v>
      </c>
      <c r="Z125" s="425">
        <f>O125-N125</f>
        <v>0</v>
      </c>
      <c r="AA125" s="425">
        <f>P125</f>
        <v>0</v>
      </c>
      <c r="AB125" s="425">
        <f>Q125-AA125</f>
        <v>-314</v>
      </c>
      <c r="AC125" s="425">
        <f>R125-Q125</f>
        <v>-613</v>
      </c>
      <c r="AD125" s="425">
        <f>S125-R125</f>
        <v>-643</v>
      </c>
      <c r="AE125" s="425">
        <f>T125</f>
        <v>2188</v>
      </c>
      <c r="AF125" s="756">
        <f>U125-T125</f>
        <v>1927</v>
      </c>
    </row>
    <row r="126" spans="1:32">
      <c r="A126" s="417"/>
      <c r="B126" s="417"/>
      <c r="D126" s="417"/>
      <c r="E126" s="417"/>
      <c r="F126" s="417"/>
      <c r="G126" s="417"/>
      <c r="H126" s="417"/>
      <c r="I126" s="417"/>
      <c r="J126" s="417"/>
      <c r="K126" s="417"/>
      <c r="L126" s="417"/>
      <c r="M126" s="417"/>
      <c r="N126" s="417"/>
      <c r="P126" s="417"/>
      <c r="Q126" s="417"/>
      <c r="R126" s="417"/>
      <c r="S126" s="417"/>
      <c r="T126" s="417"/>
      <c r="U126" s="417"/>
      <c r="W126" s="417"/>
      <c r="X126" s="417"/>
      <c r="Y126" s="417"/>
      <c r="Z126" s="417"/>
      <c r="AA126" s="417"/>
      <c r="AB126" s="417"/>
      <c r="AC126" s="417"/>
      <c r="AD126" s="417"/>
      <c r="AE126" s="417"/>
      <c r="AF126" s="417"/>
    </row>
    <row r="127" spans="1:32" ht="15" thickBot="1">
      <c r="A127" s="430" t="s">
        <v>776</v>
      </c>
      <c r="B127" s="430" t="s">
        <v>784</v>
      </c>
      <c r="D127" s="426">
        <f t="shared" ref="D127:I127" si="156">SUM(D124:D125)</f>
        <v>0</v>
      </c>
      <c r="E127" s="426">
        <f t="shared" si="156"/>
        <v>0</v>
      </c>
      <c r="F127" s="426">
        <f t="shared" si="156"/>
        <v>0</v>
      </c>
      <c r="G127" s="426">
        <f t="shared" si="156"/>
        <v>0</v>
      </c>
      <c r="H127" s="426">
        <f t="shared" si="156"/>
        <v>0</v>
      </c>
      <c r="I127" s="426">
        <f t="shared" si="156"/>
        <v>97</v>
      </c>
      <c r="J127" s="426">
        <f t="shared" ref="J127:T127" si="157">SUM(J124:J125)</f>
        <v>6311</v>
      </c>
      <c r="K127" s="426">
        <f t="shared" si="157"/>
        <v>-993</v>
      </c>
      <c r="L127" s="426">
        <f t="shared" si="157"/>
        <v>626</v>
      </c>
      <c r="M127" s="426">
        <f t="shared" si="157"/>
        <v>-22674</v>
      </c>
      <c r="N127" s="426">
        <f t="shared" si="157"/>
        <v>-61131</v>
      </c>
      <c r="O127" s="426">
        <f t="shared" si="157"/>
        <v>-166606</v>
      </c>
      <c r="P127" s="426">
        <f t="shared" si="157"/>
        <v>-71459</v>
      </c>
      <c r="Q127" s="426">
        <f t="shared" si="157"/>
        <v>-112364</v>
      </c>
      <c r="R127" s="426">
        <f t="shared" si="157"/>
        <v>-143918</v>
      </c>
      <c r="S127" s="426">
        <f t="shared" si="157"/>
        <v>-765841</v>
      </c>
      <c r="T127" s="426">
        <f t="shared" si="157"/>
        <v>-47785</v>
      </c>
      <c r="U127" s="426">
        <f>SUM(U124:U125)</f>
        <v>-104556</v>
      </c>
      <c r="W127" s="426">
        <f t="shared" ref="W127:AC127" si="158">SUM(W124:W125)</f>
        <v>626</v>
      </c>
      <c r="X127" s="426">
        <f t="shared" si="158"/>
        <v>-23300</v>
      </c>
      <c r="Y127" s="426">
        <f t="shared" si="158"/>
        <v>-38457</v>
      </c>
      <c r="Z127" s="426">
        <f t="shared" si="158"/>
        <v>-105475</v>
      </c>
      <c r="AA127" s="426">
        <f t="shared" si="158"/>
        <v>-71459</v>
      </c>
      <c r="AB127" s="426">
        <f t="shared" si="158"/>
        <v>-40905</v>
      </c>
      <c r="AC127" s="426">
        <f t="shared" si="158"/>
        <v>-31554</v>
      </c>
      <c r="AD127" s="426">
        <f t="shared" ref="AD127:AE127" si="159">SUM(AD124:AD125)</f>
        <v>-621923</v>
      </c>
      <c r="AE127" s="426">
        <f t="shared" si="159"/>
        <v>-47785</v>
      </c>
      <c r="AF127" s="426">
        <f>SUM(AF124:AF125)</f>
        <v>-56771</v>
      </c>
    </row>
    <row r="129" spans="1:32" s="432" customFormat="1" ht="10.199999999999999">
      <c r="A129" s="431" t="s">
        <v>785</v>
      </c>
      <c r="B129" s="431" t="s">
        <v>786</v>
      </c>
      <c r="D129" s="433">
        <v>1</v>
      </c>
      <c r="E129" s="433">
        <v>1</v>
      </c>
      <c r="F129" s="433">
        <v>1</v>
      </c>
      <c r="G129" s="433">
        <v>1</v>
      </c>
      <c r="H129" s="433">
        <v>1</v>
      </c>
      <c r="I129" s="433">
        <v>1</v>
      </c>
      <c r="J129" s="433">
        <v>1</v>
      </c>
      <c r="K129" s="433">
        <v>1</v>
      </c>
      <c r="L129" s="433">
        <v>1</v>
      </c>
      <c r="M129" s="433">
        <v>1</v>
      </c>
      <c r="N129" s="433">
        <f t="shared" ref="N129:T130" si="160">M129</f>
        <v>1</v>
      </c>
      <c r="O129" s="433">
        <f t="shared" si="160"/>
        <v>1</v>
      </c>
      <c r="P129" s="433">
        <f t="shared" si="160"/>
        <v>1</v>
      </c>
      <c r="Q129" s="433">
        <f t="shared" si="160"/>
        <v>1</v>
      </c>
      <c r="R129" s="433">
        <f t="shared" si="160"/>
        <v>1</v>
      </c>
      <c r="S129" s="433">
        <f t="shared" si="160"/>
        <v>1</v>
      </c>
      <c r="T129" s="433">
        <f t="shared" si="160"/>
        <v>1</v>
      </c>
      <c r="U129" s="433">
        <f>S129</f>
        <v>1</v>
      </c>
      <c r="W129" s="433">
        <f>L129</f>
        <v>1</v>
      </c>
      <c r="X129" s="433">
        <v>1</v>
      </c>
      <c r="Y129" s="433">
        <f>X129</f>
        <v>1</v>
      </c>
      <c r="Z129" s="433">
        <f>Y129</f>
        <v>1</v>
      </c>
      <c r="AA129" s="433">
        <f>P129</f>
        <v>1</v>
      </c>
      <c r="AB129" s="433">
        <f t="shared" ref="AB129:AD130" si="161">AA129</f>
        <v>1</v>
      </c>
      <c r="AC129" s="433">
        <f t="shared" si="161"/>
        <v>1</v>
      </c>
      <c r="AD129" s="433">
        <f t="shared" si="161"/>
        <v>1</v>
      </c>
      <c r="AE129" s="433">
        <f>T129</f>
        <v>1</v>
      </c>
      <c r="AF129" s="433">
        <f>U129</f>
        <v>1</v>
      </c>
    </row>
    <row r="130" spans="1:32" s="432" customFormat="1" ht="10.199999999999999">
      <c r="A130" s="431" t="s">
        <v>787</v>
      </c>
      <c r="B130" s="431" t="s">
        <v>788</v>
      </c>
      <c r="D130" s="433">
        <v>0</v>
      </c>
      <c r="E130" s="433">
        <v>0</v>
      </c>
      <c r="F130" s="433">
        <v>0</v>
      </c>
      <c r="G130" s="433">
        <v>0</v>
      </c>
      <c r="H130" s="433">
        <v>0</v>
      </c>
      <c r="I130" s="433">
        <v>0</v>
      </c>
      <c r="J130" s="433">
        <v>0</v>
      </c>
      <c r="K130" s="433">
        <v>0</v>
      </c>
      <c r="L130" s="433">
        <v>0</v>
      </c>
      <c r="M130" s="433">
        <v>0</v>
      </c>
      <c r="N130" s="433">
        <f t="shared" si="160"/>
        <v>0</v>
      </c>
      <c r="O130" s="433">
        <f t="shared" si="160"/>
        <v>0</v>
      </c>
      <c r="P130" s="433">
        <f t="shared" si="160"/>
        <v>0</v>
      </c>
      <c r="Q130" s="433">
        <f t="shared" si="160"/>
        <v>0</v>
      </c>
      <c r="R130" s="433">
        <f t="shared" si="160"/>
        <v>0</v>
      </c>
      <c r="S130" s="433">
        <f t="shared" si="160"/>
        <v>0</v>
      </c>
      <c r="T130" s="433">
        <f t="shared" si="160"/>
        <v>0</v>
      </c>
      <c r="U130" s="433">
        <f>S130</f>
        <v>0</v>
      </c>
      <c r="W130" s="433">
        <f>L130</f>
        <v>0</v>
      </c>
      <c r="X130" s="433">
        <v>0</v>
      </c>
      <c r="Y130" s="433">
        <f>X130</f>
        <v>0</v>
      </c>
      <c r="Z130" s="433">
        <f>Y130</f>
        <v>0</v>
      </c>
      <c r="AA130" s="433">
        <f>P130</f>
        <v>0</v>
      </c>
      <c r="AB130" s="433">
        <f t="shared" si="161"/>
        <v>0</v>
      </c>
      <c r="AC130" s="433">
        <f t="shared" si="161"/>
        <v>0</v>
      </c>
      <c r="AD130" s="433">
        <f t="shared" si="161"/>
        <v>0</v>
      </c>
      <c r="AE130" s="433">
        <f>T130</f>
        <v>0</v>
      </c>
      <c r="AF130" s="433">
        <f>U130</f>
        <v>0</v>
      </c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9" tint="0.79998168889431442"/>
  </sheetPr>
  <dimension ref="A4:AA129"/>
  <sheetViews>
    <sheetView showGridLines="0" zoomScale="70" zoomScaleNormal="70" workbookViewId="0">
      <pane xSplit="2" ySplit="5" topLeftCell="M6" activePane="bottomRight" state="frozen"/>
      <selection pane="topRight" activeCell="C1" sqref="C1"/>
      <selection pane="bottomLeft" activeCell="A6" sqref="A6"/>
      <selection pane="bottomRight" activeCell="A92" sqref="A92:B92"/>
    </sheetView>
  </sheetViews>
  <sheetFormatPr defaultRowHeight="14.4" outlineLevelRow="1"/>
  <cols>
    <col min="1" max="1" width="65.5546875" bestFit="1" customWidth="1"/>
    <col min="2" max="2" width="65.5546875" customWidth="1"/>
    <col min="3" max="3" width="1.5546875" customWidth="1"/>
    <col min="4" max="18" width="15.21875" customWidth="1"/>
    <col min="19" max="19" width="15.21875" hidden="1" customWidth="1"/>
    <col min="20" max="20" width="1.5546875" customWidth="1"/>
    <col min="21" max="27" width="15.21875" customWidth="1"/>
  </cols>
  <sheetData>
    <row r="4" spans="1:27">
      <c r="A4" s="428" t="s">
        <v>829</v>
      </c>
      <c r="B4" s="428" t="s">
        <v>830</v>
      </c>
      <c r="D4" s="427" t="s">
        <v>584</v>
      </c>
      <c r="E4" s="427" t="s">
        <v>585</v>
      </c>
      <c r="F4" s="427" t="s">
        <v>586</v>
      </c>
      <c r="G4" s="427" t="s">
        <v>586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U4" s="427" t="s">
        <v>83</v>
      </c>
      <c r="V4" s="427" t="s">
        <v>84</v>
      </c>
      <c r="W4" s="427" t="s">
        <v>85</v>
      </c>
      <c r="X4" s="427" t="s">
        <v>86</v>
      </c>
      <c r="Y4" s="427" t="s">
        <v>87</v>
      </c>
      <c r="Z4" s="427" t="s">
        <v>88</v>
      </c>
      <c r="AA4" s="427" t="s">
        <v>2074</v>
      </c>
    </row>
    <row r="5" spans="1:27" ht="6.75" customHeight="1"/>
    <row r="6" spans="1:27">
      <c r="A6" s="429" t="s">
        <v>596</v>
      </c>
      <c r="B6" s="429" t="s">
        <v>597</v>
      </c>
      <c r="D6" s="420">
        <f t="shared" ref="D6:J6" si="0">SUM(D8,D11:D17)</f>
        <v>476236</v>
      </c>
      <c r="E6" s="420">
        <f t="shared" si="0"/>
        <v>837584</v>
      </c>
      <c r="F6" s="420">
        <f t="shared" si="0"/>
        <v>1141314</v>
      </c>
      <c r="G6" s="420">
        <f t="shared" si="0"/>
        <v>1491686</v>
      </c>
      <c r="H6" s="420">
        <f t="shared" si="0"/>
        <v>356145</v>
      </c>
      <c r="I6" s="420">
        <f t="shared" si="0"/>
        <v>731997</v>
      </c>
      <c r="J6" s="420">
        <f t="shared" si="0"/>
        <v>1167886</v>
      </c>
      <c r="K6" s="420">
        <f t="shared" ref="K6:R6" si="1">SUM(K8,K11:K17)</f>
        <v>1606093.3149999999</v>
      </c>
      <c r="L6" s="420">
        <f t="shared" si="1"/>
        <v>383880.755</v>
      </c>
      <c r="M6" s="420">
        <f t="shared" si="1"/>
        <v>762649.755</v>
      </c>
      <c r="N6" s="420">
        <f t="shared" si="1"/>
        <v>1353886</v>
      </c>
      <c r="O6" s="420">
        <f t="shared" si="1"/>
        <v>1724562</v>
      </c>
      <c r="P6" s="420">
        <f t="shared" si="1"/>
        <v>355490</v>
      </c>
      <c r="Q6" s="420">
        <f t="shared" si="1"/>
        <v>716116</v>
      </c>
      <c r="R6" s="420">
        <f t="shared" si="1"/>
        <v>1087090</v>
      </c>
      <c r="S6" s="420"/>
      <c r="U6" s="420">
        <f t="shared" ref="U6:AA6" si="2">SUM(U8,U11:U17)</f>
        <v>383880.755</v>
      </c>
      <c r="V6" s="420">
        <f t="shared" si="2"/>
        <v>378769</v>
      </c>
      <c r="W6" s="420">
        <f t="shared" si="2"/>
        <v>591236.245</v>
      </c>
      <c r="X6" s="420">
        <f t="shared" si="2"/>
        <v>370676</v>
      </c>
      <c r="Y6" s="420">
        <f t="shared" si="2"/>
        <v>355490</v>
      </c>
      <c r="Z6" s="420">
        <f t="shared" si="2"/>
        <v>360626</v>
      </c>
      <c r="AA6" s="420">
        <f t="shared" si="2"/>
        <v>370974</v>
      </c>
    </row>
    <row r="7" spans="1:27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U7" s="421"/>
      <c r="V7" s="421"/>
      <c r="W7" s="421"/>
      <c r="X7" s="421"/>
      <c r="Y7" s="421"/>
      <c r="Z7" s="421"/>
      <c r="AA7" s="421"/>
    </row>
    <row r="8" spans="1:27">
      <c r="A8" s="417" t="s">
        <v>598</v>
      </c>
      <c r="B8" s="417" t="s">
        <v>599</v>
      </c>
      <c r="D8" s="422">
        <f t="shared" ref="D8:I8" si="3">SUM(D9:D10)</f>
        <v>0</v>
      </c>
      <c r="E8" s="422">
        <f t="shared" si="3"/>
        <v>0</v>
      </c>
      <c r="F8" s="422">
        <f t="shared" si="3"/>
        <v>0</v>
      </c>
      <c r="G8" s="422">
        <f t="shared" si="3"/>
        <v>0</v>
      </c>
      <c r="H8" s="422">
        <f t="shared" si="3"/>
        <v>0</v>
      </c>
      <c r="I8" s="422">
        <f t="shared" si="3"/>
        <v>0</v>
      </c>
      <c r="J8" s="422">
        <f t="shared" ref="J8:R8" si="4">SUM(J9:J10)</f>
        <v>0</v>
      </c>
      <c r="K8" s="422">
        <f t="shared" si="4"/>
        <v>0</v>
      </c>
      <c r="L8" s="422">
        <f t="shared" si="4"/>
        <v>0</v>
      </c>
      <c r="M8" s="422">
        <f t="shared" si="4"/>
        <v>0</v>
      </c>
      <c r="N8" s="422">
        <f t="shared" si="4"/>
        <v>0</v>
      </c>
      <c r="O8" s="422">
        <f t="shared" si="4"/>
        <v>0</v>
      </c>
      <c r="P8" s="422">
        <f t="shared" si="4"/>
        <v>0</v>
      </c>
      <c r="Q8" s="422">
        <f t="shared" si="4"/>
        <v>0</v>
      </c>
      <c r="R8" s="422">
        <f t="shared" si="4"/>
        <v>0</v>
      </c>
      <c r="S8" s="422"/>
      <c r="U8" s="422">
        <f t="shared" ref="U8:AA8" si="5">SUM(U9:U10)</f>
        <v>0</v>
      </c>
      <c r="V8" s="422">
        <f t="shared" si="5"/>
        <v>0</v>
      </c>
      <c r="W8" s="422">
        <f t="shared" si="5"/>
        <v>0</v>
      </c>
      <c r="X8" s="422">
        <f t="shared" si="5"/>
        <v>0</v>
      </c>
      <c r="Y8" s="422">
        <f t="shared" si="5"/>
        <v>0</v>
      </c>
      <c r="Z8" s="422">
        <f t="shared" si="5"/>
        <v>0</v>
      </c>
      <c r="AA8" s="422">
        <f t="shared" si="5"/>
        <v>0</v>
      </c>
    </row>
    <row r="9" spans="1:27" outlineLevel="1">
      <c r="A9" s="418" t="s">
        <v>598</v>
      </c>
      <c r="B9" s="418" t="s">
        <v>599</v>
      </c>
      <c r="D9" s="423">
        <v>0</v>
      </c>
      <c r="E9" s="423">
        <v>0</v>
      </c>
      <c r="F9" s="423">
        <v>0</v>
      </c>
      <c r="G9" s="423">
        <v>0</v>
      </c>
      <c r="H9" s="423">
        <v>0</v>
      </c>
      <c r="I9" s="423">
        <v>0</v>
      </c>
      <c r="J9" s="423">
        <v>0</v>
      </c>
      <c r="K9" s="423">
        <v>0</v>
      </c>
      <c r="L9" s="423">
        <v>0</v>
      </c>
      <c r="M9" s="423">
        <v>0</v>
      </c>
      <c r="N9" s="423">
        <v>0</v>
      </c>
      <c r="O9" s="423">
        <v>0</v>
      </c>
      <c r="P9" s="423">
        <v>0</v>
      </c>
      <c r="Q9" s="423">
        <v>0</v>
      </c>
      <c r="R9" s="423">
        <v>0</v>
      </c>
      <c r="S9" s="423"/>
      <c r="U9" s="423">
        <f>L9</f>
        <v>0</v>
      </c>
      <c r="V9" s="423">
        <f>M9-U9</f>
        <v>0</v>
      </c>
      <c r="W9" s="423">
        <f>N9-M9</f>
        <v>0</v>
      </c>
      <c r="X9" s="423">
        <f>O9-N9</f>
        <v>0</v>
      </c>
      <c r="Y9" s="423">
        <f>P9</f>
        <v>0</v>
      </c>
      <c r="Z9" s="423">
        <f>Q9-P9</f>
        <v>0</v>
      </c>
      <c r="AA9" s="423">
        <f>R9-Q9</f>
        <v>0</v>
      </c>
    </row>
    <row r="10" spans="1:27" outlineLevel="1">
      <c r="A10" s="418" t="s">
        <v>600</v>
      </c>
      <c r="B10" s="418" t="s">
        <v>601</v>
      </c>
      <c r="D10" s="423">
        <v>0</v>
      </c>
      <c r="E10" s="423">
        <v>0</v>
      </c>
      <c r="F10" s="423">
        <v>0</v>
      </c>
      <c r="G10" s="423">
        <v>0</v>
      </c>
      <c r="H10" s="423">
        <v>0</v>
      </c>
      <c r="I10" s="423">
        <v>0</v>
      </c>
      <c r="J10" s="423">
        <v>0</v>
      </c>
      <c r="K10" s="423">
        <v>0</v>
      </c>
      <c r="L10" s="423">
        <v>0</v>
      </c>
      <c r="M10" s="423">
        <v>0</v>
      </c>
      <c r="N10" s="423">
        <v>0</v>
      </c>
      <c r="O10" s="423">
        <v>0</v>
      </c>
      <c r="P10" s="423">
        <v>0</v>
      </c>
      <c r="Q10" s="423">
        <v>0</v>
      </c>
      <c r="R10" s="423">
        <v>0</v>
      </c>
      <c r="S10" s="423"/>
      <c r="U10" s="423">
        <f t="shared" ref="U10:U25" si="6">L10</f>
        <v>0</v>
      </c>
      <c r="V10" s="423">
        <f t="shared" ref="V10:V16" si="7">M10-U10</f>
        <v>0</v>
      </c>
      <c r="W10" s="423">
        <f t="shared" ref="W10:X25" si="8">N10-M10</f>
        <v>0</v>
      </c>
      <c r="X10" s="423">
        <f t="shared" si="8"/>
        <v>0</v>
      </c>
      <c r="Y10" s="423">
        <f t="shared" ref="Y10:Y25" si="9">P10</f>
        <v>0</v>
      </c>
      <c r="Z10" s="423">
        <f t="shared" ref="Z10:AA25" si="10">Q10-P10</f>
        <v>0</v>
      </c>
      <c r="AA10" s="423">
        <f t="shared" si="10"/>
        <v>0</v>
      </c>
    </row>
    <row r="11" spans="1:27">
      <c r="A11" s="417" t="s">
        <v>602</v>
      </c>
      <c r="B11" s="417" t="s">
        <v>603</v>
      </c>
      <c r="D11" s="422">
        <v>0</v>
      </c>
      <c r="E11" s="422">
        <v>0</v>
      </c>
      <c r="F11" s="422">
        <v>0</v>
      </c>
      <c r="G11" s="422">
        <v>0</v>
      </c>
      <c r="H11" s="422">
        <v>0</v>
      </c>
      <c r="I11" s="422">
        <v>0</v>
      </c>
      <c r="J11" s="422">
        <v>0</v>
      </c>
      <c r="K11" s="422">
        <v>0</v>
      </c>
      <c r="L11" s="422">
        <v>0</v>
      </c>
      <c r="M11" s="422">
        <v>0</v>
      </c>
      <c r="N11" s="422">
        <v>0</v>
      </c>
      <c r="O11" s="422">
        <v>0</v>
      </c>
      <c r="P11" s="422">
        <v>0</v>
      </c>
      <c r="Q11" s="422">
        <v>0</v>
      </c>
      <c r="R11" s="422">
        <v>0</v>
      </c>
      <c r="S11" s="422"/>
      <c r="U11" s="422">
        <f t="shared" si="6"/>
        <v>0</v>
      </c>
      <c r="V11" s="422">
        <f t="shared" si="7"/>
        <v>0</v>
      </c>
      <c r="W11" s="422">
        <f t="shared" si="8"/>
        <v>0</v>
      </c>
      <c r="X11" s="422">
        <f t="shared" si="8"/>
        <v>0</v>
      </c>
      <c r="Y11" s="422">
        <f>P11</f>
        <v>0</v>
      </c>
      <c r="Z11" s="422">
        <f t="shared" si="10"/>
        <v>0</v>
      </c>
      <c r="AA11" s="422">
        <f t="shared" si="10"/>
        <v>0</v>
      </c>
    </row>
    <row r="12" spans="1:27">
      <c r="A12" s="417" t="s">
        <v>604</v>
      </c>
      <c r="B12" s="417" t="s">
        <v>605</v>
      </c>
      <c r="D12" s="422">
        <v>0</v>
      </c>
      <c r="E12" s="422">
        <v>0</v>
      </c>
      <c r="F12" s="422">
        <v>0</v>
      </c>
      <c r="G12" s="422">
        <v>0</v>
      </c>
      <c r="H12" s="422">
        <v>0</v>
      </c>
      <c r="I12" s="422">
        <v>0</v>
      </c>
      <c r="J12" s="422">
        <v>0</v>
      </c>
      <c r="K12" s="422">
        <v>0</v>
      </c>
      <c r="L12" s="422">
        <v>0</v>
      </c>
      <c r="M12" s="422">
        <v>0</v>
      </c>
      <c r="N12" s="422">
        <v>0</v>
      </c>
      <c r="O12" s="422">
        <v>0</v>
      </c>
      <c r="P12" s="422">
        <v>0</v>
      </c>
      <c r="Q12" s="422">
        <v>0</v>
      </c>
      <c r="R12" s="422">
        <v>0</v>
      </c>
      <c r="S12" s="422"/>
      <c r="U12" s="422">
        <f t="shared" si="6"/>
        <v>0</v>
      </c>
      <c r="V12" s="422">
        <f t="shared" si="7"/>
        <v>0</v>
      </c>
      <c r="W12" s="422">
        <f t="shared" si="8"/>
        <v>0</v>
      </c>
      <c r="X12" s="422">
        <f t="shared" si="8"/>
        <v>0</v>
      </c>
      <c r="Y12" s="422">
        <f t="shared" si="9"/>
        <v>0</v>
      </c>
      <c r="Z12" s="422">
        <f t="shared" si="10"/>
        <v>0</v>
      </c>
      <c r="AA12" s="422">
        <f t="shared" si="10"/>
        <v>0</v>
      </c>
    </row>
    <row r="13" spans="1:27">
      <c r="A13" s="417" t="s">
        <v>606</v>
      </c>
      <c r="B13" s="417" t="s">
        <v>607</v>
      </c>
      <c r="D13" s="422">
        <v>107282</v>
      </c>
      <c r="E13" s="422">
        <v>107282</v>
      </c>
      <c r="F13" s="422">
        <v>107282</v>
      </c>
      <c r="G13" s="422">
        <v>107282</v>
      </c>
      <c r="H13" s="422">
        <v>1356</v>
      </c>
      <c r="I13" s="422">
        <v>8588</v>
      </c>
      <c r="J13" s="422">
        <v>69601</v>
      </c>
      <c r="K13" s="422">
        <v>97878</v>
      </c>
      <c r="L13" s="422">
        <v>6097</v>
      </c>
      <c r="M13" s="422">
        <v>7528</v>
      </c>
      <c r="N13" s="422">
        <v>7661</v>
      </c>
      <c r="O13" s="422">
        <v>8806</v>
      </c>
      <c r="P13" s="422">
        <v>0</v>
      </c>
      <c r="Q13" s="422">
        <v>0</v>
      </c>
      <c r="R13" s="422">
        <v>0</v>
      </c>
      <c r="S13" s="422"/>
      <c r="U13" s="422">
        <f t="shared" si="6"/>
        <v>6097</v>
      </c>
      <c r="V13" s="422">
        <f t="shared" si="7"/>
        <v>1431</v>
      </c>
      <c r="W13" s="422">
        <f t="shared" si="8"/>
        <v>133</v>
      </c>
      <c r="X13" s="422">
        <f t="shared" si="8"/>
        <v>1145</v>
      </c>
      <c r="Y13" s="422">
        <f t="shared" si="9"/>
        <v>0</v>
      </c>
      <c r="Z13" s="422">
        <f t="shared" si="10"/>
        <v>0</v>
      </c>
      <c r="AA13" s="422">
        <f t="shared" si="10"/>
        <v>0</v>
      </c>
    </row>
    <row r="14" spans="1:27">
      <c r="A14" s="417" t="s">
        <v>608</v>
      </c>
      <c r="B14" s="417" t="s">
        <v>609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/>
      <c r="U14" s="422">
        <f t="shared" si="6"/>
        <v>0</v>
      </c>
      <c r="V14" s="422">
        <f t="shared" si="7"/>
        <v>0</v>
      </c>
      <c r="W14" s="422">
        <f t="shared" si="8"/>
        <v>0</v>
      </c>
      <c r="X14" s="422">
        <f t="shared" si="8"/>
        <v>0</v>
      </c>
      <c r="Y14" s="422">
        <f t="shared" si="9"/>
        <v>0</v>
      </c>
      <c r="Z14" s="422">
        <f t="shared" si="10"/>
        <v>0</v>
      </c>
      <c r="AA14" s="422">
        <f t="shared" si="10"/>
        <v>0</v>
      </c>
    </row>
    <row r="15" spans="1:27">
      <c r="A15" s="417" t="s">
        <v>610</v>
      </c>
      <c r="B15" s="417" t="s">
        <v>611</v>
      </c>
      <c r="D15" s="422">
        <v>15039</v>
      </c>
      <c r="E15" s="422">
        <v>43096</v>
      </c>
      <c r="F15" s="422">
        <v>64325</v>
      </c>
      <c r="G15" s="422">
        <v>93685</v>
      </c>
      <c r="H15" s="422">
        <v>25689</v>
      </c>
      <c r="I15" s="422">
        <v>50348</v>
      </c>
      <c r="J15" s="422">
        <v>98112</v>
      </c>
      <c r="K15" s="422">
        <v>133629</v>
      </c>
      <c r="L15" s="422">
        <v>20221</v>
      </c>
      <c r="M15" s="422">
        <v>47715</v>
      </c>
      <c r="N15" s="422">
        <v>78880</v>
      </c>
      <c r="O15" s="422">
        <v>108507</v>
      </c>
      <c r="P15" s="422">
        <v>30409</v>
      </c>
      <c r="Q15" s="422">
        <v>66427</v>
      </c>
      <c r="R15" s="422">
        <v>102310</v>
      </c>
      <c r="S15" s="422"/>
      <c r="U15" s="422">
        <f t="shared" si="6"/>
        <v>20221</v>
      </c>
      <c r="V15" s="422">
        <f t="shared" si="7"/>
        <v>27494</v>
      </c>
      <c r="W15" s="422">
        <f t="shared" si="8"/>
        <v>31165</v>
      </c>
      <c r="X15" s="422">
        <f t="shared" si="8"/>
        <v>29627</v>
      </c>
      <c r="Y15" s="422">
        <f t="shared" si="9"/>
        <v>30409</v>
      </c>
      <c r="Z15" s="422">
        <f t="shared" si="10"/>
        <v>36018</v>
      </c>
      <c r="AA15" s="422">
        <f t="shared" si="10"/>
        <v>35883</v>
      </c>
    </row>
    <row r="16" spans="1:27">
      <c r="A16" s="417" t="s">
        <v>612</v>
      </c>
      <c r="B16" s="417" t="s">
        <v>613</v>
      </c>
      <c r="D16" s="422">
        <v>0</v>
      </c>
      <c r="E16" s="422">
        <v>0</v>
      </c>
      <c r="F16" s="422">
        <v>0</v>
      </c>
      <c r="G16" s="422">
        <v>0</v>
      </c>
      <c r="H16" s="422">
        <v>0</v>
      </c>
      <c r="I16" s="422">
        <v>0</v>
      </c>
      <c r="J16" s="422">
        <v>0</v>
      </c>
      <c r="K16" s="422">
        <v>0</v>
      </c>
      <c r="L16" s="422">
        <v>0</v>
      </c>
      <c r="M16" s="422">
        <v>0</v>
      </c>
      <c r="N16" s="422">
        <v>0</v>
      </c>
      <c r="O16" s="422">
        <v>0</v>
      </c>
      <c r="P16" s="422">
        <v>0</v>
      </c>
      <c r="Q16" s="422">
        <v>0</v>
      </c>
      <c r="R16" s="422">
        <v>0</v>
      </c>
      <c r="S16" s="422"/>
      <c r="U16" s="422">
        <f t="shared" si="6"/>
        <v>0</v>
      </c>
      <c r="V16" s="422">
        <f t="shared" si="7"/>
        <v>0</v>
      </c>
      <c r="W16" s="422">
        <f t="shared" si="8"/>
        <v>0</v>
      </c>
      <c r="X16" s="422">
        <f t="shared" si="8"/>
        <v>0</v>
      </c>
      <c r="Y16" s="422">
        <f t="shared" si="9"/>
        <v>0</v>
      </c>
      <c r="Z16" s="422">
        <f t="shared" si="10"/>
        <v>0</v>
      </c>
      <c r="AA16" s="422">
        <f t="shared" si="10"/>
        <v>0</v>
      </c>
    </row>
    <row r="17" spans="1:27">
      <c r="A17" s="417" t="s">
        <v>614</v>
      </c>
      <c r="B17" s="417" t="s">
        <v>615</v>
      </c>
      <c r="D17" s="422">
        <f t="shared" ref="D17:I17" si="11">SUM(D18:D25)</f>
        <v>353915</v>
      </c>
      <c r="E17" s="422">
        <f t="shared" si="11"/>
        <v>687206</v>
      </c>
      <c r="F17" s="422">
        <f t="shared" si="11"/>
        <v>969707</v>
      </c>
      <c r="G17" s="422">
        <f t="shared" si="11"/>
        <v>1290719</v>
      </c>
      <c r="H17" s="422">
        <f t="shared" si="11"/>
        <v>329100</v>
      </c>
      <c r="I17" s="422">
        <f t="shared" si="11"/>
        <v>673061</v>
      </c>
      <c r="J17" s="422">
        <f t="shared" ref="J17:R17" si="12">SUM(J18:J25)</f>
        <v>1000173</v>
      </c>
      <c r="K17" s="422">
        <f t="shared" si="12"/>
        <v>1374586.3149999999</v>
      </c>
      <c r="L17" s="422">
        <f t="shared" si="12"/>
        <v>357562.755</v>
      </c>
      <c r="M17" s="422">
        <f t="shared" si="12"/>
        <v>707406.755</v>
      </c>
      <c r="N17" s="422">
        <f t="shared" si="12"/>
        <v>1267345</v>
      </c>
      <c r="O17" s="422">
        <f t="shared" si="12"/>
        <v>1607249</v>
      </c>
      <c r="P17" s="422">
        <f t="shared" si="12"/>
        <v>325081</v>
      </c>
      <c r="Q17" s="422">
        <f t="shared" si="12"/>
        <v>649689</v>
      </c>
      <c r="R17" s="422">
        <f t="shared" si="12"/>
        <v>984780</v>
      </c>
      <c r="S17" s="422"/>
      <c r="U17" s="422">
        <f t="shared" ref="U17:AA17" si="13">SUM(U18:U25)</f>
        <v>357562.755</v>
      </c>
      <c r="V17" s="422">
        <f t="shared" si="13"/>
        <v>349844</v>
      </c>
      <c r="W17" s="422">
        <f t="shared" si="13"/>
        <v>559938.245</v>
      </c>
      <c r="X17" s="422">
        <f t="shared" si="13"/>
        <v>339904</v>
      </c>
      <c r="Y17" s="422">
        <f t="shared" si="13"/>
        <v>325081</v>
      </c>
      <c r="Z17" s="422">
        <f t="shared" si="13"/>
        <v>324608</v>
      </c>
      <c r="AA17" s="422">
        <f t="shared" si="13"/>
        <v>335091</v>
      </c>
    </row>
    <row r="18" spans="1:27" outlineLevel="1">
      <c r="A18" s="418" t="s">
        <v>616</v>
      </c>
      <c r="B18" s="418" t="s">
        <v>617</v>
      </c>
      <c r="D18" s="423">
        <v>0</v>
      </c>
      <c r="E18" s="423">
        <v>0</v>
      </c>
      <c r="F18" s="423">
        <v>0</v>
      </c>
      <c r="G18" s="423">
        <v>0</v>
      </c>
      <c r="H18" s="423">
        <v>0</v>
      </c>
      <c r="I18" s="423">
        <v>0</v>
      </c>
      <c r="J18" s="423">
        <v>0</v>
      </c>
      <c r="K18" s="423">
        <v>0</v>
      </c>
      <c r="L18" s="423">
        <v>0</v>
      </c>
      <c r="M18" s="423">
        <v>0</v>
      </c>
      <c r="N18" s="423">
        <v>0</v>
      </c>
      <c r="O18" s="423">
        <v>0</v>
      </c>
      <c r="P18" s="423">
        <v>0</v>
      </c>
      <c r="Q18" s="423">
        <v>0</v>
      </c>
      <c r="R18" s="423">
        <v>0</v>
      </c>
      <c r="S18" s="423"/>
      <c r="U18" s="423">
        <f t="shared" si="6"/>
        <v>0</v>
      </c>
      <c r="V18" s="423">
        <f t="shared" ref="V18:V25" si="14">M18-U18</f>
        <v>0</v>
      </c>
      <c r="W18" s="423">
        <f t="shared" si="8"/>
        <v>0</v>
      </c>
      <c r="X18" s="423">
        <f t="shared" si="8"/>
        <v>0</v>
      </c>
      <c r="Y18" s="423">
        <f t="shared" si="9"/>
        <v>0</v>
      </c>
      <c r="Z18" s="423">
        <f t="shared" si="10"/>
        <v>0</v>
      </c>
      <c r="AA18" s="423">
        <f t="shared" si="10"/>
        <v>0</v>
      </c>
    </row>
    <row r="19" spans="1:27" outlineLevel="1">
      <c r="A19" s="418" t="s">
        <v>618</v>
      </c>
      <c r="B19" s="418" t="s">
        <v>619</v>
      </c>
      <c r="D19" s="423">
        <v>0</v>
      </c>
      <c r="E19" s="423">
        <v>0</v>
      </c>
      <c r="F19" s="423">
        <v>0</v>
      </c>
      <c r="G19" s="423">
        <v>0</v>
      </c>
      <c r="H19" s="423">
        <v>0</v>
      </c>
      <c r="I19" s="423">
        <v>0</v>
      </c>
      <c r="J19" s="423">
        <v>0</v>
      </c>
      <c r="K19" s="423">
        <v>0</v>
      </c>
      <c r="L19" s="423">
        <v>0</v>
      </c>
      <c r="M19" s="423">
        <v>0</v>
      </c>
      <c r="N19" s="423">
        <v>0</v>
      </c>
      <c r="O19" s="423">
        <v>0</v>
      </c>
      <c r="P19" s="423">
        <v>0</v>
      </c>
      <c r="Q19" s="423">
        <v>0</v>
      </c>
      <c r="R19" s="423">
        <v>0</v>
      </c>
      <c r="S19" s="423"/>
      <c r="U19" s="423">
        <f t="shared" si="6"/>
        <v>0</v>
      </c>
      <c r="V19" s="423">
        <f t="shared" si="14"/>
        <v>0</v>
      </c>
      <c r="W19" s="423">
        <f t="shared" si="8"/>
        <v>0</v>
      </c>
      <c r="X19" s="423">
        <f t="shared" si="8"/>
        <v>0</v>
      </c>
      <c r="Y19" s="423">
        <f t="shared" si="9"/>
        <v>0</v>
      </c>
      <c r="Z19" s="423">
        <f t="shared" si="10"/>
        <v>0</v>
      </c>
      <c r="AA19" s="423">
        <f t="shared" si="10"/>
        <v>0</v>
      </c>
    </row>
    <row r="20" spans="1:27" outlineLevel="1">
      <c r="A20" s="418" t="s">
        <v>620</v>
      </c>
      <c r="B20" s="418" t="s">
        <v>621</v>
      </c>
      <c r="D20" s="423">
        <v>0</v>
      </c>
      <c r="E20" s="423">
        <v>14956</v>
      </c>
      <c r="F20" s="423">
        <v>14956</v>
      </c>
      <c r="G20" s="423">
        <v>0</v>
      </c>
      <c r="H20" s="423">
        <v>0</v>
      </c>
      <c r="I20" s="423">
        <v>0</v>
      </c>
      <c r="J20" s="423">
        <v>0</v>
      </c>
      <c r="K20" s="423">
        <v>116</v>
      </c>
      <c r="L20" s="423">
        <v>296</v>
      </c>
      <c r="M20" s="423">
        <v>642</v>
      </c>
      <c r="N20" s="423">
        <v>994</v>
      </c>
      <c r="O20" s="423">
        <v>1349</v>
      </c>
      <c r="P20" s="423">
        <v>0</v>
      </c>
      <c r="Q20" s="423">
        <v>0</v>
      </c>
      <c r="R20" s="423">
        <v>0</v>
      </c>
      <c r="S20" s="423"/>
      <c r="U20" s="423">
        <f t="shared" si="6"/>
        <v>296</v>
      </c>
      <c r="V20" s="423">
        <f t="shared" si="14"/>
        <v>346</v>
      </c>
      <c r="W20" s="423">
        <f t="shared" si="8"/>
        <v>352</v>
      </c>
      <c r="X20" s="423">
        <f t="shared" si="8"/>
        <v>355</v>
      </c>
      <c r="Y20" s="423">
        <f t="shared" si="9"/>
        <v>0</v>
      </c>
      <c r="Z20" s="423">
        <f t="shared" si="10"/>
        <v>0</v>
      </c>
      <c r="AA20" s="423">
        <f t="shared" si="10"/>
        <v>0</v>
      </c>
    </row>
    <row r="21" spans="1:27" outlineLevel="1">
      <c r="A21" s="418" t="s">
        <v>622</v>
      </c>
      <c r="B21" s="418" t="s">
        <v>623</v>
      </c>
      <c r="D21" s="423">
        <v>374522</v>
      </c>
      <c r="E21" s="423">
        <v>704044</v>
      </c>
      <c r="F21" s="423">
        <v>1049686</v>
      </c>
      <c r="G21" s="423">
        <v>1422140</v>
      </c>
      <c r="H21" s="423">
        <v>362644</v>
      </c>
      <c r="I21" s="423">
        <v>741662</v>
      </c>
      <c r="J21" s="423">
        <v>1102115</v>
      </c>
      <c r="K21" s="423">
        <v>1463634</v>
      </c>
      <c r="L21" s="423">
        <v>379763</v>
      </c>
      <c r="M21" s="423">
        <v>750545</v>
      </c>
      <c r="N21" s="423">
        <v>1079848</v>
      </c>
      <c r="O21" s="423">
        <v>1425983</v>
      </c>
      <c r="P21" s="423">
        <v>331245</v>
      </c>
      <c r="Q21" s="423">
        <v>662230</v>
      </c>
      <c r="R21" s="423">
        <v>1002203</v>
      </c>
      <c r="S21" s="423"/>
      <c r="U21" s="423">
        <f t="shared" si="6"/>
        <v>379763</v>
      </c>
      <c r="V21" s="423">
        <f t="shared" si="14"/>
        <v>370782</v>
      </c>
      <c r="W21" s="423">
        <f t="shared" si="8"/>
        <v>329303</v>
      </c>
      <c r="X21" s="423">
        <f t="shared" si="8"/>
        <v>346135</v>
      </c>
      <c r="Y21" s="423">
        <f t="shared" si="9"/>
        <v>331245</v>
      </c>
      <c r="Z21" s="423">
        <f t="shared" si="10"/>
        <v>330985</v>
      </c>
      <c r="AA21" s="423">
        <f t="shared" si="10"/>
        <v>339973</v>
      </c>
    </row>
    <row r="22" spans="1:27" outlineLevel="1">
      <c r="A22" s="418" t="s">
        <v>624</v>
      </c>
      <c r="B22" s="418" t="s">
        <v>625</v>
      </c>
      <c r="D22" s="423">
        <v>-34643</v>
      </c>
      <c r="E22" s="423">
        <v>-66508</v>
      </c>
      <c r="F22" s="423">
        <v>-98480</v>
      </c>
      <c r="G22" s="423">
        <v>-131548</v>
      </c>
      <c r="H22" s="423">
        <v>-33544</v>
      </c>
      <c r="I22" s="423">
        <v>-68604</v>
      </c>
      <c r="J22" s="423">
        <v>-101945</v>
      </c>
      <c r="K22" s="423">
        <v>-89166.684999999998</v>
      </c>
      <c r="L22" s="423">
        <v>-22496.244999999999</v>
      </c>
      <c r="M22" s="423">
        <v>-43780.245000000003</v>
      </c>
      <c r="N22" s="423">
        <v>186503</v>
      </c>
      <c r="O22" s="423">
        <v>179917</v>
      </c>
      <c r="P22" s="423">
        <v>-6164</v>
      </c>
      <c r="Q22" s="423">
        <v>-12541</v>
      </c>
      <c r="R22" s="423">
        <v>-17423</v>
      </c>
      <c r="S22" s="423"/>
      <c r="U22" s="423">
        <f t="shared" si="6"/>
        <v>-22496.244999999999</v>
      </c>
      <c r="V22" s="423">
        <f t="shared" si="14"/>
        <v>-21284.000000000004</v>
      </c>
      <c r="W22" s="423">
        <f t="shared" si="8"/>
        <v>230283.245</v>
      </c>
      <c r="X22" s="423">
        <f t="shared" si="8"/>
        <v>-6586</v>
      </c>
      <c r="Y22" s="423">
        <f t="shared" si="9"/>
        <v>-6164</v>
      </c>
      <c r="Z22" s="423">
        <f t="shared" si="10"/>
        <v>-6377</v>
      </c>
      <c r="AA22" s="423">
        <f t="shared" si="10"/>
        <v>-4882</v>
      </c>
    </row>
    <row r="23" spans="1:27" outlineLevel="1">
      <c r="A23" s="418" t="s">
        <v>626</v>
      </c>
      <c r="B23" s="418" t="s">
        <v>811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/>
      <c r="U23" s="423">
        <f t="shared" si="6"/>
        <v>0</v>
      </c>
      <c r="V23" s="423">
        <f t="shared" si="14"/>
        <v>0</v>
      </c>
      <c r="W23" s="423">
        <f t="shared" si="8"/>
        <v>0</v>
      </c>
      <c r="X23" s="423">
        <f t="shared" si="8"/>
        <v>0</v>
      </c>
      <c r="Y23" s="423">
        <f t="shared" si="9"/>
        <v>0</v>
      </c>
      <c r="Z23" s="423">
        <f t="shared" si="10"/>
        <v>0</v>
      </c>
      <c r="AA23" s="423">
        <f t="shared" si="10"/>
        <v>0</v>
      </c>
    </row>
    <row r="24" spans="1:27" outlineLevel="1">
      <c r="A24" s="418" t="s">
        <v>628</v>
      </c>
      <c r="B24" s="418" t="s">
        <v>629</v>
      </c>
      <c r="D24" s="423">
        <v>0</v>
      </c>
      <c r="E24" s="423">
        <v>0</v>
      </c>
      <c r="F24" s="423">
        <v>0</v>
      </c>
      <c r="G24" s="423">
        <v>0</v>
      </c>
      <c r="H24" s="423">
        <v>0</v>
      </c>
      <c r="I24" s="423">
        <v>0</v>
      </c>
      <c r="J24" s="423">
        <v>0</v>
      </c>
      <c r="K24" s="423">
        <v>0</v>
      </c>
      <c r="L24" s="423">
        <v>0</v>
      </c>
      <c r="M24" s="423">
        <v>0</v>
      </c>
      <c r="N24" s="423">
        <v>0</v>
      </c>
      <c r="O24" s="423">
        <v>0</v>
      </c>
      <c r="P24" s="423">
        <v>0</v>
      </c>
      <c r="Q24" s="423">
        <v>0</v>
      </c>
      <c r="R24" s="423">
        <v>0</v>
      </c>
      <c r="S24" s="423"/>
      <c r="U24" s="423">
        <f t="shared" si="6"/>
        <v>0</v>
      </c>
      <c r="V24" s="423">
        <f t="shared" si="14"/>
        <v>0</v>
      </c>
      <c r="W24" s="423">
        <f t="shared" si="8"/>
        <v>0</v>
      </c>
      <c r="X24" s="423">
        <f t="shared" si="8"/>
        <v>0</v>
      </c>
      <c r="Y24" s="423">
        <f t="shared" si="9"/>
        <v>0</v>
      </c>
      <c r="Z24" s="423">
        <f t="shared" si="10"/>
        <v>0</v>
      </c>
      <c r="AA24" s="423">
        <f t="shared" si="10"/>
        <v>0</v>
      </c>
    </row>
    <row r="25" spans="1:27" outlineLevel="1">
      <c r="A25" s="418" t="s">
        <v>614</v>
      </c>
      <c r="B25" s="418" t="s">
        <v>615</v>
      </c>
      <c r="D25" s="423">
        <v>14036</v>
      </c>
      <c r="E25" s="423">
        <v>34714</v>
      </c>
      <c r="F25" s="423">
        <v>3545</v>
      </c>
      <c r="G25" s="423">
        <v>127</v>
      </c>
      <c r="H25" s="423">
        <v>0</v>
      </c>
      <c r="I25" s="423">
        <v>3</v>
      </c>
      <c r="J25" s="423">
        <v>3</v>
      </c>
      <c r="K25" s="423">
        <v>3</v>
      </c>
      <c r="L25" s="423">
        <v>0</v>
      </c>
      <c r="M25" s="423">
        <v>0</v>
      </c>
      <c r="N25" s="423">
        <v>0</v>
      </c>
      <c r="O25" s="423">
        <v>0</v>
      </c>
      <c r="P25" s="423">
        <v>0</v>
      </c>
      <c r="Q25" s="423">
        <v>0</v>
      </c>
      <c r="R25" s="423">
        <v>0</v>
      </c>
      <c r="S25" s="423"/>
      <c r="U25" s="423">
        <f t="shared" si="6"/>
        <v>0</v>
      </c>
      <c r="V25" s="423">
        <f t="shared" si="14"/>
        <v>0</v>
      </c>
      <c r="W25" s="423">
        <f t="shared" si="8"/>
        <v>0</v>
      </c>
      <c r="X25" s="423">
        <f t="shared" si="8"/>
        <v>0</v>
      </c>
      <c r="Y25" s="423">
        <f t="shared" si="9"/>
        <v>0</v>
      </c>
      <c r="Z25" s="423">
        <f t="shared" si="10"/>
        <v>0</v>
      </c>
      <c r="AA25" s="423">
        <f t="shared" si="10"/>
        <v>0</v>
      </c>
    </row>
    <row r="26" spans="1:27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U26" s="417"/>
      <c r="V26" s="417"/>
      <c r="W26" s="417"/>
      <c r="X26" s="417"/>
      <c r="Y26" s="417"/>
      <c r="Z26" s="417"/>
      <c r="AA26" s="417"/>
    </row>
    <row r="27" spans="1:27">
      <c r="A27" s="429" t="s">
        <v>630</v>
      </c>
      <c r="B27" s="429" t="s">
        <v>631</v>
      </c>
      <c r="D27" s="420">
        <f t="shared" ref="D27:I27" si="15">SUM(D29:D37)</f>
        <v>-31645</v>
      </c>
      <c r="E27" s="420">
        <f t="shared" si="15"/>
        <v>-51403</v>
      </c>
      <c r="F27" s="420">
        <f t="shared" si="15"/>
        <v>-71018</v>
      </c>
      <c r="G27" s="420">
        <f t="shared" si="15"/>
        <v>-93002</v>
      </c>
      <c r="H27" s="420">
        <f t="shared" si="15"/>
        <v>-20527</v>
      </c>
      <c r="I27" s="420">
        <f t="shared" si="15"/>
        <v>-41671</v>
      </c>
      <c r="J27" s="420">
        <f t="shared" ref="J27:R27" si="16">SUM(J29:J37)</f>
        <v>-67287</v>
      </c>
      <c r="K27" s="420">
        <f t="shared" si="16"/>
        <v>-138092.315</v>
      </c>
      <c r="L27" s="420">
        <f t="shared" si="16"/>
        <v>-35029.755000000005</v>
      </c>
      <c r="M27" s="420">
        <f t="shared" si="16"/>
        <v>-70803.755000000005</v>
      </c>
      <c r="N27" s="420">
        <f t="shared" si="16"/>
        <v>-114981</v>
      </c>
      <c r="O27" s="420">
        <f t="shared" si="16"/>
        <v>-145884</v>
      </c>
      <c r="P27" s="420">
        <f t="shared" si="16"/>
        <v>-30125</v>
      </c>
      <c r="Q27" s="420">
        <f t="shared" si="16"/>
        <v>-61245</v>
      </c>
      <c r="R27" s="420">
        <f t="shared" si="16"/>
        <v>-93151</v>
      </c>
      <c r="S27" s="420"/>
      <c r="U27" s="420">
        <f t="shared" ref="U27:AA27" si="17">SUM(U29:U37)</f>
        <v>-35029.755000000005</v>
      </c>
      <c r="V27" s="420">
        <f t="shared" si="17"/>
        <v>-35774</v>
      </c>
      <c r="W27" s="420">
        <f t="shared" si="17"/>
        <v>-44177.245000000003</v>
      </c>
      <c r="X27" s="420">
        <f t="shared" si="17"/>
        <v>-30903</v>
      </c>
      <c r="Y27" s="420">
        <f t="shared" si="17"/>
        <v>-30125</v>
      </c>
      <c r="Z27" s="420">
        <f t="shared" si="17"/>
        <v>-31120</v>
      </c>
      <c r="AA27" s="420">
        <f t="shared" si="17"/>
        <v>-31906</v>
      </c>
    </row>
    <row r="28" spans="1:27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U28" s="421"/>
      <c r="V28" s="421"/>
      <c r="W28" s="421"/>
      <c r="X28" s="421"/>
      <c r="Y28" s="421"/>
      <c r="Z28" s="421"/>
      <c r="AA28" s="421"/>
    </row>
    <row r="29" spans="1:27" outlineLevel="1">
      <c r="A29" s="418" t="s">
        <v>632</v>
      </c>
      <c r="B29" s="418" t="s">
        <v>632</v>
      </c>
      <c r="D29" s="423">
        <v>0</v>
      </c>
      <c r="E29" s="423">
        <v>-76</v>
      </c>
      <c r="F29" s="423">
        <v>-92</v>
      </c>
      <c r="G29" s="423">
        <v>-92</v>
      </c>
      <c r="H29" s="423">
        <v>0</v>
      </c>
      <c r="I29" s="423">
        <v>0</v>
      </c>
      <c r="J29" s="423">
        <v>0</v>
      </c>
      <c r="K29" s="423">
        <v>0</v>
      </c>
      <c r="L29" s="423">
        <v>0</v>
      </c>
      <c r="M29" s="423">
        <v>0</v>
      </c>
      <c r="N29" s="423">
        <v>0</v>
      </c>
      <c r="O29" s="423">
        <v>0</v>
      </c>
      <c r="P29" s="423">
        <v>0</v>
      </c>
      <c r="Q29" s="423">
        <v>0</v>
      </c>
      <c r="R29" s="423">
        <v>0</v>
      </c>
      <c r="S29" s="423"/>
      <c r="U29" s="423">
        <f t="shared" ref="U29:U37" si="18">L29</f>
        <v>0</v>
      </c>
      <c r="V29" s="423">
        <f t="shared" ref="V29:V37" si="19">M29-U29</f>
        <v>0</v>
      </c>
      <c r="W29" s="423">
        <f t="shared" ref="W29:X37" si="20">N29-M29</f>
        <v>0</v>
      </c>
      <c r="X29" s="423">
        <f t="shared" si="20"/>
        <v>0</v>
      </c>
      <c r="Y29" s="423">
        <f t="shared" ref="Y29:Y37" si="21">P29</f>
        <v>0</v>
      </c>
      <c r="Z29" s="423">
        <f t="shared" ref="Z29:AA37" si="22">Q29-P29</f>
        <v>0</v>
      </c>
      <c r="AA29" s="423">
        <f t="shared" si="22"/>
        <v>0</v>
      </c>
    </row>
    <row r="30" spans="1:27" outlineLevel="1">
      <c r="A30" s="418" t="s">
        <v>633</v>
      </c>
      <c r="B30" s="418" t="s">
        <v>634</v>
      </c>
      <c r="D30" s="423">
        <v>-18614</v>
      </c>
      <c r="E30" s="423">
        <v>-34541</v>
      </c>
      <c r="F30" s="423">
        <v>-50713</v>
      </c>
      <c r="G30" s="423">
        <v>-67750</v>
      </c>
      <c r="H30" s="423">
        <v>-16160</v>
      </c>
      <c r="I30" s="423">
        <v>-32306</v>
      </c>
      <c r="J30" s="423">
        <v>-48113</v>
      </c>
      <c r="K30" s="423">
        <v>-112167</v>
      </c>
      <c r="L30" s="423">
        <v>-30253</v>
      </c>
      <c r="M30" s="423">
        <v>-61760</v>
      </c>
      <c r="N30" s="423">
        <v>-101451</v>
      </c>
      <c r="O30" s="423">
        <v>-128530</v>
      </c>
      <c r="P30" s="423">
        <v>-26435</v>
      </c>
      <c r="Q30" s="423">
        <v>-53825</v>
      </c>
      <c r="R30" s="423">
        <v>-81757</v>
      </c>
      <c r="S30" s="423"/>
      <c r="U30" s="423">
        <f t="shared" si="18"/>
        <v>-30253</v>
      </c>
      <c r="V30" s="423">
        <f t="shared" si="19"/>
        <v>-31507</v>
      </c>
      <c r="W30" s="423">
        <f t="shared" si="20"/>
        <v>-39691</v>
      </c>
      <c r="X30" s="423">
        <f t="shared" si="20"/>
        <v>-27079</v>
      </c>
      <c r="Y30" s="423">
        <f t="shared" si="21"/>
        <v>-26435</v>
      </c>
      <c r="Z30" s="423">
        <f t="shared" si="22"/>
        <v>-27390</v>
      </c>
      <c r="AA30" s="423">
        <f t="shared" si="22"/>
        <v>-27932</v>
      </c>
    </row>
    <row r="31" spans="1:27" outlineLevel="1">
      <c r="A31" s="418" t="s">
        <v>635</v>
      </c>
      <c r="B31" s="418" t="s">
        <v>636</v>
      </c>
      <c r="D31" s="423">
        <v>-9573</v>
      </c>
      <c r="E31" s="423">
        <v>-9923</v>
      </c>
      <c r="F31" s="423">
        <v>-9259</v>
      </c>
      <c r="G31" s="423">
        <v>-9925</v>
      </c>
      <c r="H31" s="423">
        <v>-125</v>
      </c>
      <c r="I31" s="423">
        <v>-794</v>
      </c>
      <c r="J31" s="423">
        <v>-6438</v>
      </c>
      <c r="K31" s="423">
        <v>-9053.3149999999987</v>
      </c>
      <c r="L31" s="423">
        <v>-563.75500000000011</v>
      </c>
      <c r="M31" s="423">
        <v>-696.75500000000011</v>
      </c>
      <c r="N31" s="423">
        <v>-709</v>
      </c>
      <c r="O31" s="423">
        <v>-815</v>
      </c>
      <c r="P31" s="423">
        <v>0</v>
      </c>
      <c r="Q31" s="423">
        <v>0</v>
      </c>
      <c r="R31" s="423">
        <v>0</v>
      </c>
      <c r="S31" s="423"/>
      <c r="U31" s="423">
        <f t="shared" si="18"/>
        <v>-563.75500000000011</v>
      </c>
      <c r="V31" s="423">
        <f t="shared" si="19"/>
        <v>-133</v>
      </c>
      <c r="W31" s="423">
        <f t="shared" si="20"/>
        <v>-12.244999999999891</v>
      </c>
      <c r="X31" s="423">
        <f t="shared" si="20"/>
        <v>-106</v>
      </c>
      <c r="Y31" s="423">
        <f t="shared" si="21"/>
        <v>0</v>
      </c>
      <c r="Z31" s="423">
        <f t="shared" si="22"/>
        <v>0</v>
      </c>
      <c r="AA31" s="423">
        <f t="shared" si="22"/>
        <v>0</v>
      </c>
    </row>
    <row r="32" spans="1:27" outlineLevel="1">
      <c r="A32" s="418" t="s">
        <v>637</v>
      </c>
      <c r="B32" s="418" t="s">
        <v>638</v>
      </c>
      <c r="D32" s="423">
        <v>0</v>
      </c>
      <c r="E32" s="423">
        <v>0</v>
      </c>
      <c r="F32" s="423">
        <v>0</v>
      </c>
      <c r="G32" s="423">
        <v>0</v>
      </c>
      <c r="H32" s="423">
        <v>0</v>
      </c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/>
      <c r="U32" s="423">
        <f t="shared" si="18"/>
        <v>0</v>
      </c>
      <c r="V32" s="423">
        <f t="shared" si="19"/>
        <v>0</v>
      </c>
      <c r="W32" s="423">
        <f t="shared" si="20"/>
        <v>0</v>
      </c>
      <c r="X32" s="423">
        <f t="shared" si="20"/>
        <v>0</v>
      </c>
      <c r="Y32" s="423">
        <f t="shared" si="21"/>
        <v>0</v>
      </c>
      <c r="Z32" s="423">
        <f t="shared" si="22"/>
        <v>0</v>
      </c>
      <c r="AA32" s="423">
        <f t="shared" si="22"/>
        <v>0</v>
      </c>
    </row>
    <row r="33" spans="1:27" outlineLevel="1">
      <c r="A33" s="418" t="s">
        <v>639</v>
      </c>
      <c r="B33" s="418" t="s">
        <v>640</v>
      </c>
      <c r="D33" s="423">
        <v>-2572</v>
      </c>
      <c r="E33" s="423">
        <v>-5090</v>
      </c>
      <c r="F33" s="423">
        <v>-7894</v>
      </c>
      <c r="G33" s="423">
        <v>-10741</v>
      </c>
      <c r="H33" s="423">
        <v>-2808</v>
      </c>
      <c r="I33" s="423">
        <v>-5703</v>
      </c>
      <c r="J33" s="423">
        <v>-8629</v>
      </c>
      <c r="K33" s="423">
        <v>-11689</v>
      </c>
      <c r="L33" s="423">
        <v>-2995</v>
      </c>
      <c r="M33" s="423">
        <v>-5998</v>
      </c>
      <c r="N33" s="423">
        <v>-9314</v>
      </c>
      <c r="O33" s="423">
        <v>-12040</v>
      </c>
      <c r="P33" s="423">
        <v>-2645</v>
      </c>
      <c r="Q33" s="423">
        <v>-5328</v>
      </c>
      <c r="R33" s="423">
        <v>-8216</v>
      </c>
      <c r="S33" s="423"/>
      <c r="U33" s="423">
        <f t="shared" si="18"/>
        <v>-2995</v>
      </c>
      <c r="V33" s="423">
        <f t="shared" si="19"/>
        <v>-3003</v>
      </c>
      <c r="W33" s="423">
        <f t="shared" si="20"/>
        <v>-3316</v>
      </c>
      <c r="X33" s="423">
        <f t="shared" si="20"/>
        <v>-2726</v>
      </c>
      <c r="Y33" s="423">
        <f t="shared" si="21"/>
        <v>-2645</v>
      </c>
      <c r="Z33" s="423">
        <f t="shared" si="22"/>
        <v>-2683</v>
      </c>
      <c r="AA33" s="423">
        <f t="shared" si="22"/>
        <v>-2888</v>
      </c>
    </row>
    <row r="34" spans="1:27" outlineLevel="1">
      <c r="A34" s="418" t="s">
        <v>641</v>
      </c>
      <c r="B34" s="418" t="s">
        <v>642</v>
      </c>
      <c r="D34" s="423">
        <v>-886</v>
      </c>
      <c r="E34" s="423">
        <v>-1773</v>
      </c>
      <c r="F34" s="423">
        <v>-3060</v>
      </c>
      <c r="G34" s="423">
        <v>-4494</v>
      </c>
      <c r="H34" s="423">
        <v>-1434</v>
      </c>
      <c r="I34" s="423">
        <v>-2868</v>
      </c>
      <c r="J34" s="423">
        <v>-4103</v>
      </c>
      <c r="K34" s="423">
        <v>-5179</v>
      </c>
      <c r="L34" s="423">
        <v>-1218</v>
      </c>
      <c r="M34" s="423">
        <v>-2349</v>
      </c>
      <c r="N34" s="423">
        <v>-3507</v>
      </c>
      <c r="O34" s="423">
        <v>-4499</v>
      </c>
      <c r="P34" s="423">
        <v>-1045</v>
      </c>
      <c r="Q34" s="423">
        <v>-2092</v>
      </c>
      <c r="R34" s="423">
        <v>-3178</v>
      </c>
      <c r="S34" s="423"/>
      <c r="U34" s="423">
        <f t="shared" si="18"/>
        <v>-1218</v>
      </c>
      <c r="V34" s="423">
        <f t="shared" si="19"/>
        <v>-1131</v>
      </c>
      <c r="W34" s="423">
        <f t="shared" si="20"/>
        <v>-1158</v>
      </c>
      <c r="X34" s="423">
        <f t="shared" si="20"/>
        <v>-992</v>
      </c>
      <c r="Y34" s="423">
        <f t="shared" si="21"/>
        <v>-1045</v>
      </c>
      <c r="Z34" s="423">
        <f t="shared" si="22"/>
        <v>-1047</v>
      </c>
      <c r="AA34" s="423">
        <f t="shared" si="22"/>
        <v>-1086</v>
      </c>
    </row>
    <row r="35" spans="1:27" outlineLevel="1">
      <c r="A35" s="418" t="s">
        <v>643</v>
      </c>
      <c r="B35" s="418" t="s">
        <v>644</v>
      </c>
      <c r="D35" s="423">
        <v>0</v>
      </c>
      <c r="E35" s="423">
        <v>0</v>
      </c>
      <c r="F35" s="423">
        <v>0</v>
      </c>
      <c r="G35" s="423">
        <v>0</v>
      </c>
      <c r="H35" s="423">
        <v>0</v>
      </c>
      <c r="I35" s="423">
        <v>0</v>
      </c>
      <c r="J35" s="423">
        <v>0</v>
      </c>
      <c r="K35" s="423">
        <v>0</v>
      </c>
      <c r="L35" s="423">
        <v>0</v>
      </c>
      <c r="M35" s="423">
        <v>0</v>
      </c>
      <c r="N35" s="423">
        <v>0</v>
      </c>
      <c r="O35" s="423">
        <v>0</v>
      </c>
      <c r="P35" s="423">
        <v>0</v>
      </c>
      <c r="Q35" s="423">
        <v>0</v>
      </c>
      <c r="R35" s="423">
        <v>0</v>
      </c>
      <c r="S35" s="423"/>
      <c r="U35" s="423">
        <f t="shared" si="18"/>
        <v>0</v>
      </c>
      <c r="V35" s="423">
        <f t="shared" si="19"/>
        <v>0</v>
      </c>
      <c r="W35" s="423">
        <f t="shared" si="20"/>
        <v>0</v>
      </c>
      <c r="X35" s="423">
        <f t="shared" si="20"/>
        <v>0</v>
      </c>
      <c r="Y35" s="423">
        <f t="shared" si="21"/>
        <v>0</v>
      </c>
      <c r="Z35" s="423">
        <f t="shared" si="22"/>
        <v>0</v>
      </c>
      <c r="AA35" s="423">
        <f t="shared" si="22"/>
        <v>0</v>
      </c>
    </row>
    <row r="36" spans="1:27" outlineLevel="1">
      <c r="A36" s="418" t="s">
        <v>645</v>
      </c>
      <c r="B36" s="418" t="s">
        <v>645</v>
      </c>
      <c r="D36" s="423">
        <v>0</v>
      </c>
      <c r="E36" s="423">
        <v>0</v>
      </c>
      <c r="F36" s="423">
        <v>0</v>
      </c>
      <c r="G36" s="423">
        <v>0</v>
      </c>
      <c r="H36" s="423">
        <v>0</v>
      </c>
      <c r="I36" s="423">
        <v>0</v>
      </c>
      <c r="J36" s="423">
        <v>-4</v>
      </c>
      <c r="K36" s="423">
        <v>-4</v>
      </c>
      <c r="L36" s="423">
        <v>0</v>
      </c>
      <c r="M36" s="423">
        <v>0</v>
      </c>
      <c r="N36" s="423">
        <v>0</v>
      </c>
      <c r="O36" s="423">
        <v>0</v>
      </c>
      <c r="P36" s="423">
        <v>0</v>
      </c>
      <c r="Q36" s="423">
        <v>0</v>
      </c>
      <c r="R36" s="423">
        <v>0</v>
      </c>
      <c r="S36" s="423"/>
      <c r="U36" s="423">
        <f t="shared" si="18"/>
        <v>0</v>
      </c>
      <c r="V36" s="423">
        <f t="shared" si="19"/>
        <v>0</v>
      </c>
      <c r="W36" s="423">
        <f t="shared" si="20"/>
        <v>0</v>
      </c>
      <c r="X36" s="423">
        <f t="shared" si="20"/>
        <v>0</v>
      </c>
      <c r="Y36" s="423">
        <f t="shared" si="21"/>
        <v>0</v>
      </c>
      <c r="Z36" s="423">
        <f t="shared" si="22"/>
        <v>0</v>
      </c>
      <c r="AA36" s="423">
        <f t="shared" si="22"/>
        <v>0</v>
      </c>
    </row>
    <row r="37" spans="1:27" outlineLevel="1">
      <c r="A37" s="418" t="s">
        <v>95</v>
      </c>
      <c r="B37" s="418" t="s">
        <v>96</v>
      </c>
      <c r="D37" s="423">
        <v>0</v>
      </c>
      <c r="E37" s="423">
        <v>0</v>
      </c>
      <c r="F37" s="423">
        <v>0</v>
      </c>
      <c r="G37" s="423">
        <v>0</v>
      </c>
      <c r="H37" s="423">
        <v>0</v>
      </c>
      <c r="I37" s="423">
        <v>0</v>
      </c>
      <c r="J37" s="423">
        <v>0</v>
      </c>
      <c r="K37" s="423">
        <v>0</v>
      </c>
      <c r="L37" s="423">
        <v>0</v>
      </c>
      <c r="M37" s="423">
        <v>0</v>
      </c>
      <c r="N37" s="423">
        <v>0</v>
      </c>
      <c r="O37" s="423">
        <v>0</v>
      </c>
      <c r="P37" s="423">
        <v>0</v>
      </c>
      <c r="Q37" s="423">
        <v>0</v>
      </c>
      <c r="R37" s="423">
        <v>0</v>
      </c>
      <c r="S37" s="423"/>
      <c r="U37" s="423">
        <f t="shared" si="18"/>
        <v>0</v>
      </c>
      <c r="V37" s="423">
        <f t="shared" si="19"/>
        <v>0</v>
      </c>
      <c r="W37" s="423">
        <f t="shared" si="20"/>
        <v>0</v>
      </c>
      <c r="X37" s="423">
        <f t="shared" si="20"/>
        <v>0</v>
      </c>
      <c r="Y37" s="423">
        <f t="shared" si="21"/>
        <v>0</v>
      </c>
      <c r="Z37" s="423">
        <f t="shared" si="22"/>
        <v>0</v>
      </c>
      <c r="AA37" s="423">
        <f t="shared" si="22"/>
        <v>0</v>
      </c>
    </row>
    <row r="38" spans="1:27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U38" s="417"/>
      <c r="V38" s="417"/>
      <c r="W38" s="417"/>
      <c r="X38" s="417"/>
      <c r="Y38" s="417"/>
      <c r="Z38" s="417"/>
      <c r="AA38" s="417"/>
    </row>
    <row r="39" spans="1:27">
      <c r="A39" s="429" t="s">
        <v>646</v>
      </c>
      <c r="B39" s="429" t="s">
        <v>647</v>
      </c>
      <c r="D39" s="420">
        <f t="shared" ref="D39:I39" si="23">D27+D6</f>
        <v>444591</v>
      </c>
      <c r="E39" s="420">
        <f t="shared" si="23"/>
        <v>786181</v>
      </c>
      <c r="F39" s="420">
        <f t="shared" si="23"/>
        <v>1070296</v>
      </c>
      <c r="G39" s="420">
        <f t="shared" si="23"/>
        <v>1398684</v>
      </c>
      <c r="H39" s="420">
        <f t="shared" si="23"/>
        <v>335618</v>
      </c>
      <c r="I39" s="420">
        <f t="shared" si="23"/>
        <v>690326</v>
      </c>
      <c r="J39" s="420">
        <f t="shared" ref="J39:R39" si="24">J27+J6</f>
        <v>1100599</v>
      </c>
      <c r="K39" s="420">
        <f t="shared" si="24"/>
        <v>1468001</v>
      </c>
      <c r="L39" s="420">
        <f t="shared" si="24"/>
        <v>348851</v>
      </c>
      <c r="M39" s="420">
        <f t="shared" si="24"/>
        <v>691846</v>
      </c>
      <c r="N39" s="420">
        <f t="shared" si="24"/>
        <v>1238905</v>
      </c>
      <c r="O39" s="420">
        <f t="shared" si="24"/>
        <v>1578678</v>
      </c>
      <c r="P39" s="420">
        <f t="shared" si="24"/>
        <v>325365</v>
      </c>
      <c r="Q39" s="420">
        <f t="shared" si="24"/>
        <v>654871</v>
      </c>
      <c r="R39" s="420">
        <f t="shared" si="24"/>
        <v>993939</v>
      </c>
      <c r="S39" s="420"/>
      <c r="U39" s="420">
        <f t="shared" ref="U39:AA39" si="25">U27+U6</f>
        <v>348851</v>
      </c>
      <c r="V39" s="420">
        <f t="shared" si="25"/>
        <v>342995</v>
      </c>
      <c r="W39" s="420">
        <f t="shared" si="25"/>
        <v>547059</v>
      </c>
      <c r="X39" s="420">
        <f t="shared" si="25"/>
        <v>339773</v>
      </c>
      <c r="Y39" s="420">
        <f t="shared" si="25"/>
        <v>325365</v>
      </c>
      <c r="Z39" s="420">
        <f t="shared" si="25"/>
        <v>329506</v>
      </c>
      <c r="AA39" s="420">
        <f t="shared" si="25"/>
        <v>339068</v>
      </c>
    </row>
    <row r="40" spans="1:27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U40" s="417"/>
      <c r="V40" s="417"/>
      <c r="W40" s="417"/>
      <c r="X40" s="417"/>
      <c r="Y40" s="417"/>
      <c r="Z40" s="417"/>
      <c r="AA40" s="417"/>
    </row>
    <row r="41" spans="1:27">
      <c r="A41" s="416" t="s">
        <v>648</v>
      </c>
      <c r="B41" s="416" t="s">
        <v>649</v>
      </c>
      <c r="D41" s="424">
        <f t="shared" ref="D41:I41" si="26">SUM(D43:D48)</f>
        <v>-94816</v>
      </c>
      <c r="E41" s="424">
        <f t="shared" si="26"/>
        <v>-135883</v>
      </c>
      <c r="F41" s="424">
        <f t="shared" si="26"/>
        <v>-109387</v>
      </c>
      <c r="G41" s="424">
        <f t="shared" si="26"/>
        <v>-131356</v>
      </c>
      <c r="H41" s="424">
        <f t="shared" si="26"/>
        <v>-12649</v>
      </c>
      <c r="I41" s="424">
        <f t="shared" si="26"/>
        <v>-37844</v>
      </c>
      <c r="J41" s="424">
        <f t="shared" ref="J41:R41" si="27">SUM(J43:J48)</f>
        <v>-109778</v>
      </c>
      <c r="K41" s="424">
        <f t="shared" si="27"/>
        <v>-147925</v>
      </c>
      <c r="L41" s="424">
        <f t="shared" si="27"/>
        <v>-19657</v>
      </c>
      <c r="M41" s="424">
        <f t="shared" si="27"/>
        <v>-33682</v>
      </c>
      <c r="N41" s="424">
        <f t="shared" si="27"/>
        <v>-54206</v>
      </c>
      <c r="O41" s="424">
        <f t="shared" si="27"/>
        <v>-77024</v>
      </c>
      <c r="P41" s="424">
        <f t="shared" si="27"/>
        <v>-20366</v>
      </c>
      <c r="Q41" s="424">
        <f t="shared" si="27"/>
        <v>-45056</v>
      </c>
      <c r="R41" s="424">
        <f t="shared" si="27"/>
        <v>-68370</v>
      </c>
      <c r="S41" s="424"/>
      <c r="U41" s="424">
        <f t="shared" ref="U41:AA41" si="28">SUM(U43:U48)</f>
        <v>-19657</v>
      </c>
      <c r="V41" s="424">
        <f t="shared" si="28"/>
        <v>-14025</v>
      </c>
      <c r="W41" s="424">
        <f t="shared" si="28"/>
        <v>-20524</v>
      </c>
      <c r="X41" s="424">
        <f t="shared" si="28"/>
        <v>-22818</v>
      </c>
      <c r="Y41" s="424">
        <f t="shared" si="28"/>
        <v>-20366</v>
      </c>
      <c r="Z41" s="424">
        <f t="shared" si="28"/>
        <v>-24690</v>
      </c>
      <c r="AA41" s="424">
        <f t="shared" si="28"/>
        <v>-23314</v>
      </c>
    </row>
    <row r="42" spans="1:27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U42" s="421"/>
      <c r="V42" s="421"/>
      <c r="W42" s="421"/>
      <c r="X42" s="421"/>
      <c r="Y42" s="421"/>
      <c r="Z42" s="421"/>
      <c r="AA42" s="421"/>
    </row>
    <row r="43" spans="1:27">
      <c r="A43" s="417" t="s">
        <v>650</v>
      </c>
      <c r="B43" s="417" t="s">
        <v>651</v>
      </c>
      <c r="D43" s="422">
        <v>0</v>
      </c>
      <c r="E43" s="422">
        <v>0</v>
      </c>
      <c r="F43" s="422">
        <v>0</v>
      </c>
      <c r="G43" s="422">
        <v>0</v>
      </c>
      <c r="H43" s="422">
        <v>0</v>
      </c>
      <c r="I43" s="422">
        <v>0</v>
      </c>
      <c r="J43" s="422">
        <v>0</v>
      </c>
      <c r="K43" s="422">
        <v>0</v>
      </c>
      <c r="L43" s="422">
        <v>0</v>
      </c>
      <c r="M43" s="422">
        <v>0</v>
      </c>
      <c r="N43" s="422">
        <v>0</v>
      </c>
      <c r="O43" s="422"/>
      <c r="P43" s="422"/>
      <c r="Q43" s="422"/>
      <c r="R43" s="422"/>
      <c r="S43" s="422"/>
      <c r="U43" s="422">
        <f>L43</f>
        <v>0</v>
      </c>
      <c r="V43" s="422">
        <f>M43-U43</f>
        <v>0</v>
      </c>
      <c r="W43" s="422">
        <f t="shared" ref="W43:X47" si="29">N43-M43</f>
        <v>0</v>
      </c>
      <c r="X43" s="422">
        <f t="shared" si="29"/>
        <v>0</v>
      </c>
      <c r="Y43" s="422">
        <f>P43</f>
        <v>0</v>
      </c>
      <c r="Z43" s="422">
        <f>Q43-P43</f>
        <v>0</v>
      </c>
      <c r="AA43" s="422">
        <f t="shared" ref="AA43:AA55" si="30">R43-Q43</f>
        <v>0</v>
      </c>
    </row>
    <row r="44" spans="1:27">
      <c r="A44" s="417" t="s">
        <v>652</v>
      </c>
      <c r="B44" s="417" t="s">
        <v>653</v>
      </c>
      <c r="D44" s="422">
        <v>-5465</v>
      </c>
      <c r="E44" s="422">
        <v>-5465</v>
      </c>
      <c r="F44" s="422">
        <v>-5465</v>
      </c>
      <c r="G44" s="422">
        <v>-5465</v>
      </c>
      <c r="H44" s="422">
        <v>-904</v>
      </c>
      <c r="I44" s="422">
        <v>-5725</v>
      </c>
      <c r="J44" s="422">
        <v>-46316</v>
      </c>
      <c r="K44" s="422">
        <v>-102429.35823</v>
      </c>
      <c r="L44" s="422">
        <v>-3994</v>
      </c>
      <c r="M44" s="422">
        <v>-4928</v>
      </c>
      <c r="N44" s="422">
        <v>-4979</v>
      </c>
      <c r="O44" s="422">
        <v>-5415</v>
      </c>
      <c r="P44" s="422">
        <v>0</v>
      </c>
      <c r="Q44" s="422">
        <v>0</v>
      </c>
      <c r="R44" s="422">
        <v>0</v>
      </c>
      <c r="S44" s="422"/>
      <c r="U44" s="422">
        <f>L44</f>
        <v>-3994</v>
      </c>
      <c r="V44" s="422">
        <f>M44-U44</f>
        <v>-934</v>
      </c>
      <c r="W44" s="422">
        <f t="shared" si="29"/>
        <v>-51</v>
      </c>
      <c r="X44" s="422">
        <f t="shared" si="29"/>
        <v>-436</v>
      </c>
      <c r="Y44" s="422">
        <f>P44</f>
        <v>0</v>
      </c>
      <c r="Z44" s="422">
        <f>Q44-P44</f>
        <v>0</v>
      </c>
      <c r="AA44" s="422">
        <f t="shared" si="30"/>
        <v>0</v>
      </c>
    </row>
    <row r="45" spans="1:27">
      <c r="A45" s="417" t="s">
        <v>654</v>
      </c>
      <c r="B45" s="417" t="s">
        <v>655</v>
      </c>
      <c r="D45" s="422">
        <v>-87083</v>
      </c>
      <c r="E45" s="422">
        <v>-112430</v>
      </c>
      <c r="F45" s="422">
        <v>-70154</v>
      </c>
      <c r="G45" s="422">
        <v>-70154</v>
      </c>
      <c r="H45" s="422">
        <v>0</v>
      </c>
      <c r="I45" s="422">
        <v>0</v>
      </c>
      <c r="J45" s="422">
        <v>0</v>
      </c>
      <c r="K45" s="422">
        <v>0</v>
      </c>
      <c r="L45" s="422">
        <v>0</v>
      </c>
      <c r="M45" s="422">
        <v>0</v>
      </c>
      <c r="N45" s="422">
        <v>0</v>
      </c>
      <c r="O45" s="422">
        <v>0</v>
      </c>
      <c r="P45" s="422">
        <v>0</v>
      </c>
      <c r="Q45" s="422">
        <v>0</v>
      </c>
      <c r="R45" s="422">
        <v>0</v>
      </c>
      <c r="S45" s="422"/>
      <c r="U45" s="422">
        <f>L45</f>
        <v>0</v>
      </c>
      <c r="V45" s="422">
        <f>M45-U45</f>
        <v>0</v>
      </c>
      <c r="W45" s="422">
        <f t="shared" si="29"/>
        <v>0</v>
      </c>
      <c r="X45" s="422">
        <f t="shared" si="29"/>
        <v>0</v>
      </c>
      <c r="Y45" s="422">
        <f>P45</f>
        <v>0</v>
      </c>
      <c r="Z45" s="422">
        <f>Q45-P45</f>
        <v>0</v>
      </c>
      <c r="AA45" s="422">
        <f t="shared" si="30"/>
        <v>0</v>
      </c>
    </row>
    <row r="46" spans="1:27">
      <c r="A46" s="417" t="s">
        <v>656</v>
      </c>
      <c r="B46" s="417" t="s">
        <v>657</v>
      </c>
      <c r="D46" s="422">
        <v>8057</v>
      </c>
      <c r="E46" s="422">
        <v>10399</v>
      </c>
      <c r="F46" s="422">
        <v>6490</v>
      </c>
      <c r="G46" s="422">
        <v>6490</v>
      </c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/>
      <c r="U46" s="422">
        <f>L46</f>
        <v>0</v>
      </c>
      <c r="V46" s="422">
        <f>M46-U46</f>
        <v>0</v>
      </c>
      <c r="W46" s="422">
        <f t="shared" si="29"/>
        <v>0</v>
      </c>
      <c r="X46" s="422">
        <f t="shared" si="29"/>
        <v>0</v>
      </c>
      <c r="Y46" s="422">
        <f>P46</f>
        <v>0</v>
      </c>
      <c r="Z46" s="422">
        <f>Q46-P46</f>
        <v>0</v>
      </c>
      <c r="AA46" s="422">
        <f t="shared" si="30"/>
        <v>0</v>
      </c>
    </row>
    <row r="47" spans="1:27">
      <c r="A47" s="417" t="s">
        <v>658</v>
      </c>
      <c r="B47" s="417" t="s">
        <v>659</v>
      </c>
      <c r="D47" s="422">
        <v>0</v>
      </c>
      <c r="E47" s="422">
        <v>0</v>
      </c>
      <c r="F47" s="422">
        <v>0</v>
      </c>
      <c r="G47" s="422">
        <v>0</v>
      </c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/>
      <c r="U47" s="422">
        <f>L47</f>
        <v>0</v>
      </c>
      <c r="V47" s="422">
        <f>M47-U47</f>
        <v>0</v>
      </c>
      <c r="W47" s="422">
        <f t="shared" si="29"/>
        <v>0</v>
      </c>
      <c r="X47" s="422">
        <f t="shared" si="29"/>
        <v>0</v>
      </c>
      <c r="Y47" s="422">
        <f>P47</f>
        <v>0</v>
      </c>
      <c r="Z47" s="422">
        <f>Q47-P47</f>
        <v>0</v>
      </c>
      <c r="AA47" s="422">
        <f t="shared" si="30"/>
        <v>0</v>
      </c>
    </row>
    <row r="48" spans="1:27">
      <c r="A48" s="417" t="s">
        <v>660</v>
      </c>
      <c r="B48" s="417" t="s">
        <v>661</v>
      </c>
      <c r="D48" s="422">
        <f t="shared" ref="D48:I48" si="31">SUM(D49:D55)</f>
        <v>-10325</v>
      </c>
      <c r="E48" s="422">
        <f t="shared" si="31"/>
        <v>-28387</v>
      </c>
      <c r="F48" s="422">
        <f t="shared" si="31"/>
        <v>-40258</v>
      </c>
      <c r="G48" s="422">
        <f t="shared" si="31"/>
        <v>-62227</v>
      </c>
      <c r="H48" s="422">
        <f t="shared" si="31"/>
        <v>-11745</v>
      </c>
      <c r="I48" s="422">
        <f t="shared" si="31"/>
        <v>-32119</v>
      </c>
      <c r="J48" s="422">
        <f t="shared" ref="J48:R48" si="32">SUM(J49:J55)</f>
        <v>-63462</v>
      </c>
      <c r="K48" s="422">
        <f t="shared" si="32"/>
        <v>-45495.641770000002</v>
      </c>
      <c r="L48" s="422">
        <f t="shared" si="32"/>
        <v>-15663</v>
      </c>
      <c r="M48" s="422">
        <f t="shared" si="32"/>
        <v>-28754</v>
      </c>
      <c r="N48" s="422">
        <f t="shared" si="32"/>
        <v>-49227</v>
      </c>
      <c r="O48" s="422">
        <f t="shared" si="32"/>
        <v>-71609</v>
      </c>
      <c r="P48" s="422">
        <f t="shared" si="32"/>
        <v>-20366</v>
      </c>
      <c r="Q48" s="422">
        <f t="shared" si="32"/>
        <v>-45056</v>
      </c>
      <c r="R48" s="422">
        <f t="shared" si="32"/>
        <v>-68370</v>
      </c>
      <c r="S48" s="422"/>
      <c r="U48" s="422">
        <f t="shared" ref="U48:AA48" si="33">SUM(U49:U55)</f>
        <v>-15663</v>
      </c>
      <c r="V48" s="422">
        <f t="shared" si="33"/>
        <v>-13091</v>
      </c>
      <c r="W48" s="422">
        <f t="shared" si="33"/>
        <v>-20473</v>
      </c>
      <c r="X48" s="422">
        <f t="shared" si="33"/>
        <v>-22382</v>
      </c>
      <c r="Y48" s="422">
        <f t="shared" si="33"/>
        <v>-20366</v>
      </c>
      <c r="Z48" s="422">
        <f t="shared" si="33"/>
        <v>-24690</v>
      </c>
      <c r="AA48" s="422">
        <f t="shared" si="33"/>
        <v>-23314</v>
      </c>
    </row>
    <row r="49" spans="1:27" outlineLevel="1">
      <c r="A49" s="418" t="s">
        <v>662</v>
      </c>
      <c r="B49" s="418" t="s">
        <v>663</v>
      </c>
      <c r="D49" s="423">
        <v>-6617</v>
      </c>
      <c r="E49" s="423">
        <v>-13434</v>
      </c>
      <c r="F49" s="423">
        <v>-16087</v>
      </c>
      <c r="G49" s="423">
        <v>-17725</v>
      </c>
      <c r="H49" s="423">
        <v>-1198</v>
      </c>
      <c r="I49" s="423">
        <v>-5743</v>
      </c>
      <c r="J49" s="423">
        <v>-13215</v>
      </c>
      <c r="K49" s="423">
        <v>-18304</v>
      </c>
      <c r="L49" s="423">
        <v>-5795</v>
      </c>
      <c r="M49" s="423">
        <v>-11824</v>
      </c>
      <c r="N49" s="423">
        <v>-17631</v>
      </c>
      <c r="O49" s="423">
        <v>-24070</v>
      </c>
      <c r="P49" s="423">
        <v>-5939</v>
      </c>
      <c r="Q49" s="423">
        <v>-12468</v>
      </c>
      <c r="R49" s="423">
        <v>-18030</v>
      </c>
      <c r="S49" s="423"/>
      <c r="U49" s="423">
        <f t="shared" ref="U49:U55" si="34">L49</f>
        <v>-5795</v>
      </c>
      <c r="V49" s="423">
        <f t="shared" ref="V49:V55" si="35">M49-U49</f>
        <v>-6029</v>
      </c>
      <c r="W49" s="423">
        <f t="shared" ref="W49:X55" si="36">N49-M49</f>
        <v>-5807</v>
      </c>
      <c r="X49" s="423">
        <f t="shared" si="36"/>
        <v>-6439</v>
      </c>
      <c r="Y49" s="423">
        <f t="shared" ref="Y49:Y55" si="37">P49</f>
        <v>-5939</v>
      </c>
      <c r="Z49" s="423">
        <f t="shared" ref="Z49:Z55" si="38">Q49-Y49</f>
        <v>-6529</v>
      </c>
      <c r="AA49" s="423">
        <f t="shared" si="30"/>
        <v>-5562</v>
      </c>
    </row>
    <row r="50" spans="1:27" outlineLevel="1">
      <c r="A50" s="418" t="s">
        <v>664</v>
      </c>
      <c r="B50" s="418" t="s">
        <v>665</v>
      </c>
      <c r="D50" s="423">
        <v>-227</v>
      </c>
      <c r="E50" s="423">
        <v>-867</v>
      </c>
      <c r="F50" s="423">
        <v>-1218</v>
      </c>
      <c r="G50" s="423">
        <v>-1940</v>
      </c>
      <c r="H50" s="423">
        <v>-811</v>
      </c>
      <c r="I50" s="423">
        <v>-1522</v>
      </c>
      <c r="J50" s="423">
        <v>-1751</v>
      </c>
      <c r="K50" s="423">
        <v>-2039</v>
      </c>
      <c r="L50" s="423">
        <v>-298</v>
      </c>
      <c r="M50" s="423">
        <v>-353</v>
      </c>
      <c r="N50" s="423">
        <v>-680</v>
      </c>
      <c r="O50" s="423">
        <v>-659</v>
      </c>
      <c r="P50" s="423">
        <v>-155</v>
      </c>
      <c r="Q50" s="423">
        <v>-1084</v>
      </c>
      <c r="R50" s="423">
        <v>-1398</v>
      </c>
      <c r="S50" s="423"/>
      <c r="U50" s="423">
        <f t="shared" si="34"/>
        <v>-298</v>
      </c>
      <c r="V50" s="423">
        <f t="shared" si="35"/>
        <v>-55</v>
      </c>
      <c r="W50" s="423">
        <f t="shared" si="36"/>
        <v>-327</v>
      </c>
      <c r="X50" s="423">
        <f t="shared" si="36"/>
        <v>21</v>
      </c>
      <c r="Y50" s="423">
        <f t="shared" si="37"/>
        <v>-155</v>
      </c>
      <c r="Z50" s="423">
        <f t="shared" si="38"/>
        <v>-929</v>
      </c>
      <c r="AA50" s="423">
        <f t="shared" si="30"/>
        <v>-314</v>
      </c>
    </row>
    <row r="51" spans="1:27" outlineLevel="1">
      <c r="A51" s="418" t="s">
        <v>666</v>
      </c>
      <c r="B51" s="418" t="s">
        <v>667</v>
      </c>
      <c r="D51" s="423">
        <v>-2648</v>
      </c>
      <c r="E51" s="423">
        <v>-13716</v>
      </c>
      <c r="F51" s="423">
        <v>-22297</v>
      </c>
      <c r="G51" s="423">
        <v>-41113</v>
      </c>
      <c r="H51" s="423">
        <v>-9565</v>
      </c>
      <c r="I51" s="423">
        <v>-24541</v>
      </c>
      <c r="J51" s="423">
        <v>-48085</v>
      </c>
      <c r="K51" s="423">
        <v>-24525.641770000002</v>
      </c>
      <c r="L51" s="423">
        <v>-9452</v>
      </c>
      <c r="M51" s="423">
        <v>-15989</v>
      </c>
      <c r="N51" s="423">
        <v>-29994</v>
      </c>
      <c r="O51" s="423">
        <v>-45438</v>
      </c>
      <c r="P51" s="423">
        <v>-13874</v>
      </c>
      <c r="Q51" s="423">
        <v>-30738</v>
      </c>
      <c r="R51" s="423">
        <v>-47739</v>
      </c>
      <c r="S51" s="423"/>
      <c r="U51" s="423">
        <f t="shared" si="34"/>
        <v>-9452</v>
      </c>
      <c r="V51" s="423">
        <f t="shared" si="35"/>
        <v>-6537</v>
      </c>
      <c r="W51" s="423">
        <f t="shared" si="36"/>
        <v>-14005</v>
      </c>
      <c r="X51" s="423">
        <f t="shared" si="36"/>
        <v>-15444</v>
      </c>
      <c r="Y51" s="423">
        <f t="shared" si="37"/>
        <v>-13874</v>
      </c>
      <c r="Z51" s="423">
        <f t="shared" si="38"/>
        <v>-16864</v>
      </c>
      <c r="AA51" s="423">
        <f t="shared" si="30"/>
        <v>-17001</v>
      </c>
    </row>
    <row r="52" spans="1:27" outlineLevel="1">
      <c r="A52" s="418" t="s">
        <v>668</v>
      </c>
      <c r="B52" s="418" t="s">
        <v>669</v>
      </c>
      <c r="D52" s="423">
        <v>-54</v>
      </c>
      <c r="E52" s="423">
        <v>-92</v>
      </c>
      <c r="F52" s="423">
        <v>-160</v>
      </c>
      <c r="G52" s="423">
        <v>-229</v>
      </c>
      <c r="H52" s="423">
        <v>-69</v>
      </c>
      <c r="I52" s="423">
        <v>-138</v>
      </c>
      <c r="J52" s="423">
        <v>-203</v>
      </c>
      <c r="K52" s="423">
        <v>-257</v>
      </c>
      <c r="L52" s="423">
        <v>-65</v>
      </c>
      <c r="M52" s="423">
        <v>-128</v>
      </c>
      <c r="N52" s="423">
        <v>-193</v>
      </c>
      <c r="O52" s="423">
        <v>-255</v>
      </c>
      <c r="P52" s="423">
        <v>-59</v>
      </c>
      <c r="Q52" s="423">
        <v>-118</v>
      </c>
      <c r="R52" s="423">
        <v>-174</v>
      </c>
      <c r="S52" s="423"/>
      <c r="U52" s="423">
        <f t="shared" si="34"/>
        <v>-65</v>
      </c>
      <c r="V52" s="423">
        <f t="shared" si="35"/>
        <v>-63</v>
      </c>
      <c r="W52" s="423">
        <f t="shared" si="36"/>
        <v>-65</v>
      </c>
      <c r="X52" s="423">
        <f t="shared" si="36"/>
        <v>-62</v>
      </c>
      <c r="Y52" s="423">
        <f t="shared" si="37"/>
        <v>-59</v>
      </c>
      <c r="Z52" s="423">
        <f t="shared" si="38"/>
        <v>-59</v>
      </c>
      <c r="AA52" s="423">
        <f t="shared" si="30"/>
        <v>-56</v>
      </c>
    </row>
    <row r="53" spans="1:27" outlineLevel="1">
      <c r="A53" s="418" t="s">
        <v>670</v>
      </c>
      <c r="B53" s="418" t="s">
        <v>671</v>
      </c>
      <c r="D53" s="423">
        <v>0</v>
      </c>
      <c r="E53" s="423">
        <v>0</v>
      </c>
      <c r="F53" s="423">
        <v>0</v>
      </c>
      <c r="G53" s="423">
        <v>0</v>
      </c>
      <c r="H53" s="423">
        <v>0</v>
      </c>
      <c r="I53" s="423">
        <v>0</v>
      </c>
      <c r="J53" s="423">
        <v>0</v>
      </c>
      <c r="K53" s="423">
        <v>0</v>
      </c>
      <c r="L53" s="423">
        <v>0</v>
      </c>
      <c r="M53" s="423">
        <v>0</v>
      </c>
      <c r="N53" s="423">
        <v>0</v>
      </c>
      <c r="O53" s="423">
        <v>0</v>
      </c>
      <c r="P53" s="423">
        <v>0</v>
      </c>
      <c r="Q53" s="423">
        <v>0</v>
      </c>
      <c r="R53" s="423">
        <v>0</v>
      </c>
      <c r="S53" s="423"/>
      <c r="U53" s="423">
        <f t="shared" si="34"/>
        <v>0</v>
      </c>
      <c r="V53" s="423">
        <f t="shared" si="35"/>
        <v>0</v>
      </c>
      <c r="W53" s="423">
        <f t="shared" si="36"/>
        <v>0</v>
      </c>
      <c r="X53" s="423">
        <f t="shared" si="36"/>
        <v>0</v>
      </c>
      <c r="Y53" s="423">
        <f t="shared" si="37"/>
        <v>0</v>
      </c>
      <c r="Z53" s="423">
        <f t="shared" si="38"/>
        <v>0</v>
      </c>
      <c r="AA53" s="423">
        <f t="shared" si="30"/>
        <v>0</v>
      </c>
    </row>
    <row r="54" spans="1:27" outlineLevel="1">
      <c r="A54" s="418" t="s">
        <v>672</v>
      </c>
      <c r="B54" s="418" t="s">
        <v>673</v>
      </c>
      <c r="D54" s="423">
        <v>-715</v>
      </c>
      <c r="E54" s="423">
        <v>-168</v>
      </c>
      <c r="F54" s="423">
        <v>-496</v>
      </c>
      <c r="G54" s="423">
        <v>-554</v>
      </c>
      <c r="H54" s="423">
        <v>-102</v>
      </c>
      <c r="I54" s="423">
        <v>-175</v>
      </c>
      <c r="J54" s="423">
        <v>-206</v>
      </c>
      <c r="K54" s="423">
        <v>-332</v>
      </c>
      <c r="L54" s="423">
        <v>-40</v>
      </c>
      <c r="M54" s="423">
        <v>-105</v>
      </c>
      <c r="N54" s="423">
        <v>-134</v>
      </c>
      <c r="O54" s="423">
        <v>-164</v>
      </c>
      <c r="P54" s="423">
        <v>-127</v>
      </c>
      <c r="Q54" s="423">
        <v>-209</v>
      </c>
      <c r="R54" s="423">
        <v>-297</v>
      </c>
      <c r="S54" s="423"/>
      <c r="U54" s="423">
        <f t="shared" si="34"/>
        <v>-40</v>
      </c>
      <c r="V54" s="423">
        <f t="shared" si="35"/>
        <v>-65</v>
      </c>
      <c r="W54" s="423">
        <f t="shared" si="36"/>
        <v>-29</v>
      </c>
      <c r="X54" s="423">
        <f t="shared" si="36"/>
        <v>-30</v>
      </c>
      <c r="Y54" s="423">
        <f t="shared" si="37"/>
        <v>-127</v>
      </c>
      <c r="Z54" s="423">
        <f t="shared" si="38"/>
        <v>-82</v>
      </c>
      <c r="AA54" s="423">
        <f t="shared" si="30"/>
        <v>-88</v>
      </c>
    </row>
    <row r="55" spans="1:27" outlineLevel="1">
      <c r="A55" s="418" t="s">
        <v>674</v>
      </c>
      <c r="B55" s="418" t="s">
        <v>675</v>
      </c>
      <c r="D55" s="423">
        <v>-64</v>
      </c>
      <c r="E55" s="423">
        <v>-110</v>
      </c>
      <c r="F55" s="423">
        <v>0</v>
      </c>
      <c r="G55" s="423">
        <v>-666</v>
      </c>
      <c r="H55" s="423">
        <v>0</v>
      </c>
      <c r="I55" s="423">
        <v>0</v>
      </c>
      <c r="J55" s="423">
        <v>-2</v>
      </c>
      <c r="K55" s="423">
        <v>-38</v>
      </c>
      <c r="L55" s="423">
        <v>-13</v>
      </c>
      <c r="M55" s="423">
        <v>-355</v>
      </c>
      <c r="N55" s="423">
        <v>-595</v>
      </c>
      <c r="O55" s="423">
        <v>-1023</v>
      </c>
      <c r="P55" s="423">
        <v>-212</v>
      </c>
      <c r="Q55" s="423">
        <v>-439</v>
      </c>
      <c r="R55" s="423">
        <v>-732</v>
      </c>
      <c r="S55" s="423"/>
      <c r="U55" s="423">
        <f t="shared" si="34"/>
        <v>-13</v>
      </c>
      <c r="V55" s="423">
        <f t="shared" si="35"/>
        <v>-342</v>
      </c>
      <c r="W55" s="423">
        <f t="shared" si="36"/>
        <v>-240</v>
      </c>
      <c r="X55" s="423">
        <f t="shared" si="36"/>
        <v>-428</v>
      </c>
      <c r="Y55" s="423">
        <f t="shared" si="37"/>
        <v>-212</v>
      </c>
      <c r="Z55" s="423">
        <f t="shared" si="38"/>
        <v>-227</v>
      </c>
      <c r="AA55" s="423">
        <f t="shared" si="30"/>
        <v>-293</v>
      </c>
    </row>
    <row r="56" spans="1:27">
      <c r="A56" s="417"/>
      <c r="B56" s="417"/>
      <c r="D56" s="417"/>
      <c r="E56" s="417"/>
      <c r="F56" s="417"/>
      <c r="G56" s="417"/>
      <c r="H56" s="417"/>
      <c r="I56" s="417"/>
      <c r="J56" s="417"/>
      <c r="K56" s="417"/>
      <c r="L56" s="417"/>
      <c r="M56" s="417"/>
      <c r="N56" s="417"/>
      <c r="O56" s="417"/>
      <c r="P56" s="417"/>
      <c r="Q56" s="417"/>
      <c r="R56" s="417"/>
      <c r="S56" s="417"/>
      <c r="U56" s="417"/>
      <c r="V56" s="417"/>
      <c r="W56" s="417"/>
      <c r="X56" s="417"/>
      <c r="Y56" s="417"/>
      <c r="Z56" s="417"/>
      <c r="AA56" s="417"/>
    </row>
    <row r="57" spans="1:27">
      <c r="A57" s="429" t="s">
        <v>676</v>
      </c>
      <c r="B57" s="429" t="s">
        <v>677</v>
      </c>
      <c r="D57" s="420">
        <f t="shared" ref="D57:I57" si="39">D39+D41</f>
        <v>349775</v>
      </c>
      <c r="E57" s="420">
        <f t="shared" si="39"/>
        <v>650298</v>
      </c>
      <c r="F57" s="420">
        <f t="shared" si="39"/>
        <v>960909</v>
      </c>
      <c r="G57" s="420">
        <f t="shared" si="39"/>
        <v>1267328</v>
      </c>
      <c r="H57" s="420">
        <f t="shared" si="39"/>
        <v>322969</v>
      </c>
      <c r="I57" s="420">
        <f t="shared" si="39"/>
        <v>652482</v>
      </c>
      <c r="J57" s="420">
        <f t="shared" ref="J57:R57" si="40">J39+J41</f>
        <v>990821</v>
      </c>
      <c r="K57" s="420">
        <f t="shared" si="40"/>
        <v>1320076</v>
      </c>
      <c r="L57" s="420">
        <f t="shared" si="40"/>
        <v>329194</v>
      </c>
      <c r="M57" s="420">
        <f t="shared" si="40"/>
        <v>658164</v>
      </c>
      <c r="N57" s="420">
        <f t="shared" si="40"/>
        <v>1184699</v>
      </c>
      <c r="O57" s="420">
        <f t="shared" si="40"/>
        <v>1501654</v>
      </c>
      <c r="P57" s="420">
        <f t="shared" si="40"/>
        <v>304999</v>
      </c>
      <c r="Q57" s="420">
        <f t="shared" si="40"/>
        <v>609815</v>
      </c>
      <c r="R57" s="420">
        <f t="shared" si="40"/>
        <v>925569</v>
      </c>
      <c r="S57" s="420"/>
      <c r="U57" s="420">
        <f t="shared" ref="U57:AA57" si="41">U39+U41</f>
        <v>329194</v>
      </c>
      <c r="V57" s="420">
        <f t="shared" si="41"/>
        <v>328970</v>
      </c>
      <c r="W57" s="420">
        <f t="shared" si="41"/>
        <v>526535</v>
      </c>
      <c r="X57" s="420">
        <f t="shared" si="41"/>
        <v>316955</v>
      </c>
      <c r="Y57" s="420">
        <f t="shared" si="41"/>
        <v>304999</v>
      </c>
      <c r="Z57" s="420">
        <f t="shared" si="41"/>
        <v>304816</v>
      </c>
      <c r="AA57" s="420">
        <f t="shared" si="41"/>
        <v>315754</v>
      </c>
    </row>
    <row r="58" spans="1:27">
      <c r="A58" s="417"/>
      <c r="B58" s="417"/>
      <c r="D58" s="417"/>
      <c r="E58" s="417"/>
      <c r="F58" s="417"/>
      <c r="G58" s="417"/>
      <c r="H58" s="417"/>
      <c r="I58" s="417"/>
      <c r="J58" s="417"/>
      <c r="K58" s="417"/>
      <c r="L58" s="417"/>
      <c r="M58" s="417"/>
      <c r="N58" s="417"/>
      <c r="O58" s="417"/>
      <c r="P58" s="417"/>
      <c r="Q58" s="417"/>
      <c r="R58" s="417"/>
      <c r="S58" s="417"/>
      <c r="U58" s="417"/>
      <c r="V58" s="417"/>
      <c r="W58" s="417"/>
      <c r="X58" s="417"/>
      <c r="Y58" s="417"/>
      <c r="Z58" s="417"/>
      <c r="AA58" s="417"/>
    </row>
    <row r="59" spans="1:27">
      <c r="A59" s="416" t="s">
        <v>678</v>
      </c>
      <c r="B59" s="416" t="s">
        <v>679</v>
      </c>
      <c r="D59" s="424">
        <f t="shared" ref="D59:I59" si="42">D61+D67+D68+D77+D78</f>
        <v>-1091</v>
      </c>
      <c r="E59" s="424">
        <f t="shared" si="42"/>
        <v>-3875</v>
      </c>
      <c r="F59" s="424">
        <f t="shared" si="42"/>
        <v>-10207</v>
      </c>
      <c r="G59" s="424">
        <f t="shared" si="42"/>
        <v>-10764</v>
      </c>
      <c r="H59" s="424">
        <f t="shared" si="42"/>
        <v>-1996</v>
      </c>
      <c r="I59" s="424">
        <f t="shared" si="42"/>
        <v>-3632</v>
      </c>
      <c r="J59" s="424">
        <f t="shared" ref="J59:R59" si="43">J61+J67+J68+J77+J78</f>
        <v>-10442</v>
      </c>
      <c r="K59" s="424">
        <f t="shared" si="43"/>
        <v>-15286</v>
      </c>
      <c r="L59" s="424">
        <f t="shared" si="43"/>
        <v>-4908</v>
      </c>
      <c r="M59" s="424">
        <f t="shared" si="43"/>
        <v>-8484</v>
      </c>
      <c r="N59" s="424">
        <f t="shared" si="43"/>
        <v>-12511</v>
      </c>
      <c r="O59" s="424">
        <f t="shared" si="43"/>
        <v>-14405</v>
      </c>
      <c r="P59" s="424">
        <f t="shared" si="43"/>
        <v>-3157</v>
      </c>
      <c r="Q59" s="424">
        <f t="shared" si="43"/>
        <v>-4679</v>
      </c>
      <c r="R59" s="424">
        <f t="shared" si="43"/>
        <v>-5776</v>
      </c>
      <c r="S59" s="424"/>
      <c r="U59" s="424">
        <f t="shared" ref="U59:AA59" si="44">U61+U67+U68+U77+U78</f>
        <v>-4908</v>
      </c>
      <c r="V59" s="424">
        <f t="shared" si="44"/>
        <v>-3576</v>
      </c>
      <c r="W59" s="424">
        <f t="shared" si="44"/>
        <v>-4027</v>
      </c>
      <c r="X59" s="424">
        <f t="shared" si="44"/>
        <v>-1894</v>
      </c>
      <c r="Y59" s="424">
        <f t="shared" si="44"/>
        <v>-3157</v>
      </c>
      <c r="Z59" s="424">
        <f t="shared" si="44"/>
        <v>-1522</v>
      </c>
      <c r="AA59" s="424">
        <f t="shared" si="44"/>
        <v>-1097</v>
      </c>
    </row>
    <row r="60" spans="1:27">
      <c r="A60" s="416"/>
      <c r="B60" s="416"/>
      <c r="D60" s="421"/>
      <c r="E60" s="421"/>
      <c r="F60" s="421"/>
      <c r="G60" s="421"/>
      <c r="H60" s="421"/>
      <c r="I60" s="421"/>
      <c r="J60" s="421"/>
      <c r="K60" s="421"/>
      <c r="L60" s="421"/>
      <c r="M60" s="421"/>
      <c r="N60" s="421"/>
      <c r="O60" s="421"/>
      <c r="P60" s="421"/>
      <c r="Q60" s="421"/>
      <c r="R60" s="421"/>
      <c r="S60" s="421"/>
      <c r="U60" s="421"/>
      <c r="V60" s="421"/>
      <c r="W60" s="421"/>
      <c r="X60" s="421"/>
      <c r="Y60" s="421"/>
      <c r="Z60" s="421"/>
      <c r="AA60" s="421"/>
    </row>
    <row r="61" spans="1:27">
      <c r="A61" s="419" t="s">
        <v>680</v>
      </c>
      <c r="B61" s="419" t="s">
        <v>681</v>
      </c>
      <c r="D61" s="422">
        <f t="shared" ref="D61:I61" si="45">SUM(D62:D66)</f>
        <v>0</v>
      </c>
      <c r="E61" s="422">
        <f t="shared" si="45"/>
        <v>0</v>
      </c>
      <c r="F61" s="422">
        <f t="shared" si="45"/>
        <v>0</v>
      </c>
      <c r="G61" s="422">
        <f t="shared" si="45"/>
        <v>0</v>
      </c>
      <c r="H61" s="422">
        <f t="shared" si="45"/>
        <v>0</v>
      </c>
      <c r="I61" s="422">
        <f t="shared" si="45"/>
        <v>0</v>
      </c>
      <c r="J61" s="422">
        <f t="shared" ref="J61:R61" si="46">SUM(J62:J66)</f>
        <v>0</v>
      </c>
      <c r="K61" s="422">
        <f t="shared" si="46"/>
        <v>0</v>
      </c>
      <c r="L61" s="422">
        <f t="shared" si="46"/>
        <v>0</v>
      </c>
      <c r="M61" s="422">
        <f t="shared" si="46"/>
        <v>0</v>
      </c>
      <c r="N61" s="422">
        <f t="shared" si="46"/>
        <v>0</v>
      </c>
      <c r="O61" s="422">
        <f t="shared" si="46"/>
        <v>0</v>
      </c>
      <c r="P61" s="422">
        <f t="shared" si="46"/>
        <v>0</v>
      </c>
      <c r="Q61" s="422">
        <f t="shared" si="46"/>
        <v>0</v>
      </c>
      <c r="R61" s="422">
        <f t="shared" si="46"/>
        <v>0</v>
      </c>
      <c r="S61" s="422"/>
      <c r="U61" s="422">
        <f t="shared" ref="U61:AA61" si="47">SUM(U62:U66)</f>
        <v>0</v>
      </c>
      <c r="V61" s="422">
        <f t="shared" si="47"/>
        <v>0</v>
      </c>
      <c r="W61" s="422">
        <f t="shared" si="47"/>
        <v>0</v>
      </c>
      <c r="X61" s="422">
        <f t="shared" si="47"/>
        <v>0</v>
      </c>
      <c r="Y61" s="422">
        <f t="shared" si="47"/>
        <v>0</v>
      </c>
      <c r="Z61" s="422">
        <f t="shared" si="47"/>
        <v>0</v>
      </c>
      <c r="AA61" s="422">
        <f t="shared" si="47"/>
        <v>0</v>
      </c>
    </row>
    <row r="62" spans="1:27" outlineLevel="1">
      <c r="A62" s="418" t="s">
        <v>682</v>
      </c>
      <c r="B62" s="418" t="s">
        <v>683</v>
      </c>
      <c r="D62" s="423">
        <v>0</v>
      </c>
      <c r="E62" s="423">
        <v>0</v>
      </c>
      <c r="F62" s="423">
        <v>0</v>
      </c>
      <c r="G62" s="423">
        <v>0</v>
      </c>
      <c r="H62" s="423">
        <v>0</v>
      </c>
      <c r="I62" s="423">
        <v>0</v>
      </c>
      <c r="J62" s="423">
        <v>0</v>
      </c>
      <c r="K62" s="423">
        <v>0</v>
      </c>
      <c r="L62" s="423">
        <v>0</v>
      </c>
      <c r="M62" s="423">
        <v>0</v>
      </c>
      <c r="N62" s="423">
        <v>0</v>
      </c>
      <c r="O62" s="423">
        <v>0</v>
      </c>
      <c r="P62" s="423">
        <v>0</v>
      </c>
      <c r="Q62" s="423">
        <v>0</v>
      </c>
      <c r="R62" s="423">
        <v>0</v>
      </c>
      <c r="S62" s="423"/>
      <c r="U62" s="423">
        <f t="shared" ref="U62:U67" si="48">L62</f>
        <v>0</v>
      </c>
      <c r="V62" s="423">
        <f t="shared" ref="V62:V67" si="49">M62-U62</f>
        <v>0</v>
      </c>
      <c r="W62" s="423">
        <f t="shared" ref="W62:X67" si="50">N62-M62</f>
        <v>0</v>
      </c>
      <c r="X62" s="423">
        <f t="shared" si="50"/>
        <v>0</v>
      </c>
      <c r="Y62" s="423">
        <f t="shared" ref="Y62:Y67" si="51">P62</f>
        <v>0</v>
      </c>
      <c r="Z62" s="423">
        <f t="shared" ref="Z62:Z67" si="52">Q62-Y62</f>
        <v>0</v>
      </c>
      <c r="AA62" s="423">
        <f t="shared" ref="AA62:AA81" si="53">R62-Q62</f>
        <v>0</v>
      </c>
    </row>
    <row r="63" spans="1:27" outlineLevel="1">
      <c r="A63" s="418" t="s">
        <v>684</v>
      </c>
      <c r="B63" s="418" t="s">
        <v>685</v>
      </c>
      <c r="D63" s="423">
        <v>0</v>
      </c>
      <c r="E63" s="423">
        <v>0</v>
      </c>
      <c r="F63" s="423">
        <v>0</v>
      </c>
      <c r="G63" s="423">
        <v>0</v>
      </c>
      <c r="H63" s="423">
        <v>0</v>
      </c>
      <c r="I63" s="423">
        <v>0</v>
      </c>
      <c r="J63" s="423">
        <v>0</v>
      </c>
      <c r="K63" s="423">
        <v>0</v>
      </c>
      <c r="L63" s="423">
        <v>0</v>
      </c>
      <c r="M63" s="423">
        <v>0</v>
      </c>
      <c r="N63" s="423">
        <v>0</v>
      </c>
      <c r="O63" s="423">
        <v>0</v>
      </c>
      <c r="P63" s="423">
        <v>0</v>
      </c>
      <c r="Q63" s="423">
        <v>0</v>
      </c>
      <c r="R63" s="423">
        <v>0</v>
      </c>
      <c r="S63" s="423"/>
      <c r="U63" s="423">
        <f t="shared" si="48"/>
        <v>0</v>
      </c>
      <c r="V63" s="423">
        <f t="shared" si="49"/>
        <v>0</v>
      </c>
      <c r="W63" s="423">
        <f t="shared" si="50"/>
        <v>0</v>
      </c>
      <c r="X63" s="423">
        <f t="shared" si="50"/>
        <v>0</v>
      </c>
      <c r="Y63" s="423">
        <f t="shared" si="51"/>
        <v>0</v>
      </c>
      <c r="Z63" s="423">
        <f t="shared" si="52"/>
        <v>0</v>
      </c>
      <c r="AA63" s="423">
        <f t="shared" si="53"/>
        <v>0</v>
      </c>
    </row>
    <row r="64" spans="1:27" outlineLevel="1">
      <c r="A64" s="418" t="s">
        <v>686</v>
      </c>
      <c r="B64" s="418" t="s">
        <v>687</v>
      </c>
      <c r="D64" s="423">
        <v>0</v>
      </c>
      <c r="E64" s="423">
        <v>0</v>
      </c>
      <c r="F64" s="423">
        <v>0</v>
      </c>
      <c r="G64" s="423">
        <v>0</v>
      </c>
      <c r="H64" s="423">
        <v>0</v>
      </c>
      <c r="I64" s="423">
        <v>0</v>
      </c>
      <c r="J64" s="423">
        <v>0</v>
      </c>
      <c r="K64" s="423">
        <v>0</v>
      </c>
      <c r="L64" s="423">
        <v>0</v>
      </c>
      <c r="M64" s="423">
        <v>0</v>
      </c>
      <c r="N64" s="423">
        <v>0</v>
      </c>
      <c r="O64" s="423">
        <v>0</v>
      </c>
      <c r="P64" s="423">
        <v>0</v>
      </c>
      <c r="Q64" s="423">
        <v>0</v>
      </c>
      <c r="R64" s="423">
        <v>0</v>
      </c>
      <c r="S64" s="423"/>
      <c r="U64" s="423">
        <f t="shared" si="48"/>
        <v>0</v>
      </c>
      <c r="V64" s="423">
        <f t="shared" si="49"/>
        <v>0</v>
      </c>
      <c r="W64" s="423">
        <f t="shared" si="50"/>
        <v>0</v>
      </c>
      <c r="X64" s="423">
        <f t="shared" si="50"/>
        <v>0</v>
      </c>
      <c r="Y64" s="423">
        <f t="shared" si="51"/>
        <v>0</v>
      </c>
      <c r="Z64" s="423">
        <f t="shared" si="52"/>
        <v>0</v>
      </c>
      <c r="AA64" s="423">
        <f t="shared" si="53"/>
        <v>0</v>
      </c>
    </row>
    <row r="65" spans="1:27" outlineLevel="1">
      <c r="A65" s="418" t="s">
        <v>688</v>
      </c>
      <c r="B65" s="418" t="s">
        <v>689</v>
      </c>
      <c r="D65" s="423">
        <v>0</v>
      </c>
      <c r="E65" s="423">
        <v>0</v>
      </c>
      <c r="F65" s="423">
        <v>0</v>
      </c>
      <c r="G65" s="423">
        <v>0</v>
      </c>
      <c r="H65" s="423">
        <v>0</v>
      </c>
      <c r="I65" s="423">
        <v>0</v>
      </c>
      <c r="J65" s="423">
        <v>0</v>
      </c>
      <c r="K65" s="423">
        <v>0</v>
      </c>
      <c r="L65" s="423">
        <v>0</v>
      </c>
      <c r="M65" s="423">
        <v>0</v>
      </c>
      <c r="N65" s="423">
        <v>0</v>
      </c>
      <c r="O65" s="423">
        <v>0</v>
      </c>
      <c r="P65" s="423">
        <v>0</v>
      </c>
      <c r="Q65" s="423">
        <v>0</v>
      </c>
      <c r="R65" s="423">
        <v>0</v>
      </c>
      <c r="S65" s="423"/>
      <c r="U65" s="423">
        <f t="shared" si="48"/>
        <v>0</v>
      </c>
      <c r="V65" s="423">
        <f t="shared" si="49"/>
        <v>0</v>
      </c>
      <c r="W65" s="423">
        <f t="shared" si="50"/>
        <v>0</v>
      </c>
      <c r="X65" s="423">
        <f t="shared" si="50"/>
        <v>0</v>
      </c>
      <c r="Y65" s="423">
        <f t="shared" si="51"/>
        <v>0</v>
      </c>
      <c r="Z65" s="423">
        <f t="shared" si="52"/>
        <v>0</v>
      </c>
      <c r="AA65" s="423">
        <f t="shared" si="53"/>
        <v>0</v>
      </c>
    </row>
    <row r="66" spans="1:27" outlineLevel="1">
      <c r="A66" s="418" t="s">
        <v>690</v>
      </c>
      <c r="B66" s="418" t="s">
        <v>691</v>
      </c>
      <c r="D66" s="423">
        <v>0</v>
      </c>
      <c r="E66" s="423">
        <v>0</v>
      </c>
      <c r="F66" s="423">
        <v>0</v>
      </c>
      <c r="G66" s="423">
        <v>0</v>
      </c>
      <c r="H66" s="423">
        <v>0</v>
      </c>
      <c r="I66" s="423">
        <v>0</v>
      </c>
      <c r="J66" s="423">
        <v>0</v>
      </c>
      <c r="K66" s="423">
        <v>0</v>
      </c>
      <c r="L66" s="423">
        <v>0</v>
      </c>
      <c r="M66" s="423">
        <v>0</v>
      </c>
      <c r="N66" s="423">
        <v>0</v>
      </c>
      <c r="O66" s="423">
        <v>0</v>
      </c>
      <c r="P66" s="423">
        <v>0</v>
      </c>
      <c r="Q66" s="423">
        <v>0</v>
      </c>
      <c r="R66" s="423">
        <v>0</v>
      </c>
      <c r="S66" s="423"/>
      <c r="U66" s="423">
        <f t="shared" si="48"/>
        <v>0</v>
      </c>
      <c r="V66" s="423">
        <f t="shared" si="49"/>
        <v>0</v>
      </c>
      <c r="W66" s="423">
        <f t="shared" si="50"/>
        <v>0</v>
      </c>
      <c r="X66" s="423">
        <f t="shared" si="50"/>
        <v>0</v>
      </c>
      <c r="Y66" s="423">
        <f t="shared" si="51"/>
        <v>0</v>
      </c>
      <c r="Z66" s="423">
        <f t="shared" si="52"/>
        <v>0</v>
      </c>
      <c r="AA66" s="423">
        <f t="shared" si="53"/>
        <v>0</v>
      </c>
    </row>
    <row r="67" spans="1:27">
      <c r="A67" s="417" t="s">
        <v>692</v>
      </c>
      <c r="B67" s="417" t="s">
        <v>693</v>
      </c>
      <c r="D67" s="425">
        <v>0</v>
      </c>
      <c r="E67" s="425">
        <v>0</v>
      </c>
      <c r="F67" s="425">
        <v>0</v>
      </c>
      <c r="G67" s="425">
        <v>0</v>
      </c>
      <c r="H67" s="425">
        <v>0</v>
      </c>
      <c r="I67" s="425">
        <v>0</v>
      </c>
      <c r="J67" s="425">
        <v>0</v>
      </c>
      <c r="K67" s="425"/>
      <c r="L67" s="425">
        <v>0</v>
      </c>
      <c r="M67" s="425">
        <v>0</v>
      </c>
      <c r="N67" s="425">
        <v>0</v>
      </c>
      <c r="O67" s="425">
        <v>0</v>
      </c>
      <c r="P67" s="425">
        <v>0</v>
      </c>
      <c r="Q67" s="425">
        <v>0</v>
      </c>
      <c r="R67" s="425">
        <v>0</v>
      </c>
      <c r="S67" s="425"/>
      <c r="U67" s="425">
        <f t="shared" si="48"/>
        <v>0</v>
      </c>
      <c r="V67" s="425">
        <f t="shared" si="49"/>
        <v>0</v>
      </c>
      <c r="W67" s="425">
        <f t="shared" si="50"/>
        <v>0</v>
      </c>
      <c r="X67" s="425">
        <f t="shared" si="50"/>
        <v>0</v>
      </c>
      <c r="Y67" s="425">
        <f t="shared" si="51"/>
        <v>0</v>
      </c>
      <c r="Z67" s="425">
        <f t="shared" si="52"/>
        <v>0</v>
      </c>
      <c r="AA67" s="425">
        <f t="shared" si="53"/>
        <v>0</v>
      </c>
    </row>
    <row r="68" spans="1:27">
      <c r="A68" s="417" t="s">
        <v>694</v>
      </c>
      <c r="B68" s="417" t="s">
        <v>695</v>
      </c>
      <c r="D68" s="422">
        <f t="shared" ref="D68:I68" si="54">SUM(D69:D76)</f>
        <v>-1091</v>
      </c>
      <c r="E68" s="422">
        <f t="shared" si="54"/>
        <v>-3875</v>
      </c>
      <c r="F68" s="422">
        <f t="shared" si="54"/>
        <v>-11583</v>
      </c>
      <c r="G68" s="422">
        <f t="shared" si="54"/>
        <v>-11714</v>
      </c>
      <c r="H68" s="422">
        <f t="shared" si="54"/>
        <v>-1980</v>
      </c>
      <c r="I68" s="422">
        <f t="shared" si="54"/>
        <v>-3590</v>
      </c>
      <c r="J68" s="422">
        <f t="shared" ref="J68:R68" si="55">SUM(J69:J76)</f>
        <v>-10127</v>
      </c>
      <c r="K68" s="422">
        <f t="shared" si="55"/>
        <v>-14843</v>
      </c>
      <c r="L68" s="422">
        <f t="shared" si="55"/>
        <v>-4188</v>
      </c>
      <c r="M68" s="422">
        <f t="shared" si="55"/>
        <v>-8267</v>
      </c>
      <c r="N68" s="422">
        <f t="shared" si="55"/>
        <v>-11788</v>
      </c>
      <c r="O68" s="422">
        <f t="shared" si="55"/>
        <v>-13539</v>
      </c>
      <c r="P68" s="422">
        <f t="shared" si="55"/>
        <v>-3058</v>
      </c>
      <c r="Q68" s="422">
        <f t="shared" si="55"/>
        <v>-5947</v>
      </c>
      <c r="R68" s="422">
        <f t="shared" si="55"/>
        <v>-8402</v>
      </c>
      <c r="S68" s="422"/>
      <c r="U68" s="422">
        <f t="shared" ref="U68:AA68" si="56">SUM(U69:U76)</f>
        <v>-4188</v>
      </c>
      <c r="V68" s="422">
        <f t="shared" si="56"/>
        <v>-4079</v>
      </c>
      <c r="W68" s="422">
        <f t="shared" si="56"/>
        <v>-3521</v>
      </c>
      <c r="X68" s="422">
        <f t="shared" si="56"/>
        <v>-1751</v>
      </c>
      <c r="Y68" s="422">
        <f t="shared" si="56"/>
        <v>-3058</v>
      </c>
      <c r="Z68" s="422">
        <f t="shared" si="56"/>
        <v>-2889</v>
      </c>
      <c r="AA68" s="422">
        <f t="shared" si="56"/>
        <v>-2455</v>
      </c>
    </row>
    <row r="69" spans="1:27" outlineLevel="1">
      <c r="A69" s="418" t="s">
        <v>696</v>
      </c>
      <c r="B69" s="418" t="s">
        <v>697</v>
      </c>
      <c r="D69" s="423">
        <v>0</v>
      </c>
      <c r="E69" s="423">
        <v>0</v>
      </c>
      <c r="F69" s="423">
        <v>-4371</v>
      </c>
      <c r="G69" s="423">
        <v>-4415</v>
      </c>
      <c r="H69" s="423">
        <v>-108</v>
      </c>
      <c r="I69" s="423">
        <v>-148</v>
      </c>
      <c r="J69" s="423">
        <v>-5740</v>
      </c>
      <c r="K69" s="423">
        <v>-7380</v>
      </c>
      <c r="L69" s="423">
        <v>-2629</v>
      </c>
      <c r="M69" s="423">
        <v>-4822</v>
      </c>
      <c r="N69" s="423">
        <v>-7227</v>
      </c>
      <c r="O69" s="423">
        <v>-9027</v>
      </c>
      <c r="P69" s="423">
        <v>-1594</v>
      </c>
      <c r="Q69" s="423">
        <v>-3043</v>
      </c>
      <c r="R69" s="423">
        <v>-4566</v>
      </c>
      <c r="S69" s="423"/>
      <c r="U69" s="423">
        <f t="shared" ref="U69:U77" si="57">L69</f>
        <v>-2629</v>
      </c>
      <c r="V69" s="423">
        <f t="shared" ref="V69:V77" si="58">M69-U69</f>
        <v>-2193</v>
      </c>
      <c r="W69" s="423">
        <f t="shared" ref="W69:X77" si="59">N69-M69</f>
        <v>-2405</v>
      </c>
      <c r="X69" s="423">
        <f t="shared" si="59"/>
        <v>-1800</v>
      </c>
      <c r="Y69" s="423">
        <f t="shared" ref="Y69:Y77" si="60">P69</f>
        <v>-1594</v>
      </c>
      <c r="Z69" s="423">
        <f t="shared" ref="Z69:Z77" si="61">Q69-Y69</f>
        <v>-1449</v>
      </c>
      <c r="AA69" s="423">
        <f t="shared" si="53"/>
        <v>-1523</v>
      </c>
    </row>
    <row r="70" spans="1:27" outlineLevel="1">
      <c r="A70" s="418" t="s">
        <v>698</v>
      </c>
      <c r="B70" s="418" t="s">
        <v>699</v>
      </c>
      <c r="D70" s="423">
        <v>-68</v>
      </c>
      <c r="E70" s="423">
        <v>-67</v>
      </c>
      <c r="F70" s="423">
        <v>-3</v>
      </c>
      <c r="G70" s="423">
        <v>-4</v>
      </c>
      <c r="H70" s="423">
        <v>-121</v>
      </c>
      <c r="I70" s="423">
        <v>0</v>
      </c>
      <c r="J70" s="423">
        <v>-18</v>
      </c>
      <c r="K70" s="423">
        <v>-19</v>
      </c>
      <c r="L70" s="423">
        <v>0</v>
      </c>
      <c r="M70" s="423">
        <v>0</v>
      </c>
      <c r="N70" s="423">
        <v>-2</v>
      </c>
      <c r="O70" s="423">
        <v>-5</v>
      </c>
      <c r="P70" s="423">
        <v>0</v>
      </c>
      <c r="Q70" s="423">
        <v>-1</v>
      </c>
      <c r="R70" s="423">
        <v>-2</v>
      </c>
      <c r="S70" s="423"/>
      <c r="U70" s="423">
        <f t="shared" si="57"/>
        <v>0</v>
      </c>
      <c r="V70" s="423">
        <f t="shared" si="58"/>
        <v>0</v>
      </c>
      <c r="W70" s="423">
        <f t="shared" si="59"/>
        <v>-2</v>
      </c>
      <c r="X70" s="423">
        <f t="shared" si="59"/>
        <v>-3</v>
      </c>
      <c r="Y70" s="423">
        <f t="shared" si="60"/>
        <v>0</v>
      </c>
      <c r="Z70" s="423">
        <f t="shared" si="61"/>
        <v>-1</v>
      </c>
      <c r="AA70" s="423">
        <f t="shared" si="53"/>
        <v>-1</v>
      </c>
    </row>
    <row r="71" spans="1:27" outlineLevel="1">
      <c r="A71" s="418" t="s">
        <v>700</v>
      </c>
      <c r="B71" s="418" t="s">
        <v>701</v>
      </c>
      <c r="D71" s="423">
        <v>-718</v>
      </c>
      <c r="E71" s="423">
        <v>-3065</v>
      </c>
      <c r="F71" s="423">
        <v>-6104</v>
      </c>
      <c r="G71" s="423">
        <v>-6796</v>
      </c>
      <c r="H71" s="423">
        <v>-1495</v>
      </c>
      <c r="I71" s="423">
        <v>-2869</v>
      </c>
      <c r="J71" s="423">
        <v>-4239</v>
      </c>
      <c r="K71" s="423">
        <v>-6336</v>
      </c>
      <c r="L71" s="423">
        <v>-1148</v>
      </c>
      <c r="M71" s="423">
        <v>-2937</v>
      </c>
      <c r="N71" s="423">
        <v>-4004</v>
      </c>
      <c r="O71" s="423">
        <v>-3820</v>
      </c>
      <c r="P71" s="423">
        <v>-1162</v>
      </c>
      <c r="Q71" s="423">
        <v>-2436</v>
      </c>
      <c r="R71" s="423">
        <v>-3273</v>
      </c>
      <c r="S71" s="423"/>
      <c r="U71" s="423">
        <f t="shared" si="57"/>
        <v>-1148</v>
      </c>
      <c r="V71" s="423">
        <f t="shared" si="58"/>
        <v>-1789</v>
      </c>
      <c r="W71" s="423">
        <f t="shared" si="59"/>
        <v>-1067</v>
      </c>
      <c r="X71" s="423">
        <f t="shared" si="59"/>
        <v>184</v>
      </c>
      <c r="Y71" s="423">
        <f t="shared" si="60"/>
        <v>-1162</v>
      </c>
      <c r="Z71" s="423">
        <f t="shared" si="61"/>
        <v>-1274</v>
      </c>
      <c r="AA71" s="423">
        <f t="shared" si="53"/>
        <v>-837</v>
      </c>
    </row>
    <row r="72" spans="1:27" outlineLevel="1">
      <c r="A72" s="418" t="s">
        <v>702</v>
      </c>
      <c r="B72" s="418" t="s">
        <v>703</v>
      </c>
      <c r="D72" s="423">
        <v>-121</v>
      </c>
      <c r="E72" s="423">
        <v>-278</v>
      </c>
      <c r="F72" s="423">
        <v>-25</v>
      </c>
      <c r="G72" s="423">
        <v>-30</v>
      </c>
      <c r="H72" s="423">
        <v>-3</v>
      </c>
      <c r="I72" s="423">
        <v>0</v>
      </c>
      <c r="J72" s="423">
        <v>-33</v>
      </c>
      <c r="K72" s="423">
        <v>-45</v>
      </c>
      <c r="L72" s="423">
        <v>-11</v>
      </c>
      <c r="M72" s="423">
        <v>-19</v>
      </c>
      <c r="N72" s="423">
        <v>-20</v>
      </c>
      <c r="O72" s="423">
        <v>-28</v>
      </c>
      <c r="P72" s="423">
        <v>-8</v>
      </c>
      <c r="Q72" s="423">
        <v>-32</v>
      </c>
      <c r="R72" s="423">
        <v>-37</v>
      </c>
      <c r="S72" s="423"/>
      <c r="U72" s="423">
        <f t="shared" si="57"/>
        <v>-11</v>
      </c>
      <c r="V72" s="423">
        <f t="shared" si="58"/>
        <v>-8</v>
      </c>
      <c r="W72" s="423">
        <f t="shared" si="59"/>
        <v>-1</v>
      </c>
      <c r="X72" s="423">
        <f t="shared" si="59"/>
        <v>-8</v>
      </c>
      <c r="Y72" s="423">
        <f t="shared" si="60"/>
        <v>-8</v>
      </c>
      <c r="Z72" s="423">
        <f t="shared" si="61"/>
        <v>-24</v>
      </c>
      <c r="AA72" s="423">
        <f t="shared" si="53"/>
        <v>-5</v>
      </c>
    </row>
    <row r="73" spans="1:27" outlineLevel="1">
      <c r="A73" s="418" t="s">
        <v>704</v>
      </c>
      <c r="B73" s="418" t="s">
        <v>705</v>
      </c>
      <c r="D73" s="423">
        <v>-184</v>
      </c>
      <c r="E73" s="423">
        <v>-465</v>
      </c>
      <c r="F73" s="423">
        <v>-1080</v>
      </c>
      <c r="G73" s="423">
        <v>-469</v>
      </c>
      <c r="H73" s="423">
        <v>-253</v>
      </c>
      <c r="I73" s="423">
        <v>-573</v>
      </c>
      <c r="J73" s="423">
        <v>-97</v>
      </c>
      <c r="K73" s="423">
        <v>-1063</v>
      </c>
      <c r="L73" s="423">
        <v>-400</v>
      </c>
      <c r="M73" s="423">
        <v>-489</v>
      </c>
      <c r="N73" s="423">
        <v>-535</v>
      </c>
      <c r="O73" s="423">
        <v>-659</v>
      </c>
      <c r="P73" s="423">
        <v>-294</v>
      </c>
      <c r="Q73" s="423">
        <v>-435</v>
      </c>
      <c r="R73" s="423">
        <v>-524</v>
      </c>
      <c r="S73" s="423"/>
      <c r="U73" s="423">
        <f t="shared" si="57"/>
        <v>-400</v>
      </c>
      <c r="V73" s="423">
        <f t="shared" si="58"/>
        <v>-89</v>
      </c>
      <c r="W73" s="423">
        <f t="shared" si="59"/>
        <v>-46</v>
      </c>
      <c r="X73" s="423">
        <f t="shared" si="59"/>
        <v>-124</v>
      </c>
      <c r="Y73" s="423">
        <f t="shared" si="60"/>
        <v>-294</v>
      </c>
      <c r="Z73" s="423">
        <f t="shared" si="61"/>
        <v>-141</v>
      </c>
      <c r="AA73" s="423">
        <f t="shared" si="53"/>
        <v>-89</v>
      </c>
    </row>
    <row r="74" spans="1:27" outlineLevel="1">
      <c r="A74" s="418" t="s">
        <v>706</v>
      </c>
      <c r="B74" s="418" t="s">
        <v>707</v>
      </c>
      <c r="D74" s="423">
        <v>0</v>
      </c>
      <c r="E74" s="423">
        <v>0</v>
      </c>
      <c r="F74" s="423">
        <v>0</v>
      </c>
      <c r="G74" s="423">
        <v>0</v>
      </c>
      <c r="H74" s="423">
        <v>0</v>
      </c>
      <c r="I74" s="423">
        <v>0</v>
      </c>
      <c r="J74" s="423">
        <v>0</v>
      </c>
      <c r="K74" s="423">
        <v>0</v>
      </c>
      <c r="L74" s="423">
        <v>0</v>
      </c>
      <c r="M74" s="423">
        <v>0</v>
      </c>
      <c r="N74" s="423">
        <v>0</v>
      </c>
      <c r="O74" s="423">
        <v>0</v>
      </c>
      <c r="P74" s="423">
        <v>0</v>
      </c>
      <c r="Q74" s="423">
        <v>0</v>
      </c>
      <c r="R74" s="423">
        <v>0</v>
      </c>
      <c r="S74" s="423"/>
      <c r="U74" s="423">
        <f t="shared" si="57"/>
        <v>0</v>
      </c>
      <c r="V74" s="423">
        <f t="shared" si="58"/>
        <v>0</v>
      </c>
      <c r="W74" s="423">
        <f t="shared" si="59"/>
        <v>0</v>
      </c>
      <c r="X74" s="423">
        <f t="shared" si="59"/>
        <v>0</v>
      </c>
      <c r="Y74" s="423">
        <f t="shared" si="60"/>
        <v>0</v>
      </c>
      <c r="Z74" s="423">
        <f t="shared" si="61"/>
        <v>0</v>
      </c>
      <c r="AA74" s="423">
        <f t="shared" si="53"/>
        <v>0</v>
      </c>
    </row>
    <row r="75" spans="1:27" outlineLevel="1">
      <c r="A75" s="418" t="s">
        <v>708</v>
      </c>
      <c r="B75" s="418" t="s">
        <v>709</v>
      </c>
      <c r="D75" s="423">
        <v>0</v>
      </c>
      <c r="E75" s="423">
        <v>0</v>
      </c>
      <c r="F75" s="423">
        <v>0</v>
      </c>
      <c r="G75" s="423">
        <v>0</v>
      </c>
      <c r="H75" s="423">
        <v>0</v>
      </c>
      <c r="I75" s="423">
        <v>0</v>
      </c>
      <c r="J75" s="423">
        <v>0</v>
      </c>
      <c r="K75" s="423">
        <v>0</v>
      </c>
      <c r="L75" s="423">
        <v>0</v>
      </c>
      <c r="M75" s="423">
        <v>0</v>
      </c>
      <c r="N75" s="423">
        <v>0</v>
      </c>
      <c r="O75" s="423">
        <v>0</v>
      </c>
      <c r="P75" s="423">
        <v>0</v>
      </c>
      <c r="Q75" s="423">
        <v>0</v>
      </c>
      <c r="R75" s="423">
        <v>0</v>
      </c>
      <c r="S75" s="423"/>
      <c r="U75" s="423">
        <f t="shared" si="57"/>
        <v>0</v>
      </c>
      <c r="V75" s="423">
        <f t="shared" si="58"/>
        <v>0</v>
      </c>
      <c r="W75" s="423">
        <f t="shared" si="59"/>
        <v>0</v>
      </c>
      <c r="X75" s="423">
        <f t="shared" si="59"/>
        <v>0</v>
      </c>
      <c r="Y75" s="423">
        <f t="shared" si="60"/>
        <v>0</v>
      </c>
      <c r="Z75" s="423">
        <f t="shared" si="61"/>
        <v>0</v>
      </c>
      <c r="AA75" s="423">
        <f t="shared" si="53"/>
        <v>0</v>
      </c>
    </row>
    <row r="76" spans="1:27" outlineLevel="1">
      <c r="A76" s="418" t="s">
        <v>710</v>
      </c>
      <c r="B76" s="418" t="s">
        <v>711</v>
      </c>
      <c r="D76" s="423">
        <v>0</v>
      </c>
      <c r="E76" s="423">
        <v>0</v>
      </c>
      <c r="F76" s="423">
        <v>0</v>
      </c>
      <c r="G76" s="423">
        <v>0</v>
      </c>
      <c r="H76" s="423">
        <v>0</v>
      </c>
      <c r="I76" s="423">
        <v>0</v>
      </c>
      <c r="J76" s="423">
        <v>0</v>
      </c>
      <c r="K76" s="423">
        <v>0</v>
      </c>
      <c r="L76" s="423">
        <v>0</v>
      </c>
      <c r="M76" s="423">
        <v>0</v>
      </c>
      <c r="N76" s="423">
        <v>0</v>
      </c>
      <c r="O76" s="423">
        <v>0</v>
      </c>
      <c r="P76" s="423">
        <v>0</v>
      </c>
      <c r="Q76" s="423">
        <v>0</v>
      </c>
      <c r="R76" s="423">
        <v>0</v>
      </c>
      <c r="S76" s="423"/>
      <c r="U76" s="423">
        <f t="shared" si="57"/>
        <v>0</v>
      </c>
      <c r="V76" s="423">
        <f t="shared" si="58"/>
        <v>0</v>
      </c>
      <c r="W76" s="423">
        <f t="shared" si="59"/>
        <v>0</v>
      </c>
      <c r="X76" s="423">
        <f t="shared" si="59"/>
        <v>0</v>
      </c>
      <c r="Y76" s="423">
        <f t="shared" si="60"/>
        <v>0</v>
      </c>
      <c r="Z76" s="423">
        <f t="shared" si="61"/>
        <v>0</v>
      </c>
      <c r="AA76" s="423">
        <f t="shared" si="53"/>
        <v>0</v>
      </c>
    </row>
    <row r="77" spans="1:27">
      <c r="A77" s="417" t="s">
        <v>712</v>
      </c>
      <c r="B77" s="417" t="s">
        <v>713</v>
      </c>
      <c r="D77" s="422">
        <v>0</v>
      </c>
      <c r="E77" s="422">
        <v>0</v>
      </c>
      <c r="F77" s="422">
        <v>0</v>
      </c>
      <c r="G77" s="422">
        <v>0</v>
      </c>
      <c r="H77" s="422">
        <v>0</v>
      </c>
      <c r="I77" s="422">
        <v>0</v>
      </c>
      <c r="J77" s="422">
        <v>0</v>
      </c>
      <c r="K77" s="422"/>
      <c r="L77" s="422">
        <v>0</v>
      </c>
      <c r="M77" s="422">
        <v>0</v>
      </c>
      <c r="N77" s="422">
        <v>0</v>
      </c>
      <c r="O77" s="422">
        <v>0</v>
      </c>
      <c r="P77" s="422">
        <v>0</v>
      </c>
      <c r="Q77" s="422">
        <v>0</v>
      </c>
      <c r="R77" s="422">
        <v>0</v>
      </c>
      <c r="S77" s="422"/>
      <c r="U77" s="422">
        <f t="shared" si="57"/>
        <v>0</v>
      </c>
      <c r="V77" s="422">
        <f t="shared" si="58"/>
        <v>0</v>
      </c>
      <c r="W77" s="422">
        <f t="shared" si="59"/>
        <v>0</v>
      </c>
      <c r="X77" s="422">
        <f t="shared" si="59"/>
        <v>0</v>
      </c>
      <c r="Y77" s="422">
        <f t="shared" si="60"/>
        <v>0</v>
      </c>
      <c r="Z77" s="422">
        <f t="shared" si="61"/>
        <v>0</v>
      </c>
      <c r="AA77" s="422">
        <f t="shared" si="53"/>
        <v>0</v>
      </c>
    </row>
    <row r="78" spans="1:27">
      <c r="A78" s="417" t="s">
        <v>714</v>
      </c>
      <c r="B78" s="417" t="s">
        <v>715</v>
      </c>
      <c r="D78" s="422">
        <f t="shared" ref="D78:L78" si="62">SUM(D79:D81)</f>
        <v>0</v>
      </c>
      <c r="E78" s="422">
        <f t="shared" si="62"/>
        <v>0</v>
      </c>
      <c r="F78" s="422">
        <f t="shared" si="62"/>
        <v>1376</v>
      </c>
      <c r="G78" s="422">
        <f t="shared" si="62"/>
        <v>950</v>
      </c>
      <c r="H78" s="422">
        <f t="shared" si="62"/>
        <v>-16</v>
      </c>
      <c r="I78" s="422">
        <f t="shared" si="62"/>
        <v>-42</v>
      </c>
      <c r="J78" s="422">
        <f t="shared" si="62"/>
        <v>-315</v>
      </c>
      <c r="K78" s="422">
        <f t="shared" si="62"/>
        <v>-443</v>
      </c>
      <c r="L78" s="422">
        <f t="shared" si="62"/>
        <v>-720</v>
      </c>
      <c r="M78" s="422">
        <f t="shared" ref="M78:R78" si="63">SUM(M79:M81)</f>
        <v>-217</v>
      </c>
      <c r="N78" s="422">
        <f t="shared" si="63"/>
        <v>-723</v>
      </c>
      <c r="O78" s="422">
        <f t="shared" si="63"/>
        <v>-866</v>
      </c>
      <c r="P78" s="422">
        <f t="shared" si="63"/>
        <v>-99</v>
      </c>
      <c r="Q78" s="422">
        <f t="shared" si="63"/>
        <v>1268</v>
      </c>
      <c r="R78" s="422">
        <f t="shared" si="63"/>
        <v>2626</v>
      </c>
      <c r="S78" s="422"/>
      <c r="U78" s="422">
        <f t="shared" ref="U78:AA78" si="64">SUM(U79:U81)</f>
        <v>-720</v>
      </c>
      <c r="V78" s="422">
        <f t="shared" si="64"/>
        <v>503</v>
      </c>
      <c r="W78" s="422">
        <f t="shared" si="64"/>
        <v>-506</v>
      </c>
      <c r="X78" s="422">
        <f t="shared" si="64"/>
        <v>-143</v>
      </c>
      <c r="Y78" s="422">
        <f t="shared" si="64"/>
        <v>-99</v>
      </c>
      <c r="Z78" s="422">
        <f t="shared" si="64"/>
        <v>1367</v>
      </c>
      <c r="AA78" s="422">
        <f t="shared" si="64"/>
        <v>1358</v>
      </c>
    </row>
    <row r="79" spans="1:27" outlineLevel="1">
      <c r="A79" s="418" t="s">
        <v>716</v>
      </c>
      <c r="B79" s="418" t="s">
        <v>717</v>
      </c>
      <c r="D79" s="423">
        <v>0</v>
      </c>
      <c r="E79" s="423">
        <v>0</v>
      </c>
      <c r="F79" s="423">
        <v>1376</v>
      </c>
      <c r="G79" s="423">
        <v>950</v>
      </c>
      <c r="H79" s="423">
        <v>-16</v>
      </c>
      <c r="I79" s="423">
        <v>-42</v>
      </c>
      <c r="J79" s="423">
        <v>-315</v>
      </c>
      <c r="K79" s="423">
        <v>-443</v>
      </c>
      <c r="L79" s="423">
        <v>-684</v>
      </c>
      <c r="M79" s="423">
        <v>-181</v>
      </c>
      <c r="N79" s="423">
        <v>-687</v>
      </c>
      <c r="O79" s="423">
        <v>-830</v>
      </c>
      <c r="P79" s="423">
        <v>-99</v>
      </c>
      <c r="Q79" s="423">
        <v>-216</v>
      </c>
      <c r="R79" s="423">
        <v>-360</v>
      </c>
      <c r="S79" s="423"/>
      <c r="U79" s="423">
        <f>L79</f>
        <v>-684</v>
      </c>
      <c r="V79" s="423">
        <f>M79-U79</f>
        <v>503</v>
      </c>
      <c r="W79" s="423">
        <f t="shared" ref="W79:X81" si="65">N79-M79</f>
        <v>-506</v>
      </c>
      <c r="X79" s="423">
        <f t="shared" si="65"/>
        <v>-143</v>
      </c>
      <c r="Y79" s="423">
        <f>P79</f>
        <v>-99</v>
      </c>
      <c r="Z79" s="423">
        <f t="shared" ref="Z79:Z81" si="66">Q79-Y79</f>
        <v>-117</v>
      </c>
      <c r="AA79" s="423">
        <f t="shared" si="53"/>
        <v>-144</v>
      </c>
    </row>
    <row r="80" spans="1:27" outlineLevel="1">
      <c r="A80" s="418" t="s">
        <v>718</v>
      </c>
      <c r="B80" s="418" t="s">
        <v>719</v>
      </c>
      <c r="D80" s="423">
        <v>0</v>
      </c>
      <c r="E80" s="423">
        <v>0</v>
      </c>
      <c r="F80" s="423">
        <v>0</v>
      </c>
      <c r="G80" s="423">
        <v>0</v>
      </c>
      <c r="H80" s="423">
        <v>0</v>
      </c>
      <c r="I80" s="423">
        <v>0</v>
      </c>
      <c r="J80" s="423">
        <v>0</v>
      </c>
      <c r="K80" s="423">
        <v>0</v>
      </c>
      <c r="L80" s="423">
        <v>-36</v>
      </c>
      <c r="M80" s="423">
        <v>0</v>
      </c>
      <c r="N80" s="423">
        <v>0</v>
      </c>
      <c r="O80" s="423">
        <v>0</v>
      </c>
      <c r="P80" s="423">
        <v>0</v>
      </c>
      <c r="Q80" s="423">
        <v>1484</v>
      </c>
      <c r="R80" s="423">
        <v>2986</v>
      </c>
      <c r="S80" s="423"/>
      <c r="U80" s="423">
        <f>L80</f>
        <v>-36</v>
      </c>
      <c r="V80" s="423">
        <f>M80-U80</f>
        <v>36</v>
      </c>
      <c r="W80" s="423">
        <f t="shared" si="65"/>
        <v>0</v>
      </c>
      <c r="X80" s="423">
        <f t="shared" si="65"/>
        <v>0</v>
      </c>
      <c r="Y80" s="423">
        <f>P80</f>
        <v>0</v>
      </c>
      <c r="Z80" s="423">
        <f t="shared" si="66"/>
        <v>1484</v>
      </c>
      <c r="AA80" s="423">
        <f t="shared" si="53"/>
        <v>1502</v>
      </c>
    </row>
    <row r="81" spans="1:27" outlineLevel="1">
      <c r="A81" s="418" t="s">
        <v>720</v>
      </c>
      <c r="B81" s="418" t="s">
        <v>721</v>
      </c>
      <c r="D81" s="423"/>
      <c r="E81" s="423"/>
      <c r="F81" s="423"/>
      <c r="G81" s="423"/>
      <c r="H81" s="423"/>
      <c r="I81" s="423"/>
      <c r="J81" s="423"/>
      <c r="K81" s="423"/>
      <c r="L81" s="423"/>
      <c r="M81" s="423">
        <v>-36</v>
      </c>
      <c r="N81" s="423">
        <v>-36</v>
      </c>
      <c r="O81" s="423">
        <v>-36</v>
      </c>
      <c r="P81" s="423">
        <v>0</v>
      </c>
      <c r="Q81" s="423">
        <v>0</v>
      </c>
      <c r="R81" s="423">
        <v>0</v>
      </c>
      <c r="S81" s="423"/>
      <c r="U81" s="423"/>
      <c r="V81" s="423">
        <f>M81-U81</f>
        <v>-36</v>
      </c>
      <c r="W81" s="423">
        <f t="shared" si="65"/>
        <v>0</v>
      </c>
      <c r="X81" s="423">
        <f t="shared" si="65"/>
        <v>0</v>
      </c>
      <c r="Y81" s="423">
        <f>P81</f>
        <v>0</v>
      </c>
      <c r="Z81" s="423">
        <f t="shared" si="66"/>
        <v>0</v>
      </c>
      <c r="AA81" s="423">
        <f t="shared" si="53"/>
        <v>0</v>
      </c>
    </row>
    <row r="82" spans="1:27">
      <c r="A82" s="417"/>
      <c r="B82" s="417"/>
      <c r="D82" s="417"/>
      <c r="E82" s="417"/>
      <c r="F82" s="417"/>
      <c r="G82" s="417"/>
      <c r="H82" s="417"/>
      <c r="I82" s="417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U82" s="417"/>
      <c r="V82" s="417"/>
      <c r="W82" s="417"/>
      <c r="X82" s="417"/>
      <c r="Y82" s="417"/>
      <c r="Z82" s="417"/>
      <c r="AA82" s="417"/>
    </row>
    <row r="83" spans="1:27">
      <c r="A83" s="429" t="s">
        <v>722</v>
      </c>
      <c r="B83" s="429" t="s">
        <v>722</v>
      </c>
      <c r="D83" s="420">
        <f t="shared" ref="D83:I83" si="67">D85-D75-D52-D76</f>
        <v>348738</v>
      </c>
      <c r="E83" s="420">
        <f t="shared" si="67"/>
        <v>646515</v>
      </c>
      <c r="F83" s="420">
        <f t="shared" si="67"/>
        <v>950862</v>
      </c>
      <c r="G83" s="420">
        <f t="shared" si="67"/>
        <v>1256793</v>
      </c>
      <c r="H83" s="420">
        <f t="shared" si="67"/>
        <v>321042</v>
      </c>
      <c r="I83" s="420">
        <f t="shared" si="67"/>
        <v>648988</v>
      </c>
      <c r="J83" s="420">
        <f t="shared" ref="J83:R83" si="68">J85-J75-J52-J76</f>
        <v>980582</v>
      </c>
      <c r="K83" s="420">
        <f t="shared" si="68"/>
        <v>1305047</v>
      </c>
      <c r="L83" s="420">
        <f t="shared" si="68"/>
        <v>324351</v>
      </c>
      <c r="M83" s="420">
        <f t="shared" si="68"/>
        <v>649808</v>
      </c>
      <c r="N83" s="420">
        <f t="shared" si="68"/>
        <v>1172381</v>
      </c>
      <c r="O83" s="420">
        <f t="shared" si="68"/>
        <v>1487504</v>
      </c>
      <c r="P83" s="420">
        <f t="shared" si="68"/>
        <v>301901</v>
      </c>
      <c r="Q83" s="420">
        <f t="shared" si="68"/>
        <v>605254</v>
      </c>
      <c r="R83" s="420">
        <f t="shared" si="68"/>
        <v>919967</v>
      </c>
      <c r="S83" s="420"/>
      <c r="U83" s="420">
        <f t="shared" ref="U83:AA83" si="69">U85-U75-U52-U76</f>
        <v>324351</v>
      </c>
      <c r="V83" s="420">
        <f t="shared" si="69"/>
        <v>325457</v>
      </c>
      <c r="W83" s="420">
        <f t="shared" si="69"/>
        <v>522573</v>
      </c>
      <c r="X83" s="420">
        <f t="shared" si="69"/>
        <v>315123</v>
      </c>
      <c r="Y83" s="420">
        <f t="shared" si="69"/>
        <v>301901</v>
      </c>
      <c r="Z83" s="420">
        <f t="shared" si="69"/>
        <v>303353</v>
      </c>
      <c r="AA83" s="420">
        <f t="shared" si="69"/>
        <v>314713</v>
      </c>
    </row>
    <row r="84" spans="1:27">
      <c r="A84" s="417"/>
      <c r="B84" s="417"/>
      <c r="D84" s="417"/>
      <c r="E84" s="417"/>
      <c r="F84" s="417"/>
      <c r="G84" s="417"/>
      <c r="H84" s="417"/>
      <c r="I84" s="417"/>
      <c r="J84" s="417"/>
      <c r="K84" s="417"/>
      <c r="L84" s="417"/>
      <c r="M84" s="417"/>
      <c r="N84" s="417"/>
      <c r="O84" s="417"/>
      <c r="P84" s="417"/>
      <c r="Q84" s="417"/>
      <c r="R84" s="417"/>
      <c r="S84" s="417"/>
      <c r="U84" s="417"/>
      <c r="V84" s="417"/>
      <c r="W84" s="417"/>
      <c r="X84" s="417"/>
      <c r="Y84" s="417"/>
      <c r="Z84" s="417"/>
      <c r="AA84" s="417"/>
    </row>
    <row r="85" spans="1:27">
      <c r="A85" s="429" t="s">
        <v>723</v>
      </c>
      <c r="B85" s="429" t="s">
        <v>724</v>
      </c>
      <c r="D85" s="420">
        <f t="shared" ref="D85:I85" si="70">D57+D59</f>
        <v>348684</v>
      </c>
      <c r="E85" s="420">
        <f t="shared" si="70"/>
        <v>646423</v>
      </c>
      <c r="F85" s="420">
        <f t="shared" si="70"/>
        <v>950702</v>
      </c>
      <c r="G85" s="420">
        <f t="shared" si="70"/>
        <v>1256564</v>
      </c>
      <c r="H85" s="420">
        <f t="shared" si="70"/>
        <v>320973</v>
      </c>
      <c r="I85" s="420">
        <f t="shared" si="70"/>
        <v>648850</v>
      </c>
      <c r="J85" s="420">
        <f t="shared" ref="J85:R85" si="71">J57+J59</f>
        <v>980379</v>
      </c>
      <c r="K85" s="420">
        <f t="shared" si="71"/>
        <v>1304790</v>
      </c>
      <c r="L85" s="420">
        <f t="shared" si="71"/>
        <v>324286</v>
      </c>
      <c r="M85" s="420">
        <f t="shared" si="71"/>
        <v>649680</v>
      </c>
      <c r="N85" s="420">
        <f t="shared" si="71"/>
        <v>1172188</v>
      </c>
      <c r="O85" s="420">
        <f t="shared" si="71"/>
        <v>1487249</v>
      </c>
      <c r="P85" s="420">
        <f t="shared" si="71"/>
        <v>301842</v>
      </c>
      <c r="Q85" s="420">
        <f t="shared" si="71"/>
        <v>605136</v>
      </c>
      <c r="R85" s="420">
        <f t="shared" si="71"/>
        <v>919793</v>
      </c>
      <c r="S85" s="420"/>
      <c r="U85" s="420">
        <f t="shared" ref="U85:AA85" si="72">U57+U59</f>
        <v>324286</v>
      </c>
      <c r="V85" s="420">
        <f t="shared" si="72"/>
        <v>325394</v>
      </c>
      <c r="W85" s="420">
        <f t="shared" si="72"/>
        <v>522508</v>
      </c>
      <c r="X85" s="420">
        <f t="shared" si="72"/>
        <v>315061</v>
      </c>
      <c r="Y85" s="420">
        <f t="shared" si="72"/>
        <v>301842</v>
      </c>
      <c r="Z85" s="420">
        <f t="shared" si="72"/>
        <v>303294</v>
      </c>
      <c r="AA85" s="420">
        <f t="shared" si="72"/>
        <v>314657</v>
      </c>
    </row>
    <row r="86" spans="1:27">
      <c r="A86" s="417"/>
      <c r="B86" s="417"/>
      <c r="D86" s="417"/>
      <c r="E86" s="417"/>
      <c r="F86" s="417"/>
      <c r="G86" s="417"/>
      <c r="H86" s="417"/>
      <c r="I86" s="417"/>
      <c r="J86" s="417"/>
      <c r="K86" s="417"/>
      <c r="L86" s="417"/>
      <c r="M86" s="417"/>
      <c r="N86" s="417"/>
      <c r="O86" s="417"/>
      <c r="P86" s="417"/>
      <c r="Q86" s="417"/>
      <c r="R86" s="417"/>
      <c r="S86" s="417"/>
      <c r="U86" s="417"/>
      <c r="V86" s="417"/>
      <c r="W86" s="417"/>
      <c r="X86" s="417"/>
      <c r="Y86" s="417"/>
      <c r="Z86" s="417"/>
      <c r="AA86" s="417"/>
    </row>
    <row r="87" spans="1:27">
      <c r="A87" s="429" t="s">
        <v>725</v>
      </c>
      <c r="B87" s="429" t="s">
        <v>726</v>
      </c>
      <c r="D87" s="420">
        <f t="shared" ref="D87:I87" si="73">D89+D99</f>
        <v>-138804</v>
      </c>
      <c r="E87" s="420">
        <f t="shared" si="73"/>
        <v>-327013</v>
      </c>
      <c r="F87" s="420">
        <f t="shared" si="73"/>
        <v>-342257</v>
      </c>
      <c r="G87" s="420">
        <f t="shared" si="73"/>
        <v>-397923</v>
      </c>
      <c r="H87" s="420">
        <f t="shared" si="73"/>
        <v>-117459</v>
      </c>
      <c r="I87" s="420">
        <f t="shared" si="73"/>
        <v>-219396</v>
      </c>
      <c r="J87" s="420">
        <f t="shared" ref="J87:R87" si="74">J89+J99</f>
        <v>-264257</v>
      </c>
      <c r="K87" s="420">
        <f t="shared" si="74"/>
        <v>-327278</v>
      </c>
      <c r="L87" s="420">
        <f t="shared" si="74"/>
        <v>-98224</v>
      </c>
      <c r="M87" s="420">
        <f t="shared" si="74"/>
        <v>-172191</v>
      </c>
      <c r="N87" s="420">
        <f t="shared" si="74"/>
        <v>-221669</v>
      </c>
      <c r="O87" s="420">
        <f t="shared" si="74"/>
        <v>-289149</v>
      </c>
      <c r="P87" s="420">
        <f t="shared" si="74"/>
        <v>-76844</v>
      </c>
      <c r="Q87" s="420">
        <f t="shared" si="74"/>
        <v>-147894</v>
      </c>
      <c r="R87" s="420">
        <f t="shared" si="74"/>
        <v>-174292</v>
      </c>
      <c r="S87" s="420"/>
      <c r="U87" s="420">
        <f t="shared" ref="U87:AA87" si="75">U89+U99</f>
        <v>-98224</v>
      </c>
      <c r="V87" s="420">
        <f t="shared" si="75"/>
        <v>-73967</v>
      </c>
      <c r="W87" s="420">
        <f t="shared" si="75"/>
        <v>-49478</v>
      </c>
      <c r="X87" s="420">
        <f t="shared" si="75"/>
        <v>-67480</v>
      </c>
      <c r="Y87" s="420">
        <f t="shared" si="75"/>
        <v>-76844</v>
      </c>
      <c r="Z87" s="420">
        <f t="shared" si="75"/>
        <v>-71050</v>
      </c>
      <c r="AA87" s="420">
        <f t="shared" si="75"/>
        <v>-26398</v>
      </c>
    </row>
    <row r="88" spans="1:27">
      <c r="A88" s="416"/>
      <c r="B88" s="416"/>
      <c r="D88" s="417"/>
      <c r="E88" s="417"/>
      <c r="F88" s="417"/>
      <c r="G88" s="417"/>
      <c r="H88" s="417"/>
      <c r="I88" s="417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U88" s="417"/>
      <c r="V88" s="417"/>
      <c r="W88" s="417"/>
      <c r="X88" s="417"/>
      <c r="Y88" s="417"/>
      <c r="Z88" s="417"/>
      <c r="AA88" s="417"/>
    </row>
    <row r="89" spans="1:27">
      <c r="A89" s="417" t="s">
        <v>727</v>
      </c>
      <c r="B89" s="417" t="s">
        <v>728</v>
      </c>
      <c r="D89" s="424">
        <f t="shared" ref="D89:I89" si="76">SUM(D90:D98)</f>
        <v>11726</v>
      </c>
      <c r="E89" s="424">
        <f t="shared" si="76"/>
        <v>30227</v>
      </c>
      <c r="F89" s="424">
        <f t="shared" si="76"/>
        <v>56201</v>
      </c>
      <c r="G89" s="424">
        <f t="shared" si="76"/>
        <v>80109</v>
      </c>
      <c r="H89" s="424">
        <f t="shared" si="76"/>
        <v>22867</v>
      </c>
      <c r="I89" s="424">
        <f t="shared" si="76"/>
        <v>54488</v>
      </c>
      <c r="J89" s="424">
        <f t="shared" ref="J89:R89" si="77">SUM(J90:J98)</f>
        <v>78314</v>
      </c>
      <c r="K89" s="424">
        <f t="shared" si="77"/>
        <v>101728</v>
      </c>
      <c r="L89" s="424">
        <f t="shared" si="77"/>
        <v>22345</v>
      </c>
      <c r="M89" s="424">
        <f t="shared" si="77"/>
        <v>47648</v>
      </c>
      <c r="N89" s="424">
        <f t="shared" si="77"/>
        <v>82380</v>
      </c>
      <c r="O89" s="424">
        <f t="shared" si="77"/>
        <v>115422</v>
      </c>
      <c r="P89" s="424">
        <f t="shared" si="77"/>
        <v>31816</v>
      </c>
      <c r="Q89" s="424">
        <f t="shared" si="77"/>
        <v>70333</v>
      </c>
      <c r="R89" s="424">
        <f t="shared" si="77"/>
        <v>112168</v>
      </c>
      <c r="S89" s="424"/>
      <c r="U89" s="424">
        <f t="shared" ref="U89:AA89" si="78">SUM(U90:U98)</f>
        <v>22345</v>
      </c>
      <c r="V89" s="424">
        <f t="shared" si="78"/>
        <v>25303</v>
      </c>
      <c r="W89" s="424">
        <f t="shared" si="78"/>
        <v>34732</v>
      </c>
      <c r="X89" s="424">
        <f t="shared" si="78"/>
        <v>33042</v>
      </c>
      <c r="Y89" s="424">
        <f t="shared" si="78"/>
        <v>31816</v>
      </c>
      <c r="Z89" s="424">
        <f t="shared" si="78"/>
        <v>38517</v>
      </c>
      <c r="AA89" s="424">
        <f t="shared" si="78"/>
        <v>41835</v>
      </c>
    </row>
    <row r="90" spans="1:27" outlineLevel="1">
      <c r="A90" s="418" t="s">
        <v>729</v>
      </c>
      <c r="B90" s="418" t="s">
        <v>728</v>
      </c>
      <c r="D90" s="423">
        <v>12297</v>
      </c>
      <c r="E90" s="423">
        <v>31662</v>
      </c>
      <c r="F90" s="423">
        <v>58904</v>
      </c>
      <c r="G90" s="423">
        <v>83945</v>
      </c>
      <c r="H90" s="423">
        <v>23977</v>
      </c>
      <c r="I90" s="423">
        <v>50557</v>
      </c>
      <c r="J90" s="423">
        <v>73671</v>
      </c>
      <c r="K90" s="423">
        <v>96393</v>
      </c>
      <c r="L90" s="423">
        <v>23417</v>
      </c>
      <c r="M90" s="423">
        <v>49254</v>
      </c>
      <c r="N90" s="423">
        <v>84475</v>
      </c>
      <c r="O90" s="423">
        <v>119105</v>
      </c>
      <c r="P90" s="423">
        <v>33344</v>
      </c>
      <c r="Q90" s="423">
        <v>73740</v>
      </c>
      <c r="R90" s="423">
        <v>116464</v>
      </c>
      <c r="S90" s="423"/>
      <c r="U90" s="423">
        <f t="shared" ref="U90:U98" si="79">L90</f>
        <v>23417</v>
      </c>
      <c r="V90" s="423">
        <f t="shared" ref="V90:V98" si="80">M90-U90</f>
        <v>25837</v>
      </c>
      <c r="W90" s="423">
        <f t="shared" ref="W90:X98" si="81">N90-M90</f>
        <v>35221</v>
      </c>
      <c r="X90" s="423">
        <f t="shared" si="81"/>
        <v>34630</v>
      </c>
      <c r="Y90" s="423">
        <f t="shared" ref="Y90:Y98" si="82">P90</f>
        <v>33344</v>
      </c>
      <c r="Z90" s="423">
        <f t="shared" ref="Z90:Z98" si="83">Q90-Y90</f>
        <v>40396</v>
      </c>
      <c r="AA90" s="423">
        <f t="shared" ref="AA90:AA109" si="84">R90-Q90</f>
        <v>42724</v>
      </c>
    </row>
    <row r="91" spans="1:27" outlineLevel="1">
      <c r="A91" s="418" t="s">
        <v>730</v>
      </c>
      <c r="B91" s="418" t="s">
        <v>731</v>
      </c>
      <c r="D91" s="423">
        <v>-572</v>
      </c>
      <c r="E91" s="423">
        <v>-1473</v>
      </c>
      <c r="F91" s="423">
        <v>-2741</v>
      </c>
      <c r="G91" s="423">
        <v>-3906</v>
      </c>
      <c r="H91" s="423">
        <v>-1116</v>
      </c>
      <c r="I91" s="423">
        <v>-2657</v>
      </c>
      <c r="J91" s="423">
        <v>-3818</v>
      </c>
      <c r="K91" s="423">
        <v>-4965</v>
      </c>
      <c r="L91" s="423">
        <v>-1087</v>
      </c>
      <c r="M91" s="423">
        <v>-2323</v>
      </c>
      <c r="N91" s="423">
        <v>-3937</v>
      </c>
      <c r="O91" s="423">
        <v>-5547</v>
      </c>
      <c r="P91" s="423">
        <v>-1552</v>
      </c>
      <c r="Q91" s="423">
        <v>-3501</v>
      </c>
      <c r="R91" s="423">
        <v>-5543</v>
      </c>
      <c r="S91" s="423"/>
      <c r="U91" s="423">
        <f t="shared" si="79"/>
        <v>-1087</v>
      </c>
      <c r="V91" s="423">
        <f t="shared" si="80"/>
        <v>-1236</v>
      </c>
      <c r="W91" s="423">
        <f t="shared" si="81"/>
        <v>-1614</v>
      </c>
      <c r="X91" s="423">
        <f t="shared" si="81"/>
        <v>-1610</v>
      </c>
      <c r="Y91" s="423">
        <f t="shared" si="82"/>
        <v>-1552</v>
      </c>
      <c r="Z91" s="423">
        <f t="shared" si="83"/>
        <v>-1949</v>
      </c>
      <c r="AA91" s="423">
        <f t="shared" si="84"/>
        <v>-2042</v>
      </c>
    </row>
    <row r="92" spans="1:27" outlineLevel="1">
      <c r="A92" s="418" t="s">
        <v>2561</v>
      </c>
      <c r="B92" s="418" t="s">
        <v>2562</v>
      </c>
      <c r="D92" s="423">
        <v>0</v>
      </c>
      <c r="E92" s="423">
        <v>0</v>
      </c>
      <c r="F92" s="423">
        <v>0</v>
      </c>
      <c r="G92" s="423">
        <v>0</v>
      </c>
      <c r="H92" s="423">
        <v>0</v>
      </c>
      <c r="I92" s="423">
        <v>0</v>
      </c>
      <c r="J92" s="423">
        <v>0</v>
      </c>
      <c r="K92" s="423">
        <v>0</v>
      </c>
      <c r="L92" s="423">
        <v>0</v>
      </c>
      <c r="M92" s="423">
        <v>0</v>
      </c>
      <c r="N92" s="423">
        <v>0</v>
      </c>
      <c r="O92" s="423">
        <v>0</v>
      </c>
      <c r="P92" s="423">
        <v>0</v>
      </c>
      <c r="Q92" s="423">
        <v>0</v>
      </c>
      <c r="R92" s="423">
        <v>0</v>
      </c>
      <c r="S92" s="423"/>
      <c r="U92" s="423">
        <f t="shared" si="79"/>
        <v>0</v>
      </c>
      <c r="V92" s="423">
        <f t="shared" si="80"/>
        <v>0</v>
      </c>
      <c r="W92" s="423">
        <f t="shared" si="81"/>
        <v>0</v>
      </c>
      <c r="X92" s="423">
        <f t="shared" si="81"/>
        <v>0</v>
      </c>
      <c r="Y92" s="423">
        <f t="shared" si="82"/>
        <v>0</v>
      </c>
      <c r="Z92" s="423">
        <f t="shared" si="83"/>
        <v>0</v>
      </c>
      <c r="AA92" s="423">
        <f t="shared" si="84"/>
        <v>0</v>
      </c>
    </row>
    <row r="93" spans="1:27" outlineLevel="1">
      <c r="A93" s="418" t="s">
        <v>733</v>
      </c>
      <c r="B93" s="418" t="s">
        <v>734</v>
      </c>
      <c r="D93" s="423">
        <v>0</v>
      </c>
      <c r="E93" s="423">
        <v>0</v>
      </c>
      <c r="F93" s="423">
        <v>0</v>
      </c>
      <c r="G93" s="423">
        <v>0</v>
      </c>
      <c r="H93" s="423">
        <v>0</v>
      </c>
      <c r="I93" s="423">
        <v>0</v>
      </c>
      <c r="J93" s="423">
        <v>0</v>
      </c>
      <c r="K93" s="423">
        <v>0</v>
      </c>
      <c r="L93" s="423">
        <v>0</v>
      </c>
      <c r="M93" s="423">
        <v>0</v>
      </c>
      <c r="N93" s="423">
        <v>0</v>
      </c>
      <c r="O93" s="423">
        <v>0</v>
      </c>
      <c r="P93" s="423">
        <v>0</v>
      </c>
      <c r="Q93" s="423">
        <v>0</v>
      </c>
      <c r="R93" s="423">
        <v>0</v>
      </c>
      <c r="S93" s="423"/>
      <c r="U93" s="423">
        <f t="shared" si="79"/>
        <v>0</v>
      </c>
      <c r="V93" s="423">
        <f t="shared" si="80"/>
        <v>0</v>
      </c>
      <c r="W93" s="423">
        <f t="shared" si="81"/>
        <v>0</v>
      </c>
      <c r="X93" s="423">
        <f t="shared" si="81"/>
        <v>0</v>
      </c>
      <c r="Y93" s="423">
        <f t="shared" si="82"/>
        <v>0</v>
      </c>
      <c r="Z93" s="423">
        <f t="shared" si="83"/>
        <v>0</v>
      </c>
      <c r="AA93" s="423">
        <f t="shared" si="84"/>
        <v>0</v>
      </c>
    </row>
    <row r="94" spans="1:27" outlineLevel="1">
      <c r="A94" s="418" t="s">
        <v>735</v>
      </c>
      <c r="B94" s="418" t="s">
        <v>736</v>
      </c>
      <c r="D94" s="423">
        <v>0</v>
      </c>
      <c r="E94" s="423">
        <v>0</v>
      </c>
      <c r="F94" s="423">
        <v>0</v>
      </c>
      <c r="G94" s="423">
        <v>0</v>
      </c>
      <c r="H94" s="423">
        <v>0</v>
      </c>
      <c r="I94" s="423">
        <v>0</v>
      </c>
      <c r="J94" s="423">
        <v>0</v>
      </c>
      <c r="K94" s="423">
        <v>0</v>
      </c>
      <c r="L94" s="423">
        <v>0</v>
      </c>
      <c r="M94" s="423">
        <v>0</v>
      </c>
      <c r="N94" s="423">
        <v>0</v>
      </c>
      <c r="O94" s="423">
        <v>0</v>
      </c>
      <c r="P94" s="423">
        <v>0</v>
      </c>
      <c r="Q94" s="423">
        <v>0</v>
      </c>
      <c r="R94" s="423">
        <v>0</v>
      </c>
      <c r="S94" s="423"/>
      <c r="U94" s="423">
        <f t="shared" si="79"/>
        <v>0</v>
      </c>
      <c r="V94" s="423">
        <f t="shared" si="80"/>
        <v>0</v>
      </c>
      <c r="W94" s="423">
        <f t="shared" si="81"/>
        <v>0</v>
      </c>
      <c r="X94" s="423">
        <f t="shared" si="81"/>
        <v>0</v>
      </c>
      <c r="Y94" s="423">
        <f t="shared" si="82"/>
        <v>0</v>
      </c>
      <c r="Z94" s="423">
        <f t="shared" si="83"/>
        <v>0</v>
      </c>
      <c r="AA94" s="423">
        <f t="shared" si="84"/>
        <v>0</v>
      </c>
    </row>
    <row r="95" spans="1:27" outlineLevel="1">
      <c r="A95" s="418" t="s">
        <v>737</v>
      </c>
      <c r="B95" s="418" t="s">
        <v>738</v>
      </c>
      <c r="D95" s="423">
        <v>0</v>
      </c>
      <c r="E95" s="423">
        <v>0</v>
      </c>
      <c r="F95" s="423">
        <v>0</v>
      </c>
      <c r="G95" s="423">
        <v>0</v>
      </c>
      <c r="H95" s="423">
        <v>0</v>
      </c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/>
      <c r="U95" s="423">
        <f t="shared" si="79"/>
        <v>0</v>
      </c>
      <c r="V95" s="423">
        <f t="shared" si="80"/>
        <v>0</v>
      </c>
      <c r="W95" s="423">
        <f t="shared" si="81"/>
        <v>0</v>
      </c>
      <c r="X95" s="423">
        <f t="shared" si="81"/>
        <v>0</v>
      </c>
      <c r="Y95" s="423">
        <f t="shared" si="82"/>
        <v>0</v>
      </c>
      <c r="Z95" s="423">
        <f t="shared" si="83"/>
        <v>0</v>
      </c>
      <c r="AA95" s="423">
        <f t="shared" si="84"/>
        <v>0</v>
      </c>
    </row>
    <row r="96" spans="1:27" outlineLevel="1">
      <c r="A96" s="418" t="s">
        <v>739</v>
      </c>
      <c r="B96" s="418" t="s">
        <v>740</v>
      </c>
      <c r="D96" s="423">
        <v>1</v>
      </c>
      <c r="E96" s="423">
        <v>38</v>
      </c>
      <c r="F96" s="423">
        <v>38</v>
      </c>
      <c r="G96" s="423">
        <v>0</v>
      </c>
      <c r="H96" s="423">
        <v>0</v>
      </c>
      <c r="I96" s="423">
        <v>6578</v>
      </c>
      <c r="J96" s="423">
        <v>8443</v>
      </c>
      <c r="K96" s="423">
        <v>10265</v>
      </c>
      <c r="L96" s="423">
        <v>0</v>
      </c>
      <c r="M96" s="423">
        <v>610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/>
      <c r="U96" s="423">
        <f t="shared" si="79"/>
        <v>0</v>
      </c>
      <c r="V96" s="423">
        <f t="shared" si="80"/>
        <v>610</v>
      </c>
      <c r="W96" s="423">
        <f t="shared" si="81"/>
        <v>-610</v>
      </c>
      <c r="X96" s="423">
        <f t="shared" si="81"/>
        <v>0</v>
      </c>
      <c r="Y96" s="423">
        <f t="shared" si="82"/>
        <v>0</v>
      </c>
      <c r="Z96" s="423">
        <f t="shared" si="83"/>
        <v>0</v>
      </c>
      <c r="AA96" s="423">
        <f t="shared" si="84"/>
        <v>0</v>
      </c>
    </row>
    <row r="97" spans="1:27" outlineLevel="1">
      <c r="A97" s="418" t="s">
        <v>741</v>
      </c>
      <c r="B97" s="418" t="s">
        <v>2536</v>
      </c>
      <c r="D97" s="423"/>
      <c r="E97" s="423"/>
      <c r="F97" s="423"/>
      <c r="G97" s="423"/>
      <c r="H97" s="423"/>
      <c r="I97" s="423"/>
      <c r="J97" s="423"/>
      <c r="K97" s="423"/>
      <c r="L97" s="423"/>
      <c r="M97" s="423"/>
      <c r="N97" s="423"/>
      <c r="O97" s="423"/>
      <c r="P97" s="423"/>
      <c r="Q97" s="423">
        <v>0</v>
      </c>
      <c r="R97" s="423">
        <v>0</v>
      </c>
      <c r="S97" s="423"/>
      <c r="U97" s="423">
        <f>L97</f>
        <v>0</v>
      </c>
      <c r="V97" s="423">
        <f>M97-U97</f>
        <v>0</v>
      </c>
      <c r="W97" s="423">
        <f>N97-M97</f>
        <v>0</v>
      </c>
      <c r="X97" s="423">
        <f>O97-N97</f>
        <v>0</v>
      </c>
      <c r="Y97" s="423">
        <f>P97</f>
        <v>0</v>
      </c>
      <c r="Z97" s="423">
        <f>Q97-Y97</f>
        <v>0</v>
      </c>
      <c r="AA97" s="423">
        <f t="shared" si="84"/>
        <v>0</v>
      </c>
    </row>
    <row r="98" spans="1:27" outlineLevel="1">
      <c r="A98" s="418" t="s">
        <v>742</v>
      </c>
      <c r="B98" s="418" t="s">
        <v>743</v>
      </c>
      <c r="D98" s="423">
        <v>0</v>
      </c>
      <c r="E98" s="423">
        <v>0</v>
      </c>
      <c r="F98" s="423">
        <v>0</v>
      </c>
      <c r="G98" s="423">
        <v>70</v>
      </c>
      <c r="H98" s="423">
        <v>6</v>
      </c>
      <c r="I98" s="423">
        <v>10</v>
      </c>
      <c r="J98" s="423">
        <v>18</v>
      </c>
      <c r="K98" s="423">
        <v>35</v>
      </c>
      <c r="L98" s="423">
        <v>15</v>
      </c>
      <c r="M98" s="423">
        <v>107</v>
      </c>
      <c r="N98" s="423">
        <v>1842</v>
      </c>
      <c r="O98" s="423">
        <v>1864</v>
      </c>
      <c r="P98" s="423">
        <v>24</v>
      </c>
      <c r="Q98" s="423">
        <v>94</v>
      </c>
      <c r="R98" s="423">
        <v>1247</v>
      </c>
      <c r="S98" s="423"/>
      <c r="U98" s="423">
        <f t="shared" si="79"/>
        <v>15</v>
      </c>
      <c r="V98" s="423">
        <f t="shared" si="80"/>
        <v>92</v>
      </c>
      <c r="W98" s="423">
        <f t="shared" si="81"/>
        <v>1735</v>
      </c>
      <c r="X98" s="423">
        <f t="shared" si="81"/>
        <v>22</v>
      </c>
      <c r="Y98" s="423">
        <f t="shared" si="82"/>
        <v>24</v>
      </c>
      <c r="Z98" s="423">
        <f t="shared" si="83"/>
        <v>70</v>
      </c>
      <c r="AA98" s="423">
        <f t="shared" si="84"/>
        <v>1153</v>
      </c>
    </row>
    <row r="99" spans="1:27">
      <c r="A99" s="417" t="s">
        <v>744</v>
      </c>
      <c r="B99" s="417" t="s">
        <v>745</v>
      </c>
      <c r="D99" s="422">
        <f t="shared" ref="D99:I99" si="85">SUM(D100:D109)</f>
        <v>-150530</v>
      </c>
      <c r="E99" s="422">
        <f t="shared" si="85"/>
        <v>-357240</v>
      </c>
      <c r="F99" s="422">
        <f t="shared" si="85"/>
        <v>-398458</v>
      </c>
      <c r="G99" s="422">
        <f t="shared" si="85"/>
        <v>-478032</v>
      </c>
      <c r="H99" s="422">
        <f t="shared" si="85"/>
        <v>-140326</v>
      </c>
      <c r="I99" s="422">
        <f t="shared" si="85"/>
        <v>-273884</v>
      </c>
      <c r="J99" s="422">
        <f t="shared" ref="J99:R99" si="86">SUM(J100:J109)</f>
        <v>-342571</v>
      </c>
      <c r="K99" s="422">
        <f t="shared" si="86"/>
        <v>-429006</v>
      </c>
      <c r="L99" s="422">
        <f t="shared" si="86"/>
        <v>-120569</v>
      </c>
      <c r="M99" s="422">
        <f t="shared" si="86"/>
        <v>-219839</v>
      </c>
      <c r="N99" s="422">
        <f t="shared" si="86"/>
        <v>-304049</v>
      </c>
      <c r="O99" s="422">
        <f t="shared" si="86"/>
        <v>-404571</v>
      </c>
      <c r="P99" s="422">
        <f t="shared" si="86"/>
        <v>-108660</v>
      </c>
      <c r="Q99" s="422">
        <f t="shared" si="86"/>
        <v>-218227</v>
      </c>
      <c r="R99" s="422">
        <f t="shared" si="86"/>
        <v>-286460</v>
      </c>
      <c r="S99" s="422"/>
      <c r="U99" s="422">
        <f t="shared" ref="U99:AA99" si="87">SUM(U100:U109)</f>
        <v>-120569</v>
      </c>
      <c r="V99" s="422">
        <f t="shared" si="87"/>
        <v>-99270</v>
      </c>
      <c r="W99" s="422">
        <f t="shared" si="87"/>
        <v>-84210</v>
      </c>
      <c r="X99" s="422">
        <f t="shared" si="87"/>
        <v>-100522</v>
      </c>
      <c r="Y99" s="422">
        <f t="shared" si="87"/>
        <v>-108660</v>
      </c>
      <c r="Z99" s="422">
        <f t="shared" si="87"/>
        <v>-109567</v>
      </c>
      <c r="AA99" s="422">
        <f t="shared" si="87"/>
        <v>-68233</v>
      </c>
    </row>
    <row r="100" spans="1:27" outlineLevel="1">
      <c r="A100" s="418" t="s">
        <v>746</v>
      </c>
      <c r="B100" s="418" t="s">
        <v>747</v>
      </c>
      <c r="D100" s="423">
        <v>-102669</v>
      </c>
      <c r="E100" s="423">
        <v>-234669</v>
      </c>
      <c r="F100" s="423">
        <v>-278031</v>
      </c>
      <c r="G100" s="423">
        <v>-313406</v>
      </c>
      <c r="H100" s="423">
        <v>-80599</v>
      </c>
      <c r="I100" s="423">
        <v>-160415</v>
      </c>
      <c r="J100" s="423">
        <v>-208347</v>
      </c>
      <c r="K100" s="423">
        <v>-263447</v>
      </c>
      <c r="L100" s="423">
        <v>-71116</v>
      </c>
      <c r="M100" s="423">
        <v>-135469</v>
      </c>
      <c r="N100" s="423">
        <v>-194575</v>
      </c>
      <c r="O100" s="423">
        <v>-256340</v>
      </c>
      <c r="P100" s="423">
        <v>-62437</v>
      </c>
      <c r="Q100" s="423">
        <v>-129371</v>
      </c>
      <c r="R100" s="423">
        <v>-178121</v>
      </c>
      <c r="S100" s="423"/>
      <c r="U100" s="423">
        <f t="shared" ref="U100:U109" si="88">L100</f>
        <v>-71116</v>
      </c>
      <c r="V100" s="423">
        <f t="shared" ref="V100:V109" si="89">M100-U100</f>
        <v>-64353</v>
      </c>
      <c r="W100" s="423">
        <f t="shared" ref="W100:X109" si="90">N100-M100</f>
        <v>-59106</v>
      </c>
      <c r="X100" s="423">
        <f t="shared" si="90"/>
        <v>-61765</v>
      </c>
      <c r="Y100" s="423">
        <f t="shared" ref="Y100:Y109" si="91">P100</f>
        <v>-62437</v>
      </c>
      <c r="Z100" s="423">
        <f t="shared" ref="Z100:Z109" si="92">Q100-Y100</f>
        <v>-66934</v>
      </c>
      <c r="AA100" s="423">
        <f t="shared" si="84"/>
        <v>-48750</v>
      </c>
    </row>
    <row r="101" spans="1:27" outlineLevel="1">
      <c r="A101" s="418" t="s">
        <v>748</v>
      </c>
      <c r="B101" s="418" t="s">
        <v>749</v>
      </c>
      <c r="D101" s="423">
        <v>0</v>
      </c>
      <c r="E101" s="423">
        <v>0</v>
      </c>
      <c r="F101" s="423">
        <v>0</v>
      </c>
      <c r="G101" s="423">
        <v>0</v>
      </c>
      <c r="H101" s="423">
        <v>0</v>
      </c>
      <c r="I101" s="423">
        <v>0</v>
      </c>
      <c r="J101" s="423">
        <v>0</v>
      </c>
      <c r="K101" s="423">
        <v>0</v>
      </c>
      <c r="L101" s="423">
        <v>0</v>
      </c>
      <c r="M101" s="423">
        <v>0</v>
      </c>
      <c r="N101" s="423">
        <v>0</v>
      </c>
      <c r="O101" s="423">
        <v>0</v>
      </c>
      <c r="P101" s="423">
        <v>0</v>
      </c>
      <c r="Q101" s="423">
        <v>0</v>
      </c>
      <c r="R101" s="423">
        <v>0</v>
      </c>
      <c r="S101" s="423"/>
      <c r="U101" s="423">
        <f t="shared" si="88"/>
        <v>0</v>
      </c>
      <c r="V101" s="423">
        <f t="shared" si="89"/>
        <v>0</v>
      </c>
      <c r="W101" s="423">
        <f t="shared" si="90"/>
        <v>0</v>
      </c>
      <c r="X101" s="423">
        <f t="shared" si="90"/>
        <v>0</v>
      </c>
      <c r="Y101" s="423">
        <f t="shared" si="91"/>
        <v>0</v>
      </c>
      <c r="Z101" s="423">
        <f t="shared" si="92"/>
        <v>0</v>
      </c>
      <c r="AA101" s="423">
        <f t="shared" si="84"/>
        <v>0</v>
      </c>
    </row>
    <row r="102" spans="1:27" outlineLevel="1">
      <c r="A102" s="418" t="s">
        <v>750</v>
      </c>
      <c r="B102" s="418" t="s">
        <v>751</v>
      </c>
      <c r="D102" s="423">
        <v>-43883</v>
      </c>
      <c r="E102" s="423">
        <v>-114613</v>
      </c>
      <c r="F102" s="423">
        <v>-108662</v>
      </c>
      <c r="G102" s="423">
        <v>-136674</v>
      </c>
      <c r="H102" s="423">
        <v>-47100</v>
      </c>
      <c r="I102" s="423">
        <v>-85995</v>
      </c>
      <c r="J102" s="423">
        <v>-93834</v>
      </c>
      <c r="K102" s="423">
        <v>-112741</v>
      </c>
      <c r="L102" s="423">
        <v>-41170</v>
      </c>
      <c r="M102" s="423">
        <v>-67312</v>
      </c>
      <c r="N102" s="423">
        <v>-85859</v>
      </c>
      <c r="O102" s="423">
        <v>-117300</v>
      </c>
      <c r="P102" s="423">
        <v>-39284</v>
      </c>
      <c r="Q102" s="423">
        <v>-74523</v>
      </c>
      <c r="R102" s="423">
        <v>-85950</v>
      </c>
      <c r="S102" s="423"/>
      <c r="U102" s="423">
        <f t="shared" si="88"/>
        <v>-41170</v>
      </c>
      <c r="V102" s="423">
        <f t="shared" si="89"/>
        <v>-26142</v>
      </c>
      <c r="W102" s="423">
        <f t="shared" si="90"/>
        <v>-18547</v>
      </c>
      <c r="X102" s="423">
        <f t="shared" si="90"/>
        <v>-31441</v>
      </c>
      <c r="Y102" s="423">
        <f t="shared" si="91"/>
        <v>-39284</v>
      </c>
      <c r="Z102" s="423">
        <f t="shared" si="92"/>
        <v>-35239</v>
      </c>
      <c r="AA102" s="423">
        <f t="shared" si="84"/>
        <v>-11427</v>
      </c>
    </row>
    <row r="103" spans="1:27" outlineLevel="1">
      <c r="A103" s="418" t="s">
        <v>741</v>
      </c>
      <c r="B103" s="418" t="s">
        <v>2536</v>
      </c>
      <c r="D103" s="423"/>
      <c r="E103" s="423"/>
      <c r="F103" s="423"/>
      <c r="G103" s="423"/>
      <c r="H103" s="423"/>
      <c r="I103" s="423"/>
      <c r="J103" s="423"/>
      <c r="K103" s="423"/>
      <c r="L103" s="423"/>
      <c r="M103" s="423"/>
      <c r="N103" s="423"/>
      <c r="O103" s="423"/>
      <c r="P103" s="423"/>
      <c r="Q103" s="423">
        <v>0</v>
      </c>
      <c r="R103" s="423">
        <v>0</v>
      </c>
      <c r="S103" s="423"/>
      <c r="U103" s="423">
        <f>L103</f>
        <v>0</v>
      </c>
      <c r="V103" s="423">
        <f>M103-U103</f>
        <v>0</v>
      </c>
      <c r="W103" s="423">
        <f t="shared" ref="W103:X105" si="93">N103-M103</f>
        <v>0</v>
      </c>
      <c r="X103" s="423">
        <f t="shared" si="93"/>
        <v>0</v>
      </c>
      <c r="Y103" s="423">
        <f>P103</f>
        <v>0</v>
      </c>
      <c r="Z103" s="423">
        <f>Q103-Y103</f>
        <v>0</v>
      </c>
      <c r="AA103" s="423">
        <f t="shared" si="84"/>
        <v>0</v>
      </c>
    </row>
    <row r="104" spans="1:27" outlineLevel="1">
      <c r="A104" s="418" t="s">
        <v>752</v>
      </c>
      <c r="B104" s="418" t="s">
        <v>753</v>
      </c>
      <c r="D104" s="423">
        <v>0</v>
      </c>
      <c r="E104" s="423">
        <v>0</v>
      </c>
      <c r="F104" s="423">
        <v>0</v>
      </c>
      <c r="G104" s="423">
        <v>0</v>
      </c>
      <c r="H104" s="423">
        <v>0</v>
      </c>
      <c r="I104" s="423">
        <v>0</v>
      </c>
      <c r="J104" s="423">
        <v>0</v>
      </c>
      <c r="K104" s="423">
        <v>0</v>
      </c>
      <c r="L104" s="423">
        <v>0</v>
      </c>
      <c r="M104" s="423">
        <v>0</v>
      </c>
      <c r="N104" s="423">
        <v>0</v>
      </c>
      <c r="O104" s="423">
        <v>0</v>
      </c>
      <c r="P104" s="423">
        <v>0</v>
      </c>
      <c r="Q104" s="423">
        <v>0</v>
      </c>
      <c r="R104" s="423">
        <v>0</v>
      </c>
      <c r="S104" s="423"/>
      <c r="U104" s="423">
        <f>L104</f>
        <v>0</v>
      </c>
      <c r="V104" s="423">
        <f>M104-U104</f>
        <v>0</v>
      </c>
      <c r="W104" s="423">
        <f t="shared" si="93"/>
        <v>0</v>
      </c>
      <c r="X104" s="423">
        <f t="shared" si="93"/>
        <v>0</v>
      </c>
      <c r="Y104" s="423">
        <f>P104</f>
        <v>0</v>
      </c>
      <c r="Z104" s="423">
        <f>Q104-Y104</f>
        <v>0</v>
      </c>
      <c r="AA104" s="423">
        <f t="shared" si="84"/>
        <v>0</v>
      </c>
    </row>
    <row r="105" spans="1:27" outlineLevel="1">
      <c r="A105" s="418" t="s">
        <v>754</v>
      </c>
      <c r="B105" s="418" t="s">
        <v>755</v>
      </c>
      <c r="D105" s="423">
        <v>0</v>
      </c>
      <c r="E105" s="423">
        <v>0</v>
      </c>
      <c r="F105" s="423">
        <v>0</v>
      </c>
      <c r="G105" s="423">
        <v>0</v>
      </c>
      <c r="H105" s="423">
        <v>0</v>
      </c>
      <c r="I105" s="423">
        <v>0</v>
      </c>
      <c r="J105" s="423">
        <v>0</v>
      </c>
      <c r="K105" s="423">
        <v>0</v>
      </c>
      <c r="L105" s="423">
        <v>0</v>
      </c>
      <c r="M105" s="423">
        <v>0</v>
      </c>
      <c r="N105" s="423">
        <v>0</v>
      </c>
      <c r="O105" s="423">
        <v>0</v>
      </c>
      <c r="P105" s="423">
        <v>0</v>
      </c>
      <c r="Q105" s="423">
        <v>0</v>
      </c>
      <c r="R105" s="423">
        <v>0</v>
      </c>
      <c r="S105" s="423"/>
      <c r="U105" s="423">
        <f>L105</f>
        <v>0</v>
      </c>
      <c r="V105" s="423">
        <f>M105-U105</f>
        <v>0</v>
      </c>
      <c r="W105" s="423">
        <f t="shared" si="93"/>
        <v>0</v>
      </c>
      <c r="X105" s="423">
        <f t="shared" si="93"/>
        <v>0</v>
      </c>
      <c r="Y105" s="423">
        <f>P105</f>
        <v>0</v>
      </c>
      <c r="Z105" s="423">
        <f>Q105-Y105</f>
        <v>0</v>
      </c>
      <c r="AA105" s="423">
        <f t="shared" si="84"/>
        <v>0</v>
      </c>
    </row>
    <row r="106" spans="1:27" outlineLevel="1">
      <c r="A106" s="418" t="s">
        <v>756</v>
      </c>
      <c r="B106" s="418" t="s">
        <v>757</v>
      </c>
      <c r="D106" s="423">
        <v>-7</v>
      </c>
      <c r="E106" s="423">
        <v>-8</v>
      </c>
      <c r="F106" s="423">
        <v>-27</v>
      </c>
      <c r="G106" s="423">
        <v>-31</v>
      </c>
      <c r="H106" s="423">
        <v>-3</v>
      </c>
      <c r="I106" s="423">
        <v>-316</v>
      </c>
      <c r="J106" s="423">
        <v>-329</v>
      </c>
      <c r="K106" s="423">
        <v>-330</v>
      </c>
      <c r="L106" s="423">
        <v>-11</v>
      </c>
      <c r="M106" s="423">
        <v>-14</v>
      </c>
      <c r="N106" s="423">
        <v>-384</v>
      </c>
      <c r="O106" s="423">
        <v>-386</v>
      </c>
      <c r="P106" s="423">
        <v>-1</v>
      </c>
      <c r="Q106" s="423">
        <v>-1</v>
      </c>
      <c r="R106" s="423">
        <v>-1</v>
      </c>
      <c r="S106" s="423"/>
      <c r="U106" s="423">
        <f t="shared" si="88"/>
        <v>-11</v>
      </c>
      <c r="V106" s="423">
        <f t="shared" si="89"/>
        <v>-3</v>
      </c>
      <c r="W106" s="423">
        <f t="shared" si="90"/>
        <v>-370</v>
      </c>
      <c r="X106" s="423">
        <f t="shared" si="90"/>
        <v>-2</v>
      </c>
      <c r="Y106" s="423">
        <f t="shared" si="91"/>
        <v>-1</v>
      </c>
      <c r="Z106" s="423">
        <f t="shared" si="92"/>
        <v>0</v>
      </c>
      <c r="AA106" s="423">
        <f t="shared" si="84"/>
        <v>0</v>
      </c>
    </row>
    <row r="107" spans="1:27" outlineLevel="1">
      <c r="A107" s="418" t="s">
        <v>758</v>
      </c>
      <c r="B107" s="418" t="s">
        <v>759</v>
      </c>
      <c r="D107" s="423">
        <v>0</v>
      </c>
      <c r="E107" s="423">
        <v>0</v>
      </c>
      <c r="F107" s="423">
        <v>0</v>
      </c>
      <c r="G107" s="423">
        <v>0</v>
      </c>
      <c r="H107" s="423">
        <v>0</v>
      </c>
      <c r="I107" s="423">
        <v>0</v>
      </c>
      <c r="J107" s="423">
        <v>0</v>
      </c>
      <c r="K107" s="423">
        <v>0</v>
      </c>
      <c r="L107" s="423">
        <v>0</v>
      </c>
      <c r="M107" s="423">
        <v>0</v>
      </c>
      <c r="N107" s="423">
        <v>0</v>
      </c>
      <c r="O107" s="423">
        <v>0</v>
      </c>
      <c r="P107" s="423">
        <v>0</v>
      </c>
      <c r="Q107" s="423">
        <v>0</v>
      </c>
      <c r="R107" s="423">
        <v>0</v>
      </c>
      <c r="S107" s="423"/>
      <c r="U107" s="423">
        <f t="shared" si="88"/>
        <v>0</v>
      </c>
      <c r="V107" s="423">
        <f t="shared" si="89"/>
        <v>0</v>
      </c>
      <c r="W107" s="423">
        <f t="shared" si="90"/>
        <v>0</v>
      </c>
      <c r="X107" s="423">
        <f t="shared" si="90"/>
        <v>0</v>
      </c>
      <c r="Y107" s="423">
        <f t="shared" si="91"/>
        <v>0</v>
      </c>
      <c r="Z107" s="423">
        <f t="shared" si="92"/>
        <v>0</v>
      </c>
      <c r="AA107" s="423">
        <f t="shared" si="84"/>
        <v>0</v>
      </c>
    </row>
    <row r="108" spans="1:27" outlineLevel="1">
      <c r="A108" s="418" t="s">
        <v>760</v>
      </c>
      <c r="B108" s="418" t="s">
        <v>761</v>
      </c>
      <c r="D108" s="423">
        <v>-125</v>
      </c>
      <c r="E108" s="423">
        <v>-310</v>
      </c>
      <c r="F108" s="423">
        <v>-561</v>
      </c>
      <c r="G108" s="423">
        <v>-736</v>
      </c>
      <c r="H108" s="423">
        <v>-331</v>
      </c>
      <c r="I108" s="423">
        <v>-696</v>
      </c>
      <c r="J108" s="423">
        <v>-1117</v>
      </c>
      <c r="K108" s="423">
        <v>-1531</v>
      </c>
      <c r="L108" s="423">
        <v>-429</v>
      </c>
      <c r="M108" s="423">
        <v>-851</v>
      </c>
      <c r="N108" s="423">
        <v>963</v>
      </c>
      <c r="O108" s="423">
        <v>870</v>
      </c>
      <c r="P108" s="423">
        <v>-128</v>
      </c>
      <c r="Q108" s="423">
        <v>-171</v>
      </c>
      <c r="R108" s="423">
        <v>-203</v>
      </c>
      <c r="S108" s="423"/>
      <c r="U108" s="423">
        <f t="shared" si="88"/>
        <v>-429</v>
      </c>
      <c r="V108" s="423">
        <f t="shared" si="89"/>
        <v>-422</v>
      </c>
      <c r="W108" s="423">
        <f t="shared" si="90"/>
        <v>1814</v>
      </c>
      <c r="X108" s="423">
        <f t="shared" si="90"/>
        <v>-93</v>
      </c>
      <c r="Y108" s="423">
        <f t="shared" si="91"/>
        <v>-128</v>
      </c>
      <c r="Z108" s="423">
        <f t="shared" si="92"/>
        <v>-43</v>
      </c>
      <c r="AA108" s="423">
        <f t="shared" si="84"/>
        <v>-32</v>
      </c>
    </row>
    <row r="109" spans="1:27" outlineLevel="1">
      <c r="A109" s="418" t="s">
        <v>762</v>
      </c>
      <c r="B109" s="418" t="s">
        <v>763</v>
      </c>
      <c r="D109" s="423">
        <v>-3846</v>
      </c>
      <c r="E109" s="423">
        <v>-7640</v>
      </c>
      <c r="F109" s="423">
        <v>-11177</v>
      </c>
      <c r="G109" s="423">
        <v>-27185</v>
      </c>
      <c r="H109" s="423">
        <v>-12293</v>
      </c>
      <c r="I109" s="423">
        <v>-26462</v>
      </c>
      <c r="J109" s="423">
        <v>-38944</v>
      </c>
      <c r="K109" s="423">
        <v>-50957</v>
      </c>
      <c r="L109" s="423">
        <v>-7843</v>
      </c>
      <c r="M109" s="423">
        <v>-16193</v>
      </c>
      <c r="N109" s="423">
        <v>-24194</v>
      </c>
      <c r="O109" s="423">
        <v>-31415</v>
      </c>
      <c r="P109" s="423">
        <v>-6810</v>
      </c>
      <c r="Q109" s="423">
        <v>-14161</v>
      </c>
      <c r="R109" s="423">
        <v>-22185</v>
      </c>
      <c r="S109" s="423"/>
      <c r="U109" s="423">
        <f t="shared" si="88"/>
        <v>-7843</v>
      </c>
      <c r="V109" s="423">
        <f t="shared" si="89"/>
        <v>-8350</v>
      </c>
      <c r="W109" s="423">
        <f t="shared" si="90"/>
        <v>-8001</v>
      </c>
      <c r="X109" s="423">
        <f t="shared" si="90"/>
        <v>-7221</v>
      </c>
      <c r="Y109" s="423">
        <f t="shared" si="91"/>
        <v>-6810</v>
      </c>
      <c r="Z109" s="423">
        <f t="shared" si="92"/>
        <v>-7351</v>
      </c>
      <c r="AA109" s="423">
        <f t="shared" si="84"/>
        <v>-8024</v>
      </c>
    </row>
    <row r="110" spans="1:27">
      <c r="A110" s="417"/>
      <c r="B110" s="417"/>
      <c r="D110" s="417"/>
      <c r="E110" s="417"/>
      <c r="F110" s="417"/>
      <c r="G110" s="417"/>
      <c r="H110" s="417"/>
      <c r="I110" s="417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U110" s="417"/>
      <c r="V110" s="417"/>
      <c r="W110" s="417"/>
      <c r="X110" s="417"/>
      <c r="Y110" s="417"/>
      <c r="Z110" s="417"/>
      <c r="AA110" s="417"/>
    </row>
    <row r="111" spans="1:27">
      <c r="A111" s="429" t="s">
        <v>764</v>
      </c>
      <c r="B111" s="429" t="s">
        <v>765</v>
      </c>
      <c r="D111" s="420">
        <f t="shared" ref="D111:I111" si="94">D85+D87</f>
        <v>209880</v>
      </c>
      <c r="E111" s="420">
        <f t="shared" si="94"/>
        <v>319410</v>
      </c>
      <c r="F111" s="420">
        <f t="shared" si="94"/>
        <v>608445</v>
      </c>
      <c r="G111" s="420">
        <f t="shared" si="94"/>
        <v>858641</v>
      </c>
      <c r="H111" s="420">
        <f t="shared" si="94"/>
        <v>203514</v>
      </c>
      <c r="I111" s="420">
        <f t="shared" si="94"/>
        <v>429454</v>
      </c>
      <c r="J111" s="420">
        <f t="shared" ref="J111:R111" si="95">J85+J87</f>
        <v>716122</v>
      </c>
      <c r="K111" s="420">
        <f t="shared" si="95"/>
        <v>977512</v>
      </c>
      <c r="L111" s="420">
        <f t="shared" si="95"/>
        <v>226062</v>
      </c>
      <c r="M111" s="420">
        <f t="shared" si="95"/>
        <v>477489</v>
      </c>
      <c r="N111" s="420">
        <f t="shared" si="95"/>
        <v>950519</v>
      </c>
      <c r="O111" s="420">
        <f t="shared" si="95"/>
        <v>1198100</v>
      </c>
      <c r="P111" s="420">
        <f t="shared" si="95"/>
        <v>224998</v>
      </c>
      <c r="Q111" s="420">
        <f t="shared" si="95"/>
        <v>457242</v>
      </c>
      <c r="R111" s="420">
        <f t="shared" si="95"/>
        <v>745501</v>
      </c>
      <c r="S111" s="420"/>
      <c r="U111" s="420">
        <f t="shared" ref="U111:AA111" si="96">U85+U87</f>
        <v>226062</v>
      </c>
      <c r="V111" s="420">
        <f t="shared" si="96"/>
        <v>251427</v>
      </c>
      <c r="W111" s="420">
        <f t="shared" si="96"/>
        <v>473030</v>
      </c>
      <c r="X111" s="420">
        <f t="shared" si="96"/>
        <v>247581</v>
      </c>
      <c r="Y111" s="420">
        <f t="shared" si="96"/>
        <v>224998</v>
      </c>
      <c r="Z111" s="420">
        <f t="shared" si="96"/>
        <v>232244</v>
      </c>
      <c r="AA111" s="420">
        <f t="shared" si="96"/>
        <v>288259</v>
      </c>
    </row>
    <row r="113" spans="1:27">
      <c r="A113" s="416" t="s">
        <v>766</v>
      </c>
      <c r="B113" s="416" t="s">
        <v>767</v>
      </c>
      <c r="D113" s="424">
        <f t="shared" ref="D113:I113" si="97">SUM(D115:D118)</f>
        <v>-55010</v>
      </c>
      <c r="E113" s="424">
        <f t="shared" si="97"/>
        <v>-85186</v>
      </c>
      <c r="F113" s="424">
        <f t="shared" si="97"/>
        <v>-133849</v>
      </c>
      <c r="G113" s="424">
        <f t="shared" si="97"/>
        <v>-180076</v>
      </c>
      <c r="H113" s="424">
        <f t="shared" si="97"/>
        <v>-40973</v>
      </c>
      <c r="I113" s="424">
        <f t="shared" si="97"/>
        <v>-86354</v>
      </c>
      <c r="J113" s="424">
        <f t="shared" ref="J113:R113" si="98">SUM(J115:J118)</f>
        <v>-140415</v>
      </c>
      <c r="K113" s="424">
        <f t="shared" si="98"/>
        <v>-180816</v>
      </c>
      <c r="L113" s="424">
        <f t="shared" si="98"/>
        <v>-48282</v>
      </c>
      <c r="M113" s="424">
        <f t="shared" si="98"/>
        <v>-96696</v>
      </c>
      <c r="N113" s="424">
        <f t="shared" si="98"/>
        <v>-221180</v>
      </c>
      <c r="O113" s="424">
        <f t="shared" si="98"/>
        <v>-270433</v>
      </c>
      <c r="P113" s="424">
        <f t="shared" si="98"/>
        <v>-44324</v>
      </c>
      <c r="Q113" s="424">
        <f t="shared" si="98"/>
        <v>-91994</v>
      </c>
      <c r="R113" s="424">
        <f t="shared" si="98"/>
        <v>-144024</v>
      </c>
      <c r="S113" s="424"/>
      <c r="U113" s="424">
        <f t="shared" ref="U113:AA113" si="99">SUM(U115:U118)</f>
        <v>-48282</v>
      </c>
      <c r="V113" s="424">
        <f t="shared" si="99"/>
        <v>-48414</v>
      </c>
      <c r="W113" s="424">
        <f t="shared" si="99"/>
        <v>-124484</v>
      </c>
      <c r="X113" s="424">
        <f t="shared" si="99"/>
        <v>-49253</v>
      </c>
      <c r="Y113" s="424">
        <f t="shared" si="99"/>
        <v>-44324</v>
      </c>
      <c r="Z113" s="424">
        <f t="shared" si="99"/>
        <v>-47670</v>
      </c>
      <c r="AA113" s="424">
        <f t="shared" si="99"/>
        <v>-52030</v>
      </c>
    </row>
    <row r="114" spans="1:27">
      <c r="P114" s="417"/>
      <c r="Q114" s="417"/>
      <c r="R114" s="417"/>
      <c r="Y114" s="417"/>
      <c r="Z114" s="417"/>
      <c r="AA114" s="417"/>
    </row>
    <row r="115" spans="1:27">
      <c r="A115" s="417" t="s">
        <v>768</v>
      </c>
      <c r="B115" s="417" t="s">
        <v>769</v>
      </c>
      <c r="D115" s="425">
        <v>-4675</v>
      </c>
      <c r="E115" s="425">
        <v>-6511</v>
      </c>
      <c r="F115" s="425">
        <v>-21540</v>
      </c>
      <c r="G115" s="425">
        <v>-34353</v>
      </c>
      <c r="H115" s="425">
        <v>-9107</v>
      </c>
      <c r="I115" s="425">
        <v>-19518</v>
      </c>
      <c r="J115" s="425">
        <v>-38038</v>
      </c>
      <c r="K115" s="425">
        <v>-46386</v>
      </c>
      <c r="L115" s="425">
        <v>-8558</v>
      </c>
      <c r="M115" s="425">
        <v>-20322</v>
      </c>
      <c r="N115" s="425">
        <v>-31353</v>
      </c>
      <c r="O115" s="425">
        <v>-42367</v>
      </c>
      <c r="P115" s="425">
        <v>-10556</v>
      </c>
      <c r="Q115" s="425">
        <v>-21705</v>
      </c>
      <c r="R115" s="425">
        <v>-38378</v>
      </c>
      <c r="S115" s="425"/>
      <c r="U115" s="425">
        <f>L115</f>
        <v>-8558</v>
      </c>
      <c r="V115" s="425">
        <f>M115-U115</f>
        <v>-11764</v>
      </c>
      <c r="W115" s="425">
        <f t="shared" ref="W115:X118" si="100">N115-M115</f>
        <v>-11031</v>
      </c>
      <c r="X115" s="425">
        <f t="shared" si="100"/>
        <v>-11014</v>
      </c>
      <c r="Y115" s="425">
        <f>P115</f>
        <v>-10556</v>
      </c>
      <c r="Z115" s="425">
        <f t="shared" ref="Z115:Z118" si="101">Q115-Y115</f>
        <v>-11149</v>
      </c>
      <c r="AA115" s="425">
        <f t="shared" ref="AA115:AA118" si="102">R115-Q115</f>
        <v>-16673</v>
      </c>
    </row>
    <row r="116" spans="1:27">
      <c r="A116" s="417" t="s">
        <v>770</v>
      </c>
      <c r="B116" s="417" t="s">
        <v>771</v>
      </c>
      <c r="D116" s="425">
        <v>-17990</v>
      </c>
      <c r="E116" s="425">
        <v>-23569</v>
      </c>
      <c r="F116" s="425">
        <v>-74593</v>
      </c>
      <c r="G116" s="425">
        <v>-114270</v>
      </c>
      <c r="H116" s="425">
        <v>-28652</v>
      </c>
      <c r="I116" s="425">
        <v>-60843</v>
      </c>
      <c r="J116" s="425">
        <v>-108957</v>
      </c>
      <c r="K116" s="425">
        <v>-147894</v>
      </c>
      <c r="L116" s="425">
        <v>-29525</v>
      </c>
      <c r="M116" s="425">
        <v>-68077</v>
      </c>
      <c r="N116" s="425">
        <v>-101606</v>
      </c>
      <c r="O116" s="425">
        <v>-135389</v>
      </c>
      <c r="P116" s="425">
        <v>-30411</v>
      </c>
      <c r="Q116" s="425">
        <v>-62938</v>
      </c>
      <c r="R116" s="425">
        <v>-111268</v>
      </c>
      <c r="S116" s="425"/>
      <c r="U116" s="425">
        <f>L116</f>
        <v>-29525</v>
      </c>
      <c r="V116" s="425">
        <f>M116-U116</f>
        <v>-38552</v>
      </c>
      <c r="W116" s="425">
        <f t="shared" si="100"/>
        <v>-33529</v>
      </c>
      <c r="X116" s="425">
        <f t="shared" si="100"/>
        <v>-33783</v>
      </c>
      <c r="Y116" s="425">
        <f>P116</f>
        <v>-30411</v>
      </c>
      <c r="Z116" s="425">
        <f t="shared" si="101"/>
        <v>-32527</v>
      </c>
      <c r="AA116" s="425">
        <f t="shared" si="102"/>
        <v>-48330</v>
      </c>
    </row>
    <row r="117" spans="1:27">
      <c r="A117" s="417" t="s">
        <v>772</v>
      </c>
      <c r="B117" s="417" t="s">
        <v>773</v>
      </c>
      <c r="D117" s="425">
        <v>16302</v>
      </c>
      <c r="E117" s="425">
        <v>23318</v>
      </c>
      <c r="F117" s="425">
        <v>72882</v>
      </c>
      <c r="G117" s="425">
        <v>111083</v>
      </c>
      <c r="H117" s="425">
        <v>28185</v>
      </c>
      <c r="I117" s="425">
        <v>59572</v>
      </c>
      <c r="J117" s="425">
        <v>102932</v>
      </c>
      <c r="K117" s="425">
        <v>146399</v>
      </c>
      <c r="L117" s="425">
        <v>28667</v>
      </c>
      <c r="M117" s="425">
        <v>65569</v>
      </c>
      <c r="N117" s="425">
        <v>101115</v>
      </c>
      <c r="O117" s="425">
        <v>134715</v>
      </c>
      <c r="P117" s="425">
        <v>31982</v>
      </c>
      <c r="Q117" s="425">
        <v>63247</v>
      </c>
      <c r="R117" s="425">
        <v>108717</v>
      </c>
      <c r="S117" s="425"/>
      <c r="U117" s="425">
        <f>L117</f>
        <v>28667</v>
      </c>
      <c r="V117" s="425">
        <f>M117-U117</f>
        <v>36902</v>
      </c>
      <c r="W117" s="425">
        <f t="shared" si="100"/>
        <v>35546</v>
      </c>
      <c r="X117" s="425">
        <f t="shared" si="100"/>
        <v>33600</v>
      </c>
      <c r="Y117" s="425">
        <f>P117</f>
        <v>31982</v>
      </c>
      <c r="Z117" s="425">
        <f t="shared" si="101"/>
        <v>31265</v>
      </c>
      <c r="AA117" s="425">
        <f t="shared" si="102"/>
        <v>45470</v>
      </c>
    </row>
    <row r="118" spans="1:27">
      <c r="A118" s="417" t="s">
        <v>774</v>
      </c>
      <c r="B118" s="417" t="s">
        <v>775</v>
      </c>
      <c r="D118" s="425">
        <v>-48647</v>
      </c>
      <c r="E118" s="425">
        <v>-78424</v>
      </c>
      <c r="F118" s="425">
        <v>-110598</v>
      </c>
      <c r="G118" s="425">
        <v>-142536</v>
      </c>
      <c r="H118" s="425">
        <v>-31399</v>
      </c>
      <c r="I118" s="425">
        <v>-65565</v>
      </c>
      <c r="J118" s="425">
        <v>-96352</v>
      </c>
      <c r="K118" s="425">
        <v>-132935</v>
      </c>
      <c r="L118" s="425">
        <v>-38866</v>
      </c>
      <c r="M118" s="425">
        <v>-73866</v>
      </c>
      <c r="N118" s="425">
        <v>-189336</v>
      </c>
      <c r="O118" s="425">
        <v>-227392</v>
      </c>
      <c r="P118" s="425">
        <v>-35339</v>
      </c>
      <c r="Q118" s="425">
        <v>-70598</v>
      </c>
      <c r="R118" s="425">
        <v>-103095</v>
      </c>
      <c r="S118" s="425"/>
      <c r="U118" s="425">
        <f>L118</f>
        <v>-38866</v>
      </c>
      <c r="V118" s="425">
        <f>M118-U118</f>
        <v>-35000</v>
      </c>
      <c r="W118" s="425">
        <f t="shared" si="100"/>
        <v>-115470</v>
      </c>
      <c r="X118" s="425">
        <f t="shared" si="100"/>
        <v>-38056</v>
      </c>
      <c r="Y118" s="425">
        <f>P118</f>
        <v>-35339</v>
      </c>
      <c r="Z118" s="425">
        <f t="shared" si="101"/>
        <v>-35259</v>
      </c>
      <c r="AA118" s="425">
        <f t="shared" si="102"/>
        <v>-32497</v>
      </c>
    </row>
    <row r="119" spans="1:27">
      <c r="A119" s="417"/>
      <c r="B119" s="417"/>
      <c r="D119" s="417"/>
      <c r="E119" s="417"/>
      <c r="F119" s="417"/>
      <c r="G119" s="417"/>
      <c r="H119" s="417"/>
      <c r="I119" s="417"/>
      <c r="J119" s="417"/>
      <c r="K119" s="417"/>
      <c r="L119" s="417"/>
      <c r="M119" s="417"/>
      <c r="N119" s="417"/>
      <c r="O119" s="417"/>
      <c r="P119" s="417"/>
      <c r="Q119" s="417"/>
      <c r="R119" s="417"/>
      <c r="S119" s="417"/>
      <c r="U119" s="417"/>
      <c r="V119" s="417"/>
      <c r="W119" s="417"/>
      <c r="X119" s="417"/>
      <c r="Y119" s="417"/>
      <c r="Z119" s="417"/>
      <c r="AA119" s="417"/>
    </row>
    <row r="120" spans="1:27" ht="15" thickBot="1">
      <c r="A120" s="430" t="s">
        <v>776</v>
      </c>
      <c r="B120" s="430" t="s">
        <v>777</v>
      </c>
      <c r="D120" s="426">
        <f t="shared" ref="D120:I120" si="103">D111+D113</f>
        <v>154870</v>
      </c>
      <c r="E120" s="426">
        <f t="shared" si="103"/>
        <v>234224</v>
      </c>
      <c r="F120" s="426">
        <f t="shared" si="103"/>
        <v>474596</v>
      </c>
      <c r="G120" s="426">
        <f t="shared" si="103"/>
        <v>678565</v>
      </c>
      <c r="H120" s="426">
        <f t="shared" si="103"/>
        <v>162541</v>
      </c>
      <c r="I120" s="426">
        <f t="shared" si="103"/>
        <v>343100</v>
      </c>
      <c r="J120" s="426">
        <f t="shared" ref="J120:R120" si="104">J111+J113</f>
        <v>575707</v>
      </c>
      <c r="K120" s="426">
        <f t="shared" si="104"/>
        <v>796696</v>
      </c>
      <c r="L120" s="426">
        <f t="shared" si="104"/>
        <v>177780</v>
      </c>
      <c r="M120" s="426">
        <f t="shared" si="104"/>
        <v>380793</v>
      </c>
      <c r="N120" s="426">
        <f t="shared" si="104"/>
        <v>729339</v>
      </c>
      <c r="O120" s="426">
        <f t="shared" si="104"/>
        <v>927667</v>
      </c>
      <c r="P120" s="426">
        <f t="shared" si="104"/>
        <v>180674</v>
      </c>
      <c r="Q120" s="426">
        <f t="shared" si="104"/>
        <v>365248</v>
      </c>
      <c r="R120" s="426">
        <f t="shared" si="104"/>
        <v>601477</v>
      </c>
      <c r="S120" s="426"/>
      <c r="U120" s="426">
        <f t="shared" ref="U120:AA120" si="105">U111+U113</f>
        <v>177780</v>
      </c>
      <c r="V120" s="426">
        <f t="shared" si="105"/>
        <v>203013</v>
      </c>
      <c r="W120" s="426">
        <f t="shared" si="105"/>
        <v>348546</v>
      </c>
      <c r="X120" s="426">
        <f t="shared" si="105"/>
        <v>198328</v>
      </c>
      <c r="Y120" s="426">
        <f t="shared" si="105"/>
        <v>180674</v>
      </c>
      <c r="Z120" s="426">
        <f t="shared" si="105"/>
        <v>184574</v>
      </c>
      <c r="AA120" s="426">
        <f t="shared" si="105"/>
        <v>236229</v>
      </c>
    </row>
    <row r="121" spans="1:27" ht="15" thickTop="1">
      <c r="A121" s="417"/>
      <c r="B121" s="417"/>
      <c r="D121" s="417"/>
      <c r="E121" s="417"/>
      <c r="F121" s="417"/>
      <c r="G121" s="417"/>
      <c r="H121" s="417"/>
      <c r="I121" s="417"/>
      <c r="J121" s="417"/>
      <c r="K121" s="417"/>
      <c r="L121" s="417"/>
      <c r="M121" s="417"/>
      <c r="N121" s="417"/>
      <c r="O121" s="417"/>
      <c r="P121" s="417"/>
      <c r="Q121" s="417"/>
      <c r="R121" s="417"/>
      <c r="S121" s="417"/>
      <c r="U121" s="417"/>
      <c r="V121" s="417"/>
      <c r="W121" s="417"/>
      <c r="X121" s="417"/>
      <c r="Y121" s="417"/>
      <c r="Z121" s="417"/>
      <c r="AA121" s="417"/>
    </row>
    <row r="122" spans="1:27">
      <c r="A122" s="416" t="s">
        <v>778</v>
      </c>
      <c r="B122" s="416" t="s">
        <v>779</v>
      </c>
      <c r="D122" s="425"/>
      <c r="E122" s="425"/>
      <c r="F122" s="425"/>
      <c r="G122" s="425"/>
      <c r="H122" s="425"/>
      <c r="I122" s="425"/>
      <c r="J122" s="425"/>
      <c r="K122" s="425"/>
      <c r="L122" s="425"/>
      <c r="M122" s="425"/>
      <c r="N122" s="425"/>
      <c r="O122" s="425"/>
      <c r="P122" s="425"/>
      <c r="Q122" s="425"/>
      <c r="R122" s="425"/>
      <c r="S122" s="425"/>
      <c r="U122" s="425"/>
      <c r="V122" s="425"/>
      <c r="W122" s="425"/>
      <c r="X122" s="425"/>
      <c r="Y122" s="425"/>
      <c r="Z122" s="425"/>
      <c r="AA122" s="425"/>
    </row>
    <row r="123" spans="1:27">
      <c r="A123" s="417" t="s">
        <v>780</v>
      </c>
      <c r="B123" s="417" t="s">
        <v>781</v>
      </c>
      <c r="D123" s="425">
        <f t="shared" ref="D123:I123" si="106">D120-D124</f>
        <v>154870</v>
      </c>
      <c r="E123" s="425">
        <f t="shared" si="106"/>
        <v>234224</v>
      </c>
      <c r="F123" s="425">
        <f t="shared" si="106"/>
        <v>474596</v>
      </c>
      <c r="G123" s="425">
        <f t="shared" si="106"/>
        <v>678565</v>
      </c>
      <c r="H123" s="425">
        <f t="shared" si="106"/>
        <v>162541</v>
      </c>
      <c r="I123" s="425">
        <f t="shared" si="106"/>
        <v>343100</v>
      </c>
      <c r="J123" s="425">
        <f>J120-J124</f>
        <v>575707</v>
      </c>
      <c r="K123" s="425">
        <f>K120-K124</f>
        <v>796696</v>
      </c>
      <c r="L123" s="425">
        <v>177780</v>
      </c>
      <c r="M123" s="425">
        <v>380796</v>
      </c>
      <c r="N123" s="425">
        <v>729339</v>
      </c>
      <c r="O123" s="425">
        <v>927667</v>
      </c>
      <c r="P123" s="425">
        <v>180674</v>
      </c>
      <c r="Q123" s="425">
        <v>365248</v>
      </c>
      <c r="R123" s="425">
        <v>601477</v>
      </c>
      <c r="S123" s="425"/>
      <c r="U123" s="425">
        <f>L123</f>
        <v>177780</v>
      </c>
      <c r="V123" s="425">
        <f>M123-U123</f>
        <v>203016</v>
      </c>
      <c r="W123" s="425">
        <f>N123-M123</f>
        <v>348543</v>
      </c>
      <c r="X123" s="425">
        <f>O123-N123</f>
        <v>198328</v>
      </c>
      <c r="Y123" s="425">
        <f>P123</f>
        <v>180674</v>
      </c>
      <c r="Z123" s="425">
        <f>Q123-Y123</f>
        <v>184574</v>
      </c>
      <c r="AA123" s="425">
        <f>R123-Q123</f>
        <v>236229</v>
      </c>
    </row>
    <row r="124" spans="1:27">
      <c r="A124" s="417" t="s">
        <v>782</v>
      </c>
      <c r="B124" s="417" t="s">
        <v>783</v>
      </c>
      <c r="D124" s="425">
        <f t="shared" ref="D124:I124" si="107">D120*D129</f>
        <v>0</v>
      </c>
      <c r="E124" s="425">
        <f t="shared" si="107"/>
        <v>0</v>
      </c>
      <c r="F124" s="425">
        <f t="shared" si="107"/>
        <v>0</v>
      </c>
      <c r="G124" s="425">
        <f t="shared" si="107"/>
        <v>0</v>
      </c>
      <c r="H124" s="425">
        <f t="shared" si="107"/>
        <v>0</v>
      </c>
      <c r="I124" s="425">
        <f t="shared" si="107"/>
        <v>0</v>
      </c>
      <c r="J124" s="425">
        <f>J120*J129</f>
        <v>0</v>
      </c>
      <c r="K124" s="425">
        <f>K120*K129</f>
        <v>0</v>
      </c>
      <c r="L124" s="425">
        <v>0</v>
      </c>
      <c r="M124" s="425">
        <v>0</v>
      </c>
      <c r="N124" s="425">
        <v>0</v>
      </c>
      <c r="O124" s="425">
        <v>0</v>
      </c>
      <c r="P124" s="425">
        <v>0</v>
      </c>
      <c r="Q124" s="425">
        <v>0</v>
      </c>
      <c r="R124" s="425">
        <v>0</v>
      </c>
      <c r="S124" s="425"/>
      <c r="U124" s="425">
        <f>L124</f>
        <v>0</v>
      </c>
      <c r="V124" s="425">
        <f>M124-U124</f>
        <v>0</v>
      </c>
      <c r="W124" s="425">
        <f>N124-M124</f>
        <v>0</v>
      </c>
      <c r="X124" s="425">
        <f>O124-N124</f>
        <v>0</v>
      </c>
      <c r="Y124" s="425">
        <f>P124</f>
        <v>0</v>
      </c>
      <c r="Z124" s="425">
        <f>Q124-Y124</f>
        <v>0</v>
      </c>
      <c r="AA124" s="425">
        <f>R124-Q124</f>
        <v>0</v>
      </c>
    </row>
    <row r="125" spans="1:27">
      <c r="A125" s="417"/>
      <c r="B125" s="417"/>
      <c r="D125" s="417"/>
      <c r="E125" s="417"/>
      <c r="F125" s="417"/>
      <c r="G125" s="417"/>
      <c r="H125" s="417"/>
      <c r="I125" s="417"/>
      <c r="J125" s="417"/>
      <c r="K125" s="417"/>
      <c r="L125" s="417"/>
      <c r="M125" s="417"/>
      <c r="N125" s="417"/>
      <c r="P125" s="417"/>
      <c r="Q125" s="417"/>
      <c r="R125" s="417"/>
      <c r="S125" s="417"/>
      <c r="U125" s="417"/>
      <c r="V125" s="417"/>
      <c r="W125" s="417"/>
      <c r="X125" s="417"/>
      <c r="Y125" s="417"/>
      <c r="Z125" s="417"/>
      <c r="AA125" s="417"/>
    </row>
    <row r="126" spans="1:27" ht="15" thickBot="1">
      <c r="A126" s="430" t="s">
        <v>776</v>
      </c>
      <c r="B126" s="430" t="s">
        <v>784</v>
      </c>
      <c r="D126" s="426">
        <f t="shared" ref="D126:I126" si="108">SUM(D123:D124)</f>
        <v>154870</v>
      </c>
      <c r="E126" s="426">
        <f t="shared" si="108"/>
        <v>234224</v>
      </c>
      <c r="F126" s="426">
        <f t="shared" si="108"/>
        <v>474596</v>
      </c>
      <c r="G126" s="426">
        <f t="shared" si="108"/>
        <v>678565</v>
      </c>
      <c r="H126" s="426">
        <f t="shared" si="108"/>
        <v>162541</v>
      </c>
      <c r="I126" s="426">
        <f t="shared" si="108"/>
        <v>343100</v>
      </c>
      <c r="J126" s="426">
        <f t="shared" ref="J126:R126" si="109">SUM(J123:J124)</f>
        <v>575707</v>
      </c>
      <c r="K126" s="426">
        <f t="shared" si="109"/>
        <v>796696</v>
      </c>
      <c r="L126" s="426">
        <f t="shared" si="109"/>
        <v>177780</v>
      </c>
      <c r="M126" s="426">
        <f t="shared" si="109"/>
        <v>380796</v>
      </c>
      <c r="N126" s="426">
        <f t="shared" si="109"/>
        <v>729339</v>
      </c>
      <c r="O126" s="426">
        <f t="shared" si="109"/>
        <v>927667</v>
      </c>
      <c r="P126" s="426">
        <f t="shared" si="109"/>
        <v>180674</v>
      </c>
      <c r="Q126" s="426">
        <f t="shared" si="109"/>
        <v>365248</v>
      </c>
      <c r="R126" s="426">
        <f t="shared" si="109"/>
        <v>601477</v>
      </c>
      <c r="S126" s="426"/>
      <c r="U126" s="426">
        <f t="shared" ref="U126:AA126" si="110">SUM(U123:U124)</f>
        <v>177780</v>
      </c>
      <c r="V126" s="426">
        <f t="shared" si="110"/>
        <v>203016</v>
      </c>
      <c r="W126" s="426">
        <f t="shared" si="110"/>
        <v>348543</v>
      </c>
      <c r="X126" s="426">
        <f t="shared" si="110"/>
        <v>198328</v>
      </c>
      <c r="Y126" s="426">
        <f t="shared" si="110"/>
        <v>180674</v>
      </c>
      <c r="Z126" s="426">
        <f t="shared" si="110"/>
        <v>184574</v>
      </c>
      <c r="AA126" s="426">
        <f t="shared" si="110"/>
        <v>236229</v>
      </c>
    </row>
    <row r="127" spans="1:27" ht="15" thickTop="1"/>
    <row r="128" spans="1:27" s="432" customFormat="1" ht="10.199999999999999">
      <c r="A128" s="431" t="s">
        <v>785</v>
      </c>
      <c r="B128" s="431" t="s">
        <v>786</v>
      </c>
      <c r="D128" s="433">
        <v>1</v>
      </c>
      <c r="E128" s="433">
        <v>1</v>
      </c>
      <c r="F128" s="433">
        <v>1</v>
      </c>
      <c r="G128" s="433">
        <v>1</v>
      </c>
      <c r="H128" s="433">
        <v>1</v>
      </c>
      <c r="I128" s="433">
        <v>1</v>
      </c>
      <c r="J128" s="433">
        <v>1</v>
      </c>
      <c r="K128" s="433">
        <v>1</v>
      </c>
      <c r="L128" s="433">
        <v>1</v>
      </c>
      <c r="M128" s="433">
        <v>1</v>
      </c>
      <c r="N128" s="433">
        <f t="shared" ref="N128:R129" si="111">M128</f>
        <v>1</v>
      </c>
      <c r="O128" s="433">
        <f t="shared" si="111"/>
        <v>1</v>
      </c>
      <c r="P128" s="433">
        <f t="shared" si="111"/>
        <v>1</v>
      </c>
      <c r="Q128" s="433">
        <f t="shared" si="111"/>
        <v>1</v>
      </c>
      <c r="R128" s="433">
        <f t="shared" si="111"/>
        <v>1</v>
      </c>
      <c r="U128" s="433">
        <f>L128</f>
        <v>1</v>
      </c>
      <c r="V128" s="433">
        <v>1</v>
      </c>
      <c r="W128" s="433">
        <f>V128</f>
        <v>1</v>
      </c>
      <c r="X128" s="433">
        <f>W128</f>
        <v>1</v>
      </c>
      <c r="Y128" s="433">
        <f>P128</f>
        <v>1</v>
      </c>
      <c r="Z128" s="433">
        <f>Y128</f>
        <v>1</v>
      </c>
      <c r="AA128" s="433">
        <f>Z128</f>
        <v>1</v>
      </c>
    </row>
    <row r="129" spans="1:27" s="432" customFormat="1" ht="10.199999999999999">
      <c r="A129" s="431" t="s">
        <v>787</v>
      </c>
      <c r="B129" s="431" t="s">
        <v>788</v>
      </c>
      <c r="D129" s="433">
        <v>0</v>
      </c>
      <c r="E129" s="433">
        <v>0</v>
      </c>
      <c r="F129" s="433">
        <v>0</v>
      </c>
      <c r="G129" s="433">
        <v>0</v>
      </c>
      <c r="H129" s="433">
        <v>0</v>
      </c>
      <c r="I129" s="433">
        <v>0</v>
      </c>
      <c r="J129" s="433">
        <v>0</v>
      </c>
      <c r="K129" s="433">
        <v>0</v>
      </c>
      <c r="L129" s="433">
        <v>0</v>
      </c>
      <c r="M129" s="433">
        <v>0</v>
      </c>
      <c r="N129" s="433">
        <f t="shared" si="111"/>
        <v>0</v>
      </c>
      <c r="O129" s="433">
        <f t="shared" si="111"/>
        <v>0</v>
      </c>
      <c r="P129" s="433">
        <f t="shared" si="111"/>
        <v>0</v>
      </c>
      <c r="Q129" s="433">
        <f t="shared" si="111"/>
        <v>0</v>
      </c>
      <c r="R129" s="433">
        <f t="shared" si="111"/>
        <v>0</v>
      </c>
      <c r="U129" s="433">
        <f>L129</f>
        <v>0</v>
      </c>
      <c r="V129" s="433">
        <v>0</v>
      </c>
      <c r="W129" s="433">
        <f>V129</f>
        <v>0</v>
      </c>
      <c r="X129" s="433">
        <f>W129</f>
        <v>0</v>
      </c>
      <c r="Y129" s="433">
        <f>P129</f>
        <v>0</v>
      </c>
      <c r="Z129" s="433">
        <f>Y129</f>
        <v>0</v>
      </c>
      <c r="AA129" s="433">
        <f>Z129</f>
        <v>0</v>
      </c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9" tint="0.79998168889431442"/>
  </sheetPr>
  <dimension ref="A4:AA129"/>
  <sheetViews>
    <sheetView showGridLines="0" zoomScale="85" zoomScaleNormal="85" workbookViewId="0">
      <pane xSplit="2" ySplit="5" topLeftCell="O6" activePane="bottomRight" state="frozen"/>
      <selection pane="topRight" activeCell="C1" sqref="C1"/>
      <selection pane="bottomLeft" activeCell="A6" sqref="A6"/>
      <selection pane="bottomRight" activeCell="A92" sqref="A92:B92"/>
    </sheetView>
  </sheetViews>
  <sheetFormatPr defaultRowHeight="14.4" outlineLevelRow="1"/>
  <cols>
    <col min="1" max="1" width="65.5546875" bestFit="1" customWidth="1"/>
    <col min="2" max="2" width="65.5546875" customWidth="1"/>
    <col min="3" max="3" width="1.5546875" customWidth="1"/>
    <col min="4" max="18" width="15.21875" customWidth="1"/>
    <col min="19" max="19" width="15.21875" hidden="1" customWidth="1"/>
    <col min="20" max="20" width="1.5546875" customWidth="1"/>
    <col min="21" max="27" width="15.21875" customWidth="1"/>
  </cols>
  <sheetData>
    <row r="4" spans="1:27">
      <c r="A4" s="428" t="s">
        <v>831</v>
      </c>
      <c r="B4" s="428" t="s">
        <v>832</v>
      </c>
      <c r="D4" s="427" t="s">
        <v>584</v>
      </c>
      <c r="E4" s="427" t="s">
        <v>585</v>
      </c>
      <c r="F4" s="427" t="s">
        <v>586</v>
      </c>
      <c r="G4" s="427">
        <v>2022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U4" s="427" t="s">
        <v>83</v>
      </c>
      <c r="V4" s="427" t="s">
        <v>84</v>
      </c>
      <c r="W4" s="427" t="s">
        <v>85</v>
      </c>
      <c r="X4" s="427" t="s">
        <v>86</v>
      </c>
      <c r="Y4" s="427" t="s">
        <v>87</v>
      </c>
      <c r="Z4" s="427" t="s">
        <v>88</v>
      </c>
      <c r="AA4" s="427" t="s">
        <v>2074</v>
      </c>
    </row>
    <row r="5" spans="1:27" ht="6.75" customHeight="1"/>
    <row r="6" spans="1:27">
      <c r="A6" s="429" t="s">
        <v>596</v>
      </c>
      <c r="B6" s="429" t="s">
        <v>597</v>
      </c>
      <c r="D6" s="420">
        <f t="shared" ref="D6:J6" si="0">SUM(D8,D11:D17)</f>
        <v>543322</v>
      </c>
      <c r="E6" s="420">
        <f t="shared" si="0"/>
        <v>1108661</v>
      </c>
      <c r="F6" s="420">
        <f t="shared" si="0"/>
        <v>1723541</v>
      </c>
      <c r="G6" s="420">
        <f t="shared" si="0"/>
        <v>2363383</v>
      </c>
      <c r="H6" s="420">
        <f t="shared" si="0"/>
        <v>606718</v>
      </c>
      <c r="I6" s="420">
        <f t="shared" si="0"/>
        <v>1199922</v>
      </c>
      <c r="J6" s="420">
        <f t="shared" si="0"/>
        <v>1933706</v>
      </c>
      <c r="K6" s="420">
        <f t="shared" ref="K6:R6" si="1">SUM(K8,K11:K17)</f>
        <v>2674078.3149999999</v>
      </c>
      <c r="L6" s="420">
        <f t="shared" si="1"/>
        <v>600637.755</v>
      </c>
      <c r="M6" s="420">
        <f t="shared" si="1"/>
        <v>1208686.7549999999</v>
      </c>
      <c r="N6" s="420">
        <f t="shared" si="1"/>
        <v>2205244</v>
      </c>
      <c r="O6" s="420">
        <f t="shared" si="1"/>
        <v>2982830</v>
      </c>
      <c r="P6" s="420">
        <f t="shared" si="1"/>
        <v>691284</v>
      </c>
      <c r="Q6" s="420">
        <f t="shared" si="1"/>
        <v>1431504</v>
      </c>
      <c r="R6" s="420">
        <f t="shared" si="1"/>
        <v>2231150</v>
      </c>
      <c r="S6" s="420"/>
      <c r="U6" s="420">
        <f t="shared" ref="U6:AA6" si="2">SUM(U8,U11:U17)</f>
        <v>600637.755</v>
      </c>
      <c r="V6" s="420">
        <f t="shared" si="2"/>
        <v>608049</v>
      </c>
      <c r="W6" s="420">
        <f t="shared" si="2"/>
        <v>996557.245</v>
      </c>
      <c r="X6" s="420">
        <f t="shared" si="2"/>
        <v>777586</v>
      </c>
      <c r="Y6" s="420">
        <f t="shared" si="2"/>
        <v>691284</v>
      </c>
      <c r="Z6" s="420">
        <f t="shared" si="2"/>
        <v>740220</v>
      </c>
      <c r="AA6" s="420">
        <f t="shared" si="2"/>
        <v>799646</v>
      </c>
    </row>
    <row r="7" spans="1:27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U7" s="421"/>
      <c r="V7" s="421"/>
      <c r="W7" s="421"/>
      <c r="X7" s="421"/>
      <c r="Y7" s="421"/>
      <c r="Z7" s="421"/>
      <c r="AA7" s="421"/>
    </row>
    <row r="8" spans="1:27">
      <c r="A8" s="417" t="s">
        <v>598</v>
      </c>
      <c r="B8" s="417" t="s">
        <v>599</v>
      </c>
      <c r="D8" s="422">
        <f t="shared" ref="D8:I8" si="3">SUM(D9:D10)</f>
        <v>0</v>
      </c>
      <c r="E8" s="422">
        <f t="shared" si="3"/>
        <v>0</v>
      </c>
      <c r="F8" s="422">
        <f t="shared" si="3"/>
        <v>0</v>
      </c>
      <c r="G8" s="422">
        <f t="shared" si="3"/>
        <v>0</v>
      </c>
      <c r="H8" s="422">
        <f t="shared" si="3"/>
        <v>0</v>
      </c>
      <c r="I8" s="422">
        <f t="shared" si="3"/>
        <v>0</v>
      </c>
      <c r="J8" s="422">
        <f t="shared" ref="J8:R8" si="4">SUM(J9:J10)</f>
        <v>0</v>
      </c>
      <c r="K8" s="422">
        <f t="shared" si="4"/>
        <v>0</v>
      </c>
      <c r="L8" s="422">
        <f t="shared" si="4"/>
        <v>0</v>
      </c>
      <c r="M8" s="422">
        <f t="shared" si="4"/>
        <v>0</v>
      </c>
      <c r="N8" s="422">
        <f t="shared" si="4"/>
        <v>0</v>
      </c>
      <c r="O8" s="422">
        <f t="shared" si="4"/>
        <v>0</v>
      </c>
      <c r="P8" s="422">
        <f t="shared" si="4"/>
        <v>0</v>
      </c>
      <c r="Q8" s="422">
        <f t="shared" si="4"/>
        <v>0</v>
      </c>
      <c r="R8" s="422">
        <f t="shared" si="4"/>
        <v>0</v>
      </c>
      <c r="S8" s="422"/>
      <c r="U8" s="422">
        <f t="shared" ref="U8:AA8" si="5">SUM(U9:U10)</f>
        <v>0</v>
      </c>
      <c r="V8" s="422">
        <f t="shared" si="5"/>
        <v>0</v>
      </c>
      <c r="W8" s="422">
        <f t="shared" si="5"/>
        <v>0</v>
      </c>
      <c r="X8" s="422">
        <f t="shared" si="5"/>
        <v>0</v>
      </c>
      <c r="Y8" s="422">
        <f t="shared" si="5"/>
        <v>0</v>
      </c>
      <c r="Z8" s="422">
        <f t="shared" si="5"/>
        <v>0</v>
      </c>
      <c r="AA8" s="422">
        <f t="shared" si="5"/>
        <v>0</v>
      </c>
    </row>
    <row r="9" spans="1:27" outlineLevel="1">
      <c r="A9" s="418" t="s">
        <v>598</v>
      </c>
      <c r="B9" s="418" t="s">
        <v>599</v>
      </c>
      <c r="D9" s="423">
        <v>0</v>
      </c>
      <c r="E9" s="423">
        <v>0</v>
      </c>
      <c r="F9" s="423">
        <v>0</v>
      </c>
      <c r="G9" s="423">
        <v>0</v>
      </c>
      <c r="H9" s="423">
        <v>0</v>
      </c>
      <c r="I9" s="423">
        <v>0</v>
      </c>
      <c r="J9" s="423">
        <v>0</v>
      </c>
      <c r="K9" s="423">
        <v>0</v>
      </c>
      <c r="L9" s="423">
        <v>0</v>
      </c>
      <c r="M9" s="423">
        <v>0</v>
      </c>
      <c r="N9" s="423">
        <v>0</v>
      </c>
      <c r="O9" s="423">
        <v>0</v>
      </c>
      <c r="P9" s="423">
        <v>0</v>
      </c>
      <c r="Q9" s="423">
        <v>0</v>
      </c>
      <c r="R9" s="423">
        <v>0</v>
      </c>
      <c r="S9" s="423"/>
      <c r="U9" s="423">
        <f>L9</f>
        <v>0</v>
      </c>
      <c r="V9" s="423">
        <f>M9-U9</f>
        <v>0</v>
      </c>
      <c r="W9" s="423">
        <f>N9-M9</f>
        <v>0</v>
      </c>
      <c r="X9" s="423">
        <f>O9-N9</f>
        <v>0</v>
      </c>
      <c r="Y9" s="423">
        <f>P9</f>
        <v>0</v>
      </c>
      <c r="Z9" s="423">
        <f>Q9-P9</f>
        <v>0</v>
      </c>
      <c r="AA9" s="423">
        <f>R9-Q9</f>
        <v>0</v>
      </c>
    </row>
    <row r="10" spans="1:27" outlineLevel="1">
      <c r="A10" s="418" t="s">
        <v>600</v>
      </c>
      <c r="B10" s="418" t="s">
        <v>601</v>
      </c>
      <c r="D10" s="423">
        <v>0</v>
      </c>
      <c r="E10" s="423">
        <v>0</v>
      </c>
      <c r="F10" s="423">
        <v>0</v>
      </c>
      <c r="G10" s="423">
        <v>0</v>
      </c>
      <c r="H10" s="423">
        <v>0</v>
      </c>
      <c r="I10" s="423">
        <v>0</v>
      </c>
      <c r="J10" s="423">
        <v>0</v>
      </c>
      <c r="K10" s="423">
        <v>0</v>
      </c>
      <c r="L10" s="423">
        <v>0</v>
      </c>
      <c r="M10" s="423">
        <v>0</v>
      </c>
      <c r="N10" s="423">
        <v>0</v>
      </c>
      <c r="O10" s="423">
        <v>0</v>
      </c>
      <c r="P10" s="423">
        <v>0</v>
      </c>
      <c r="Q10" s="423">
        <v>0</v>
      </c>
      <c r="R10" s="423">
        <v>0</v>
      </c>
      <c r="S10" s="423"/>
      <c r="U10" s="423">
        <f t="shared" ref="U10:U25" si="6">L10</f>
        <v>0</v>
      </c>
      <c r="V10" s="423">
        <f t="shared" ref="V10:V16" si="7">M10-U10</f>
        <v>0</v>
      </c>
      <c r="W10" s="423">
        <f t="shared" ref="W10:X25" si="8">N10-M10</f>
        <v>0</v>
      </c>
      <c r="X10" s="423">
        <f t="shared" si="8"/>
        <v>0</v>
      </c>
      <c r="Y10" s="423">
        <f t="shared" ref="Y10:Y25" si="9">P10</f>
        <v>0</v>
      </c>
      <c r="Z10" s="423">
        <f t="shared" ref="Z10:AA25" si="10">Q10-P10</f>
        <v>0</v>
      </c>
      <c r="AA10" s="423">
        <f t="shared" si="10"/>
        <v>0</v>
      </c>
    </row>
    <row r="11" spans="1:27">
      <c r="A11" s="417" t="s">
        <v>602</v>
      </c>
      <c r="B11" s="417" t="s">
        <v>603</v>
      </c>
      <c r="D11" s="422">
        <v>0</v>
      </c>
      <c r="E11" s="422">
        <v>0</v>
      </c>
      <c r="F11" s="422">
        <v>0</v>
      </c>
      <c r="G11" s="422">
        <v>0</v>
      </c>
      <c r="H11" s="422">
        <v>0</v>
      </c>
      <c r="I11" s="422">
        <v>0</v>
      </c>
      <c r="J11" s="422">
        <v>0</v>
      </c>
      <c r="K11" s="422">
        <v>0</v>
      </c>
      <c r="L11" s="422">
        <v>0</v>
      </c>
      <c r="M11" s="422">
        <v>0</v>
      </c>
      <c r="N11" s="422">
        <v>0</v>
      </c>
      <c r="O11" s="422">
        <v>0</v>
      </c>
      <c r="P11" s="422">
        <v>0</v>
      </c>
      <c r="Q11" s="422">
        <v>0</v>
      </c>
      <c r="R11" s="422">
        <v>0</v>
      </c>
      <c r="S11" s="422"/>
      <c r="U11" s="422">
        <f t="shared" si="6"/>
        <v>0</v>
      </c>
      <c r="V11" s="422">
        <f t="shared" si="7"/>
        <v>0</v>
      </c>
      <c r="W11" s="422">
        <f t="shared" si="8"/>
        <v>0</v>
      </c>
      <c r="X11" s="422">
        <f t="shared" si="8"/>
        <v>0</v>
      </c>
      <c r="Y11" s="422">
        <f>P11</f>
        <v>0</v>
      </c>
      <c r="Z11" s="422">
        <f t="shared" si="10"/>
        <v>0</v>
      </c>
      <c r="AA11" s="422">
        <f t="shared" si="10"/>
        <v>0</v>
      </c>
    </row>
    <row r="12" spans="1:27">
      <c r="A12" s="417" t="s">
        <v>604</v>
      </c>
      <c r="B12" s="417" t="s">
        <v>605</v>
      </c>
      <c r="D12" s="422">
        <v>66744</v>
      </c>
      <c r="E12" s="422">
        <v>265619</v>
      </c>
      <c r="F12" s="422">
        <v>573582</v>
      </c>
      <c r="G12" s="422">
        <v>862231</v>
      </c>
      <c r="H12" s="422">
        <v>250025</v>
      </c>
      <c r="I12" s="422">
        <v>465137</v>
      </c>
      <c r="J12" s="422">
        <v>751476</v>
      </c>
      <c r="K12" s="422">
        <v>1067589</v>
      </c>
      <c r="L12" s="422">
        <v>210521</v>
      </c>
      <c r="M12" s="422">
        <v>436367</v>
      </c>
      <c r="N12" s="422">
        <v>840113</v>
      </c>
      <c r="O12" s="422">
        <v>1239423</v>
      </c>
      <c r="P12" s="422">
        <v>332134</v>
      </c>
      <c r="Q12" s="422">
        <v>700374</v>
      </c>
      <c r="R12" s="422">
        <v>1129559</v>
      </c>
      <c r="S12" s="422"/>
      <c r="U12" s="422">
        <f t="shared" si="6"/>
        <v>210521</v>
      </c>
      <c r="V12" s="422">
        <f t="shared" si="7"/>
        <v>225846</v>
      </c>
      <c r="W12" s="422">
        <f t="shared" si="8"/>
        <v>403746</v>
      </c>
      <c r="X12" s="422">
        <f t="shared" si="8"/>
        <v>399310</v>
      </c>
      <c r="Y12" s="422">
        <f t="shared" si="9"/>
        <v>332134</v>
      </c>
      <c r="Z12" s="422">
        <f t="shared" si="10"/>
        <v>368240</v>
      </c>
      <c r="AA12" s="422">
        <f t="shared" si="10"/>
        <v>429185</v>
      </c>
    </row>
    <row r="13" spans="1:27">
      <c r="A13" s="417" t="s">
        <v>606</v>
      </c>
      <c r="B13" s="417" t="s">
        <v>607</v>
      </c>
      <c r="D13" s="422">
        <v>107282</v>
      </c>
      <c r="E13" s="422">
        <v>107282</v>
      </c>
      <c r="F13" s="422">
        <v>107282</v>
      </c>
      <c r="G13" s="422">
        <v>107282</v>
      </c>
      <c r="H13" s="422">
        <v>1356</v>
      </c>
      <c r="I13" s="422">
        <v>8588</v>
      </c>
      <c r="J13" s="422">
        <v>69601</v>
      </c>
      <c r="K13" s="422">
        <v>97878</v>
      </c>
      <c r="L13" s="422">
        <v>6097</v>
      </c>
      <c r="M13" s="422">
        <v>7528</v>
      </c>
      <c r="N13" s="422">
        <v>7661</v>
      </c>
      <c r="O13" s="422">
        <v>8806</v>
      </c>
      <c r="P13" s="422">
        <v>0</v>
      </c>
      <c r="Q13" s="422">
        <v>0</v>
      </c>
      <c r="R13" s="422">
        <v>0</v>
      </c>
      <c r="S13" s="422"/>
      <c r="U13" s="422">
        <f t="shared" si="6"/>
        <v>6097</v>
      </c>
      <c r="V13" s="422">
        <f t="shared" si="7"/>
        <v>1431</v>
      </c>
      <c r="W13" s="422">
        <f t="shared" si="8"/>
        <v>133</v>
      </c>
      <c r="X13" s="422">
        <f t="shared" si="8"/>
        <v>1145</v>
      </c>
      <c r="Y13" s="422">
        <f t="shared" si="9"/>
        <v>0</v>
      </c>
      <c r="Z13" s="422">
        <f t="shared" si="10"/>
        <v>0</v>
      </c>
      <c r="AA13" s="422">
        <f t="shared" si="10"/>
        <v>0</v>
      </c>
    </row>
    <row r="14" spans="1:27">
      <c r="A14" s="417" t="s">
        <v>608</v>
      </c>
      <c r="B14" s="417" t="s">
        <v>609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/>
      <c r="U14" s="422">
        <f t="shared" si="6"/>
        <v>0</v>
      </c>
      <c r="V14" s="422">
        <f t="shared" si="7"/>
        <v>0</v>
      </c>
      <c r="W14" s="422">
        <f t="shared" si="8"/>
        <v>0</v>
      </c>
      <c r="X14" s="422">
        <f t="shared" si="8"/>
        <v>0</v>
      </c>
      <c r="Y14" s="422">
        <f t="shared" si="9"/>
        <v>0</v>
      </c>
      <c r="Z14" s="422">
        <f t="shared" si="10"/>
        <v>0</v>
      </c>
      <c r="AA14" s="422">
        <f t="shared" si="10"/>
        <v>0</v>
      </c>
    </row>
    <row r="15" spans="1:27">
      <c r="A15" s="417" t="s">
        <v>610</v>
      </c>
      <c r="B15" s="417" t="s">
        <v>611</v>
      </c>
      <c r="D15" s="422">
        <v>15039</v>
      </c>
      <c r="E15" s="422">
        <v>43096</v>
      </c>
      <c r="F15" s="422">
        <v>64325</v>
      </c>
      <c r="G15" s="422">
        <v>93685</v>
      </c>
      <c r="H15" s="422">
        <v>25689</v>
      </c>
      <c r="I15" s="422">
        <v>50348</v>
      </c>
      <c r="J15" s="422">
        <v>98112</v>
      </c>
      <c r="K15" s="422">
        <v>133629</v>
      </c>
      <c r="L15" s="422">
        <v>20221</v>
      </c>
      <c r="M15" s="422">
        <v>47715</v>
      </c>
      <c r="N15" s="422">
        <v>78880</v>
      </c>
      <c r="O15" s="422">
        <v>108507</v>
      </c>
      <c r="P15" s="422">
        <v>30409</v>
      </c>
      <c r="Q15" s="422">
        <v>66427</v>
      </c>
      <c r="R15" s="422">
        <v>102310</v>
      </c>
      <c r="S15" s="422"/>
      <c r="U15" s="422">
        <f t="shared" si="6"/>
        <v>20221</v>
      </c>
      <c r="V15" s="422">
        <f t="shared" si="7"/>
        <v>27494</v>
      </c>
      <c r="W15" s="422">
        <f t="shared" si="8"/>
        <v>31165</v>
      </c>
      <c r="X15" s="422">
        <f t="shared" si="8"/>
        <v>29627</v>
      </c>
      <c r="Y15" s="422">
        <f t="shared" si="9"/>
        <v>30409</v>
      </c>
      <c r="Z15" s="422">
        <f t="shared" si="10"/>
        <v>36018</v>
      </c>
      <c r="AA15" s="422">
        <f t="shared" si="10"/>
        <v>35883</v>
      </c>
    </row>
    <row r="16" spans="1:27">
      <c r="A16" s="417" t="s">
        <v>612</v>
      </c>
      <c r="B16" s="417" t="s">
        <v>613</v>
      </c>
      <c r="D16" s="422">
        <v>0</v>
      </c>
      <c r="E16" s="422">
        <v>0</v>
      </c>
      <c r="F16" s="422">
        <v>0</v>
      </c>
      <c r="G16" s="422">
        <v>0</v>
      </c>
      <c r="H16" s="422">
        <v>0</v>
      </c>
      <c r="I16" s="422">
        <v>0</v>
      </c>
      <c r="J16" s="422">
        <v>0</v>
      </c>
      <c r="K16" s="422">
        <v>0</v>
      </c>
      <c r="L16" s="422">
        <v>0</v>
      </c>
      <c r="M16" s="422">
        <v>0</v>
      </c>
      <c r="N16" s="422">
        <v>0</v>
      </c>
      <c r="O16" s="422">
        <v>0</v>
      </c>
      <c r="P16" s="422">
        <v>0</v>
      </c>
      <c r="Q16" s="422">
        <v>0</v>
      </c>
      <c r="R16" s="422">
        <v>0</v>
      </c>
      <c r="S16" s="422"/>
      <c r="U16" s="422">
        <f t="shared" si="6"/>
        <v>0</v>
      </c>
      <c r="V16" s="422">
        <f t="shared" si="7"/>
        <v>0</v>
      </c>
      <c r="W16" s="422">
        <f t="shared" si="8"/>
        <v>0</v>
      </c>
      <c r="X16" s="422">
        <f t="shared" si="8"/>
        <v>0</v>
      </c>
      <c r="Y16" s="422">
        <f t="shared" si="9"/>
        <v>0</v>
      </c>
      <c r="Z16" s="422">
        <f t="shared" si="10"/>
        <v>0</v>
      </c>
      <c r="AA16" s="422">
        <f t="shared" si="10"/>
        <v>0</v>
      </c>
    </row>
    <row r="17" spans="1:27">
      <c r="A17" s="417" t="s">
        <v>614</v>
      </c>
      <c r="B17" s="417" t="s">
        <v>615</v>
      </c>
      <c r="D17" s="422">
        <f t="shared" ref="D17:I17" si="11">SUM(D18:D25)</f>
        <v>354257</v>
      </c>
      <c r="E17" s="422">
        <f t="shared" si="11"/>
        <v>692664</v>
      </c>
      <c r="F17" s="422">
        <f t="shared" si="11"/>
        <v>978352</v>
      </c>
      <c r="G17" s="422">
        <f t="shared" si="11"/>
        <v>1300185</v>
      </c>
      <c r="H17" s="422">
        <f t="shared" si="11"/>
        <v>329648</v>
      </c>
      <c r="I17" s="422">
        <f t="shared" si="11"/>
        <v>675849</v>
      </c>
      <c r="J17" s="422">
        <f t="shared" ref="J17:R17" si="12">SUM(J18:J25)</f>
        <v>1014517</v>
      </c>
      <c r="K17" s="422">
        <f t="shared" si="12"/>
        <v>1374982.3149999999</v>
      </c>
      <c r="L17" s="422">
        <f t="shared" si="12"/>
        <v>363798.755</v>
      </c>
      <c r="M17" s="422">
        <f t="shared" si="12"/>
        <v>717076.755</v>
      </c>
      <c r="N17" s="422">
        <f t="shared" si="12"/>
        <v>1278590</v>
      </c>
      <c r="O17" s="422">
        <f t="shared" si="12"/>
        <v>1626094</v>
      </c>
      <c r="P17" s="422">
        <f t="shared" si="12"/>
        <v>328741</v>
      </c>
      <c r="Q17" s="422">
        <f t="shared" si="12"/>
        <v>664703</v>
      </c>
      <c r="R17" s="422">
        <f t="shared" si="12"/>
        <v>999281</v>
      </c>
      <c r="S17" s="422"/>
      <c r="U17" s="422">
        <f t="shared" ref="U17:AA17" si="13">SUM(U18:U25)</f>
        <v>363798.755</v>
      </c>
      <c r="V17" s="422">
        <f t="shared" si="13"/>
        <v>353278</v>
      </c>
      <c r="W17" s="422">
        <f t="shared" si="13"/>
        <v>561513.245</v>
      </c>
      <c r="X17" s="422">
        <f t="shared" si="13"/>
        <v>347504</v>
      </c>
      <c r="Y17" s="422">
        <f t="shared" si="13"/>
        <v>328741</v>
      </c>
      <c r="Z17" s="422">
        <f t="shared" si="13"/>
        <v>335962</v>
      </c>
      <c r="AA17" s="422">
        <f t="shared" si="13"/>
        <v>334578</v>
      </c>
    </row>
    <row r="18" spans="1:27" outlineLevel="1">
      <c r="A18" s="418" t="s">
        <v>616</v>
      </c>
      <c r="B18" s="418" t="s">
        <v>617</v>
      </c>
      <c r="D18" s="423">
        <v>0</v>
      </c>
      <c r="E18" s="423">
        <v>0</v>
      </c>
      <c r="F18" s="423">
        <v>0</v>
      </c>
      <c r="G18" s="423">
        <v>0</v>
      </c>
      <c r="H18" s="423">
        <v>0</v>
      </c>
      <c r="I18" s="423">
        <v>0</v>
      </c>
      <c r="J18" s="423">
        <v>0</v>
      </c>
      <c r="K18" s="423">
        <v>0</v>
      </c>
      <c r="L18" s="423">
        <v>0</v>
      </c>
      <c r="M18" s="423">
        <v>0</v>
      </c>
      <c r="N18" s="423">
        <v>0</v>
      </c>
      <c r="O18" s="423">
        <v>0</v>
      </c>
      <c r="P18" s="423">
        <v>0</v>
      </c>
      <c r="Q18" s="423">
        <v>0</v>
      </c>
      <c r="R18" s="423">
        <v>0</v>
      </c>
      <c r="S18" s="423"/>
      <c r="U18" s="423">
        <f t="shared" si="6"/>
        <v>0</v>
      </c>
      <c r="V18" s="423">
        <f t="shared" ref="V18:V25" si="14">M18-U18</f>
        <v>0</v>
      </c>
      <c r="W18" s="423">
        <f t="shared" si="8"/>
        <v>0</v>
      </c>
      <c r="X18" s="423">
        <f t="shared" si="8"/>
        <v>0</v>
      </c>
      <c r="Y18" s="423">
        <f t="shared" si="9"/>
        <v>0</v>
      </c>
      <c r="Z18" s="423">
        <f t="shared" si="10"/>
        <v>0</v>
      </c>
      <c r="AA18" s="423">
        <f t="shared" si="10"/>
        <v>0</v>
      </c>
    </row>
    <row r="19" spans="1:27" outlineLevel="1">
      <c r="A19" s="418" t="s">
        <v>618</v>
      </c>
      <c r="B19" s="418" t="s">
        <v>619</v>
      </c>
      <c r="D19" s="423">
        <v>0</v>
      </c>
      <c r="E19" s="423">
        <v>0</v>
      </c>
      <c r="F19" s="423">
        <v>0</v>
      </c>
      <c r="G19" s="423">
        <v>0</v>
      </c>
      <c r="H19" s="423">
        <v>0</v>
      </c>
      <c r="I19" s="423">
        <v>0</v>
      </c>
      <c r="J19" s="423">
        <v>0</v>
      </c>
      <c r="K19" s="423">
        <v>0</v>
      </c>
      <c r="L19" s="423">
        <v>0</v>
      </c>
      <c r="M19" s="423">
        <v>0</v>
      </c>
      <c r="N19" s="423">
        <v>0</v>
      </c>
      <c r="O19" s="423">
        <v>0</v>
      </c>
      <c r="P19" s="423">
        <v>0</v>
      </c>
      <c r="Q19" s="423">
        <v>0</v>
      </c>
      <c r="R19" s="423">
        <v>0</v>
      </c>
      <c r="S19" s="423"/>
      <c r="U19" s="423">
        <f t="shared" si="6"/>
        <v>0</v>
      </c>
      <c r="V19" s="423">
        <f t="shared" si="14"/>
        <v>0</v>
      </c>
      <c r="W19" s="423">
        <f t="shared" si="8"/>
        <v>0</v>
      </c>
      <c r="X19" s="423">
        <f t="shared" si="8"/>
        <v>0</v>
      </c>
      <c r="Y19" s="423">
        <f t="shared" si="9"/>
        <v>0</v>
      </c>
      <c r="Z19" s="423">
        <f t="shared" si="10"/>
        <v>0</v>
      </c>
      <c r="AA19" s="423">
        <f t="shared" si="10"/>
        <v>0</v>
      </c>
    </row>
    <row r="20" spans="1:27" outlineLevel="1">
      <c r="A20" s="418" t="s">
        <v>620</v>
      </c>
      <c r="B20" s="418" t="s">
        <v>621</v>
      </c>
      <c r="D20" s="423">
        <v>0</v>
      </c>
      <c r="E20" s="423">
        <v>14956</v>
      </c>
      <c r="F20" s="423">
        <v>14956</v>
      </c>
      <c r="G20" s="423">
        <v>0</v>
      </c>
      <c r="H20" s="423">
        <v>0</v>
      </c>
      <c r="I20" s="423">
        <v>0</v>
      </c>
      <c r="J20" s="423">
        <v>0</v>
      </c>
      <c r="K20" s="423">
        <v>116</v>
      </c>
      <c r="L20" s="423">
        <v>296</v>
      </c>
      <c r="M20" s="423">
        <v>642</v>
      </c>
      <c r="N20" s="423">
        <v>994</v>
      </c>
      <c r="O20" s="423">
        <v>1349</v>
      </c>
      <c r="P20" s="423">
        <v>0</v>
      </c>
      <c r="Q20" s="423">
        <v>0</v>
      </c>
      <c r="R20" s="423">
        <v>0</v>
      </c>
      <c r="S20" s="423"/>
      <c r="U20" s="423">
        <f t="shared" si="6"/>
        <v>296</v>
      </c>
      <c r="V20" s="423">
        <f t="shared" si="14"/>
        <v>346</v>
      </c>
      <c r="W20" s="423">
        <f t="shared" si="8"/>
        <v>352</v>
      </c>
      <c r="X20" s="423">
        <f t="shared" si="8"/>
        <v>355</v>
      </c>
      <c r="Y20" s="423">
        <f t="shared" si="9"/>
        <v>0</v>
      </c>
      <c r="Z20" s="423">
        <f t="shared" si="10"/>
        <v>0</v>
      </c>
      <c r="AA20" s="423">
        <f t="shared" si="10"/>
        <v>0</v>
      </c>
    </row>
    <row r="21" spans="1:27" outlineLevel="1">
      <c r="A21" s="418" t="s">
        <v>622</v>
      </c>
      <c r="B21" s="418" t="s">
        <v>623</v>
      </c>
      <c r="D21" s="423">
        <v>374522</v>
      </c>
      <c r="E21" s="423">
        <v>704044</v>
      </c>
      <c r="F21" s="423">
        <v>1049686</v>
      </c>
      <c r="G21" s="423">
        <v>1422140</v>
      </c>
      <c r="H21" s="423">
        <v>362644</v>
      </c>
      <c r="I21" s="423">
        <v>741662</v>
      </c>
      <c r="J21" s="423">
        <v>1102115</v>
      </c>
      <c r="K21" s="423">
        <v>1463634</v>
      </c>
      <c r="L21" s="423">
        <v>379763</v>
      </c>
      <c r="M21" s="423">
        <v>750545</v>
      </c>
      <c r="N21" s="423">
        <v>1079848</v>
      </c>
      <c r="O21" s="423">
        <v>1425983</v>
      </c>
      <c r="P21" s="423">
        <v>331245</v>
      </c>
      <c r="Q21" s="423">
        <v>662230</v>
      </c>
      <c r="R21" s="423">
        <v>1002203</v>
      </c>
      <c r="S21" s="423"/>
      <c r="U21" s="423">
        <f t="shared" si="6"/>
        <v>379763</v>
      </c>
      <c r="V21" s="423">
        <f t="shared" si="14"/>
        <v>370782</v>
      </c>
      <c r="W21" s="423">
        <f t="shared" si="8"/>
        <v>329303</v>
      </c>
      <c r="X21" s="423">
        <f t="shared" si="8"/>
        <v>346135</v>
      </c>
      <c r="Y21" s="423">
        <f t="shared" si="9"/>
        <v>331245</v>
      </c>
      <c r="Z21" s="423">
        <f t="shared" si="10"/>
        <v>330985</v>
      </c>
      <c r="AA21" s="423">
        <f t="shared" si="10"/>
        <v>339973</v>
      </c>
    </row>
    <row r="22" spans="1:27" outlineLevel="1">
      <c r="A22" s="418" t="s">
        <v>624</v>
      </c>
      <c r="B22" s="418" t="s">
        <v>625</v>
      </c>
      <c r="D22" s="423">
        <v>-34643</v>
      </c>
      <c r="E22" s="423">
        <v>-66508</v>
      </c>
      <c r="F22" s="423">
        <v>-98480</v>
      </c>
      <c r="G22" s="423">
        <v>-131548</v>
      </c>
      <c r="H22" s="423">
        <v>-33544</v>
      </c>
      <c r="I22" s="423">
        <v>-68604</v>
      </c>
      <c r="J22" s="423">
        <v>-101945</v>
      </c>
      <c r="K22" s="423">
        <v>-89166.684999999998</v>
      </c>
      <c r="L22" s="423">
        <v>-22496.244999999999</v>
      </c>
      <c r="M22" s="423">
        <v>-43780.245000000003</v>
      </c>
      <c r="N22" s="423">
        <v>186503</v>
      </c>
      <c r="O22" s="423">
        <v>179917</v>
      </c>
      <c r="P22" s="423">
        <v>-6164</v>
      </c>
      <c r="Q22" s="423">
        <v>-12541</v>
      </c>
      <c r="R22" s="423">
        <v>-17423</v>
      </c>
      <c r="S22" s="423"/>
      <c r="U22" s="423">
        <f t="shared" si="6"/>
        <v>-22496.244999999999</v>
      </c>
      <c r="V22" s="423">
        <f t="shared" si="14"/>
        <v>-21284.000000000004</v>
      </c>
      <c r="W22" s="423">
        <f t="shared" si="8"/>
        <v>230283.245</v>
      </c>
      <c r="X22" s="423">
        <f t="shared" si="8"/>
        <v>-6586</v>
      </c>
      <c r="Y22" s="423">
        <f t="shared" si="9"/>
        <v>-6164</v>
      </c>
      <c r="Z22" s="423">
        <f t="shared" si="10"/>
        <v>-6377</v>
      </c>
      <c r="AA22" s="423">
        <f t="shared" si="10"/>
        <v>-4882</v>
      </c>
    </row>
    <row r="23" spans="1:27" outlineLevel="1">
      <c r="A23" s="418" t="s">
        <v>626</v>
      </c>
      <c r="B23" s="418" t="s">
        <v>811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/>
      <c r="U23" s="423">
        <f t="shared" si="6"/>
        <v>0</v>
      </c>
      <c r="V23" s="423">
        <f t="shared" si="14"/>
        <v>0</v>
      </c>
      <c r="W23" s="423">
        <f t="shared" si="8"/>
        <v>0</v>
      </c>
      <c r="X23" s="423">
        <f t="shared" si="8"/>
        <v>0</v>
      </c>
      <c r="Y23" s="423">
        <f t="shared" si="9"/>
        <v>0</v>
      </c>
      <c r="Z23" s="423">
        <f t="shared" si="10"/>
        <v>0</v>
      </c>
      <c r="AA23" s="423">
        <f t="shared" si="10"/>
        <v>0</v>
      </c>
    </row>
    <row r="24" spans="1:27" outlineLevel="1">
      <c r="A24" s="418" t="s">
        <v>628</v>
      </c>
      <c r="B24" s="418" t="s">
        <v>629</v>
      </c>
      <c r="D24" s="423">
        <v>0</v>
      </c>
      <c r="E24" s="423">
        <v>0</v>
      </c>
      <c r="F24" s="423">
        <v>0</v>
      </c>
      <c r="G24" s="423">
        <v>0</v>
      </c>
      <c r="H24" s="423">
        <v>0</v>
      </c>
      <c r="I24" s="423">
        <v>0</v>
      </c>
      <c r="J24" s="423">
        <v>0</v>
      </c>
      <c r="K24" s="423">
        <v>-528</v>
      </c>
      <c r="L24" s="423">
        <v>-77</v>
      </c>
      <c r="M24" s="423">
        <v>-124</v>
      </c>
      <c r="N24" s="423">
        <v>-153</v>
      </c>
      <c r="O24" s="423">
        <v>-296</v>
      </c>
      <c r="P24" s="423">
        <v>135</v>
      </c>
      <c r="Q24" s="423">
        <v>21</v>
      </c>
      <c r="R24" s="423">
        <v>-36</v>
      </c>
      <c r="S24" s="423"/>
      <c r="U24" s="423">
        <f t="shared" si="6"/>
        <v>-77</v>
      </c>
      <c r="V24" s="423">
        <f t="shared" si="14"/>
        <v>-47</v>
      </c>
      <c r="W24" s="423">
        <f t="shared" si="8"/>
        <v>-29</v>
      </c>
      <c r="X24" s="423">
        <f t="shared" si="8"/>
        <v>-143</v>
      </c>
      <c r="Y24" s="423">
        <f t="shared" si="9"/>
        <v>135</v>
      </c>
      <c r="Z24" s="423">
        <f t="shared" si="10"/>
        <v>-114</v>
      </c>
      <c r="AA24" s="423">
        <f t="shared" si="10"/>
        <v>-57</v>
      </c>
    </row>
    <row r="25" spans="1:27" outlineLevel="1">
      <c r="A25" s="418" t="s">
        <v>614</v>
      </c>
      <c r="B25" s="418" t="s">
        <v>615</v>
      </c>
      <c r="D25" s="423">
        <v>14378</v>
      </c>
      <c r="E25" s="423">
        <v>40172</v>
      </c>
      <c r="F25" s="423">
        <v>12190</v>
      </c>
      <c r="G25" s="423">
        <v>9593</v>
      </c>
      <c r="H25" s="423">
        <v>548</v>
      </c>
      <c r="I25" s="423">
        <v>2791</v>
      </c>
      <c r="J25" s="423">
        <v>14347</v>
      </c>
      <c r="K25" s="423">
        <v>927</v>
      </c>
      <c r="L25" s="423">
        <v>6313</v>
      </c>
      <c r="M25" s="423">
        <v>9794</v>
      </c>
      <c r="N25" s="423">
        <v>11398</v>
      </c>
      <c r="O25" s="423">
        <v>19141</v>
      </c>
      <c r="P25" s="423">
        <v>3525</v>
      </c>
      <c r="Q25" s="423">
        <v>14993</v>
      </c>
      <c r="R25" s="423">
        <v>14537</v>
      </c>
      <c r="S25" s="423"/>
      <c r="U25" s="423">
        <f t="shared" si="6"/>
        <v>6313</v>
      </c>
      <c r="V25" s="423">
        <f t="shared" si="14"/>
        <v>3481</v>
      </c>
      <c r="W25" s="423">
        <f t="shared" si="8"/>
        <v>1604</v>
      </c>
      <c r="X25" s="423">
        <f t="shared" si="8"/>
        <v>7743</v>
      </c>
      <c r="Y25" s="423">
        <f t="shared" si="9"/>
        <v>3525</v>
      </c>
      <c r="Z25" s="423">
        <f t="shared" si="10"/>
        <v>11468</v>
      </c>
      <c r="AA25" s="423">
        <f t="shared" si="10"/>
        <v>-456</v>
      </c>
    </row>
    <row r="26" spans="1:27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U26" s="417"/>
      <c r="V26" s="417"/>
      <c r="W26" s="417"/>
      <c r="X26" s="417"/>
      <c r="Y26" s="417"/>
      <c r="Z26" s="417"/>
      <c r="AA26" s="417"/>
    </row>
    <row r="27" spans="1:27">
      <c r="A27" s="429" t="s">
        <v>630</v>
      </c>
      <c r="B27" s="429" t="s">
        <v>631</v>
      </c>
      <c r="D27" s="420">
        <f t="shared" ref="D27:I27" si="15">SUM(D29:D37)</f>
        <v>-34186</v>
      </c>
      <c r="E27" s="420">
        <f t="shared" si="15"/>
        <v>-61193</v>
      </c>
      <c r="F27" s="420">
        <f t="shared" si="15"/>
        <v>-92125</v>
      </c>
      <c r="G27" s="420">
        <f t="shared" si="15"/>
        <v>-125142</v>
      </c>
      <c r="H27" s="420">
        <f t="shared" si="15"/>
        <v>-30476</v>
      </c>
      <c r="I27" s="420">
        <f t="shared" si="15"/>
        <v>-59342</v>
      </c>
      <c r="J27" s="420">
        <f t="shared" ref="J27:R27" si="16">SUM(J29:J37)</f>
        <v>-95546</v>
      </c>
      <c r="K27" s="420">
        <f t="shared" si="16"/>
        <v>-178115.315</v>
      </c>
      <c r="L27" s="420">
        <f t="shared" si="16"/>
        <v>-45875.754999999997</v>
      </c>
      <c r="M27" s="420">
        <f t="shared" si="16"/>
        <v>-91757.755000000005</v>
      </c>
      <c r="N27" s="420">
        <f t="shared" si="16"/>
        <v>-152394</v>
      </c>
      <c r="O27" s="420">
        <f t="shared" si="16"/>
        <v>-199531</v>
      </c>
      <c r="P27" s="420">
        <f t="shared" si="16"/>
        <v>-48588</v>
      </c>
      <c r="Q27" s="420">
        <f t="shared" si="16"/>
        <v>-99381</v>
      </c>
      <c r="R27" s="420">
        <f t="shared" si="16"/>
        <v>-162023</v>
      </c>
      <c r="S27" s="420"/>
      <c r="U27" s="420">
        <f t="shared" ref="U27:AA27" si="17">SUM(U29:U37)</f>
        <v>-45875.754999999997</v>
      </c>
      <c r="V27" s="420">
        <f t="shared" si="17"/>
        <v>-45882</v>
      </c>
      <c r="W27" s="420">
        <f t="shared" si="17"/>
        <v>-60636.245000000003</v>
      </c>
      <c r="X27" s="420">
        <f t="shared" si="17"/>
        <v>-47137</v>
      </c>
      <c r="Y27" s="420">
        <f t="shared" si="17"/>
        <v>-48588</v>
      </c>
      <c r="Z27" s="420">
        <f t="shared" si="17"/>
        <v>-50793</v>
      </c>
      <c r="AA27" s="420">
        <f t="shared" si="17"/>
        <v>-62642</v>
      </c>
    </row>
    <row r="28" spans="1:27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U28" s="421"/>
      <c r="V28" s="421"/>
      <c r="W28" s="421"/>
      <c r="X28" s="421"/>
      <c r="Y28" s="421"/>
      <c r="Z28" s="421"/>
      <c r="AA28" s="421"/>
    </row>
    <row r="29" spans="1:27" outlineLevel="1">
      <c r="A29" s="418" t="s">
        <v>632</v>
      </c>
      <c r="B29" s="418" t="s">
        <v>632</v>
      </c>
      <c r="D29" s="423">
        <v>0</v>
      </c>
      <c r="E29" s="423">
        <v>-76</v>
      </c>
      <c r="F29" s="423">
        <v>-92</v>
      </c>
      <c r="G29" s="423">
        <v>-92</v>
      </c>
      <c r="H29" s="423">
        <v>0</v>
      </c>
      <c r="I29" s="423">
        <v>-15</v>
      </c>
      <c r="J29" s="423">
        <v>-15</v>
      </c>
      <c r="K29" s="423">
        <v>-15</v>
      </c>
      <c r="L29" s="423">
        <v>-1250</v>
      </c>
      <c r="M29" s="423">
        <v>-2317</v>
      </c>
      <c r="N29" s="423">
        <v>-3371</v>
      </c>
      <c r="O29" s="423">
        <v>-4274</v>
      </c>
      <c r="P29" s="423">
        <v>-2998</v>
      </c>
      <c r="Q29" s="423">
        <v>-8284</v>
      </c>
      <c r="R29" s="423">
        <v>-14677</v>
      </c>
      <c r="S29" s="423"/>
      <c r="U29" s="423">
        <f t="shared" ref="U29:U37" si="18">L29</f>
        <v>-1250</v>
      </c>
      <c r="V29" s="423">
        <f t="shared" ref="V29:V37" si="19">M29-U29</f>
        <v>-1067</v>
      </c>
      <c r="W29" s="423">
        <f t="shared" ref="W29:X37" si="20">N29-M29</f>
        <v>-1054</v>
      </c>
      <c r="X29" s="423">
        <f t="shared" si="20"/>
        <v>-903</v>
      </c>
      <c r="Y29" s="423">
        <f t="shared" ref="Y29:Y37" si="21">P29</f>
        <v>-2998</v>
      </c>
      <c r="Z29" s="423">
        <f t="shared" ref="Z29:AA37" si="22">Q29-P29</f>
        <v>-5286</v>
      </c>
      <c r="AA29" s="423">
        <f t="shared" si="22"/>
        <v>-6393</v>
      </c>
    </row>
    <row r="30" spans="1:27" outlineLevel="1">
      <c r="A30" s="418" t="s">
        <v>633</v>
      </c>
      <c r="B30" s="418" t="s">
        <v>634</v>
      </c>
      <c r="D30" s="423">
        <v>-21155</v>
      </c>
      <c r="E30" s="423">
        <v>-44331</v>
      </c>
      <c r="F30" s="423">
        <v>-71820</v>
      </c>
      <c r="G30" s="423">
        <v>-99890</v>
      </c>
      <c r="H30" s="423">
        <v>-26109</v>
      </c>
      <c r="I30" s="423">
        <v>-49962</v>
      </c>
      <c r="J30" s="423">
        <v>-75670</v>
      </c>
      <c r="K30" s="423">
        <v>-152198</v>
      </c>
      <c r="L30" s="423">
        <v>-39856</v>
      </c>
      <c r="M30" s="423">
        <v>-80408</v>
      </c>
      <c r="N30" s="423">
        <v>-135507</v>
      </c>
      <c r="O30" s="423">
        <v>-177930</v>
      </c>
      <c r="P30" s="423">
        <v>-41840</v>
      </c>
      <c r="Q30" s="423">
        <v>-83623</v>
      </c>
      <c r="R30" s="423">
        <v>-135901</v>
      </c>
      <c r="S30" s="423"/>
      <c r="U30" s="423">
        <f t="shared" si="18"/>
        <v>-39856</v>
      </c>
      <c r="V30" s="423">
        <f t="shared" si="19"/>
        <v>-40552</v>
      </c>
      <c r="W30" s="423">
        <f t="shared" si="20"/>
        <v>-55099</v>
      </c>
      <c r="X30" s="423">
        <f t="shared" si="20"/>
        <v>-42423</v>
      </c>
      <c r="Y30" s="423">
        <f t="shared" si="21"/>
        <v>-41840</v>
      </c>
      <c r="Z30" s="423">
        <f t="shared" si="22"/>
        <v>-41783</v>
      </c>
      <c r="AA30" s="423">
        <f t="shared" si="22"/>
        <v>-52278</v>
      </c>
    </row>
    <row r="31" spans="1:27" outlineLevel="1">
      <c r="A31" s="418" t="s">
        <v>635</v>
      </c>
      <c r="B31" s="418" t="s">
        <v>636</v>
      </c>
      <c r="D31" s="423">
        <v>-9573</v>
      </c>
      <c r="E31" s="423">
        <v>-9923</v>
      </c>
      <c r="F31" s="423">
        <v>-9259</v>
      </c>
      <c r="G31" s="423">
        <v>-9925</v>
      </c>
      <c r="H31" s="423">
        <v>-125</v>
      </c>
      <c r="I31" s="423">
        <v>-794</v>
      </c>
      <c r="J31" s="423">
        <v>-7125</v>
      </c>
      <c r="K31" s="423">
        <v>-9030.3149999999987</v>
      </c>
      <c r="L31" s="423">
        <v>-556.75500000000011</v>
      </c>
      <c r="M31" s="423">
        <v>-685.75500000000011</v>
      </c>
      <c r="N31" s="423">
        <v>-695</v>
      </c>
      <c r="O31" s="423">
        <v>-788</v>
      </c>
      <c r="P31" s="423">
        <v>-12</v>
      </c>
      <c r="Q31" s="423">
        <v>-2</v>
      </c>
      <c r="R31" s="423">
        <v>4</v>
      </c>
      <c r="S31" s="423"/>
      <c r="U31" s="423">
        <f t="shared" si="18"/>
        <v>-556.75500000000011</v>
      </c>
      <c r="V31" s="423">
        <f t="shared" si="19"/>
        <v>-129</v>
      </c>
      <c r="W31" s="423">
        <f t="shared" si="20"/>
        <v>-9.2449999999998909</v>
      </c>
      <c r="X31" s="423">
        <f t="shared" si="20"/>
        <v>-93</v>
      </c>
      <c r="Y31" s="423">
        <f t="shared" si="21"/>
        <v>-12</v>
      </c>
      <c r="Z31" s="423">
        <f t="shared" si="22"/>
        <v>10</v>
      </c>
      <c r="AA31" s="423">
        <f t="shared" si="22"/>
        <v>6</v>
      </c>
    </row>
    <row r="32" spans="1:27" outlineLevel="1">
      <c r="A32" s="418" t="s">
        <v>637</v>
      </c>
      <c r="B32" s="418" t="s">
        <v>638</v>
      </c>
      <c r="D32" s="423">
        <v>0</v>
      </c>
      <c r="E32" s="423">
        <v>0</v>
      </c>
      <c r="F32" s="423">
        <v>0</v>
      </c>
      <c r="G32" s="423">
        <v>0</v>
      </c>
      <c r="H32" s="423">
        <v>0</v>
      </c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/>
      <c r="U32" s="423">
        <f t="shared" si="18"/>
        <v>0</v>
      </c>
      <c r="V32" s="423">
        <f t="shared" si="19"/>
        <v>0</v>
      </c>
      <c r="W32" s="423">
        <f t="shared" si="20"/>
        <v>0</v>
      </c>
      <c r="X32" s="423">
        <f t="shared" si="20"/>
        <v>0</v>
      </c>
      <c r="Y32" s="423">
        <f t="shared" si="21"/>
        <v>0</v>
      </c>
      <c r="Z32" s="423">
        <f t="shared" si="22"/>
        <v>0</v>
      </c>
      <c r="AA32" s="423">
        <f t="shared" si="22"/>
        <v>0</v>
      </c>
    </row>
    <row r="33" spans="1:27" outlineLevel="1">
      <c r="A33" s="418" t="s">
        <v>639</v>
      </c>
      <c r="B33" s="418" t="s">
        <v>640</v>
      </c>
      <c r="D33" s="423">
        <v>-2572</v>
      </c>
      <c r="E33" s="423">
        <v>-5090</v>
      </c>
      <c r="F33" s="423">
        <v>-7894</v>
      </c>
      <c r="G33" s="423">
        <v>-10741</v>
      </c>
      <c r="H33" s="423">
        <v>-2808</v>
      </c>
      <c r="I33" s="423">
        <v>-5703</v>
      </c>
      <c r="J33" s="423">
        <v>-8629</v>
      </c>
      <c r="K33" s="423">
        <v>-11689</v>
      </c>
      <c r="L33" s="423">
        <v>-2995</v>
      </c>
      <c r="M33" s="423">
        <v>-5998</v>
      </c>
      <c r="N33" s="423">
        <v>-9314</v>
      </c>
      <c r="O33" s="423">
        <v>-12040</v>
      </c>
      <c r="P33" s="423">
        <v>-2645</v>
      </c>
      <c r="Q33" s="423">
        <v>-5328</v>
      </c>
      <c r="R33" s="423">
        <v>-8216</v>
      </c>
      <c r="S33" s="423"/>
      <c r="U33" s="423">
        <f t="shared" si="18"/>
        <v>-2995</v>
      </c>
      <c r="V33" s="423">
        <f t="shared" si="19"/>
        <v>-3003</v>
      </c>
      <c r="W33" s="423">
        <f t="shared" si="20"/>
        <v>-3316</v>
      </c>
      <c r="X33" s="423">
        <f t="shared" si="20"/>
        <v>-2726</v>
      </c>
      <c r="Y33" s="423">
        <f t="shared" si="21"/>
        <v>-2645</v>
      </c>
      <c r="Z33" s="423">
        <f t="shared" si="22"/>
        <v>-2683</v>
      </c>
      <c r="AA33" s="423">
        <f t="shared" si="22"/>
        <v>-2888</v>
      </c>
    </row>
    <row r="34" spans="1:27" outlineLevel="1">
      <c r="A34" s="418" t="s">
        <v>641</v>
      </c>
      <c r="B34" s="418" t="s">
        <v>642</v>
      </c>
      <c r="D34" s="423">
        <v>-886</v>
      </c>
      <c r="E34" s="423">
        <v>-1773</v>
      </c>
      <c r="F34" s="423">
        <v>-3060</v>
      </c>
      <c r="G34" s="423">
        <v>-4494</v>
      </c>
      <c r="H34" s="423">
        <v>-1434</v>
      </c>
      <c r="I34" s="423">
        <v>-2868</v>
      </c>
      <c r="J34" s="423">
        <v>-4103</v>
      </c>
      <c r="K34" s="423">
        <v>-5179</v>
      </c>
      <c r="L34" s="423">
        <v>-1218</v>
      </c>
      <c r="M34" s="423">
        <v>-2349</v>
      </c>
      <c r="N34" s="423">
        <v>-3507</v>
      </c>
      <c r="O34" s="423">
        <v>-4499</v>
      </c>
      <c r="P34" s="423">
        <v>-1045</v>
      </c>
      <c r="Q34" s="423">
        <v>-2092</v>
      </c>
      <c r="R34" s="423">
        <v>-3178</v>
      </c>
      <c r="S34" s="423"/>
      <c r="U34" s="423">
        <f t="shared" si="18"/>
        <v>-1218</v>
      </c>
      <c r="V34" s="423">
        <f t="shared" si="19"/>
        <v>-1131</v>
      </c>
      <c r="W34" s="423">
        <f t="shared" si="20"/>
        <v>-1158</v>
      </c>
      <c r="X34" s="423">
        <f t="shared" si="20"/>
        <v>-992</v>
      </c>
      <c r="Y34" s="423">
        <f t="shared" si="21"/>
        <v>-1045</v>
      </c>
      <c r="Z34" s="423">
        <f t="shared" si="22"/>
        <v>-1047</v>
      </c>
      <c r="AA34" s="423">
        <f t="shared" si="22"/>
        <v>-1086</v>
      </c>
    </row>
    <row r="35" spans="1:27" outlineLevel="1">
      <c r="A35" s="418" t="s">
        <v>643</v>
      </c>
      <c r="B35" s="418" t="s">
        <v>644</v>
      </c>
      <c r="D35" s="423">
        <v>0</v>
      </c>
      <c r="E35" s="423">
        <v>0</v>
      </c>
      <c r="F35" s="423">
        <v>0</v>
      </c>
      <c r="G35" s="423">
        <v>0</v>
      </c>
      <c r="H35" s="423">
        <v>0</v>
      </c>
      <c r="I35" s="423">
        <v>0</v>
      </c>
      <c r="J35" s="423">
        <v>0</v>
      </c>
      <c r="K35" s="423">
        <v>0</v>
      </c>
      <c r="L35" s="423">
        <v>0</v>
      </c>
      <c r="M35" s="423">
        <v>0</v>
      </c>
      <c r="N35" s="423">
        <v>0</v>
      </c>
      <c r="O35" s="423">
        <v>0</v>
      </c>
      <c r="P35" s="423">
        <v>0</v>
      </c>
      <c r="Q35" s="423">
        <v>0</v>
      </c>
      <c r="R35" s="423">
        <v>0</v>
      </c>
      <c r="S35" s="423"/>
      <c r="U35" s="423">
        <f t="shared" si="18"/>
        <v>0</v>
      </c>
      <c r="V35" s="423">
        <f t="shared" si="19"/>
        <v>0</v>
      </c>
      <c r="W35" s="423">
        <f t="shared" si="20"/>
        <v>0</v>
      </c>
      <c r="X35" s="423">
        <f t="shared" si="20"/>
        <v>0</v>
      </c>
      <c r="Y35" s="423">
        <f t="shared" si="21"/>
        <v>0</v>
      </c>
      <c r="Z35" s="423">
        <f t="shared" si="22"/>
        <v>0</v>
      </c>
      <c r="AA35" s="423">
        <f t="shared" si="22"/>
        <v>0</v>
      </c>
    </row>
    <row r="36" spans="1:27" outlineLevel="1">
      <c r="A36" s="418" t="s">
        <v>645</v>
      </c>
      <c r="B36" s="418" t="s">
        <v>645</v>
      </c>
      <c r="D36" s="423">
        <v>0</v>
      </c>
      <c r="E36" s="423">
        <v>0</v>
      </c>
      <c r="F36" s="423">
        <v>0</v>
      </c>
      <c r="G36" s="423">
        <v>0</v>
      </c>
      <c r="H36" s="423">
        <v>0</v>
      </c>
      <c r="I36" s="423">
        <v>0</v>
      </c>
      <c r="J36" s="423">
        <v>-4</v>
      </c>
      <c r="K36" s="423">
        <v>-4</v>
      </c>
      <c r="L36" s="423">
        <v>0</v>
      </c>
      <c r="M36" s="423">
        <v>0</v>
      </c>
      <c r="N36" s="423">
        <v>0</v>
      </c>
      <c r="O36" s="423">
        <v>0</v>
      </c>
      <c r="P36" s="423">
        <v>-48</v>
      </c>
      <c r="Q36" s="423">
        <v>-52</v>
      </c>
      <c r="R36" s="423">
        <v>-55</v>
      </c>
      <c r="S36" s="423"/>
      <c r="U36" s="423">
        <f t="shared" si="18"/>
        <v>0</v>
      </c>
      <c r="V36" s="423">
        <f t="shared" si="19"/>
        <v>0</v>
      </c>
      <c r="W36" s="423">
        <f t="shared" si="20"/>
        <v>0</v>
      </c>
      <c r="X36" s="423">
        <f t="shared" si="20"/>
        <v>0</v>
      </c>
      <c r="Y36" s="423">
        <f t="shared" si="21"/>
        <v>-48</v>
      </c>
      <c r="Z36" s="423">
        <f t="shared" si="22"/>
        <v>-4</v>
      </c>
      <c r="AA36" s="423">
        <f t="shared" si="22"/>
        <v>-3</v>
      </c>
    </row>
    <row r="37" spans="1:27" outlineLevel="1">
      <c r="A37" s="418" t="s">
        <v>95</v>
      </c>
      <c r="B37" s="418" t="s">
        <v>96</v>
      </c>
      <c r="D37" s="423">
        <v>0</v>
      </c>
      <c r="E37" s="423">
        <v>0</v>
      </c>
      <c r="F37" s="423">
        <v>0</v>
      </c>
      <c r="G37" s="423">
        <v>0</v>
      </c>
      <c r="H37" s="423">
        <v>0</v>
      </c>
      <c r="I37" s="423">
        <v>0</v>
      </c>
      <c r="J37" s="423">
        <v>0</v>
      </c>
      <c r="K37" s="423">
        <v>0</v>
      </c>
      <c r="L37" s="423">
        <v>0</v>
      </c>
      <c r="M37" s="423">
        <v>0</v>
      </c>
      <c r="N37" s="423">
        <v>0</v>
      </c>
      <c r="O37" s="423">
        <v>0</v>
      </c>
      <c r="P37" s="423">
        <v>0</v>
      </c>
      <c r="Q37" s="423">
        <v>0</v>
      </c>
      <c r="R37" s="423">
        <v>0</v>
      </c>
      <c r="S37" s="423"/>
      <c r="U37" s="423">
        <f t="shared" si="18"/>
        <v>0</v>
      </c>
      <c r="V37" s="423">
        <f t="shared" si="19"/>
        <v>0</v>
      </c>
      <c r="W37" s="423">
        <f t="shared" si="20"/>
        <v>0</v>
      </c>
      <c r="X37" s="423">
        <f t="shared" si="20"/>
        <v>0</v>
      </c>
      <c r="Y37" s="423">
        <f t="shared" si="21"/>
        <v>0</v>
      </c>
      <c r="Z37" s="423">
        <f t="shared" si="22"/>
        <v>0</v>
      </c>
      <c r="AA37" s="423">
        <f t="shared" si="22"/>
        <v>0</v>
      </c>
    </row>
    <row r="38" spans="1:27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U38" s="417"/>
      <c r="V38" s="417"/>
      <c r="W38" s="417"/>
      <c r="X38" s="417"/>
      <c r="Y38" s="417"/>
      <c r="Z38" s="417"/>
      <c r="AA38" s="417"/>
    </row>
    <row r="39" spans="1:27">
      <c r="A39" s="429" t="s">
        <v>646</v>
      </c>
      <c r="B39" s="429" t="s">
        <v>647</v>
      </c>
      <c r="D39" s="420">
        <f t="shared" ref="D39:I39" si="23">D27+D6</f>
        <v>509136</v>
      </c>
      <c r="E39" s="420">
        <f t="shared" si="23"/>
        <v>1047468</v>
      </c>
      <c r="F39" s="420">
        <f t="shared" si="23"/>
        <v>1631416</v>
      </c>
      <c r="G39" s="420">
        <f t="shared" si="23"/>
        <v>2238241</v>
      </c>
      <c r="H39" s="420">
        <f t="shared" si="23"/>
        <v>576242</v>
      </c>
      <c r="I39" s="420">
        <f t="shared" si="23"/>
        <v>1140580</v>
      </c>
      <c r="J39" s="420">
        <f t="shared" ref="J39:R39" si="24">J27+J6</f>
        <v>1838160</v>
      </c>
      <c r="K39" s="420">
        <f t="shared" si="24"/>
        <v>2495963</v>
      </c>
      <c r="L39" s="420">
        <f t="shared" si="24"/>
        <v>554762</v>
      </c>
      <c r="M39" s="420">
        <f t="shared" si="24"/>
        <v>1116929</v>
      </c>
      <c r="N39" s="420">
        <f t="shared" si="24"/>
        <v>2052850</v>
      </c>
      <c r="O39" s="420">
        <f t="shared" si="24"/>
        <v>2783299</v>
      </c>
      <c r="P39" s="420">
        <f t="shared" si="24"/>
        <v>642696</v>
      </c>
      <c r="Q39" s="420">
        <f t="shared" si="24"/>
        <v>1332123</v>
      </c>
      <c r="R39" s="420">
        <f t="shared" si="24"/>
        <v>2069127</v>
      </c>
      <c r="S39" s="420"/>
      <c r="U39" s="420">
        <f t="shared" ref="U39:AA39" si="25">U27+U6</f>
        <v>554762</v>
      </c>
      <c r="V39" s="420">
        <f t="shared" si="25"/>
        <v>562167</v>
      </c>
      <c r="W39" s="420">
        <f t="shared" si="25"/>
        <v>935921</v>
      </c>
      <c r="X39" s="420">
        <f t="shared" si="25"/>
        <v>730449</v>
      </c>
      <c r="Y39" s="420">
        <f t="shared" si="25"/>
        <v>642696</v>
      </c>
      <c r="Z39" s="420">
        <f t="shared" si="25"/>
        <v>689427</v>
      </c>
      <c r="AA39" s="420">
        <f t="shared" si="25"/>
        <v>737004</v>
      </c>
    </row>
    <row r="40" spans="1:27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U40" s="417"/>
      <c r="V40" s="417"/>
      <c r="W40" s="417"/>
      <c r="X40" s="417"/>
      <c r="Y40" s="417"/>
      <c r="Z40" s="417"/>
      <c r="AA40" s="417"/>
    </row>
    <row r="41" spans="1:27">
      <c r="A41" s="416" t="s">
        <v>648</v>
      </c>
      <c r="B41" s="416" t="s">
        <v>649</v>
      </c>
      <c r="D41" s="424">
        <f t="shared" ref="D41:I41" si="26">SUM(D43:D48)</f>
        <v>-137872</v>
      </c>
      <c r="E41" s="424">
        <f t="shared" si="26"/>
        <v>-310942</v>
      </c>
      <c r="F41" s="424">
        <f t="shared" si="26"/>
        <v>-416957</v>
      </c>
      <c r="G41" s="424">
        <f t="shared" si="26"/>
        <v>-553616</v>
      </c>
      <c r="H41" s="424">
        <f t="shared" si="26"/>
        <v>-161794</v>
      </c>
      <c r="I41" s="424">
        <f t="shared" si="26"/>
        <v>-341418</v>
      </c>
      <c r="J41" s="424">
        <f t="shared" ref="J41:R41" si="27">SUM(J43:J48)</f>
        <v>-553975</v>
      </c>
      <c r="K41" s="424">
        <f t="shared" si="27"/>
        <v>-654303</v>
      </c>
      <c r="L41" s="424">
        <f t="shared" si="27"/>
        <v>-155875</v>
      </c>
      <c r="M41" s="424">
        <f t="shared" si="27"/>
        <v>-306022</v>
      </c>
      <c r="N41" s="424">
        <f t="shared" si="27"/>
        <v>-533762</v>
      </c>
      <c r="O41" s="424">
        <f t="shared" si="27"/>
        <v>-782840</v>
      </c>
      <c r="P41" s="424">
        <f t="shared" si="27"/>
        <v>-235727</v>
      </c>
      <c r="Q41" s="424">
        <f t="shared" si="27"/>
        <v>-495954</v>
      </c>
      <c r="R41" s="424">
        <f t="shared" si="27"/>
        <v>-754595</v>
      </c>
      <c r="S41" s="424"/>
      <c r="U41" s="424">
        <f t="shared" ref="U41:AA41" si="28">SUM(U43:U48)</f>
        <v>-155875</v>
      </c>
      <c r="V41" s="424">
        <f t="shared" si="28"/>
        <v>-150147</v>
      </c>
      <c r="W41" s="424">
        <f t="shared" si="28"/>
        <v>-227740</v>
      </c>
      <c r="X41" s="424">
        <f t="shared" si="28"/>
        <v>-249078</v>
      </c>
      <c r="Y41" s="424">
        <f t="shared" si="28"/>
        <v>-235727</v>
      </c>
      <c r="Z41" s="424">
        <f t="shared" si="28"/>
        <v>-260227</v>
      </c>
      <c r="AA41" s="424">
        <f t="shared" si="28"/>
        <v>-258641</v>
      </c>
    </row>
    <row r="42" spans="1:27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U42" s="421"/>
      <c r="V42" s="421"/>
      <c r="W42" s="421"/>
      <c r="X42" s="421"/>
      <c r="Y42" s="421"/>
      <c r="Z42" s="421"/>
      <c r="AA42" s="421"/>
    </row>
    <row r="43" spans="1:27">
      <c r="A43" s="417" t="s">
        <v>650</v>
      </c>
      <c r="B43" s="417" t="s">
        <v>651</v>
      </c>
      <c r="D43" s="422">
        <v>-2745</v>
      </c>
      <c r="E43" s="422">
        <v>-3459</v>
      </c>
      <c r="F43" s="422">
        <v>-4124</v>
      </c>
      <c r="G43" s="422">
        <v>-5659</v>
      </c>
      <c r="H43" s="422">
        <v>-12504</v>
      </c>
      <c r="I43" s="422">
        <v>-21129</v>
      </c>
      <c r="J43" s="422">
        <v>-28398</v>
      </c>
      <c r="K43" s="422">
        <v>-34761</v>
      </c>
      <c r="L43" s="422">
        <v>-9669</v>
      </c>
      <c r="M43" s="422">
        <v>-18282</v>
      </c>
      <c r="N43" s="422">
        <v>-71574</v>
      </c>
      <c r="O43" s="422">
        <v>-118977</v>
      </c>
      <c r="P43" s="422">
        <v>-111371</v>
      </c>
      <c r="Q43" s="422">
        <v>-179922</v>
      </c>
      <c r="R43" s="422">
        <v>-297228</v>
      </c>
      <c r="S43" s="422"/>
      <c r="U43" s="422">
        <f>L43</f>
        <v>-9669</v>
      </c>
      <c r="V43" s="422">
        <f>M43-U43</f>
        <v>-8613</v>
      </c>
      <c r="W43" s="422">
        <f t="shared" ref="W43:X47" si="29">N43-M43</f>
        <v>-53292</v>
      </c>
      <c r="X43" s="422">
        <f t="shared" si="29"/>
        <v>-47403</v>
      </c>
      <c r="Y43" s="422">
        <f>P43</f>
        <v>-111371</v>
      </c>
      <c r="Z43" s="422">
        <f>Q43-P43</f>
        <v>-68551</v>
      </c>
      <c r="AA43" s="422">
        <f t="shared" ref="AA43:AA55" si="30">R43-Q43</f>
        <v>-117306</v>
      </c>
    </row>
    <row r="44" spans="1:27">
      <c r="A44" s="417" t="s">
        <v>652</v>
      </c>
      <c r="B44" s="417" t="s">
        <v>653</v>
      </c>
      <c r="D44" s="422">
        <v>-5465</v>
      </c>
      <c r="E44" s="422">
        <v>-5465</v>
      </c>
      <c r="F44" s="422">
        <v>-5465</v>
      </c>
      <c r="G44" s="422">
        <v>-5465</v>
      </c>
      <c r="H44" s="422">
        <v>-904</v>
      </c>
      <c r="I44" s="422">
        <v>-5725</v>
      </c>
      <c r="J44" s="422">
        <v>-46316</v>
      </c>
      <c r="K44" s="422">
        <v>-102429.35823</v>
      </c>
      <c r="L44" s="422">
        <v>-3994</v>
      </c>
      <c r="M44" s="422">
        <v>-4928</v>
      </c>
      <c r="N44" s="422">
        <v>-4979</v>
      </c>
      <c r="O44" s="422">
        <v>-5415</v>
      </c>
      <c r="P44" s="422">
        <v>0</v>
      </c>
      <c r="Q44" s="422">
        <v>0</v>
      </c>
      <c r="R44" s="422">
        <v>0</v>
      </c>
      <c r="S44" s="422"/>
      <c r="U44" s="422">
        <f>L44</f>
        <v>-3994</v>
      </c>
      <c r="V44" s="422">
        <f>M44-U44</f>
        <v>-934</v>
      </c>
      <c r="W44" s="422">
        <f t="shared" si="29"/>
        <v>-51</v>
      </c>
      <c r="X44" s="422">
        <f t="shared" si="29"/>
        <v>-436</v>
      </c>
      <c r="Y44" s="422">
        <f>P44</f>
        <v>0</v>
      </c>
      <c r="Z44" s="422">
        <f>Q44-P44</f>
        <v>0</v>
      </c>
      <c r="AA44" s="422">
        <f t="shared" si="30"/>
        <v>0</v>
      </c>
    </row>
    <row r="45" spans="1:27">
      <c r="A45" s="417" t="s">
        <v>654</v>
      </c>
      <c r="B45" s="417" t="s">
        <v>655</v>
      </c>
      <c r="D45" s="422">
        <v>-87083</v>
      </c>
      <c r="E45" s="422">
        <v>-112430</v>
      </c>
      <c r="F45" s="422">
        <v>-70154</v>
      </c>
      <c r="G45" s="422">
        <v>-70154</v>
      </c>
      <c r="H45" s="422">
        <v>0</v>
      </c>
      <c r="I45" s="422">
        <v>0</v>
      </c>
      <c r="J45" s="422">
        <v>0</v>
      </c>
      <c r="K45" s="422">
        <v>0</v>
      </c>
      <c r="L45" s="422">
        <v>0</v>
      </c>
      <c r="M45" s="422">
        <v>0</v>
      </c>
      <c r="N45" s="422">
        <v>0</v>
      </c>
      <c r="O45" s="422">
        <v>0</v>
      </c>
      <c r="P45" s="422">
        <v>0</v>
      </c>
      <c r="Q45" s="422">
        <v>0</v>
      </c>
      <c r="R45" s="422">
        <v>0</v>
      </c>
      <c r="S45" s="422"/>
      <c r="U45" s="422">
        <f>L45</f>
        <v>0</v>
      </c>
      <c r="V45" s="422">
        <f>M45-U45</f>
        <v>0</v>
      </c>
      <c r="W45" s="422">
        <f t="shared" si="29"/>
        <v>0</v>
      </c>
      <c r="X45" s="422">
        <f t="shared" si="29"/>
        <v>0</v>
      </c>
      <c r="Y45" s="422">
        <f>P45</f>
        <v>0</v>
      </c>
      <c r="Z45" s="422">
        <f>Q45-P45</f>
        <v>0</v>
      </c>
      <c r="AA45" s="422">
        <f t="shared" si="30"/>
        <v>0</v>
      </c>
    </row>
    <row r="46" spans="1:27">
      <c r="A46" s="417" t="s">
        <v>656</v>
      </c>
      <c r="B46" s="417" t="s">
        <v>657</v>
      </c>
      <c r="D46" s="422">
        <v>8057</v>
      </c>
      <c r="E46" s="422">
        <v>10399</v>
      </c>
      <c r="F46" s="422">
        <v>6490</v>
      </c>
      <c r="G46" s="422">
        <v>6490</v>
      </c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/>
      <c r="U46" s="422">
        <f>L46</f>
        <v>0</v>
      </c>
      <c r="V46" s="422">
        <f>M46-U46</f>
        <v>0</v>
      </c>
      <c r="W46" s="422">
        <f t="shared" si="29"/>
        <v>0</v>
      </c>
      <c r="X46" s="422">
        <f t="shared" si="29"/>
        <v>0</v>
      </c>
      <c r="Y46" s="422">
        <f>P46</f>
        <v>0</v>
      </c>
      <c r="Z46" s="422">
        <f>Q46-P46</f>
        <v>0</v>
      </c>
      <c r="AA46" s="422">
        <f t="shared" si="30"/>
        <v>0</v>
      </c>
    </row>
    <row r="47" spans="1:27">
      <c r="A47" s="417" t="s">
        <v>658</v>
      </c>
      <c r="B47" s="417" t="s">
        <v>659</v>
      </c>
      <c r="D47" s="422">
        <v>0</v>
      </c>
      <c r="E47" s="422">
        <v>0</v>
      </c>
      <c r="F47" s="422">
        <v>0</v>
      </c>
      <c r="G47" s="422">
        <v>0</v>
      </c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/>
      <c r="U47" s="422">
        <f>L47</f>
        <v>0</v>
      </c>
      <c r="V47" s="422">
        <f>M47-U47</f>
        <v>0</v>
      </c>
      <c r="W47" s="422">
        <f t="shared" si="29"/>
        <v>0</v>
      </c>
      <c r="X47" s="422">
        <f t="shared" si="29"/>
        <v>0</v>
      </c>
      <c r="Y47" s="422">
        <f>P47</f>
        <v>0</v>
      </c>
      <c r="Z47" s="422">
        <f>Q47-P47</f>
        <v>0</v>
      </c>
      <c r="AA47" s="422">
        <f t="shared" si="30"/>
        <v>0</v>
      </c>
    </row>
    <row r="48" spans="1:27">
      <c r="A48" s="417" t="s">
        <v>660</v>
      </c>
      <c r="B48" s="417" t="s">
        <v>661</v>
      </c>
      <c r="D48" s="422">
        <f t="shared" ref="D48:I48" si="31">SUM(D49:D55)</f>
        <v>-50636</v>
      </c>
      <c r="E48" s="422">
        <f t="shared" si="31"/>
        <v>-199987</v>
      </c>
      <c r="F48" s="422">
        <f t="shared" si="31"/>
        <v>-343704</v>
      </c>
      <c r="G48" s="422">
        <f t="shared" si="31"/>
        <v>-478828</v>
      </c>
      <c r="H48" s="422">
        <f t="shared" si="31"/>
        <v>-148386</v>
      </c>
      <c r="I48" s="422">
        <f t="shared" si="31"/>
        <v>-314564</v>
      </c>
      <c r="J48" s="422">
        <f t="shared" ref="J48:R48" si="32">SUM(J49:J55)</f>
        <v>-479261</v>
      </c>
      <c r="K48" s="422">
        <f t="shared" si="32"/>
        <v>-517112.64176999999</v>
      </c>
      <c r="L48" s="422">
        <f t="shared" si="32"/>
        <v>-142212</v>
      </c>
      <c r="M48" s="422">
        <f t="shared" si="32"/>
        <v>-282812</v>
      </c>
      <c r="N48" s="422">
        <f t="shared" si="32"/>
        <v>-457209</v>
      </c>
      <c r="O48" s="422">
        <f t="shared" si="32"/>
        <v>-658448</v>
      </c>
      <c r="P48" s="422">
        <f t="shared" si="32"/>
        <v>-124356</v>
      </c>
      <c r="Q48" s="422">
        <f t="shared" si="32"/>
        <v>-316032</v>
      </c>
      <c r="R48" s="422">
        <f t="shared" si="32"/>
        <v>-457367</v>
      </c>
      <c r="S48" s="422"/>
      <c r="U48" s="422">
        <f t="shared" ref="U48:AA48" si="33">SUM(U49:U55)</f>
        <v>-142212</v>
      </c>
      <c r="V48" s="422">
        <f t="shared" si="33"/>
        <v>-140600</v>
      </c>
      <c r="W48" s="422">
        <f t="shared" si="33"/>
        <v>-174397</v>
      </c>
      <c r="X48" s="422">
        <f t="shared" si="33"/>
        <v>-201239</v>
      </c>
      <c r="Y48" s="422">
        <f t="shared" si="33"/>
        <v>-124356</v>
      </c>
      <c r="Z48" s="422">
        <f t="shared" si="33"/>
        <v>-191676</v>
      </c>
      <c r="AA48" s="422">
        <f t="shared" si="33"/>
        <v>-141335</v>
      </c>
    </row>
    <row r="49" spans="1:27" outlineLevel="1">
      <c r="A49" s="418" t="s">
        <v>662</v>
      </c>
      <c r="B49" s="418" t="s">
        <v>663</v>
      </c>
      <c r="D49" s="423">
        <v>-9263</v>
      </c>
      <c r="E49" s="423">
        <v>-24276</v>
      </c>
      <c r="F49" s="423">
        <v>-35745</v>
      </c>
      <c r="G49" s="423">
        <v>-42506</v>
      </c>
      <c r="H49" s="423">
        <v>-6700</v>
      </c>
      <c r="I49" s="423">
        <v>-20600</v>
      </c>
      <c r="J49" s="423">
        <v>-34651</v>
      </c>
      <c r="K49" s="423">
        <v>-46642</v>
      </c>
      <c r="L49" s="423">
        <v>-12481</v>
      </c>
      <c r="M49" s="423">
        <v>-26182</v>
      </c>
      <c r="N49" s="423">
        <v>-40961</v>
      </c>
      <c r="O49" s="423">
        <v>-57235</v>
      </c>
      <c r="P49" s="423">
        <v>-13760</v>
      </c>
      <c r="Q49" s="423">
        <v>-31093</v>
      </c>
      <c r="R49" s="423">
        <v>-46139</v>
      </c>
      <c r="S49" s="423"/>
      <c r="U49" s="423">
        <f t="shared" ref="U49:U55" si="34">L49</f>
        <v>-12481</v>
      </c>
      <c r="V49" s="423">
        <f t="shared" ref="V49:V55" si="35">M49-U49</f>
        <v>-13701</v>
      </c>
      <c r="W49" s="423">
        <f t="shared" ref="W49:X55" si="36">N49-M49</f>
        <v>-14779</v>
      </c>
      <c r="X49" s="423">
        <f t="shared" si="36"/>
        <v>-16274</v>
      </c>
      <c r="Y49" s="423">
        <f t="shared" ref="Y49:Y55" si="37">P49</f>
        <v>-13760</v>
      </c>
      <c r="Z49" s="423">
        <f t="shared" ref="Z49:Z55" si="38">Q49-Y49</f>
        <v>-17333</v>
      </c>
      <c r="AA49" s="423">
        <f t="shared" si="30"/>
        <v>-15046</v>
      </c>
    </row>
    <row r="50" spans="1:27" outlineLevel="1">
      <c r="A50" s="418" t="s">
        <v>664</v>
      </c>
      <c r="B50" s="418" t="s">
        <v>665</v>
      </c>
      <c r="D50" s="423">
        <v>-1191</v>
      </c>
      <c r="E50" s="423">
        <v>-5727</v>
      </c>
      <c r="F50" s="423">
        <v>-7779</v>
      </c>
      <c r="G50" s="423">
        <v>-10378</v>
      </c>
      <c r="H50" s="423">
        <v>-3001</v>
      </c>
      <c r="I50" s="423">
        <v>-8515</v>
      </c>
      <c r="J50" s="423">
        <v>-12320</v>
      </c>
      <c r="K50" s="423">
        <v>-14949</v>
      </c>
      <c r="L50" s="423">
        <v>-2917</v>
      </c>
      <c r="M50" s="423">
        <v>-4717</v>
      </c>
      <c r="N50" s="423">
        <v>-6601</v>
      </c>
      <c r="O50" s="423">
        <v>-8400</v>
      </c>
      <c r="P50" s="423">
        <v>-1142</v>
      </c>
      <c r="Q50" s="423">
        <v>-5174</v>
      </c>
      <c r="R50" s="423">
        <v>-11939</v>
      </c>
      <c r="S50" s="423"/>
      <c r="U50" s="423">
        <f t="shared" si="34"/>
        <v>-2917</v>
      </c>
      <c r="V50" s="423">
        <f t="shared" si="35"/>
        <v>-1800</v>
      </c>
      <c r="W50" s="423">
        <f t="shared" si="36"/>
        <v>-1884</v>
      </c>
      <c r="X50" s="423">
        <f t="shared" si="36"/>
        <v>-1799</v>
      </c>
      <c r="Y50" s="423">
        <f t="shared" si="37"/>
        <v>-1142</v>
      </c>
      <c r="Z50" s="423">
        <f t="shared" si="38"/>
        <v>-4032</v>
      </c>
      <c r="AA50" s="423">
        <f t="shared" si="30"/>
        <v>-6765</v>
      </c>
    </row>
    <row r="51" spans="1:27" outlineLevel="1">
      <c r="A51" s="418" t="s">
        <v>666</v>
      </c>
      <c r="B51" s="418" t="s">
        <v>667</v>
      </c>
      <c r="D51" s="423">
        <v>-4090</v>
      </c>
      <c r="E51" s="423">
        <v>-20093</v>
      </c>
      <c r="F51" s="423">
        <v>-32216</v>
      </c>
      <c r="G51" s="423">
        <v>-47879</v>
      </c>
      <c r="H51" s="423">
        <v>-12721</v>
      </c>
      <c r="I51" s="423">
        <v>-33061</v>
      </c>
      <c r="J51" s="423">
        <v>-59446</v>
      </c>
      <c r="K51" s="423">
        <v>-39422.641770000002</v>
      </c>
      <c r="L51" s="423">
        <v>-14259</v>
      </c>
      <c r="M51" s="423">
        <v>-25892</v>
      </c>
      <c r="N51" s="423">
        <v>-43826</v>
      </c>
      <c r="O51" s="423">
        <v>-83891</v>
      </c>
      <c r="P51" s="423">
        <v>-20805</v>
      </c>
      <c r="Q51" s="423">
        <v>-100728</v>
      </c>
      <c r="R51" s="423">
        <v>-137734</v>
      </c>
      <c r="S51" s="423"/>
      <c r="U51" s="423">
        <f t="shared" si="34"/>
        <v>-14259</v>
      </c>
      <c r="V51" s="423">
        <f t="shared" si="35"/>
        <v>-11633</v>
      </c>
      <c r="W51" s="423">
        <f t="shared" si="36"/>
        <v>-17934</v>
      </c>
      <c r="X51" s="423">
        <f t="shared" si="36"/>
        <v>-40065</v>
      </c>
      <c r="Y51" s="423">
        <f t="shared" si="37"/>
        <v>-20805</v>
      </c>
      <c r="Z51" s="423">
        <f t="shared" si="38"/>
        <v>-79923</v>
      </c>
      <c r="AA51" s="423">
        <f t="shared" si="30"/>
        <v>-37006</v>
      </c>
    </row>
    <row r="52" spans="1:27" outlineLevel="1">
      <c r="A52" s="418" t="s">
        <v>668</v>
      </c>
      <c r="B52" s="418" t="s">
        <v>669</v>
      </c>
      <c r="D52" s="423">
        <v>-21681</v>
      </c>
      <c r="E52" s="423">
        <v>-83179</v>
      </c>
      <c r="F52" s="423">
        <v>-146829</v>
      </c>
      <c r="G52" s="423">
        <v>-210514</v>
      </c>
      <c r="H52" s="423">
        <v>-66601</v>
      </c>
      <c r="I52" s="423">
        <v>-132305</v>
      </c>
      <c r="J52" s="423">
        <v>-195600</v>
      </c>
      <c r="K52" s="423">
        <v>-212211</v>
      </c>
      <c r="L52" s="423">
        <v>-54241</v>
      </c>
      <c r="M52" s="423">
        <v>-108660</v>
      </c>
      <c r="N52" s="423">
        <v>-183912</v>
      </c>
      <c r="O52" s="423">
        <v>-257355</v>
      </c>
      <c r="P52" s="423">
        <v>-73023</v>
      </c>
      <c r="Q52" s="423">
        <v>-147078</v>
      </c>
      <c r="R52" s="423">
        <v>-220622</v>
      </c>
      <c r="S52" s="423"/>
      <c r="U52" s="423">
        <f t="shared" si="34"/>
        <v>-54241</v>
      </c>
      <c r="V52" s="423">
        <f t="shared" si="35"/>
        <v>-54419</v>
      </c>
      <c r="W52" s="423">
        <f t="shared" si="36"/>
        <v>-75252</v>
      </c>
      <c r="X52" s="423">
        <f t="shared" si="36"/>
        <v>-73443</v>
      </c>
      <c r="Y52" s="423">
        <f t="shared" si="37"/>
        <v>-73023</v>
      </c>
      <c r="Z52" s="423">
        <f t="shared" si="38"/>
        <v>-74055</v>
      </c>
      <c r="AA52" s="423">
        <f t="shared" si="30"/>
        <v>-73544</v>
      </c>
    </row>
    <row r="53" spans="1:27" outlineLevel="1">
      <c r="A53" s="418" t="s">
        <v>670</v>
      </c>
      <c r="B53" s="418" t="s">
        <v>671</v>
      </c>
      <c r="D53" s="423">
        <v>0</v>
      </c>
      <c r="E53" s="423">
        <v>0</v>
      </c>
      <c r="F53" s="423">
        <v>0</v>
      </c>
      <c r="G53" s="423">
        <v>0</v>
      </c>
      <c r="H53" s="423">
        <v>0</v>
      </c>
      <c r="I53" s="423">
        <v>0</v>
      </c>
      <c r="J53" s="423">
        <v>0</v>
      </c>
      <c r="K53" s="423">
        <v>0</v>
      </c>
      <c r="L53" s="423">
        <v>0</v>
      </c>
      <c r="M53" s="423">
        <v>0</v>
      </c>
      <c r="N53" s="423">
        <v>0</v>
      </c>
      <c r="O53" s="423">
        <v>0</v>
      </c>
      <c r="P53" s="423">
        <v>0</v>
      </c>
      <c r="Q53" s="423">
        <v>0</v>
      </c>
      <c r="R53" s="423">
        <v>0</v>
      </c>
      <c r="S53" s="423"/>
      <c r="U53" s="423">
        <f t="shared" si="34"/>
        <v>0</v>
      </c>
      <c r="V53" s="423">
        <f t="shared" si="35"/>
        <v>0</v>
      </c>
      <c r="W53" s="423">
        <f t="shared" si="36"/>
        <v>0</v>
      </c>
      <c r="X53" s="423">
        <f t="shared" si="36"/>
        <v>0</v>
      </c>
      <c r="Y53" s="423">
        <f t="shared" si="37"/>
        <v>0</v>
      </c>
      <c r="Z53" s="423">
        <f t="shared" si="38"/>
        <v>0</v>
      </c>
      <c r="AA53" s="423">
        <f t="shared" si="30"/>
        <v>0</v>
      </c>
    </row>
    <row r="54" spans="1:27" outlineLevel="1">
      <c r="A54" s="418" t="s">
        <v>672</v>
      </c>
      <c r="B54" s="418" t="s">
        <v>673</v>
      </c>
      <c r="D54" s="423">
        <v>-715</v>
      </c>
      <c r="E54" s="423">
        <v>-168</v>
      </c>
      <c r="F54" s="423">
        <v>-496</v>
      </c>
      <c r="G54" s="423">
        <v>-554</v>
      </c>
      <c r="H54" s="423">
        <v>-102</v>
      </c>
      <c r="I54" s="423">
        <v>-175</v>
      </c>
      <c r="J54" s="423">
        <v>-206</v>
      </c>
      <c r="K54" s="423">
        <v>-332</v>
      </c>
      <c r="L54" s="423">
        <v>-40</v>
      </c>
      <c r="M54" s="423">
        <v>-105</v>
      </c>
      <c r="N54" s="423">
        <v>-134</v>
      </c>
      <c r="O54" s="423">
        <v>-164</v>
      </c>
      <c r="P54" s="423">
        <v>-639</v>
      </c>
      <c r="Q54" s="423">
        <v>-209</v>
      </c>
      <c r="R54" s="423">
        <v>-297</v>
      </c>
      <c r="S54" s="423"/>
      <c r="U54" s="423">
        <f t="shared" si="34"/>
        <v>-40</v>
      </c>
      <c r="V54" s="423">
        <f t="shared" si="35"/>
        <v>-65</v>
      </c>
      <c r="W54" s="423">
        <f t="shared" si="36"/>
        <v>-29</v>
      </c>
      <c r="X54" s="423">
        <f t="shared" si="36"/>
        <v>-30</v>
      </c>
      <c r="Y54" s="423">
        <f t="shared" si="37"/>
        <v>-639</v>
      </c>
      <c r="Z54" s="423">
        <f t="shared" si="38"/>
        <v>430</v>
      </c>
      <c r="AA54" s="423">
        <f t="shared" si="30"/>
        <v>-88</v>
      </c>
    </row>
    <row r="55" spans="1:27" outlineLevel="1">
      <c r="A55" s="418" t="s">
        <v>674</v>
      </c>
      <c r="B55" s="418" t="s">
        <v>675</v>
      </c>
      <c r="D55" s="423">
        <v>-13696</v>
      </c>
      <c r="E55" s="423">
        <v>-66544</v>
      </c>
      <c r="F55" s="423">
        <v>-120639</v>
      </c>
      <c r="G55" s="423">
        <v>-166997</v>
      </c>
      <c r="H55" s="423">
        <v>-59261</v>
      </c>
      <c r="I55" s="423">
        <v>-119908</v>
      </c>
      <c r="J55" s="423">
        <v>-177038</v>
      </c>
      <c r="K55" s="423">
        <v>-203556</v>
      </c>
      <c r="L55" s="423">
        <v>-58274</v>
      </c>
      <c r="M55" s="423">
        <v>-117256</v>
      </c>
      <c r="N55" s="423">
        <v>-181775</v>
      </c>
      <c r="O55" s="423">
        <v>-251403</v>
      </c>
      <c r="P55" s="423">
        <v>-14987</v>
      </c>
      <c r="Q55" s="423">
        <v>-31750</v>
      </c>
      <c r="R55" s="423">
        <v>-40636</v>
      </c>
      <c r="S55" s="423"/>
      <c r="U55" s="423">
        <f t="shared" si="34"/>
        <v>-58274</v>
      </c>
      <c r="V55" s="423">
        <f t="shared" si="35"/>
        <v>-58982</v>
      </c>
      <c r="W55" s="423">
        <f t="shared" si="36"/>
        <v>-64519</v>
      </c>
      <c r="X55" s="423">
        <f t="shared" si="36"/>
        <v>-69628</v>
      </c>
      <c r="Y55" s="423">
        <f t="shared" si="37"/>
        <v>-14987</v>
      </c>
      <c r="Z55" s="423">
        <f t="shared" si="38"/>
        <v>-16763</v>
      </c>
      <c r="AA55" s="423">
        <f t="shared" si="30"/>
        <v>-8886</v>
      </c>
    </row>
    <row r="56" spans="1:27">
      <c r="A56" s="417"/>
      <c r="B56" s="417"/>
      <c r="D56" s="417"/>
      <c r="E56" s="417"/>
      <c r="F56" s="417"/>
      <c r="G56" s="417"/>
      <c r="H56" s="417"/>
      <c r="I56" s="417"/>
      <c r="J56" s="417"/>
      <c r="K56" s="417"/>
      <c r="L56" s="417"/>
      <c r="M56" s="417"/>
      <c r="N56" s="417"/>
      <c r="O56" s="417"/>
      <c r="P56" s="417"/>
      <c r="Q56" s="417"/>
      <c r="R56" s="417"/>
      <c r="S56" s="417"/>
      <c r="U56" s="417"/>
      <c r="V56" s="417"/>
      <c r="W56" s="417"/>
      <c r="X56" s="417"/>
      <c r="Y56" s="417"/>
      <c r="Z56" s="417"/>
      <c r="AA56" s="417"/>
    </row>
    <row r="57" spans="1:27">
      <c r="A57" s="429" t="s">
        <v>676</v>
      </c>
      <c r="B57" s="429" t="s">
        <v>677</v>
      </c>
      <c r="D57" s="420">
        <f t="shared" ref="D57:I57" si="39">D39+D41</f>
        <v>371264</v>
      </c>
      <c r="E57" s="420">
        <f t="shared" si="39"/>
        <v>736526</v>
      </c>
      <c r="F57" s="420">
        <f t="shared" si="39"/>
        <v>1214459</v>
      </c>
      <c r="G57" s="420">
        <f t="shared" si="39"/>
        <v>1684625</v>
      </c>
      <c r="H57" s="420">
        <f t="shared" si="39"/>
        <v>414448</v>
      </c>
      <c r="I57" s="420">
        <f t="shared" si="39"/>
        <v>799162</v>
      </c>
      <c r="J57" s="420">
        <f t="shared" ref="J57:R57" si="40">J39+J41</f>
        <v>1284185</v>
      </c>
      <c r="K57" s="420">
        <f t="shared" si="40"/>
        <v>1841660</v>
      </c>
      <c r="L57" s="420">
        <f t="shared" si="40"/>
        <v>398887</v>
      </c>
      <c r="M57" s="420">
        <f t="shared" si="40"/>
        <v>810907</v>
      </c>
      <c r="N57" s="420">
        <f t="shared" si="40"/>
        <v>1519088</v>
      </c>
      <c r="O57" s="420">
        <f t="shared" si="40"/>
        <v>2000459</v>
      </c>
      <c r="P57" s="420">
        <f t="shared" si="40"/>
        <v>406969</v>
      </c>
      <c r="Q57" s="420">
        <f t="shared" si="40"/>
        <v>836169</v>
      </c>
      <c r="R57" s="420">
        <f t="shared" si="40"/>
        <v>1314532</v>
      </c>
      <c r="S57" s="420"/>
      <c r="U57" s="420">
        <f t="shared" ref="U57:AA57" si="41">U39+U41</f>
        <v>398887</v>
      </c>
      <c r="V57" s="420">
        <f t="shared" si="41"/>
        <v>412020</v>
      </c>
      <c r="W57" s="420">
        <f t="shared" si="41"/>
        <v>708181</v>
      </c>
      <c r="X57" s="420">
        <f t="shared" si="41"/>
        <v>481371</v>
      </c>
      <c r="Y57" s="420">
        <f t="shared" si="41"/>
        <v>406969</v>
      </c>
      <c r="Z57" s="420">
        <f t="shared" si="41"/>
        <v>429200</v>
      </c>
      <c r="AA57" s="420">
        <f t="shared" si="41"/>
        <v>478363</v>
      </c>
    </row>
    <row r="58" spans="1:27">
      <c r="A58" s="417"/>
      <c r="B58" s="417"/>
      <c r="D58" s="417"/>
      <c r="E58" s="417"/>
      <c r="F58" s="417"/>
      <c r="G58" s="417"/>
      <c r="H58" s="417"/>
      <c r="I58" s="417"/>
      <c r="J58" s="417"/>
      <c r="K58" s="417"/>
      <c r="L58" s="417"/>
      <c r="M58" s="417"/>
      <c r="N58" s="417"/>
      <c r="O58" s="417"/>
      <c r="P58" s="417"/>
      <c r="Q58" s="417"/>
      <c r="R58" s="417"/>
      <c r="S58" s="417"/>
      <c r="U58" s="417"/>
      <c r="V58" s="417"/>
      <c r="W58" s="417"/>
      <c r="X58" s="417"/>
      <c r="Y58" s="417"/>
      <c r="Z58" s="417"/>
      <c r="AA58" s="417"/>
    </row>
    <row r="59" spans="1:27">
      <c r="A59" s="416" t="s">
        <v>678</v>
      </c>
      <c r="B59" s="416" t="s">
        <v>679</v>
      </c>
      <c r="D59" s="424">
        <f t="shared" ref="D59:I59" si="42">D61+D67+D68+D77+D78</f>
        <v>-11291</v>
      </c>
      <c r="E59" s="424">
        <f t="shared" si="42"/>
        <v>-135137</v>
      </c>
      <c r="F59" s="424">
        <f t="shared" si="42"/>
        <v>-214635</v>
      </c>
      <c r="G59" s="424">
        <f t="shared" si="42"/>
        <v>-318107</v>
      </c>
      <c r="H59" s="424">
        <f t="shared" si="42"/>
        <v>-110654</v>
      </c>
      <c r="I59" s="424">
        <f t="shared" si="42"/>
        <v>-177566</v>
      </c>
      <c r="J59" s="424">
        <f t="shared" ref="J59:R59" si="43">J61+J67+J68+J77+J78</f>
        <v>-268029</v>
      </c>
      <c r="K59" s="424">
        <f t="shared" si="43"/>
        <v>-381031</v>
      </c>
      <c r="L59" s="424">
        <f t="shared" si="43"/>
        <v>-87858</v>
      </c>
      <c r="M59" s="424">
        <f t="shared" si="43"/>
        <v>-186504</v>
      </c>
      <c r="N59" s="424">
        <f t="shared" si="43"/>
        <v>-293826</v>
      </c>
      <c r="O59" s="424">
        <f t="shared" si="43"/>
        <v>-211133</v>
      </c>
      <c r="P59" s="424">
        <f t="shared" si="43"/>
        <v>-95088</v>
      </c>
      <c r="Q59" s="424">
        <f t="shared" si="43"/>
        <v>-196247</v>
      </c>
      <c r="R59" s="424">
        <f t="shared" si="43"/>
        <v>-293390</v>
      </c>
      <c r="S59" s="424"/>
      <c r="U59" s="424">
        <f t="shared" ref="U59:AA59" si="44">U61+U67+U68+U77+U78</f>
        <v>-87858</v>
      </c>
      <c r="V59" s="424">
        <f t="shared" si="44"/>
        <v>-98646</v>
      </c>
      <c r="W59" s="424">
        <f t="shared" si="44"/>
        <v>-107322</v>
      </c>
      <c r="X59" s="424">
        <f t="shared" si="44"/>
        <v>82693</v>
      </c>
      <c r="Y59" s="424">
        <f t="shared" si="44"/>
        <v>-95088</v>
      </c>
      <c r="Z59" s="424">
        <f t="shared" si="44"/>
        <v>-101159</v>
      </c>
      <c r="AA59" s="424">
        <f t="shared" si="44"/>
        <v>-97143</v>
      </c>
    </row>
    <row r="60" spans="1:27">
      <c r="A60" s="416"/>
      <c r="B60" s="416"/>
      <c r="D60" s="421"/>
      <c r="E60" s="421"/>
      <c r="F60" s="421"/>
      <c r="G60" s="421"/>
      <c r="H60" s="421"/>
      <c r="I60" s="421"/>
      <c r="J60" s="421"/>
      <c r="K60" s="421"/>
      <c r="L60" s="421"/>
      <c r="M60" s="421"/>
      <c r="N60" s="421"/>
      <c r="O60" s="421"/>
      <c r="P60" s="421"/>
      <c r="Q60" s="421"/>
      <c r="R60" s="421"/>
      <c r="S60" s="421"/>
      <c r="U60" s="421"/>
      <c r="V60" s="421"/>
      <c r="W60" s="421"/>
      <c r="X60" s="421"/>
      <c r="Y60" s="421"/>
      <c r="Z60" s="421"/>
      <c r="AA60" s="421"/>
    </row>
    <row r="61" spans="1:27">
      <c r="A61" s="419" t="s">
        <v>680</v>
      </c>
      <c r="B61" s="419" t="s">
        <v>681</v>
      </c>
      <c r="D61" s="422">
        <f t="shared" ref="D61:I61" si="45">SUM(D62:D66)</f>
        <v>0</v>
      </c>
      <c r="E61" s="422">
        <f t="shared" si="45"/>
        <v>0</v>
      </c>
      <c r="F61" s="422">
        <f t="shared" si="45"/>
        <v>0</v>
      </c>
      <c r="G61" s="422">
        <f t="shared" si="45"/>
        <v>0</v>
      </c>
      <c r="H61" s="422">
        <f t="shared" si="45"/>
        <v>0</v>
      </c>
      <c r="I61" s="422">
        <f t="shared" si="45"/>
        <v>0</v>
      </c>
      <c r="J61" s="422">
        <f t="shared" ref="J61:R61" si="46">SUM(J62:J66)</f>
        <v>0</v>
      </c>
      <c r="K61" s="422">
        <f t="shared" si="46"/>
        <v>0</v>
      </c>
      <c r="L61" s="422">
        <f t="shared" si="46"/>
        <v>0</v>
      </c>
      <c r="M61" s="422">
        <f t="shared" si="46"/>
        <v>0</v>
      </c>
      <c r="N61" s="422">
        <f t="shared" si="46"/>
        <v>0</v>
      </c>
      <c r="O61" s="422">
        <f t="shared" si="46"/>
        <v>0</v>
      </c>
      <c r="P61" s="422">
        <f t="shared" si="46"/>
        <v>0</v>
      </c>
      <c r="Q61" s="422">
        <f t="shared" si="46"/>
        <v>0</v>
      </c>
      <c r="R61" s="422">
        <f t="shared" si="46"/>
        <v>0</v>
      </c>
      <c r="S61" s="422"/>
      <c r="U61" s="422">
        <f t="shared" ref="U61:AA61" si="47">SUM(U62:U66)</f>
        <v>0</v>
      </c>
      <c r="V61" s="422">
        <f t="shared" si="47"/>
        <v>0</v>
      </c>
      <c r="W61" s="422">
        <f t="shared" si="47"/>
        <v>0</v>
      </c>
      <c r="X61" s="422">
        <f t="shared" si="47"/>
        <v>0</v>
      </c>
      <c r="Y61" s="422">
        <f t="shared" si="47"/>
        <v>0</v>
      </c>
      <c r="Z61" s="422">
        <f t="shared" si="47"/>
        <v>0</v>
      </c>
      <c r="AA61" s="422">
        <f t="shared" si="47"/>
        <v>0</v>
      </c>
    </row>
    <row r="62" spans="1:27" outlineLevel="1">
      <c r="A62" s="418" t="s">
        <v>682</v>
      </c>
      <c r="B62" s="418" t="s">
        <v>683</v>
      </c>
      <c r="D62" s="423">
        <v>0</v>
      </c>
      <c r="E62" s="423">
        <v>0</v>
      </c>
      <c r="F62" s="423">
        <v>0</v>
      </c>
      <c r="G62" s="423">
        <v>0</v>
      </c>
      <c r="H62" s="423">
        <v>0</v>
      </c>
      <c r="I62" s="423">
        <v>0</v>
      </c>
      <c r="J62" s="423">
        <v>0</v>
      </c>
      <c r="K62" s="423">
        <v>0</v>
      </c>
      <c r="L62" s="423">
        <v>0</v>
      </c>
      <c r="M62" s="423">
        <v>0</v>
      </c>
      <c r="N62" s="423">
        <v>0</v>
      </c>
      <c r="O62" s="423">
        <v>0</v>
      </c>
      <c r="P62" s="423">
        <v>0</v>
      </c>
      <c r="Q62" s="423">
        <v>0</v>
      </c>
      <c r="R62" s="423">
        <v>0</v>
      </c>
      <c r="S62" s="423"/>
      <c r="U62" s="423">
        <f t="shared" ref="U62:U67" si="48">L62</f>
        <v>0</v>
      </c>
      <c r="V62" s="423">
        <f t="shared" ref="V62:V67" si="49">M62-U62</f>
        <v>0</v>
      </c>
      <c r="W62" s="423">
        <f t="shared" ref="W62:X67" si="50">N62-M62</f>
        <v>0</v>
      </c>
      <c r="X62" s="423">
        <f t="shared" si="50"/>
        <v>0</v>
      </c>
      <c r="Y62" s="423">
        <f t="shared" ref="Y62:Y67" si="51">P62</f>
        <v>0</v>
      </c>
      <c r="Z62" s="423">
        <f t="shared" ref="Z62:Z67" si="52">Q62-Y62</f>
        <v>0</v>
      </c>
      <c r="AA62" s="423">
        <f t="shared" ref="AA62:AA81" si="53">R62-Q62</f>
        <v>0</v>
      </c>
    </row>
    <row r="63" spans="1:27" outlineLevel="1">
      <c r="A63" s="418" t="s">
        <v>684</v>
      </c>
      <c r="B63" s="418" t="s">
        <v>685</v>
      </c>
      <c r="D63" s="423">
        <v>0</v>
      </c>
      <c r="E63" s="423">
        <v>0</v>
      </c>
      <c r="F63" s="423">
        <v>0</v>
      </c>
      <c r="G63" s="423">
        <v>0</v>
      </c>
      <c r="H63" s="423">
        <v>0</v>
      </c>
      <c r="I63" s="423">
        <v>0</v>
      </c>
      <c r="J63" s="423">
        <v>0</v>
      </c>
      <c r="K63" s="423">
        <v>0</v>
      </c>
      <c r="L63" s="423">
        <v>0</v>
      </c>
      <c r="M63" s="423">
        <v>0</v>
      </c>
      <c r="N63" s="423">
        <v>0</v>
      </c>
      <c r="O63" s="423">
        <v>0</v>
      </c>
      <c r="P63" s="423">
        <v>0</v>
      </c>
      <c r="Q63" s="423">
        <v>0</v>
      </c>
      <c r="R63" s="423">
        <v>0</v>
      </c>
      <c r="S63" s="423"/>
      <c r="U63" s="423">
        <f t="shared" si="48"/>
        <v>0</v>
      </c>
      <c r="V63" s="423">
        <f t="shared" si="49"/>
        <v>0</v>
      </c>
      <c r="W63" s="423">
        <f t="shared" si="50"/>
        <v>0</v>
      </c>
      <c r="X63" s="423">
        <f t="shared" si="50"/>
        <v>0</v>
      </c>
      <c r="Y63" s="423">
        <f t="shared" si="51"/>
        <v>0</v>
      </c>
      <c r="Z63" s="423">
        <f t="shared" si="52"/>
        <v>0</v>
      </c>
      <c r="AA63" s="423">
        <f t="shared" si="53"/>
        <v>0</v>
      </c>
    </row>
    <row r="64" spans="1:27" outlineLevel="1">
      <c r="A64" s="418" t="s">
        <v>686</v>
      </c>
      <c r="B64" s="418" t="s">
        <v>687</v>
      </c>
      <c r="D64" s="423">
        <v>0</v>
      </c>
      <c r="E64" s="423">
        <v>0</v>
      </c>
      <c r="F64" s="423">
        <v>0</v>
      </c>
      <c r="G64" s="423">
        <v>0</v>
      </c>
      <c r="H64" s="423">
        <v>0</v>
      </c>
      <c r="I64" s="423">
        <v>0</v>
      </c>
      <c r="J64" s="423">
        <v>0</v>
      </c>
      <c r="K64" s="423">
        <v>0</v>
      </c>
      <c r="L64" s="423">
        <v>0</v>
      </c>
      <c r="M64" s="423">
        <v>0</v>
      </c>
      <c r="N64" s="423">
        <v>0</v>
      </c>
      <c r="O64" s="423">
        <v>0</v>
      </c>
      <c r="P64" s="423">
        <v>0</v>
      </c>
      <c r="Q64" s="423">
        <v>0</v>
      </c>
      <c r="R64" s="423">
        <v>0</v>
      </c>
      <c r="S64" s="423"/>
      <c r="U64" s="423">
        <f t="shared" si="48"/>
        <v>0</v>
      </c>
      <c r="V64" s="423">
        <f t="shared" si="49"/>
        <v>0</v>
      </c>
      <c r="W64" s="423">
        <f t="shared" si="50"/>
        <v>0</v>
      </c>
      <c r="X64" s="423">
        <f t="shared" si="50"/>
        <v>0</v>
      </c>
      <c r="Y64" s="423">
        <f t="shared" si="51"/>
        <v>0</v>
      </c>
      <c r="Z64" s="423">
        <f t="shared" si="52"/>
        <v>0</v>
      </c>
      <c r="AA64" s="423">
        <f t="shared" si="53"/>
        <v>0</v>
      </c>
    </row>
    <row r="65" spans="1:27" outlineLevel="1">
      <c r="A65" s="418" t="s">
        <v>688</v>
      </c>
      <c r="B65" s="418" t="s">
        <v>689</v>
      </c>
      <c r="D65" s="423">
        <v>0</v>
      </c>
      <c r="E65" s="423">
        <v>0</v>
      </c>
      <c r="F65" s="423">
        <v>0</v>
      </c>
      <c r="G65" s="423">
        <v>0</v>
      </c>
      <c r="H65" s="423">
        <v>0</v>
      </c>
      <c r="I65" s="423">
        <v>0</v>
      </c>
      <c r="J65" s="423">
        <v>0</v>
      </c>
      <c r="K65" s="423">
        <v>0</v>
      </c>
      <c r="L65" s="423">
        <v>0</v>
      </c>
      <c r="M65" s="423">
        <v>0</v>
      </c>
      <c r="N65" s="423">
        <v>0</v>
      </c>
      <c r="O65" s="423">
        <v>0</v>
      </c>
      <c r="P65" s="423">
        <v>0</v>
      </c>
      <c r="Q65" s="423">
        <v>0</v>
      </c>
      <c r="R65" s="423">
        <v>0</v>
      </c>
      <c r="S65" s="423"/>
      <c r="U65" s="423">
        <f t="shared" si="48"/>
        <v>0</v>
      </c>
      <c r="V65" s="423">
        <f t="shared" si="49"/>
        <v>0</v>
      </c>
      <c r="W65" s="423">
        <f t="shared" si="50"/>
        <v>0</v>
      </c>
      <c r="X65" s="423">
        <f t="shared" si="50"/>
        <v>0</v>
      </c>
      <c r="Y65" s="423">
        <f t="shared" si="51"/>
        <v>0</v>
      </c>
      <c r="Z65" s="423">
        <f t="shared" si="52"/>
        <v>0</v>
      </c>
      <c r="AA65" s="423">
        <f t="shared" si="53"/>
        <v>0</v>
      </c>
    </row>
    <row r="66" spans="1:27" outlineLevel="1">
      <c r="A66" s="418" t="s">
        <v>690</v>
      </c>
      <c r="B66" s="418" t="s">
        <v>691</v>
      </c>
      <c r="D66" s="423">
        <v>0</v>
      </c>
      <c r="E66" s="423">
        <v>0</v>
      </c>
      <c r="F66" s="423">
        <v>0</v>
      </c>
      <c r="G66" s="423">
        <v>0</v>
      </c>
      <c r="H66" s="423">
        <v>0</v>
      </c>
      <c r="I66" s="423">
        <v>0</v>
      </c>
      <c r="J66" s="423">
        <v>0</v>
      </c>
      <c r="K66" s="423">
        <v>0</v>
      </c>
      <c r="L66" s="423">
        <v>0</v>
      </c>
      <c r="M66" s="423">
        <v>0</v>
      </c>
      <c r="N66" s="423">
        <v>0</v>
      </c>
      <c r="O66" s="423">
        <v>0</v>
      </c>
      <c r="P66" s="423">
        <v>0</v>
      </c>
      <c r="Q66" s="423">
        <v>0</v>
      </c>
      <c r="R66" s="423">
        <v>0</v>
      </c>
      <c r="S66" s="423"/>
      <c r="U66" s="423">
        <f t="shared" si="48"/>
        <v>0</v>
      </c>
      <c r="V66" s="423">
        <f t="shared" si="49"/>
        <v>0</v>
      </c>
      <c r="W66" s="423">
        <f t="shared" si="50"/>
        <v>0</v>
      </c>
      <c r="X66" s="423">
        <f t="shared" si="50"/>
        <v>0</v>
      </c>
      <c r="Y66" s="423">
        <f t="shared" si="51"/>
        <v>0</v>
      </c>
      <c r="Z66" s="423">
        <f t="shared" si="52"/>
        <v>0</v>
      </c>
      <c r="AA66" s="423">
        <f t="shared" si="53"/>
        <v>0</v>
      </c>
    </row>
    <row r="67" spans="1:27">
      <c r="A67" s="417" t="s">
        <v>692</v>
      </c>
      <c r="B67" s="417" t="s">
        <v>693</v>
      </c>
      <c r="D67" s="425">
        <v>0</v>
      </c>
      <c r="E67" s="425">
        <v>0</v>
      </c>
      <c r="F67" s="425">
        <v>0</v>
      </c>
      <c r="G67" s="425">
        <v>0</v>
      </c>
      <c r="H67" s="425">
        <v>0</v>
      </c>
      <c r="I67" s="425">
        <v>0</v>
      </c>
      <c r="J67" s="425">
        <v>0</v>
      </c>
      <c r="K67" s="425"/>
      <c r="L67" s="425"/>
      <c r="M67" s="425">
        <v>0</v>
      </c>
      <c r="N67" s="425">
        <v>0</v>
      </c>
      <c r="O67" s="425">
        <v>0</v>
      </c>
      <c r="P67" s="425">
        <v>0</v>
      </c>
      <c r="Q67" s="425">
        <v>0</v>
      </c>
      <c r="R67" s="425">
        <v>0</v>
      </c>
      <c r="S67" s="425"/>
      <c r="U67" s="425">
        <f t="shared" si="48"/>
        <v>0</v>
      </c>
      <c r="V67" s="425">
        <f t="shared" si="49"/>
        <v>0</v>
      </c>
      <c r="W67" s="425">
        <f t="shared" si="50"/>
        <v>0</v>
      </c>
      <c r="X67" s="425">
        <f t="shared" si="50"/>
        <v>0</v>
      </c>
      <c r="Y67" s="425">
        <f t="shared" si="51"/>
        <v>0</v>
      </c>
      <c r="Z67" s="425">
        <f t="shared" si="52"/>
        <v>0</v>
      </c>
      <c r="AA67" s="425">
        <f t="shared" si="53"/>
        <v>0</v>
      </c>
    </row>
    <row r="68" spans="1:27">
      <c r="A68" s="417" t="s">
        <v>694</v>
      </c>
      <c r="B68" s="417" t="s">
        <v>695</v>
      </c>
      <c r="D68" s="422">
        <f t="shared" ref="D68:I68" si="54">SUM(D69:D76)</f>
        <v>-11291</v>
      </c>
      <c r="E68" s="422">
        <f t="shared" si="54"/>
        <v>-135137</v>
      </c>
      <c r="F68" s="422">
        <f t="shared" si="54"/>
        <v>-216011</v>
      </c>
      <c r="G68" s="422">
        <f t="shared" si="54"/>
        <v>-318887</v>
      </c>
      <c r="H68" s="422">
        <f t="shared" si="54"/>
        <v>-110152</v>
      </c>
      <c r="I68" s="422">
        <f t="shared" si="54"/>
        <v>-177704</v>
      </c>
      <c r="J68" s="422">
        <f t="shared" ref="J68:R68" si="55">SUM(J69:J76)</f>
        <v>-265190</v>
      </c>
      <c r="K68" s="422">
        <f t="shared" si="55"/>
        <v>-358327</v>
      </c>
      <c r="L68" s="422">
        <f t="shared" si="55"/>
        <v>-87189</v>
      </c>
      <c r="M68" s="422">
        <f t="shared" si="55"/>
        <v>-186996</v>
      </c>
      <c r="N68" s="422">
        <f t="shared" si="55"/>
        <v>-279722</v>
      </c>
      <c r="O68" s="422">
        <f t="shared" si="55"/>
        <v>-401790</v>
      </c>
      <c r="P68" s="422">
        <f t="shared" si="55"/>
        <v>-93837</v>
      </c>
      <c r="Q68" s="422">
        <f t="shared" si="55"/>
        <v>-190387</v>
      </c>
      <c r="R68" s="422">
        <f t="shared" si="55"/>
        <v>-277216</v>
      </c>
      <c r="S68" s="422"/>
      <c r="U68" s="422">
        <f t="shared" ref="U68:AA68" si="56">SUM(U69:U76)</f>
        <v>-87189</v>
      </c>
      <c r="V68" s="422">
        <f t="shared" si="56"/>
        <v>-99807</v>
      </c>
      <c r="W68" s="422">
        <f t="shared" si="56"/>
        <v>-92726</v>
      </c>
      <c r="X68" s="422">
        <f t="shared" si="56"/>
        <v>-122068</v>
      </c>
      <c r="Y68" s="422">
        <f t="shared" si="56"/>
        <v>-93837</v>
      </c>
      <c r="Z68" s="422">
        <f t="shared" si="56"/>
        <v>-96550</v>
      </c>
      <c r="AA68" s="422">
        <f t="shared" si="56"/>
        <v>-86829</v>
      </c>
    </row>
    <row r="69" spans="1:27" outlineLevel="1">
      <c r="A69" s="418" t="s">
        <v>696</v>
      </c>
      <c r="B69" s="418" t="s">
        <v>697</v>
      </c>
      <c r="D69" s="423">
        <v>-3537</v>
      </c>
      <c r="E69" s="423">
        <v>-8735</v>
      </c>
      <c r="F69" s="423">
        <v>-20865</v>
      </c>
      <c r="G69" s="423">
        <v>-36271</v>
      </c>
      <c r="H69" s="423">
        <v>-15042</v>
      </c>
      <c r="I69" s="423">
        <v>-22698</v>
      </c>
      <c r="J69" s="423">
        <v>-31981</v>
      </c>
      <c r="K69" s="423">
        <v>-35375</v>
      </c>
      <c r="L69" s="423">
        <v>-9362</v>
      </c>
      <c r="M69" s="423">
        <v>-23910</v>
      </c>
      <c r="N69" s="423">
        <v>-32986</v>
      </c>
      <c r="O69" s="423">
        <v>-45561</v>
      </c>
      <c r="P69" s="423">
        <v>-14256</v>
      </c>
      <c r="Q69" s="423">
        <v>-23685</v>
      </c>
      <c r="R69" s="423">
        <v>-34809</v>
      </c>
      <c r="S69" s="423"/>
      <c r="U69" s="423">
        <f t="shared" ref="U69:U77" si="57">L69</f>
        <v>-9362</v>
      </c>
      <c r="V69" s="423">
        <f t="shared" ref="V69:V77" si="58">M69-U69</f>
        <v>-14548</v>
      </c>
      <c r="W69" s="423">
        <f t="shared" ref="W69:X77" si="59">N69-M69</f>
        <v>-9076</v>
      </c>
      <c r="X69" s="423">
        <f t="shared" si="59"/>
        <v>-12575</v>
      </c>
      <c r="Y69" s="423">
        <f t="shared" ref="Y69:Y77" si="60">P69</f>
        <v>-14256</v>
      </c>
      <c r="Z69" s="423">
        <f t="shared" ref="Z69:Z77" si="61">Q69-Y69</f>
        <v>-9429</v>
      </c>
      <c r="AA69" s="423">
        <f t="shared" si="53"/>
        <v>-11124</v>
      </c>
    </row>
    <row r="70" spans="1:27" outlineLevel="1">
      <c r="A70" s="418" t="s">
        <v>698</v>
      </c>
      <c r="B70" s="418" t="s">
        <v>699</v>
      </c>
      <c r="D70" s="423">
        <v>-77</v>
      </c>
      <c r="E70" s="423">
        <v>-119</v>
      </c>
      <c r="F70" s="423">
        <v>-57</v>
      </c>
      <c r="G70" s="423">
        <v>-375</v>
      </c>
      <c r="H70" s="423">
        <v>-194</v>
      </c>
      <c r="I70" s="423">
        <v>-177</v>
      </c>
      <c r="J70" s="423">
        <v>-315</v>
      </c>
      <c r="K70" s="423">
        <v>-535</v>
      </c>
      <c r="L70" s="423">
        <v>-89</v>
      </c>
      <c r="M70" s="423">
        <v>-213</v>
      </c>
      <c r="N70" s="423">
        <v>-415</v>
      </c>
      <c r="O70" s="423">
        <v>-383</v>
      </c>
      <c r="P70" s="423">
        <v>-1408</v>
      </c>
      <c r="Q70" s="423">
        <v>-3059</v>
      </c>
      <c r="R70" s="423">
        <v>-2722</v>
      </c>
      <c r="S70" s="423"/>
      <c r="U70" s="423">
        <f t="shared" si="57"/>
        <v>-89</v>
      </c>
      <c r="V70" s="423">
        <f t="shared" si="58"/>
        <v>-124</v>
      </c>
      <c r="W70" s="423">
        <f t="shared" si="59"/>
        <v>-202</v>
      </c>
      <c r="X70" s="423">
        <f t="shared" si="59"/>
        <v>32</v>
      </c>
      <c r="Y70" s="423">
        <f t="shared" si="60"/>
        <v>-1408</v>
      </c>
      <c r="Z70" s="423">
        <f t="shared" si="61"/>
        <v>-1651</v>
      </c>
      <c r="AA70" s="423">
        <f t="shared" si="53"/>
        <v>337</v>
      </c>
    </row>
    <row r="71" spans="1:27" outlineLevel="1">
      <c r="A71" s="418" t="s">
        <v>700</v>
      </c>
      <c r="B71" s="418" t="s">
        <v>701</v>
      </c>
      <c r="D71" s="423">
        <v>-3653</v>
      </c>
      <c r="E71" s="423">
        <v>-10392</v>
      </c>
      <c r="F71" s="423">
        <v>-21216</v>
      </c>
      <c r="G71" s="423">
        <v>-29017</v>
      </c>
      <c r="H71" s="423">
        <v>-15739</v>
      </c>
      <c r="I71" s="423">
        <v>-8424</v>
      </c>
      <c r="J71" s="423">
        <v>-13511</v>
      </c>
      <c r="K71" s="423">
        <v>-19315</v>
      </c>
      <c r="L71" s="423">
        <v>-3675</v>
      </c>
      <c r="M71" s="423">
        <v>-11658</v>
      </c>
      <c r="N71" s="423">
        <v>-15891</v>
      </c>
      <c r="O71" s="423">
        <v>-42843</v>
      </c>
      <c r="P71" s="423">
        <v>-3308</v>
      </c>
      <c r="Q71" s="423">
        <v>-9921</v>
      </c>
      <c r="R71" s="423">
        <v>-16003</v>
      </c>
      <c r="S71" s="423"/>
      <c r="U71" s="423">
        <f t="shared" si="57"/>
        <v>-3675</v>
      </c>
      <c r="V71" s="423">
        <f t="shared" si="58"/>
        <v>-7983</v>
      </c>
      <c r="W71" s="423">
        <f t="shared" si="59"/>
        <v>-4233</v>
      </c>
      <c r="X71" s="423">
        <f t="shared" si="59"/>
        <v>-26952</v>
      </c>
      <c r="Y71" s="423">
        <f t="shared" si="60"/>
        <v>-3308</v>
      </c>
      <c r="Z71" s="423">
        <f t="shared" si="61"/>
        <v>-6613</v>
      </c>
      <c r="AA71" s="423">
        <f t="shared" si="53"/>
        <v>-6082</v>
      </c>
    </row>
    <row r="72" spans="1:27" outlineLevel="1">
      <c r="A72" s="418" t="s">
        <v>702</v>
      </c>
      <c r="B72" s="418" t="s">
        <v>703</v>
      </c>
      <c r="D72" s="423">
        <v>-270</v>
      </c>
      <c r="E72" s="423">
        <v>-558</v>
      </c>
      <c r="F72" s="423">
        <v>-383</v>
      </c>
      <c r="G72" s="423">
        <v>-390</v>
      </c>
      <c r="H72" s="423">
        <v>-3</v>
      </c>
      <c r="I72" s="423">
        <v>0</v>
      </c>
      <c r="J72" s="423">
        <v>-33</v>
      </c>
      <c r="K72" s="423">
        <v>-45</v>
      </c>
      <c r="L72" s="423">
        <v>-11</v>
      </c>
      <c r="M72" s="423">
        <v>-19</v>
      </c>
      <c r="N72" s="423">
        <v>-20</v>
      </c>
      <c r="O72" s="423">
        <v>-28</v>
      </c>
      <c r="P72" s="423">
        <v>-8</v>
      </c>
      <c r="Q72" s="423">
        <v>-32</v>
      </c>
      <c r="R72" s="423">
        <v>-37</v>
      </c>
      <c r="S72" s="423"/>
      <c r="U72" s="423">
        <f t="shared" si="57"/>
        <v>-11</v>
      </c>
      <c r="V72" s="423">
        <f t="shared" si="58"/>
        <v>-8</v>
      </c>
      <c r="W72" s="423">
        <f t="shared" si="59"/>
        <v>-1</v>
      </c>
      <c r="X72" s="423">
        <f t="shared" si="59"/>
        <v>-8</v>
      </c>
      <c r="Y72" s="423">
        <f t="shared" si="60"/>
        <v>-8</v>
      </c>
      <c r="Z72" s="423">
        <f t="shared" si="61"/>
        <v>-24</v>
      </c>
      <c r="AA72" s="423">
        <f t="shared" si="53"/>
        <v>-5</v>
      </c>
    </row>
    <row r="73" spans="1:27" outlineLevel="1">
      <c r="A73" s="418" t="s">
        <v>704</v>
      </c>
      <c r="B73" s="418" t="s">
        <v>705</v>
      </c>
      <c r="D73" s="423">
        <v>-548</v>
      </c>
      <c r="E73" s="423">
        <v>-9949</v>
      </c>
      <c r="F73" s="423">
        <v>-5136</v>
      </c>
      <c r="G73" s="423">
        <v>-11563</v>
      </c>
      <c r="H73" s="423">
        <v>-1505</v>
      </c>
      <c r="I73" s="423">
        <v>-5333</v>
      </c>
      <c r="J73" s="423">
        <v>-5373</v>
      </c>
      <c r="K73" s="423">
        <v>-13503</v>
      </c>
      <c r="L73" s="423">
        <v>-1161</v>
      </c>
      <c r="M73" s="423">
        <v>-5524</v>
      </c>
      <c r="N73" s="423">
        <v>-11194</v>
      </c>
      <c r="O73" s="423">
        <v>-17349</v>
      </c>
      <c r="P73" s="423">
        <v>-1614</v>
      </c>
      <c r="Q73" s="423">
        <v>-6343</v>
      </c>
      <c r="R73" s="423">
        <v>-2483</v>
      </c>
      <c r="S73" s="423"/>
      <c r="U73" s="423">
        <f t="shared" si="57"/>
        <v>-1161</v>
      </c>
      <c r="V73" s="423">
        <f t="shared" si="58"/>
        <v>-4363</v>
      </c>
      <c r="W73" s="423">
        <f t="shared" si="59"/>
        <v>-5670</v>
      </c>
      <c r="X73" s="423">
        <f t="shared" si="59"/>
        <v>-6155</v>
      </c>
      <c r="Y73" s="423">
        <f t="shared" si="60"/>
        <v>-1614</v>
      </c>
      <c r="Z73" s="423">
        <f t="shared" si="61"/>
        <v>-4729</v>
      </c>
      <c r="AA73" s="423">
        <f t="shared" si="53"/>
        <v>3860</v>
      </c>
    </row>
    <row r="74" spans="1:27" outlineLevel="1">
      <c r="A74" s="418" t="s">
        <v>706</v>
      </c>
      <c r="B74" s="418" t="s">
        <v>707</v>
      </c>
      <c r="D74" s="423">
        <v>0</v>
      </c>
      <c r="E74" s="423">
        <v>0</v>
      </c>
      <c r="F74" s="423">
        <v>0</v>
      </c>
      <c r="G74" s="423">
        <v>0</v>
      </c>
      <c r="H74" s="423">
        <v>0</v>
      </c>
      <c r="I74" s="423">
        <v>0</v>
      </c>
      <c r="J74" s="423">
        <v>0</v>
      </c>
      <c r="K74" s="423">
        <v>0</v>
      </c>
      <c r="L74" s="423">
        <v>0</v>
      </c>
      <c r="M74" s="423">
        <v>0</v>
      </c>
      <c r="N74" s="423">
        <v>0</v>
      </c>
      <c r="O74" s="423">
        <v>0</v>
      </c>
      <c r="P74" s="423">
        <v>0</v>
      </c>
      <c r="Q74" s="423">
        <v>0</v>
      </c>
      <c r="R74" s="423">
        <v>0</v>
      </c>
      <c r="S74" s="423"/>
      <c r="U74" s="423">
        <f t="shared" si="57"/>
        <v>0</v>
      </c>
      <c r="V74" s="423">
        <f t="shared" si="58"/>
        <v>0</v>
      </c>
      <c r="W74" s="423">
        <f t="shared" si="59"/>
        <v>0</v>
      </c>
      <c r="X74" s="423">
        <f t="shared" si="59"/>
        <v>0</v>
      </c>
      <c r="Y74" s="423">
        <f t="shared" si="60"/>
        <v>0</v>
      </c>
      <c r="Z74" s="423">
        <f t="shared" si="61"/>
        <v>0</v>
      </c>
      <c r="AA74" s="423">
        <f t="shared" si="53"/>
        <v>0</v>
      </c>
    </row>
    <row r="75" spans="1:27" outlineLevel="1">
      <c r="A75" s="418" t="s">
        <v>708</v>
      </c>
      <c r="B75" s="418" t="s">
        <v>709</v>
      </c>
      <c r="D75" s="423">
        <v>-3206</v>
      </c>
      <c r="E75" s="423">
        <v>-9907</v>
      </c>
      <c r="F75" s="423">
        <v>-753</v>
      </c>
      <c r="G75" s="423">
        <v>-1841</v>
      </c>
      <c r="H75" s="423">
        <v>-179</v>
      </c>
      <c r="I75" s="423">
        <v>-422</v>
      </c>
      <c r="J75" s="423">
        <v>-2062</v>
      </c>
      <c r="K75" s="423">
        <v>-6374</v>
      </c>
      <c r="L75" s="423">
        <v>-1626</v>
      </c>
      <c r="M75" s="423">
        <v>-3142</v>
      </c>
      <c r="N75" s="423">
        <v>-5421</v>
      </c>
      <c r="O75" s="423">
        <v>-10566</v>
      </c>
      <c r="P75" s="423">
        <v>-1978</v>
      </c>
      <c r="Q75" s="423">
        <v>-4817</v>
      </c>
      <c r="R75" s="423">
        <v>-7367</v>
      </c>
      <c r="S75" s="423"/>
      <c r="U75" s="423">
        <f t="shared" si="57"/>
        <v>-1626</v>
      </c>
      <c r="V75" s="423">
        <f t="shared" si="58"/>
        <v>-1516</v>
      </c>
      <c r="W75" s="423">
        <f t="shared" si="59"/>
        <v>-2279</v>
      </c>
      <c r="X75" s="423">
        <f t="shared" si="59"/>
        <v>-5145</v>
      </c>
      <c r="Y75" s="423">
        <f t="shared" si="60"/>
        <v>-1978</v>
      </c>
      <c r="Z75" s="423">
        <f t="shared" si="61"/>
        <v>-2839</v>
      </c>
      <c r="AA75" s="423">
        <f t="shared" si="53"/>
        <v>-2550</v>
      </c>
    </row>
    <row r="76" spans="1:27" outlineLevel="1">
      <c r="A76" s="418" t="s">
        <v>710</v>
      </c>
      <c r="B76" s="418" t="s">
        <v>711</v>
      </c>
      <c r="D76" s="423">
        <v>0</v>
      </c>
      <c r="E76" s="423">
        <v>-95477</v>
      </c>
      <c r="F76" s="423">
        <v>-167601</v>
      </c>
      <c r="G76" s="423">
        <v>-239430</v>
      </c>
      <c r="H76" s="423">
        <v>-77490</v>
      </c>
      <c r="I76" s="423">
        <v>-140650</v>
      </c>
      <c r="J76" s="423">
        <v>-211915</v>
      </c>
      <c r="K76" s="423">
        <v>-283180</v>
      </c>
      <c r="L76" s="423">
        <v>-71265</v>
      </c>
      <c r="M76" s="423">
        <v>-142530</v>
      </c>
      <c r="N76" s="423">
        <v>-213795</v>
      </c>
      <c r="O76" s="423">
        <v>-285060</v>
      </c>
      <c r="P76" s="423">
        <v>-71265</v>
      </c>
      <c r="Q76" s="423">
        <v>-142530</v>
      </c>
      <c r="R76" s="423">
        <v>-213795</v>
      </c>
      <c r="S76" s="423"/>
      <c r="U76" s="423">
        <f t="shared" si="57"/>
        <v>-71265</v>
      </c>
      <c r="V76" s="423">
        <f t="shared" si="58"/>
        <v>-71265</v>
      </c>
      <c r="W76" s="423">
        <f t="shared" si="59"/>
        <v>-71265</v>
      </c>
      <c r="X76" s="423">
        <f t="shared" si="59"/>
        <v>-71265</v>
      </c>
      <c r="Y76" s="423">
        <f t="shared" si="60"/>
        <v>-71265</v>
      </c>
      <c r="Z76" s="423">
        <f t="shared" si="61"/>
        <v>-71265</v>
      </c>
      <c r="AA76" s="423">
        <f t="shared" si="53"/>
        <v>-71265</v>
      </c>
    </row>
    <row r="77" spans="1:27">
      <c r="A77" s="417" t="s">
        <v>712</v>
      </c>
      <c r="B77" s="417" t="s">
        <v>713</v>
      </c>
      <c r="D77" s="422">
        <v>0</v>
      </c>
      <c r="E77" s="422">
        <v>0</v>
      </c>
      <c r="F77" s="422">
        <v>0</v>
      </c>
      <c r="G77" s="422">
        <v>0</v>
      </c>
      <c r="H77" s="422">
        <v>0</v>
      </c>
      <c r="I77" s="422">
        <v>0</v>
      </c>
      <c r="J77" s="422">
        <v>0</v>
      </c>
      <c r="K77" s="422"/>
      <c r="L77" s="422"/>
      <c r="M77" s="422">
        <v>605</v>
      </c>
      <c r="N77" s="422">
        <v>-12454</v>
      </c>
      <c r="O77" s="422">
        <v>-20862</v>
      </c>
      <c r="P77" s="422">
        <v>-1169</v>
      </c>
      <c r="Q77" s="422">
        <v>-2377</v>
      </c>
      <c r="R77" s="422">
        <v>-5085</v>
      </c>
      <c r="S77" s="422"/>
      <c r="U77" s="422">
        <f t="shared" si="57"/>
        <v>0</v>
      </c>
      <c r="V77" s="422">
        <f t="shared" si="58"/>
        <v>605</v>
      </c>
      <c r="W77" s="422">
        <f t="shared" si="59"/>
        <v>-13059</v>
      </c>
      <c r="X77" s="422">
        <f t="shared" si="59"/>
        <v>-8408</v>
      </c>
      <c r="Y77" s="422">
        <f t="shared" si="60"/>
        <v>-1169</v>
      </c>
      <c r="Z77" s="422">
        <f t="shared" si="61"/>
        <v>-1208</v>
      </c>
      <c r="AA77" s="422">
        <f t="shared" si="53"/>
        <v>-2708</v>
      </c>
    </row>
    <row r="78" spans="1:27">
      <c r="A78" s="417" t="s">
        <v>714</v>
      </c>
      <c r="B78" s="417" t="s">
        <v>715</v>
      </c>
      <c r="D78" s="422">
        <f t="shared" ref="D78:L78" si="62">SUM(D79:D81)</f>
        <v>0</v>
      </c>
      <c r="E78" s="422">
        <f t="shared" si="62"/>
        <v>0</v>
      </c>
      <c r="F78" s="422">
        <f t="shared" si="62"/>
        <v>1376</v>
      </c>
      <c r="G78" s="422">
        <f t="shared" si="62"/>
        <v>780</v>
      </c>
      <c r="H78" s="422">
        <f t="shared" si="62"/>
        <v>-502</v>
      </c>
      <c r="I78" s="422">
        <f t="shared" si="62"/>
        <v>138</v>
      </c>
      <c r="J78" s="422">
        <f t="shared" si="62"/>
        <v>-2839</v>
      </c>
      <c r="K78" s="422">
        <f t="shared" si="62"/>
        <v>-22704</v>
      </c>
      <c r="L78" s="422">
        <f t="shared" si="62"/>
        <v>-669</v>
      </c>
      <c r="M78" s="422">
        <f t="shared" ref="M78:R78" si="63">SUM(M79:M81)</f>
        <v>-113</v>
      </c>
      <c r="N78" s="422">
        <f t="shared" si="63"/>
        <v>-1650</v>
      </c>
      <c r="O78" s="422">
        <f t="shared" si="63"/>
        <v>211519</v>
      </c>
      <c r="P78" s="422">
        <f t="shared" si="63"/>
        <v>-82</v>
      </c>
      <c r="Q78" s="422">
        <f t="shared" si="63"/>
        <v>-3483</v>
      </c>
      <c r="R78" s="422">
        <f t="shared" si="63"/>
        <v>-11089</v>
      </c>
      <c r="S78" s="422"/>
      <c r="U78" s="422">
        <f t="shared" ref="U78:AA78" si="64">SUM(U79:U81)</f>
        <v>-669</v>
      </c>
      <c r="V78" s="422">
        <f t="shared" si="64"/>
        <v>556</v>
      </c>
      <c r="W78" s="422">
        <f t="shared" si="64"/>
        <v>-1537</v>
      </c>
      <c r="X78" s="422">
        <f t="shared" si="64"/>
        <v>213169</v>
      </c>
      <c r="Y78" s="422">
        <f t="shared" si="64"/>
        <v>-82</v>
      </c>
      <c r="Z78" s="422">
        <f t="shared" si="64"/>
        <v>-3401</v>
      </c>
      <c r="AA78" s="422">
        <f t="shared" si="64"/>
        <v>-7606</v>
      </c>
    </row>
    <row r="79" spans="1:27" outlineLevel="1">
      <c r="A79" s="418" t="s">
        <v>716</v>
      </c>
      <c r="B79" s="418" t="s">
        <v>717</v>
      </c>
      <c r="D79" s="423">
        <v>0</v>
      </c>
      <c r="E79" s="423">
        <v>0</v>
      </c>
      <c r="F79" s="423">
        <v>1376</v>
      </c>
      <c r="G79" s="423">
        <v>780</v>
      </c>
      <c r="H79" s="423">
        <v>-502</v>
      </c>
      <c r="I79" s="423">
        <v>138</v>
      </c>
      <c r="J79" s="423">
        <v>-2839</v>
      </c>
      <c r="K79" s="423">
        <v>-22704</v>
      </c>
      <c r="L79" s="423">
        <v>-633</v>
      </c>
      <c r="M79" s="423">
        <v>-77</v>
      </c>
      <c r="N79" s="423">
        <v>-543</v>
      </c>
      <c r="O79" s="423">
        <v>-39559</v>
      </c>
      <c r="P79" s="423">
        <v>-60</v>
      </c>
      <c r="Q79" s="423">
        <v>-4947</v>
      </c>
      <c r="R79" s="423">
        <v>-13531</v>
      </c>
      <c r="S79" s="423"/>
      <c r="U79" s="423">
        <f>L79</f>
        <v>-633</v>
      </c>
      <c r="V79" s="423">
        <f>M79-U79</f>
        <v>556</v>
      </c>
      <c r="W79" s="423">
        <f t="shared" ref="W79:X81" si="65">N79-M79</f>
        <v>-466</v>
      </c>
      <c r="X79" s="423">
        <f t="shared" si="65"/>
        <v>-39016</v>
      </c>
      <c r="Y79" s="423">
        <f>P79</f>
        <v>-60</v>
      </c>
      <c r="Z79" s="423">
        <f t="shared" ref="Z79:Z81" si="66">Q79-Y79</f>
        <v>-4887</v>
      </c>
      <c r="AA79" s="423">
        <f t="shared" si="53"/>
        <v>-8584</v>
      </c>
    </row>
    <row r="80" spans="1:27" outlineLevel="1">
      <c r="A80" s="418" t="s">
        <v>718</v>
      </c>
      <c r="B80" s="418" t="s">
        <v>719</v>
      </c>
      <c r="D80" s="423">
        <v>0</v>
      </c>
      <c r="E80" s="423">
        <v>0</v>
      </c>
      <c r="F80" s="423">
        <v>0</v>
      </c>
      <c r="G80" s="423">
        <v>0</v>
      </c>
      <c r="H80" s="423">
        <v>0</v>
      </c>
      <c r="I80" s="423">
        <v>0</v>
      </c>
      <c r="J80" s="423">
        <v>0</v>
      </c>
      <c r="K80" s="423">
        <v>0</v>
      </c>
      <c r="L80" s="423">
        <v>-36</v>
      </c>
      <c r="M80" s="423">
        <v>0</v>
      </c>
      <c r="N80" s="423">
        <v>-1071</v>
      </c>
      <c r="O80" s="423">
        <v>251114</v>
      </c>
      <c r="P80" s="423">
        <v>-22</v>
      </c>
      <c r="Q80" s="423">
        <v>1464</v>
      </c>
      <c r="R80" s="423">
        <v>2442</v>
      </c>
      <c r="S80" s="423"/>
      <c r="U80" s="423">
        <f>L80</f>
        <v>-36</v>
      </c>
      <c r="V80" s="423">
        <f>M80-U80</f>
        <v>36</v>
      </c>
      <c r="W80" s="423">
        <f t="shared" si="65"/>
        <v>-1071</v>
      </c>
      <c r="X80" s="423">
        <f t="shared" si="65"/>
        <v>252185</v>
      </c>
      <c r="Y80" s="423">
        <f>P80</f>
        <v>-22</v>
      </c>
      <c r="Z80" s="423">
        <f t="shared" si="66"/>
        <v>1486</v>
      </c>
      <c r="AA80" s="423">
        <f t="shared" si="53"/>
        <v>978</v>
      </c>
    </row>
    <row r="81" spans="1:27" outlineLevel="1">
      <c r="A81" s="418" t="s">
        <v>720</v>
      </c>
      <c r="B81" s="418" t="s">
        <v>721</v>
      </c>
      <c r="D81" s="423"/>
      <c r="E81" s="423"/>
      <c r="F81" s="423"/>
      <c r="G81" s="423"/>
      <c r="H81" s="423"/>
      <c r="I81" s="423"/>
      <c r="J81" s="423"/>
      <c r="K81" s="423"/>
      <c r="L81" s="423"/>
      <c r="M81" s="423">
        <v>-36</v>
      </c>
      <c r="N81" s="423">
        <v>-36</v>
      </c>
      <c r="O81" s="423">
        <v>-36</v>
      </c>
      <c r="P81" s="423">
        <v>0</v>
      </c>
      <c r="Q81" s="423">
        <v>0</v>
      </c>
      <c r="R81" s="423">
        <v>0</v>
      </c>
      <c r="S81" s="423"/>
      <c r="U81" s="423"/>
      <c r="V81" s="423">
        <f>M81-U81</f>
        <v>-36</v>
      </c>
      <c r="W81" s="423">
        <f t="shared" si="65"/>
        <v>0</v>
      </c>
      <c r="X81" s="423">
        <f t="shared" si="65"/>
        <v>0</v>
      </c>
      <c r="Y81" s="423">
        <f>P81</f>
        <v>0</v>
      </c>
      <c r="Z81" s="423">
        <f t="shared" si="66"/>
        <v>0</v>
      </c>
      <c r="AA81" s="423">
        <f t="shared" si="53"/>
        <v>0</v>
      </c>
    </row>
    <row r="82" spans="1:27">
      <c r="A82" s="417"/>
      <c r="B82" s="417"/>
      <c r="D82" s="417"/>
      <c r="E82" s="417"/>
      <c r="F82" s="417"/>
      <c r="G82" s="417"/>
      <c r="H82" s="417"/>
      <c r="I82" s="417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U82" s="417"/>
      <c r="V82" s="417"/>
      <c r="W82" s="417"/>
      <c r="X82" s="417"/>
      <c r="Y82" s="417"/>
      <c r="Z82" s="417"/>
      <c r="AA82" s="417"/>
    </row>
    <row r="83" spans="1:27">
      <c r="A83" s="429" t="s">
        <v>722</v>
      </c>
      <c r="B83" s="429" t="s">
        <v>722</v>
      </c>
      <c r="D83" s="420">
        <f t="shared" ref="D83:I83" si="67">D85-D75-D52-D76</f>
        <v>384860</v>
      </c>
      <c r="E83" s="420">
        <f t="shared" si="67"/>
        <v>789952</v>
      </c>
      <c r="F83" s="420">
        <f t="shared" si="67"/>
        <v>1315007</v>
      </c>
      <c r="G83" s="420">
        <f t="shared" si="67"/>
        <v>1818303</v>
      </c>
      <c r="H83" s="420">
        <f t="shared" si="67"/>
        <v>448064</v>
      </c>
      <c r="I83" s="420">
        <f t="shared" si="67"/>
        <v>894973</v>
      </c>
      <c r="J83" s="420">
        <f t="shared" ref="J83:R83" si="68">J85-J75-J52-J76</f>
        <v>1425733</v>
      </c>
      <c r="K83" s="420">
        <f t="shared" si="68"/>
        <v>1962394</v>
      </c>
      <c r="L83" s="420">
        <f t="shared" si="68"/>
        <v>438161</v>
      </c>
      <c r="M83" s="420">
        <f t="shared" si="68"/>
        <v>878735</v>
      </c>
      <c r="N83" s="420">
        <f t="shared" si="68"/>
        <v>1628390</v>
      </c>
      <c r="O83" s="420">
        <f t="shared" si="68"/>
        <v>2342307</v>
      </c>
      <c r="P83" s="420">
        <f t="shared" si="68"/>
        <v>458147</v>
      </c>
      <c r="Q83" s="420">
        <f t="shared" si="68"/>
        <v>934347</v>
      </c>
      <c r="R83" s="420">
        <f t="shared" si="68"/>
        <v>1462926</v>
      </c>
      <c r="S83" s="420"/>
      <c r="U83" s="420">
        <f t="shared" ref="U83:AA83" si="69">U85-U75-U52-U76</f>
        <v>438161</v>
      </c>
      <c r="V83" s="420">
        <f t="shared" si="69"/>
        <v>440574</v>
      </c>
      <c r="W83" s="420">
        <f t="shared" si="69"/>
        <v>749655</v>
      </c>
      <c r="X83" s="420">
        <f t="shared" si="69"/>
        <v>713917</v>
      </c>
      <c r="Y83" s="420">
        <f t="shared" si="69"/>
        <v>458147</v>
      </c>
      <c r="Z83" s="420">
        <f t="shared" si="69"/>
        <v>476200</v>
      </c>
      <c r="AA83" s="420">
        <f t="shared" si="69"/>
        <v>528579</v>
      </c>
    </row>
    <row r="84" spans="1:27">
      <c r="A84" s="417"/>
      <c r="B84" s="417"/>
      <c r="D84" s="417"/>
      <c r="E84" s="417"/>
      <c r="F84" s="417"/>
      <c r="G84" s="417"/>
      <c r="H84" s="417"/>
      <c r="I84" s="417"/>
      <c r="J84" s="417"/>
      <c r="K84" s="417"/>
      <c r="L84" s="417"/>
      <c r="M84" s="417"/>
      <c r="N84" s="417"/>
      <c r="O84" s="417"/>
      <c r="P84" s="417"/>
      <c r="Q84" s="417"/>
      <c r="R84" s="417"/>
      <c r="S84" s="417"/>
      <c r="U84" s="417"/>
      <c r="V84" s="417"/>
      <c r="W84" s="417"/>
      <c r="X84" s="417"/>
      <c r="Y84" s="417"/>
      <c r="Z84" s="417"/>
      <c r="AA84" s="417"/>
    </row>
    <row r="85" spans="1:27">
      <c r="A85" s="429" t="s">
        <v>723</v>
      </c>
      <c r="B85" s="429" t="s">
        <v>724</v>
      </c>
      <c r="D85" s="420">
        <f t="shared" ref="D85:I85" si="70">D57+D59</f>
        <v>359973</v>
      </c>
      <c r="E85" s="420">
        <f t="shared" si="70"/>
        <v>601389</v>
      </c>
      <c r="F85" s="420">
        <f t="shared" si="70"/>
        <v>999824</v>
      </c>
      <c r="G85" s="420">
        <f t="shared" si="70"/>
        <v>1366518</v>
      </c>
      <c r="H85" s="420">
        <f t="shared" si="70"/>
        <v>303794</v>
      </c>
      <c r="I85" s="420">
        <f t="shared" si="70"/>
        <v>621596</v>
      </c>
      <c r="J85" s="420">
        <f t="shared" ref="J85:R85" si="71">J57+J59</f>
        <v>1016156</v>
      </c>
      <c r="K85" s="420">
        <f t="shared" si="71"/>
        <v>1460629</v>
      </c>
      <c r="L85" s="420">
        <f t="shared" si="71"/>
        <v>311029</v>
      </c>
      <c r="M85" s="420">
        <f t="shared" si="71"/>
        <v>624403</v>
      </c>
      <c r="N85" s="420">
        <f t="shared" si="71"/>
        <v>1225262</v>
      </c>
      <c r="O85" s="420">
        <f t="shared" si="71"/>
        <v>1789326</v>
      </c>
      <c r="P85" s="420">
        <f t="shared" si="71"/>
        <v>311881</v>
      </c>
      <c r="Q85" s="420">
        <f t="shared" si="71"/>
        <v>639922</v>
      </c>
      <c r="R85" s="420">
        <f t="shared" si="71"/>
        <v>1021142</v>
      </c>
      <c r="S85" s="420"/>
      <c r="U85" s="420">
        <f t="shared" ref="U85:AA85" si="72">U57+U59</f>
        <v>311029</v>
      </c>
      <c r="V85" s="420">
        <f t="shared" si="72"/>
        <v>313374</v>
      </c>
      <c r="W85" s="420">
        <f t="shared" si="72"/>
        <v>600859</v>
      </c>
      <c r="X85" s="420">
        <f t="shared" si="72"/>
        <v>564064</v>
      </c>
      <c r="Y85" s="420">
        <f t="shared" si="72"/>
        <v>311881</v>
      </c>
      <c r="Z85" s="420">
        <f t="shared" si="72"/>
        <v>328041</v>
      </c>
      <c r="AA85" s="420">
        <f t="shared" si="72"/>
        <v>381220</v>
      </c>
    </row>
    <row r="86" spans="1:27">
      <c r="A86" s="417"/>
      <c r="B86" s="417"/>
      <c r="D86" s="417"/>
      <c r="E86" s="417"/>
      <c r="F86" s="417"/>
      <c r="G86" s="417"/>
      <c r="H86" s="417"/>
      <c r="I86" s="417"/>
      <c r="J86" s="417"/>
      <c r="K86" s="417"/>
      <c r="L86" s="417"/>
      <c r="M86" s="417"/>
      <c r="N86" s="417"/>
      <c r="O86" s="417"/>
      <c r="P86" s="417"/>
      <c r="Q86" s="417"/>
      <c r="R86" s="417"/>
      <c r="S86" s="417"/>
      <c r="U86" s="417"/>
      <c r="V86" s="417"/>
      <c r="W86" s="417"/>
      <c r="X86" s="417"/>
      <c r="Y86" s="417"/>
      <c r="Z86" s="417"/>
      <c r="AA86" s="417"/>
    </row>
    <row r="87" spans="1:27">
      <c r="A87" s="429" t="s">
        <v>725</v>
      </c>
      <c r="B87" s="429" t="s">
        <v>726</v>
      </c>
      <c r="D87" s="420">
        <f t="shared" ref="D87:I87" si="73">D89+D99</f>
        <v>-217034</v>
      </c>
      <c r="E87" s="420">
        <f t="shared" si="73"/>
        <v>-574799</v>
      </c>
      <c r="F87" s="420">
        <f t="shared" si="73"/>
        <v>-651033</v>
      </c>
      <c r="G87" s="420">
        <f t="shared" si="73"/>
        <v>-783006</v>
      </c>
      <c r="H87" s="420">
        <f t="shared" si="73"/>
        <v>-237583</v>
      </c>
      <c r="I87" s="420">
        <f t="shared" si="73"/>
        <v>-446942</v>
      </c>
      <c r="J87" s="420">
        <f t="shared" ref="J87:R87" si="74">J89+J99</f>
        <v>-547762</v>
      </c>
      <c r="K87" s="420">
        <f t="shared" si="74"/>
        <v>-703474</v>
      </c>
      <c r="L87" s="420">
        <f t="shared" si="74"/>
        <v>-181143</v>
      </c>
      <c r="M87" s="420">
        <f t="shared" si="74"/>
        <v>-356923</v>
      </c>
      <c r="N87" s="420">
        <f t="shared" si="74"/>
        <v>-514279</v>
      </c>
      <c r="O87" s="420">
        <f t="shared" si="74"/>
        <v>-725802</v>
      </c>
      <c r="P87" s="420">
        <f t="shared" si="74"/>
        <v>-237766</v>
      </c>
      <c r="Q87" s="420">
        <f t="shared" si="74"/>
        <v>-444249</v>
      </c>
      <c r="R87" s="420">
        <f t="shared" si="74"/>
        <v>-545147</v>
      </c>
      <c r="S87" s="420"/>
      <c r="U87" s="420">
        <f t="shared" ref="U87:AA87" si="75">U89+U99</f>
        <v>-181143</v>
      </c>
      <c r="V87" s="420">
        <f t="shared" si="75"/>
        <v>-175780</v>
      </c>
      <c r="W87" s="420">
        <f t="shared" si="75"/>
        <v>-157356</v>
      </c>
      <c r="X87" s="420">
        <f t="shared" si="75"/>
        <v>-211523</v>
      </c>
      <c r="Y87" s="420">
        <f t="shared" si="75"/>
        <v>-237766</v>
      </c>
      <c r="Z87" s="420">
        <f t="shared" si="75"/>
        <v>-206483</v>
      </c>
      <c r="AA87" s="420">
        <f t="shared" si="75"/>
        <v>-100898</v>
      </c>
    </row>
    <row r="88" spans="1:27">
      <c r="A88" s="416"/>
      <c r="B88" s="416"/>
      <c r="D88" s="417"/>
      <c r="E88" s="417"/>
      <c r="F88" s="417"/>
      <c r="G88" s="417"/>
      <c r="H88" s="417"/>
      <c r="I88" s="417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U88" s="417"/>
      <c r="V88" s="417"/>
      <c r="W88" s="417"/>
      <c r="X88" s="417"/>
      <c r="Y88" s="417"/>
      <c r="Z88" s="417"/>
      <c r="AA88" s="417"/>
    </row>
    <row r="89" spans="1:27">
      <c r="A89" s="417" t="s">
        <v>727</v>
      </c>
      <c r="B89" s="417" t="s">
        <v>728</v>
      </c>
      <c r="D89" s="424">
        <f t="shared" ref="D89:I89" si="76">SUM(D90:D98)</f>
        <v>25086</v>
      </c>
      <c r="E89" s="424">
        <f t="shared" si="76"/>
        <v>67589</v>
      </c>
      <c r="F89" s="424">
        <f t="shared" si="76"/>
        <v>121562</v>
      </c>
      <c r="G89" s="424">
        <f t="shared" si="76"/>
        <v>185690</v>
      </c>
      <c r="H89" s="424">
        <f t="shared" si="76"/>
        <v>55750</v>
      </c>
      <c r="I89" s="424">
        <f t="shared" si="76"/>
        <v>116341</v>
      </c>
      <c r="J89" s="424">
        <f t="shared" ref="J89:R89" si="77">SUM(J90:J98)</f>
        <v>191992</v>
      </c>
      <c r="K89" s="424">
        <f t="shared" si="77"/>
        <v>246652</v>
      </c>
      <c r="L89" s="424">
        <f t="shared" si="77"/>
        <v>71149</v>
      </c>
      <c r="M89" s="424">
        <f t="shared" si="77"/>
        <v>135525</v>
      </c>
      <c r="N89" s="424">
        <f t="shared" si="77"/>
        <v>194308</v>
      </c>
      <c r="O89" s="424">
        <f t="shared" si="77"/>
        <v>273169</v>
      </c>
      <c r="P89" s="424">
        <f t="shared" si="77"/>
        <v>110950</v>
      </c>
      <c r="Q89" s="424">
        <f t="shared" si="77"/>
        <v>176655</v>
      </c>
      <c r="R89" s="424">
        <f t="shared" si="77"/>
        <v>283449</v>
      </c>
      <c r="S89" s="424"/>
      <c r="U89" s="424">
        <f t="shared" ref="U89:AA89" si="78">SUM(U90:U98)</f>
        <v>71149</v>
      </c>
      <c r="V89" s="424">
        <f t="shared" si="78"/>
        <v>64376</v>
      </c>
      <c r="W89" s="424">
        <f t="shared" si="78"/>
        <v>58783</v>
      </c>
      <c r="X89" s="424">
        <f t="shared" si="78"/>
        <v>78861</v>
      </c>
      <c r="Y89" s="424">
        <f t="shared" si="78"/>
        <v>110950</v>
      </c>
      <c r="Z89" s="424">
        <f t="shared" si="78"/>
        <v>65705</v>
      </c>
      <c r="AA89" s="424">
        <f t="shared" si="78"/>
        <v>106794</v>
      </c>
    </row>
    <row r="90" spans="1:27" outlineLevel="1">
      <c r="A90" s="418" t="s">
        <v>729</v>
      </c>
      <c r="B90" s="418" t="s">
        <v>728</v>
      </c>
      <c r="D90" s="423">
        <v>25970</v>
      </c>
      <c r="E90" s="423">
        <v>68735</v>
      </c>
      <c r="F90" s="423">
        <v>122632</v>
      </c>
      <c r="G90" s="423">
        <v>177709</v>
      </c>
      <c r="H90" s="423">
        <v>51820</v>
      </c>
      <c r="I90" s="423">
        <v>101172</v>
      </c>
      <c r="J90" s="423">
        <v>157327</v>
      </c>
      <c r="K90" s="423">
        <v>197657</v>
      </c>
      <c r="L90" s="423">
        <v>61857</v>
      </c>
      <c r="M90" s="423">
        <v>119621</v>
      </c>
      <c r="N90" s="423">
        <v>173389</v>
      </c>
      <c r="O90" s="423">
        <v>246588</v>
      </c>
      <c r="P90" s="423">
        <v>80901</v>
      </c>
      <c r="Q90" s="423">
        <v>161296</v>
      </c>
      <c r="R90" s="423">
        <v>268014</v>
      </c>
      <c r="S90" s="423"/>
      <c r="U90" s="423">
        <f t="shared" ref="U90:U98" si="79">L90</f>
        <v>61857</v>
      </c>
      <c r="V90" s="423">
        <f t="shared" ref="V90:V98" si="80">M90-U90</f>
        <v>57764</v>
      </c>
      <c r="W90" s="423">
        <f t="shared" ref="W90:X98" si="81">N90-M90</f>
        <v>53768</v>
      </c>
      <c r="X90" s="423">
        <f t="shared" si="81"/>
        <v>73199</v>
      </c>
      <c r="Y90" s="423">
        <f t="shared" ref="Y90:Y98" si="82">P90</f>
        <v>80901</v>
      </c>
      <c r="Z90" s="423">
        <f t="shared" ref="Z90:Z98" si="83">Q90-Y90</f>
        <v>80395</v>
      </c>
      <c r="AA90" s="423">
        <f t="shared" ref="AA90:AA109" si="84">R90-Q90</f>
        <v>106718</v>
      </c>
    </row>
    <row r="91" spans="1:27" outlineLevel="1">
      <c r="A91" s="418" t="s">
        <v>730</v>
      </c>
      <c r="B91" s="418" t="s">
        <v>731</v>
      </c>
      <c r="D91" s="423">
        <v>-891</v>
      </c>
      <c r="E91" s="423">
        <v>-1869</v>
      </c>
      <c r="F91" s="423">
        <v>-3310</v>
      </c>
      <c r="G91" s="423">
        <v>-4991</v>
      </c>
      <c r="H91" s="423">
        <v>-1472</v>
      </c>
      <c r="I91" s="423">
        <v>-3357</v>
      </c>
      <c r="J91" s="423">
        <v>-5765</v>
      </c>
      <c r="K91" s="423">
        <v>-7277</v>
      </c>
      <c r="L91" s="423">
        <v>-2422</v>
      </c>
      <c r="M91" s="423">
        <v>-4859</v>
      </c>
      <c r="N91" s="423">
        <v>-7475</v>
      </c>
      <c r="O91" s="423">
        <v>-10396</v>
      </c>
      <c r="P91" s="423">
        <v>-3066</v>
      </c>
      <c r="Q91" s="423">
        <v>-6276</v>
      </c>
      <c r="R91" s="423">
        <v>-10844</v>
      </c>
      <c r="S91" s="423"/>
      <c r="U91" s="423">
        <f t="shared" si="79"/>
        <v>-2422</v>
      </c>
      <c r="V91" s="423">
        <f t="shared" si="80"/>
        <v>-2437</v>
      </c>
      <c r="W91" s="423">
        <f t="shared" si="81"/>
        <v>-2616</v>
      </c>
      <c r="X91" s="423">
        <f t="shared" si="81"/>
        <v>-2921</v>
      </c>
      <c r="Y91" s="423">
        <f t="shared" si="82"/>
        <v>-3066</v>
      </c>
      <c r="Z91" s="423">
        <f t="shared" si="83"/>
        <v>-3210</v>
      </c>
      <c r="AA91" s="423">
        <f t="shared" si="84"/>
        <v>-4568</v>
      </c>
    </row>
    <row r="92" spans="1:27" outlineLevel="1">
      <c r="A92" s="418" t="s">
        <v>2561</v>
      </c>
      <c r="B92" s="418" t="s">
        <v>2562</v>
      </c>
      <c r="D92" s="423">
        <v>0</v>
      </c>
      <c r="E92" s="423">
        <v>0</v>
      </c>
      <c r="F92" s="423">
        <v>0</v>
      </c>
      <c r="G92" s="423">
        <v>0</v>
      </c>
      <c r="H92" s="423">
        <v>0</v>
      </c>
      <c r="I92" s="423">
        <v>717</v>
      </c>
      <c r="J92" s="423">
        <v>5536</v>
      </c>
      <c r="K92" s="423">
        <v>79</v>
      </c>
      <c r="L92" s="423">
        <v>4182</v>
      </c>
      <c r="M92" s="423">
        <v>4182</v>
      </c>
      <c r="N92" s="423">
        <v>4182</v>
      </c>
      <c r="O92" s="423">
        <v>4182</v>
      </c>
      <c r="P92" s="423">
        <v>0</v>
      </c>
      <c r="Q92" s="423">
        <v>0</v>
      </c>
      <c r="R92" s="423">
        <v>0</v>
      </c>
      <c r="S92" s="423"/>
      <c r="U92" s="423">
        <f t="shared" si="79"/>
        <v>4182</v>
      </c>
      <c r="V92" s="423">
        <f t="shared" si="80"/>
        <v>0</v>
      </c>
      <c r="W92" s="423">
        <f t="shared" si="81"/>
        <v>0</v>
      </c>
      <c r="X92" s="423">
        <f t="shared" si="81"/>
        <v>0</v>
      </c>
      <c r="Y92" s="423">
        <f t="shared" si="82"/>
        <v>0</v>
      </c>
      <c r="Z92" s="423">
        <f t="shared" si="83"/>
        <v>0</v>
      </c>
      <c r="AA92" s="423">
        <f t="shared" si="84"/>
        <v>0</v>
      </c>
    </row>
    <row r="93" spans="1:27" outlineLevel="1">
      <c r="A93" s="418" t="s">
        <v>733</v>
      </c>
      <c r="B93" s="418" t="s">
        <v>734</v>
      </c>
      <c r="D93" s="423">
        <v>0</v>
      </c>
      <c r="E93" s="423">
        <v>0</v>
      </c>
      <c r="F93" s="423">
        <v>0</v>
      </c>
      <c r="G93" s="423">
        <v>0</v>
      </c>
      <c r="H93" s="423">
        <v>0</v>
      </c>
      <c r="I93" s="423">
        <v>0</v>
      </c>
      <c r="J93" s="423">
        <v>0</v>
      </c>
      <c r="K93" s="423">
        <v>0</v>
      </c>
      <c r="L93" s="423">
        <v>0</v>
      </c>
      <c r="M93" s="423">
        <v>0</v>
      </c>
      <c r="N93" s="423">
        <v>0</v>
      </c>
      <c r="O93" s="423">
        <v>0</v>
      </c>
      <c r="P93" s="423">
        <v>618</v>
      </c>
      <c r="Q93" s="423">
        <v>660</v>
      </c>
      <c r="R93" s="423">
        <v>844</v>
      </c>
      <c r="S93" s="423"/>
      <c r="U93" s="423">
        <f t="shared" si="79"/>
        <v>0</v>
      </c>
      <c r="V93" s="423">
        <f t="shared" si="80"/>
        <v>0</v>
      </c>
      <c r="W93" s="423">
        <f t="shared" si="81"/>
        <v>0</v>
      </c>
      <c r="X93" s="423">
        <f t="shared" si="81"/>
        <v>0</v>
      </c>
      <c r="Y93" s="423">
        <f t="shared" si="82"/>
        <v>618</v>
      </c>
      <c r="Z93" s="423">
        <f t="shared" si="83"/>
        <v>42</v>
      </c>
      <c r="AA93" s="423">
        <f t="shared" si="84"/>
        <v>184</v>
      </c>
    </row>
    <row r="94" spans="1:27" outlineLevel="1">
      <c r="A94" s="418" t="s">
        <v>735</v>
      </c>
      <c r="B94" s="418" t="s">
        <v>736</v>
      </c>
      <c r="D94" s="423">
        <v>0</v>
      </c>
      <c r="E94" s="423">
        <v>0</v>
      </c>
      <c r="F94" s="423">
        <v>0</v>
      </c>
      <c r="G94" s="423">
        <v>0</v>
      </c>
      <c r="H94" s="423">
        <v>0</v>
      </c>
      <c r="I94" s="423">
        <v>0</v>
      </c>
      <c r="J94" s="423">
        <v>0</v>
      </c>
      <c r="K94" s="423">
        <v>0</v>
      </c>
      <c r="L94" s="423">
        <v>0</v>
      </c>
      <c r="M94" s="423">
        <v>0</v>
      </c>
      <c r="N94" s="423">
        <v>0</v>
      </c>
      <c r="O94" s="423">
        <v>0</v>
      </c>
      <c r="P94" s="423">
        <v>0</v>
      </c>
      <c r="Q94" s="423">
        <v>0</v>
      </c>
      <c r="R94" s="423">
        <v>0</v>
      </c>
      <c r="S94" s="423"/>
      <c r="U94" s="423">
        <f t="shared" si="79"/>
        <v>0</v>
      </c>
      <c r="V94" s="423">
        <f t="shared" si="80"/>
        <v>0</v>
      </c>
      <c r="W94" s="423">
        <f t="shared" si="81"/>
        <v>0</v>
      </c>
      <c r="X94" s="423">
        <f t="shared" si="81"/>
        <v>0</v>
      </c>
      <c r="Y94" s="423">
        <f t="shared" si="82"/>
        <v>0</v>
      </c>
      <c r="Z94" s="423">
        <f t="shared" si="83"/>
        <v>0</v>
      </c>
      <c r="AA94" s="423">
        <f t="shared" si="84"/>
        <v>0</v>
      </c>
    </row>
    <row r="95" spans="1:27" outlineLevel="1">
      <c r="A95" s="418" t="s">
        <v>737</v>
      </c>
      <c r="B95" s="418" t="s">
        <v>738</v>
      </c>
      <c r="D95" s="423">
        <v>0</v>
      </c>
      <c r="E95" s="423">
        <v>0</v>
      </c>
      <c r="F95" s="423">
        <v>0</v>
      </c>
      <c r="G95" s="423">
        <v>0</v>
      </c>
      <c r="H95" s="423">
        <v>0</v>
      </c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/>
      <c r="U95" s="423">
        <f t="shared" si="79"/>
        <v>0</v>
      </c>
      <c r="V95" s="423">
        <f t="shared" si="80"/>
        <v>0</v>
      </c>
      <c r="W95" s="423">
        <f t="shared" si="81"/>
        <v>0</v>
      </c>
      <c r="X95" s="423">
        <f t="shared" si="81"/>
        <v>0</v>
      </c>
      <c r="Y95" s="423">
        <f t="shared" si="82"/>
        <v>0</v>
      </c>
      <c r="Z95" s="423">
        <f t="shared" si="83"/>
        <v>0</v>
      </c>
      <c r="AA95" s="423">
        <f t="shared" si="84"/>
        <v>0</v>
      </c>
    </row>
    <row r="96" spans="1:27" outlineLevel="1">
      <c r="A96" s="418" t="s">
        <v>739</v>
      </c>
      <c r="B96" s="418" t="s">
        <v>740</v>
      </c>
      <c r="D96" s="423">
        <v>7</v>
      </c>
      <c r="E96" s="423">
        <v>723</v>
      </c>
      <c r="F96" s="423">
        <v>2240</v>
      </c>
      <c r="G96" s="423">
        <v>12902</v>
      </c>
      <c r="H96" s="423">
        <v>5396</v>
      </c>
      <c r="I96" s="423">
        <v>17799</v>
      </c>
      <c r="J96" s="423">
        <v>29375</v>
      </c>
      <c r="K96" s="423">
        <v>42136</v>
      </c>
      <c r="L96" s="423">
        <v>7517</v>
      </c>
      <c r="M96" s="423">
        <v>16474</v>
      </c>
      <c r="N96" s="423">
        <v>22370</v>
      </c>
      <c r="O96" s="423">
        <v>30931</v>
      </c>
      <c r="P96" s="423">
        <v>7831</v>
      </c>
      <c r="Q96" s="423">
        <v>20881</v>
      </c>
      <c r="R96" s="423">
        <v>24188</v>
      </c>
      <c r="S96" s="423"/>
      <c r="U96" s="423">
        <f t="shared" si="79"/>
        <v>7517</v>
      </c>
      <c r="V96" s="423">
        <f t="shared" si="80"/>
        <v>8957</v>
      </c>
      <c r="W96" s="423">
        <f t="shared" si="81"/>
        <v>5896</v>
      </c>
      <c r="X96" s="423">
        <f t="shared" si="81"/>
        <v>8561</v>
      </c>
      <c r="Y96" s="423">
        <f t="shared" si="82"/>
        <v>7831</v>
      </c>
      <c r="Z96" s="423">
        <f t="shared" si="83"/>
        <v>13050</v>
      </c>
      <c r="AA96" s="423">
        <f t="shared" si="84"/>
        <v>3307</v>
      </c>
    </row>
    <row r="97" spans="1:27" outlineLevel="1">
      <c r="A97" s="418" t="s">
        <v>741</v>
      </c>
      <c r="B97" s="418" t="s">
        <v>2536</v>
      </c>
      <c r="D97" s="423"/>
      <c r="E97" s="423"/>
      <c r="F97" s="423"/>
      <c r="G97" s="423"/>
      <c r="H97" s="423"/>
      <c r="I97" s="423"/>
      <c r="J97" s="423"/>
      <c r="K97" s="423"/>
      <c r="L97" s="423"/>
      <c r="M97" s="423"/>
      <c r="N97" s="423"/>
      <c r="O97" s="423"/>
      <c r="P97" s="423"/>
      <c r="Q97" s="423">
        <v>0</v>
      </c>
      <c r="R97" s="423">
        <v>0</v>
      </c>
      <c r="S97" s="423"/>
      <c r="U97" s="423">
        <f>L97</f>
        <v>0</v>
      </c>
      <c r="V97" s="423">
        <f>M97-U97</f>
        <v>0</v>
      </c>
      <c r="W97" s="423">
        <f>N97-M97</f>
        <v>0</v>
      </c>
      <c r="X97" s="423">
        <f>O97-N97</f>
        <v>0</v>
      </c>
      <c r="Y97" s="423">
        <f>P97</f>
        <v>0</v>
      </c>
      <c r="Z97" s="423">
        <f>Q97-Y97</f>
        <v>0</v>
      </c>
      <c r="AA97" s="423">
        <f t="shared" si="84"/>
        <v>0</v>
      </c>
    </row>
    <row r="98" spans="1:27" outlineLevel="1">
      <c r="A98" s="418" t="s">
        <v>742</v>
      </c>
      <c r="B98" s="418" t="s">
        <v>743</v>
      </c>
      <c r="D98" s="423">
        <v>0</v>
      </c>
      <c r="E98" s="423">
        <v>0</v>
      </c>
      <c r="F98" s="423">
        <v>0</v>
      </c>
      <c r="G98" s="423">
        <v>70</v>
      </c>
      <c r="H98" s="423">
        <v>6</v>
      </c>
      <c r="I98" s="423">
        <v>10</v>
      </c>
      <c r="J98" s="423">
        <v>5519</v>
      </c>
      <c r="K98" s="423">
        <v>14057</v>
      </c>
      <c r="L98" s="423">
        <v>15</v>
      </c>
      <c r="M98" s="423">
        <v>107</v>
      </c>
      <c r="N98" s="423">
        <v>1842</v>
      </c>
      <c r="O98" s="423">
        <v>1864</v>
      </c>
      <c r="P98" s="423">
        <v>24666</v>
      </c>
      <c r="Q98" s="423">
        <v>94</v>
      </c>
      <c r="R98" s="423">
        <v>1247</v>
      </c>
      <c r="S98" s="423"/>
      <c r="U98" s="423">
        <f t="shared" si="79"/>
        <v>15</v>
      </c>
      <c r="V98" s="423">
        <f t="shared" si="80"/>
        <v>92</v>
      </c>
      <c r="W98" s="423">
        <f t="shared" si="81"/>
        <v>1735</v>
      </c>
      <c r="X98" s="423">
        <f t="shared" si="81"/>
        <v>22</v>
      </c>
      <c r="Y98" s="423">
        <f t="shared" si="82"/>
        <v>24666</v>
      </c>
      <c r="Z98" s="423">
        <f t="shared" si="83"/>
        <v>-24572</v>
      </c>
      <c r="AA98" s="423">
        <f t="shared" si="84"/>
        <v>1153</v>
      </c>
    </row>
    <row r="99" spans="1:27">
      <c r="A99" s="417" t="s">
        <v>744</v>
      </c>
      <c r="B99" s="417" t="s">
        <v>745</v>
      </c>
      <c r="D99" s="422">
        <f t="shared" ref="D99:I99" si="85">SUM(D100:D109)</f>
        <v>-242120</v>
      </c>
      <c r="E99" s="422">
        <f t="shared" si="85"/>
        <v>-642388</v>
      </c>
      <c r="F99" s="422">
        <f t="shared" si="85"/>
        <v>-772595</v>
      </c>
      <c r="G99" s="422">
        <f t="shared" si="85"/>
        <v>-968696</v>
      </c>
      <c r="H99" s="422">
        <f t="shared" si="85"/>
        <v>-293333</v>
      </c>
      <c r="I99" s="422">
        <f t="shared" si="85"/>
        <v>-563283</v>
      </c>
      <c r="J99" s="422">
        <f t="shared" ref="J99:R99" si="86">SUM(J100:J109)</f>
        <v>-739754</v>
      </c>
      <c r="K99" s="422">
        <f t="shared" si="86"/>
        <v>-950126</v>
      </c>
      <c r="L99" s="422">
        <f t="shared" si="86"/>
        <v>-252292</v>
      </c>
      <c r="M99" s="422">
        <f t="shared" si="86"/>
        <v>-492448</v>
      </c>
      <c r="N99" s="422">
        <f t="shared" si="86"/>
        <v>-708587</v>
      </c>
      <c r="O99" s="422">
        <f t="shared" si="86"/>
        <v>-998971</v>
      </c>
      <c r="P99" s="422">
        <f t="shared" si="86"/>
        <v>-348716</v>
      </c>
      <c r="Q99" s="422">
        <f t="shared" si="86"/>
        <v>-620904</v>
      </c>
      <c r="R99" s="422">
        <f t="shared" si="86"/>
        <v>-828596</v>
      </c>
      <c r="S99" s="422"/>
      <c r="U99" s="422">
        <f t="shared" ref="U99:AA99" si="87">SUM(U100:U109)</f>
        <v>-252292</v>
      </c>
      <c r="V99" s="422">
        <f t="shared" si="87"/>
        <v>-240156</v>
      </c>
      <c r="W99" s="422">
        <f t="shared" si="87"/>
        <v>-216139</v>
      </c>
      <c r="X99" s="422">
        <f t="shared" si="87"/>
        <v>-290384</v>
      </c>
      <c r="Y99" s="422">
        <f t="shared" si="87"/>
        <v>-348716</v>
      </c>
      <c r="Z99" s="422">
        <f t="shared" si="87"/>
        <v>-272188</v>
      </c>
      <c r="AA99" s="422">
        <f t="shared" si="87"/>
        <v>-207692</v>
      </c>
    </row>
    <row r="100" spans="1:27" outlineLevel="1">
      <c r="A100" s="418" t="s">
        <v>746</v>
      </c>
      <c r="B100" s="418" t="s">
        <v>747</v>
      </c>
      <c r="D100" s="423">
        <v>-162435</v>
      </c>
      <c r="E100" s="423">
        <v>-450869</v>
      </c>
      <c r="F100" s="423">
        <v>-567520</v>
      </c>
      <c r="G100" s="423">
        <v>-700222</v>
      </c>
      <c r="H100" s="423">
        <v>-206456</v>
      </c>
      <c r="I100" s="423">
        <v>-402209</v>
      </c>
      <c r="J100" s="423">
        <v>-550170</v>
      </c>
      <c r="K100" s="423">
        <v>-702395</v>
      </c>
      <c r="L100" s="423">
        <v>-173688</v>
      </c>
      <c r="M100" s="423">
        <v>-356495</v>
      </c>
      <c r="N100" s="423">
        <v>-550641</v>
      </c>
      <c r="O100" s="423">
        <v>-779390</v>
      </c>
      <c r="P100" s="423">
        <v>-187138</v>
      </c>
      <c r="Q100" s="423">
        <v>-374899</v>
      </c>
      <c r="R100" s="423">
        <v>-548841</v>
      </c>
      <c r="S100" s="423"/>
      <c r="U100" s="423">
        <f t="shared" ref="U100:U109" si="88">L100</f>
        <v>-173688</v>
      </c>
      <c r="V100" s="423">
        <f t="shared" ref="V100:V109" si="89">M100-U100</f>
        <v>-182807</v>
      </c>
      <c r="W100" s="423">
        <f t="shared" ref="W100:X109" si="90">N100-M100</f>
        <v>-194146</v>
      </c>
      <c r="X100" s="423">
        <f t="shared" si="90"/>
        <v>-228749</v>
      </c>
      <c r="Y100" s="423">
        <f t="shared" ref="Y100:Y109" si="91">P100</f>
        <v>-187138</v>
      </c>
      <c r="Z100" s="423">
        <f t="shared" ref="Z100:Z109" si="92">Q100-Y100</f>
        <v>-187761</v>
      </c>
      <c r="AA100" s="423">
        <f t="shared" si="84"/>
        <v>-173942</v>
      </c>
    </row>
    <row r="101" spans="1:27" outlineLevel="1">
      <c r="A101" s="418" t="s">
        <v>748</v>
      </c>
      <c r="B101" s="418" t="s">
        <v>749</v>
      </c>
      <c r="D101" s="423">
        <v>0</v>
      </c>
      <c r="E101" s="423">
        <v>0</v>
      </c>
      <c r="F101" s="423">
        <v>0</v>
      </c>
      <c r="G101" s="423">
        <v>0</v>
      </c>
      <c r="H101" s="423">
        <v>0</v>
      </c>
      <c r="I101" s="423">
        <v>0</v>
      </c>
      <c r="J101" s="423">
        <v>0</v>
      </c>
      <c r="K101" s="423">
        <v>0</v>
      </c>
      <c r="L101" s="423">
        <v>0</v>
      </c>
      <c r="M101" s="423">
        <v>0</v>
      </c>
      <c r="N101" s="423">
        <v>0</v>
      </c>
      <c r="O101" s="423">
        <v>0</v>
      </c>
      <c r="P101" s="423">
        <v>0</v>
      </c>
      <c r="Q101" s="423">
        <v>0</v>
      </c>
      <c r="R101" s="423">
        <v>0</v>
      </c>
      <c r="S101" s="423"/>
      <c r="U101" s="423">
        <f t="shared" si="88"/>
        <v>0</v>
      </c>
      <c r="V101" s="423">
        <f t="shared" si="89"/>
        <v>0</v>
      </c>
      <c r="W101" s="423">
        <f t="shared" si="90"/>
        <v>0</v>
      </c>
      <c r="X101" s="423">
        <f t="shared" si="90"/>
        <v>0</v>
      </c>
      <c r="Y101" s="423">
        <f t="shared" si="91"/>
        <v>0</v>
      </c>
      <c r="Z101" s="423">
        <f t="shared" si="92"/>
        <v>0</v>
      </c>
      <c r="AA101" s="423">
        <f t="shared" si="84"/>
        <v>0</v>
      </c>
    </row>
    <row r="102" spans="1:27" outlineLevel="1">
      <c r="A102" s="418" t="s">
        <v>750</v>
      </c>
      <c r="B102" s="418" t="s">
        <v>751</v>
      </c>
      <c r="D102" s="423">
        <v>-70136</v>
      </c>
      <c r="E102" s="423">
        <v>-169473</v>
      </c>
      <c r="F102" s="423">
        <v>-155785</v>
      </c>
      <c r="G102" s="423">
        <v>-194704</v>
      </c>
      <c r="H102" s="423">
        <v>-69817</v>
      </c>
      <c r="I102" s="423">
        <v>-122994</v>
      </c>
      <c r="J102" s="423">
        <v>-133876</v>
      </c>
      <c r="K102" s="423">
        <v>-166313</v>
      </c>
      <c r="L102" s="423">
        <v>-59379</v>
      </c>
      <c r="M102" s="423">
        <v>-96418</v>
      </c>
      <c r="N102" s="423">
        <v>-123874</v>
      </c>
      <c r="O102" s="423">
        <v>-168685</v>
      </c>
      <c r="P102" s="423">
        <v>-112836</v>
      </c>
      <c r="Q102" s="423">
        <v>-200321</v>
      </c>
      <c r="R102" s="423">
        <v>-211158</v>
      </c>
      <c r="S102" s="423"/>
      <c r="U102" s="423">
        <f t="shared" si="88"/>
        <v>-59379</v>
      </c>
      <c r="V102" s="423">
        <f t="shared" si="89"/>
        <v>-37039</v>
      </c>
      <c r="W102" s="423">
        <f t="shared" si="90"/>
        <v>-27456</v>
      </c>
      <c r="X102" s="423">
        <f t="shared" si="90"/>
        <v>-44811</v>
      </c>
      <c r="Y102" s="423">
        <f t="shared" si="91"/>
        <v>-112836</v>
      </c>
      <c r="Z102" s="423">
        <f t="shared" si="92"/>
        <v>-87485</v>
      </c>
      <c r="AA102" s="423">
        <f t="shared" si="84"/>
        <v>-10837</v>
      </c>
    </row>
    <row r="103" spans="1:27" outlineLevel="1">
      <c r="A103" s="418" t="s">
        <v>741</v>
      </c>
      <c r="B103" s="418" t="s">
        <v>2536</v>
      </c>
      <c r="D103" s="423"/>
      <c r="E103" s="423"/>
      <c r="F103" s="423"/>
      <c r="G103" s="423"/>
      <c r="H103" s="423"/>
      <c r="I103" s="423"/>
      <c r="J103" s="423"/>
      <c r="K103" s="423"/>
      <c r="L103" s="423"/>
      <c r="M103" s="423"/>
      <c r="N103" s="423"/>
      <c r="O103" s="423"/>
      <c r="P103" s="423"/>
      <c r="Q103" s="423">
        <v>0</v>
      </c>
      <c r="R103" s="423">
        <v>0</v>
      </c>
      <c r="S103" s="423"/>
      <c r="U103" s="423">
        <f>L103</f>
        <v>0</v>
      </c>
      <c r="V103" s="423">
        <f>M103-U103</f>
        <v>0</v>
      </c>
      <c r="W103" s="423">
        <f>N103-M103</f>
        <v>0</v>
      </c>
      <c r="X103" s="423">
        <f>O103-N103</f>
        <v>0</v>
      </c>
      <c r="Y103" s="423">
        <f>P103</f>
        <v>0</v>
      </c>
      <c r="Z103" s="423">
        <f>Q103-Y103</f>
        <v>0</v>
      </c>
      <c r="AA103" s="423">
        <f t="shared" si="84"/>
        <v>0</v>
      </c>
    </row>
    <row r="104" spans="1:27" outlineLevel="1">
      <c r="A104" s="418" t="s">
        <v>752</v>
      </c>
      <c r="B104" s="418" t="s">
        <v>753</v>
      </c>
      <c r="D104" s="423">
        <v>0</v>
      </c>
      <c r="E104" s="423">
        <v>0</v>
      </c>
      <c r="F104" s="423">
        <v>0</v>
      </c>
      <c r="G104" s="423">
        <v>0</v>
      </c>
      <c r="H104" s="423">
        <v>0</v>
      </c>
      <c r="I104" s="423">
        <v>0</v>
      </c>
      <c r="J104" s="423">
        <v>0</v>
      </c>
      <c r="K104" s="423">
        <v>0</v>
      </c>
      <c r="L104" s="423">
        <v>0</v>
      </c>
      <c r="M104" s="423">
        <v>0</v>
      </c>
      <c r="N104" s="423">
        <v>0</v>
      </c>
      <c r="O104" s="423">
        <v>0</v>
      </c>
      <c r="P104" s="423">
        <v>0</v>
      </c>
      <c r="Q104" s="423">
        <v>0</v>
      </c>
      <c r="R104" s="423">
        <v>0</v>
      </c>
      <c r="S104" s="423"/>
      <c r="U104" s="423">
        <f>L104</f>
        <v>0</v>
      </c>
      <c r="V104" s="423">
        <f>M104-U104</f>
        <v>0</v>
      </c>
      <c r="W104" s="423">
        <f>N104-M104</f>
        <v>0</v>
      </c>
      <c r="X104" s="423">
        <f>O104-N104</f>
        <v>0</v>
      </c>
      <c r="Y104" s="423">
        <f>P104</f>
        <v>0</v>
      </c>
      <c r="Z104" s="423">
        <f>Q104-Y104</f>
        <v>0</v>
      </c>
      <c r="AA104" s="423">
        <f t="shared" si="84"/>
        <v>0</v>
      </c>
    </row>
    <row r="105" spans="1:27" outlineLevel="1">
      <c r="A105" s="418" t="s">
        <v>754</v>
      </c>
      <c r="B105" s="418" t="s">
        <v>755</v>
      </c>
      <c r="D105" s="423">
        <v>0</v>
      </c>
      <c r="E105" s="423">
        <v>0</v>
      </c>
      <c r="F105" s="423">
        <v>0</v>
      </c>
      <c r="G105" s="423">
        <v>0</v>
      </c>
      <c r="H105" s="423">
        <v>0</v>
      </c>
      <c r="I105" s="423">
        <v>0</v>
      </c>
      <c r="J105" s="423">
        <v>0</v>
      </c>
      <c r="K105" s="423">
        <v>0</v>
      </c>
      <c r="L105" s="423">
        <v>0</v>
      </c>
      <c r="M105" s="423">
        <v>0</v>
      </c>
      <c r="N105" s="423">
        <v>0</v>
      </c>
      <c r="O105" s="423">
        <v>0</v>
      </c>
      <c r="P105" s="423">
        <v>0</v>
      </c>
      <c r="Q105" s="423">
        <v>0</v>
      </c>
      <c r="R105" s="423">
        <v>0</v>
      </c>
      <c r="S105" s="423"/>
      <c r="U105" s="423">
        <f t="shared" si="88"/>
        <v>0</v>
      </c>
      <c r="V105" s="423">
        <f t="shared" si="89"/>
        <v>0</v>
      </c>
      <c r="W105" s="423">
        <f t="shared" si="90"/>
        <v>0</v>
      </c>
      <c r="X105" s="423">
        <f t="shared" si="90"/>
        <v>0</v>
      </c>
      <c r="Y105" s="423">
        <f t="shared" si="91"/>
        <v>0</v>
      </c>
      <c r="Z105" s="423">
        <f t="shared" si="92"/>
        <v>0</v>
      </c>
      <c r="AA105" s="423">
        <f t="shared" si="84"/>
        <v>0</v>
      </c>
    </row>
    <row r="106" spans="1:27" outlineLevel="1">
      <c r="A106" s="418" t="s">
        <v>756</v>
      </c>
      <c r="B106" s="418" t="s">
        <v>757</v>
      </c>
      <c r="D106" s="423">
        <v>-7</v>
      </c>
      <c r="E106" s="423">
        <v>-9</v>
      </c>
      <c r="F106" s="423">
        <v>-32</v>
      </c>
      <c r="G106" s="423">
        <v>-37</v>
      </c>
      <c r="H106" s="423">
        <v>-3</v>
      </c>
      <c r="I106" s="423">
        <v>-317</v>
      </c>
      <c r="J106" s="423">
        <v>-330</v>
      </c>
      <c r="K106" s="423">
        <v>-331</v>
      </c>
      <c r="L106" s="423">
        <v>-13</v>
      </c>
      <c r="M106" s="423">
        <v>-14</v>
      </c>
      <c r="N106" s="423">
        <v>-384</v>
      </c>
      <c r="O106" s="423">
        <v>-386</v>
      </c>
      <c r="P106" s="423">
        <v>-1</v>
      </c>
      <c r="Q106" s="423">
        <v>-2</v>
      </c>
      <c r="R106" s="423">
        <v>-2</v>
      </c>
      <c r="S106" s="423"/>
      <c r="U106" s="423">
        <f t="shared" si="88"/>
        <v>-13</v>
      </c>
      <c r="V106" s="423">
        <f t="shared" si="89"/>
        <v>-1</v>
      </c>
      <c r="W106" s="423">
        <f t="shared" si="90"/>
        <v>-370</v>
      </c>
      <c r="X106" s="423">
        <f t="shared" si="90"/>
        <v>-2</v>
      </c>
      <c r="Y106" s="423">
        <f t="shared" si="91"/>
        <v>-1</v>
      </c>
      <c r="Z106" s="423">
        <f t="shared" si="92"/>
        <v>-1</v>
      </c>
      <c r="AA106" s="423">
        <f t="shared" si="84"/>
        <v>0</v>
      </c>
    </row>
    <row r="107" spans="1:27" outlineLevel="1">
      <c r="A107" s="418" t="s">
        <v>758</v>
      </c>
      <c r="B107" s="418" t="s">
        <v>759</v>
      </c>
      <c r="D107" s="423">
        <v>0</v>
      </c>
      <c r="E107" s="423">
        <v>0</v>
      </c>
      <c r="F107" s="423">
        <v>0</v>
      </c>
      <c r="G107" s="423">
        <v>0</v>
      </c>
      <c r="H107" s="423">
        <v>0</v>
      </c>
      <c r="I107" s="423">
        <v>0</v>
      </c>
      <c r="J107" s="423">
        <v>0</v>
      </c>
      <c r="K107" s="423">
        <v>0</v>
      </c>
      <c r="L107" s="423">
        <v>0</v>
      </c>
      <c r="M107" s="423">
        <v>0</v>
      </c>
      <c r="N107" s="423">
        <v>0</v>
      </c>
      <c r="O107" s="423">
        <v>0</v>
      </c>
      <c r="P107" s="423">
        <v>0</v>
      </c>
      <c r="Q107" s="423">
        <v>0</v>
      </c>
      <c r="R107" s="423">
        <v>0</v>
      </c>
      <c r="S107" s="423"/>
      <c r="U107" s="423">
        <f t="shared" si="88"/>
        <v>0</v>
      </c>
      <c r="V107" s="423">
        <f t="shared" si="89"/>
        <v>0</v>
      </c>
      <c r="W107" s="423">
        <f t="shared" si="90"/>
        <v>0</v>
      </c>
      <c r="X107" s="423">
        <f t="shared" si="90"/>
        <v>0</v>
      </c>
      <c r="Y107" s="423">
        <f t="shared" si="91"/>
        <v>0</v>
      </c>
      <c r="Z107" s="423">
        <f t="shared" si="92"/>
        <v>0</v>
      </c>
      <c r="AA107" s="423">
        <f t="shared" si="84"/>
        <v>0</v>
      </c>
    </row>
    <row r="108" spans="1:27" outlineLevel="1">
      <c r="A108" s="418" t="s">
        <v>760</v>
      </c>
      <c r="B108" s="418" t="s">
        <v>761</v>
      </c>
      <c r="D108" s="423">
        <v>-125</v>
      </c>
      <c r="E108" s="423">
        <v>-310</v>
      </c>
      <c r="F108" s="423">
        <v>-561</v>
      </c>
      <c r="G108" s="423">
        <v>-736</v>
      </c>
      <c r="H108" s="423">
        <v>-331</v>
      </c>
      <c r="I108" s="423">
        <v>-696</v>
      </c>
      <c r="J108" s="423">
        <v>-1117</v>
      </c>
      <c r="K108" s="423">
        <v>-1531</v>
      </c>
      <c r="L108" s="423">
        <v>-429</v>
      </c>
      <c r="M108" s="423">
        <v>-851</v>
      </c>
      <c r="N108" s="423">
        <v>963</v>
      </c>
      <c r="O108" s="423">
        <v>870</v>
      </c>
      <c r="P108" s="423">
        <v>-128</v>
      </c>
      <c r="Q108" s="423">
        <v>-171</v>
      </c>
      <c r="R108" s="423">
        <v>-203</v>
      </c>
      <c r="S108" s="423"/>
      <c r="U108" s="423">
        <f t="shared" si="88"/>
        <v>-429</v>
      </c>
      <c r="V108" s="423">
        <f t="shared" si="89"/>
        <v>-422</v>
      </c>
      <c r="W108" s="423">
        <f t="shared" si="90"/>
        <v>1814</v>
      </c>
      <c r="X108" s="423">
        <f t="shared" si="90"/>
        <v>-93</v>
      </c>
      <c r="Y108" s="423">
        <f t="shared" si="91"/>
        <v>-128</v>
      </c>
      <c r="Z108" s="423">
        <f t="shared" si="92"/>
        <v>-43</v>
      </c>
      <c r="AA108" s="423">
        <f t="shared" si="84"/>
        <v>-32</v>
      </c>
    </row>
    <row r="109" spans="1:27" outlineLevel="1">
      <c r="A109" s="418" t="s">
        <v>762</v>
      </c>
      <c r="B109" s="418" t="s">
        <v>763</v>
      </c>
      <c r="D109" s="423">
        <v>-9417</v>
      </c>
      <c r="E109" s="423">
        <v>-21727</v>
      </c>
      <c r="F109" s="423">
        <v>-48697</v>
      </c>
      <c r="G109" s="423">
        <v>-72997</v>
      </c>
      <c r="H109" s="423">
        <v>-16726</v>
      </c>
      <c r="I109" s="423">
        <v>-37067</v>
      </c>
      <c r="J109" s="423">
        <v>-54261</v>
      </c>
      <c r="K109" s="423">
        <v>-79556</v>
      </c>
      <c r="L109" s="423">
        <v>-18783</v>
      </c>
      <c r="M109" s="423">
        <v>-38670</v>
      </c>
      <c r="N109" s="423">
        <v>-34651</v>
      </c>
      <c r="O109" s="423">
        <v>-51380</v>
      </c>
      <c r="P109" s="423">
        <v>-48613</v>
      </c>
      <c r="Q109" s="423">
        <v>-45511</v>
      </c>
      <c r="R109" s="423">
        <v>-68392</v>
      </c>
      <c r="S109" s="423"/>
      <c r="U109" s="423">
        <f t="shared" si="88"/>
        <v>-18783</v>
      </c>
      <c r="V109" s="423">
        <f t="shared" si="89"/>
        <v>-19887</v>
      </c>
      <c r="W109" s="423">
        <f t="shared" si="90"/>
        <v>4019</v>
      </c>
      <c r="X109" s="423">
        <f t="shared" si="90"/>
        <v>-16729</v>
      </c>
      <c r="Y109" s="423">
        <f t="shared" si="91"/>
        <v>-48613</v>
      </c>
      <c r="Z109" s="423">
        <f t="shared" si="92"/>
        <v>3102</v>
      </c>
      <c r="AA109" s="423">
        <f t="shared" si="84"/>
        <v>-22881</v>
      </c>
    </row>
    <row r="110" spans="1:27">
      <c r="A110" s="417"/>
      <c r="B110" s="417"/>
      <c r="D110" s="417"/>
      <c r="E110" s="417"/>
      <c r="F110" s="417"/>
      <c r="G110" s="417"/>
      <c r="H110" s="417"/>
      <c r="I110" s="417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U110" s="417"/>
      <c r="V110" s="417"/>
      <c r="W110" s="417"/>
      <c r="X110" s="417"/>
      <c r="Y110" s="417"/>
      <c r="Z110" s="417"/>
      <c r="AA110" s="417"/>
    </row>
    <row r="111" spans="1:27">
      <c r="A111" s="429" t="s">
        <v>764</v>
      </c>
      <c r="B111" s="429" t="s">
        <v>765</v>
      </c>
      <c r="D111" s="420">
        <f t="shared" ref="D111:I111" si="93">D85+D87</f>
        <v>142939</v>
      </c>
      <c r="E111" s="420">
        <f t="shared" si="93"/>
        <v>26590</v>
      </c>
      <c r="F111" s="420">
        <f t="shared" si="93"/>
        <v>348791</v>
      </c>
      <c r="G111" s="420">
        <f t="shared" si="93"/>
        <v>583512</v>
      </c>
      <c r="H111" s="420">
        <f t="shared" si="93"/>
        <v>66211</v>
      </c>
      <c r="I111" s="420">
        <f t="shared" si="93"/>
        <v>174654</v>
      </c>
      <c r="J111" s="420">
        <f t="shared" ref="J111:R111" si="94">J85+J87</f>
        <v>468394</v>
      </c>
      <c r="K111" s="420">
        <f t="shared" si="94"/>
        <v>757155</v>
      </c>
      <c r="L111" s="420">
        <f t="shared" si="94"/>
        <v>129886</v>
      </c>
      <c r="M111" s="420">
        <f t="shared" si="94"/>
        <v>267480</v>
      </c>
      <c r="N111" s="420">
        <f t="shared" si="94"/>
        <v>710983</v>
      </c>
      <c r="O111" s="420">
        <f t="shared" si="94"/>
        <v>1063524</v>
      </c>
      <c r="P111" s="420">
        <f t="shared" si="94"/>
        <v>74115</v>
      </c>
      <c r="Q111" s="420">
        <f t="shared" si="94"/>
        <v>195673</v>
      </c>
      <c r="R111" s="420">
        <f t="shared" si="94"/>
        <v>475995</v>
      </c>
      <c r="S111" s="420"/>
      <c r="U111" s="420">
        <f t="shared" ref="U111:AA111" si="95">U85+U87</f>
        <v>129886</v>
      </c>
      <c r="V111" s="420">
        <f t="shared" si="95"/>
        <v>137594</v>
      </c>
      <c r="W111" s="420">
        <f t="shared" si="95"/>
        <v>443503</v>
      </c>
      <c r="X111" s="420">
        <f t="shared" si="95"/>
        <v>352541</v>
      </c>
      <c r="Y111" s="420">
        <f t="shared" si="95"/>
        <v>74115</v>
      </c>
      <c r="Z111" s="420">
        <f t="shared" si="95"/>
        <v>121558</v>
      </c>
      <c r="AA111" s="420">
        <f t="shared" si="95"/>
        <v>280322</v>
      </c>
    </row>
    <row r="113" spans="1:27">
      <c r="A113" s="416" t="s">
        <v>766</v>
      </c>
      <c r="B113" s="416" t="s">
        <v>767</v>
      </c>
      <c r="D113" s="424">
        <f t="shared" ref="D113:I113" si="96">SUM(D115:D118)</f>
        <v>-57709</v>
      </c>
      <c r="E113" s="424">
        <f t="shared" si="96"/>
        <v>-102014</v>
      </c>
      <c r="F113" s="424">
        <f t="shared" si="96"/>
        <v>-167871</v>
      </c>
      <c r="G113" s="424">
        <f t="shared" si="96"/>
        <v>-234381</v>
      </c>
      <c r="H113" s="424">
        <f t="shared" si="96"/>
        <v>-57302</v>
      </c>
      <c r="I113" s="424">
        <f t="shared" si="96"/>
        <v>-118393</v>
      </c>
      <c r="J113" s="424">
        <f t="shared" ref="J113:R113" si="97">SUM(J115:J118)</f>
        <v>-196507</v>
      </c>
      <c r="K113" s="424">
        <f t="shared" si="97"/>
        <v>-254368</v>
      </c>
      <c r="L113" s="424">
        <f t="shared" si="97"/>
        <v>-62114</v>
      </c>
      <c r="M113" s="424">
        <f t="shared" si="97"/>
        <v>-123366</v>
      </c>
      <c r="N113" s="424">
        <f t="shared" si="97"/>
        <v>-266993</v>
      </c>
      <c r="O113" s="424">
        <f t="shared" si="97"/>
        <v>-289509</v>
      </c>
      <c r="P113" s="424">
        <f t="shared" si="97"/>
        <v>-63228</v>
      </c>
      <c r="Q113" s="424">
        <f t="shared" si="97"/>
        <v>-134886</v>
      </c>
      <c r="R113" s="424">
        <f t="shared" si="97"/>
        <v>-214726</v>
      </c>
      <c r="S113" s="424"/>
      <c r="U113" s="424">
        <f t="shared" ref="U113:AA113" si="98">SUM(U115:U118)</f>
        <v>-62114</v>
      </c>
      <c r="V113" s="424">
        <f t="shared" si="98"/>
        <v>-61252</v>
      </c>
      <c r="W113" s="424">
        <f t="shared" si="98"/>
        <v>-143627</v>
      </c>
      <c r="X113" s="424">
        <f t="shared" si="98"/>
        <v>-22516</v>
      </c>
      <c r="Y113" s="424">
        <f t="shared" si="98"/>
        <v>-63228</v>
      </c>
      <c r="Z113" s="424">
        <f t="shared" si="98"/>
        <v>-71658</v>
      </c>
      <c r="AA113" s="424">
        <f t="shared" si="98"/>
        <v>-79840</v>
      </c>
    </row>
    <row r="114" spans="1:27">
      <c r="A114" s="417"/>
      <c r="B114" s="417"/>
      <c r="D114" s="417"/>
      <c r="E114" s="417"/>
      <c r="F114" s="417"/>
      <c r="G114" s="417"/>
      <c r="H114" s="417"/>
      <c r="I114" s="417"/>
      <c r="J114" s="417"/>
      <c r="K114" s="417"/>
      <c r="L114" s="417"/>
      <c r="M114" s="417"/>
      <c r="N114" s="417"/>
      <c r="P114" s="417"/>
      <c r="Q114" s="417"/>
      <c r="R114" s="417"/>
      <c r="S114" s="417"/>
      <c r="U114" s="417"/>
      <c r="V114" s="417"/>
      <c r="W114" s="417"/>
      <c r="Y114" s="417"/>
      <c r="Z114" s="417"/>
      <c r="AA114" s="417"/>
    </row>
    <row r="115" spans="1:27">
      <c r="A115" s="417" t="s">
        <v>768</v>
      </c>
      <c r="B115" s="417" t="s">
        <v>769</v>
      </c>
      <c r="D115" s="425">
        <v>-5871</v>
      </c>
      <c r="E115" s="425">
        <v>-11785</v>
      </c>
      <c r="F115" s="425">
        <v>-32193</v>
      </c>
      <c r="G115" s="425">
        <v>-51219</v>
      </c>
      <c r="H115" s="425">
        <v>-14149</v>
      </c>
      <c r="I115" s="425">
        <v>-29347</v>
      </c>
      <c r="J115" s="425">
        <v>-54964</v>
      </c>
      <c r="K115" s="425">
        <v>-68861</v>
      </c>
      <c r="L115" s="425">
        <v>-12991</v>
      </c>
      <c r="M115" s="425">
        <v>-28752</v>
      </c>
      <c r="N115" s="425">
        <v>-46088</v>
      </c>
      <c r="O115" s="425">
        <v>-63500</v>
      </c>
      <c r="P115" s="425">
        <v>-16503</v>
      </c>
      <c r="Q115" s="425">
        <v>-34552</v>
      </c>
      <c r="R115" s="425">
        <v>-59800</v>
      </c>
      <c r="S115" s="425"/>
      <c r="U115" s="425">
        <f>L115</f>
        <v>-12991</v>
      </c>
      <c r="V115" s="425">
        <f>M115-U115</f>
        <v>-15761</v>
      </c>
      <c r="W115" s="425">
        <f t="shared" ref="W115:X118" si="99">N115-M115</f>
        <v>-17336</v>
      </c>
      <c r="X115" s="425">
        <f t="shared" si="99"/>
        <v>-17412</v>
      </c>
      <c r="Y115" s="425">
        <f>P115</f>
        <v>-16503</v>
      </c>
      <c r="Z115" s="425">
        <f t="shared" ref="Z115:Z118" si="100">Q115-Y115</f>
        <v>-18049</v>
      </c>
      <c r="AA115" s="425">
        <f t="shared" ref="AA115:AA118" si="101">R115-Q115</f>
        <v>-25248</v>
      </c>
    </row>
    <row r="116" spans="1:27">
      <c r="A116" s="417" t="s">
        <v>770</v>
      </c>
      <c r="B116" s="417" t="s">
        <v>771</v>
      </c>
      <c r="D116" s="425">
        <v>-20563</v>
      </c>
      <c r="E116" s="425">
        <v>-35123</v>
      </c>
      <c r="F116" s="425">
        <v>-97962</v>
      </c>
      <c r="G116" s="425">
        <v>-151709</v>
      </c>
      <c r="H116" s="425">
        <v>-39939</v>
      </c>
      <c r="I116" s="425">
        <v>-83053</v>
      </c>
      <c r="J116" s="425">
        <v>-147700</v>
      </c>
      <c r="K116" s="425">
        <v>-199191</v>
      </c>
      <c r="L116" s="425">
        <v>-39571</v>
      </c>
      <c r="M116" s="425">
        <v>-86980</v>
      </c>
      <c r="N116" s="425">
        <v>-133355</v>
      </c>
      <c r="O116" s="425">
        <v>-180621</v>
      </c>
      <c r="P116" s="425">
        <v>-43326</v>
      </c>
      <c r="Q116" s="425">
        <v>-91052</v>
      </c>
      <c r="R116" s="425">
        <v>-158634</v>
      </c>
      <c r="S116" s="425"/>
      <c r="U116" s="425">
        <f>L116</f>
        <v>-39571</v>
      </c>
      <c r="V116" s="425">
        <f>M116-U116</f>
        <v>-47409</v>
      </c>
      <c r="W116" s="425">
        <f t="shared" si="99"/>
        <v>-46375</v>
      </c>
      <c r="X116" s="425">
        <f t="shared" si="99"/>
        <v>-47266</v>
      </c>
      <c r="Y116" s="425">
        <f>P116</f>
        <v>-43326</v>
      </c>
      <c r="Z116" s="425">
        <f t="shared" si="100"/>
        <v>-47726</v>
      </c>
      <c r="AA116" s="425">
        <f t="shared" si="101"/>
        <v>-67582</v>
      </c>
    </row>
    <row r="117" spans="1:27">
      <c r="A117" s="417" t="s">
        <v>772</v>
      </c>
      <c r="B117" s="417" t="s">
        <v>773</v>
      </c>
      <c r="D117" s="425">
        <v>16302</v>
      </c>
      <c r="E117" s="425">
        <v>23318</v>
      </c>
      <c r="F117" s="425">
        <v>72882</v>
      </c>
      <c r="G117" s="425">
        <v>111083</v>
      </c>
      <c r="H117" s="425">
        <v>28185</v>
      </c>
      <c r="I117" s="425">
        <v>59572</v>
      </c>
      <c r="J117" s="425">
        <v>102932</v>
      </c>
      <c r="K117" s="425">
        <v>146399</v>
      </c>
      <c r="L117" s="425">
        <v>28667</v>
      </c>
      <c r="M117" s="425">
        <v>65569</v>
      </c>
      <c r="N117" s="425">
        <v>101115</v>
      </c>
      <c r="O117" s="425">
        <v>134715</v>
      </c>
      <c r="P117" s="425">
        <v>31982</v>
      </c>
      <c r="Q117" s="425">
        <v>63247</v>
      </c>
      <c r="R117" s="425">
        <v>108717</v>
      </c>
      <c r="S117" s="425"/>
      <c r="U117" s="425">
        <f>L117</f>
        <v>28667</v>
      </c>
      <c r="V117" s="425">
        <f>M117-U117</f>
        <v>36902</v>
      </c>
      <c r="W117" s="425">
        <f t="shared" si="99"/>
        <v>35546</v>
      </c>
      <c r="X117" s="425">
        <f t="shared" si="99"/>
        <v>33600</v>
      </c>
      <c r="Y117" s="425">
        <f>P117</f>
        <v>31982</v>
      </c>
      <c r="Z117" s="425">
        <f t="shared" si="100"/>
        <v>31265</v>
      </c>
      <c r="AA117" s="425">
        <f t="shared" si="101"/>
        <v>45470</v>
      </c>
    </row>
    <row r="118" spans="1:27">
      <c r="A118" s="417" t="s">
        <v>774</v>
      </c>
      <c r="B118" s="417" t="s">
        <v>775</v>
      </c>
      <c r="D118" s="425">
        <v>-47577</v>
      </c>
      <c r="E118" s="425">
        <v>-78424</v>
      </c>
      <c r="F118" s="425">
        <v>-110598</v>
      </c>
      <c r="G118" s="425">
        <v>-142536</v>
      </c>
      <c r="H118" s="425">
        <v>-31399</v>
      </c>
      <c r="I118" s="425">
        <v>-65565</v>
      </c>
      <c r="J118" s="425">
        <v>-96775</v>
      </c>
      <c r="K118" s="425">
        <v>-132715</v>
      </c>
      <c r="L118" s="425">
        <v>-38219</v>
      </c>
      <c r="M118" s="425">
        <v>-73203</v>
      </c>
      <c r="N118" s="425">
        <v>-188665</v>
      </c>
      <c r="O118" s="425">
        <v>-180103</v>
      </c>
      <c r="P118" s="425">
        <v>-35381</v>
      </c>
      <c r="Q118" s="425">
        <v>-72529</v>
      </c>
      <c r="R118" s="425">
        <v>-105009</v>
      </c>
      <c r="S118" s="425"/>
      <c r="U118" s="425">
        <f>L118</f>
        <v>-38219</v>
      </c>
      <c r="V118" s="425">
        <f>M118-U118</f>
        <v>-34984</v>
      </c>
      <c r="W118" s="425">
        <f t="shared" si="99"/>
        <v>-115462</v>
      </c>
      <c r="X118" s="425">
        <f t="shared" si="99"/>
        <v>8562</v>
      </c>
      <c r="Y118" s="425">
        <f>P118</f>
        <v>-35381</v>
      </c>
      <c r="Z118" s="425">
        <f t="shared" si="100"/>
        <v>-37148</v>
      </c>
      <c r="AA118" s="425">
        <f t="shared" si="101"/>
        <v>-32480</v>
      </c>
    </row>
    <row r="119" spans="1:27">
      <c r="A119" s="417"/>
      <c r="B119" s="417"/>
      <c r="D119" s="417"/>
      <c r="E119" s="417"/>
      <c r="F119" s="417"/>
      <c r="G119" s="417"/>
      <c r="H119" s="417"/>
      <c r="I119" s="417"/>
      <c r="J119" s="417"/>
      <c r="K119" s="417"/>
      <c r="L119" s="417"/>
      <c r="M119" s="417"/>
      <c r="N119" s="417"/>
      <c r="O119" s="417"/>
      <c r="P119" s="417"/>
      <c r="Q119" s="417"/>
      <c r="R119" s="417"/>
      <c r="S119" s="417"/>
      <c r="U119" s="417"/>
      <c r="V119" s="417"/>
      <c r="W119" s="417"/>
      <c r="X119" s="417"/>
      <c r="Y119" s="417"/>
      <c r="Z119" s="417"/>
      <c r="AA119" s="417"/>
    </row>
    <row r="120" spans="1:27" ht="15" thickBot="1">
      <c r="A120" s="430" t="s">
        <v>776</v>
      </c>
      <c r="B120" s="430" t="s">
        <v>777</v>
      </c>
      <c r="D120" s="426">
        <f t="shared" ref="D120:I120" si="102">D111+D113</f>
        <v>85230</v>
      </c>
      <c r="E120" s="426">
        <f t="shared" si="102"/>
        <v>-75424</v>
      </c>
      <c r="F120" s="426">
        <f t="shared" si="102"/>
        <v>180920</v>
      </c>
      <c r="G120" s="426">
        <f t="shared" si="102"/>
        <v>349131</v>
      </c>
      <c r="H120" s="426">
        <f t="shared" si="102"/>
        <v>8909</v>
      </c>
      <c r="I120" s="426">
        <f t="shared" si="102"/>
        <v>56261</v>
      </c>
      <c r="J120" s="426">
        <f t="shared" ref="J120:R120" si="103">J111+J113</f>
        <v>271887</v>
      </c>
      <c r="K120" s="426">
        <f t="shared" si="103"/>
        <v>502787</v>
      </c>
      <c r="L120" s="426">
        <f t="shared" si="103"/>
        <v>67772</v>
      </c>
      <c r="M120" s="426">
        <f t="shared" si="103"/>
        <v>144114</v>
      </c>
      <c r="N120" s="426">
        <f t="shared" si="103"/>
        <v>443990</v>
      </c>
      <c r="O120" s="426">
        <f t="shared" si="103"/>
        <v>774015</v>
      </c>
      <c r="P120" s="426">
        <f t="shared" si="103"/>
        <v>10887</v>
      </c>
      <c r="Q120" s="426">
        <f t="shared" si="103"/>
        <v>60787</v>
      </c>
      <c r="R120" s="426">
        <f t="shared" si="103"/>
        <v>261269</v>
      </c>
      <c r="S120" s="426"/>
      <c r="U120" s="426">
        <f t="shared" ref="U120:AA120" si="104">U111+U113</f>
        <v>67772</v>
      </c>
      <c r="V120" s="426">
        <f t="shared" si="104"/>
        <v>76342</v>
      </c>
      <c r="W120" s="426">
        <f t="shared" si="104"/>
        <v>299876</v>
      </c>
      <c r="X120" s="426">
        <f t="shared" si="104"/>
        <v>330025</v>
      </c>
      <c r="Y120" s="426">
        <f t="shared" si="104"/>
        <v>10887</v>
      </c>
      <c r="Z120" s="426">
        <f t="shared" si="104"/>
        <v>49900</v>
      </c>
      <c r="AA120" s="426">
        <f t="shared" si="104"/>
        <v>200482</v>
      </c>
    </row>
    <row r="121" spans="1:27" ht="15" thickTop="1">
      <c r="A121" s="417"/>
      <c r="B121" s="417"/>
      <c r="D121" s="417"/>
      <c r="E121" s="417"/>
      <c r="F121" s="417"/>
      <c r="G121" s="417"/>
      <c r="H121" s="417"/>
      <c r="I121" s="417"/>
      <c r="J121" s="417"/>
      <c r="K121" s="417"/>
      <c r="L121" s="417"/>
      <c r="M121" s="417"/>
      <c r="N121" s="417"/>
      <c r="O121" s="417"/>
      <c r="P121" s="417"/>
      <c r="Q121" s="417"/>
      <c r="R121" s="417"/>
      <c r="S121" s="417"/>
      <c r="U121" s="417"/>
      <c r="V121" s="417"/>
      <c r="W121" s="417"/>
      <c r="X121" s="417"/>
      <c r="Y121" s="417"/>
      <c r="Z121" s="417"/>
      <c r="AA121" s="417"/>
    </row>
    <row r="122" spans="1:27">
      <c r="A122" s="416" t="s">
        <v>778</v>
      </c>
      <c r="B122" s="416" t="s">
        <v>779</v>
      </c>
      <c r="D122" s="425"/>
      <c r="E122" s="425"/>
      <c r="F122" s="425"/>
      <c r="G122" s="425"/>
      <c r="H122" s="425"/>
      <c r="I122" s="425"/>
      <c r="J122" s="425"/>
      <c r="K122" s="425"/>
      <c r="L122" s="425"/>
      <c r="M122" s="425"/>
      <c r="N122" s="425"/>
      <c r="O122" s="425"/>
      <c r="P122" s="425"/>
      <c r="Q122" s="425"/>
      <c r="R122" s="425"/>
      <c r="S122" s="425"/>
      <c r="U122" s="425"/>
      <c r="V122" s="425"/>
      <c r="W122" s="425"/>
      <c r="X122" s="425"/>
      <c r="Y122" s="425"/>
      <c r="Z122" s="425"/>
      <c r="AA122" s="425"/>
    </row>
    <row r="123" spans="1:27">
      <c r="A123" s="417" t="s">
        <v>780</v>
      </c>
      <c r="B123" s="417" t="s">
        <v>781</v>
      </c>
      <c r="D123" s="425">
        <f t="shared" ref="D123:I123" si="105">D120-D124</f>
        <v>85230</v>
      </c>
      <c r="E123" s="425">
        <f t="shared" si="105"/>
        <v>-75424</v>
      </c>
      <c r="F123" s="425">
        <f t="shared" si="105"/>
        <v>180920</v>
      </c>
      <c r="G123" s="425">
        <f t="shared" si="105"/>
        <v>349131</v>
      </c>
      <c r="H123" s="425">
        <f t="shared" si="105"/>
        <v>8909</v>
      </c>
      <c r="I123" s="425">
        <f t="shared" si="105"/>
        <v>56261</v>
      </c>
      <c r="J123" s="425">
        <f>J120-J124</f>
        <v>271887</v>
      </c>
      <c r="K123" s="425">
        <f>K120-K124</f>
        <v>502787</v>
      </c>
      <c r="L123" s="425">
        <v>67771</v>
      </c>
      <c r="M123" s="425">
        <v>144117</v>
      </c>
      <c r="N123" s="425">
        <v>443989</v>
      </c>
      <c r="O123" s="425">
        <v>774015</v>
      </c>
      <c r="P123" s="425">
        <v>10886</v>
      </c>
      <c r="Q123" s="425">
        <v>61100</v>
      </c>
      <c r="R123" s="425">
        <v>262196</v>
      </c>
      <c r="S123" s="425"/>
      <c r="U123" s="425">
        <f>L123</f>
        <v>67771</v>
      </c>
      <c r="V123" s="425">
        <f>M123-U123</f>
        <v>76346</v>
      </c>
      <c r="W123" s="425">
        <f>N123-M123</f>
        <v>299872</v>
      </c>
      <c r="X123" s="425">
        <f>O123-N123</f>
        <v>330026</v>
      </c>
      <c r="Y123" s="425">
        <f>P123</f>
        <v>10886</v>
      </c>
      <c r="Z123" s="425">
        <f>Q123-Y123</f>
        <v>50214</v>
      </c>
      <c r="AA123" s="425">
        <f>R123-Q123</f>
        <v>201096</v>
      </c>
    </row>
    <row r="124" spans="1:27">
      <c r="A124" s="417" t="s">
        <v>782</v>
      </c>
      <c r="B124" s="417" t="s">
        <v>783</v>
      </c>
      <c r="D124" s="425">
        <f t="shared" ref="D124:I124" si="106">D120*D129</f>
        <v>0</v>
      </c>
      <c r="E124" s="425">
        <f t="shared" si="106"/>
        <v>0</v>
      </c>
      <c r="F124" s="425">
        <f t="shared" si="106"/>
        <v>0</v>
      </c>
      <c r="G124" s="425">
        <f t="shared" si="106"/>
        <v>0</v>
      </c>
      <c r="H124" s="425">
        <f t="shared" si="106"/>
        <v>0</v>
      </c>
      <c r="I124" s="425">
        <f t="shared" si="106"/>
        <v>0</v>
      </c>
      <c r="J124" s="425">
        <f>J120*J129</f>
        <v>0</v>
      </c>
      <c r="K124" s="425">
        <f>K120*K129</f>
        <v>0</v>
      </c>
      <c r="L124" s="425">
        <v>0</v>
      </c>
      <c r="M124" s="425">
        <v>0</v>
      </c>
      <c r="N124" s="425">
        <v>0</v>
      </c>
      <c r="O124" s="425">
        <v>0</v>
      </c>
      <c r="P124" s="425">
        <v>0</v>
      </c>
      <c r="Q124" s="425">
        <v>-314</v>
      </c>
      <c r="R124" s="425">
        <v>-927</v>
      </c>
      <c r="S124" s="425"/>
      <c r="U124" s="425">
        <f>L124</f>
        <v>0</v>
      </c>
      <c r="V124" s="425">
        <f>M124-U124</f>
        <v>0</v>
      </c>
      <c r="W124" s="425">
        <f>N124-M124</f>
        <v>0</v>
      </c>
      <c r="X124" s="425">
        <f>O124-N124</f>
        <v>0</v>
      </c>
      <c r="Y124" s="425">
        <f>P124</f>
        <v>0</v>
      </c>
      <c r="Z124" s="425">
        <f>Q124-Y124</f>
        <v>-314</v>
      </c>
      <c r="AA124" s="425">
        <f>R124-Q124</f>
        <v>-613</v>
      </c>
    </row>
    <row r="125" spans="1:27">
      <c r="A125" s="417"/>
      <c r="B125" s="417"/>
      <c r="D125" s="417"/>
      <c r="E125" s="417"/>
      <c r="F125" s="417"/>
      <c r="G125" s="417"/>
      <c r="H125" s="417"/>
      <c r="I125" s="417"/>
      <c r="J125" s="417"/>
      <c r="K125" s="417"/>
      <c r="L125" s="417"/>
      <c r="M125" s="417"/>
      <c r="N125" s="417"/>
      <c r="P125" s="417"/>
      <c r="Q125" s="417"/>
      <c r="R125" s="417"/>
      <c r="S125" s="417"/>
      <c r="U125" s="417"/>
      <c r="V125" s="417"/>
      <c r="W125" s="417"/>
      <c r="X125" s="417"/>
      <c r="Y125" s="417"/>
      <c r="Z125" s="417"/>
      <c r="AA125" s="417"/>
    </row>
    <row r="126" spans="1:27" ht="15" thickBot="1">
      <c r="A126" s="430" t="s">
        <v>776</v>
      </c>
      <c r="B126" s="430" t="s">
        <v>777</v>
      </c>
      <c r="D126" s="426">
        <f t="shared" ref="D126:I126" si="107">SUM(D123:D124)</f>
        <v>85230</v>
      </c>
      <c r="E126" s="426">
        <f t="shared" si="107"/>
        <v>-75424</v>
      </c>
      <c r="F126" s="426">
        <f t="shared" si="107"/>
        <v>180920</v>
      </c>
      <c r="G126" s="426">
        <f t="shared" si="107"/>
        <v>349131</v>
      </c>
      <c r="H126" s="426">
        <f t="shared" si="107"/>
        <v>8909</v>
      </c>
      <c r="I126" s="426">
        <f t="shared" si="107"/>
        <v>56261</v>
      </c>
      <c r="J126" s="426">
        <f t="shared" ref="J126:R126" si="108">SUM(J123:J124)</f>
        <v>271887</v>
      </c>
      <c r="K126" s="426">
        <f t="shared" si="108"/>
        <v>502787</v>
      </c>
      <c r="L126" s="426">
        <f t="shared" si="108"/>
        <v>67771</v>
      </c>
      <c r="M126" s="426">
        <f t="shared" si="108"/>
        <v>144117</v>
      </c>
      <c r="N126" s="426">
        <f t="shared" si="108"/>
        <v>443989</v>
      </c>
      <c r="O126" s="426">
        <f t="shared" si="108"/>
        <v>774015</v>
      </c>
      <c r="P126" s="426">
        <f t="shared" si="108"/>
        <v>10886</v>
      </c>
      <c r="Q126" s="426">
        <f t="shared" si="108"/>
        <v>60786</v>
      </c>
      <c r="R126" s="426">
        <f t="shared" si="108"/>
        <v>261269</v>
      </c>
      <c r="S126" s="426"/>
      <c r="U126" s="426">
        <f t="shared" ref="U126:AA126" si="109">SUM(U123:U124)</f>
        <v>67771</v>
      </c>
      <c r="V126" s="426">
        <f t="shared" si="109"/>
        <v>76346</v>
      </c>
      <c r="W126" s="426">
        <f t="shared" si="109"/>
        <v>299872</v>
      </c>
      <c r="X126" s="426">
        <f t="shared" si="109"/>
        <v>330026</v>
      </c>
      <c r="Y126" s="426">
        <f t="shared" si="109"/>
        <v>10886</v>
      </c>
      <c r="Z126" s="426">
        <f t="shared" si="109"/>
        <v>49900</v>
      </c>
      <c r="AA126" s="426">
        <f t="shared" si="109"/>
        <v>200483</v>
      </c>
    </row>
    <row r="127" spans="1:27" ht="15" thickTop="1"/>
    <row r="128" spans="1:27" s="432" customFormat="1" ht="10.199999999999999">
      <c r="A128" s="431" t="s">
        <v>785</v>
      </c>
      <c r="B128" s="431" t="s">
        <v>786</v>
      </c>
      <c r="D128" s="433">
        <v>1</v>
      </c>
      <c r="E128" s="433">
        <v>1</v>
      </c>
      <c r="F128" s="433">
        <v>1</v>
      </c>
      <c r="G128" s="433">
        <v>1</v>
      </c>
      <c r="H128" s="433">
        <v>1</v>
      </c>
      <c r="I128" s="433">
        <v>1</v>
      </c>
      <c r="J128" s="433">
        <v>1</v>
      </c>
      <c r="K128" s="433">
        <v>1</v>
      </c>
      <c r="L128" s="433">
        <v>1</v>
      </c>
      <c r="M128" s="433">
        <v>1</v>
      </c>
      <c r="N128" s="433">
        <f t="shared" ref="N128:R129" si="110">M128</f>
        <v>1</v>
      </c>
      <c r="O128" s="433">
        <f t="shared" si="110"/>
        <v>1</v>
      </c>
      <c r="P128" s="433">
        <f t="shared" si="110"/>
        <v>1</v>
      </c>
      <c r="Q128" s="433">
        <f t="shared" si="110"/>
        <v>1</v>
      </c>
      <c r="R128" s="433">
        <f t="shared" si="110"/>
        <v>1</v>
      </c>
      <c r="U128" s="433">
        <f>L128</f>
        <v>1</v>
      </c>
      <c r="V128" s="433">
        <v>1</v>
      </c>
      <c r="W128" s="433">
        <f>V128</f>
        <v>1</v>
      </c>
      <c r="X128" s="433">
        <f>W128</f>
        <v>1</v>
      </c>
      <c r="Y128" s="433">
        <f>P128</f>
        <v>1</v>
      </c>
      <c r="Z128" s="433">
        <f>Y128</f>
        <v>1</v>
      </c>
      <c r="AA128" s="433">
        <f>Z128</f>
        <v>1</v>
      </c>
    </row>
    <row r="129" spans="1:27" s="432" customFormat="1" ht="10.199999999999999">
      <c r="A129" s="431" t="s">
        <v>787</v>
      </c>
      <c r="B129" s="431" t="s">
        <v>788</v>
      </c>
      <c r="D129" s="433">
        <v>0</v>
      </c>
      <c r="E129" s="433">
        <v>0</v>
      </c>
      <c r="F129" s="433">
        <v>0</v>
      </c>
      <c r="G129" s="433">
        <v>0</v>
      </c>
      <c r="H129" s="433">
        <v>0</v>
      </c>
      <c r="I129" s="433">
        <v>0</v>
      </c>
      <c r="J129" s="433">
        <v>0</v>
      </c>
      <c r="K129" s="433">
        <v>0</v>
      </c>
      <c r="L129" s="433">
        <v>0</v>
      </c>
      <c r="M129" s="433">
        <v>0</v>
      </c>
      <c r="N129" s="433">
        <f t="shared" si="110"/>
        <v>0</v>
      </c>
      <c r="O129" s="433">
        <f t="shared" si="110"/>
        <v>0</v>
      </c>
      <c r="P129" s="433">
        <f t="shared" si="110"/>
        <v>0</v>
      </c>
      <c r="Q129" s="433">
        <f t="shared" si="110"/>
        <v>0</v>
      </c>
      <c r="R129" s="433">
        <f t="shared" si="110"/>
        <v>0</v>
      </c>
      <c r="U129" s="433">
        <f>L129</f>
        <v>0</v>
      </c>
      <c r="V129" s="433">
        <v>0</v>
      </c>
      <c r="W129" s="433">
        <f>V129</f>
        <v>0</v>
      </c>
      <c r="X129" s="433">
        <f>W129</f>
        <v>0</v>
      </c>
      <c r="Y129" s="433">
        <f>P129</f>
        <v>0</v>
      </c>
      <c r="Z129" s="433">
        <f>Y129</f>
        <v>0</v>
      </c>
      <c r="AA129" s="433">
        <f>Z129</f>
        <v>0</v>
      </c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4:T126"/>
  <sheetViews>
    <sheetView showGridLines="0" zoomScale="85" zoomScaleNormal="85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4.4" outlineLevelRow="1"/>
  <cols>
    <col min="1" max="1" width="65.5546875" bestFit="1" customWidth="1"/>
    <col min="2" max="2" width="1.5546875" customWidth="1"/>
    <col min="3" max="11" width="15.21875" customWidth="1"/>
    <col min="12" max="18" width="15.21875" hidden="1" customWidth="1"/>
    <col min="19" max="19" width="1.5546875" customWidth="1"/>
    <col min="20" max="20" width="15.21875" customWidth="1"/>
  </cols>
  <sheetData>
    <row r="4" spans="1:20">
      <c r="A4" s="428" t="s">
        <v>833</v>
      </c>
      <c r="C4" s="427" t="s">
        <v>584</v>
      </c>
      <c r="D4" s="427" t="s">
        <v>585</v>
      </c>
      <c r="E4" s="427" t="s">
        <v>586</v>
      </c>
      <c r="F4" s="427">
        <v>2022</v>
      </c>
      <c r="G4" s="427" t="s">
        <v>587</v>
      </c>
      <c r="H4" s="427" t="s">
        <v>588</v>
      </c>
      <c r="I4" s="427" t="s">
        <v>589</v>
      </c>
      <c r="J4" s="427">
        <v>2023</v>
      </c>
      <c r="K4" s="427" t="s">
        <v>590</v>
      </c>
      <c r="L4" s="427" t="s">
        <v>591</v>
      </c>
      <c r="M4" s="427" t="s">
        <v>592</v>
      </c>
      <c r="N4" s="427">
        <v>2024</v>
      </c>
      <c r="O4" s="427" t="s">
        <v>593</v>
      </c>
      <c r="P4" s="427" t="s">
        <v>594</v>
      </c>
      <c r="Q4" s="427" t="s">
        <v>595</v>
      </c>
      <c r="R4" s="427">
        <v>2025</v>
      </c>
      <c r="T4" s="427" t="s">
        <v>79</v>
      </c>
    </row>
    <row r="5" spans="1:20" ht="6.75" customHeight="1"/>
    <row r="6" spans="1:20">
      <c r="A6" s="429" t="s">
        <v>596</v>
      </c>
      <c r="C6" s="420">
        <f t="shared" ref="C6:I6" si="0">SUM(C8,C11:C17)</f>
        <v>45236</v>
      </c>
      <c r="D6" s="420">
        <f t="shared" si="0"/>
        <v>88859</v>
      </c>
      <c r="E6" s="420">
        <f t="shared" si="0"/>
        <v>135788</v>
      </c>
      <c r="F6" s="420">
        <f t="shared" si="0"/>
        <v>166807</v>
      </c>
      <c r="G6" s="420">
        <f t="shared" si="0"/>
        <v>32978</v>
      </c>
      <c r="H6" s="420">
        <f t="shared" si="0"/>
        <v>81243</v>
      </c>
      <c r="I6" s="420">
        <f t="shared" si="0"/>
        <v>126739</v>
      </c>
      <c r="J6" s="420">
        <f>SUM(J8,J11:J17)</f>
        <v>158377</v>
      </c>
      <c r="K6" s="420">
        <f>SUM(K8,K11:K17)</f>
        <v>32027</v>
      </c>
      <c r="L6" s="420"/>
      <c r="M6" s="420"/>
      <c r="N6" s="420"/>
      <c r="O6" s="420"/>
      <c r="P6" s="420"/>
      <c r="Q6" s="420"/>
      <c r="R6" s="420"/>
      <c r="T6" s="420">
        <f>SUM(T8,T11:T17)</f>
        <v>32027</v>
      </c>
    </row>
    <row r="7" spans="1:20">
      <c r="A7" s="416"/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T7" s="421"/>
    </row>
    <row r="8" spans="1:20">
      <c r="A8" s="417" t="s">
        <v>598</v>
      </c>
      <c r="C8" s="422">
        <f t="shared" ref="C8:H8" si="1">SUM(C9:C10)</f>
        <v>0</v>
      </c>
      <c r="D8" s="422">
        <f t="shared" si="1"/>
        <v>0</v>
      </c>
      <c r="E8" s="422">
        <f t="shared" si="1"/>
        <v>0</v>
      </c>
      <c r="F8" s="422">
        <f t="shared" si="1"/>
        <v>0</v>
      </c>
      <c r="G8" s="422">
        <f t="shared" si="1"/>
        <v>0</v>
      </c>
      <c r="H8" s="422">
        <f t="shared" si="1"/>
        <v>0</v>
      </c>
      <c r="I8" s="422">
        <f>SUM(I9:I10)</f>
        <v>0</v>
      </c>
      <c r="J8" s="422">
        <f>SUM(J9:J10)</f>
        <v>0</v>
      </c>
      <c r="K8" s="422">
        <f>SUM(K9:K10)</f>
        <v>0</v>
      </c>
      <c r="L8" s="422"/>
      <c r="M8" s="422"/>
      <c r="N8" s="422"/>
      <c r="O8" s="422"/>
      <c r="P8" s="422"/>
      <c r="Q8" s="422"/>
      <c r="R8" s="422"/>
      <c r="T8" s="422">
        <f>SUM(T9:T10)</f>
        <v>0</v>
      </c>
    </row>
    <row r="9" spans="1:20" outlineLevel="1">
      <c r="A9" s="418" t="s">
        <v>598</v>
      </c>
      <c r="C9" s="423">
        <v>0</v>
      </c>
      <c r="D9" s="423">
        <v>0</v>
      </c>
      <c r="E9" s="423">
        <v>0</v>
      </c>
      <c r="F9" s="423">
        <v>0</v>
      </c>
      <c r="G9" s="423">
        <v>0</v>
      </c>
      <c r="H9" s="423">
        <v>0</v>
      </c>
      <c r="I9" s="423">
        <v>0</v>
      </c>
      <c r="J9" s="423">
        <v>0</v>
      </c>
      <c r="K9" s="423">
        <v>0</v>
      </c>
      <c r="L9" s="423"/>
      <c r="M9" s="423"/>
      <c r="N9" s="423"/>
      <c r="O9" s="423"/>
      <c r="P9" s="423"/>
      <c r="Q9" s="423"/>
      <c r="R9" s="423"/>
      <c r="T9" s="423">
        <f>K9</f>
        <v>0</v>
      </c>
    </row>
    <row r="10" spans="1:20" outlineLevel="1">
      <c r="A10" s="418" t="s">
        <v>600</v>
      </c>
      <c r="C10" s="423">
        <v>0</v>
      </c>
      <c r="D10" s="423">
        <v>0</v>
      </c>
      <c r="E10" s="423">
        <v>0</v>
      </c>
      <c r="F10" s="423">
        <v>0</v>
      </c>
      <c r="G10" s="423">
        <v>0</v>
      </c>
      <c r="H10" s="423">
        <v>0</v>
      </c>
      <c r="I10" s="423">
        <v>0</v>
      </c>
      <c r="J10" s="423">
        <v>0</v>
      </c>
      <c r="K10" s="423">
        <v>0</v>
      </c>
      <c r="L10" s="423"/>
      <c r="M10" s="423"/>
      <c r="N10" s="423"/>
      <c r="O10" s="423"/>
      <c r="P10" s="423"/>
      <c r="Q10" s="423"/>
      <c r="R10" s="423"/>
      <c r="T10" s="423">
        <f t="shared" ref="T10:T25" si="2">K10</f>
        <v>0</v>
      </c>
    </row>
    <row r="11" spans="1:20">
      <c r="A11" s="417" t="s">
        <v>602</v>
      </c>
      <c r="C11" s="422">
        <v>0</v>
      </c>
      <c r="D11" s="422">
        <v>0</v>
      </c>
      <c r="E11" s="422">
        <v>0</v>
      </c>
      <c r="F11" s="422">
        <v>0</v>
      </c>
      <c r="G11" s="422">
        <v>0</v>
      </c>
      <c r="H11" s="422">
        <v>0</v>
      </c>
      <c r="I11" s="422">
        <v>0</v>
      </c>
      <c r="J11" s="422">
        <v>0</v>
      </c>
      <c r="K11" s="422">
        <v>0</v>
      </c>
      <c r="L11" s="422"/>
      <c r="M11" s="422"/>
      <c r="N11" s="422"/>
      <c r="O11" s="422"/>
      <c r="P11" s="422"/>
      <c r="Q11" s="422"/>
      <c r="R11" s="422"/>
      <c r="T11" s="422">
        <f t="shared" si="2"/>
        <v>0</v>
      </c>
    </row>
    <row r="12" spans="1:20">
      <c r="A12" s="417" t="s">
        <v>604</v>
      </c>
      <c r="C12" s="422">
        <v>0</v>
      </c>
      <c r="D12" s="422">
        <v>0</v>
      </c>
      <c r="E12" s="422">
        <v>0</v>
      </c>
      <c r="F12" s="422">
        <v>0</v>
      </c>
      <c r="G12" s="422">
        <v>0</v>
      </c>
      <c r="H12" s="422">
        <v>0</v>
      </c>
      <c r="I12" s="422">
        <v>0</v>
      </c>
      <c r="J12" s="422">
        <v>0</v>
      </c>
      <c r="K12" s="422">
        <v>0</v>
      </c>
      <c r="L12" s="422"/>
      <c r="M12" s="422"/>
      <c r="N12" s="422"/>
      <c r="O12" s="422"/>
      <c r="P12" s="422"/>
      <c r="Q12" s="422"/>
      <c r="R12" s="422"/>
      <c r="T12" s="422">
        <f t="shared" si="2"/>
        <v>0</v>
      </c>
    </row>
    <row r="13" spans="1:20">
      <c r="A13" s="417" t="s">
        <v>606</v>
      </c>
      <c r="C13" s="422">
        <v>447</v>
      </c>
      <c r="D13" s="422">
        <v>435</v>
      </c>
      <c r="E13" s="422">
        <v>435</v>
      </c>
      <c r="F13" s="422">
        <v>435</v>
      </c>
      <c r="G13" s="422">
        <v>0</v>
      </c>
      <c r="H13" s="422">
        <v>0</v>
      </c>
      <c r="I13" s="422">
        <v>0</v>
      </c>
      <c r="J13" s="422">
        <v>0</v>
      </c>
      <c r="K13" s="422">
        <v>0</v>
      </c>
      <c r="L13" s="422"/>
      <c r="M13" s="422"/>
      <c r="N13" s="422"/>
      <c r="O13" s="422"/>
      <c r="P13" s="422"/>
      <c r="Q13" s="422"/>
      <c r="R13" s="422"/>
      <c r="T13" s="422">
        <f t="shared" si="2"/>
        <v>0</v>
      </c>
    </row>
    <row r="14" spans="1:20">
      <c r="A14" s="417" t="s">
        <v>608</v>
      </c>
      <c r="C14" s="422">
        <v>0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/>
      <c r="M14" s="422"/>
      <c r="N14" s="422"/>
      <c r="O14" s="422"/>
      <c r="P14" s="422"/>
      <c r="Q14" s="422"/>
      <c r="R14" s="422"/>
      <c r="T14" s="422">
        <f t="shared" si="2"/>
        <v>0</v>
      </c>
    </row>
    <row r="15" spans="1:20">
      <c r="A15" s="417" t="s">
        <v>610</v>
      </c>
      <c r="C15" s="422">
        <v>4298</v>
      </c>
      <c r="D15" s="422">
        <v>6732</v>
      </c>
      <c r="E15" s="422">
        <v>14141</v>
      </c>
      <c r="F15" s="422">
        <v>20755</v>
      </c>
      <c r="G15" s="422">
        <v>3194</v>
      </c>
      <c r="H15" s="422">
        <v>6420</v>
      </c>
      <c r="I15" s="422">
        <v>9220</v>
      </c>
      <c r="J15" s="422">
        <v>4884</v>
      </c>
      <c r="K15" s="422">
        <v>7999</v>
      </c>
      <c r="L15" s="422"/>
      <c r="M15" s="422"/>
      <c r="N15" s="422"/>
      <c r="O15" s="422"/>
      <c r="P15" s="422"/>
      <c r="Q15" s="422"/>
      <c r="R15" s="422"/>
      <c r="T15" s="422">
        <f t="shared" si="2"/>
        <v>7999</v>
      </c>
    </row>
    <row r="16" spans="1:20">
      <c r="A16" s="417" t="s">
        <v>612</v>
      </c>
      <c r="C16" s="422">
        <v>0</v>
      </c>
      <c r="D16" s="422">
        <v>0</v>
      </c>
      <c r="E16" s="422">
        <v>0</v>
      </c>
      <c r="F16" s="422">
        <v>0</v>
      </c>
      <c r="G16" s="422">
        <v>0</v>
      </c>
      <c r="H16" s="422">
        <v>0</v>
      </c>
      <c r="I16" s="422">
        <v>0</v>
      </c>
      <c r="J16" s="422">
        <v>0</v>
      </c>
      <c r="K16" s="422">
        <v>0</v>
      </c>
      <c r="L16" s="422"/>
      <c r="M16" s="422"/>
      <c r="N16" s="422"/>
      <c r="O16" s="422"/>
      <c r="P16" s="422"/>
      <c r="Q16" s="422"/>
      <c r="R16" s="422"/>
      <c r="T16" s="422">
        <f t="shared" si="2"/>
        <v>0</v>
      </c>
    </row>
    <row r="17" spans="1:20">
      <c r="A17" s="417" t="s">
        <v>614</v>
      </c>
      <c r="C17" s="422">
        <f t="shared" ref="C17:H17" si="3">SUM(C18:C25)</f>
        <v>40491</v>
      </c>
      <c r="D17" s="422">
        <f t="shared" si="3"/>
        <v>81692</v>
      </c>
      <c r="E17" s="422">
        <f t="shared" si="3"/>
        <v>121212</v>
      </c>
      <c r="F17" s="422">
        <f t="shared" si="3"/>
        <v>145617</v>
      </c>
      <c r="G17" s="422">
        <f t="shared" si="3"/>
        <v>29784</v>
      </c>
      <c r="H17" s="422">
        <f t="shared" si="3"/>
        <v>74823</v>
      </c>
      <c r="I17" s="422">
        <f>SUM(I18:I25)</f>
        <v>117519</v>
      </c>
      <c r="J17" s="422">
        <f>SUM(J18:J25)</f>
        <v>153493</v>
      </c>
      <c r="K17" s="422">
        <f>SUM(K18:K25)</f>
        <v>24028</v>
      </c>
      <c r="L17" s="422"/>
      <c r="M17" s="422"/>
      <c r="N17" s="422"/>
      <c r="O17" s="422"/>
      <c r="P17" s="422"/>
      <c r="Q17" s="422"/>
      <c r="R17" s="422"/>
      <c r="T17" s="422">
        <f>SUM(T18:T25)</f>
        <v>24028</v>
      </c>
    </row>
    <row r="18" spans="1:20" outlineLevel="1">
      <c r="A18" s="418" t="s">
        <v>616</v>
      </c>
      <c r="C18" s="423">
        <v>0</v>
      </c>
      <c r="D18" s="423">
        <v>0</v>
      </c>
      <c r="E18" s="423">
        <v>0</v>
      </c>
      <c r="F18" s="423">
        <v>0</v>
      </c>
      <c r="G18" s="423">
        <v>0</v>
      </c>
      <c r="H18" s="423">
        <v>0</v>
      </c>
      <c r="I18" s="423">
        <v>0</v>
      </c>
      <c r="J18" s="423">
        <v>0</v>
      </c>
      <c r="K18" s="423">
        <v>0</v>
      </c>
      <c r="L18" s="423"/>
      <c r="M18" s="423"/>
      <c r="N18" s="423"/>
      <c r="O18" s="423"/>
      <c r="P18" s="423"/>
      <c r="Q18" s="423"/>
      <c r="R18" s="423"/>
      <c r="T18" s="423">
        <f t="shared" si="2"/>
        <v>0</v>
      </c>
    </row>
    <row r="19" spans="1:20" outlineLevel="1">
      <c r="A19" s="418" t="s">
        <v>618</v>
      </c>
      <c r="C19" s="423">
        <v>0</v>
      </c>
      <c r="D19" s="423">
        <v>0</v>
      </c>
      <c r="E19" s="423">
        <v>0</v>
      </c>
      <c r="F19" s="423">
        <v>0</v>
      </c>
      <c r="G19" s="423">
        <v>0</v>
      </c>
      <c r="H19" s="423">
        <v>0</v>
      </c>
      <c r="I19" s="423">
        <v>0</v>
      </c>
      <c r="J19" s="423">
        <v>0</v>
      </c>
      <c r="K19" s="423">
        <v>0</v>
      </c>
      <c r="L19" s="423"/>
      <c r="M19" s="423"/>
      <c r="N19" s="423"/>
      <c r="O19" s="423"/>
      <c r="P19" s="423"/>
      <c r="Q19" s="423"/>
      <c r="R19" s="423"/>
      <c r="T19" s="423">
        <f t="shared" si="2"/>
        <v>0</v>
      </c>
    </row>
    <row r="20" spans="1:20" outlineLevel="1">
      <c r="A20" s="418" t="s">
        <v>620</v>
      </c>
      <c r="C20" s="423">
        <v>0</v>
      </c>
      <c r="D20" s="423">
        <v>0</v>
      </c>
      <c r="E20" s="423">
        <v>0</v>
      </c>
      <c r="F20" s="423">
        <v>0</v>
      </c>
      <c r="G20" s="423">
        <v>0</v>
      </c>
      <c r="H20" s="423">
        <v>0</v>
      </c>
      <c r="I20" s="423">
        <v>0</v>
      </c>
      <c r="J20" s="423">
        <v>0</v>
      </c>
      <c r="K20" s="423">
        <v>0</v>
      </c>
      <c r="L20" s="423"/>
      <c r="M20" s="423"/>
      <c r="N20" s="423"/>
      <c r="O20" s="423"/>
      <c r="P20" s="423"/>
      <c r="Q20" s="423"/>
      <c r="R20" s="423"/>
      <c r="T20" s="423">
        <f t="shared" si="2"/>
        <v>0</v>
      </c>
    </row>
    <row r="21" spans="1:20" outlineLevel="1">
      <c r="A21" s="418" t="s">
        <v>622</v>
      </c>
      <c r="C21" s="423">
        <v>41359</v>
      </c>
      <c r="D21" s="423">
        <v>82282</v>
      </c>
      <c r="E21" s="423">
        <v>123200</v>
      </c>
      <c r="F21" s="423">
        <v>156811</v>
      </c>
      <c r="G21" s="423">
        <v>31903</v>
      </c>
      <c r="H21" s="423">
        <v>80616</v>
      </c>
      <c r="I21" s="423">
        <v>126667</v>
      </c>
      <c r="J21" s="423">
        <v>158461</v>
      </c>
      <c r="K21" s="423">
        <v>23510</v>
      </c>
      <c r="L21" s="423"/>
      <c r="M21" s="423"/>
      <c r="N21" s="423"/>
      <c r="O21" s="423"/>
      <c r="P21" s="423"/>
      <c r="Q21" s="423"/>
      <c r="R21" s="423"/>
      <c r="T21" s="423">
        <f t="shared" si="2"/>
        <v>23510</v>
      </c>
    </row>
    <row r="22" spans="1:20" outlineLevel="1">
      <c r="A22" s="418" t="s">
        <v>624</v>
      </c>
      <c r="C22" s="423">
        <v>-3826</v>
      </c>
      <c r="D22" s="423">
        <v>-7611</v>
      </c>
      <c r="E22" s="423">
        <v>-11396</v>
      </c>
      <c r="F22" s="423">
        <v>-14505</v>
      </c>
      <c r="G22" s="423">
        <v>-2951</v>
      </c>
      <c r="H22" s="423">
        <v>-7457</v>
      </c>
      <c r="I22" s="423">
        <v>-11717</v>
      </c>
      <c r="J22" s="423">
        <v>-8443</v>
      </c>
      <c r="K22" s="423">
        <v>-361</v>
      </c>
      <c r="L22" s="423"/>
      <c r="M22" s="423"/>
      <c r="N22" s="423"/>
      <c r="O22" s="423"/>
      <c r="P22" s="423"/>
      <c r="Q22" s="423"/>
      <c r="R22" s="423"/>
      <c r="T22" s="423">
        <f t="shared" si="2"/>
        <v>-361</v>
      </c>
    </row>
    <row r="23" spans="1:20" outlineLevel="1">
      <c r="A23" s="418" t="s">
        <v>626</v>
      </c>
      <c r="C23" s="423">
        <v>0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/>
      <c r="M23" s="423"/>
      <c r="N23" s="423"/>
      <c r="O23" s="423"/>
      <c r="P23" s="423"/>
      <c r="Q23" s="423"/>
      <c r="R23" s="423"/>
      <c r="T23" s="423">
        <f t="shared" si="2"/>
        <v>0</v>
      </c>
    </row>
    <row r="24" spans="1:20" outlineLevel="1">
      <c r="A24" s="418" t="s">
        <v>628</v>
      </c>
      <c r="C24" s="423">
        <v>0</v>
      </c>
      <c r="D24" s="423">
        <v>0</v>
      </c>
      <c r="E24" s="423">
        <v>0</v>
      </c>
      <c r="F24" s="423">
        <v>0</v>
      </c>
      <c r="G24" s="423">
        <v>0</v>
      </c>
      <c r="H24" s="423">
        <v>0</v>
      </c>
      <c r="I24" s="423">
        <v>0</v>
      </c>
      <c r="J24" s="423">
        <v>0</v>
      </c>
      <c r="K24" s="423">
        <v>0</v>
      </c>
      <c r="L24" s="423"/>
      <c r="M24" s="423"/>
      <c r="N24" s="423"/>
      <c r="O24" s="423"/>
      <c r="P24" s="423"/>
      <c r="Q24" s="423"/>
      <c r="R24" s="423"/>
      <c r="T24" s="423">
        <f t="shared" si="2"/>
        <v>0</v>
      </c>
    </row>
    <row r="25" spans="1:20" outlineLevel="1">
      <c r="A25" s="418" t="s">
        <v>614</v>
      </c>
      <c r="C25" s="423">
        <v>2958</v>
      </c>
      <c r="D25" s="423">
        <v>7021</v>
      </c>
      <c r="E25" s="423">
        <v>9408</v>
      </c>
      <c r="F25" s="423">
        <v>3311</v>
      </c>
      <c r="G25" s="423">
        <v>832</v>
      </c>
      <c r="H25" s="423">
        <v>1664</v>
      </c>
      <c r="I25" s="423">
        <v>2569</v>
      </c>
      <c r="J25" s="423">
        <v>3475</v>
      </c>
      <c r="K25" s="423">
        <v>879</v>
      </c>
      <c r="L25" s="423"/>
      <c r="M25" s="423"/>
      <c r="N25" s="423"/>
      <c r="O25" s="423"/>
      <c r="P25" s="423"/>
      <c r="Q25" s="423"/>
      <c r="R25" s="423"/>
      <c r="T25" s="423">
        <f t="shared" si="2"/>
        <v>879</v>
      </c>
    </row>
    <row r="26" spans="1:20">
      <c r="A26" s="417"/>
      <c r="C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T26" s="417"/>
    </row>
    <row r="27" spans="1:20">
      <c r="A27" s="429" t="s">
        <v>630</v>
      </c>
      <c r="C27" s="420">
        <f t="shared" ref="C27:H27" si="4">SUM(C29:C37)</f>
        <v>-4981</v>
      </c>
      <c r="D27" s="420">
        <f t="shared" si="4"/>
        <v>-9643</v>
      </c>
      <c r="E27" s="420">
        <f t="shared" si="4"/>
        <v>-14506</v>
      </c>
      <c r="F27" s="420">
        <f t="shared" si="4"/>
        <v>-19482</v>
      </c>
      <c r="G27" s="420">
        <f t="shared" si="4"/>
        <v>-4812</v>
      </c>
      <c r="H27" s="420">
        <f t="shared" si="4"/>
        <v>-9639</v>
      </c>
      <c r="I27" s="420">
        <f>SUM(I29:I37)</f>
        <v>-13240</v>
      </c>
      <c r="J27" s="420">
        <f>SUM(J29:J37)</f>
        <v>-22456</v>
      </c>
      <c r="K27" s="420">
        <f>SUM(K29:K37)</f>
        <v>-4783</v>
      </c>
      <c r="L27" s="420"/>
      <c r="M27" s="420"/>
      <c r="N27" s="420"/>
      <c r="O27" s="420"/>
      <c r="P27" s="420"/>
      <c r="Q27" s="420"/>
      <c r="R27" s="420"/>
      <c r="T27" s="420">
        <f>SUM(T29:T37)</f>
        <v>-4783</v>
      </c>
    </row>
    <row r="28" spans="1:20">
      <c r="A28" s="416"/>
      <c r="C28" s="421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T28" s="421"/>
    </row>
    <row r="29" spans="1:20" outlineLevel="1">
      <c r="A29" s="418" t="s">
        <v>632</v>
      </c>
      <c r="C29" s="423">
        <v>0</v>
      </c>
      <c r="D29" s="423">
        <v>0</v>
      </c>
      <c r="E29" s="423">
        <v>0</v>
      </c>
      <c r="F29" s="423">
        <v>0</v>
      </c>
      <c r="G29" s="423">
        <v>0</v>
      </c>
      <c r="H29" s="423">
        <v>0</v>
      </c>
      <c r="I29" s="423">
        <v>0</v>
      </c>
      <c r="J29" s="423">
        <v>0</v>
      </c>
      <c r="K29" s="423">
        <v>0</v>
      </c>
      <c r="L29" s="423"/>
      <c r="M29" s="423"/>
      <c r="N29" s="423"/>
      <c r="O29" s="423"/>
      <c r="P29" s="423"/>
      <c r="Q29" s="423"/>
      <c r="R29" s="423"/>
      <c r="T29" s="423">
        <f t="shared" ref="T29:T37" si="5">K29</f>
        <v>0</v>
      </c>
    </row>
    <row r="30" spans="1:20" outlineLevel="1">
      <c r="A30" s="418" t="s">
        <v>633</v>
      </c>
      <c r="C30" s="423">
        <v>-3065</v>
      </c>
      <c r="D30" s="423">
        <v>-5865</v>
      </c>
      <c r="E30" s="423">
        <v>-8877</v>
      </c>
      <c r="F30" s="423">
        <v>-12032</v>
      </c>
      <c r="G30" s="423">
        <v>-3000</v>
      </c>
      <c r="H30" s="423">
        <v>-6021</v>
      </c>
      <c r="I30" s="423">
        <v>-7817</v>
      </c>
      <c r="J30" s="423">
        <v>-15122</v>
      </c>
      <c r="K30" s="423">
        <v>-2887</v>
      </c>
      <c r="L30" s="423"/>
      <c r="M30" s="423"/>
      <c r="N30" s="423"/>
      <c r="O30" s="423"/>
      <c r="P30" s="423"/>
      <c r="Q30" s="423"/>
      <c r="R30" s="423"/>
      <c r="T30" s="423">
        <f t="shared" si="5"/>
        <v>-2887</v>
      </c>
    </row>
    <row r="31" spans="1:20" outlineLevel="1">
      <c r="A31" s="418" t="s">
        <v>635</v>
      </c>
      <c r="C31" s="423">
        <v>-41</v>
      </c>
      <c r="D31" s="423">
        <v>-41</v>
      </c>
      <c r="E31" s="423">
        <v>-40</v>
      </c>
      <c r="F31" s="423">
        <v>-40</v>
      </c>
      <c r="G31" s="423">
        <v>0</v>
      </c>
      <c r="H31" s="423">
        <v>0</v>
      </c>
      <c r="I31" s="423">
        <v>0</v>
      </c>
      <c r="J31" s="423">
        <v>0</v>
      </c>
      <c r="K31" s="423">
        <v>0</v>
      </c>
      <c r="L31" s="423"/>
      <c r="M31" s="423"/>
      <c r="N31" s="423"/>
      <c r="O31" s="423"/>
      <c r="P31" s="423"/>
      <c r="Q31" s="423"/>
      <c r="R31" s="423"/>
      <c r="T31" s="423">
        <f t="shared" si="5"/>
        <v>0</v>
      </c>
    </row>
    <row r="32" spans="1:20" outlineLevel="1">
      <c r="A32" s="418" t="s">
        <v>637</v>
      </c>
      <c r="C32" s="423">
        <v>-1301</v>
      </c>
      <c r="D32" s="423">
        <v>-2602</v>
      </c>
      <c r="E32" s="423">
        <v>-3833</v>
      </c>
      <c r="F32" s="423">
        <v>-5029</v>
      </c>
      <c r="G32" s="423">
        <v>-1196</v>
      </c>
      <c r="H32" s="423">
        <v>-2392</v>
      </c>
      <c r="I32" s="423">
        <v>-3813</v>
      </c>
      <c r="J32" s="423">
        <v>-5347</v>
      </c>
      <c r="K32" s="423">
        <v>-1534</v>
      </c>
      <c r="L32" s="423"/>
      <c r="M32" s="423"/>
      <c r="N32" s="423"/>
      <c r="O32" s="423"/>
      <c r="P32" s="423"/>
      <c r="Q32" s="423"/>
      <c r="R32" s="423"/>
      <c r="T32" s="423">
        <f t="shared" si="5"/>
        <v>-1534</v>
      </c>
    </row>
    <row r="33" spans="1:20" outlineLevel="1">
      <c r="A33" s="418" t="s">
        <v>639</v>
      </c>
      <c r="C33" s="423">
        <v>-406</v>
      </c>
      <c r="D33" s="423">
        <v>-798</v>
      </c>
      <c r="E33" s="423">
        <v>-1241</v>
      </c>
      <c r="F33" s="423">
        <v>-1693</v>
      </c>
      <c r="G33" s="423">
        <v>-443</v>
      </c>
      <c r="H33" s="423">
        <v>-880</v>
      </c>
      <c r="I33" s="423">
        <v>-1139</v>
      </c>
      <c r="J33" s="423">
        <v>-1410</v>
      </c>
      <c r="K33" s="423">
        <v>-258</v>
      </c>
      <c r="L33" s="423"/>
      <c r="M33" s="423"/>
      <c r="N33" s="423"/>
      <c r="O33" s="423"/>
      <c r="P33" s="423"/>
      <c r="Q33" s="423"/>
      <c r="R33" s="423"/>
      <c r="T33" s="423">
        <f t="shared" si="5"/>
        <v>-258</v>
      </c>
    </row>
    <row r="34" spans="1:20" outlineLevel="1">
      <c r="A34" s="418" t="s">
        <v>641</v>
      </c>
      <c r="C34" s="423">
        <v>-165</v>
      </c>
      <c r="D34" s="423">
        <v>-330</v>
      </c>
      <c r="E34" s="423">
        <v>-504</v>
      </c>
      <c r="F34" s="423">
        <v>-673</v>
      </c>
      <c r="G34" s="423">
        <v>-169</v>
      </c>
      <c r="H34" s="423">
        <v>-338</v>
      </c>
      <c r="I34" s="423">
        <v>-459</v>
      </c>
      <c r="J34" s="423">
        <v>-561</v>
      </c>
      <c r="K34" s="423">
        <v>-101</v>
      </c>
      <c r="L34" s="423"/>
      <c r="M34" s="423"/>
      <c r="N34" s="423"/>
      <c r="O34" s="423"/>
      <c r="P34" s="423"/>
      <c r="Q34" s="423"/>
      <c r="R34" s="423"/>
      <c r="T34" s="423">
        <f t="shared" si="5"/>
        <v>-101</v>
      </c>
    </row>
    <row r="35" spans="1:20" outlineLevel="1">
      <c r="A35" s="418" t="s">
        <v>643</v>
      </c>
      <c r="C35" s="423">
        <v>0</v>
      </c>
      <c r="D35" s="423">
        <v>0</v>
      </c>
      <c r="E35" s="423">
        <v>0</v>
      </c>
      <c r="F35" s="423">
        <v>0</v>
      </c>
      <c r="G35" s="423">
        <v>0</v>
      </c>
      <c r="H35" s="423">
        <v>0</v>
      </c>
      <c r="I35" s="423">
        <v>0</v>
      </c>
      <c r="J35" s="423">
        <v>0</v>
      </c>
      <c r="K35" s="423">
        <v>0</v>
      </c>
      <c r="L35" s="423"/>
      <c r="M35" s="423"/>
      <c r="N35" s="423"/>
      <c r="O35" s="423"/>
      <c r="P35" s="423"/>
      <c r="Q35" s="423"/>
      <c r="R35" s="423"/>
      <c r="T35" s="423">
        <f t="shared" si="5"/>
        <v>0</v>
      </c>
    </row>
    <row r="36" spans="1:20" outlineLevel="1">
      <c r="A36" s="418" t="s">
        <v>645</v>
      </c>
      <c r="C36" s="423">
        <v>-3</v>
      </c>
      <c r="D36" s="423">
        <v>-7</v>
      </c>
      <c r="E36" s="423">
        <v>-11</v>
      </c>
      <c r="F36" s="423">
        <v>-15</v>
      </c>
      <c r="G36" s="423">
        <v>-4</v>
      </c>
      <c r="H36" s="423">
        <v>-8</v>
      </c>
      <c r="I36" s="423">
        <v>-12</v>
      </c>
      <c r="J36" s="423">
        <v>-16</v>
      </c>
      <c r="K36" s="423">
        <v>-3</v>
      </c>
      <c r="L36" s="423"/>
      <c r="M36" s="423"/>
      <c r="N36" s="423"/>
      <c r="O36" s="423"/>
      <c r="P36" s="423"/>
      <c r="Q36" s="423"/>
      <c r="R36" s="423"/>
      <c r="T36" s="423">
        <f t="shared" si="5"/>
        <v>-3</v>
      </c>
    </row>
    <row r="37" spans="1:20" outlineLevel="1">
      <c r="A37" s="418" t="s">
        <v>95</v>
      </c>
      <c r="C37" s="423">
        <v>0</v>
      </c>
      <c r="D37" s="423">
        <v>0</v>
      </c>
      <c r="E37" s="423">
        <v>0</v>
      </c>
      <c r="F37" s="423">
        <v>0</v>
      </c>
      <c r="G37" s="423">
        <v>0</v>
      </c>
      <c r="H37" s="423">
        <v>0</v>
      </c>
      <c r="I37" s="423">
        <v>0</v>
      </c>
      <c r="J37" s="423">
        <v>0</v>
      </c>
      <c r="K37" s="423">
        <v>0</v>
      </c>
      <c r="L37" s="423"/>
      <c r="M37" s="423"/>
      <c r="N37" s="423"/>
      <c r="O37" s="423"/>
      <c r="P37" s="423"/>
      <c r="Q37" s="423"/>
      <c r="R37" s="423"/>
      <c r="T37" s="423">
        <f t="shared" si="5"/>
        <v>0</v>
      </c>
    </row>
    <row r="38" spans="1:20">
      <c r="A38" s="417"/>
      <c r="C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T38" s="417"/>
    </row>
    <row r="39" spans="1:20">
      <c r="A39" s="429" t="s">
        <v>646</v>
      </c>
      <c r="C39" s="420">
        <f t="shared" ref="C39:H39" si="6">C27+C6</f>
        <v>40255</v>
      </c>
      <c r="D39" s="420">
        <f t="shared" si="6"/>
        <v>79216</v>
      </c>
      <c r="E39" s="420">
        <f t="shared" si="6"/>
        <v>121282</v>
      </c>
      <c r="F39" s="420">
        <f t="shared" si="6"/>
        <v>147325</v>
      </c>
      <c r="G39" s="420">
        <f t="shared" si="6"/>
        <v>28166</v>
      </c>
      <c r="H39" s="420">
        <f t="shared" si="6"/>
        <v>71604</v>
      </c>
      <c r="I39" s="420">
        <f>I27+I6</f>
        <v>113499</v>
      </c>
      <c r="J39" s="420">
        <f>J27+J6</f>
        <v>135921</v>
      </c>
      <c r="K39" s="420">
        <f>K27+K6</f>
        <v>27244</v>
      </c>
      <c r="L39" s="420"/>
      <c r="M39" s="420"/>
      <c r="N39" s="420"/>
      <c r="O39" s="420"/>
      <c r="P39" s="420"/>
      <c r="Q39" s="420"/>
      <c r="R39" s="420"/>
      <c r="T39" s="420">
        <f>T27+T6</f>
        <v>27244</v>
      </c>
    </row>
    <row r="40" spans="1:20">
      <c r="A40" s="417"/>
      <c r="C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T40" s="417"/>
    </row>
    <row r="41" spans="1:20">
      <c r="A41" s="416" t="s">
        <v>648</v>
      </c>
      <c r="C41" s="424">
        <f t="shared" ref="C41:H41" si="7">SUM(C43:C48)</f>
        <v>-24033</v>
      </c>
      <c r="D41" s="424">
        <f t="shared" si="7"/>
        <v>-38190</v>
      </c>
      <c r="E41" s="424">
        <f t="shared" si="7"/>
        <v>-57228</v>
      </c>
      <c r="F41" s="424">
        <f t="shared" si="7"/>
        <v>-64066</v>
      </c>
      <c r="G41" s="424">
        <f t="shared" si="7"/>
        <v>-3328</v>
      </c>
      <c r="H41" s="424">
        <f t="shared" si="7"/>
        <v>-6617</v>
      </c>
      <c r="I41" s="424">
        <f>SUM(I43:I48)</f>
        <v>-10126</v>
      </c>
      <c r="J41" s="424">
        <f>SUM(J43:J48)</f>
        <v>-11352</v>
      </c>
      <c r="K41" s="424">
        <f>SUM(K43:K48)</f>
        <v>-9702</v>
      </c>
      <c r="L41" s="424"/>
      <c r="M41" s="424"/>
      <c r="N41" s="424"/>
      <c r="O41" s="424"/>
      <c r="P41" s="424"/>
      <c r="Q41" s="424"/>
      <c r="R41" s="424"/>
      <c r="T41" s="424">
        <f>SUM(T43:T48)</f>
        <v>-9702</v>
      </c>
    </row>
    <row r="42" spans="1:20">
      <c r="A42" s="416"/>
      <c r="C42" s="421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T42" s="421"/>
    </row>
    <row r="43" spans="1:20">
      <c r="A43" s="417" t="s">
        <v>650</v>
      </c>
      <c r="C43" s="422">
        <v>0</v>
      </c>
      <c r="D43" s="422">
        <v>0</v>
      </c>
      <c r="E43" s="422">
        <v>0</v>
      </c>
      <c r="F43" s="422">
        <v>0</v>
      </c>
      <c r="G43" s="422">
        <v>-227</v>
      </c>
      <c r="H43" s="422">
        <v>0</v>
      </c>
      <c r="I43" s="422">
        <v>0</v>
      </c>
      <c r="J43" s="422">
        <v>0</v>
      </c>
      <c r="K43" s="422">
        <v>0</v>
      </c>
      <c r="L43" s="422"/>
      <c r="M43" s="422"/>
      <c r="N43" s="422"/>
      <c r="O43" s="422"/>
      <c r="P43" s="422"/>
      <c r="Q43" s="422"/>
      <c r="R43" s="422"/>
      <c r="T43" s="422">
        <f>K43</f>
        <v>0</v>
      </c>
    </row>
    <row r="44" spans="1:20">
      <c r="A44" s="417" t="s">
        <v>652</v>
      </c>
      <c r="C44" s="422">
        <v>-199</v>
      </c>
      <c r="D44" s="422">
        <v>-194</v>
      </c>
      <c r="E44" s="422">
        <v>-194</v>
      </c>
      <c r="F44" s="422">
        <v>-194</v>
      </c>
      <c r="G44" s="422">
        <v>0</v>
      </c>
      <c r="H44" s="422">
        <v>0</v>
      </c>
      <c r="I44" s="422">
        <v>0</v>
      </c>
      <c r="J44" s="422">
        <v>2051.6501699999999</v>
      </c>
      <c r="K44" s="422">
        <v>0</v>
      </c>
      <c r="L44" s="422"/>
      <c r="M44" s="422"/>
      <c r="N44" s="422"/>
      <c r="O44" s="422"/>
      <c r="P44" s="422"/>
      <c r="Q44" s="422"/>
      <c r="R44" s="422"/>
      <c r="T44" s="422">
        <f>K44</f>
        <v>0</v>
      </c>
    </row>
    <row r="45" spans="1:20">
      <c r="A45" s="417" t="s">
        <v>654</v>
      </c>
      <c r="C45" s="422">
        <v>-23099</v>
      </c>
      <c r="D45" s="422">
        <v>-34570</v>
      </c>
      <c r="E45" s="422">
        <v>-47926</v>
      </c>
      <c r="F45" s="422">
        <v>-47926</v>
      </c>
      <c r="G45" s="422">
        <v>0</v>
      </c>
      <c r="H45" s="422">
        <v>0</v>
      </c>
      <c r="I45" s="422">
        <v>0</v>
      </c>
      <c r="J45" s="422">
        <v>0</v>
      </c>
      <c r="K45" s="422">
        <v>0</v>
      </c>
      <c r="L45" s="422"/>
      <c r="M45" s="422"/>
      <c r="N45" s="422"/>
      <c r="O45" s="422"/>
      <c r="P45" s="422"/>
      <c r="Q45" s="422"/>
      <c r="R45" s="422"/>
      <c r="T45" s="422">
        <f>K45</f>
        <v>0</v>
      </c>
    </row>
    <row r="46" spans="1:20">
      <c r="A46" s="417" t="s">
        <v>656</v>
      </c>
      <c r="C46" s="422">
        <v>2137</v>
      </c>
      <c r="D46" s="422">
        <v>3198</v>
      </c>
      <c r="E46" s="422">
        <v>4433</v>
      </c>
      <c r="F46" s="422">
        <v>4433</v>
      </c>
      <c r="G46" s="422">
        <v>0</v>
      </c>
      <c r="H46" s="422">
        <v>0</v>
      </c>
      <c r="I46" s="422">
        <v>0</v>
      </c>
      <c r="J46" s="422">
        <v>0</v>
      </c>
      <c r="K46" s="422">
        <v>0</v>
      </c>
      <c r="L46" s="422"/>
      <c r="M46" s="422"/>
      <c r="N46" s="422"/>
      <c r="O46" s="422"/>
      <c r="P46" s="422"/>
      <c r="Q46" s="422"/>
      <c r="R46" s="422"/>
      <c r="T46" s="422">
        <f>K46</f>
        <v>0</v>
      </c>
    </row>
    <row r="47" spans="1:20">
      <c r="A47" s="417" t="s">
        <v>658</v>
      </c>
      <c r="C47" s="422">
        <v>0</v>
      </c>
      <c r="D47" s="422">
        <v>0</v>
      </c>
      <c r="E47" s="422">
        <v>0</v>
      </c>
      <c r="F47" s="422">
        <v>0</v>
      </c>
      <c r="G47" s="422">
        <v>0</v>
      </c>
      <c r="H47" s="422">
        <v>0</v>
      </c>
      <c r="I47" s="422">
        <v>0</v>
      </c>
      <c r="J47" s="422">
        <v>0</v>
      </c>
      <c r="K47" s="422">
        <v>0</v>
      </c>
      <c r="L47" s="422"/>
      <c r="M47" s="422"/>
      <c r="N47" s="422"/>
      <c r="O47" s="422"/>
      <c r="P47" s="422"/>
      <c r="Q47" s="422"/>
      <c r="R47" s="422"/>
      <c r="T47" s="422">
        <f>K47</f>
        <v>0</v>
      </c>
    </row>
    <row r="48" spans="1:20">
      <c r="A48" s="417" t="s">
        <v>660</v>
      </c>
      <c r="C48" s="422">
        <f t="shared" ref="C48:H48" si="8">SUM(C49:C55)</f>
        <v>-2872</v>
      </c>
      <c r="D48" s="422">
        <f t="shared" si="8"/>
        <v>-6624</v>
      </c>
      <c r="E48" s="422">
        <f t="shared" si="8"/>
        <v>-13541</v>
      </c>
      <c r="F48" s="422">
        <f t="shared" si="8"/>
        <v>-20379</v>
      </c>
      <c r="G48" s="422">
        <f t="shared" si="8"/>
        <v>-3101</v>
      </c>
      <c r="H48" s="422">
        <f t="shared" si="8"/>
        <v>-6617</v>
      </c>
      <c r="I48" s="422">
        <f>SUM(I49:I55)</f>
        <v>-10126</v>
      </c>
      <c r="J48" s="422">
        <f>SUM(J49:J55)</f>
        <v>-13403.650170000001</v>
      </c>
      <c r="K48" s="422">
        <f>SUM(K49:K55)</f>
        <v>-9702</v>
      </c>
      <c r="L48" s="422"/>
      <c r="M48" s="422"/>
      <c r="N48" s="422"/>
      <c r="O48" s="422"/>
      <c r="P48" s="422"/>
      <c r="Q48" s="422"/>
      <c r="R48" s="422"/>
      <c r="T48" s="422">
        <f>SUM(T49:T55)</f>
        <v>-9702</v>
      </c>
    </row>
    <row r="49" spans="1:20" outlineLevel="1">
      <c r="A49" s="418" t="s">
        <v>662</v>
      </c>
      <c r="C49" s="423">
        <v>-1471</v>
      </c>
      <c r="D49" s="423">
        <v>-2897</v>
      </c>
      <c r="E49" s="423">
        <v>-3449</v>
      </c>
      <c r="F49" s="423">
        <v>-4241</v>
      </c>
      <c r="G49" s="423">
        <v>-751</v>
      </c>
      <c r="H49" s="423">
        <v>-1715</v>
      </c>
      <c r="I49" s="423">
        <v>-2692</v>
      </c>
      <c r="J49" s="423">
        <v>-4729</v>
      </c>
      <c r="K49" s="423">
        <v>-861</v>
      </c>
      <c r="L49" s="423"/>
      <c r="M49" s="423"/>
      <c r="N49" s="423"/>
      <c r="O49" s="423"/>
      <c r="P49" s="423"/>
      <c r="Q49" s="423"/>
      <c r="R49" s="423"/>
      <c r="T49" s="423">
        <f t="shared" ref="T49:T55" si="9">K49</f>
        <v>-861</v>
      </c>
    </row>
    <row r="50" spans="1:20" outlineLevel="1">
      <c r="A50" s="418" t="s">
        <v>664</v>
      </c>
      <c r="C50" s="423">
        <v>-27</v>
      </c>
      <c r="D50" s="423">
        <v>-256</v>
      </c>
      <c r="E50" s="423">
        <v>-564</v>
      </c>
      <c r="F50" s="423">
        <v>-769</v>
      </c>
      <c r="G50" s="423">
        <v>-33</v>
      </c>
      <c r="H50" s="423">
        <v>-200</v>
      </c>
      <c r="I50" s="423">
        <v>-519</v>
      </c>
      <c r="J50" s="423">
        <v>-787</v>
      </c>
      <c r="K50" s="423">
        <v>-568</v>
      </c>
      <c r="L50" s="423"/>
      <c r="M50" s="423"/>
      <c r="N50" s="423"/>
      <c r="O50" s="423"/>
      <c r="P50" s="423"/>
      <c r="Q50" s="423"/>
      <c r="R50" s="423"/>
      <c r="T50" s="423">
        <f t="shared" si="9"/>
        <v>-568</v>
      </c>
    </row>
    <row r="51" spans="1:20" outlineLevel="1">
      <c r="A51" s="418" t="s">
        <v>666</v>
      </c>
      <c r="C51" s="423">
        <v>-1307</v>
      </c>
      <c r="D51" s="423">
        <v>-3322</v>
      </c>
      <c r="E51" s="423">
        <v>-9441</v>
      </c>
      <c r="F51" s="423">
        <v>-14836</v>
      </c>
      <c r="G51" s="423">
        <v>-2263</v>
      </c>
      <c r="H51" s="423">
        <v>-4608</v>
      </c>
      <c r="I51" s="423">
        <v>-6784</v>
      </c>
      <c r="J51" s="423">
        <v>-7742.6501699999999</v>
      </c>
      <c r="K51" s="423">
        <v>-8240</v>
      </c>
      <c r="L51" s="423"/>
      <c r="M51" s="423"/>
      <c r="N51" s="423"/>
      <c r="O51" s="423"/>
      <c r="P51" s="423"/>
      <c r="Q51" s="423"/>
      <c r="R51" s="423"/>
      <c r="T51" s="423">
        <f t="shared" si="9"/>
        <v>-8240</v>
      </c>
    </row>
    <row r="52" spans="1:20" outlineLevel="1">
      <c r="A52" s="418" t="s">
        <v>668</v>
      </c>
      <c r="C52" s="423">
        <v>-1</v>
      </c>
      <c r="D52" s="423">
        <v>-3</v>
      </c>
      <c r="E52" s="423">
        <v>-4</v>
      </c>
      <c r="F52" s="423">
        <v>-219</v>
      </c>
      <c r="G52" s="423">
        <v>-1</v>
      </c>
      <c r="H52" s="423">
        <v>-3</v>
      </c>
      <c r="I52" s="423">
        <v>-4</v>
      </c>
      <c r="J52" s="423">
        <v>-6</v>
      </c>
      <c r="K52" s="423">
        <v>-1</v>
      </c>
      <c r="L52" s="423"/>
      <c r="M52" s="423"/>
      <c r="N52" s="423"/>
      <c r="O52" s="423"/>
      <c r="P52" s="423"/>
      <c r="Q52" s="423"/>
      <c r="R52" s="423"/>
      <c r="T52" s="423">
        <f t="shared" si="9"/>
        <v>-1</v>
      </c>
    </row>
    <row r="53" spans="1:20" outlineLevel="1">
      <c r="A53" s="418" t="s">
        <v>670</v>
      </c>
      <c r="C53" s="423">
        <v>0</v>
      </c>
      <c r="D53" s="423">
        <v>0</v>
      </c>
      <c r="E53" s="423">
        <v>0</v>
      </c>
      <c r="F53" s="423">
        <v>0</v>
      </c>
      <c r="G53" s="423">
        <v>0</v>
      </c>
      <c r="H53" s="423">
        <v>0</v>
      </c>
      <c r="I53" s="423">
        <v>0</v>
      </c>
      <c r="J53" s="423">
        <v>0</v>
      </c>
      <c r="K53" s="423">
        <v>0</v>
      </c>
      <c r="L53" s="423"/>
      <c r="M53" s="423"/>
      <c r="N53" s="423"/>
      <c r="O53" s="423"/>
      <c r="P53" s="423"/>
      <c r="Q53" s="423"/>
      <c r="R53" s="423"/>
      <c r="T53" s="423">
        <f t="shared" si="9"/>
        <v>0</v>
      </c>
    </row>
    <row r="54" spans="1:20" outlineLevel="1">
      <c r="A54" s="418" t="s">
        <v>672</v>
      </c>
      <c r="C54" s="423">
        <v>-3</v>
      </c>
      <c r="D54" s="423">
        <v>-1</v>
      </c>
      <c r="E54" s="423">
        <v>-83</v>
      </c>
      <c r="F54" s="423">
        <v>-108</v>
      </c>
      <c r="G54" s="423">
        <v>-53</v>
      </c>
      <c r="H54" s="423">
        <v>-91</v>
      </c>
      <c r="I54" s="423">
        <v>-127</v>
      </c>
      <c r="J54" s="423">
        <v>-139</v>
      </c>
      <c r="K54" s="423">
        <v>-32</v>
      </c>
      <c r="L54" s="423"/>
      <c r="M54" s="423"/>
      <c r="N54" s="423"/>
      <c r="O54" s="423"/>
      <c r="P54" s="423"/>
      <c r="Q54" s="423"/>
      <c r="R54" s="423"/>
      <c r="T54" s="423">
        <f t="shared" si="9"/>
        <v>-32</v>
      </c>
    </row>
    <row r="55" spans="1:20" outlineLevel="1">
      <c r="A55" s="418" t="s">
        <v>674</v>
      </c>
      <c r="C55" s="423">
        <v>-63</v>
      </c>
      <c r="D55" s="423">
        <v>-145</v>
      </c>
      <c r="E55" s="423">
        <v>0</v>
      </c>
      <c r="F55" s="423">
        <v>-206</v>
      </c>
      <c r="G55" s="423">
        <v>0</v>
      </c>
      <c r="H55" s="423">
        <v>0</v>
      </c>
      <c r="I55" s="423">
        <v>0</v>
      </c>
      <c r="J55" s="423">
        <v>0</v>
      </c>
      <c r="K55" s="423">
        <v>0</v>
      </c>
      <c r="L55" s="423"/>
      <c r="M55" s="423"/>
      <c r="N55" s="423"/>
      <c r="O55" s="423"/>
      <c r="P55" s="423"/>
      <c r="Q55" s="423"/>
      <c r="R55" s="423"/>
      <c r="T55" s="423">
        <f t="shared" si="9"/>
        <v>0</v>
      </c>
    </row>
    <row r="56" spans="1:20">
      <c r="A56" s="417"/>
      <c r="C56" s="417"/>
      <c r="D56" s="417"/>
      <c r="E56" s="417"/>
      <c r="F56" s="417"/>
      <c r="G56" s="417"/>
      <c r="H56" s="417"/>
      <c r="I56" s="417"/>
      <c r="J56" s="417"/>
      <c r="K56" s="417"/>
      <c r="L56" s="417"/>
      <c r="M56" s="417"/>
      <c r="N56" s="417"/>
      <c r="O56" s="417"/>
      <c r="P56" s="417"/>
      <c r="Q56" s="417"/>
      <c r="R56" s="417"/>
      <c r="T56" s="417"/>
    </row>
    <row r="57" spans="1:20">
      <c r="A57" s="429" t="s">
        <v>676</v>
      </c>
      <c r="C57" s="420">
        <f t="shared" ref="C57:H57" si="10">C39+C41</f>
        <v>16222</v>
      </c>
      <c r="D57" s="420">
        <f t="shared" si="10"/>
        <v>41026</v>
      </c>
      <c r="E57" s="420">
        <f t="shared" si="10"/>
        <v>64054</v>
      </c>
      <c r="F57" s="420">
        <f t="shared" si="10"/>
        <v>83259</v>
      </c>
      <c r="G57" s="420">
        <f t="shared" si="10"/>
        <v>24838</v>
      </c>
      <c r="H57" s="420">
        <f t="shared" si="10"/>
        <v>64987</v>
      </c>
      <c r="I57" s="420">
        <f>I39+I41</f>
        <v>103373</v>
      </c>
      <c r="J57" s="420">
        <f>J39+J41</f>
        <v>124569</v>
      </c>
      <c r="K57" s="420">
        <f>K39+K41</f>
        <v>17542</v>
      </c>
      <c r="L57" s="420"/>
      <c r="M57" s="420"/>
      <c r="N57" s="420"/>
      <c r="O57" s="420"/>
      <c r="P57" s="420"/>
      <c r="Q57" s="420"/>
      <c r="R57" s="420"/>
      <c r="T57" s="420">
        <f>T39+T41</f>
        <v>17542</v>
      </c>
    </row>
    <row r="58" spans="1:20">
      <c r="A58" s="417"/>
      <c r="C58" s="417"/>
      <c r="D58" s="417"/>
      <c r="E58" s="417"/>
      <c r="F58" s="417"/>
      <c r="G58" s="417"/>
      <c r="H58" s="417"/>
      <c r="I58" s="417"/>
      <c r="J58" s="417"/>
      <c r="K58" s="417"/>
      <c r="L58" s="417"/>
      <c r="M58" s="417"/>
      <c r="N58" s="417"/>
      <c r="O58" s="417"/>
      <c r="P58" s="417"/>
      <c r="Q58" s="417"/>
      <c r="R58" s="417"/>
      <c r="T58" s="417"/>
    </row>
    <row r="59" spans="1:20">
      <c r="A59" s="416" t="s">
        <v>678</v>
      </c>
      <c r="C59" s="424">
        <f t="shared" ref="C59:H59" si="11">C61+C67+C68+C77+C78</f>
        <v>-84</v>
      </c>
      <c r="D59" s="424">
        <f t="shared" si="11"/>
        <v>-618</v>
      </c>
      <c r="E59" s="424">
        <f t="shared" si="11"/>
        <v>-1377</v>
      </c>
      <c r="F59" s="424">
        <f t="shared" si="11"/>
        <v>-1786</v>
      </c>
      <c r="G59" s="424">
        <f t="shared" si="11"/>
        <v>-188</v>
      </c>
      <c r="H59" s="424">
        <f t="shared" si="11"/>
        <v>-484</v>
      </c>
      <c r="I59" s="424">
        <f>I61+I67+I68+I77+I78</f>
        <v>-959</v>
      </c>
      <c r="J59" s="424">
        <f>J61+J67+J68+J77+J78</f>
        <v>-4342</v>
      </c>
      <c r="K59" s="424">
        <f>K61+K67+K68+K77+K78</f>
        <v>-754</v>
      </c>
      <c r="L59" s="424"/>
      <c r="M59" s="424"/>
      <c r="N59" s="424"/>
      <c r="O59" s="424"/>
      <c r="P59" s="424"/>
      <c r="Q59" s="424"/>
      <c r="R59" s="424"/>
      <c r="T59" s="424">
        <f>T61+T67+T68+T77+T78</f>
        <v>-754</v>
      </c>
    </row>
    <row r="60" spans="1:20">
      <c r="A60" s="416"/>
      <c r="C60" s="421"/>
      <c r="D60" s="421"/>
      <c r="E60" s="421"/>
      <c r="F60" s="421"/>
      <c r="G60" s="421"/>
      <c r="H60" s="421"/>
      <c r="I60" s="421"/>
      <c r="J60" s="421"/>
      <c r="K60" s="421"/>
      <c r="L60" s="421"/>
      <c r="M60" s="421"/>
      <c r="N60" s="421"/>
      <c r="O60" s="421"/>
      <c r="P60" s="421"/>
      <c r="Q60" s="421"/>
      <c r="R60" s="421"/>
      <c r="T60" s="421"/>
    </row>
    <row r="61" spans="1:20">
      <c r="A61" s="419" t="s">
        <v>680</v>
      </c>
      <c r="C61" s="422">
        <f t="shared" ref="C61:H61" si="12">SUM(C62:C66)</f>
        <v>0</v>
      </c>
      <c r="D61" s="422">
        <f t="shared" si="12"/>
        <v>0</v>
      </c>
      <c r="E61" s="422">
        <f t="shared" si="12"/>
        <v>0</v>
      </c>
      <c r="F61" s="422">
        <f t="shared" si="12"/>
        <v>0</v>
      </c>
      <c r="G61" s="422">
        <f t="shared" si="12"/>
        <v>0</v>
      </c>
      <c r="H61" s="422">
        <f t="shared" si="12"/>
        <v>0</v>
      </c>
      <c r="I61" s="422">
        <f>SUM(I62:I66)</f>
        <v>0</v>
      </c>
      <c r="J61" s="422">
        <f>SUM(J62:J66)</f>
        <v>0</v>
      </c>
      <c r="K61" s="422">
        <f>SUM(K62:K66)</f>
        <v>0</v>
      </c>
      <c r="L61" s="422"/>
      <c r="M61" s="422"/>
      <c r="N61" s="422"/>
      <c r="O61" s="422"/>
      <c r="P61" s="422"/>
      <c r="Q61" s="422"/>
      <c r="R61" s="422"/>
      <c r="T61" s="422">
        <f>SUM(T62:T66)</f>
        <v>0</v>
      </c>
    </row>
    <row r="62" spans="1:20" outlineLevel="1">
      <c r="A62" s="418" t="s">
        <v>682</v>
      </c>
      <c r="C62" s="423">
        <v>0</v>
      </c>
      <c r="D62" s="423">
        <v>0</v>
      </c>
      <c r="E62" s="423">
        <v>0</v>
      </c>
      <c r="F62" s="423">
        <v>0</v>
      </c>
      <c r="G62" s="423">
        <v>0</v>
      </c>
      <c r="H62" s="423">
        <v>0</v>
      </c>
      <c r="I62" s="423">
        <v>0</v>
      </c>
      <c r="J62" s="423">
        <v>0</v>
      </c>
      <c r="K62" s="423">
        <v>0</v>
      </c>
      <c r="L62" s="423"/>
      <c r="M62" s="423"/>
      <c r="N62" s="423"/>
      <c r="O62" s="423"/>
      <c r="P62" s="423"/>
      <c r="Q62" s="423"/>
      <c r="R62" s="423"/>
      <c r="T62" s="423">
        <f t="shared" ref="T62:T67" si="13">K62</f>
        <v>0</v>
      </c>
    </row>
    <row r="63" spans="1:20" outlineLevel="1">
      <c r="A63" s="418" t="s">
        <v>684</v>
      </c>
      <c r="C63" s="423">
        <v>0</v>
      </c>
      <c r="D63" s="423">
        <v>0</v>
      </c>
      <c r="E63" s="423">
        <v>0</v>
      </c>
      <c r="F63" s="423">
        <v>0</v>
      </c>
      <c r="G63" s="423">
        <v>0</v>
      </c>
      <c r="H63" s="423">
        <v>0</v>
      </c>
      <c r="I63" s="423">
        <v>0</v>
      </c>
      <c r="J63" s="423">
        <v>0</v>
      </c>
      <c r="K63" s="423">
        <v>0</v>
      </c>
      <c r="L63" s="423"/>
      <c r="M63" s="423"/>
      <c r="N63" s="423"/>
      <c r="O63" s="423"/>
      <c r="P63" s="423"/>
      <c r="Q63" s="423"/>
      <c r="R63" s="423"/>
      <c r="T63" s="423">
        <f t="shared" si="13"/>
        <v>0</v>
      </c>
    </row>
    <row r="64" spans="1:20" outlineLevel="1">
      <c r="A64" s="418" t="s">
        <v>686</v>
      </c>
      <c r="C64" s="423">
        <v>0</v>
      </c>
      <c r="D64" s="423">
        <v>0</v>
      </c>
      <c r="E64" s="423">
        <v>0</v>
      </c>
      <c r="F64" s="423">
        <v>0</v>
      </c>
      <c r="G64" s="423">
        <v>0</v>
      </c>
      <c r="H64" s="423">
        <v>0</v>
      </c>
      <c r="I64" s="423">
        <v>0</v>
      </c>
      <c r="J64" s="423">
        <v>0</v>
      </c>
      <c r="K64" s="423">
        <v>0</v>
      </c>
      <c r="L64" s="423"/>
      <c r="M64" s="423"/>
      <c r="N64" s="423"/>
      <c r="O64" s="423"/>
      <c r="P64" s="423"/>
      <c r="Q64" s="423"/>
      <c r="R64" s="423"/>
      <c r="T64" s="423">
        <f t="shared" si="13"/>
        <v>0</v>
      </c>
    </row>
    <row r="65" spans="1:20" outlineLevel="1">
      <c r="A65" s="418" t="s">
        <v>688</v>
      </c>
      <c r="C65" s="423">
        <v>0</v>
      </c>
      <c r="D65" s="423">
        <v>0</v>
      </c>
      <c r="E65" s="423">
        <v>0</v>
      </c>
      <c r="F65" s="423">
        <v>0</v>
      </c>
      <c r="G65" s="423">
        <v>0</v>
      </c>
      <c r="H65" s="423">
        <v>0</v>
      </c>
      <c r="I65" s="423">
        <v>0</v>
      </c>
      <c r="J65" s="423">
        <v>0</v>
      </c>
      <c r="K65" s="423">
        <v>0</v>
      </c>
      <c r="L65" s="423"/>
      <c r="M65" s="423"/>
      <c r="N65" s="423"/>
      <c r="O65" s="423"/>
      <c r="P65" s="423"/>
      <c r="Q65" s="423"/>
      <c r="R65" s="423"/>
      <c r="T65" s="423">
        <f t="shared" si="13"/>
        <v>0</v>
      </c>
    </row>
    <row r="66" spans="1:20" outlineLevel="1">
      <c r="A66" s="418" t="s">
        <v>690</v>
      </c>
      <c r="C66" s="423">
        <v>0</v>
      </c>
      <c r="D66" s="423">
        <v>0</v>
      </c>
      <c r="E66" s="423">
        <v>0</v>
      </c>
      <c r="F66" s="423">
        <v>0</v>
      </c>
      <c r="G66" s="423">
        <v>0</v>
      </c>
      <c r="H66" s="423">
        <v>0</v>
      </c>
      <c r="I66" s="423">
        <v>0</v>
      </c>
      <c r="J66" s="423">
        <v>0</v>
      </c>
      <c r="K66" s="423">
        <v>0</v>
      </c>
      <c r="L66" s="423"/>
      <c r="M66" s="423"/>
      <c r="N66" s="423"/>
      <c r="O66" s="423"/>
      <c r="P66" s="423"/>
      <c r="Q66" s="423"/>
      <c r="R66" s="423"/>
      <c r="T66" s="423">
        <f t="shared" si="13"/>
        <v>0</v>
      </c>
    </row>
    <row r="67" spans="1:20">
      <c r="A67" s="417" t="s">
        <v>692</v>
      </c>
      <c r="C67" s="425">
        <v>0</v>
      </c>
      <c r="D67" s="425">
        <v>0</v>
      </c>
      <c r="E67" s="425">
        <v>0</v>
      </c>
      <c r="F67" s="425">
        <v>0</v>
      </c>
      <c r="G67" s="425">
        <v>0</v>
      </c>
      <c r="H67" s="425">
        <v>0</v>
      </c>
      <c r="I67" s="425">
        <v>0</v>
      </c>
      <c r="J67" s="425"/>
      <c r="K67" s="425"/>
      <c r="L67" s="425"/>
      <c r="M67" s="425"/>
      <c r="N67" s="425"/>
      <c r="O67" s="425"/>
      <c r="P67" s="425"/>
      <c r="Q67" s="425"/>
      <c r="R67" s="425"/>
      <c r="T67" s="425">
        <f t="shared" si="13"/>
        <v>0</v>
      </c>
    </row>
    <row r="68" spans="1:20">
      <c r="A68" s="417" t="s">
        <v>694</v>
      </c>
      <c r="C68" s="422">
        <f t="shared" ref="C68:H68" si="14">SUM(C69:C76)</f>
        <v>-84</v>
      </c>
      <c r="D68" s="422">
        <f t="shared" si="14"/>
        <v>-618</v>
      </c>
      <c r="E68" s="422">
        <f t="shared" si="14"/>
        <v>-1377</v>
      </c>
      <c r="F68" s="422">
        <f t="shared" si="14"/>
        <v>-1732</v>
      </c>
      <c r="G68" s="422">
        <f t="shared" si="14"/>
        <v>-188</v>
      </c>
      <c r="H68" s="422">
        <f t="shared" si="14"/>
        <v>-479</v>
      </c>
      <c r="I68" s="422">
        <f>SUM(I69:I76)</f>
        <v>-953</v>
      </c>
      <c r="J68" s="422">
        <f>SUM(J69:J76)</f>
        <v>-2413</v>
      </c>
      <c r="K68" s="422">
        <f>SUM(K69:K76)</f>
        <v>-742</v>
      </c>
      <c r="L68" s="422"/>
      <c r="M68" s="422"/>
      <c r="N68" s="422"/>
      <c r="O68" s="422"/>
      <c r="P68" s="422"/>
      <c r="Q68" s="422"/>
      <c r="R68" s="422"/>
      <c r="T68" s="422">
        <f>SUM(T69:T76)</f>
        <v>-742</v>
      </c>
    </row>
    <row r="69" spans="1:20" outlineLevel="1">
      <c r="A69" s="418" t="s">
        <v>696</v>
      </c>
      <c r="C69" s="423">
        <v>0</v>
      </c>
      <c r="D69" s="423">
        <v>0</v>
      </c>
      <c r="E69" s="423">
        <v>-796</v>
      </c>
      <c r="F69" s="423">
        <v>-846</v>
      </c>
      <c r="G69" s="423">
        <v>-14</v>
      </c>
      <c r="H69" s="423">
        <v>-1</v>
      </c>
      <c r="I69" s="423">
        <v>-198</v>
      </c>
      <c r="J69" s="423">
        <v>-1090</v>
      </c>
      <c r="K69" s="423">
        <v>-7</v>
      </c>
      <c r="L69" s="423"/>
      <c r="M69" s="423"/>
      <c r="N69" s="423"/>
      <c r="O69" s="423"/>
      <c r="P69" s="423"/>
      <c r="Q69" s="423"/>
      <c r="R69" s="423"/>
      <c r="T69" s="423">
        <f t="shared" ref="T69:T77" si="15">K69</f>
        <v>-7</v>
      </c>
    </row>
    <row r="70" spans="1:20" outlineLevel="1">
      <c r="A70" s="418" t="s">
        <v>698</v>
      </c>
      <c r="C70" s="423">
        <v>-9</v>
      </c>
      <c r="D70" s="423">
        <v>-16</v>
      </c>
      <c r="E70" s="423">
        <v>-4</v>
      </c>
      <c r="F70" s="423">
        <v>-4</v>
      </c>
      <c r="G70" s="423">
        <v>-17</v>
      </c>
      <c r="H70" s="423">
        <v>0</v>
      </c>
      <c r="I70" s="423">
        <v>-1</v>
      </c>
      <c r="J70" s="423">
        <v>0</v>
      </c>
      <c r="K70" s="423">
        <v>0</v>
      </c>
      <c r="L70" s="423"/>
      <c r="M70" s="423"/>
      <c r="N70" s="423"/>
      <c r="O70" s="423"/>
      <c r="P70" s="423"/>
      <c r="Q70" s="423"/>
      <c r="R70" s="423"/>
      <c r="T70" s="423">
        <f t="shared" si="15"/>
        <v>0</v>
      </c>
    </row>
    <row r="71" spans="1:20" outlineLevel="1">
      <c r="A71" s="418" t="s">
        <v>700</v>
      </c>
      <c r="C71" s="423">
        <v>-63</v>
      </c>
      <c r="D71" s="423">
        <v>-489</v>
      </c>
      <c r="E71" s="423">
        <v>-317</v>
      </c>
      <c r="F71" s="423">
        <v>-785</v>
      </c>
      <c r="G71" s="423">
        <v>-120</v>
      </c>
      <c r="H71" s="423">
        <v>-299</v>
      </c>
      <c r="I71" s="423">
        <v>-571</v>
      </c>
      <c r="J71" s="423">
        <v>-1039</v>
      </c>
      <c r="K71" s="423">
        <v>-647</v>
      </c>
      <c r="L71" s="423"/>
      <c r="M71" s="423"/>
      <c r="N71" s="423"/>
      <c r="O71" s="423"/>
      <c r="P71" s="423"/>
      <c r="Q71" s="423"/>
      <c r="R71" s="423"/>
      <c r="T71" s="423">
        <f t="shared" si="15"/>
        <v>-647</v>
      </c>
    </row>
    <row r="72" spans="1:20" outlineLevel="1">
      <c r="A72" s="418" t="s">
        <v>702</v>
      </c>
      <c r="C72" s="423">
        <v>0</v>
      </c>
      <c r="D72" s="423">
        <v>-72</v>
      </c>
      <c r="E72" s="423">
        <v>-4</v>
      </c>
      <c r="F72" s="423">
        <v>-4</v>
      </c>
      <c r="G72" s="423">
        <v>-1</v>
      </c>
      <c r="H72" s="423">
        <v>0</v>
      </c>
      <c r="I72" s="423">
        <v>-5</v>
      </c>
      <c r="J72" s="423">
        <v>-6</v>
      </c>
      <c r="K72" s="423">
        <v>-1</v>
      </c>
      <c r="L72" s="423"/>
      <c r="M72" s="423"/>
      <c r="N72" s="423"/>
      <c r="O72" s="423"/>
      <c r="P72" s="423"/>
      <c r="Q72" s="423"/>
      <c r="R72" s="423"/>
      <c r="T72" s="423">
        <f t="shared" si="15"/>
        <v>-1</v>
      </c>
    </row>
    <row r="73" spans="1:20" outlineLevel="1">
      <c r="A73" s="418" t="s">
        <v>704</v>
      </c>
      <c r="C73" s="423">
        <v>-12</v>
      </c>
      <c r="D73" s="423">
        <v>-41</v>
      </c>
      <c r="E73" s="423">
        <v>-256</v>
      </c>
      <c r="F73" s="423">
        <v>-93</v>
      </c>
      <c r="G73" s="423">
        <v>-36</v>
      </c>
      <c r="H73" s="423">
        <v>-179</v>
      </c>
      <c r="I73" s="423">
        <v>-178</v>
      </c>
      <c r="J73" s="423">
        <v>-278</v>
      </c>
      <c r="K73" s="423">
        <v>-87</v>
      </c>
      <c r="L73" s="423"/>
      <c r="M73" s="423"/>
      <c r="N73" s="423"/>
      <c r="O73" s="423"/>
      <c r="P73" s="423"/>
      <c r="Q73" s="423"/>
      <c r="R73" s="423"/>
      <c r="T73" s="423">
        <f t="shared" si="15"/>
        <v>-87</v>
      </c>
    </row>
    <row r="74" spans="1:20" outlineLevel="1">
      <c r="A74" s="418" t="s">
        <v>706</v>
      </c>
      <c r="C74" s="423">
        <v>0</v>
      </c>
      <c r="D74" s="423">
        <v>0</v>
      </c>
      <c r="E74" s="423">
        <v>0</v>
      </c>
      <c r="F74" s="423">
        <v>0</v>
      </c>
      <c r="G74" s="423">
        <v>0</v>
      </c>
      <c r="H74" s="423">
        <v>0</v>
      </c>
      <c r="I74" s="423">
        <v>0</v>
      </c>
      <c r="J74" s="423">
        <v>0</v>
      </c>
      <c r="K74" s="423">
        <v>0</v>
      </c>
      <c r="L74" s="423"/>
      <c r="M74" s="423"/>
      <c r="N74" s="423"/>
      <c r="O74" s="423"/>
      <c r="P74" s="423"/>
      <c r="Q74" s="423"/>
      <c r="R74" s="423"/>
      <c r="T74" s="423">
        <f t="shared" si="15"/>
        <v>0</v>
      </c>
    </row>
    <row r="75" spans="1:20" outlineLevel="1">
      <c r="A75" s="418" t="s">
        <v>708</v>
      </c>
      <c r="C75" s="423">
        <v>0</v>
      </c>
      <c r="D75" s="423">
        <v>0</v>
      </c>
      <c r="E75" s="423">
        <v>0</v>
      </c>
      <c r="F75" s="423">
        <v>0</v>
      </c>
      <c r="G75" s="423">
        <v>0</v>
      </c>
      <c r="H75" s="423">
        <v>0</v>
      </c>
      <c r="I75" s="423">
        <v>0</v>
      </c>
      <c r="J75" s="423">
        <v>0</v>
      </c>
      <c r="K75" s="423">
        <v>0</v>
      </c>
      <c r="L75" s="423"/>
      <c r="M75" s="423"/>
      <c r="N75" s="423"/>
      <c r="O75" s="423"/>
      <c r="P75" s="423"/>
      <c r="Q75" s="423"/>
      <c r="R75" s="423"/>
      <c r="T75" s="423">
        <f t="shared" si="15"/>
        <v>0</v>
      </c>
    </row>
    <row r="76" spans="1:20" outlineLevel="1">
      <c r="A76" s="418" t="s">
        <v>710</v>
      </c>
      <c r="C76" s="423">
        <v>0</v>
      </c>
      <c r="D76" s="423">
        <v>0</v>
      </c>
      <c r="E76" s="423">
        <v>0</v>
      </c>
      <c r="F76" s="423">
        <v>0</v>
      </c>
      <c r="G76" s="423">
        <v>0</v>
      </c>
      <c r="H76" s="423">
        <v>0</v>
      </c>
      <c r="I76" s="423">
        <v>0</v>
      </c>
      <c r="J76" s="423">
        <v>0</v>
      </c>
      <c r="K76" s="423">
        <v>0</v>
      </c>
      <c r="L76" s="423"/>
      <c r="M76" s="423"/>
      <c r="N76" s="423"/>
      <c r="O76" s="423"/>
      <c r="P76" s="423"/>
      <c r="Q76" s="423"/>
      <c r="R76" s="423"/>
      <c r="T76" s="423">
        <f t="shared" si="15"/>
        <v>0</v>
      </c>
    </row>
    <row r="77" spans="1:20">
      <c r="A77" s="417" t="s">
        <v>712</v>
      </c>
      <c r="C77" s="422">
        <v>0</v>
      </c>
      <c r="D77" s="422">
        <v>0</v>
      </c>
      <c r="E77" s="422">
        <v>0</v>
      </c>
      <c r="F77" s="422">
        <v>0</v>
      </c>
      <c r="G77" s="422">
        <v>0</v>
      </c>
      <c r="H77" s="422">
        <v>0</v>
      </c>
      <c r="I77" s="422">
        <v>0</v>
      </c>
      <c r="J77" s="422"/>
      <c r="K77" s="422"/>
      <c r="L77" s="422"/>
      <c r="M77" s="422"/>
      <c r="N77" s="422"/>
      <c r="O77" s="422"/>
      <c r="P77" s="422"/>
      <c r="Q77" s="422"/>
      <c r="R77" s="422"/>
      <c r="T77" s="422">
        <f t="shared" si="15"/>
        <v>0</v>
      </c>
    </row>
    <row r="78" spans="1:20">
      <c r="A78" s="417" t="s">
        <v>714</v>
      </c>
      <c r="C78" s="422">
        <f t="shared" ref="C78:H78" si="16">SUM(C79:C80)</f>
        <v>0</v>
      </c>
      <c r="D78" s="422">
        <f t="shared" si="16"/>
        <v>0</v>
      </c>
      <c r="E78" s="422">
        <f t="shared" si="16"/>
        <v>0</v>
      </c>
      <c r="F78" s="422">
        <f t="shared" si="16"/>
        <v>-54</v>
      </c>
      <c r="G78" s="422">
        <f t="shared" si="16"/>
        <v>0</v>
      </c>
      <c r="H78" s="422">
        <f t="shared" si="16"/>
        <v>-5</v>
      </c>
      <c r="I78" s="422">
        <f>SUM(I79:I80)</f>
        <v>-6</v>
      </c>
      <c r="J78" s="422">
        <f>SUM(J79:J80)</f>
        <v>-1929</v>
      </c>
      <c r="K78" s="422">
        <f>SUM(K79:K80)</f>
        <v>-12</v>
      </c>
      <c r="L78" s="422"/>
      <c r="M78" s="422"/>
      <c r="N78" s="422"/>
      <c r="O78" s="422"/>
      <c r="P78" s="422"/>
      <c r="Q78" s="422"/>
      <c r="R78" s="422"/>
      <c r="T78" s="422">
        <f>SUM(T79:T80)</f>
        <v>-12</v>
      </c>
    </row>
    <row r="79" spans="1:20" outlineLevel="1">
      <c r="A79" s="418" t="s">
        <v>716</v>
      </c>
      <c r="C79" s="423">
        <v>0</v>
      </c>
      <c r="D79" s="423">
        <v>0</v>
      </c>
      <c r="E79" s="423">
        <v>0</v>
      </c>
      <c r="F79" s="423">
        <v>-54</v>
      </c>
      <c r="G79" s="423">
        <v>0</v>
      </c>
      <c r="H79" s="423">
        <v>-5</v>
      </c>
      <c r="I79" s="423">
        <v>-6</v>
      </c>
      <c r="J79" s="423">
        <v>128</v>
      </c>
      <c r="K79" s="423">
        <v>-12</v>
      </c>
      <c r="L79" s="423"/>
      <c r="M79" s="423"/>
      <c r="N79" s="423"/>
      <c r="O79" s="423"/>
      <c r="P79" s="423"/>
      <c r="Q79" s="423"/>
      <c r="R79" s="423"/>
      <c r="T79" s="423">
        <f>K79</f>
        <v>-12</v>
      </c>
    </row>
    <row r="80" spans="1:20" outlineLevel="1">
      <c r="A80" s="418" t="s">
        <v>718</v>
      </c>
      <c r="C80" s="423">
        <v>0</v>
      </c>
      <c r="D80" s="423">
        <v>0</v>
      </c>
      <c r="E80" s="423">
        <v>0</v>
      </c>
      <c r="F80" s="423">
        <v>0</v>
      </c>
      <c r="G80" s="423">
        <v>0</v>
      </c>
      <c r="H80" s="423">
        <v>0</v>
      </c>
      <c r="I80" s="423">
        <v>0</v>
      </c>
      <c r="J80" s="423">
        <v>-2057</v>
      </c>
      <c r="K80" s="423">
        <v>0</v>
      </c>
      <c r="L80" s="423"/>
      <c r="M80" s="423"/>
      <c r="N80" s="423"/>
      <c r="O80" s="423"/>
      <c r="P80" s="423"/>
      <c r="Q80" s="423"/>
      <c r="R80" s="423"/>
      <c r="T80" s="423">
        <f>K80</f>
        <v>0</v>
      </c>
    </row>
    <row r="82" spans="1:20">
      <c r="A82" s="429" t="s">
        <v>722</v>
      </c>
      <c r="C82" s="420">
        <f t="shared" ref="C82:H82" si="17">C84-C75-C52-C76</f>
        <v>16139</v>
      </c>
      <c r="D82" s="420">
        <f t="shared" si="17"/>
        <v>40411</v>
      </c>
      <c r="E82" s="420">
        <f t="shared" si="17"/>
        <v>62681</v>
      </c>
      <c r="F82" s="420">
        <f t="shared" si="17"/>
        <v>81692</v>
      </c>
      <c r="G82" s="420">
        <f t="shared" si="17"/>
        <v>24651</v>
      </c>
      <c r="H82" s="420">
        <f t="shared" si="17"/>
        <v>64506</v>
      </c>
      <c r="I82" s="420">
        <f>I84-I75-I52-I76</f>
        <v>102418</v>
      </c>
      <c r="J82" s="420">
        <f>J84-J75-J52-J76</f>
        <v>120233</v>
      </c>
      <c r="K82" s="420">
        <f>K84-K75-K52-K76</f>
        <v>16789</v>
      </c>
      <c r="L82" s="420"/>
      <c r="M82" s="420"/>
      <c r="N82" s="420"/>
      <c r="O82" s="420"/>
      <c r="P82" s="420"/>
      <c r="Q82" s="420"/>
      <c r="R82" s="420"/>
      <c r="T82" s="420">
        <f>T84-T75-T52-T76</f>
        <v>16789</v>
      </c>
    </row>
    <row r="83" spans="1:20">
      <c r="A83" s="417"/>
      <c r="C83" s="417"/>
      <c r="D83" s="417"/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T83" s="417"/>
    </row>
    <row r="84" spans="1:20">
      <c r="A84" s="429" t="s">
        <v>723</v>
      </c>
      <c r="C84" s="420">
        <f t="shared" ref="C84:H84" si="18">C57+C59</f>
        <v>16138</v>
      </c>
      <c r="D84" s="420">
        <f t="shared" si="18"/>
        <v>40408</v>
      </c>
      <c r="E84" s="420">
        <f t="shared" si="18"/>
        <v>62677</v>
      </c>
      <c r="F84" s="420">
        <f t="shared" si="18"/>
        <v>81473</v>
      </c>
      <c r="G84" s="420">
        <f t="shared" si="18"/>
        <v>24650</v>
      </c>
      <c r="H84" s="420">
        <f t="shared" si="18"/>
        <v>64503</v>
      </c>
      <c r="I84" s="420">
        <f>I57+I59</f>
        <v>102414</v>
      </c>
      <c r="J84" s="420">
        <f>J57+J59</f>
        <v>120227</v>
      </c>
      <c r="K84" s="420">
        <f>K57+K59</f>
        <v>16788</v>
      </c>
      <c r="L84" s="420"/>
      <c r="M84" s="420"/>
      <c r="N84" s="420"/>
      <c r="O84" s="420"/>
      <c r="P84" s="420"/>
      <c r="Q84" s="420"/>
      <c r="R84" s="420"/>
      <c r="T84" s="420">
        <f>T57+T59</f>
        <v>16788</v>
      </c>
    </row>
    <row r="85" spans="1:20">
      <c r="A85" s="417"/>
      <c r="C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T85" s="417"/>
    </row>
    <row r="86" spans="1:20">
      <c r="A86" s="429" t="s">
        <v>725</v>
      </c>
      <c r="C86" s="420">
        <f t="shared" ref="C86:H86" si="19">C88+C97</f>
        <v>-13164</v>
      </c>
      <c r="D86" s="420">
        <f t="shared" si="19"/>
        <v>-28326</v>
      </c>
      <c r="E86" s="420">
        <f t="shared" si="19"/>
        <v>-39550</v>
      </c>
      <c r="F86" s="420">
        <f t="shared" si="19"/>
        <v>-52200</v>
      </c>
      <c r="G86" s="420">
        <f t="shared" si="19"/>
        <v>-14061</v>
      </c>
      <c r="H86" s="420">
        <f t="shared" si="19"/>
        <v>-24500</v>
      </c>
      <c r="I86" s="420">
        <f>I88+I97</f>
        <v>-34200</v>
      </c>
      <c r="J86" s="420">
        <f>J88+J97</f>
        <v>-50915</v>
      </c>
      <c r="K86" s="420">
        <f>K88+K97</f>
        <v>-11550</v>
      </c>
      <c r="L86" s="420"/>
      <c r="M86" s="420"/>
      <c r="N86" s="420"/>
      <c r="O86" s="420"/>
      <c r="P86" s="420"/>
      <c r="Q86" s="420"/>
      <c r="R86" s="420"/>
      <c r="T86" s="420">
        <f>T88+T97</f>
        <v>-11550</v>
      </c>
    </row>
    <row r="87" spans="1:20">
      <c r="A87" s="416"/>
      <c r="C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T87" s="417"/>
    </row>
    <row r="88" spans="1:20">
      <c r="A88" s="417" t="s">
        <v>727</v>
      </c>
      <c r="C88" s="424">
        <f t="shared" ref="C88:H88" si="20">SUM(C89:C96)</f>
        <v>2585</v>
      </c>
      <c r="D88" s="424">
        <f t="shared" si="20"/>
        <v>5931</v>
      </c>
      <c r="E88" s="424">
        <f t="shared" si="20"/>
        <v>10909</v>
      </c>
      <c r="F88" s="424">
        <f t="shared" si="20"/>
        <v>15696</v>
      </c>
      <c r="G88" s="424">
        <f t="shared" si="20"/>
        <v>5829</v>
      </c>
      <c r="H88" s="424">
        <f t="shared" si="20"/>
        <v>13031</v>
      </c>
      <c r="I88" s="424">
        <f>SUM(I89:I96)</f>
        <v>20655</v>
      </c>
      <c r="J88" s="424">
        <f>SUM(J89:J96)</f>
        <v>27075</v>
      </c>
      <c r="K88" s="424">
        <f>SUM(K89:K96)</f>
        <v>4644</v>
      </c>
      <c r="L88" s="424"/>
      <c r="M88" s="424"/>
      <c r="N88" s="424"/>
      <c r="O88" s="424"/>
      <c r="P88" s="424"/>
      <c r="Q88" s="424"/>
      <c r="R88" s="424"/>
      <c r="T88" s="424">
        <f>SUM(T89:T96)</f>
        <v>4644</v>
      </c>
    </row>
    <row r="89" spans="1:20" outlineLevel="1">
      <c r="A89" s="418" t="s">
        <v>729</v>
      </c>
      <c r="C89" s="423">
        <v>2711</v>
      </c>
      <c r="D89" s="423">
        <v>6208</v>
      </c>
      <c r="E89" s="423">
        <v>11429</v>
      </c>
      <c r="F89" s="423">
        <v>16444</v>
      </c>
      <c r="G89" s="423">
        <v>6100</v>
      </c>
      <c r="H89" s="423">
        <v>13650</v>
      </c>
      <c r="I89" s="423">
        <v>21646</v>
      </c>
      <c r="J89" s="423">
        <v>28322</v>
      </c>
      <c r="K89" s="423">
        <v>4870</v>
      </c>
      <c r="L89" s="423"/>
      <c r="M89" s="423"/>
      <c r="N89" s="423"/>
      <c r="O89" s="423"/>
      <c r="P89" s="423"/>
      <c r="Q89" s="423"/>
      <c r="R89" s="423"/>
      <c r="T89" s="423">
        <f t="shared" ref="T89:T96" si="21">K89</f>
        <v>4870</v>
      </c>
    </row>
    <row r="90" spans="1:20" outlineLevel="1">
      <c r="A90" s="418" t="s">
        <v>730</v>
      </c>
      <c r="C90" s="423">
        <v>-126</v>
      </c>
      <c r="D90" s="423">
        <v>-289</v>
      </c>
      <c r="E90" s="423">
        <v>-532</v>
      </c>
      <c r="F90" s="423">
        <v>-765</v>
      </c>
      <c r="G90" s="423">
        <v>-284</v>
      </c>
      <c r="H90" s="423">
        <v>-635</v>
      </c>
      <c r="I90" s="423">
        <v>-1007</v>
      </c>
      <c r="J90" s="423">
        <v>-1267</v>
      </c>
      <c r="K90" s="423">
        <v>-227</v>
      </c>
      <c r="L90" s="423"/>
      <c r="M90" s="423"/>
      <c r="N90" s="423"/>
      <c r="O90" s="423"/>
      <c r="P90" s="423"/>
      <c r="Q90" s="423"/>
      <c r="R90" s="423"/>
      <c r="T90" s="423">
        <f t="shared" si="21"/>
        <v>-227</v>
      </c>
    </row>
    <row r="91" spans="1:20" outlineLevel="1">
      <c r="A91" s="418" t="s">
        <v>732</v>
      </c>
      <c r="C91" s="423">
        <v>0</v>
      </c>
      <c r="D91" s="423">
        <v>0</v>
      </c>
      <c r="E91" s="423">
        <v>0</v>
      </c>
      <c r="F91" s="423">
        <v>0</v>
      </c>
      <c r="G91" s="423">
        <v>0</v>
      </c>
      <c r="H91" s="423">
        <v>0</v>
      </c>
      <c r="I91" s="423">
        <v>0</v>
      </c>
      <c r="J91" s="423">
        <v>0</v>
      </c>
      <c r="K91" s="423">
        <v>0</v>
      </c>
      <c r="L91" s="423"/>
      <c r="M91" s="423"/>
      <c r="N91" s="423"/>
      <c r="O91" s="423"/>
      <c r="P91" s="423"/>
      <c r="Q91" s="423"/>
      <c r="R91" s="423"/>
      <c r="T91" s="423">
        <f t="shared" si="21"/>
        <v>0</v>
      </c>
    </row>
    <row r="92" spans="1:20" outlineLevel="1">
      <c r="A92" s="418" t="s">
        <v>733</v>
      </c>
      <c r="C92" s="423">
        <v>0</v>
      </c>
      <c r="D92" s="423">
        <v>0</v>
      </c>
      <c r="E92" s="423">
        <v>0</v>
      </c>
      <c r="F92" s="423">
        <v>0</v>
      </c>
      <c r="G92" s="423">
        <v>0</v>
      </c>
      <c r="H92" s="423">
        <v>0</v>
      </c>
      <c r="I92" s="423">
        <v>0</v>
      </c>
      <c r="J92" s="423">
        <v>0</v>
      </c>
      <c r="K92" s="423">
        <v>0</v>
      </c>
      <c r="L92" s="423"/>
      <c r="M92" s="423"/>
      <c r="N92" s="423"/>
      <c r="O92" s="423"/>
      <c r="P92" s="423"/>
      <c r="Q92" s="423"/>
      <c r="R92" s="423"/>
      <c r="T92" s="423">
        <f t="shared" si="21"/>
        <v>0</v>
      </c>
    </row>
    <row r="93" spans="1:20" outlineLevel="1">
      <c r="A93" s="418" t="s">
        <v>735</v>
      </c>
      <c r="C93" s="423">
        <v>0</v>
      </c>
      <c r="D93" s="423">
        <v>0</v>
      </c>
      <c r="E93" s="423">
        <v>0</v>
      </c>
      <c r="F93" s="423">
        <v>0</v>
      </c>
      <c r="G93" s="423">
        <v>0</v>
      </c>
      <c r="H93" s="423">
        <v>0</v>
      </c>
      <c r="I93" s="423">
        <v>0</v>
      </c>
      <c r="J93" s="423">
        <v>0</v>
      </c>
      <c r="K93" s="423">
        <v>0</v>
      </c>
      <c r="L93" s="423"/>
      <c r="M93" s="423"/>
      <c r="N93" s="423"/>
      <c r="O93" s="423"/>
      <c r="P93" s="423"/>
      <c r="Q93" s="423"/>
      <c r="R93" s="423"/>
      <c r="T93" s="423">
        <f t="shared" si="21"/>
        <v>0</v>
      </c>
    </row>
    <row r="94" spans="1:20" outlineLevel="1">
      <c r="A94" s="418" t="s">
        <v>737</v>
      </c>
      <c r="C94" s="423">
        <v>0</v>
      </c>
      <c r="D94" s="423">
        <v>0</v>
      </c>
      <c r="E94" s="423">
        <v>0</v>
      </c>
      <c r="F94" s="423">
        <v>0</v>
      </c>
      <c r="G94" s="423">
        <v>0</v>
      </c>
      <c r="H94" s="423">
        <v>0</v>
      </c>
      <c r="I94" s="423">
        <v>0</v>
      </c>
      <c r="J94" s="423">
        <v>0</v>
      </c>
      <c r="K94" s="423">
        <v>0</v>
      </c>
      <c r="L94" s="423"/>
      <c r="M94" s="423"/>
      <c r="N94" s="423"/>
      <c r="O94" s="423"/>
      <c r="P94" s="423"/>
      <c r="Q94" s="423"/>
      <c r="R94" s="423"/>
      <c r="T94" s="423">
        <f t="shared" si="21"/>
        <v>0</v>
      </c>
    </row>
    <row r="95" spans="1:20" outlineLevel="1">
      <c r="A95" s="418" t="s">
        <v>739</v>
      </c>
      <c r="C95" s="423">
        <v>0</v>
      </c>
      <c r="D95" s="423">
        <v>12</v>
      </c>
      <c r="E95" s="423">
        <v>12</v>
      </c>
      <c r="F95" s="423">
        <v>0</v>
      </c>
      <c r="G95" s="423">
        <v>0</v>
      </c>
      <c r="H95" s="423">
        <v>0</v>
      </c>
      <c r="I95" s="423">
        <v>0</v>
      </c>
      <c r="J95" s="423">
        <v>0</v>
      </c>
      <c r="K95" s="423">
        <v>0</v>
      </c>
      <c r="L95" s="423"/>
      <c r="M95" s="423"/>
      <c r="N95" s="423"/>
      <c r="O95" s="423"/>
      <c r="P95" s="423"/>
      <c r="Q95" s="423"/>
      <c r="R95" s="423"/>
      <c r="T95" s="423">
        <f t="shared" si="21"/>
        <v>0</v>
      </c>
    </row>
    <row r="96" spans="1:20" outlineLevel="1">
      <c r="A96" s="418" t="s">
        <v>742</v>
      </c>
      <c r="C96" s="423">
        <v>0</v>
      </c>
      <c r="D96" s="423">
        <v>0</v>
      </c>
      <c r="E96" s="423">
        <v>0</v>
      </c>
      <c r="F96" s="423">
        <v>17</v>
      </c>
      <c r="G96" s="423">
        <v>13</v>
      </c>
      <c r="H96" s="423">
        <v>16</v>
      </c>
      <c r="I96" s="423">
        <v>16</v>
      </c>
      <c r="J96" s="423">
        <v>20</v>
      </c>
      <c r="K96" s="423">
        <v>1</v>
      </c>
      <c r="L96" s="423"/>
      <c r="M96" s="423"/>
      <c r="N96" s="423"/>
      <c r="O96" s="423"/>
      <c r="P96" s="423"/>
      <c r="Q96" s="423"/>
      <c r="R96" s="423"/>
      <c r="T96" s="423">
        <f t="shared" si="21"/>
        <v>1</v>
      </c>
    </row>
    <row r="97" spans="1:20">
      <c r="A97" s="417" t="s">
        <v>744</v>
      </c>
      <c r="C97" s="422">
        <f t="shared" ref="C97:H97" si="22">SUM(C98:C106)</f>
        <v>-15749</v>
      </c>
      <c r="D97" s="422">
        <f t="shared" si="22"/>
        <v>-34257</v>
      </c>
      <c r="E97" s="422">
        <f t="shared" si="22"/>
        <v>-50459</v>
      </c>
      <c r="F97" s="422">
        <f t="shared" si="22"/>
        <v>-67896</v>
      </c>
      <c r="G97" s="422">
        <f t="shared" si="22"/>
        <v>-19890</v>
      </c>
      <c r="H97" s="422">
        <f t="shared" si="22"/>
        <v>-37531</v>
      </c>
      <c r="I97" s="422">
        <f>SUM(I98:I106)</f>
        <v>-54855</v>
      </c>
      <c r="J97" s="422">
        <f>SUM(J98:J106)</f>
        <v>-77990</v>
      </c>
      <c r="K97" s="422">
        <f>SUM(K98:K106)</f>
        <v>-16194</v>
      </c>
      <c r="L97" s="422"/>
      <c r="M97" s="422"/>
      <c r="N97" s="422"/>
      <c r="O97" s="422"/>
      <c r="P97" s="422"/>
      <c r="Q97" s="422"/>
      <c r="R97" s="422"/>
      <c r="T97" s="422">
        <f>SUM(T98:T106)</f>
        <v>-16194</v>
      </c>
    </row>
    <row r="98" spans="1:20" outlineLevel="1">
      <c r="A98" s="418" t="s">
        <v>746</v>
      </c>
      <c r="C98" s="423">
        <v>-12703</v>
      </c>
      <c r="D98" s="423">
        <v>-27381</v>
      </c>
      <c r="E98" s="423">
        <v>-44205</v>
      </c>
      <c r="F98" s="423">
        <v>-59996</v>
      </c>
      <c r="G98" s="423">
        <v>-16593</v>
      </c>
      <c r="H98" s="423">
        <v>-32269</v>
      </c>
      <c r="I98" s="423">
        <v>-48853</v>
      </c>
      <c r="J98" s="423">
        <v>-62697</v>
      </c>
      <c r="K98" s="423">
        <v>-13239</v>
      </c>
      <c r="L98" s="423"/>
      <c r="M98" s="423"/>
      <c r="N98" s="423"/>
      <c r="O98" s="423"/>
      <c r="P98" s="423"/>
      <c r="Q98" s="423"/>
      <c r="R98" s="423"/>
      <c r="T98" s="423">
        <f t="shared" ref="T98:T106" si="23">K98</f>
        <v>-13239</v>
      </c>
    </row>
    <row r="99" spans="1:20" outlineLevel="1">
      <c r="A99" s="418" t="s">
        <v>748</v>
      </c>
      <c r="C99" s="423">
        <v>0</v>
      </c>
      <c r="D99" s="423">
        <v>0</v>
      </c>
      <c r="E99" s="423">
        <v>0</v>
      </c>
      <c r="F99" s="423">
        <v>0</v>
      </c>
      <c r="G99" s="423">
        <v>0</v>
      </c>
      <c r="H99" s="423">
        <v>0</v>
      </c>
      <c r="I99" s="423">
        <v>0</v>
      </c>
      <c r="J99" s="423">
        <v>0</v>
      </c>
      <c r="K99" s="423">
        <v>0</v>
      </c>
      <c r="L99" s="423"/>
      <c r="M99" s="423"/>
      <c r="N99" s="423"/>
      <c r="O99" s="423"/>
      <c r="P99" s="423"/>
      <c r="Q99" s="423"/>
      <c r="R99" s="423"/>
      <c r="T99" s="423">
        <f t="shared" si="23"/>
        <v>0</v>
      </c>
    </row>
    <row r="100" spans="1:20" outlineLevel="1">
      <c r="A100" s="418" t="s">
        <v>750</v>
      </c>
      <c r="C100" s="423">
        <v>-2791</v>
      </c>
      <c r="D100" s="423">
        <v>-6310</v>
      </c>
      <c r="E100" s="423">
        <v>-5321</v>
      </c>
      <c r="F100" s="423">
        <v>-6706</v>
      </c>
      <c r="G100" s="423">
        <v>-2860</v>
      </c>
      <c r="H100" s="423">
        <v>-4428</v>
      </c>
      <c r="I100" s="423">
        <v>-4782</v>
      </c>
      <c r="J100" s="423">
        <v>-5545</v>
      </c>
      <c r="K100" s="423">
        <v>-1822</v>
      </c>
      <c r="L100" s="423"/>
      <c r="M100" s="423"/>
      <c r="N100" s="423"/>
      <c r="O100" s="423"/>
      <c r="P100" s="423"/>
      <c r="Q100" s="423"/>
      <c r="R100" s="423"/>
      <c r="T100" s="423">
        <f t="shared" si="23"/>
        <v>-1822</v>
      </c>
    </row>
    <row r="101" spans="1:20" outlineLevel="1">
      <c r="A101" s="418" t="s">
        <v>752</v>
      </c>
      <c r="C101" s="423">
        <v>0</v>
      </c>
      <c r="D101" s="423">
        <v>0</v>
      </c>
      <c r="E101" s="423">
        <v>0</v>
      </c>
      <c r="F101" s="423">
        <v>0</v>
      </c>
      <c r="G101" s="423">
        <v>0</v>
      </c>
      <c r="H101" s="423">
        <v>0</v>
      </c>
      <c r="I101" s="423">
        <v>0</v>
      </c>
      <c r="J101" s="423">
        <v>0</v>
      </c>
      <c r="K101" s="423">
        <v>0</v>
      </c>
      <c r="L101" s="423"/>
      <c r="M101" s="423"/>
      <c r="N101" s="423"/>
      <c r="O101" s="423"/>
      <c r="P101" s="423"/>
      <c r="Q101" s="423"/>
      <c r="R101" s="423"/>
      <c r="T101" s="423">
        <f t="shared" si="23"/>
        <v>0</v>
      </c>
    </row>
    <row r="102" spans="1:20" outlineLevel="1">
      <c r="A102" s="418" t="s">
        <v>754</v>
      </c>
      <c r="C102" s="423">
        <v>0</v>
      </c>
      <c r="D102" s="423">
        <v>0</v>
      </c>
      <c r="E102" s="423">
        <v>0</v>
      </c>
      <c r="F102" s="423">
        <v>0</v>
      </c>
      <c r="G102" s="423">
        <v>0</v>
      </c>
      <c r="H102" s="423">
        <v>0</v>
      </c>
      <c r="I102" s="423">
        <v>0</v>
      </c>
      <c r="J102" s="423">
        <v>0</v>
      </c>
      <c r="K102" s="423">
        <v>0</v>
      </c>
      <c r="L102" s="423"/>
      <c r="M102" s="423"/>
      <c r="N102" s="423"/>
      <c r="O102" s="423"/>
      <c r="P102" s="423"/>
      <c r="Q102" s="423"/>
      <c r="R102" s="423"/>
      <c r="T102" s="423">
        <f t="shared" si="23"/>
        <v>0</v>
      </c>
    </row>
    <row r="103" spans="1:20" outlineLevel="1">
      <c r="A103" s="418" t="s">
        <v>756</v>
      </c>
      <c r="C103" s="423">
        <v>-14</v>
      </c>
      <c r="D103" s="423">
        <v>-20</v>
      </c>
      <c r="E103" s="423">
        <v>-41</v>
      </c>
      <c r="F103" s="423">
        <v>-42</v>
      </c>
      <c r="G103" s="423">
        <v>-2</v>
      </c>
      <c r="H103" s="423">
        <v>-2</v>
      </c>
      <c r="I103" s="423">
        <v>-2</v>
      </c>
      <c r="J103" s="423">
        <v>-1729</v>
      </c>
      <c r="K103" s="423">
        <v>0</v>
      </c>
      <c r="L103" s="423"/>
      <c r="M103" s="423"/>
      <c r="N103" s="423"/>
      <c r="O103" s="423"/>
      <c r="P103" s="423"/>
      <c r="Q103" s="423"/>
      <c r="R103" s="423"/>
      <c r="T103" s="423">
        <f t="shared" si="23"/>
        <v>0</v>
      </c>
    </row>
    <row r="104" spans="1:20" outlineLevel="1">
      <c r="A104" s="418" t="s">
        <v>758</v>
      </c>
      <c r="C104" s="423">
        <v>0</v>
      </c>
      <c r="D104" s="423">
        <v>0</v>
      </c>
      <c r="E104" s="423">
        <v>0</v>
      </c>
      <c r="F104" s="423">
        <v>0</v>
      </c>
      <c r="G104" s="423">
        <v>0</v>
      </c>
      <c r="H104" s="423">
        <v>0</v>
      </c>
      <c r="I104" s="423">
        <v>0</v>
      </c>
      <c r="J104" s="423">
        <v>0</v>
      </c>
      <c r="K104" s="423">
        <v>0</v>
      </c>
      <c r="L104" s="423"/>
      <c r="M104" s="423"/>
      <c r="N104" s="423"/>
      <c r="O104" s="423"/>
      <c r="P104" s="423"/>
      <c r="Q104" s="423"/>
      <c r="R104" s="423"/>
      <c r="T104" s="423">
        <f t="shared" si="23"/>
        <v>0</v>
      </c>
    </row>
    <row r="105" spans="1:20" outlineLevel="1">
      <c r="A105" s="418" t="s">
        <v>760</v>
      </c>
      <c r="C105" s="423">
        <v>-177</v>
      </c>
      <c r="D105" s="423">
        <v>-397</v>
      </c>
      <c r="E105" s="423">
        <v>-658</v>
      </c>
      <c r="F105" s="423">
        <v>-827</v>
      </c>
      <c r="G105" s="423">
        <v>-283</v>
      </c>
      <c r="H105" s="423">
        <v>-570</v>
      </c>
      <c r="I105" s="423">
        <v>-876</v>
      </c>
      <c r="J105" s="423">
        <v>-1158</v>
      </c>
      <c r="K105" s="423">
        <v>-271</v>
      </c>
      <c r="L105" s="423"/>
      <c r="M105" s="423"/>
      <c r="N105" s="423"/>
      <c r="O105" s="423"/>
      <c r="P105" s="423"/>
      <c r="Q105" s="423"/>
      <c r="R105" s="423"/>
      <c r="T105" s="423">
        <f t="shared" si="23"/>
        <v>-271</v>
      </c>
    </row>
    <row r="106" spans="1:20" outlineLevel="1">
      <c r="A106" s="418" t="s">
        <v>762</v>
      </c>
      <c r="C106" s="423">
        <v>-64</v>
      </c>
      <c r="D106" s="423">
        <v>-149</v>
      </c>
      <c r="E106" s="423">
        <v>-234</v>
      </c>
      <c r="F106" s="423">
        <v>-325</v>
      </c>
      <c r="G106" s="423">
        <v>-152</v>
      </c>
      <c r="H106" s="423">
        <v>-262</v>
      </c>
      <c r="I106" s="423">
        <v>-342</v>
      </c>
      <c r="J106" s="423">
        <v>-6861</v>
      </c>
      <c r="K106" s="423">
        <v>-862</v>
      </c>
      <c r="L106" s="423"/>
      <c r="M106" s="423"/>
      <c r="N106" s="423"/>
      <c r="O106" s="423"/>
      <c r="P106" s="423"/>
      <c r="Q106" s="423"/>
      <c r="R106" s="423"/>
      <c r="T106" s="423">
        <f t="shared" si="23"/>
        <v>-862</v>
      </c>
    </row>
    <row r="107" spans="1:20">
      <c r="A107" s="417"/>
      <c r="C107" s="417"/>
      <c r="D107" s="417"/>
      <c r="E107" s="417"/>
      <c r="F107" s="417"/>
      <c r="G107" s="417"/>
      <c r="H107" s="417"/>
      <c r="I107" s="417"/>
      <c r="J107" s="417"/>
      <c r="K107" s="417"/>
      <c r="L107" s="417"/>
      <c r="M107" s="417"/>
      <c r="N107" s="417"/>
      <c r="O107" s="417"/>
      <c r="P107" s="417"/>
      <c r="Q107" s="417"/>
      <c r="R107" s="417"/>
      <c r="T107" s="417"/>
    </row>
    <row r="108" spans="1:20">
      <c r="A108" s="429" t="s">
        <v>764</v>
      </c>
      <c r="C108" s="420">
        <f t="shared" ref="C108:H108" si="24">C84+C86</f>
        <v>2974</v>
      </c>
      <c r="D108" s="420">
        <f t="shared" si="24"/>
        <v>12082</v>
      </c>
      <c r="E108" s="420">
        <f t="shared" si="24"/>
        <v>23127</v>
      </c>
      <c r="F108" s="420">
        <f t="shared" si="24"/>
        <v>29273</v>
      </c>
      <c r="G108" s="420">
        <f t="shared" si="24"/>
        <v>10589</v>
      </c>
      <c r="H108" s="420">
        <f t="shared" si="24"/>
        <v>40003</v>
      </c>
      <c r="I108" s="420">
        <f>I84+I86</f>
        <v>68214</v>
      </c>
      <c r="J108" s="420">
        <f>J84+J86</f>
        <v>69312</v>
      </c>
      <c r="K108" s="420">
        <f>K84+K86</f>
        <v>5238</v>
      </c>
      <c r="L108" s="420"/>
      <c r="M108" s="420"/>
      <c r="N108" s="420"/>
      <c r="O108" s="420"/>
      <c r="P108" s="420"/>
      <c r="Q108" s="420"/>
      <c r="R108" s="420"/>
      <c r="T108" s="420">
        <f>T84+T86</f>
        <v>5238</v>
      </c>
    </row>
    <row r="109" spans="1:20">
      <c r="A109" s="417"/>
      <c r="C109" s="417"/>
      <c r="D109" s="417"/>
      <c r="E109" s="417"/>
      <c r="F109" s="417"/>
      <c r="G109" s="417"/>
      <c r="H109" s="417"/>
      <c r="I109" s="417"/>
      <c r="J109" s="417"/>
      <c r="K109" s="417"/>
      <c r="L109" s="417"/>
      <c r="M109" s="417"/>
      <c r="N109" s="417"/>
      <c r="O109" s="417"/>
      <c r="P109" s="417"/>
      <c r="Q109" s="417"/>
      <c r="R109" s="417"/>
      <c r="T109" s="417"/>
    </row>
    <row r="110" spans="1:20">
      <c r="A110" s="416" t="s">
        <v>766</v>
      </c>
      <c r="C110" s="424">
        <f t="shared" ref="C110:H110" si="25">SUM(C112:C115)</f>
        <v>-449</v>
      </c>
      <c r="D110" s="424">
        <f t="shared" si="25"/>
        <v>-1840</v>
      </c>
      <c r="E110" s="424">
        <f t="shared" si="25"/>
        <v>-3532</v>
      </c>
      <c r="F110" s="424">
        <f t="shared" si="25"/>
        <v>-2406</v>
      </c>
      <c r="G110" s="424">
        <f t="shared" si="25"/>
        <v>-1876</v>
      </c>
      <c r="H110" s="424">
        <f t="shared" si="25"/>
        <v>-6624</v>
      </c>
      <c r="I110" s="424">
        <f>SUM(I112:I115)</f>
        <v>-13071</v>
      </c>
      <c r="J110" s="424">
        <f>SUM(J112:J115)</f>
        <v>-21111</v>
      </c>
      <c r="K110" s="424">
        <f>SUM(K112:K115)</f>
        <v>-2036</v>
      </c>
      <c r="L110" s="424"/>
      <c r="M110" s="424"/>
      <c r="N110" s="424"/>
      <c r="O110" s="424"/>
      <c r="P110" s="424"/>
      <c r="Q110" s="424"/>
      <c r="R110" s="424"/>
      <c r="T110" s="424">
        <f>SUM(T112:T115)</f>
        <v>-2036</v>
      </c>
    </row>
    <row r="111" spans="1:20">
      <c r="A111" s="417"/>
      <c r="C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T111" s="417"/>
    </row>
    <row r="112" spans="1:20">
      <c r="A112" s="417" t="s">
        <v>768</v>
      </c>
      <c r="C112" s="425">
        <v>-1558</v>
      </c>
      <c r="D112" s="425">
        <v>-2735</v>
      </c>
      <c r="E112" s="425">
        <v>-4175</v>
      </c>
      <c r="F112" s="425">
        <v>-5844</v>
      </c>
      <c r="G112" s="425">
        <v>-1633</v>
      </c>
      <c r="H112" s="425">
        <v>-3154</v>
      </c>
      <c r="I112" s="425">
        <v>-4812</v>
      </c>
      <c r="J112" s="425">
        <v>-4856</v>
      </c>
      <c r="K112" s="425">
        <v>-270</v>
      </c>
      <c r="L112" s="425"/>
      <c r="M112" s="425"/>
      <c r="N112" s="425"/>
      <c r="O112" s="425"/>
      <c r="P112" s="425"/>
      <c r="Q112" s="425"/>
      <c r="R112" s="425"/>
      <c r="T112" s="425">
        <f>K112</f>
        <v>-270</v>
      </c>
    </row>
    <row r="113" spans="1:20">
      <c r="A113" s="417" t="s">
        <v>770</v>
      </c>
      <c r="C113" s="425">
        <v>-4323</v>
      </c>
      <c r="D113" s="425">
        <v>-7585</v>
      </c>
      <c r="E113" s="425">
        <v>-11580</v>
      </c>
      <c r="F113" s="425">
        <v>-16197</v>
      </c>
      <c r="G113" s="425">
        <v>-4530</v>
      </c>
      <c r="H113" s="425">
        <v>-9253</v>
      </c>
      <c r="I113" s="425">
        <v>-13350</v>
      </c>
      <c r="J113" s="425">
        <v>-16222</v>
      </c>
      <c r="K113" s="425">
        <v>-44</v>
      </c>
      <c r="L113" s="425"/>
      <c r="M113" s="425"/>
      <c r="N113" s="425"/>
      <c r="O113" s="425"/>
      <c r="P113" s="425"/>
      <c r="Q113" s="425"/>
      <c r="R113" s="425"/>
      <c r="T113" s="425">
        <f>K113</f>
        <v>-44</v>
      </c>
    </row>
    <row r="114" spans="1:20">
      <c r="A114" s="417" t="s">
        <v>772</v>
      </c>
      <c r="C114" s="425">
        <v>556</v>
      </c>
      <c r="D114" s="425">
        <v>2256</v>
      </c>
      <c r="E114" s="425">
        <v>4313</v>
      </c>
      <c r="F114" s="425">
        <v>5460</v>
      </c>
      <c r="G114" s="425">
        <v>1718</v>
      </c>
      <c r="H114" s="425">
        <v>6379</v>
      </c>
      <c r="I114" s="425">
        <v>10104</v>
      </c>
      <c r="J114" s="425">
        <v>9154</v>
      </c>
      <c r="K114" s="425">
        <v>0</v>
      </c>
      <c r="L114" s="425"/>
      <c r="M114" s="425"/>
      <c r="N114" s="425"/>
      <c r="O114" s="425"/>
      <c r="P114" s="425"/>
      <c r="Q114" s="425"/>
      <c r="R114" s="425"/>
      <c r="T114" s="425">
        <f>K114</f>
        <v>0</v>
      </c>
    </row>
    <row r="115" spans="1:20">
      <c r="A115" s="417" t="s">
        <v>774</v>
      </c>
      <c r="C115" s="425">
        <v>4876</v>
      </c>
      <c r="D115" s="425">
        <v>6224</v>
      </c>
      <c r="E115" s="425">
        <v>7910</v>
      </c>
      <c r="F115" s="425">
        <v>14175</v>
      </c>
      <c r="G115" s="425">
        <v>2569</v>
      </c>
      <c r="H115" s="425">
        <v>-596</v>
      </c>
      <c r="I115" s="425">
        <v>-5013</v>
      </c>
      <c r="J115" s="425">
        <v>-9187</v>
      </c>
      <c r="K115" s="425">
        <v>-1722</v>
      </c>
      <c r="L115" s="425"/>
      <c r="M115" s="425"/>
      <c r="N115" s="425"/>
      <c r="O115" s="425"/>
      <c r="P115" s="425"/>
      <c r="Q115" s="425"/>
      <c r="R115" s="425"/>
      <c r="T115" s="425">
        <f>K115</f>
        <v>-1722</v>
      </c>
    </row>
    <row r="116" spans="1:20">
      <c r="A116" s="417"/>
      <c r="C116" s="417"/>
      <c r="D116" s="417"/>
      <c r="E116" s="417"/>
      <c r="F116" s="417"/>
      <c r="G116" s="417"/>
      <c r="H116" s="417"/>
      <c r="I116" s="417"/>
      <c r="J116" s="417"/>
      <c r="K116" s="417"/>
      <c r="L116" s="417"/>
      <c r="M116" s="417"/>
      <c r="N116" s="417"/>
      <c r="O116" s="417"/>
      <c r="P116" s="417"/>
      <c r="Q116" s="417"/>
      <c r="R116" s="417"/>
      <c r="T116" s="417"/>
    </row>
    <row r="117" spans="1:20" ht="15" thickBot="1">
      <c r="A117" s="430" t="s">
        <v>776</v>
      </c>
      <c r="C117" s="426">
        <f t="shared" ref="C117:H117" si="26">C108+C110</f>
        <v>2525</v>
      </c>
      <c r="D117" s="426">
        <f t="shared" si="26"/>
        <v>10242</v>
      </c>
      <c r="E117" s="426">
        <f t="shared" si="26"/>
        <v>19595</v>
      </c>
      <c r="F117" s="426">
        <f t="shared" si="26"/>
        <v>26867</v>
      </c>
      <c r="G117" s="426">
        <f t="shared" si="26"/>
        <v>8713</v>
      </c>
      <c r="H117" s="426">
        <f t="shared" si="26"/>
        <v>33379</v>
      </c>
      <c r="I117" s="426">
        <f>I108+I110</f>
        <v>55143</v>
      </c>
      <c r="J117" s="426">
        <f>J108+J110</f>
        <v>48201</v>
      </c>
      <c r="K117" s="426">
        <f>K108+K110</f>
        <v>3202</v>
      </c>
      <c r="L117" s="426"/>
      <c r="M117" s="426"/>
      <c r="N117" s="426"/>
      <c r="O117" s="426"/>
      <c r="P117" s="426"/>
      <c r="Q117" s="426"/>
      <c r="R117" s="426"/>
      <c r="T117" s="426">
        <f>T108+T110</f>
        <v>3202</v>
      </c>
    </row>
    <row r="118" spans="1:20" ht="15" thickTop="1">
      <c r="A118" s="417"/>
      <c r="C118" s="417"/>
      <c r="D118" s="417"/>
      <c r="E118" s="417"/>
      <c r="F118" s="417"/>
      <c r="G118" s="417"/>
      <c r="H118" s="417"/>
      <c r="I118" s="417"/>
      <c r="J118" s="417"/>
      <c r="K118" s="417"/>
      <c r="L118" s="417"/>
      <c r="M118" s="417"/>
      <c r="N118" s="417"/>
      <c r="O118" s="417"/>
      <c r="P118" s="417"/>
      <c r="Q118" s="417"/>
      <c r="R118" s="417"/>
      <c r="T118" s="417"/>
    </row>
    <row r="119" spans="1:20">
      <c r="A119" s="416" t="s">
        <v>778</v>
      </c>
      <c r="C119" s="425"/>
      <c r="D119" s="425"/>
      <c r="E119" s="425"/>
      <c r="F119" s="425"/>
      <c r="G119" s="425"/>
      <c r="H119" s="425"/>
      <c r="I119" s="425"/>
      <c r="J119" s="425"/>
      <c r="K119" s="425"/>
      <c r="L119" s="425"/>
      <c r="M119" s="425"/>
      <c r="N119" s="425"/>
      <c r="O119" s="425"/>
      <c r="P119" s="425"/>
      <c r="Q119" s="425"/>
      <c r="R119" s="425"/>
      <c r="T119" s="425"/>
    </row>
    <row r="120" spans="1:20">
      <c r="A120" s="417" t="s">
        <v>780</v>
      </c>
      <c r="C120" s="425">
        <f t="shared" ref="C120:H120" si="27">C117-C121</f>
        <v>2525</v>
      </c>
      <c r="D120" s="425">
        <f t="shared" si="27"/>
        <v>10242</v>
      </c>
      <c r="E120" s="425">
        <f t="shared" si="27"/>
        <v>19595</v>
      </c>
      <c r="F120" s="425">
        <f t="shared" si="27"/>
        <v>26867</v>
      </c>
      <c r="G120" s="425">
        <f t="shared" si="27"/>
        <v>8713</v>
      </c>
      <c r="H120" s="425">
        <f t="shared" si="27"/>
        <v>33379</v>
      </c>
      <c r="I120" s="425">
        <f>I117-I121</f>
        <v>55143</v>
      </c>
      <c r="J120" s="425">
        <f>J117-J121</f>
        <v>48201</v>
      </c>
      <c r="K120" s="425">
        <v>3202</v>
      </c>
      <c r="L120" s="425"/>
      <c r="M120" s="425"/>
      <c r="N120" s="425"/>
      <c r="O120" s="425"/>
      <c r="P120" s="425"/>
      <c r="Q120" s="425"/>
      <c r="R120" s="425"/>
      <c r="T120" s="425">
        <f>K120</f>
        <v>3202</v>
      </c>
    </row>
    <row r="121" spans="1:20">
      <c r="A121" s="417" t="s">
        <v>782</v>
      </c>
      <c r="C121" s="425">
        <f t="shared" ref="C121:H121" si="28">C117*C126</f>
        <v>0</v>
      </c>
      <c r="D121" s="425">
        <f t="shared" si="28"/>
        <v>0</v>
      </c>
      <c r="E121" s="425">
        <f t="shared" si="28"/>
        <v>0</v>
      </c>
      <c r="F121" s="425">
        <f t="shared" si="28"/>
        <v>0</v>
      </c>
      <c r="G121" s="425">
        <f t="shared" si="28"/>
        <v>0</v>
      </c>
      <c r="H121" s="425">
        <f t="shared" si="28"/>
        <v>0</v>
      </c>
      <c r="I121" s="425">
        <f>I117*I126</f>
        <v>0</v>
      </c>
      <c r="J121" s="425">
        <f>J117*J126</f>
        <v>0</v>
      </c>
      <c r="K121" s="425">
        <v>0</v>
      </c>
      <c r="L121" s="425"/>
      <c r="M121" s="425"/>
      <c r="N121" s="425"/>
      <c r="O121" s="425"/>
      <c r="P121" s="425"/>
      <c r="Q121" s="425"/>
      <c r="R121" s="425"/>
      <c r="T121" s="425">
        <f>K121</f>
        <v>0</v>
      </c>
    </row>
    <row r="122" spans="1:20">
      <c r="A122" s="417"/>
      <c r="C122" s="417"/>
      <c r="D122" s="417"/>
      <c r="E122" s="417"/>
      <c r="F122" s="417"/>
      <c r="G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T122" s="417"/>
    </row>
    <row r="123" spans="1:20" ht="15" thickBot="1">
      <c r="A123" s="430" t="s">
        <v>776</v>
      </c>
      <c r="C123" s="426">
        <f t="shared" ref="C123:H123" si="29">SUM(C120:C121)</f>
        <v>2525</v>
      </c>
      <c r="D123" s="426">
        <f t="shared" si="29"/>
        <v>10242</v>
      </c>
      <c r="E123" s="426">
        <f t="shared" si="29"/>
        <v>19595</v>
      </c>
      <c r="F123" s="426">
        <f t="shared" si="29"/>
        <v>26867</v>
      </c>
      <c r="G123" s="426">
        <f t="shared" si="29"/>
        <v>8713</v>
      </c>
      <c r="H123" s="426">
        <f t="shared" si="29"/>
        <v>33379</v>
      </c>
      <c r="I123" s="426">
        <f>SUM(I120:I121)</f>
        <v>55143</v>
      </c>
      <c r="J123" s="426">
        <f>SUM(J120:J121)</f>
        <v>48201</v>
      </c>
      <c r="K123" s="426">
        <f>SUM(K120:K121)</f>
        <v>3202</v>
      </c>
      <c r="L123" s="426"/>
      <c r="M123" s="426"/>
      <c r="N123" s="426"/>
      <c r="O123" s="426"/>
      <c r="P123" s="426"/>
      <c r="Q123" s="426"/>
      <c r="R123" s="426"/>
      <c r="T123" s="426">
        <f>SUM(T120:T121)</f>
        <v>3202</v>
      </c>
    </row>
    <row r="124" spans="1:20" ht="15" thickTop="1"/>
    <row r="125" spans="1:20" s="432" customFormat="1" ht="10.199999999999999">
      <c r="A125" s="431" t="s">
        <v>785</v>
      </c>
      <c r="C125" s="433">
        <v>1</v>
      </c>
      <c r="D125" s="433">
        <v>1</v>
      </c>
      <c r="E125" s="433">
        <v>1</v>
      </c>
      <c r="F125" s="433">
        <v>1</v>
      </c>
      <c r="G125" s="433">
        <v>1</v>
      </c>
      <c r="H125" s="433">
        <v>1</v>
      </c>
      <c r="I125" s="433">
        <v>1</v>
      </c>
      <c r="J125" s="433">
        <v>1</v>
      </c>
      <c r="K125" s="433">
        <v>1</v>
      </c>
      <c r="T125" s="433">
        <f>K125</f>
        <v>1</v>
      </c>
    </row>
    <row r="126" spans="1:20" s="432" customFormat="1" ht="10.199999999999999">
      <c r="A126" s="431" t="s">
        <v>787</v>
      </c>
      <c r="C126" s="433">
        <v>0</v>
      </c>
      <c r="D126" s="433">
        <v>0</v>
      </c>
      <c r="E126" s="433">
        <v>0</v>
      </c>
      <c r="F126" s="433">
        <v>0</v>
      </c>
      <c r="G126" s="433">
        <v>0</v>
      </c>
      <c r="H126" s="433">
        <v>0</v>
      </c>
      <c r="I126" s="433">
        <v>0</v>
      </c>
      <c r="J126" s="433">
        <v>0</v>
      </c>
      <c r="K126" s="433">
        <v>0</v>
      </c>
      <c r="T126" s="433">
        <f>K126</f>
        <v>0</v>
      </c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9" tint="0.79998168889431442"/>
  </sheetPr>
  <dimension ref="A4:AF130"/>
  <sheetViews>
    <sheetView showGridLines="0" zoomScale="40" zoomScaleNormal="40" workbookViewId="0">
      <pane xSplit="2" ySplit="5" topLeftCell="C73" activePane="bottomRight" state="frozen"/>
      <selection pane="topRight" activeCell="C1" sqref="C1"/>
      <selection pane="bottomLeft" activeCell="A6" sqref="A6"/>
      <selection pane="bottomRight" activeCell="O94" sqref="O94"/>
    </sheetView>
  </sheetViews>
  <sheetFormatPr defaultRowHeight="14.4" outlineLevelRow="1"/>
  <cols>
    <col min="1" max="1" width="65.5546875" bestFit="1" customWidth="1"/>
    <col min="2" max="2" width="65.5546875" customWidth="1"/>
    <col min="3" max="3" width="1.5546875" customWidth="1"/>
    <col min="4" max="18" width="15.21875" customWidth="1"/>
    <col min="19" max="21" width="15.33203125" customWidth="1"/>
    <col min="22" max="22" width="1.5546875" customWidth="1"/>
    <col min="23" max="32" width="15.21875" customWidth="1"/>
  </cols>
  <sheetData>
    <row r="4" spans="1:32">
      <c r="A4" s="428" t="s">
        <v>834</v>
      </c>
      <c r="B4" s="428" t="s">
        <v>835</v>
      </c>
      <c r="D4" s="427" t="s">
        <v>584</v>
      </c>
      <c r="E4" s="427" t="s">
        <v>585</v>
      </c>
      <c r="F4" s="427" t="s">
        <v>586</v>
      </c>
      <c r="G4" s="427">
        <v>2022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T4" s="427" t="s">
        <v>2488</v>
      </c>
      <c r="U4" s="427" t="s">
        <v>2497</v>
      </c>
      <c r="W4" s="427" t="s">
        <v>83</v>
      </c>
      <c r="X4" s="427" t="s">
        <v>84</v>
      </c>
      <c r="Y4" s="427" t="s">
        <v>85</v>
      </c>
      <c r="Z4" s="427" t="s">
        <v>86</v>
      </c>
      <c r="AA4" s="427" t="s">
        <v>87</v>
      </c>
      <c r="AB4" s="427" t="s">
        <v>88</v>
      </c>
      <c r="AC4" s="427" t="s">
        <v>2074</v>
      </c>
      <c r="AD4" s="427" t="s">
        <v>2127</v>
      </c>
      <c r="AE4" s="427" t="s">
        <v>2360</v>
      </c>
      <c r="AF4" s="427" t="s">
        <v>2494</v>
      </c>
    </row>
    <row r="5" spans="1:32" ht="6.75" customHeight="1"/>
    <row r="6" spans="1:32">
      <c r="A6" s="429" t="s">
        <v>596</v>
      </c>
      <c r="B6" s="429" t="s">
        <v>597</v>
      </c>
      <c r="D6" s="420">
        <f t="shared" ref="D6:J6" si="0">SUM(D8,D11:D17)</f>
        <v>0</v>
      </c>
      <c r="E6" s="420">
        <f t="shared" si="0"/>
        <v>0</v>
      </c>
      <c r="F6" s="420">
        <f t="shared" si="0"/>
        <v>44567</v>
      </c>
      <c r="G6" s="420">
        <f t="shared" si="0"/>
        <v>95826</v>
      </c>
      <c r="H6" s="420">
        <f t="shared" si="0"/>
        <v>42602</v>
      </c>
      <c r="I6" s="420">
        <f t="shared" si="0"/>
        <v>88617</v>
      </c>
      <c r="J6" s="420">
        <f t="shared" si="0"/>
        <v>125954</v>
      </c>
      <c r="K6" s="420">
        <f t="shared" ref="K6:T6" si="1">SUM(K8,K11:K17)</f>
        <v>159807</v>
      </c>
      <c r="L6" s="420">
        <f t="shared" si="1"/>
        <v>42846</v>
      </c>
      <c r="M6" s="420">
        <f t="shared" si="1"/>
        <v>104265</v>
      </c>
      <c r="N6" s="420">
        <f t="shared" si="1"/>
        <v>172405</v>
      </c>
      <c r="O6" s="420">
        <f t="shared" si="1"/>
        <v>258097</v>
      </c>
      <c r="P6" s="420">
        <f t="shared" si="1"/>
        <v>62010</v>
      </c>
      <c r="Q6" s="420">
        <f t="shared" si="1"/>
        <v>103600</v>
      </c>
      <c r="R6" s="420">
        <f t="shared" si="1"/>
        <v>145889</v>
      </c>
      <c r="S6" s="420">
        <f t="shared" si="1"/>
        <v>219616</v>
      </c>
      <c r="T6" s="741">
        <f t="shared" si="1"/>
        <v>42370</v>
      </c>
      <c r="U6" s="741">
        <f>SUM(U8,U11:U17)</f>
        <v>87259</v>
      </c>
      <c r="W6" s="420">
        <f t="shared" ref="W6:AC6" si="2">SUM(W8,W11:W17)</f>
        <v>42846</v>
      </c>
      <c r="X6" s="420">
        <f t="shared" si="2"/>
        <v>61419</v>
      </c>
      <c r="Y6" s="420">
        <f t="shared" si="2"/>
        <v>68140</v>
      </c>
      <c r="Z6" s="420">
        <f t="shared" si="2"/>
        <v>85692</v>
      </c>
      <c r="AA6" s="420">
        <f t="shared" si="2"/>
        <v>62010</v>
      </c>
      <c r="AB6" s="420">
        <f t="shared" si="2"/>
        <v>41590</v>
      </c>
      <c r="AC6" s="420">
        <f t="shared" si="2"/>
        <v>42289</v>
      </c>
      <c r="AD6" s="420">
        <f t="shared" ref="AD6:AE6" si="3">SUM(AD8,AD11:AD17)</f>
        <v>73727</v>
      </c>
      <c r="AE6" s="420">
        <f t="shared" si="3"/>
        <v>42370</v>
      </c>
      <c r="AF6" s="741">
        <f>SUM(AF8,AF11:AF17)</f>
        <v>44889</v>
      </c>
    </row>
    <row r="7" spans="1:32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W7" s="421"/>
      <c r="X7" s="421"/>
      <c r="Y7" s="421"/>
      <c r="Z7" s="421"/>
      <c r="AA7" s="421"/>
      <c r="AB7" s="421"/>
      <c r="AC7" s="421"/>
      <c r="AD7" s="421"/>
      <c r="AE7" s="421"/>
      <c r="AF7" s="421"/>
    </row>
    <row r="8" spans="1:32">
      <c r="A8" s="417" t="s">
        <v>598</v>
      </c>
      <c r="B8" s="417" t="s">
        <v>599</v>
      </c>
      <c r="D8" s="422">
        <f t="shared" ref="D8:I8" si="4">SUM(D9:D10)</f>
        <v>0</v>
      </c>
      <c r="E8" s="422">
        <f t="shared" si="4"/>
        <v>0</v>
      </c>
      <c r="F8" s="422">
        <f t="shared" si="4"/>
        <v>0</v>
      </c>
      <c r="G8" s="422">
        <f t="shared" si="4"/>
        <v>0</v>
      </c>
      <c r="H8" s="422">
        <f t="shared" si="4"/>
        <v>0</v>
      </c>
      <c r="I8" s="422">
        <f t="shared" si="4"/>
        <v>0</v>
      </c>
      <c r="J8" s="422">
        <f t="shared" ref="J8:T8" si="5">SUM(J9:J10)</f>
        <v>0</v>
      </c>
      <c r="K8" s="422">
        <f t="shared" si="5"/>
        <v>0</v>
      </c>
      <c r="L8" s="422">
        <f t="shared" si="5"/>
        <v>0</v>
      </c>
      <c r="M8" s="422">
        <f t="shared" si="5"/>
        <v>0</v>
      </c>
      <c r="N8" s="422">
        <f t="shared" si="5"/>
        <v>0</v>
      </c>
      <c r="O8" s="422">
        <f t="shared" si="5"/>
        <v>0</v>
      </c>
      <c r="P8" s="422">
        <f t="shared" si="5"/>
        <v>0</v>
      </c>
      <c r="Q8" s="422">
        <f t="shared" si="5"/>
        <v>0</v>
      </c>
      <c r="R8" s="422">
        <f t="shared" si="5"/>
        <v>0</v>
      </c>
      <c r="S8" s="422">
        <f t="shared" si="5"/>
        <v>0</v>
      </c>
      <c r="T8" s="422">
        <f t="shared" si="5"/>
        <v>0</v>
      </c>
      <c r="U8" s="422">
        <f>SUM(U9:U10)</f>
        <v>0</v>
      </c>
      <c r="W8" s="422">
        <f t="shared" ref="W8:AC8" si="6">SUM(W9:W10)</f>
        <v>0</v>
      </c>
      <c r="X8" s="422">
        <f t="shared" si="6"/>
        <v>0</v>
      </c>
      <c r="Y8" s="422">
        <f t="shared" si="6"/>
        <v>0</v>
      </c>
      <c r="Z8" s="422">
        <f t="shared" si="6"/>
        <v>0</v>
      </c>
      <c r="AA8" s="422">
        <f t="shared" si="6"/>
        <v>0</v>
      </c>
      <c r="AB8" s="422">
        <f t="shared" si="6"/>
        <v>0</v>
      </c>
      <c r="AC8" s="422">
        <f t="shared" si="6"/>
        <v>0</v>
      </c>
      <c r="AD8" s="422">
        <f t="shared" ref="AD8:AE8" si="7">SUM(AD9:AD10)</f>
        <v>0</v>
      </c>
      <c r="AE8" s="422">
        <f t="shared" si="7"/>
        <v>0</v>
      </c>
      <c r="AF8" s="422">
        <f>SUM(AF9:AF10)</f>
        <v>0</v>
      </c>
    </row>
    <row r="9" spans="1:32" outlineLevel="1">
      <c r="A9" s="418" t="s">
        <v>598</v>
      </c>
      <c r="B9" s="418" t="s">
        <v>599</v>
      </c>
      <c r="D9" s="423">
        <v>0</v>
      </c>
      <c r="E9" s="423">
        <v>0</v>
      </c>
      <c r="F9" s="423">
        <v>0</v>
      </c>
      <c r="G9" s="423">
        <v>0</v>
      </c>
      <c r="H9" s="423">
        <v>0</v>
      </c>
      <c r="I9" s="423">
        <v>0</v>
      </c>
      <c r="J9" s="423">
        <v>0</v>
      </c>
      <c r="K9" s="423">
        <v>0</v>
      </c>
      <c r="L9" s="423">
        <v>0</v>
      </c>
      <c r="M9" s="423">
        <v>0</v>
      </c>
      <c r="N9" s="423">
        <v>0</v>
      </c>
      <c r="O9" s="423">
        <v>0</v>
      </c>
      <c r="P9" s="423">
        <v>0</v>
      </c>
      <c r="Q9" s="423">
        <v>0</v>
      </c>
      <c r="R9" s="423">
        <v>0</v>
      </c>
      <c r="S9" s="423">
        <v>0</v>
      </c>
      <c r="T9" s="423">
        <v>0</v>
      </c>
      <c r="U9" s="423">
        <v>0</v>
      </c>
      <c r="W9" s="423">
        <f>L9</f>
        <v>0</v>
      </c>
      <c r="X9" s="423">
        <f>M9-W9</f>
        <v>0</v>
      </c>
      <c r="Y9" s="423">
        <f t="shared" ref="Y9:Z16" si="8">N9-M9</f>
        <v>0</v>
      </c>
      <c r="Z9" s="423">
        <f t="shared" si="8"/>
        <v>0</v>
      </c>
      <c r="AA9" s="423">
        <f>P9</f>
        <v>0</v>
      </c>
      <c r="AB9" s="423">
        <f t="shared" ref="AB9:AD16" si="9">Q9-P9</f>
        <v>0</v>
      </c>
      <c r="AC9" s="423">
        <f t="shared" si="9"/>
        <v>0</v>
      </c>
      <c r="AD9" s="423">
        <f t="shared" si="9"/>
        <v>0</v>
      </c>
      <c r="AE9" s="423">
        <f>T9</f>
        <v>0</v>
      </c>
      <c r="AF9" s="423">
        <f t="shared" ref="AF9:AF16" si="10">U9-T9</f>
        <v>0</v>
      </c>
    </row>
    <row r="10" spans="1:32" outlineLevel="1">
      <c r="A10" s="418" t="s">
        <v>600</v>
      </c>
      <c r="B10" s="418" t="s">
        <v>601</v>
      </c>
      <c r="D10" s="423">
        <v>0</v>
      </c>
      <c r="E10" s="423">
        <v>0</v>
      </c>
      <c r="F10" s="423">
        <v>0</v>
      </c>
      <c r="G10" s="423">
        <v>0</v>
      </c>
      <c r="H10" s="423">
        <v>0</v>
      </c>
      <c r="I10" s="423">
        <v>0</v>
      </c>
      <c r="J10" s="423">
        <v>0</v>
      </c>
      <c r="K10" s="423">
        <v>0</v>
      </c>
      <c r="L10" s="423">
        <v>0</v>
      </c>
      <c r="M10" s="423">
        <v>0</v>
      </c>
      <c r="N10" s="423">
        <v>0</v>
      </c>
      <c r="O10" s="423">
        <v>0</v>
      </c>
      <c r="P10" s="423">
        <v>0</v>
      </c>
      <c r="Q10" s="423">
        <v>0</v>
      </c>
      <c r="R10" s="423">
        <v>0</v>
      </c>
      <c r="S10" s="423">
        <v>0</v>
      </c>
      <c r="T10" s="423">
        <v>0</v>
      </c>
      <c r="U10" s="423">
        <v>0</v>
      </c>
      <c r="W10" s="423">
        <f t="shared" ref="W10:W25" si="11">L10</f>
        <v>0</v>
      </c>
      <c r="X10" s="423">
        <f t="shared" ref="X10:X16" si="12">M10-W10</f>
        <v>0</v>
      </c>
      <c r="Y10" s="423">
        <f t="shared" si="8"/>
        <v>0</v>
      </c>
      <c r="Z10" s="423">
        <f t="shared" si="8"/>
        <v>0</v>
      </c>
      <c r="AA10" s="423">
        <f t="shared" ref="AA10:AA25" si="13">P10</f>
        <v>0</v>
      </c>
      <c r="AB10" s="423">
        <f t="shared" si="9"/>
        <v>0</v>
      </c>
      <c r="AC10" s="423">
        <f t="shared" si="9"/>
        <v>0</v>
      </c>
      <c r="AD10" s="423">
        <f t="shared" si="9"/>
        <v>0</v>
      </c>
      <c r="AE10" s="423">
        <f t="shared" ref="AE10:AE25" si="14">T10</f>
        <v>0</v>
      </c>
      <c r="AF10" s="423">
        <f t="shared" si="10"/>
        <v>0</v>
      </c>
    </row>
    <row r="11" spans="1:32">
      <c r="A11" s="417" t="s">
        <v>602</v>
      </c>
      <c r="B11" s="417" t="s">
        <v>603</v>
      </c>
      <c r="D11" s="422">
        <v>0</v>
      </c>
      <c r="E11" s="422">
        <v>0</v>
      </c>
      <c r="F11" s="422">
        <v>0</v>
      </c>
      <c r="G11" s="422">
        <v>0</v>
      </c>
      <c r="H11" s="422">
        <v>0</v>
      </c>
      <c r="I11" s="422">
        <v>0</v>
      </c>
      <c r="J11" s="422">
        <v>0</v>
      </c>
      <c r="K11" s="422">
        <v>0</v>
      </c>
      <c r="L11" s="422">
        <v>0</v>
      </c>
      <c r="M11" s="422">
        <v>0</v>
      </c>
      <c r="N11" s="422">
        <v>0</v>
      </c>
      <c r="O11" s="422">
        <v>0</v>
      </c>
      <c r="P11" s="422">
        <v>0</v>
      </c>
      <c r="Q11" s="422">
        <v>0</v>
      </c>
      <c r="R11" s="422">
        <v>0</v>
      </c>
      <c r="S11" s="422">
        <v>0</v>
      </c>
      <c r="T11" s="422">
        <v>0</v>
      </c>
      <c r="U11" s="422">
        <v>0</v>
      </c>
      <c r="W11" s="422">
        <f t="shared" si="11"/>
        <v>0</v>
      </c>
      <c r="X11" s="422">
        <f t="shared" si="12"/>
        <v>0</v>
      </c>
      <c r="Y11" s="422">
        <f t="shared" si="8"/>
        <v>0</v>
      </c>
      <c r="Z11" s="422">
        <f t="shared" si="8"/>
        <v>0</v>
      </c>
      <c r="AA11" s="422">
        <f>P11</f>
        <v>0</v>
      </c>
      <c r="AB11" s="422">
        <f t="shared" si="9"/>
        <v>0</v>
      </c>
      <c r="AC11" s="422">
        <f t="shared" si="9"/>
        <v>0</v>
      </c>
      <c r="AD11" s="422">
        <f t="shared" si="9"/>
        <v>0</v>
      </c>
      <c r="AE11" s="422">
        <f>T11</f>
        <v>0</v>
      </c>
      <c r="AF11" s="422">
        <f t="shared" si="10"/>
        <v>0</v>
      </c>
    </row>
    <row r="12" spans="1:32">
      <c r="A12" s="417" t="s">
        <v>604</v>
      </c>
      <c r="B12" s="417" t="s">
        <v>605</v>
      </c>
      <c r="D12" s="422">
        <v>0</v>
      </c>
      <c r="E12" s="422">
        <v>0</v>
      </c>
      <c r="F12" s="422">
        <v>0</v>
      </c>
      <c r="G12" s="422">
        <v>0</v>
      </c>
      <c r="H12" s="422">
        <v>0</v>
      </c>
      <c r="I12" s="422">
        <v>0</v>
      </c>
      <c r="J12" s="422">
        <v>0</v>
      </c>
      <c r="K12" s="422">
        <v>0</v>
      </c>
      <c r="L12" s="422">
        <v>0</v>
      </c>
      <c r="M12" s="422">
        <v>0</v>
      </c>
      <c r="N12" s="422">
        <v>0</v>
      </c>
      <c r="O12" s="422">
        <v>0</v>
      </c>
      <c r="P12" s="422">
        <v>0</v>
      </c>
      <c r="Q12" s="422">
        <v>0</v>
      </c>
      <c r="R12" s="422">
        <v>0</v>
      </c>
      <c r="S12" s="422">
        <v>0</v>
      </c>
      <c r="T12" s="422">
        <v>0</v>
      </c>
      <c r="U12" s="422">
        <v>0</v>
      </c>
      <c r="W12" s="422">
        <f t="shared" si="11"/>
        <v>0</v>
      </c>
      <c r="X12" s="422">
        <f t="shared" si="12"/>
        <v>0</v>
      </c>
      <c r="Y12" s="422">
        <f t="shared" si="8"/>
        <v>0</v>
      </c>
      <c r="Z12" s="422">
        <f t="shared" si="8"/>
        <v>0</v>
      </c>
      <c r="AA12" s="422">
        <f t="shared" si="13"/>
        <v>0</v>
      </c>
      <c r="AB12" s="422">
        <f t="shared" si="9"/>
        <v>0</v>
      </c>
      <c r="AC12" s="422">
        <f t="shared" si="9"/>
        <v>0</v>
      </c>
      <c r="AD12" s="422">
        <f t="shared" si="9"/>
        <v>0</v>
      </c>
      <c r="AE12" s="422">
        <f t="shared" si="14"/>
        <v>0</v>
      </c>
      <c r="AF12" s="422">
        <f t="shared" si="10"/>
        <v>0</v>
      </c>
    </row>
    <row r="13" spans="1:32">
      <c r="A13" s="417" t="s">
        <v>606</v>
      </c>
      <c r="B13" s="417" t="s">
        <v>607</v>
      </c>
      <c r="D13" s="422">
        <v>0</v>
      </c>
      <c r="E13" s="422">
        <v>0</v>
      </c>
      <c r="F13" s="422">
        <v>31118</v>
      </c>
      <c r="G13" s="422">
        <v>61456</v>
      </c>
      <c r="H13" s="422">
        <v>15219</v>
      </c>
      <c r="I13" s="422">
        <v>39791</v>
      </c>
      <c r="J13" s="422">
        <v>57874</v>
      </c>
      <c r="K13" s="422">
        <v>73035</v>
      </c>
      <c r="L13" s="422">
        <v>20198</v>
      </c>
      <c r="M13" s="422">
        <v>57963</v>
      </c>
      <c r="N13" s="422">
        <v>98707</v>
      </c>
      <c r="O13" s="422">
        <v>155580</v>
      </c>
      <c r="P13" s="422">
        <v>35322</v>
      </c>
      <c r="Q13" s="422">
        <v>48189</v>
      </c>
      <c r="R13" s="422">
        <v>62324</v>
      </c>
      <c r="S13" s="422">
        <v>105029</v>
      </c>
      <c r="T13" s="422">
        <v>9156</v>
      </c>
      <c r="U13" s="422">
        <v>21147</v>
      </c>
      <c r="W13" s="422">
        <f t="shared" si="11"/>
        <v>20198</v>
      </c>
      <c r="X13" s="422">
        <f t="shared" si="12"/>
        <v>37765</v>
      </c>
      <c r="Y13" s="422">
        <f t="shared" si="8"/>
        <v>40744</v>
      </c>
      <c r="Z13" s="422">
        <f t="shared" si="8"/>
        <v>56873</v>
      </c>
      <c r="AA13" s="422">
        <f t="shared" si="13"/>
        <v>35322</v>
      </c>
      <c r="AB13" s="422">
        <f t="shared" si="9"/>
        <v>12867</v>
      </c>
      <c r="AC13" s="422">
        <f t="shared" si="9"/>
        <v>14135</v>
      </c>
      <c r="AD13" s="422">
        <f t="shared" si="9"/>
        <v>42705</v>
      </c>
      <c r="AE13" s="422">
        <f t="shared" si="14"/>
        <v>9156</v>
      </c>
      <c r="AF13" s="422">
        <f t="shared" si="10"/>
        <v>11991</v>
      </c>
    </row>
    <row r="14" spans="1:32">
      <c r="A14" s="417" t="s">
        <v>608</v>
      </c>
      <c r="B14" s="417" t="s">
        <v>609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>
        <v>0</v>
      </c>
      <c r="T14" s="422">
        <v>0</v>
      </c>
      <c r="U14" s="422">
        <v>0</v>
      </c>
      <c r="W14" s="422">
        <f t="shared" si="11"/>
        <v>0</v>
      </c>
      <c r="X14" s="422">
        <f t="shared" si="12"/>
        <v>0</v>
      </c>
      <c r="Y14" s="422">
        <f t="shared" si="8"/>
        <v>0</v>
      </c>
      <c r="Z14" s="422">
        <f t="shared" si="8"/>
        <v>0</v>
      </c>
      <c r="AA14" s="422">
        <f t="shared" si="13"/>
        <v>0</v>
      </c>
      <c r="AB14" s="422">
        <f t="shared" si="9"/>
        <v>0</v>
      </c>
      <c r="AC14" s="422">
        <f t="shared" si="9"/>
        <v>0</v>
      </c>
      <c r="AD14" s="422">
        <f t="shared" si="9"/>
        <v>0</v>
      </c>
      <c r="AE14" s="422">
        <f t="shared" si="14"/>
        <v>0</v>
      </c>
      <c r="AF14" s="422">
        <f t="shared" si="10"/>
        <v>0</v>
      </c>
    </row>
    <row r="15" spans="1:32">
      <c r="A15" s="417" t="s">
        <v>610</v>
      </c>
      <c r="B15" s="417" t="s">
        <v>611</v>
      </c>
      <c r="D15" s="422">
        <v>0</v>
      </c>
      <c r="E15" s="422">
        <v>0</v>
      </c>
      <c r="F15" s="422">
        <v>0</v>
      </c>
      <c r="G15" s="422">
        <v>0</v>
      </c>
      <c r="H15" s="422">
        <v>0</v>
      </c>
      <c r="I15" s="422">
        <v>0</v>
      </c>
      <c r="J15" s="422">
        <v>0</v>
      </c>
      <c r="K15" s="422">
        <v>0</v>
      </c>
      <c r="L15" s="422">
        <v>0</v>
      </c>
      <c r="M15" s="422">
        <v>0</v>
      </c>
      <c r="N15" s="422">
        <v>0</v>
      </c>
      <c r="O15" s="422">
        <v>0</v>
      </c>
      <c r="P15" s="422">
        <v>0</v>
      </c>
      <c r="Q15" s="422">
        <v>0</v>
      </c>
      <c r="R15" s="422">
        <v>0</v>
      </c>
      <c r="S15" s="422">
        <v>0</v>
      </c>
      <c r="T15" s="422">
        <v>0</v>
      </c>
      <c r="U15" s="422">
        <v>0</v>
      </c>
      <c r="W15" s="422">
        <f t="shared" si="11"/>
        <v>0</v>
      </c>
      <c r="X15" s="422">
        <f t="shared" si="12"/>
        <v>0</v>
      </c>
      <c r="Y15" s="422">
        <f t="shared" si="8"/>
        <v>0</v>
      </c>
      <c r="Z15" s="422">
        <f t="shared" si="8"/>
        <v>0</v>
      </c>
      <c r="AA15" s="422">
        <f t="shared" si="13"/>
        <v>0</v>
      </c>
      <c r="AB15" s="422">
        <f t="shared" si="9"/>
        <v>0</v>
      </c>
      <c r="AC15" s="422">
        <f t="shared" si="9"/>
        <v>0</v>
      </c>
      <c r="AD15" s="422">
        <f t="shared" si="9"/>
        <v>0</v>
      </c>
      <c r="AE15" s="422">
        <f t="shared" si="14"/>
        <v>0</v>
      </c>
      <c r="AF15" s="422">
        <f t="shared" si="10"/>
        <v>0</v>
      </c>
    </row>
    <row r="16" spans="1:32">
      <c r="A16" s="417" t="s">
        <v>612</v>
      </c>
      <c r="B16" s="417" t="s">
        <v>613</v>
      </c>
      <c r="D16" s="422">
        <v>0</v>
      </c>
      <c r="E16" s="422">
        <v>0</v>
      </c>
      <c r="F16" s="422">
        <v>13428</v>
      </c>
      <c r="G16" s="422">
        <v>34088</v>
      </c>
      <c r="H16" s="422">
        <v>27047</v>
      </c>
      <c r="I16" s="422">
        <v>47681</v>
      </c>
      <c r="J16" s="422">
        <v>66460</v>
      </c>
      <c r="K16" s="422">
        <v>84149</v>
      </c>
      <c r="L16" s="422">
        <v>21842</v>
      </c>
      <c r="M16" s="422">
        <v>44659</v>
      </c>
      <c r="N16" s="422">
        <v>69712</v>
      </c>
      <c r="O16" s="422">
        <v>95871</v>
      </c>
      <c r="P16" s="422">
        <v>25592</v>
      </c>
      <c r="Q16" s="422">
        <v>52063</v>
      </c>
      <c r="R16" s="422">
        <v>78496</v>
      </c>
      <c r="S16" s="422">
        <v>107984</v>
      </c>
      <c r="T16" s="422">
        <v>32115</v>
      </c>
      <c r="U16" s="422">
        <v>63564</v>
      </c>
      <c r="W16" s="422">
        <f t="shared" si="11"/>
        <v>21842</v>
      </c>
      <c r="X16" s="422">
        <f t="shared" si="12"/>
        <v>22817</v>
      </c>
      <c r="Y16" s="422">
        <f t="shared" si="8"/>
        <v>25053</v>
      </c>
      <c r="Z16" s="422">
        <f t="shared" si="8"/>
        <v>26159</v>
      </c>
      <c r="AA16" s="422">
        <f t="shared" si="13"/>
        <v>25592</v>
      </c>
      <c r="AB16" s="422">
        <f t="shared" si="9"/>
        <v>26471</v>
      </c>
      <c r="AC16" s="422">
        <f t="shared" si="9"/>
        <v>26433</v>
      </c>
      <c r="AD16" s="422">
        <f t="shared" si="9"/>
        <v>29488</v>
      </c>
      <c r="AE16" s="422">
        <f t="shared" si="14"/>
        <v>32115</v>
      </c>
      <c r="AF16" s="422">
        <f t="shared" si="10"/>
        <v>31449</v>
      </c>
    </row>
    <row r="17" spans="1:32">
      <c r="A17" s="417" t="s">
        <v>614</v>
      </c>
      <c r="B17" s="417" t="s">
        <v>615</v>
      </c>
      <c r="D17" s="422">
        <f t="shared" ref="D17:I17" si="15">SUM(D18:D25)</f>
        <v>0</v>
      </c>
      <c r="E17" s="422">
        <f t="shared" si="15"/>
        <v>0</v>
      </c>
      <c r="F17" s="422">
        <f t="shared" si="15"/>
        <v>21</v>
      </c>
      <c r="G17" s="422">
        <f t="shared" si="15"/>
        <v>282</v>
      </c>
      <c r="H17" s="422">
        <f t="shared" si="15"/>
        <v>336</v>
      </c>
      <c r="I17" s="422">
        <f t="shared" si="15"/>
        <v>1145</v>
      </c>
      <c r="J17" s="422">
        <f t="shared" ref="J17:T17" si="16">SUM(J18:J25)</f>
        <v>1620</v>
      </c>
      <c r="K17" s="422">
        <f t="shared" si="16"/>
        <v>2623</v>
      </c>
      <c r="L17" s="422">
        <f t="shared" si="16"/>
        <v>806</v>
      </c>
      <c r="M17" s="422">
        <f t="shared" si="16"/>
        <v>1643</v>
      </c>
      <c r="N17" s="422">
        <f t="shared" si="16"/>
        <v>3986</v>
      </c>
      <c r="O17" s="422">
        <f t="shared" si="16"/>
        <v>6646</v>
      </c>
      <c r="P17" s="422">
        <f t="shared" si="16"/>
        <v>1096</v>
      </c>
      <c r="Q17" s="422">
        <f t="shared" si="16"/>
        <v>3348</v>
      </c>
      <c r="R17" s="422">
        <f t="shared" si="16"/>
        <v>5069</v>
      </c>
      <c r="S17" s="422">
        <f t="shared" si="16"/>
        <v>6603</v>
      </c>
      <c r="T17" s="422">
        <f t="shared" si="16"/>
        <v>1099</v>
      </c>
      <c r="U17" s="422">
        <f>SUM(U18:U25)</f>
        <v>2548</v>
      </c>
      <c r="W17" s="422">
        <f t="shared" ref="W17:AC17" si="17">SUM(W18:W25)</f>
        <v>806</v>
      </c>
      <c r="X17" s="422">
        <f t="shared" si="17"/>
        <v>837</v>
      </c>
      <c r="Y17" s="422">
        <f t="shared" si="17"/>
        <v>2343</v>
      </c>
      <c r="Z17" s="422">
        <f t="shared" si="17"/>
        <v>2660</v>
      </c>
      <c r="AA17" s="422">
        <f t="shared" si="17"/>
        <v>1096</v>
      </c>
      <c r="AB17" s="422">
        <f t="shared" si="17"/>
        <v>2252</v>
      </c>
      <c r="AC17" s="422">
        <f t="shared" si="17"/>
        <v>1721</v>
      </c>
      <c r="AD17" s="422">
        <f t="shared" ref="AD17:AE17" si="18">SUM(AD18:AD25)</f>
        <v>1534</v>
      </c>
      <c r="AE17" s="422">
        <f t="shared" si="18"/>
        <v>1099</v>
      </c>
      <c r="AF17" s="422">
        <f>SUM(AF18:AF25)</f>
        <v>1449</v>
      </c>
    </row>
    <row r="18" spans="1:32" outlineLevel="1">
      <c r="A18" s="418" t="s">
        <v>616</v>
      </c>
      <c r="B18" s="418" t="s">
        <v>617</v>
      </c>
      <c r="D18" s="423">
        <v>0</v>
      </c>
      <c r="E18" s="423">
        <v>0</v>
      </c>
      <c r="F18" s="423">
        <v>0</v>
      </c>
      <c r="G18" s="423">
        <v>0</v>
      </c>
      <c r="H18" s="423">
        <v>0</v>
      </c>
      <c r="I18" s="423">
        <v>0</v>
      </c>
      <c r="J18" s="423">
        <v>0</v>
      </c>
      <c r="K18" s="423">
        <v>0</v>
      </c>
      <c r="L18" s="423">
        <v>0</v>
      </c>
      <c r="M18" s="423">
        <v>0</v>
      </c>
      <c r="N18" s="423">
        <v>0</v>
      </c>
      <c r="O18" s="423">
        <v>0</v>
      </c>
      <c r="P18" s="423">
        <v>0</v>
      </c>
      <c r="Q18" s="423">
        <v>0</v>
      </c>
      <c r="R18" s="423">
        <v>0</v>
      </c>
      <c r="S18" s="423">
        <v>0</v>
      </c>
      <c r="T18" s="423">
        <v>0</v>
      </c>
      <c r="U18" s="423">
        <v>0</v>
      </c>
      <c r="W18" s="423">
        <f t="shared" si="11"/>
        <v>0</v>
      </c>
      <c r="X18" s="423">
        <f t="shared" ref="X18:X25" si="19">M18-W18</f>
        <v>0</v>
      </c>
      <c r="Y18" s="423">
        <f t="shared" ref="Y18:Z25" si="20">N18-M18</f>
        <v>0</v>
      </c>
      <c r="Z18" s="423">
        <f t="shared" si="20"/>
        <v>0</v>
      </c>
      <c r="AA18" s="423">
        <f t="shared" si="13"/>
        <v>0</v>
      </c>
      <c r="AB18" s="423">
        <f t="shared" ref="AB18:AD25" si="21">Q18-P18</f>
        <v>0</v>
      </c>
      <c r="AC18" s="423">
        <f t="shared" si="21"/>
        <v>0</v>
      </c>
      <c r="AD18" s="423">
        <f t="shared" si="21"/>
        <v>0</v>
      </c>
      <c r="AE18" s="423">
        <f t="shared" si="14"/>
        <v>0</v>
      </c>
      <c r="AF18" s="423">
        <f t="shared" ref="AF18:AF25" si="22">U18-T18</f>
        <v>0</v>
      </c>
    </row>
    <row r="19" spans="1:32" outlineLevel="1">
      <c r="A19" s="418" t="s">
        <v>618</v>
      </c>
      <c r="B19" s="418" t="s">
        <v>619</v>
      </c>
      <c r="D19" s="423">
        <v>0</v>
      </c>
      <c r="E19" s="423">
        <v>0</v>
      </c>
      <c r="F19" s="423">
        <v>0</v>
      </c>
      <c r="G19" s="423">
        <v>0</v>
      </c>
      <c r="H19" s="423">
        <v>0</v>
      </c>
      <c r="I19" s="423">
        <v>0</v>
      </c>
      <c r="J19" s="423">
        <v>0</v>
      </c>
      <c r="K19" s="423">
        <v>0</v>
      </c>
      <c r="L19" s="423">
        <v>0</v>
      </c>
      <c r="M19" s="423">
        <v>0</v>
      </c>
      <c r="N19" s="423">
        <v>0</v>
      </c>
      <c r="O19" s="423">
        <v>0</v>
      </c>
      <c r="P19" s="423">
        <v>0</v>
      </c>
      <c r="Q19" s="423">
        <v>0</v>
      </c>
      <c r="R19" s="423">
        <v>0</v>
      </c>
      <c r="S19" s="423">
        <v>0</v>
      </c>
      <c r="T19" s="423">
        <v>0</v>
      </c>
      <c r="U19" s="423">
        <v>0</v>
      </c>
      <c r="W19" s="423">
        <f t="shared" si="11"/>
        <v>0</v>
      </c>
      <c r="X19" s="423">
        <f t="shared" si="19"/>
        <v>0</v>
      </c>
      <c r="Y19" s="423">
        <f t="shared" si="20"/>
        <v>0</v>
      </c>
      <c r="Z19" s="423">
        <f t="shared" si="20"/>
        <v>0</v>
      </c>
      <c r="AA19" s="423">
        <f t="shared" si="13"/>
        <v>0</v>
      </c>
      <c r="AB19" s="423">
        <f t="shared" si="21"/>
        <v>0</v>
      </c>
      <c r="AC19" s="423">
        <f t="shared" si="21"/>
        <v>0</v>
      </c>
      <c r="AD19" s="423">
        <f t="shared" si="21"/>
        <v>0</v>
      </c>
      <c r="AE19" s="423">
        <f t="shared" si="14"/>
        <v>0</v>
      </c>
      <c r="AF19" s="423">
        <f t="shared" si="22"/>
        <v>0</v>
      </c>
    </row>
    <row r="20" spans="1:32" outlineLevel="1">
      <c r="A20" s="418" t="s">
        <v>620</v>
      </c>
      <c r="B20" s="418" t="s">
        <v>621</v>
      </c>
      <c r="D20" s="423">
        <v>0</v>
      </c>
      <c r="E20" s="423">
        <v>0</v>
      </c>
      <c r="F20" s="423">
        <v>0</v>
      </c>
      <c r="G20" s="423">
        <v>0</v>
      </c>
      <c r="H20" s="423">
        <v>0</v>
      </c>
      <c r="I20" s="423">
        <v>0</v>
      </c>
      <c r="J20" s="423">
        <v>0</v>
      </c>
      <c r="K20" s="423">
        <v>0</v>
      </c>
      <c r="L20" s="423">
        <v>0</v>
      </c>
      <c r="M20" s="423">
        <v>0</v>
      </c>
      <c r="N20" s="423">
        <v>0</v>
      </c>
      <c r="O20" s="423">
        <v>0</v>
      </c>
      <c r="P20" s="423">
        <v>0</v>
      </c>
      <c r="Q20" s="423">
        <v>0</v>
      </c>
      <c r="R20" s="423">
        <v>0</v>
      </c>
      <c r="S20" s="423">
        <v>0</v>
      </c>
      <c r="T20" s="423">
        <v>0</v>
      </c>
      <c r="U20" s="423">
        <v>0</v>
      </c>
      <c r="W20" s="423">
        <f t="shared" si="11"/>
        <v>0</v>
      </c>
      <c r="X20" s="423">
        <f t="shared" si="19"/>
        <v>0</v>
      </c>
      <c r="Y20" s="423">
        <f t="shared" si="20"/>
        <v>0</v>
      </c>
      <c r="Z20" s="423">
        <f t="shared" si="20"/>
        <v>0</v>
      </c>
      <c r="AA20" s="423">
        <f t="shared" si="13"/>
        <v>0</v>
      </c>
      <c r="AB20" s="423">
        <f t="shared" si="21"/>
        <v>0</v>
      </c>
      <c r="AC20" s="423">
        <f t="shared" si="21"/>
        <v>0</v>
      </c>
      <c r="AD20" s="423">
        <f t="shared" si="21"/>
        <v>0</v>
      </c>
      <c r="AE20" s="423">
        <f t="shared" si="14"/>
        <v>0</v>
      </c>
      <c r="AF20" s="423">
        <f t="shared" si="22"/>
        <v>0</v>
      </c>
    </row>
    <row r="21" spans="1:32" outlineLevel="1">
      <c r="A21" s="418" t="s">
        <v>622</v>
      </c>
      <c r="B21" s="418" t="s">
        <v>623</v>
      </c>
      <c r="D21" s="423">
        <v>0</v>
      </c>
      <c r="E21" s="423">
        <v>0</v>
      </c>
      <c r="F21" s="423">
        <v>0</v>
      </c>
      <c r="G21" s="423">
        <v>0</v>
      </c>
      <c r="H21" s="423">
        <v>0</v>
      </c>
      <c r="I21" s="423">
        <v>0</v>
      </c>
      <c r="J21" s="423">
        <v>0</v>
      </c>
      <c r="K21" s="423">
        <v>0</v>
      </c>
      <c r="L21" s="423">
        <v>0</v>
      </c>
      <c r="M21" s="423">
        <v>0</v>
      </c>
      <c r="N21" s="423">
        <v>0</v>
      </c>
      <c r="O21" s="423">
        <v>0</v>
      </c>
      <c r="P21" s="423">
        <v>0</v>
      </c>
      <c r="Q21" s="423">
        <v>0</v>
      </c>
      <c r="R21" s="423">
        <v>0</v>
      </c>
      <c r="S21" s="423">
        <v>0</v>
      </c>
      <c r="T21" s="423">
        <v>0</v>
      </c>
      <c r="U21" s="423">
        <v>0</v>
      </c>
      <c r="W21" s="423">
        <f t="shared" si="11"/>
        <v>0</v>
      </c>
      <c r="X21" s="423">
        <f t="shared" si="19"/>
        <v>0</v>
      </c>
      <c r="Y21" s="423">
        <f t="shared" si="20"/>
        <v>0</v>
      </c>
      <c r="Z21" s="423">
        <f t="shared" si="20"/>
        <v>0</v>
      </c>
      <c r="AA21" s="423">
        <f t="shared" si="13"/>
        <v>0</v>
      </c>
      <c r="AB21" s="423">
        <f t="shared" si="21"/>
        <v>0</v>
      </c>
      <c r="AC21" s="423">
        <f t="shared" si="21"/>
        <v>0</v>
      </c>
      <c r="AD21" s="423">
        <f t="shared" si="21"/>
        <v>0</v>
      </c>
      <c r="AE21" s="423">
        <f t="shared" si="14"/>
        <v>0</v>
      </c>
      <c r="AF21" s="423">
        <f t="shared" si="22"/>
        <v>0</v>
      </c>
    </row>
    <row r="22" spans="1:32" outlineLevel="1">
      <c r="A22" s="418" t="s">
        <v>624</v>
      </c>
      <c r="B22" s="418" t="s">
        <v>625</v>
      </c>
      <c r="D22" s="423">
        <v>0</v>
      </c>
      <c r="E22" s="423">
        <v>0</v>
      </c>
      <c r="F22" s="423">
        <v>0</v>
      </c>
      <c r="G22" s="423">
        <v>0</v>
      </c>
      <c r="H22" s="423">
        <v>0</v>
      </c>
      <c r="I22" s="423">
        <v>0</v>
      </c>
      <c r="J22" s="423">
        <v>0</v>
      </c>
      <c r="K22" s="423">
        <v>0</v>
      </c>
      <c r="L22" s="423">
        <v>0</v>
      </c>
      <c r="M22" s="423">
        <v>0</v>
      </c>
      <c r="N22" s="423">
        <v>0</v>
      </c>
      <c r="O22" s="423">
        <v>0</v>
      </c>
      <c r="P22" s="423">
        <v>0</v>
      </c>
      <c r="Q22" s="423">
        <v>0</v>
      </c>
      <c r="R22" s="423">
        <v>0</v>
      </c>
      <c r="S22" s="423">
        <v>0</v>
      </c>
      <c r="T22" s="423">
        <v>0</v>
      </c>
      <c r="U22" s="423">
        <v>0</v>
      </c>
      <c r="W22" s="423">
        <f t="shared" si="11"/>
        <v>0</v>
      </c>
      <c r="X22" s="423">
        <f t="shared" si="19"/>
        <v>0</v>
      </c>
      <c r="Y22" s="423">
        <f t="shared" si="20"/>
        <v>0</v>
      </c>
      <c r="Z22" s="423">
        <f t="shared" si="20"/>
        <v>0</v>
      </c>
      <c r="AA22" s="423">
        <f t="shared" si="13"/>
        <v>0</v>
      </c>
      <c r="AB22" s="423">
        <f t="shared" si="21"/>
        <v>0</v>
      </c>
      <c r="AC22" s="423">
        <f t="shared" si="21"/>
        <v>0</v>
      </c>
      <c r="AD22" s="423">
        <f t="shared" si="21"/>
        <v>0</v>
      </c>
      <c r="AE22" s="423">
        <f t="shared" si="14"/>
        <v>0</v>
      </c>
      <c r="AF22" s="423">
        <f t="shared" si="22"/>
        <v>0</v>
      </c>
    </row>
    <row r="23" spans="1:32" outlineLevel="1">
      <c r="A23" s="418" t="s">
        <v>626</v>
      </c>
      <c r="B23" s="418" t="s">
        <v>811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0</v>
      </c>
      <c r="T23" s="423">
        <v>0</v>
      </c>
      <c r="U23" s="423">
        <v>0</v>
      </c>
      <c r="W23" s="423">
        <f t="shared" si="11"/>
        <v>0</v>
      </c>
      <c r="X23" s="423">
        <f t="shared" si="19"/>
        <v>0</v>
      </c>
      <c r="Y23" s="423">
        <f t="shared" si="20"/>
        <v>0</v>
      </c>
      <c r="Z23" s="423">
        <f t="shared" si="20"/>
        <v>0</v>
      </c>
      <c r="AA23" s="423">
        <f t="shared" si="13"/>
        <v>0</v>
      </c>
      <c r="AB23" s="423">
        <f t="shared" si="21"/>
        <v>0</v>
      </c>
      <c r="AC23" s="423">
        <f t="shared" si="21"/>
        <v>0</v>
      </c>
      <c r="AD23" s="423">
        <f t="shared" si="21"/>
        <v>0</v>
      </c>
      <c r="AE23" s="423">
        <f t="shared" si="14"/>
        <v>0</v>
      </c>
      <c r="AF23" s="423">
        <f t="shared" si="22"/>
        <v>0</v>
      </c>
    </row>
    <row r="24" spans="1:32" outlineLevel="1">
      <c r="A24" s="418" t="s">
        <v>628</v>
      </c>
      <c r="B24" s="418" t="s">
        <v>629</v>
      </c>
      <c r="D24" s="423">
        <v>0</v>
      </c>
      <c r="E24" s="423">
        <v>0</v>
      </c>
      <c r="F24" s="423">
        <v>0</v>
      </c>
      <c r="G24" s="423">
        <v>0</v>
      </c>
      <c r="H24" s="423">
        <v>0</v>
      </c>
      <c r="I24" s="423">
        <v>0</v>
      </c>
      <c r="J24" s="423">
        <v>0</v>
      </c>
      <c r="K24" s="423">
        <v>0</v>
      </c>
      <c r="L24" s="423">
        <v>0</v>
      </c>
      <c r="M24" s="423">
        <v>0</v>
      </c>
      <c r="N24" s="423">
        <v>0</v>
      </c>
      <c r="O24" s="423">
        <v>0</v>
      </c>
      <c r="P24" s="423">
        <v>0</v>
      </c>
      <c r="Q24" s="423">
        <v>0</v>
      </c>
      <c r="R24" s="423">
        <v>0</v>
      </c>
      <c r="S24" s="423">
        <v>0</v>
      </c>
      <c r="T24" s="423">
        <v>0</v>
      </c>
      <c r="U24" s="423">
        <v>0</v>
      </c>
      <c r="W24" s="423">
        <f t="shared" si="11"/>
        <v>0</v>
      </c>
      <c r="X24" s="423">
        <f t="shared" si="19"/>
        <v>0</v>
      </c>
      <c r="Y24" s="423">
        <f t="shared" si="20"/>
        <v>0</v>
      </c>
      <c r="Z24" s="423">
        <f t="shared" si="20"/>
        <v>0</v>
      </c>
      <c r="AA24" s="423">
        <f t="shared" si="13"/>
        <v>0</v>
      </c>
      <c r="AB24" s="423">
        <f t="shared" si="21"/>
        <v>0</v>
      </c>
      <c r="AC24" s="423">
        <f t="shared" si="21"/>
        <v>0</v>
      </c>
      <c r="AD24" s="423">
        <f t="shared" si="21"/>
        <v>0</v>
      </c>
      <c r="AE24" s="423">
        <f t="shared" si="14"/>
        <v>0</v>
      </c>
      <c r="AF24" s="423">
        <f t="shared" si="22"/>
        <v>0</v>
      </c>
    </row>
    <row r="25" spans="1:32" outlineLevel="1">
      <c r="A25" s="418" t="s">
        <v>614</v>
      </c>
      <c r="B25" s="418" t="s">
        <v>615</v>
      </c>
      <c r="D25" s="423">
        <v>0</v>
      </c>
      <c r="E25" s="423">
        <v>0</v>
      </c>
      <c r="F25" s="423">
        <v>21</v>
      </c>
      <c r="G25" s="423">
        <v>282</v>
      </c>
      <c r="H25" s="423">
        <v>336</v>
      </c>
      <c r="I25" s="423">
        <v>1145</v>
      </c>
      <c r="J25" s="423">
        <v>1620</v>
      </c>
      <c r="K25" s="423">
        <v>2623</v>
      </c>
      <c r="L25" s="423">
        <v>806</v>
      </c>
      <c r="M25" s="423">
        <v>1643</v>
      </c>
      <c r="N25" s="423">
        <v>3986</v>
      </c>
      <c r="O25" s="423">
        <v>6646</v>
      </c>
      <c r="P25" s="423">
        <v>1096</v>
      </c>
      <c r="Q25" s="423">
        <v>3348</v>
      </c>
      <c r="R25" s="423">
        <v>5069</v>
      </c>
      <c r="S25" s="423">
        <v>6603</v>
      </c>
      <c r="T25" s="423">
        <v>1099</v>
      </c>
      <c r="U25" s="423">
        <v>2548</v>
      </c>
      <c r="W25" s="423">
        <f t="shared" si="11"/>
        <v>806</v>
      </c>
      <c r="X25" s="423">
        <f t="shared" si="19"/>
        <v>837</v>
      </c>
      <c r="Y25" s="423">
        <f t="shared" si="20"/>
        <v>2343</v>
      </c>
      <c r="Z25" s="423">
        <f t="shared" si="20"/>
        <v>2660</v>
      </c>
      <c r="AA25" s="423">
        <f t="shared" si="13"/>
        <v>1096</v>
      </c>
      <c r="AB25" s="423">
        <f t="shared" si="21"/>
        <v>2252</v>
      </c>
      <c r="AC25" s="423">
        <f t="shared" si="21"/>
        <v>1721</v>
      </c>
      <c r="AD25" s="423">
        <f t="shared" si="21"/>
        <v>1534</v>
      </c>
      <c r="AE25" s="423">
        <f t="shared" si="14"/>
        <v>1099</v>
      </c>
      <c r="AF25" s="423">
        <f t="shared" si="22"/>
        <v>1449</v>
      </c>
    </row>
    <row r="26" spans="1:32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</row>
    <row r="27" spans="1:32">
      <c r="A27" s="429" t="s">
        <v>630</v>
      </c>
      <c r="B27" s="429" t="s">
        <v>631</v>
      </c>
      <c r="D27" s="420">
        <f t="shared" ref="D27:I27" si="23">SUM(D29:D37)</f>
        <v>0</v>
      </c>
      <c r="E27" s="420">
        <f t="shared" si="23"/>
        <v>0</v>
      </c>
      <c r="F27" s="420">
        <f t="shared" si="23"/>
        <v>-1242</v>
      </c>
      <c r="G27" s="420">
        <f t="shared" si="23"/>
        <v>-3838</v>
      </c>
      <c r="H27" s="420">
        <f t="shared" si="23"/>
        <v>-2533</v>
      </c>
      <c r="I27" s="420">
        <f t="shared" si="23"/>
        <v>-4516</v>
      </c>
      <c r="J27" s="420">
        <f t="shared" ref="J27:T27" si="24">SUM(J29:J37)</f>
        <v>-6294</v>
      </c>
      <c r="K27" s="420">
        <f t="shared" si="24"/>
        <v>-9656</v>
      </c>
      <c r="L27" s="420">
        <f t="shared" si="24"/>
        <v>-2087</v>
      </c>
      <c r="M27" s="420">
        <f t="shared" si="24"/>
        <v>-4275</v>
      </c>
      <c r="N27" s="420">
        <f t="shared" si="24"/>
        <v>-6817</v>
      </c>
      <c r="O27" s="420">
        <f t="shared" si="24"/>
        <v>-11507</v>
      </c>
      <c r="P27" s="420">
        <f t="shared" si="24"/>
        <v>-2473</v>
      </c>
      <c r="Q27" s="420">
        <f t="shared" si="24"/>
        <v>-5238</v>
      </c>
      <c r="R27" s="420">
        <f t="shared" si="24"/>
        <v>-7846</v>
      </c>
      <c r="S27" s="420">
        <f t="shared" si="24"/>
        <v>-13249</v>
      </c>
      <c r="T27" s="741">
        <f t="shared" si="24"/>
        <v>-3072</v>
      </c>
      <c r="U27" s="741">
        <f>SUM(U29:U37)</f>
        <v>-6125</v>
      </c>
      <c r="W27" s="420">
        <f t="shared" ref="W27:AC27" si="25">SUM(W29:W37)</f>
        <v>-2087</v>
      </c>
      <c r="X27" s="420">
        <f t="shared" si="25"/>
        <v>-2188</v>
      </c>
      <c r="Y27" s="420">
        <f t="shared" si="25"/>
        <v>-2542</v>
      </c>
      <c r="Z27" s="420">
        <f t="shared" si="25"/>
        <v>-4690</v>
      </c>
      <c r="AA27" s="420">
        <f t="shared" si="25"/>
        <v>-2473</v>
      </c>
      <c r="AB27" s="420">
        <f t="shared" si="25"/>
        <v>-2765</v>
      </c>
      <c r="AC27" s="420">
        <f t="shared" si="25"/>
        <v>-2608</v>
      </c>
      <c r="AD27" s="420">
        <f t="shared" ref="AD27:AE27" si="26">SUM(AD29:AD37)</f>
        <v>-5403</v>
      </c>
      <c r="AE27" s="420">
        <f t="shared" si="26"/>
        <v>-3072</v>
      </c>
      <c r="AF27" s="741">
        <f>SUM(AF29:AF37)</f>
        <v>-3053</v>
      </c>
    </row>
    <row r="28" spans="1:32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</row>
    <row r="29" spans="1:32" outlineLevel="1">
      <c r="A29" s="418" t="s">
        <v>632</v>
      </c>
      <c r="B29" s="418" t="s">
        <v>632</v>
      </c>
      <c r="D29" s="423">
        <v>0</v>
      </c>
      <c r="E29" s="423">
        <v>0</v>
      </c>
      <c r="F29" s="423">
        <v>0</v>
      </c>
      <c r="G29" s="423">
        <v>0</v>
      </c>
      <c r="H29" s="423">
        <v>0</v>
      </c>
      <c r="I29" s="423">
        <v>0</v>
      </c>
      <c r="J29" s="423">
        <v>0</v>
      </c>
      <c r="K29" s="423">
        <v>0</v>
      </c>
      <c r="L29" s="423">
        <v>0</v>
      </c>
      <c r="M29" s="423">
        <v>0</v>
      </c>
      <c r="N29" s="423">
        <v>0</v>
      </c>
      <c r="O29" s="423">
        <v>0</v>
      </c>
      <c r="P29" s="423">
        <v>0</v>
      </c>
      <c r="Q29" s="423">
        <v>0</v>
      </c>
      <c r="R29" s="423">
        <v>0</v>
      </c>
      <c r="S29" s="423">
        <v>0</v>
      </c>
      <c r="T29" s="423">
        <v>0</v>
      </c>
      <c r="U29" s="423">
        <v>0</v>
      </c>
      <c r="W29" s="423">
        <f t="shared" ref="W29:W37" si="27">L29</f>
        <v>0</v>
      </c>
      <c r="X29" s="423">
        <f t="shared" ref="X29:X37" si="28">M29-W29</f>
        <v>0</v>
      </c>
      <c r="Y29" s="423">
        <f t="shared" ref="Y29:Y37" si="29">N29-M29</f>
        <v>0</v>
      </c>
      <c r="Z29" s="423">
        <f t="shared" ref="Z29:Z37" si="30">O29-N29</f>
        <v>0</v>
      </c>
      <c r="AA29" s="423">
        <f t="shared" ref="AA29:AA37" si="31">P29</f>
        <v>0</v>
      </c>
      <c r="AB29" s="423">
        <f t="shared" ref="AB29:AB37" si="32">Q29-P29</f>
        <v>0</v>
      </c>
      <c r="AC29" s="423">
        <f t="shared" ref="AC29:AC37" si="33">R29-Q29</f>
        <v>0</v>
      </c>
      <c r="AD29" s="423">
        <f t="shared" ref="AD29:AD37" si="34">S29-R29</f>
        <v>0</v>
      </c>
      <c r="AE29" s="423">
        <f t="shared" ref="AE29:AE37" si="35">T29</f>
        <v>0</v>
      </c>
      <c r="AF29" s="423">
        <f t="shared" ref="AF29:AF37" si="36">U29-T29</f>
        <v>0</v>
      </c>
    </row>
    <row r="30" spans="1:32" outlineLevel="1">
      <c r="A30" s="418" t="s">
        <v>633</v>
      </c>
      <c r="B30" s="418" t="s">
        <v>634</v>
      </c>
      <c r="D30" s="423">
        <v>0</v>
      </c>
      <c r="E30" s="423">
        <v>0</v>
      </c>
      <c r="F30" s="423">
        <v>-1242</v>
      </c>
      <c r="G30" s="423">
        <v>-3179</v>
      </c>
      <c r="H30" s="423">
        <v>-2533</v>
      </c>
      <c r="I30" s="423">
        <v>-4516</v>
      </c>
      <c r="J30" s="423">
        <v>-6294</v>
      </c>
      <c r="K30" s="423">
        <v>-8023</v>
      </c>
      <c r="L30" s="423">
        <v>-2087</v>
      </c>
      <c r="M30" s="423">
        <v>-4275</v>
      </c>
      <c r="N30" s="423">
        <v>-6817</v>
      </c>
      <c r="O30" s="423">
        <v>-9497</v>
      </c>
      <c r="P30" s="423">
        <v>-2473</v>
      </c>
      <c r="Q30" s="423">
        <v>-5238</v>
      </c>
      <c r="R30" s="423">
        <v>-6987</v>
      </c>
      <c r="S30" s="423">
        <v>-9885</v>
      </c>
      <c r="T30" s="423">
        <v>-3245</v>
      </c>
      <c r="U30" s="423">
        <v>-6125</v>
      </c>
      <c r="W30" s="423">
        <f t="shared" si="27"/>
        <v>-2087</v>
      </c>
      <c r="X30" s="423">
        <f t="shared" si="28"/>
        <v>-2188</v>
      </c>
      <c r="Y30" s="423">
        <f t="shared" si="29"/>
        <v>-2542</v>
      </c>
      <c r="Z30" s="423">
        <f t="shared" si="30"/>
        <v>-2680</v>
      </c>
      <c r="AA30" s="423">
        <f t="shared" si="31"/>
        <v>-2473</v>
      </c>
      <c r="AB30" s="423">
        <f t="shared" si="32"/>
        <v>-2765</v>
      </c>
      <c r="AC30" s="423">
        <f t="shared" si="33"/>
        <v>-1749</v>
      </c>
      <c r="AD30" s="423">
        <f t="shared" si="34"/>
        <v>-2898</v>
      </c>
      <c r="AE30" s="423">
        <f t="shared" si="35"/>
        <v>-3245</v>
      </c>
      <c r="AF30" s="423">
        <f t="shared" si="36"/>
        <v>-2880</v>
      </c>
    </row>
    <row r="31" spans="1:32" outlineLevel="1">
      <c r="A31" s="418" t="s">
        <v>635</v>
      </c>
      <c r="B31" s="418" t="s">
        <v>636</v>
      </c>
      <c r="D31" s="423">
        <v>0</v>
      </c>
      <c r="E31" s="423">
        <v>0</v>
      </c>
      <c r="F31" s="423">
        <v>0</v>
      </c>
      <c r="G31" s="423">
        <v>0</v>
      </c>
      <c r="H31" s="423">
        <v>0</v>
      </c>
      <c r="I31" s="423">
        <v>0</v>
      </c>
      <c r="J31" s="423">
        <v>0</v>
      </c>
      <c r="K31" s="423">
        <v>0</v>
      </c>
      <c r="L31" s="423">
        <v>0</v>
      </c>
      <c r="M31" s="423">
        <v>0</v>
      </c>
      <c r="N31" s="423">
        <v>0</v>
      </c>
      <c r="O31" s="423">
        <v>0</v>
      </c>
      <c r="P31" s="423">
        <v>0</v>
      </c>
      <c r="Q31" s="423">
        <v>0</v>
      </c>
      <c r="R31" s="423">
        <v>-859</v>
      </c>
      <c r="S31" s="423">
        <v>-831</v>
      </c>
      <c r="T31" s="423">
        <v>173</v>
      </c>
      <c r="U31" s="423">
        <v>0</v>
      </c>
      <c r="W31" s="423">
        <f t="shared" si="27"/>
        <v>0</v>
      </c>
      <c r="X31" s="423">
        <f t="shared" si="28"/>
        <v>0</v>
      </c>
      <c r="Y31" s="423">
        <f t="shared" si="29"/>
        <v>0</v>
      </c>
      <c r="Z31" s="423">
        <f t="shared" si="30"/>
        <v>0</v>
      </c>
      <c r="AA31" s="423">
        <f t="shared" si="31"/>
        <v>0</v>
      </c>
      <c r="AB31" s="423">
        <f t="shared" si="32"/>
        <v>0</v>
      </c>
      <c r="AC31" s="423">
        <f t="shared" si="33"/>
        <v>-859</v>
      </c>
      <c r="AD31" s="423">
        <f t="shared" si="34"/>
        <v>28</v>
      </c>
      <c r="AE31" s="423">
        <f t="shared" si="35"/>
        <v>173</v>
      </c>
      <c r="AF31" s="423">
        <f t="shared" si="36"/>
        <v>-173</v>
      </c>
    </row>
    <row r="32" spans="1:32" outlineLevel="1">
      <c r="A32" s="418" t="s">
        <v>637</v>
      </c>
      <c r="B32" s="418" t="s">
        <v>638</v>
      </c>
      <c r="D32" s="423">
        <v>0</v>
      </c>
      <c r="E32" s="423">
        <v>0</v>
      </c>
      <c r="F32" s="423">
        <v>0</v>
      </c>
      <c r="G32" s="423">
        <v>0</v>
      </c>
      <c r="H32" s="423">
        <v>0</v>
      </c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>
        <v>0</v>
      </c>
      <c r="T32" s="423">
        <v>0</v>
      </c>
      <c r="U32" s="423">
        <v>0</v>
      </c>
      <c r="W32" s="423">
        <f t="shared" si="27"/>
        <v>0</v>
      </c>
      <c r="X32" s="423">
        <f t="shared" si="28"/>
        <v>0</v>
      </c>
      <c r="Y32" s="423">
        <f t="shared" si="29"/>
        <v>0</v>
      </c>
      <c r="Z32" s="423">
        <f t="shared" si="30"/>
        <v>0</v>
      </c>
      <c r="AA32" s="423">
        <f t="shared" si="31"/>
        <v>0</v>
      </c>
      <c r="AB32" s="423">
        <f t="shared" si="32"/>
        <v>0</v>
      </c>
      <c r="AC32" s="423">
        <f t="shared" si="33"/>
        <v>0</v>
      </c>
      <c r="AD32" s="423">
        <f t="shared" si="34"/>
        <v>0</v>
      </c>
      <c r="AE32" s="423">
        <f t="shared" si="35"/>
        <v>0</v>
      </c>
      <c r="AF32" s="423">
        <f t="shared" si="36"/>
        <v>0</v>
      </c>
    </row>
    <row r="33" spans="1:32" outlineLevel="1">
      <c r="A33" s="418" t="s">
        <v>639</v>
      </c>
      <c r="B33" s="418" t="s">
        <v>640</v>
      </c>
      <c r="D33" s="423">
        <v>0</v>
      </c>
      <c r="E33" s="423">
        <v>0</v>
      </c>
      <c r="F33" s="423">
        <v>0</v>
      </c>
      <c r="G33" s="423">
        <v>0</v>
      </c>
      <c r="H33" s="423">
        <v>0</v>
      </c>
      <c r="I33" s="423">
        <v>0</v>
      </c>
      <c r="J33" s="423">
        <v>0</v>
      </c>
      <c r="K33" s="423">
        <v>0</v>
      </c>
      <c r="L33" s="423">
        <v>0</v>
      </c>
      <c r="M33" s="423">
        <v>0</v>
      </c>
      <c r="N33" s="423">
        <v>0</v>
      </c>
      <c r="O33" s="423">
        <v>0</v>
      </c>
      <c r="P33" s="423">
        <v>0</v>
      </c>
      <c r="Q33" s="423">
        <v>0</v>
      </c>
      <c r="R33" s="423">
        <v>0</v>
      </c>
      <c r="S33" s="423">
        <v>0</v>
      </c>
      <c r="T33" s="423">
        <v>0</v>
      </c>
      <c r="U33" s="423">
        <v>0</v>
      </c>
      <c r="W33" s="423">
        <f t="shared" si="27"/>
        <v>0</v>
      </c>
      <c r="X33" s="423">
        <f t="shared" si="28"/>
        <v>0</v>
      </c>
      <c r="Y33" s="423">
        <f t="shared" si="29"/>
        <v>0</v>
      </c>
      <c r="Z33" s="423">
        <f t="shared" si="30"/>
        <v>0</v>
      </c>
      <c r="AA33" s="423">
        <f t="shared" si="31"/>
        <v>0</v>
      </c>
      <c r="AB33" s="423">
        <f t="shared" si="32"/>
        <v>0</v>
      </c>
      <c r="AC33" s="423">
        <f t="shared" si="33"/>
        <v>0</v>
      </c>
      <c r="AD33" s="423">
        <f t="shared" si="34"/>
        <v>0</v>
      </c>
      <c r="AE33" s="423">
        <f t="shared" si="35"/>
        <v>0</v>
      </c>
      <c r="AF33" s="423">
        <f t="shared" si="36"/>
        <v>0</v>
      </c>
    </row>
    <row r="34" spans="1:32" outlineLevel="1">
      <c r="A34" s="418" t="s">
        <v>641</v>
      </c>
      <c r="B34" s="418" t="s">
        <v>642</v>
      </c>
      <c r="D34" s="423">
        <v>0</v>
      </c>
      <c r="E34" s="423">
        <v>0</v>
      </c>
      <c r="F34" s="423">
        <v>0</v>
      </c>
      <c r="G34" s="423">
        <v>-659</v>
      </c>
      <c r="H34" s="423">
        <v>0</v>
      </c>
      <c r="I34" s="423">
        <v>0</v>
      </c>
      <c r="J34" s="423">
        <v>0</v>
      </c>
      <c r="K34" s="423">
        <v>-1633</v>
      </c>
      <c r="L34" s="423">
        <v>0</v>
      </c>
      <c r="M34" s="423">
        <v>0</v>
      </c>
      <c r="N34" s="423">
        <v>0</v>
      </c>
      <c r="O34" s="423">
        <v>-2010</v>
      </c>
      <c r="P34" s="423">
        <v>0</v>
      </c>
      <c r="Q34" s="423">
        <v>0</v>
      </c>
      <c r="R34" s="423">
        <v>0</v>
      </c>
      <c r="S34" s="423">
        <v>-2533</v>
      </c>
      <c r="T34" s="423">
        <v>0</v>
      </c>
      <c r="U34" s="423">
        <v>0</v>
      </c>
      <c r="W34" s="423">
        <f t="shared" si="27"/>
        <v>0</v>
      </c>
      <c r="X34" s="423">
        <f t="shared" si="28"/>
        <v>0</v>
      </c>
      <c r="Y34" s="423">
        <f t="shared" si="29"/>
        <v>0</v>
      </c>
      <c r="Z34" s="423">
        <f t="shared" si="30"/>
        <v>-2010</v>
      </c>
      <c r="AA34" s="423">
        <f t="shared" si="31"/>
        <v>0</v>
      </c>
      <c r="AB34" s="423">
        <f t="shared" si="32"/>
        <v>0</v>
      </c>
      <c r="AC34" s="423">
        <f t="shared" si="33"/>
        <v>0</v>
      </c>
      <c r="AD34" s="423">
        <f t="shared" si="34"/>
        <v>-2533</v>
      </c>
      <c r="AE34" s="423">
        <f t="shared" si="35"/>
        <v>0</v>
      </c>
      <c r="AF34" s="423">
        <f t="shared" si="36"/>
        <v>0</v>
      </c>
    </row>
    <row r="35" spans="1:32" outlineLevel="1">
      <c r="A35" s="418" t="s">
        <v>643</v>
      </c>
      <c r="B35" s="418" t="s">
        <v>644</v>
      </c>
      <c r="D35" s="423">
        <v>0</v>
      </c>
      <c r="E35" s="423">
        <v>0</v>
      </c>
      <c r="F35" s="423">
        <v>0</v>
      </c>
      <c r="G35" s="423">
        <v>0</v>
      </c>
      <c r="H35" s="423">
        <v>0</v>
      </c>
      <c r="I35" s="423">
        <v>0</v>
      </c>
      <c r="J35" s="423">
        <v>0</v>
      </c>
      <c r="K35" s="423">
        <v>0</v>
      </c>
      <c r="L35" s="423">
        <v>0</v>
      </c>
      <c r="M35" s="423">
        <v>0</v>
      </c>
      <c r="N35" s="423">
        <v>0</v>
      </c>
      <c r="O35" s="423">
        <v>0</v>
      </c>
      <c r="P35" s="423">
        <v>0</v>
      </c>
      <c r="Q35" s="423">
        <v>0</v>
      </c>
      <c r="R35" s="423">
        <v>0</v>
      </c>
      <c r="S35" s="423">
        <v>0</v>
      </c>
      <c r="T35" s="423">
        <v>0</v>
      </c>
      <c r="U35" s="423">
        <v>0</v>
      </c>
      <c r="W35" s="423">
        <f t="shared" si="27"/>
        <v>0</v>
      </c>
      <c r="X35" s="423">
        <f t="shared" si="28"/>
        <v>0</v>
      </c>
      <c r="Y35" s="423">
        <f t="shared" si="29"/>
        <v>0</v>
      </c>
      <c r="Z35" s="423">
        <f t="shared" si="30"/>
        <v>0</v>
      </c>
      <c r="AA35" s="423">
        <f t="shared" si="31"/>
        <v>0</v>
      </c>
      <c r="AB35" s="423">
        <f t="shared" si="32"/>
        <v>0</v>
      </c>
      <c r="AC35" s="423">
        <f t="shared" si="33"/>
        <v>0</v>
      </c>
      <c r="AD35" s="423">
        <f t="shared" si="34"/>
        <v>0</v>
      </c>
      <c r="AE35" s="423">
        <f t="shared" si="35"/>
        <v>0</v>
      </c>
      <c r="AF35" s="423">
        <f t="shared" si="36"/>
        <v>0</v>
      </c>
    </row>
    <row r="36" spans="1:32" outlineLevel="1">
      <c r="A36" s="418" t="s">
        <v>645</v>
      </c>
      <c r="B36" s="418" t="s">
        <v>645</v>
      </c>
      <c r="D36" s="423">
        <v>0</v>
      </c>
      <c r="E36" s="423">
        <v>0</v>
      </c>
      <c r="F36" s="423">
        <v>0</v>
      </c>
      <c r="G36" s="423">
        <v>0</v>
      </c>
      <c r="H36" s="423">
        <v>0</v>
      </c>
      <c r="I36" s="423">
        <v>0</v>
      </c>
      <c r="J36" s="423">
        <v>0</v>
      </c>
      <c r="K36" s="423">
        <v>0</v>
      </c>
      <c r="L36" s="423">
        <v>0</v>
      </c>
      <c r="M36" s="423">
        <v>0</v>
      </c>
      <c r="N36" s="423">
        <v>0</v>
      </c>
      <c r="O36" s="423">
        <v>0</v>
      </c>
      <c r="P36" s="423">
        <v>0</v>
      </c>
      <c r="Q36" s="423">
        <v>0</v>
      </c>
      <c r="R36" s="423">
        <v>0</v>
      </c>
      <c r="S36" s="423">
        <v>0</v>
      </c>
      <c r="T36" s="423">
        <v>0</v>
      </c>
      <c r="U36" s="423">
        <v>0</v>
      </c>
      <c r="W36" s="423">
        <f t="shared" si="27"/>
        <v>0</v>
      </c>
      <c r="X36" s="423">
        <f t="shared" si="28"/>
        <v>0</v>
      </c>
      <c r="Y36" s="423">
        <f t="shared" si="29"/>
        <v>0</v>
      </c>
      <c r="Z36" s="423">
        <f t="shared" si="30"/>
        <v>0</v>
      </c>
      <c r="AA36" s="423">
        <f t="shared" si="31"/>
        <v>0</v>
      </c>
      <c r="AB36" s="423">
        <f t="shared" si="32"/>
        <v>0</v>
      </c>
      <c r="AC36" s="423">
        <f t="shared" si="33"/>
        <v>0</v>
      </c>
      <c r="AD36" s="423">
        <f t="shared" si="34"/>
        <v>0</v>
      </c>
      <c r="AE36" s="423">
        <f t="shared" si="35"/>
        <v>0</v>
      </c>
      <c r="AF36" s="423">
        <f t="shared" si="36"/>
        <v>0</v>
      </c>
    </row>
    <row r="37" spans="1:32" outlineLevel="1">
      <c r="A37" s="418" t="s">
        <v>95</v>
      </c>
      <c r="B37" s="418" t="s">
        <v>96</v>
      </c>
      <c r="D37" s="423">
        <v>0</v>
      </c>
      <c r="E37" s="423">
        <v>0</v>
      </c>
      <c r="F37" s="423">
        <v>0</v>
      </c>
      <c r="G37" s="423">
        <v>0</v>
      </c>
      <c r="H37" s="423">
        <v>0</v>
      </c>
      <c r="I37" s="423">
        <v>0</v>
      </c>
      <c r="J37" s="423">
        <v>0</v>
      </c>
      <c r="K37" s="423">
        <v>0</v>
      </c>
      <c r="L37" s="423">
        <v>0</v>
      </c>
      <c r="M37" s="423">
        <v>0</v>
      </c>
      <c r="N37" s="423">
        <v>0</v>
      </c>
      <c r="O37" s="423">
        <v>0</v>
      </c>
      <c r="P37" s="423">
        <v>0</v>
      </c>
      <c r="Q37" s="423">
        <v>0</v>
      </c>
      <c r="R37" s="423">
        <v>0</v>
      </c>
      <c r="S37" s="423">
        <v>0</v>
      </c>
      <c r="T37" s="423">
        <v>0</v>
      </c>
      <c r="U37" s="423">
        <v>0</v>
      </c>
      <c r="W37" s="423">
        <f t="shared" si="27"/>
        <v>0</v>
      </c>
      <c r="X37" s="423">
        <f t="shared" si="28"/>
        <v>0</v>
      </c>
      <c r="Y37" s="423">
        <f t="shared" si="29"/>
        <v>0</v>
      </c>
      <c r="Z37" s="423">
        <f t="shared" si="30"/>
        <v>0</v>
      </c>
      <c r="AA37" s="423">
        <f t="shared" si="31"/>
        <v>0</v>
      </c>
      <c r="AB37" s="423">
        <f t="shared" si="32"/>
        <v>0</v>
      </c>
      <c r="AC37" s="423">
        <f t="shared" si="33"/>
        <v>0</v>
      </c>
      <c r="AD37" s="423">
        <f t="shared" si="34"/>
        <v>0</v>
      </c>
      <c r="AE37" s="423">
        <f t="shared" si="35"/>
        <v>0</v>
      </c>
      <c r="AF37" s="423">
        <f t="shared" si="36"/>
        <v>0</v>
      </c>
    </row>
    <row r="38" spans="1:32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</row>
    <row r="39" spans="1:32">
      <c r="A39" s="429" t="s">
        <v>646</v>
      </c>
      <c r="B39" s="429" t="s">
        <v>647</v>
      </c>
      <c r="D39" s="420">
        <f t="shared" ref="D39:T39" si="37">D27+D6</f>
        <v>0</v>
      </c>
      <c r="E39" s="420">
        <f t="shared" si="37"/>
        <v>0</v>
      </c>
      <c r="F39" s="420">
        <f t="shared" si="37"/>
        <v>43325</v>
      </c>
      <c r="G39" s="420">
        <f t="shared" si="37"/>
        <v>91988</v>
      </c>
      <c r="H39" s="420">
        <f t="shared" si="37"/>
        <v>40069</v>
      </c>
      <c r="I39" s="420">
        <f t="shared" si="37"/>
        <v>84101</v>
      </c>
      <c r="J39" s="420">
        <f t="shared" si="37"/>
        <v>119660</v>
      </c>
      <c r="K39" s="420">
        <f t="shared" si="37"/>
        <v>150151</v>
      </c>
      <c r="L39" s="420">
        <f t="shared" si="37"/>
        <v>40759</v>
      </c>
      <c r="M39" s="420">
        <f t="shared" si="37"/>
        <v>99990</v>
      </c>
      <c r="N39" s="420">
        <f t="shared" si="37"/>
        <v>165588</v>
      </c>
      <c r="O39" s="420">
        <f t="shared" si="37"/>
        <v>246590</v>
      </c>
      <c r="P39" s="420">
        <f t="shared" si="37"/>
        <v>59537</v>
      </c>
      <c r="Q39" s="420">
        <f t="shared" si="37"/>
        <v>98362</v>
      </c>
      <c r="R39" s="420">
        <f t="shared" si="37"/>
        <v>138043</v>
      </c>
      <c r="S39" s="420">
        <f t="shared" si="37"/>
        <v>206367</v>
      </c>
      <c r="T39" s="741">
        <f t="shared" si="37"/>
        <v>39298</v>
      </c>
      <c r="U39" s="741">
        <f>U27+U6</f>
        <v>81134</v>
      </c>
      <c r="W39" s="420">
        <f t="shared" ref="W39:AC39" si="38">W27+W6</f>
        <v>40759</v>
      </c>
      <c r="X39" s="420">
        <f t="shared" si="38"/>
        <v>59231</v>
      </c>
      <c r="Y39" s="420">
        <f t="shared" si="38"/>
        <v>65598</v>
      </c>
      <c r="Z39" s="420">
        <f t="shared" si="38"/>
        <v>81002</v>
      </c>
      <c r="AA39" s="420">
        <f t="shared" si="38"/>
        <v>59537</v>
      </c>
      <c r="AB39" s="420">
        <f t="shared" si="38"/>
        <v>38825</v>
      </c>
      <c r="AC39" s="420">
        <f t="shared" si="38"/>
        <v>39681</v>
      </c>
      <c r="AD39" s="420">
        <f t="shared" ref="AD39:AE39" si="39">AD27+AD6</f>
        <v>68324</v>
      </c>
      <c r="AE39" s="420">
        <f t="shared" si="39"/>
        <v>39298</v>
      </c>
      <c r="AF39" s="741">
        <f>AF27+AF6</f>
        <v>41836</v>
      </c>
    </row>
    <row r="40" spans="1:32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</row>
    <row r="41" spans="1:32">
      <c r="A41" s="416" t="s">
        <v>648</v>
      </c>
      <c r="B41" s="416" t="s">
        <v>649</v>
      </c>
      <c r="D41" s="424">
        <f t="shared" ref="D41:T41" si="40">SUM(D43:D49)</f>
        <v>-1053</v>
      </c>
      <c r="E41" s="424">
        <f t="shared" si="40"/>
        <v>-756</v>
      </c>
      <c r="F41" s="424">
        <f t="shared" si="40"/>
        <v>-41101</v>
      </c>
      <c r="G41" s="424">
        <f t="shared" si="40"/>
        <v>-77658</v>
      </c>
      <c r="H41" s="424">
        <f t="shared" si="40"/>
        <v>-25611</v>
      </c>
      <c r="I41" s="424">
        <f t="shared" si="40"/>
        <v>-61617</v>
      </c>
      <c r="J41" s="424">
        <f t="shared" si="40"/>
        <v>-89720</v>
      </c>
      <c r="K41" s="424">
        <f t="shared" si="40"/>
        <v>-112496</v>
      </c>
      <c r="L41" s="424">
        <f t="shared" si="40"/>
        <v>-29621</v>
      </c>
      <c r="M41" s="424">
        <f t="shared" si="40"/>
        <v>-74911</v>
      </c>
      <c r="N41" s="424">
        <f t="shared" si="40"/>
        <v>-123440</v>
      </c>
      <c r="O41" s="424">
        <f t="shared" si="40"/>
        <v>-188142</v>
      </c>
      <c r="P41" s="424">
        <f t="shared" si="40"/>
        <v>-45151</v>
      </c>
      <c r="Q41" s="424">
        <f t="shared" si="40"/>
        <v>-69173</v>
      </c>
      <c r="R41" s="424">
        <f t="shared" si="40"/>
        <v>-94040</v>
      </c>
      <c r="S41" s="424">
        <f t="shared" si="40"/>
        <v>-148403</v>
      </c>
      <c r="T41" s="424">
        <f t="shared" si="40"/>
        <v>-21297</v>
      </c>
      <c r="U41" s="424">
        <f>SUM(U43:U49)</f>
        <v>-47258</v>
      </c>
      <c r="W41" s="424">
        <f t="shared" ref="W41:AC41" si="41">SUM(W43:W49)</f>
        <v>-29621</v>
      </c>
      <c r="X41" s="424">
        <f t="shared" si="41"/>
        <v>-45290</v>
      </c>
      <c r="Y41" s="424">
        <f t="shared" si="41"/>
        <v>-48529</v>
      </c>
      <c r="Z41" s="424">
        <f t="shared" si="41"/>
        <v>-64702</v>
      </c>
      <c r="AA41" s="424">
        <f t="shared" si="41"/>
        <v>-45151</v>
      </c>
      <c r="AB41" s="424">
        <f t="shared" si="41"/>
        <v>-24022</v>
      </c>
      <c r="AC41" s="424">
        <f t="shared" si="41"/>
        <v>-24867</v>
      </c>
      <c r="AD41" s="424">
        <f t="shared" ref="AD41:AE41" si="42">SUM(AD43:AD49)</f>
        <v>-54363</v>
      </c>
      <c r="AE41" s="424">
        <f t="shared" si="42"/>
        <v>-21297</v>
      </c>
      <c r="AF41" s="424">
        <f>SUM(AF43:AF49)</f>
        <v>-25961</v>
      </c>
    </row>
    <row r="42" spans="1:32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</row>
    <row r="43" spans="1:32">
      <c r="A43" s="417" t="s">
        <v>650</v>
      </c>
      <c r="B43" s="417" t="s">
        <v>651</v>
      </c>
      <c r="D43" s="422">
        <v>0</v>
      </c>
      <c r="E43" s="422">
        <v>0</v>
      </c>
      <c r="F43" s="422">
        <v>0</v>
      </c>
      <c r="G43" s="422">
        <v>0</v>
      </c>
      <c r="H43" s="422">
        <v>0</v>
      </c>
      <c r="I43" s="422">
        <v>0</v>
      </c>
      <c r="J43" s="422">
        <v>0</v>
      </c>
      <c r="K43" s="422">
        <v>0</v>
      </c>
      <c r="L43" s="422">
        <v>0</v>
      </c>
      <c r="M43" s="422">
        <v>0</v>
      </c>
      <c r="N43" s="422">
        <v>0</v>
      </c>
      <c r="O43" s="422">
        <v>0</v>
      </c>
      <c r="P43" s="422">
        <v>0</v>
      </c>
      <c r="Q43" s="422">
        <v>0</v>
      </c>
      <c r="R43" s="422">
        <v>0</v>
      </c>
      <c r="S43" s="422">
        <v>0</v>
      </c>
      <c r="T43" s="422">
        <v>0</v>
      </c>
      <c r="U43" s="422">
        <v>0</v>
      </c>
      <c r="W43" s="422">
        <f>L43</f>
        <v>0</v>
      </c>
      <c r="X43" s="422">
        <f>M43-W43</f>
        <v>0</v>
      </c>
      <c r="Y43" s="422">
        <f>N43-M43</f>
        <v>0</v>
      </c>
      <c r="Z43" s="422">
        <f>O43-N43</f>
        <v>0</v>
      </c>
      <c r="AA43" s="422">
        <f>P43</f>
        <v>0</v>
      </c>
      <c r="AB43" s="422">
        <f>Q43-P43</f>
        <v>0</v>
      </c>
      <c r="AC43" s="422">
        <f>R43-Q43</f>
        <v>0</v>
      </c>
      <c r="AD43" s="422">
        <f>S43-R43</f>
        <v>0</v>
      </c>
      <c r="AE43" s="422">
        <f>T43</f>
        <v>0</v>
      </c>
      <c r="AF43" s="422">
        <f>U43-T43</f>
        <v>0</v>
      </c>
    </row>
    <row r="44" spans="1:32">
      <c r="A44" s="417" t="s">
        <v>2498</v>
      </c>
      <c r="B44" s="417" t="s">
        <v>2499</v>
      </c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>
        <v>0</v>
      </c>
      <c r="W44" s="422"/>
      <c r="X44" s="422"/>
      <c r="Y44" s="422"/>
      <c r="Z44" s="422"/>
      <c r="AA44" s="422"/>
      <c r="AB44" s="422"/>
      <c r="AC44" s="422"/>
      <c r="AD44" s="422"/>
      <c r="AE44" s="422"/>
      <c r="AF44" s="422"/>
    </row>
    <row r="45" spans="1:32">
      <c r="A45" s="417" t="s">
        <v>652</v>
      </c>
      <c r="B45" s="417" t="s">
        <v>653</v>
      </c>
      <c r="D45" s="422">
        <v>0</v>
      </c>
      <c r="E45" s="422">
        <v>0</v>
      </c>
      <c r="F45" s="422">
        <v>-31118</v>
      </c>
      <c r="G45" s="422">
        <v>-61456</v>
      </c>
      <c r="H45" s="422">
        <v>-15219</v>
      </c>
      <c r="I45" s="422">
        <v>-39791</v>
      </c>
      <c r="J45" s="422">
        <v>-57874</v>
      </c>
      <c r="K45" s="422">
        <v>-73035</v>
      </c>
      <c r="L45" s="422">
        <v>-20198</v>
      </c>
      <c r="M45" s="422">
        <v>-57963</v>
      </c>
      <c r="N45" s="422">
        <v>-98707</v>
      </c>
      <c r="O45" s="422">
        <v>-155580</v>
      </c>
      <c r="P45" s="422">
        <v>-35322</v>
      </c>
      <c r="Q45" s="422">
        <v>-48189</v>
      </c>
      <c r="R45" s="422">
        <v>-62324</v>
      </c>
      <c r="S45" s="422">
        <v>-105029</v>
      </c>
      <c r="T45" s="422">
        <v>-9156</v>
      </c>
      <c r="U45" s="422">
        <v>-21148</v>
      </c>
      <c r="W45" s="422">
        <f>L45</f>
        <v>-20198</v>
      </c>
      <c r="X45" s="422">
        <f>M45-W45</f>
        <v>-37765</v>
      </c>
      <c r="Y45" s="422">
        <f t="shared" ref="Y45:Z48" si="43">N45-M45</f>
        <v>-40744</v>
      </c>
      <c r="Z45" s="422">
        <f t="shared" si="43"/>
        <v>-56873</v>
      </c>
      <c r="AA45" s="422">
        <f>P45</f>
        <v>-35322</v>
      </c>
      <c r="AB45" s="422">
        <f t="shared" ref="AB45:AD48" si="44">Q45-P45</f>
        <v>-12867</v>
      </c>
      <c r="AC45" s="422">
        <f t="shared" si="44"/>
        <v>-14135</v>
      </c>
      <c r="AD45" s="422">
        <f t="shared" si="44"/>
        <v>-42705</v>
      </c>
      <c r="AE45" s="422">
        <f>T45</f>
        <v>-9156</v>
      </c>
      <c r="AF45" s="422">
        <f>U45-T45</f>
        <v>-11992</v>
      </c>
    </row>
    <row r="46" spans="1:32">
      <c r="A46" s="417" t="s">
        <v>654</v>
      </c>
      <c r="B46" s="417" t="s">
        <v>655</v>
      </c>
      <c r="D46" s="422">
        <v>0</v>
      </c>
      <c r="E46" s="422">
        <v>0</v>
      </c>
      <c r="F46" s="422">
        <v>0</v>
      </c>
      <c r="G46" s="422">
        <v>0</v>
      </c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>
        <v>0</v>
      </c>
      <c r="T46" s="422">
        <v>0</v>
      </c>
      <c r="U46" s="422">
        <v>0</v>
      </c>
      <c r="W46" s="422">
        <f>L46</f>
        <v>0</v>
      </c>
      <c r="X46" s="422">
        <f>M46-W46</f>
        <v>0</v>
      </c>
      <c r="Y46" s="422">
        <f t="shared" si="43"/>
        <v>0</v>
      </c>
      <c r="Z46" s="422">
        <f t="shared" si="43"/>
        <v>0</v>
      </c>
      <c r="AA46" s="422">
        <f>P46</f>
        <v>0</v>
      </c>
      <c r="AB46" s="422">
        <f t="shared" si="44"/>
        <v>0</v>
      </c>
      <c r="AC46" s="422">
        <f t="shared" si="44"/>
        <v>0</v>
      </c>
      <c r="AD46" s="422">
        <f t="shared" si="44"/>
        <v>0</v>
      </c>
      <c r="AE46" s="422">
        <f>T46</f>
        <v>0</v>
      </c>
      <c r="AF46" s="422">
        <f>U46-T46</f>
        <v>0</v>
      </c>
    </row>
    <row r="47" spans="1:32">
      <c r="A47" s="417" t="s">
        <v>656</v>
      </c>
      <c r="B47" s="417" t="s">
        <v>657</v>
      </c>
      <c r="D47" s="422">
        <v>0</v>
      </c>
      <c r="E47" s="422">
        <v>0</v>
      </c>
      <c r="F47" s="422">
        <v>0</v>
      </c>
      <c r="G47" s="422">
        <v>0</v>
      </c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>
        <v>0</v>
      </c>
      <c r="T47" s="422">
        <v>0</v>
      </c>
      <c r="U47" s="422">
        <v>0</v>
      </c>
      <c r="W47" s="422">
        <f>L47</f>
        <v>0</v>
      </c>
      <c r="X47" s="422">
        <f>M47-W47</f>
        <v>0</v>
      </c>
      <c r="Y47" s="422">
        <f t="shared" si="43"/>
        <v>0</v>
      </c>
      <c r="Z47" s="422">
        <f t="shared" si="43"/>
        <v>0</v>
      </c>
      <c r="AA47" s="422">
        <f>P47</f>
        <v>0</v>
      </c>
      <c r="AB47" s="422">
        <f t="shared" si="44"/>
        <v>0</v>
      </c>
      <c r="AC47" s="422">
        <f t="shared" si="44"/>
        <v>0</v>
      </c>
      <c r="AD47" s="422">
        <f t="shared" si="44"/>
        <v>0</v>
      </c>
      <c r="AE47" s="422">
        <f>T47</f>
        <v>0</v>
      </c>
      <c r="AF47" s="422">
        <f>U47-T47</f>
        <v>0</v>
      </c>
    </row>
    <row r="48" spans="1:32">
      <c r="A48" s="417" t="s">
        <v>658</v>
      </c>
      <c r="B48" s="417" t="s">
        <v>659</v>
      </c>
      <c r="D48" s="422">
        <v>0</v>
      </c>
      <c r="E48" s="422">
        <v>0</v>
      </c>
      <c r="F48" s="422">
        <v>0</v>
      </c>
      <c r="G48" s="422">
        <v>0</v>
      </c>
      <c r="H48" s="422">
        <v>0</v>
      </c>
      <c r="I48" s="422">
        <v>0</v>
      </c>
      <c r="J48" s="422">
        <v>0</v>
      </c>
      <c r="K48" s="422">
        <v>0</v>
      </c>
      <c r="L48" s="422">
        <v>0</v>
      </c>
      <c r="M48" s="422">
        <v>0</v>
      </c>
      <c r="N48" s="422">
        <v>0</v>
      </c>
      <c r="O48" s="422">
        <v>0</v>
      </c>
      <c r="P48" s="422">
        <v>0</v>
      </c>
      <c r="Q48" s="422">
        <v>0</v>
      </c>
      <c r="R48" s="422">
        <v>0</v>
      </c>
      <c r="S48" s="422">
        <v>0</v>
      </c>
      <c r="T48" s="422">
        <v>0</v>
      </c>
      <c r="U48" s="422">
        <v>0</v>
      </c>
      <c r="W48" s="422">
        <f>L48</f>
        <v>0</v>
      </c>
      <c r="X48" s="422">
        <f>M48-W48</f>
        <v>0</v>
      </c>
      <c r="Y48" s="422">
        <f t="shared" si="43"/>
        <v>0</v>
      </c>
      <c r="Z48" s="422">
        <f t="shared" si="43"/>
        <v>0</v>
      </c>
      <c r="AA48" s="422">
        <f>P48</f>
        <v>0</v>
      </c>
      <c r="AB48" s="422">
        <f t="shared" si="44"/>
        <v>0</v>
      </c>
      <c r="AC48" s="422">
        <f t="shared" si="44"/>
        <v>0</v>
      </c>
      <c r="AD48" s="422">
        <f t="shared" si="44"/>
        <v>0</v>
      </c>
      <c r="AE48" s="422">
        <f>T48</f>
        <v>0</v>
      </c>
      <c r="AF48" s="422">
        <f>U48-T48</f>
        <v>0</v>
      </c>
    </row>
    <row r="49" spans="1:32">
      <c r="A49" s="417" t="s">
        <v>660</v>
      </c>
      <c r="B49" s="417" t="s">
        <v>661</v>
      </c>
      <c r="D49" s="422">
        <f t="shared" ref="D49:I49" si="45">SUM(D50:D56)</f>
        <v>-1053</v>
      </c>
      <c r="E49" s="422">
        <f t="shared" si="45"/>
        <v>-756</v>
      </c>
      <c r="F49" s="422">
        <f t="shared" si="45"/>
        <v>-9983</v>
      </c>
      <c r="G49" s="422">
        <f t="shared" si="45"/>
        <v>-16202</v>
      </c>
      <c r="H49" s="422">
        <f t="shared" si="45"/>
        <v>-10392</v>
      </c>
      <c r="I49" s="422">
        <f t="shared" si="45"/>
        <v>-21826</v>
      </c>
      <c r="J49" s="422">
        <f t="shared" ref="J49:T49" si="46">SUM(J50:J56)</f>
        <v>-31846</v>
      </c>
      <c r="K49" s="422">
        <f t="shared" si="46"/>
        <v>-39461</v>
      </c>
      <c r="L49" s="422">
        <f t="shared" si="46"/>
        <v>-9423</v>
      </c>
      <c r="M49" s="422">
        <f t="shared" si="46"/>
        <v>-16948</v>
      </c>
      <c r="N49" s="422">
        <f t="shared" si="46"/>
        <v>-24733</v>
      </c>
      <c r="O49" s="422">
        <f t="shared" si="46"/>
        <v>-32562</v>
      </c>
      <c r="P49" s="422">
        <f t="shared" si="46"/>
        <v>-9829</v>
      </c>
      <c r="Q49" s="422">
        <f t="shared" si="46"/>
        <v>-20984</v>
      </c>
      <c r="R49" s="422">
        <f t="shared" si="46"/>
        <v>-31716</v>
      </c>
      <c r="S49" s="422">
        <f t="shared" si="46"/>
        <v>-43374</v>
      </c>
      <c r="T49" s="422">
        <f t="shared" si="46"/>
        <v>-12141</v>
      </c>
      <c r="U49" s="422">
        <f>SUM(U50:U56)</f>
        <v>-26110</v>
      </c>
      <c r="W49" s="422">
        <f t="shared" ref="W49:AC49" si="47">SUM(W50:W56)</f>
        <v>-9423</v>
      </c>
      <c r="X49" s="422">
        <f t="shared" si="47"/>
        <v>-7525</v>
      </c>
      <c r="Y49" s="422">
        <f t="shared" si="47"/>
        <v>-7785</v>
      </c>
      <c r="Z49" s="422">
        <f t="shared" si="47"/>
        <v>-7829</v>
      </c>
      <c r="AA49" s="422">
        <f t="shared" si="47"/>
        <v>-9829</v>
      </c>
      <c r="AB49" s="422">
        <f t="shared" si="47"/>
        <v>-11155</v>
      </c>
      <c r="AC49" s="422">
        <f t="shared" si="47"/>
        <v>-10732</v>
      </c>
      <c r="AD49" s="422">
        <f t="shared" ref="AD49:AE49" si="48">SUM(AD50:AD56)</f>
        <v>-11658</v>
      </c>
      <c r="AE49" s="422">
        <f t="shared" si="48"/>
        <v>-12141</v>
      </c>
      <c r="AF49" s="422">
        <f>SUM(AF50:AF56)</f>
        <v>-13969</v>
      </c>
    </row>
    <row r="50" spans="1:32" outlineLevel="1">
      <c r="A50" s="418" t="s">
        <v>662</v>
      </c>
      <c r="B50" s="418" t="s">
        <v>663</v>
      </c>
      <c r="D50" s="423">
        <v>-687</v>
      </c>
      <c r="E50" s="423">
        <v>-756</v>
      </c>
      <c r="F50" s="423">
        <v>-4820</v>
      </c>
      <c r="G50" s="423">
        <v>-5660</v>
      </c>
      <c r="H50" s="423">
        <v>-2821</v>
      </c>
      <c r="I50" s="423">
        <v>-5499</v>
      </c>
      <c r="J50" s="423">
        <v>-8242</v>
      </c>
      <c r="K50" s="423">
        <v>-10702</v>
      </c>
      <c r="L50" s="423">
        <v>-3097</v>
      </c>
      <c r="M50" s="423">
        <v>-3982</v>
      </c>
      <c r="N50" s="423">
        <v>-6493</v>
      </c>
      <c r="O50" s="423">
        <v>-9633</v>
      </c>
      <c r="P50" s="423">
        <v>-2447</v>
      </c>
      <c r="Q50" s="423">
        <v>-5061</v>
      </c>
      <c r="R50" s="423">
        <v>-7740</v>
      </c>
      <c r="S50" s="423">
        <v>-10388</v>
      </c>
      <c r="T50" s="423">
        <v>-2814</v>
      </c>
      <c r="U50" s="423">
        <v>-5562</v>
      </c>
      <c r="W50" s="423">
        <f t="shared" ref="W50:W56" si="49">L50</f>
        <v>-3097</v>
      </c>
      <c r="X50" s="423">
        <f t="shared" ref="X50:X56" si="50">M50-W50</f>
        <v>-885</v>
      </c>
      <c r="Y50" s="423">
        <f t="shared" ref="Y50:Z56" si="51">N50-M50</f>
        <v>-2511</v>
      </c>
      <c r="Z50" s="423">
        <f t="shared" si="51"/>
        <v>-3140</v>
      </c>
      <c r="AA50" s="423">
        <f t="shared" ref="AA50:AA56" si="52">P50</f>
        <v>-2447</v>
      </c>
      <c r="AB50" s="423">
        <f t="shared" ref="AB50:AB56" si="53">Q50-AA50</f>
        <v>-2614</v>
      </c>
      <c r="AC50" s="423">
        <f t="shared" ref="AC50:AD56" si="54">R50-Q50</f>
        <v>-2679</v>
      </c>
      <c r="AD50" s="423">
        <f t="shared" si="54"/>
        <v>-2648</v>
      </c>
      <c r="AE50" s="423">
        <f t="shared" ref="AE50:AE56" si="55">T50</f>
        <v>-2814</v>
      </c>
      <c r="AF50" s="423">
        <f t="shared" ref="AF50:AF56" si="56">U50-T50</f>
        <v>-2748</v>
      </c>
    </row>
    <row r="51" spans="1:32" outlineLevel="1">
      <c r="A51" s="418" t="s">
        <v>664</v>
      </c>
      <c r="B51" s="418" t="s">
        <v>665</v>
      </c>
      <c r="D51" s="423">
        <v>0</v>
      </c>
      <c r="E51" s="423">
        <v>0</v>
      </c>
      <c r="F51" s="423">
        <v>-5933</v>
      </c>
      <c r="G51" s="423">
        <v>-6557</v>
      </c>
      <c r="H51" s="423">
        <v>-3077</v>
      </c>
      <c r="I51" s="423">
        <v>-6654</v>
      </c>
      <c r="J51" s="423">
        <v>-9445</v>
      </c>
      <c r="K51" s="423">
        <v>-12120</v>
      </c>
      <c r="L51" s="423">
        <v>-2297</v>
      </c>
      <c r="M51" s="423">
        <v>-4702</v>
      </c>
      <c r="N51" s="423">
        <v>-6719</v>
      </c>
      <c r="O51" s="423">
        <v>-8881</v>
      </c>
      <c r="P51" s="423">
        <v>-2428</v>
      </c>
      <c r="Q51" s="423">
        <v>-4557</v>
      </c>
      <c r="R51" s="423">
        <v>-6697</v>
      </c>
      <c r="S51" s="423">
        <v>-9228</v>
      </c>
      <c r="T51" s="423">
        <v>-2803</v>
      </c>
      <c r="U51" s="423">
        <v>-5380</v>
      </c>
      <c r="W51" s="423">
        <f t="shared" si="49"/>
        <v>-2297</v>
      </c>
      <c r="X51" s="423">
        <f t="shared" si="50"/>
        <v>-2405</v>
      </c>
      <c r="Y51" s="423">
        <f t="shared" si="51"/>
        <v>-2017</v>
      </c>
      <c r="Z51" s="423">
        <f t="shared" si="51"/>
        <v>-2162</v>
      </c>
      <c r="AA51" s="423">
        <f t="shared" si="52"/>
        <v>-2428</v>
      </c>
      <c r="AB51" s="423">
        <f t="shared" si="53"/>
        <v>-2129</v>
      </c>
      <c r="AC51" s="423">
        <f t="shared" si="54"/>
        <v>-2140</v>
      </c>
      <c r="AD51" s="423">
        <f t="shared" si="54"/>
        <v>-2531</v>
      </c>
      <c r="AE51" s="423">
        <f t="shared" si="55"/>
        <v>-2803</v>
      </c>
      <c r="AF51" s="423">
        <f t="shared" si="56"/>
        <v>-2577</v>
      </c>
    </row>
    <row r="52" spans="1:32" outlineLevel="1">
      <c r="A52" s="418" t="s">
        <v>666</v>
      </c>
      <c r="B52" s="418" t="s">
        <v>667</v>
      </c>
      <c r="D52" s="423">
        <v>-16</v>
      </c>
      <c r="E52" s="423">
        <v>0</v>
      </c>
      <c r="F52" s="423">
        <v>-236</v>
      </c>
      <c r="G52" s="423">
        <v>-216</v>
      </c>
      <c r="H52" s="423">
        <v>-747</v>
      </c>
      <c r="I52" s="423">
        <v>-1755</v>
      </c>
      <c r="J52" s="423">
        <v>-2556</v>
      </c>
      <c r="K52" s="423">
        <v>-3665</v>
      </c>
      <c r="L52" s="423">
        <v>-650</v>
      </c>
      <c r="M52" s="423">
        <v>-1208</v>
      </c>
      <c r="N52" s="423">
        <v>-1843</v>
      </c>
      <c r="O52" s="423">
        <v>-2765</v>
      </c>
      <c r="P52" s="423">
        <v>-1232</v>
      </c>
      <c r="Q52" s="423">
        <v>-3042</v>
      </c>
      <c r="R52" s="423">
        <v>-4588</v>
      </c>
      <c r="S52" s="423">
        <v>-7685</v>
      </c>
      <c r="T52" s="423">
        <v>-2250</v>
      </c>
      <c r="U52" s="423">
        <v>-4231</v>
      </c>
      <c r="W52" s="423">
        <f t="shared" si="49"/>
        <v>-650</v>
      </c>
      <c r="X52" s="423">
        <f t="shared" si="50"/>
        <v>-558</v>
      </c>
      <c r="Y52" s="423">
        <f t="shared" si="51"/>
        <v>-635</v>
      </c>
      <c r="Z52" s="423">
        <f t="shared" si="51"/>
        <v>-922</v>
      </c>
      <c r="AA52" s="423">
        <f t="shared" si="52"/>
        <v>-1232</v>
      </c>
      <c r="AB52" s="423">
        <f t="shared" si="53"/>
        <v>-1810</v>
      </c>
      <c r="AC52" s="423">
        <f t="shared" si="54"/>
        <v>-1546</v>
      </c>
      <c r="AD52" s="423">
        <f t="shared" si="54"/>
        <v>-3097</v>
      </c>
      <c r="AE52" s="423">
        <f t="shared" si="55"/>
        <v>-2250</v>
      </c>
      <c r="AF52" s="423">
        <f t="shared" si="56"/>
        <v>-1981</v>
      </c>
    </row>
    <row r="53" spans="1:32" outlineLevel="1">
      <c r="A53" s="418" t="s">
        <v>668</v>
      </c>
      <c r="B53" s="418" t="s">
        <v>669</v>
      </c>
      <c r="D53" s="423">
        <v>0</v>
      </c>
      <c r="E53" s="423">
        <v>0</v>
      </c>
      <c r="F53" s="423">
        <v>2276</v>
      </c>
      <c r="G53" s="423">
        <v>0</v>
      </c>
      <c r="H53" s="423">
        <v>0</v>
      </c>
      <c r="I53" s="423">
        <v>0</v>
      </c>
      <c r="J53" s="423">
        <v>0</v>
      </c>
      <c r="K53" s="423">
        <v>0</v>
      </c>
      <c r="L53" s="423">
        <v>-84</v>
      </c>
      <c r="M53" s="423">
        <v>-210</v>
      </c>
      <c r="N53" s="423">
        <v>-336</v>
      </c>
      <c r="O53" s="423">
        <v>-462</v>
      </c>
      <c r="P53" s="423">
        <v>-127</v>
      </c>
      <c r="Q53" s="423">
        <v>-568</v>
      </c>
      <c r="R53" s="423">
        <v>-1203</v>
      </c>
      <c r="S53" s="423">
        <v>-1807</v>
      </c>
      <c r="T53" s="423">
        <v>-612</v>
      </c>
      <c r="U53" s="423">
        <v>-1185</v>
      </c>
      <c r="W53" s="423">
        <f t="shared" si="49"/>
        <v>-84</v>
      </c>
      <c r="X53" s="423">
        <f t="shared" si="50"/>
        <v>-126</v>
      </c>
      <c r="Y53" s="423">
        <f t="shared" si="51"/>
        <v>-126</v>
      </c>
      <c r="Z53" s="423">
        <f t="shared" si="51"/>
        <v>-126</v>
      </c>
      <c r="AA53" s="423">
        <f t="shared" si="52"/>
        <v>-127</v>
      </c>
      <c r="AB53" s="423">
        <f t="shared" si="53"/>
        <v>-441</v>
      </c>
      <c r="AC53" s="423">
        <f t="shared" si="54"/>
        <v>-635</v>
      </c>
      <c r="AD53" s="423">
        <f t="shared" si="54"/>
        <v>-604</v>
      </c>
      <c r="AE53" s="423">
        <f t="shared" si="55"/>
        <v>-612</v>
      </c>
      <c r="AF53" s="423">
        <f t="shared" si="56"/>
        <v>-573</v>
      </c>
    </row>
    <row r="54" spans="1:32" outlineLevel="1">
      <c r="A54" s="418" t="s">
        <v>670</v>
      </c>
      <c r="B54" s="418" t="s">
        <v>671</v>
      </c>
      <c r="D54" s="423">
        <v>0</v>
      </c>
      <c r="E54" s="423">
        <v>0</v>
      </c>
      <c r="F54" s="423">
        <v>0</v>
      </c>
      <c r="G54" s="423">
        <v>0</v>
      </c>
      <c r="H54" s="423">
        <v>0</v>
      </c>
      <c r="I54" s="423">
        <v>0</v>
      </c>
      <c r="J54" s="423">
        <v>0</v>
      </c>
      <c r="K54" s="423">
        <v>0</v>
      </c>
      <c r="L54" s="423">
        <v>0</v>
      </c>
      <c r="M54" s="423">
        <v>0</v>
      </c>
      <c r="N54" s="423">
        <v>0</v>
      </c>
      <c r="O54" s="423">
        <v>0</v>
      </c>
      <c r="P54" s="423">
        <v>0</v>
      </c>
      <c r="Q54" s="423">
        <v>0</v>
      </c>
      <c r="R54" s="423">
        <v>0</v>
      </c>
      <c r="S54" s="423">
        <v>0</v>
      </c>
      <c r="T54" s="423">
        <v>0</v>
      </c>
      <c r="U54" s="423">
        <v>0</v>
      </c>
      <c r="W54" s="423">
        <f t="shared" si="49"/>
        <v>0</v>
      </c>
      <c r="X54" s="423">
        <f t="shared" si="50"/>
        <v>0</v>
      </c>
      <c r="Y54" s="423">
        <f t="shared" si="51"/>
        <v>0</v>
      </c>
      <c r="Z54" s="423">
        <f t="shared" si="51"/>
        <v>0</v>
      </c>
      <c r="AA54" s="423">
        <f t="shared" si="52"/>
        <v>0</v>
      </c>
      <c r="AB54" s="423">
        <f t="shared" si="53"/>
        <v>0</v>
      </c>
      <c r="AC54" s="423">
        <f t="shared" si="54"/>
        <v>0</v>
      </c>
      <c r="AD54" s="423">
        <f t="shared" si="54"/>
        <v>0</v>
      </c>
      <c r="AE54" s="423">
        <f t="shared" si="55"/>
        <v>0</v>
      </c>
      <c r="AF54" s="423">
        <f t="shared" si="56"/>
        <v>0</v>
      </c>
    </row>
    <row r="55" spans="1:32" outlineLevel="1">
      <c r="A55" s="418" t="s">
        <v>672</v>
      </c>
      <c r="B55" s="418" t="s">
        <v>673</v>
      </c>
      <c r="D55" s="423">
        <v>0</v>
      </c>
      <c r="E55" s="423">
        <v>0</v>
      </c>
      <c r="F55" s="423">
        <v>-63</v>
      </c>
      <c r="G55" s="423">
        <v>-127</v>
      </c>
      <c r="H55" s="423">
        <v>-415</v>
      </c>
      <c r="I55" s="423">
        <v>-857</v>
      </c>
      <c r="J55" s="423">
        <v>-1276</v>
      </c>
      <c r="K55" s="423">
        <v>-160</v>
      </c>
      <c r="L55" s="423">
        <v>-419</v>
      </c>
      <c r="M55" s="423">
        <v>-726</v>
      </c>
      <c r="N55" s="423">
        <v>-1420</v>
      </c>
      <c r="O55" s="423">
        <v>-900</v>
      </c>
      <c r="P55" s="423">
        <v>-477</v>
      </c>
      <c r="Q55" s="423">
        <v>-897</v>
      </c>
      <c r="R55" s="423">
        <v>-1039</v>
      </c>
      <c r="S55" s="423">
        <v>-1556</v>
      </c>
      <c r="T55" s="423">
        <v>-790</v>
      </c>
      <c r="U55" s="423">
        <v>-1472</v>
      </c>
      <c r="W55" s="423">
        <f t="shared" si="49"/>
        <v>-419</v>
      </c>
      <c r="X55" s="423">
        <f t="shared" si="50"/>
        <v>-307</v>
      </c>
      <c r="Y55" s="423">
        <f t="shared" si="51"/>
        <v>-694</v>
      </c>
      <c r="Z55" s="423">
        <f t="shared" si="51"/>
        <v>520</v>
      </c>
      <c r="AA55" s="423">
        <f t="shared" si="52"/>
        <v>-477</v>
      </c>
      <c r="AB55" s="423">
        <f t="shared" si="53"/>
        <v>-420</v>
      </c>
      <c r="AC55" s="423">
        <f t="shared" si="54"/>
        <v>-142</v>
      </c>
      <c r="AD55" s="423">
        <f t="shared" si="54"/>
        <v>-517</v>
      </c>
      <c r="AE55" s="423">
        <f t="shared" si="55"/>
        <v>-790</v>
      </c>
      <c r="AF55" s="423">
        <f t="shared" si="56"/>
        <v>-682</v>
      </c>
    </row>
    <row r="56" spans="1:32" outlineLevel="1">
      <c r="A56" s="418" t="s">
        <v>674</v>
      </c>
      <c r="B56" s="418" t="s">
        <v>675</v>
      </c>
      <c r="D56" s="423">
        <v>-350</v>
      </c>
      <c r="E56" s="423">
        <v>0</v>
      </c>
      <c r="F56" s="423">
        <v>-1207</v>
      </c>
      <c r="G56" s="423">
        <v>-3642</v>
      </c>
      <c r="H56" s="423">
        <v>-3332</v>
      </c>
      <c r="I56" s="423">
        <v>-7061</v>
      </c>
      <c r="J56" s="423">
        <v>-10327</v>
      </c>
      <c r="K56" s="423">
        <v>-12814</v>
      </c>
      <c r="L56" s="423">
        <v>-2876</v>
      </c>
      <c r="M56" s="423">
        <v>-6120</v>
      </c>
      <c r="N56" s="423">
        <v>-7922</v>
      </c>
      <c r="O56" s="423">
        <v>-9921</v>
      </c>
      <c r="P56" s="423">
        <v>-3118</v>
      </c>
      <c r="Q56" s="423">
        <v>-6859</v>
      </c>
      <c r="R56" s="423">
        <v>-10449</v>
      </c>
      <c r="S56" s="423">
        <v>-12710</v>
      </c>
      <c r="T56" s="423">
        <v>-2872</v>
      </c>
      <c r="U56" s="423">
        <v>-8280</v>
      </c>
      <c r="W56" s="423">
        <f t="shared" si="49"/>
        <v>-2876</v>
      </c>
      <c r="X56" s="423">
        <f t="shared" si="50"/>
        <v>-3244</v>
      </c>
      <c r="Y56" s="423">
        <f t="shared" si="51"/>
        <v>-1802</v>
      </c>
      <c r="Z56" s="423">
        <f t="shared" si="51"/>
        <v>-1999</v>
      </c>
      <c r="AA56" s="423">
        <f t="shared" si="52"/>
        <v>-3118</v>
      </c>
      <c r="AB56" s="423">
        <f t="shared" si="53"/>
        <v>-3741</v>
      </c>
      <c r="AC56" s="423">
        <f t="shared" si="54"/>
        <v>-3590</v>
      </c>
      <c r="AD56" s="423">
        <f t="shared" si="54"/>
        <v>-2261</v>
      </c>
      <c r="AE56" s="423">
        <f t="shared" si="55"/>
        <v>-2872</v>
      </c>
      <c r="AF56" s="423">
        <f t="shared" si="56"/>
        <v>-5408</v>
      </c>
    </row>
    <row r="57" spans="1:32">
      <c r="A57" s="417"/>
      <c r="B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</row>
    <row r="58" spans="1:32">
      <c r="A58" s="429" t="s">
        <v>676</v>
      </c>
      <c r="B58" s="429" t="s">
        <v>677</v>
      </c>
      <c r="D58" s="420">
        <f t="shared" ref="D58:I58" si="57">D39+D41</f>
        <v>-1053</v>
      </c>
      <c r="E58" s="420">
        <f t="shared" si="57"/>
        <v>-756</v>
      </c>
      <c r="F58" s="420">
        <f t="shared" si="57"/>
        <v>2224</v>
      </c>
      <c r="G58" s="420">
        <f t="shared" si="57"/>
        <v>14330</v>
      </c>
      <c r="H58" s="420">
        <f t="shared" si="57"/>
        <v>14458</v>
      </c>
      <c r="I58" s="420">
        <f t="shared" si="57"/>
        <v>22484</v>
      </c>
      <c r="J58" s="420">
        <f t="shared" ref="J58:T58" si="58">J39+J41</f>
        <v>29940</v>
      </c>
      <c r="K58" s="420">
        <f t="shared" si="58"/>
        <v>37655</v>
      </c>
      <c r="L58" s="420">
        <f t="shared" si="58"/>
        <v>11138</v>
      </c>
      <c r="M58" s="420">
        <f t="shared" si="58"/>
        <v>25079</v>
      </c>
      <c r="N58" s="420">
        <f t="shared" si="58"/>
        <v>42148</v>
      </c>
      <c r="O58" s="420">
        <f t="shared" si="58"/>
        <v>58448</v>
      </c>
      <c r="P58" s="420">
        <f t="shared" si="58"/>
        <v>14386</v>
      </c>
      <c r="Q58" s="420">
        <f t="shared" si="58"/>
        <v>29189</v>
      </c>
      <c r="R58" s="420">
        <f t="shared" si="58"/>
        <v>44003</v>
      </c>
      <c r="S58" s="420">
        <f t="shared" si="58"/>
        <v>57964</v>
      </c>
      <c r="T58" s="741">
        <f t="shared" si="58"/>
        <v>18001</v>
      </c>
      <c r="U58" s="741">
        <f>U39+U41</f>
        <v>33876</v>
      </c>
      <c r="W58" s="420">
        <f t="shared" ref="W58:AC58" si="59">W39+W41</f>
        <v>11138</v>
      </c>
      <c r="X58" s="420">
        <f t="shared" si="59"/>
        <v>13941</v>
      </c>
      <c r="Y58" s="420">
        <f t="shared" si="59"/>
        <v>17069</v>
      </c>
      <c r="Z58" s="420">
        <f t="shared" si="59"/>
        <v>16300</v>
      </c>
      <c r="AA58" s="420">
        <f t="shared" si="59"/>
        <v>14386</v>
      </c>
      <c r="AB58" s="420">
        <f t="shared" si="59"/>
        <v>14803</v>
      </c>
      <c r="AC58" s="420">
        <f t="shared" si="59"/>
        <v>14814</v>
      </c>
      <c r="AD58" s="420">
        <f t="shared" ref="AD58:AE58" si="60">AD39+AD41</f>
        <v>13961</v>
      </c>
      <c r="AE58" s="420">
        <f t="shared" si="60"/>
        <v>18001</v>
      </c>
      <c r="AF58" s="741">
        <f>AF39+AF41</f>
        <v>15875</v>
      </c>
    </row>
    <row r="59" spans="1:32">
      <c r="A59" s="417"/>
      <c r="B59" s="417"/>
      <c r="D59" s="417"/>
      <c r="E59" s="417"/>
      <c r="F59" s="417"/>
      <c r="G59" s="417"/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</row>
    <row r="60" spans="1:32">
      <c r="A60" s="416" t="s">
        <v>678</v>
      </c>
      <c r="B60" s="416" t="s">
        <v>679</v>
      </c>
      <c r="D60" s="424">
        <f t="shared" ref="D60:I60" si="61">D62+D68+D69+D78+D79</f>
        <v>-2288</v>
      </c>
      <c r="E60" s="424">
        <f t="shared" si="61"/>
        <v>-3087</v>
      </c>
      <c r="F60" s="424">
        <f t="shared" si="61"/>
        <v>-15523</v>
      </c>
      <c r="G60" s="424">
        <f t="shared" si="61"/>
        <v>-26415</v>
      </c>
      <c r="H60" s="424">
        <f t="shared" si="61"/>
        <v>-19810</v>
      </c>
      <c r="I60" s="424">
        <f t="shared" si="61"/>
        <v>-43627</v>
      </c>
      <c r="J60" s="424">
        <f t="shared" ref="J60:T60" si="62">J62+J68+J69+J78+J79</f>
        <v>-74619</v>
      </c>
      <c r="K60" s="424">
        <f t="shared" si="62"/>
        <v>-104536</v>
      </c>
      <c r="L60" s="424">
        <f t="shared" si="62"/>
        <v>-23770</v>
      </c>
      <c r="M60" s="424">
        <f t="shared" si="62"/>
        <v>-48738</v>
      </c>
      <c r="N60" s="424">
        <f t="shared" si="62"/>
        <v>-71959</v>
      </c>
      <c r="O60" s="424">
        <f t="shared" si="62"/>
        <v>-94252</v>
      </c>
      <c r="P60" s="424">
        <f t="shared" si="62"/>
        <v>-18220</v>
      </c>
      <c r="Q60" s="424">
        <f t="shared" si="62"/>
        <v>-33301</v>
      </c>
      <c r="R60" s="424">
        <f t="shared" si="62"/>
        <v>-54425</v>
      </c>
      <c r="S60" s="424">
        <f t="shared" si="62"/>
        <v>-369237</v>
      </c>
      <c r="T60" s="424">
        <f t="shared" si="62"/>
        <v>-20822</v>
      </c>
      <c r="U60" s="424">
        <f>U62+U68+U69+U78+U79</f>
        <v>-39731</v>
      </c>
      <c r="W60" s="424">
        <f t="shared" ref="W60:AC60" si="63">W62+W68+W69+W78+W79</f>
        <v>-23770</v>
      </c>
      <c r="X60" s="424">
        <f t="shared" si="63"/>
        <v>-24968</v>
      </c>
      <c r="Y60" s="424">
        <f t="shared" si="63"/>
        <v>-23221</v>
      </c>
      <c r="Z60" s="424">
        <f t="shared" si="63"/>
        <v>-22293</v>
      </c>
      <c r="AA60" s="424">
        <f t="shared" si="63"/>
        <v>-18220</v>
      </c>
      <c r="AB60" s="424">
        <f t="shared" si="63"/>
        <v>-15081</v>
      </c>
      <c r="AC60" s="424">
        <f t="shared" si="63"/>
        <v>-21124</v>
      </c>
      <c r="AD60" s="424">
        <f t="shared" ref="AD60:AE60" si="64">AD62+AD68+AD69+AD78+AD79</f>
        <v>-314812</v>
      </c>
      <c r="AE60" s="424">
        <f t="shared" si="64"/>
        <v>-20822</v>
      </c>
      <c r="AF60" s="424">
        <f>AF62+AF68+AF69+AF78+AF79</f>
        <v>-18909</v>
      </c>
    </row>
    <row r="61" spans="1:32">
      <c r="A61" s="416"/>
      <c r="B61" s="416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W61" s="421"/>
      <c r="X61" s="421"/>
      <c r="Y61" s="421"/>
      <c r="Z61" s="421"/>
      <c r="AA61" s="421"/>
      <c r="AB61" s="421"/>
      <c r="AC61" s="421"/>
      <c r="AD61" s="421"/>
      <c r="AE61" s="421"/>
      <c r="AF61" s="421"/>
    </row>
    <row r="62" spans="1:32">
      <c r="A62" s="419" t="s">
        <v>680</v>
      </c>
      <c r="B62" s="419" t="s">
        <v>681</v>
      </c>
      <c r="D62" s="422">
        <f t="shared" ref="D62:I62" si="65">SUM(D63:D67)</f>
        <v>0</v>
      </c>
      <c r="E62" s="422">
        <f t="shared" si="65"/>
        <v>-263</v>
      </c>
      <c r="F62" s="422">
        <f t="shared" si="65"/>
        <v>-1645</v>
      </c>
      <c r="G62" s="422">
        <f t="shared" si="65"/>
        <v>-2634</v>
      </c>
      <c r="H62" s="422">
        <f t="shared" si="65"/>
        <v>-1636</v>
      </c>
      <c r="I62" s="422">
        <f t="shared" si="65"/>
        <v>-3007</v>
      </c>
      <c r="J62" s="422">
        <f t="shared" ref="J62:T62" si="66">SUM(J63:J67)</f>
        <v>-6663</v>
      </c>
      <c r="K62" s="422">
        <f t="shared" si="66"/>
        <v>-9020</v>
      </c>
      <c r="L62" s="422">
        <f t="shared" si="66"/>
        <v>-2505</v>
      </c>
      <c r="M62" s="422">
        <f t="shared" si="66"/>
        <v>-4356</v>
      </c>
      <c r="N62" s="422">
        <f t="shared" si="66"/>
        <v>-6273</v>
      </c>
      <c r="O62" s="422">
        <f t="shared" si="66"/>
        <v>-9038</v>
      </c>
      <c r="P62" s="422">
        <f t="shared" si="66"/>
        <v>-2079</v>
      </c>
      <c r="Q62" s="422">
        <f t="shared" si="66"/>
        <v>-3363</v>
      </c>
      <c r="R62" s="422">
        <f t="shared" si="66"/>
        <v>-4953</v>
      </c>
      <c r="S62" s="422">
        <f t="shared" si="66"/>
        <v>-7383</v>
      </c>
      <c r="T62" s="422">
        <f t="shared" si="66"/>
        <v>-1801</v>
      </c>
      <c r="U62" s="422">
        <f>SUM(U63:U67)</f>
        <v>-4031</v>
      </c>
      <c r="W62" s="422">
        <f t="shared" ref="W62:AC62" si="67">SUM(W63:W67)</f>
        <v>-2505</v>
      </c>
      <c r="X62" s="422">
        <f t="shared" si="67"/>
        <v>-1851</v>
      </c>
      <c r="Y62" s="422">
        <f t="shared" si="67"/>
        <v>-1917</v>
      </c>
      <c r="Z62" s="422">
        <f t="shared" si="67"/>
        <v>-2765</v>
      </c>
      <c r="AA62" s="422">
        <f t="shared" si="67"/>
        <v>-2079</v>
      </c>
      <c r="AB62" s="422">
        <f t="shared" si="67"/>
        <v>-1284</v>
      </c>
      <c r="AC62" s="422">
        <f t="shared" si="67"/>
        <v>-1590</v>
      </c>
      <c r="AD62" s="422">
        <f t="shared" ref="AD62:AE62" si="68">SUM(AD63:AD67)</f>
        <v>-2430</v>
      </c>
      <c r="AE62" s="422">
        <f t="shared" si="68"/>
        <v>-1801</v>
      </c>
      <c r="AF62" s="422">
        <f>SUM(AF63:AF67)</f>
        <v>-2230</v>
      </c>
    </row>
    <row r="63" spans="1:32" outlineLevel="1">
      <c r="A63" s="418" t="s">
        <v>682</v>
      </c>
      <c r="B63" s="418" t="s">
        <v>683</v>
      </c>
      <c r="D63" s="423">
        <v>0</v>
      </c>
      <c r="E63" s="423">
        <v>-263</v>
      </c>
      <c r="F63" s="423">
        <v>-1532</v>
      </c>
      <c r="G63" s="423">
        <v>-1747</v>
      </c>
      <c r="H63" s="423">
        <v>-723</v>
      </c>
      <c r="I63" s="423">
        <v>-1287</v>
      </c>
      <c r="J63" s="423">
        <v>-1930</v>
      </c>
      <c r="K63" s="423">
        <v>-2500</v>
      </c>
      <c r="L63" s="423">
        <v>-821</v>
      </c>
      <c r="M63" s="423">
        <v>-1196</v>
      </c>
      <c r="N63" s="423">
        <v>-1759</v>
      </c>
      <c r="O63" s="423">
        <v>-2215</v>
      </c>
      <c r="P63" s="423">
        <v>-572</v>
      </c>
      <c r="Q63" s="423">
        <v>-1167</v>
      </c>
      <c r="R63" s="423">
        <v>-1733</v>
      </c>
      <c r="S63" s="423">
        <v>-2236</v>
      </c>
      <c r="T63" s="423">
        <v>-398</v>
      </c>
      <c r="U63" s="423">
        <v>-814</v>
      </c>
      <c r="W63" s="423">
        <f t="shared" ref="W63:W68" si="69">L63</f>
        <v>-821</v>
      </c>
      <c r="X63" s="423">
        <f t="shared" ref="X63:X68" si="70">M63-W63</f>
        <v>-375</v>
      </c>
      <c r="Y63" s="423">
        <f t="shared" ref="Y63:Z68" si="71">N63-M63</f>
        <v>-563</v>
      </c>
      <c r="Z63" s="423">
        <f t="shared" si="71"/>
        <v>-456</v>
      </c>
      <c r="AA63" s="423">
        <f t="shared" ref="AA63:AA68" si="72">P63</f>
        <v>-572</v>
      </c>
      <c r="AB63" s="423">
        <f t="shared" ref="AB63:AB68" si="73">Q63-AA63</f>
        <v>-595</v>
      </c>
      <c r="AC63" s="423">
        <f t="shared" ref="AC63:AD68" si="74">R63-Q63</f>
        <v>-566</v>
      </c>
      <c r="AD63" s="423">
        <f t="shared" si="74"/>
        <v>-503</v>
      </c>
      <c r="AE63" s="423">
        <f t="shared" ref="AE63:AE68" si="75">T63</f>
        <v>-398</v>
      </c>
      <c r="AF63" s="423">
        <f t="shared" ref="AF63:AF68" si="76">U63-T63</f>
        <v>-416</v>
      </c>
    </row>
    <row r="64" spans="1:32" outlineLevel="1">
      <c r="A64" s="418" t="s">
        <v>684</v>
      </c>
      <c r="B64" s="418" t="s">
        <v>685</v>
      </c>
      <c r="D64" s="423">
        <v>0</v>
      </c>
      <c r="E64" s="423">
        <v>0</v>
      </c>
      <c r="F64" s="423">
        <v>-16</v>
      </c>
      <c r="G64" s="423">
        <v>-7</v>
      </c>
      <c r="H64" s="423">
        <v>-12</v>
      </c>
      <c r="I64" s="423">
        <v>-22</v>
      </c>
      <c r="J64" s="423">
        <v>-80</v>
      </c>
      <c r="K64" s="423">
        <v>-87</v>
      </c>
      <c r="L64" s="423">
        <v>-5</v>
      </c>
      <c r="M64" s="423">
        <v>-18</v>
      </c>
      <c r="N64" s="423">
        <v>-34</v>
      </c>
      <c r="O64" s="423">
        <v>-7</v>
      </c>
      <c r="P64" s="423">
        <v>-13</v>
      </c>
      <c r="Q64" s="423">
        <v>-14</v>
      </c>
      <c r="R64" s="423">
        <v>-16</v>
      </c>
      <c r="S64" s="423">
        <v>-106</v>
      </c>
      <c r="T64" s="423">
        <v>-1</v>
      </c>
      <c r="U64" s="423">
        <v>-20</v>
      </c>
      <c r="W64" s="423">
        <f t="shared" si="69"/>
        <v>-5</v>
      </c>
      <c r="X64" s="423">
        <f t="shared" si="70"/>
        <v>-13</v>
      </c>
      <c r="Y64" s="423">
        <f t="shared" si="71"/>
        <v>-16</v>
      </c>
      <c r="Z64" s="423">
        <f t="shared" si="71"/>
        <v>27</v>
      </c>
      <c r="AA64" s="423">
        <f t="shared" si="72"/>
        <v>-13</v>
      </c>
      <c r="AB64" s="423">
        <f t="shared" si="73"/>
        <v>-1</v>
      </c>
      <c r="AC64" s="423">
        <f t="shared" si="74"/>
        <v>-2</v>
      </c>
      <c r="AD64" s="423">
        <f t="shared" si="74"/>
        <v>-90</v>
      </c>
      <c r="AE64" s="423">
        <f t="shared" si="75"/>
        <v>-1</v>
      </c>
      <c r="AF64" s="423">
        <f t="shared" si="76"/>
        <v>-19</v>
      </c>
    </row>
    <row r="65" spans="1:32" outlineLevel="1">
      <c r="A65" s="418" t="s">
        <v>686</v>
      </c>
      <c r="B65" s="418" t="s">
        <v>687</v>
      </c>
      <c r="D65" s="423">
        <v>0</v>
      </c>
      <c r="E65" s="423">
        <v>0</v>
      </c>
      <c r="F65" s="423">
        <v>-97</v>
      </c>
      <c r="G65" s="423">
        <v>-880</v>
      </c>
      <c r="H65" s="423">
        <v>-898</v>
      </c>
      <c r="I65" s="423">
        <v>-1690</v>
      </c>
      <c r="J65" s="423">
        <v>-4638</v>
      </c>
      <c r="K65" s="423">
        <v>-6414</v>
      </c>
      <c r="L65" s="423">
        <v>-1651</v>
      </c>
      <c r="M65" s="423">
        <v>-3023</v>
      </c>
      <c r="N65" s="423">
        <v>-4328</v>
      </c>
      <c r="O65" s="423">
        <v>-6736</v>
      </c>
      <c r="P65" s="423">
        <v>-1492</v>
      </c>
      <c r="Q65" s="423">
        <v>-2186</v>
      </c>
      <c r="R65" s="423">
        <v>-3214</v>
      </c>
      <c r="S65" s="423">
        <v>-5028</v>
      </c>
      <c r="T65" s="423">
        <v>-1393</v>
      </c>
      <c r="U65" s="423">
        <v>-3163</v>
      </c>
      <c r="W65" s="423">
        <f t="shared" si="69"/>
        <v>-1651</v>
      </c>
      <c r="X65" s="423">
        <f t="shared" si="70"/>
        <v>-1372</v>
      </c>
      <c r="Y65" s="423">
        <f t="shared" si="71"/>
        <v>-1305</v>
      </c>
      <c r="Z65" s="423">
        <f t="shared" si="71"/>
        <v>-2408</v>
      </c>
      <c r="AA65" s="423">
        <f t="shared" si="72"/>
        <v>-1492</v>
      </c>
      <c r="AB65" s="423">
        <f t="shared" si="73"/>
        <v>-694</v>
      </c>
      <c r="AC65" s="423">
        <f t="shared" si="74"/>
        <v>-1028</v>
      </c>
      <c r="AD65" s="423">
        <f t="shared" si="74"/>
        <v>-1814</v>
      </c>
      <c r="AE65" s="423">
        <f t="shared" si="75"/>
        <v>-1393</v>
      </c>
      <c r="AF65" s="423">
        <f t="shared" si="76"/>
        <v>-1770</v>
      </c>
    </row>
    <row r="66" spans="1:32" outlineLevel="1">
      <c r="A66" s="418" t="s">
        <v>688</v>
      </c>
      <c r="B66" s="418" t="s">
        <v>689</v>
      </c>
      <c r="D66" s="423">
        <v>0</v>
      </c>
      <c r="E66" s="423">
        <v>0</v>
      </c>
      <c r="F66" s="423">
        <v>0</v>
      </c>
      <c r="G66" s="423">
        <v>0</v>
      </c>
      <c r="H66" s="423">
        <v>-3</v>
      </c>
      <c r="I66" s="423">
        <v>-8</v>
      </c>
      <c r="J66" s="423">
        <v>-17</v>
      </c>
      <c r="K66" s="423">
        <v>-22</v>
      </c>
      <c r="L66" s="423">
        <v>-32</v>
      </c>
      <c r="M66" s="423">
        <v>-55</v>
      </c>
      <c r="N66" s="423">
        <v>-99</v>
      </c>
      <c r="O66" s="423">
        <v>-37</v>
      </c>
      <c r="P66" s="423">
        <v>-14</v>
      </c>
      <c r="Q66" s="423">
        <v>-16</v>
      </c>
      <c r="R66" s="423">
        <v>-22</v>
      </c>
      <c r="S66" s="423">
        <v>-56</v>
      </c>
      <c r="T66" s="423">
        <v>-12</v>
      </c>
      <c r="U66" s="423">
        <v>-49</v>
      </c>
      <c r="W66" s="423">
        <f t="shared" si="69"/>
        <v>-32</v>
      </c>
      <c r="X66" s="423">
        <f t="shared" si="70"/>
        <v>-23</v>
      </c>
      <c r="Y66" s="423">
        <f t="shared" si="71"/>
        <v>-44</v>
      </c>
      <c r="Z66" s="423">
        <f t="shared" si="71"/>
        <v>62</v>
      </c>
      <c r="AA66" s="423">
        <f t="shared" si="72"/>
        <v>-14</v>
      </c>
      <c r="AB66" s="423">
        <f t="shared" si="73"/>
        <v>-2</v>
      </c>
      <c r="AC66" s="423">
        <f t="shared" si="74"/>
        <v>-6</v>
      </c>
      <c r="AD66" s="423">
        <f t="shared" si="74"/>
        <v>-34</v>
      </c>
      <c r="AE66" s="423">
        <f t="shared" si="75"/>
        <v>-12</v>
      </c>
      <c r="AF66" s="423">
        <f t="shared" si="76"/>
        <v>-37</v>
      </c>
    </row>
    <row r="67" spans="1:32" outlineLevel="1">
      <c r="A67" s="418" t="s">
        <v>690</v>
      </c>
      <c r="B67" s="418" t="s">
        <v>691</v>
      </c>
      <c r="D67" s="423">
        <v>0</v>
      </c>
      <c r="E67" s="423">
        <v>0</v>
      </c>
      <c r="F67" s="423">
        <v>0</v>
      </c>
      <c r="G67" s="423">
        <v>0</v>
      </c>
      <c r="H67" s="423">
        <v>0</v>
      </c>
      <c r="I67" s="423">
        <v>0</v>
      </c>
      <c r="J67" s="423">
        <v>2</v>
      </c>
      <c r="K67" s="423">
        <v>3</v>
      </c>
      <c r="L67" s="423">
        <v>4</v>
      </c>
      <c r="M67" s="423">
        <v>-64</v>
      </c>
      <c r="N67" s="423">
        <v>-53</v>
      </c>
      <c r="O67" s="423">
        <v>-43</v>
      </c>
      <c r="P67" s="423">
        <v>12</v>
      </c>
      <c r="Q67" s="423">
        <v>20</v>
      </c>
      <c r="R67" s="423">
        <v>32</v>
      </c>
      <c r="S67" s="423">
        <v>43</v>
      </c>
      <c r="T67" s="423">
        <v>3</v>
      </c>
      <c r="U67" s="423">
        <v>15</v>
      </c>
      <c r="W67" s="423">
        <f t="shared" si="69"/>
        <v>4</v>
      </c>
      <c r="X67" s="423">
        <f t="shared" si="70"/>
        <v>-68</v>
      </c>
      <c r="Y67" s="423">
        <f t="shared" si="71"/>
        <v>11</v>
      </c>
      <c r="Z67" s="423">
        <f t="shared" si="71"/>
        <v>10</v>
      </c>
      <c r="AA67" s="423">
        <f t="shared" si="72"/>
        <v>12</v>
      </c>
      <c r="AB67" s="423">
        <f t="shared" si="73"/>
        <v>8</v>
      </c>
      <c r="AC67" s="423">
        <f t="shared" si="74"/>
        <v>12</v>
      </c>
      <c r="AD67" s="423">
        <f t="shared" si="74"/>
        <v>11</v>
      </c>
      <c r="AE67" s="423">
        <f t="shared" si="75"/>
        <v>3</v>
      </c>
      <c r="AF67" s="423">
        <f t="shared" si="76"/>
        <v>12</v>
      </c>
    </row>
    <row r="68" spans="1:32">
      <c r="A68" s="417" t="s">
        <v>692</v>
      </c>
      <c r="B68" s="417" t="s">
        <v>693</v>
      </c>
      <c r="D68" s="425">
        <v>0</v>
      </c>
      <c r="E68" s="425">
        <v>0</v>
      </c>
      <c r="F68" s="425">
        <v>0</v>
      </c>
      <c r="G68" s="425">
        <v>0</v>
      </c>
      <c r="H68" s="425">
        <v>-6182</v>
      </c>
      <c r="I68" s="425">
        <v>-15808</v>
      </c>
      <c r="J68" s="425">
        <v>-31228</v>
      </c>
      <c r="K68" s="425">
        <v>-34994</v>
      </c>
      <c r="L68" s="425">
        <v>-8026</v>
      </c>
      <c r="M68" s="425">
        <v>-17137</v>
      </c>
      <c r="N68" s="425">
        <v>-25932</v>
      </c>
      <c r="O68" s="425">
        <v>-31049</v>
      </c>
      <c r="P68" s="425">
        <v>-5997</v>
      </c>
      <c r="Q68" s="425">
        <v>-10908</v>
      </c>
      <c r="R68" s="425">
        <v>-15503</v>
      </c>
      <c r="S68" s="425">
        <v>-3018</v>
      </c>
      <c r="T68" s="425">
        <v>-6011</v>
      </c>
      <c r="U68" s="756">
        <v>-11342</v>
      </c>
      <c r="W68" s="425">
        <f t="shared" si="69"/>
        <v>-8026</v>
      </c>
      <c r="X68" s="425">
        <f t="shared" si="70"/>
        <v>-9111</v>
      </c>
      <c r="Y68" s="425">
        <f t="shared" si="71"/>
        <v>-8795</v>
      </c>
      <c r="Z68" s="425">
        <f t="shared" si="71"/>
        <v>-5117</v>
      </c>
      <c r="AA68" s="425">
        <f t="shared" si="72"/>
        <v>-5997</v>
      </c>
      <c r="AB68" s="425">
        <f t="shared" si="73"/>
        <v>-4911</v>
      </c>
      <c r="AC68" s="425">
        <f t="shared" si="74"/>
        <v>-4595</v>
      </c>
      <c r="AD68" s="425">
        <f t="shared" si="74"/>
        <v>12485</v>
      </c>
      <c r="AE68" s="425">
        <f t="shared" si="75"/>
        <v>-6011</v>
      </c>
      <c r="AF68" s="756">
        <f t="shared" si="76"/>
        <v>-5331</v>
      </c>
    </row>
    <row r="69" spans="1:32">
      <c r="A69" s="417" t="s">
        <v>694</v>
      </c>
      <c r="B69" s="417" t="s">
        <v>695</v>
      </c>
      <c r="D69" s="422">
        <f t="shared" ref="D69:I69" si="77">SUM(D70:D77)</f>
        <v>-2288</v>
      </c>
      <c r="E69" s="422">
        <f t="shared" si="77"/>
        <v>-2809</v>
      </c>
      <c r="F69" s="422">
        <f t="shared" si="77"/>
        <v>-13775</v>
      </c>
      <c r="G69" s="422">
        <f t="shared" si="77"/>
        <v>-23429</v>
      </c>
      <c r="H69" s="422">
        <f t="shared" si="77"/>
        <v>-11840</v>
      </c>
      <c r="I69" s="422">
        <f t="shared" si="77"/>
        <v>-24353</v>
      </c>
      <c r="J69" s="422">
        <f t="shared" ref="J69:T69" si="78">SUM(J70:J77)</f>
        <v>-35953</v>
      </c>
      <c r="K69" s="422">
        <f t="shared" si="78"/>
        <v>-58983</v>
      </c>
      <c r="L69" s="422">
        <f t="shared" si="78"/>
        <v>-12516</v>
      </c>
      <c r="M69" s="422">
        <f t="shared" si="78"/>
        <v>-25865</v>
      </c>
      <c r="N69" s="422">
        <f t="shared" si="78"/>
        <v>-37833</v>
      </c>
      <c r="O69" s="422">
        <f t="shared" si="78"/>
        <v>-51913</v>
      </c>
      <c r="P69" s="422">
        <f t="shared" si="78"/>
        <v>-10459</v>
      </c>
      <c r="Q69" s="422">
        <f t="shared" si="78"/>
        <v>-21566</v>
      </c>
      <c r="R69" s="422">
        <f t="shared" si="78"/>
        <v>-34809</v>
      </c>
      <c r="S69" s="422">
        <f t="shared" si="78"/>
        <v>-47047</v>
      </c>
      <c r="T69" s="422">
        <f t="shared" si="78"/>
        <v>-12854</v>
      </c>
      <c r="U69" s="422">
        <f>SUM(U70:U77)</f>
        <v>-23691</v>
      </c>
      <c r="W69" s="422">
        <f t="shared" ref="W69:AC69" si="79">SUM(W70:W77)</f>
        <v>-12516</v>
      </c>
      <c r="X69" s="422">
        <f t="shared" si="79"/>
        <v>-13349</v>
      </c>
      <c r="Y69" s="422">
        <f t="shared" si="79"/>
        <v>-11968</v>
      </c>
      <c r="Z69" s="422">
        <f t="shared" si="79"/>
        <v>-14080</v>
      </c>
      <c r="AA69" s="422">
        <f t="shared" si="79"/>
        <v>-10459</v>
      </c>
      <c r="AB69" s="422">
        <f t="shared" si="79"/>
        <v>-11107</v>
      </c>
      <c r="AC69" s="422">
        <f t="shared" si="79"/>
        <v>-13243</v>
      </c>
      <c r="AD69" s="422">
        <f t="shared" ref="AD69:AE69" si="80">SUM(AD70:AD77)</f>
        <v>-12238</v>
      </c>
      <c r="AE69" s="422">
        <f t="shared" si="80"/>
        <v>-12854</v>
      </c>
      <c r="AF69" s="422">
        <f>SUM(AF70:AF77)</f>
        <v>-10837</v>
      </c>
    </row>
    <row r="70" spans="1:32" outlineLevel="1">
      <c r="A70" s="418" t="s">
        <v>696</v>
      </c>
      <c r="B70" s="418" t="s">
        <v>697</v>
      </c>
      <c r="D70" s="423">
        <v>0</v>
      </c>
      <c r="E70" s="423">
        <v>-2046</v>
      </c>
      <c r="F70" s="423">
        <v>-4250</v>
      </c>
      <c r="G70" s="423">
        <v>-7756</v>
      </c>
      <c r="H70" s="423">
        <v>-4289</v>
      </c>
      <c r="I70" s="423">
        <v>-8114</v>
      </c>
      <c r="J70" s="423">
        <v>-11651</v>
      </c>
      <c r="K70" s="423">
        <v>-16092</v>
      </c>
      <c r="L70" s="423">
        <v>-4535</v>
      </c>
      <c r="M70" s="423">
        <v>-8499</v>
      </c>
      <c r="N70" s="423">
        <v>-13166</v>
      </c>
      <c r="O70" s="423">
        <v>-16931</v>
      </c>
      <c r="P70" s="423">
        <v>-1711</v>
      </c>
      <c r="Q70" s="423">
        <v>-3648</v>
      </c>
      <c r="R70" s="423">
        <v>-5632</v>
      </c>
      <c r="S70" s="423">
        <v>-7552</v>
      </c>
      <c r="T70" s="423">
        <v>-2453</v>
      </c>
      <c r="U70" s="423">
        <v>-4882</v>
      </c>
      <c r="W70" s="423">
        <f t="shared" ref="W70:W78" si="81">L70</f>
        <v>-4535</v>
      </c>
      <c r="X70" s="423">
        <f t="shared" ref="X70:X78" si="82">M70-W70</f>
        <v>-3964</v>
      </c>
      <c r="Y70" s="423">
        <f t="shared" ref="Y70:Y78" si="83">N70-M70</f>
        <v>-4667</v>
      </c>
      <c r="Z70" s="423">
        <f t="shared" ref="Z70:Z78" si="84">O70-N70</f>
        <v>-3765</v>
      </c>
      <c r="AA70" s="423">
        <f t="shared" ref="AA70:AA78" si="85">P70</f>
        <v>-1711</v>
      </c>
      <c r="AB70" s="423">
        <f t="shared" ref="AB70:AB78" si="86">Q70-AA70</f>
        <v>-1937</v>
      </c>
      <c r="AC70" s="423">
        <f t="shared" ref="AC70:AC78" si="87">R70-Q70</f>
        <v>-1984</v>
      </c>
      <c r="AD70" s="423">
        <f t="shared" ref="AD70:AD78" si="88">S70-R70</f>
        <v>-1920</v>
      </c>
      <c r="AE70" s="423">
        <f t="shared" ref="AE70:AE78" si="89">T70</f>
        <v>-2453</v>
      </c>
      <c r="AF70" s="423">
        <f t="shared" ref="AF70:AF78" si="90">U70-T70</f>
        <v>-2429</v>
      </c>
    </row>
    <row r="71" spans="1:32" outlineLevel="1">
      <c r="A71" s="418" t="s">
        <v>698</v>
      </c>
      <c r="B71" s="418" t="s">
        <v>699</v>
      </c>
      <c r="D71" s="423">
        <v>0</v>
      </c>
      <c r="E71" s="423">
        <v>-1</v>
      </c>
      <c r="F71" s="423">
        <v>-51</v>
      </c>
      <c r="G71" s="423">
        <v>-342</v>
      </c>
      <c r="H71" s="423">
        <v>-9</v>
      </c>
      <c r="I71" s="423">
        <v>-244</v>
      </c>
      <c r="J71" s="423">
        <v>-519</v>
      </c>
      <c r="K71" s="423">
        <v>-809</v>
      </c>
      <c r="L71" s="423">
        <v>-1</v>
      </c>
      <c r="M71" s="423">
        <v>-60</v>
      </c>
      <c r="N71" s="423">
        <v>-136</v>
      </c>
      <c r="O71" s="423">
        <v>-235</v>
      </c>
      <c r="P71" s="423">
        <v>-2</v>
      </c>
      <c r="Q71" s="423">
        <v>-45</v>
      </c>
      <c r="R71" s="423">
        <v>-99</v>
      </c>
      <c r="S71" s="423">
        <v>-140</v>
      </c>
      <c r="T71" s="423">
        <v>-20</v>
      </c>
      <c r="U71" s="423">
        <v>-39</v>
      </c>
      <c r="W71" s="423">
        <f t="shared" si="81"/>
        <v>-1</v>
      </c>
      <c r="X71" s="423">
        <f t="shared" si="82"/>
        <v>-59</v>
      </c>
      <c r="Y71" s="423">
        <f t="shared" si="83"/>
        <v>-76</v>
      </c>
      <c r="Z71" s="423">
        <f t="shared" si="84"/>
        <v>-99</v>
      </c>
      <c r="AA71" s="423">
        <f t="shared" si="85"/>
        <v>-2</v>
      </c>
      <c r="AB71" s="423">
        <f t="shared" si="86"/>
        <v>-43</v>
      </c>
      <c r="AC71" s="423">
        <f t="shared" si="87"/>
        <v>-54</v>
      </c>
      <c r="AD71" s="423">
        <f t="shared" si="88"/>
        <v>-41</v>
      </c>
      <c r="AE71" s="423">
        <f t="shared" si="89"/>
        <v>-20</v>
      </c>
      <c r="AF71" s="423">
        <f t="shared" si="90"/>
        <v>-19</v>
      </c>
    </row>
    <row r="72" spans="1:32" outlineLevel="1">
      <c r="A72" s="418" t="s">
        <v>700</v>
      </c>
      <c r="B72" s="418" t="s">
        <v>701</v>
      </c>
      <c r="D72" s="423">
        <v>0</v>
      </c>
      <c r="E72" s="423">
        <v>-598</v>
      </c>
      <c r="F72" s="423">
        <v>-2212</v>
      </c>
      <c r="G72" s="423">
        <v>-1991</v>
      </c>
      <c r="H72" s="423">
        <v>-629</v>
      </c>
      <c r="I72" s="423">
        <v>-2143</v>
      </c>
      <c r="J72" s="423">
        <v>-3014</v>
      </c>
      <c r="K72" s="423">
        <v>-11965</v>
      </c>
      <c r="L72" s="423">
        <v>-1082</v>
      </c>
      <c r="M72" s="423">
        <v>-2913</v>
      </c>
      <c r="N72" s="423">
        <v>-2856</v>
      </c>
      <c r="O72" s="423">
        <v>-4726</v>
      </c>
      <c r="P72" s="423">
        <v>-1314</v>
      </c>
      <c r="Q72" s="423">
        <v>-2874</v>
      </c>
      <c r="R72" s="423">
        <v>-5015</v>
      </c>
      <c r="S72" s="423">
        <v>-6849</v>
      </c>
      <c r="T72" s="423">
        <v>-1369</v>
      </c>
      <c r="U72" s="423">
        <v>-3350</v>
      </c>
      <c r="W72" s="423">
        <f t="shared" si="81"/>
        <v>-1082</v>
      </c>
      <c r="X72" s="423">
        <f t="shared" si="82"/>
        <v>-1831</v>
      </c>
      <c r="Y72" s="423">
        <f t="shared" si="83"/>
        <v>57</v>
      </c>
      <c r="Z72" s="423">
        <f t="shared" si="84"/>
        <v>-1870</v>
      </c>
      <c r="AA72" s="423">
        <f t="shared" si="85"/>
        <v>-1314</v>
      </c>
      <c r="AB72" s="423">
        <f t="shared" si="86"/>
        <v>-1560</v>
      </c>
      <c r="AC72" s="423">
        <f t="shared" si="87"/>
        <v>-2141</v>
      </c>
      <c r="AD72" s="423">
        <f t="shared" si="88"/>
        <v>-1834</v>
      </c>
      <c r="AE72" s="423">
        <f t="shared" si="89"/>
        <v>-1369</v>
      </c>
      <c r="AF72" s="423">
        <f t="shared" si="90"/>
        <v>-1981</v>
      </c>
    </row>
    <row r="73" spans="1:32" outlineLevel="1">
      <c r="A73" s="418" t="s">
        <v>702</v>
      </c>
      <c r="B73" s="418" t="s">
        <v>703</v>
      </c>
      <c r="D73" s="423">
        <v>0</v>
      </c>
      <c r="E73" s="423">
        <v>0</v>
      </c>
      <c r="F73" s="423">
        <v>-48</v>
      </c>
      <c r="G73" s="423">
        <v>-670</v>
      </c>
      <c r="H73" s="423">
        <v>-254</v>
      </c>
      <c r="I73" s="423">
        <v>-192</v>
      </c>
      <c r="J73" s="423">
        <v>-248</v>
      </c>
      <c r="K73" s="423">
        <v>-45</v>
      </c>
      <c r="L73" s="423">
        <v>293</v>
      </c>
      <c r="M73" s="423">
        <v>573</v>
      </c>
      <c r="N73" s="423">
        <v>839</v>
      </c>
      <c r="O73" s="423">
        <v>-37</v>
      </c>
      <c r="P73" s="423">
        <v>-12</v>
      </c>
      <c r="Q73" s="423">
        <v>-19</v>
      </c>
      <c r="R73" s="423">
        <v>-49</v>
      </c>
      <c r="S73" s="423">
        <v>-67</v>
      </c>
      <c r="T73" s="423">
        <v>-272</v>
      </c>
      <c r="U73" s="423">
        <v>506</v>
      </c>
      <c r="W73" s="423">
        <f t="shared" si="81"/>
        <v>293</v>
      </c>
      <c r="X73" s="423">
        <f t="shared" si="82"/>
        <v>280</v>
      </c>
      <c r="Y73" s="423">
        <f t="shared" si="83"/>
        <v>266</v>
      </c>
      <c r="Z73" s="423">
        <f t="shared" si="84"/>
        <v>-876</v>
      </c>
      <c r="AA73" s="423">
        <f t="shared" si="85"/>
        <v>-12</v>
      </c>
      <c r="AB73" s="423">
        <f t="shared" si="86"/>
        <v>-7</v>
      </c>
      <c r="AC73" s="423">
        <f t="shared" si="87"/>
        <v>-30</v>
      </c>
      <c r="AD73" s="423">
        <f t="shared" si="88"/>
        <v>-18</v>
      </c>
      <c r="AE73" s="423">
        <f t="shared" si="89"/>
        <v>-272</v>
      </c>
      <c r="AF73" s="423">
        <f t="shared" si="90"/>
        <v>778</v>
      </c>
    </row>
    <row r="74" spans="1:32" outlineLevel="1">
      <c r="A74" s="418" t="s">
        <v>704</v>
      </c>
      <c r="B74" s="418" t="s">
        <v>705</v>
      </c>
      <c r="D74" s="423">
        <v>-2288</v>
      </c>
      <c r="E74" s="423">
        <v>-164</v>
      </c>
      <c r="F74" s="423">
        <v>837</v>
      </c>
      <c r="G74" s="423">
        <v>-65</v>
      </c>
      <c r="H74" s="423">
        <v>248</v>
      </c>
      <c r="I74" s="423">
        <v>270</v>
      </c>
      <c r="J74" s="423">
        <v>350</v>
      </c>
      <c r="K74" s="423">
        <v>-735</v>
      </c>
      <c r="L74" s="423">
        <v>-6</v>
      </c>
      <c r="M74" s="423">
        <v>-410</v>
      </c>
      <c r="N74" s="423">
        <v>-529</v>
      </c>
      <c r="O74" s="423">
        <v>-545</v>
      </c>
      <c r="P74" s="423">
        <v>7</v>
      </c>
      <c r="Q74" s="423">
        <v>-269</v>
      </c>
      <c r="R74" s="423">
        <v>-1264</v>
      </c>
      <c r="S74" s="423">
        <v>-1439</v>
      </c>
      <c r="T74" s="423">
        <v>-277</v>
      </c>
      <c r="U74" s="423">
        <v>1931</v>
      </c>
      <c r="W74" s="423">
        <f t="shared" si="81"/>
        <v>-6</v>
      </c>
      <c r="X74" s="423">
        <f t="shared" si="82"/>
        <v>-404</v>
      </c>
      <c r="Y74" s="423">
        <f t="shared" si="83"/>
        <v>-119</v>
      </c>
      <c r="Z74" s="423">
        <f t="shared" si="84"/>
        <v>-16</v>
      </c>
      <c r="AA74" s="423">
        <f t="shared" si="85"/>
        <v>7</v>
      </c>
      <c r="AB74" s="423">
        <f t="shared" si="86"/>
        <v>-276</v>
      </c>
      <c r="AC74" s="423">
        <f t="shared" si="87"/>
        <v>-995</v>
      </c>
      <c r="AD74" s="423">
        <f t="shared" si="88"/>
        <v>-175</v>
      </c>
      <c r="AE74" s="423">
        <f t="shared" si="89"/>
        <v>-277</v>
      </c>
      <c r="AF74" s="423">
        <f t="shared" si="90"/>
        <v>2208</v>
      </c>
    </row>
    <row r="75" spans="1:32" outlineLevel="1">
      <c r="A75" s="418" t="s">
        <v>706</v>
      </c>
      <c r="B75" s="418" t="s">
        <v>707</v>
      </c>
      <c r="D75" s="423">
        <v>0</v>
      </c>
      <c r="E75" s="423">
        <v>0</v>
      </c>
      <c r="F75" s="423">
        <v>-12</v>
      </c>
      <c r="G75" s="423">
        <v>-32</v>
      </c>
      <c r="H75" s="423">
        <v>-101</v>
      </c>
      <c r="I75" s="423">
        <v>-220</v>
      </c>
      <c r="J75" s="423">
        <v>-258</v>
      </c>
      <c r="K75" s="423">
        <v>-331</v>
      </c>
      <c r="L75" s="423">
        <v>-33</v>
      </c>
      <c r="M75" s="423">
        <v>-168</v>
      </c>
      <c r="N75" s="423">
        <v>-290</v>
      </c>
      <c r="O75" s="423">
        <v>-482</v>
      </c>
      <c r="P75" s="423">
        <v>-30</v>
      </c>
      <c r="Q75" s="423">
        <v>-134</v>
      </c>
      <c r="R75" s="423">
        <v>-342</v>
      </c>
      <c r="S75" s="423">
        <v>-590</v>
      </c>
      <c r="T75" s="423">
        <v>-254</v>
      </c>
      <c r="U75" s="423">
        <v>-603</v>
      </c>
      <c r="W75" s="423">
        <f t="shared" si="81"/>
        <v>-33</v>
      </c>
      <c r="X75" s="423">
        <f t="shared" si="82"/>
        <v>-135</v>
      </c>
      <c r="Y75" s="423">
        <f t="shared" si="83"/>
        <v>-122</v>
      </c>
      <c r="Z75" s="423">
        <f t="shared" si="84"/>
        <v>-192</v>
      </c>
      <c r="AA75" s="423">
        <f t="shared" si="85"/>
        <v>-30</v>
      </c>
      <c r="AB75" s="423">
        <f t="shared" si="86"/>
        <v>-104</v>
      </c>
      <c r="AC75" s="423">
        <f t="shared" si="87"/>
        <v>-208</v>
      </c>
      <c r="AD75" s="423">
        <f t="shared" si="88"/>
        <v>-248</v>
      </c>
      <c r="AE75" s="423">
        <f t="shared" si="89"/>
        <v>-254</v>
      </c>
      <c r="AF75" s="423">
        <f t="shared" si="90"/>
        <v>-349</v>
      </c>
    </row>
    <row r="76" spans="1:32" outlineLevel="1">
      <c r="A76" s="418" t="s">
        <v>708</v>
      </c>
      <c r="B76" s="418" t="s">
        <v>709</v>
      </c>
      <c r="D76" s="423">
        <v>0</v>
      </c>
      <c r="E76" s="423">
        <v>0</v>
      </c>
      <c r="F76" s="423">
        <v>-2276</v>
      </c>
      <c r="G76" s="423">
        <v>-73</v>
      </c>
      <c r="H76" s="423">
        <v>-70</v>
      </c>
      <c r="I76" s="423">
        <v>-237</v>
      </c>
      <c r="J76" s="423">
        <v>-404</v>
      </c>
      <c r="K76" s="423">
        <v>-2060</v>
      </c>
      <c r="L76" s="423">
        <v>-416</v>
      </c>
      <c r="M76" s="423">
        <v>-915</v>
      </c>
      <c r="N76" s="423">
        <v>-1486</v>
      </c>
      <c r="O76" s="423">
        <v>-2011</v>
      </c>
      <c r="P76" s="423">
        <v>-661</v>
      </c>
      <c r="Q76" s="423">
        <v>-1104</v>
      </c>
      <c r="R76" s="423">
        <v>-2199</v>
      </c>
      <c r="S76" s="423">
        <v>-3464</v>
      </c>
      <c r="T76" s="423">
        <v>-1473</v>
      </c>
      <c r="U76" s="423">
        <v>-3781</v>
      </c>
      <c r="W76" s="423">
        <f t="shared" si="81"/>
        <v>-416</v>
      </c>
      <c r="X76" s="423">
        <f t="shared" si="82"/>
        <v>-499</v>
      </c>
      <c r="Y76" s="423">
        <f t="shared" si="83"/>
        <v>-571</v>
      </c>
      <c r="Z76" s="423">
        <f t="shared" si="84"/>
        <v>-525</v>
      </c>
      <c r="AA76" s="423">
        <f t="shared" si="85"/>
        <v>-661</v>
      </c>
      <c r="AB76" s="423">
        <f t="shared" si="86"/>
        <v>-443</v>
      </c>
      <c r="AC76" s="423">
        <f t="shared" si="87"/>
        <v>-1095</v>
      </c>
      <c r="AD76" s="423">
        <f t="shared" si="88"/>
        <v>-1265</v>
      </c>
      <c r="AE76" s="423">
        <f t="shared" si="89"/>
        <v>-1473</v>
      </c>
      <c r="AF76" s="423">
        <f t="shared" si="90"/>
        <v>-2308</v>
      </c>
    </row>
    <row r="77" spans="1:32" outlineLevel="1">
      <c r="A77" s="418" t="s">
        <v>710</v>
      </c>
      <c r="B77" s="418" t="s">
        <v>711</v>
      </c>
      <c r="D77" s="423">
        <v>0</v>
      </c>
      <c r="E77" s="423">
        <v>0</v>
      </c>
      <c r="F77" s="423">
        <v>-5763</v>
      </c>
      <c r="G77" s="423">
        <v>-12500</v>
      </c>
      <c r="H77" s="423">
        <v>-6736</v>
      </c>
      <c r="I77" s="423">
        <v>-13473</v>
      </c>
      <c r="J77" s="423">
        <v>-20209</v>
      </c>
      <c r="K77" s="423">
        <v>-26946</v>
      </c>
      <c r="L77" s="423">
        <v>-6736</v>
      </c>
      <c r="M77" s="423">
        <v>-13473</v>
      </c>
      <c r="N77" s="423">
        <v>-20209</v>
      </c>
      <c r="O77" s="423">
        <v>-26946</v>
      </c>
      <c r="P77" s="423">
        <v>-6736</v>
      </c>
      <c r="Q77" s="423">
        <v>-13473</v>
      </c>
      <c r="R77" s="423">
        <v>-20209</v>
      </c>
      <c r="S77" s="423">
        <v>-26946</v>
      </c>
      <c r="T77" s="423">
        <v>-6736</v>
      </c>
      <c r="U77" s="423">
        <v>-13473</v>
      </c>
      <c r="W77" s="423">
        <f t="shared" si="81"/>
        <v>-6736</v>
      </c>
      <c r="X77" s="423">
        <f t="shared" si="82"/>
        <v>-6737</v>
      </c>
      <c r="Y77" s="423">
        <f t="shared" si="83"/>
        <v>-6736</v>
      </c>
      <c r="Z77" s="423">
        <f t="shared" si="84"/>
        <v>-6737</v>
      </c>
      <c r="AA77" s="423">
        <f t="shared" si="85"/>
        <v>-6736</v>
      </c>
      <c r="AB77" s="423">
        <f t="shared" si="86"/>
        <v>-6737</v>
      </c>
      <c r="AC77" s="423">
        <f t="shared" si="87"/>
        <v>-6736</v>
      </c>
      <c r="AD77" s="423">
        <f t="shared" si="88"/>
        <v>-6737</v>
      </c>
      <c r="AE77" s="423">
        <f t="shared" si="89"/>
        <v>-6736</v>
      </c>
      <c r="AF77" s="423">
        <f t="shared" si="90"/>
        <v>-6737</v>
      </c>
    </row>
    <row r="78" spans="1:32">
      <c r="A78" s="417" t="s">
        <v>712</v>
      </c>
      <c r="B78" s="417" t="s">
        <v>713</v>
      </c>
      <c r="D78" s="422">
        <v>0</v>
      </c>
      <c r="E78" s="422">
        <v>0</v>
      </c>
      <c r="F78" s="422">
        <v>0</v>
      </c>
      <c r="G78" s="422">
        <v>0</v>
      </c>
      <c r="H78" s="422">
        <v>0</v>
      </c>
      <c r="I78" s="422">
        <v>0</v>
      </c>
      <c r="J78" s="422">
        <v>0</v>
      </c>
      <c r="K78" s="422"/>
      <c r="L78" s="422"/>
      <c r="M78" s="422">
        <v>0</v>
      </c>
      <c r="N78" s="422">
        <v>0</v>
      </c>
      <c r="O78" s="422">
        <v>0</v>
      </c>
      <c r="P78" s="422">
        <v>0</v>
      </c>
      <c r="Q78" s="422">
        <v>0</v>
      </c>
      <c r="R78" s="422">
        <v>0</v>
      </c>
      <c r="S78" s="422">
        <v>0</v>
      </c>
      <c r="T78" s="422">
        <v>0</v>
      </c>
      <c r="U78" s="422">
        <v>0</v>
      </c>
      <c r="W78" s="422">
        <f t="shared" si="81"/>
        <v>0</v>
      </c>
      <c r="X78" s="422">
        <f t="shared" si="82"/>
        <v>0</v>
      </c>
      <c r="Y78" s="422">
        <f t="shared" si="83"/>
        <v>0</v>
      </c>
      <c r="Z78" s="422">
        <f t="shared" si="84"/>
        <v>0</v>
      </c>
      <c r="AA78" s="422">
        <f t="shared" si="85"/>
        <v>0</v>
      </c>
      <c r="AB78" s="422">
        <f t="shared" si="86"/>
        <v>0</v>
      </c>
      <c r="AC78" s="422">
        <f t="shared" si="87"/>
        <v>0</v>
      </c>
      <c r="AD78" s="422">
        <f t="shared" si="88"/>
        <v>0</v>
      </c>
      <c r="AE78" s="422">
        <f t="shared" si="89"/>
        <v>0</v>
      </c>
      <c r="AF78" s="422">
        <f t="shared" si="90"/>
        <v>0</v>
      </c>
    </row>
    <row r="79" spans="1:32">
      <c r="A79" s="417" t="s">
        <v>714</v>
      </c>
      <c r="B79" s="417" t="s">
        <v>715</v>
      </c>
      <c r="D79" s="422">
        <f t="shared" ref="D79:L79" si="91">SUM(D80:D82)</f>
        <v>0</v>
      </c>
      <c r="E79" s="422">
        <f t="shared" si="91"/>
        <v>-15</v>
      </c>
      <c r="F79" s="422">
        <f t="shared" si="91"/>
        <v>-103</v>
      </c>
      <c r="G79" s="422">
        <f t="shared" si="91"/>
        <v>-352</v>
      </c>
      <c r="H79" s="422">
        <f t="shared" si="91"/>
        <v>-152</v>
      </c>
      <c r="I79" s="422">
        <f t="shared" si="91"/>
        <v>-459</v>
      </c>
      <c r="J79" s="422">
        <f t="shared" si="91"/>
        <v>-775</v>
      </c>
      <c r="K79" s="422">
        <f t="shared" si="91"/>
        <v>-1539</v>
      </c>
      <c r="L79" s="422">
        <f t="shared" si="91"/>
        <v>-723</v>
      </c>
      <c r="M79" s="422">
        <f t="shared" ref="M79:T79" si="92">SUM(M80:M82)</f>
        <v>-1380</v>
      </c>
      <c r="N79" s="422">
        <f t="shared" si="92"/>
        <v>-1921</v>
      </c>
      <c r="O79" s="422">
        <f t="shared" si="92"/>
        <v>-2252</v>
      </c>
      <c r="P79" s="422">
        <f t="shared" si="92"/>
        <v>315</v>
      </c>
      <c r="Q79" s="422">
        <f t="shared" si="92"/>
        <v>2536</v>
      </c>
      <c r="R79" s="422">
        <f t="shared" si="92"/>
        <v>840</v>
      </c>
      <c r="S79" s="422">
        <f t="shared" si="92"/>
        <v>-311789</v>
      </c>
      <c r="T79" s="422">
        <f t="shared" si="92"/>
        <v>-156</v>
      </c>
      <c r="U79" s="422">
        <f>SUM(U80:U82)</f>
        <v>-667</v>
      </c>
      <c r="W79" s="422">
        <f t="shared" ref="W79:AC79" si="93">SUM(W80:W82)</f>
        <v>-723</v>
      </c>
      <c r="X79" s="422">
        <f t="shared" si="93"/>
        <v>-657</v>
      </c>
      <c r="Y79" s="422">
        <f t="shared" si="93"/>
        <v>-541</v>
      </c>
      <c r="Z79" s="422">
        <f t="shared" si="93"/>
        <v>-331</v>
      </c>
      <c r="AA79" s="422">
        <f t="shared" si="93"/>
        <v>315</v>
      </c>
      <c r="AB79" s="422">
        <f t="shared" si="93"/>
        <v>2221</v>
      </c>
      <c r="AC79" s="422">
        <f t="shared" si="93"/>
        <v>-1696</v>
      </c>
      <c r="AD79" s="422">
        <f t="shared" ref="AD79:AE79" si="94">SUM(AD80:AD82)</f>
        <v>-312629</v>
      </c>
      <c r="AE79" s="422">
        <f t="shared" si="94"/>
        <v>-156</v>
      </c>
      <c r="AF79" s="422">
        <f>SUM(AF80:AF82)</f>
        <v>-511</v>
      </c>
    </row>
    <row r="80" spans="1:32" outlineLevel="1">
      <c r="A80" s="418" t="s">
        <v>716</v>
      </c>
      <c r="B80" s="418" t="s">
        <v>717</v>
      </c>
      <c r="D80" s="423">
        <v>0</v>
      </c>
      <c r="E80" s="423">
        <v>-15</v>
      </c>
      <c r="F80" s="423">
        <v>-103</v>
      </c>
      <c r="G80" s="423">
        <v>-352</v>
      </c>
      <c r="H80" s="423">
        <v>-152</v>
      </c>
      <c r="I80" s="423">
        <v>-459</v>
      </c>
      <c r="J80" s="423">
        <v>-775</v>
      </c>
      <c r="K80" s="423">
        <v>-1539</v>
      </c>
      <c r="L80" s="423">
        <v>-459</v>
      </c>
      <c r="M80" s="423">
        <v>-1247</v>
      </c>
      <c r="N80" s="423">
        <v>-1718</v>
      </c>
      <c r="O80" s="423">
        <v>-2104</v>
      </c>
      <c r="P80" s="423">
        <v>-257</v>
      </c>
      <c r="Q80" s="423">
        <v>91</v>
      </c>
      <c r="R80" s="423">
        <v>-135</v>
      </c>
      <c r="S80" s="423">
        <v>-309435</v>
      </c>
      <c r="T80" s="423">
        <v>-156</v>
      </c>
      <c r="U80" s="423">
        <v>-467</v>
      </c>
      <c r="W80" s="423">
        <f>L80</f>
        <v>-459</v>
      </c>
      <c r="X80" s="423">
        <f>M80-W80</f>
        <v>-788</v>
      </c>
      <c r="Y80" s="423">
        <f t="shared" ref="Y80:Z82" si="95">N80-M80</f>
        <v>-471</v>
      </c>
      <c r="Z80" s="423">
        <f t="shared" si="95"/>
        <v>-386</v>
      </c>
      <c r="AA80" s="423">
        <f>P80</f>
        <v>-257</v>
      </c>
      <c r="AB80" s="423">
        <f t="shared" ref="AB80:AB82" si="96">Q80-AA80</f>
        <v>348</v>
      </c>
      <c r="AC80" s="423">
        <f t="shared" ref="AC80:AD82" si="97">R80-Q80</f>
        <v>-226</v>
      </c>
      <c r="AD80" s="423">
        <f t="shared" si="97"/>
        <v>-309300</v>
      </c>
      <c r="AE80" s="423">
        <f>T80</f>
        <v>-156</v>
      </c>
      <c r="AF80" s="423">
        <f>U80-T80</f>
        <v>-311</v>
      </c>
    </row>
    <row r="81" spans="1:32" outlineLevel="1">
      <c r="A81" s="418" t="s">
        <v>718</v>
      </c>
      <c r="B81" s="418" t="s">
        <v>719</v>
      </c>
      <c r="D81" s="423">
        <v>0</v>
      </c>
      <c r="E81" s="423">
        <v>0</v>
      </c>
      <c r="F81" s="423">
        <v>0</v>
      </c>
      <c r="G81" s="423">
        <v>0</v>
      </c>
      <c r="H81" s="423">
        <v>0</v>
      </c>
      <c r="I81" s="423">
        <v>0</v>
      </c>
      <c r="J81" s="423">
        <v>0</v>
      </c>
      <c r="K81" s="423">
        <v>0</v>
      </c>
      <c r="L81" s="423">
        <v>-264</v>
      </c>
      <c r="M81" s="423">
        <v>-133</v>
      </c>
      <c r="N81" s="423">
        <v>-203</v>
      </c>
      <c r="O81" s="423">
        <v>-148</v>
      </c>
      <c r="P81" s="423">
        <v>572</v>
      </c>
      <c r="Q81" s="423">
        <v>2445</v>
      </c>
      <c r="R81" s="423">
        <v>975</v>
      </c>
      <c r="S81" s="423">
        <v>-2354</v>
      </c>
      <c r="T81" s="423">
        <v>0</v>
      </c>
      <c r="U81" s="423">
        <v>-200</v>
      </c>
      <c r="W81" s="423">
        <f>L81</f>
        <v>-264</v>
      </c>
      <c r="X81" s="423">
        <f>M81-W81</f>
        <v>131</v>
      </c>
      <c r="Y81" s="423">
        <f t="shared" si="95"/>
        <v>-70</v>
      </c>
      <c r="Z81" s="423">
        <f t="shared" si="95"/>
        <v>55</v>
      </c>
      <c r="AA81" s="423">
        <f>P81</f>
        <v>572</v>
      </c>
      <c r="AB81" s="423">
        <f t="shared" si="96"/>
        <v>1873</v>
      </c>
      <c r="AC81" s="423">
        <f t="shared" si="97"/>
        <v>-1470</v>
      </c>
      <c r="AD81" s="423">
        <f t="shared" si="97"/>
        <v>-3329</v>
      </c>
      <c r="AE81" s="423">
        <f>T81</f>
        <v>0</v>
      </c>
      <c r="AF81" s="423">
        <f>U81-T81</f>
        <v>-200</v>
      </c>
    </row>
    <row r="82" spans="1:32" outlineLevel="1">
      <c r="A82" s="418" t="s">
        <v>720</v>
      </c>
      <c r="B82" s="418" t="s">
        <v>721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/>
      <c r="N82" s="423">
        <v>0</v>
      </c>
      <c r="O82" s="423">
        <v>0</v>
      </c>
      <c r="P82" s="423">
        <v>0</v>
      </c>
      <c r="Q82" s="423">
        <v>0</v>
      </c>
      <c r="R82" s="423">
        <v>0</v>
      </c>
      <c r="S82" s="423">
        <v>0</v>
      </c>
      <c r="T82" s="423">
        <v>0</v>
      </c>
      <c r="U82" s="423">
        <v>0</v>
      </c>
      <c r="W82" s="423"/>
      <c r="X82" s="423">
        <f>M82-W82</f>
        <v>0</v>
      </c>
      <c r="Y82" s="423">
        <f t="shared" si="95"/>
        <v>0</v>
      </c>
      <c r="Z82" s="423">
        <f t="shared" si="95"/>
        <v>0</v>
      </c>
      <c r="AA82" s="423">
        <f>P82</f>
        <v>0</v>
      </c>
      <c r="AB82" s="423">
        <f t="shared" si="96"/>
        <v>0</v>
      </c>
      <c r="AC82" s="423">
        <f t="shared" si="97"/>
        <v>0</v>
      </c>
      <c r="AD82" s="423">
        <f t="shared" si="97"/>
        <v>0</v>
      </c>
      <c r="AE82" s="423">
        <f>T82</f>
        <v>0</v>
      </c>
      <c r="AF82" s="423">
        <f>U82-T82</f>
        <v>0</v>
      </c>
    </row>
    <row r="83" spans="1:32">
      <c r="A83" s="417"/>
      <c r="B83" s="417"/>
      <c r="D83" s="417"/>
      <c r="E83" s="417"/>
      <c r="F83" s="417"/>
      <c r="G83" s="422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</row>
    <row r="84" spans="1:32">
      <c r="A84" s="429" t="s">
        <v>722</v>
      </c>
      <c r="B84" s="429" t="s">
        <v>722</v>
      </c>
      <c r="D84" s="420">
        <f t="shared" ref="D84:I84" si="98">D86-D76-D53-D77</f>
        <v>-3341</v>
      </c>
      <c r="E84" s="420">
        <f t="shared" si="98"/>
        <v>-3843</v>
      </c>
      <c r="F84" s="420">
        <f t="shared" si="98"/>
        <v>-7536</v>
      </c>
      <c r="G84" s="420">
        <f t="shared" si="98"/>
        <v>488</v>
      </c>
      <c r="H84" s="420">
        <f t="shared" si="98"/>
        <v>1454</v>
      </c>
      <c r="I84" s="420">
        <f t="shared" si="98"/>
        <v>-7433</v>
      </c>
      <c r="J84" s="420">
        <f t="shared" ref="J84:T84" si="99">J86-J76-J53-J77</f>
        <v>-24066</v>
      </c>
      <c r="K84" s="420">
        <f t="shared" si="99"/>
        <v>-37875</v>
      </c>
      <c r="L84" s="420">
        <f t="shared" si="99"/>
        <v>-5396</v>
      </c>
      <c r="M84" s="420">
        <f t="shared" si="99"/>
        <v>-9061</v>
      </c>
      <c r="N84" s="420">
        <f t="shared" si="99"/>
        <v>-7780</v>
      </c>
      <c r="O84" s="420">
        <f t="shared" si="99"/>
        <v>-6385</v>
      </c>
      <c r="P84" s="420">
        <f t="shared" si="99"/>
        <v>3690</v>
      </c>
      <c r="Q84" s="420">
        <f t="shared" si="99"/>
        <v>11033</v>
      </c>
      <c r="R84" s="420">
        <f t="shared" si="99"/>
        <v>13189</v>
      </c>
      <c r="S84" s="420">
        <f t="shared" si="99"/>
        <v>-279056</v>
      </c>
      <c r="T84" s="741">
        <f t="shared" si="99"/>
        <v>6000</v>
      </c>
      <c r="U84" s="741">
        <f>U86-U76-U53-U77</f>
        <v>12584</v>
      </c>
      <c r="W84" s="420">
        <f t="shared" ref="W84:AC84" si="100">W86-W76-W53-W77</f>
        <v>-5396</v>
      </c>
      <c r="X84" s="420">
        <f t="shared" si="100"/>
        <v>-3665</v>
      </c>
      <c r="Y84" s="420">
        <f t="shared" si="100"/>
        <v>1281</v>
      </c>
      <c r="Z84" s="420">
        <f t="shared" si="100"/>
        <v>1395</v>
      </c>
      <c r="AA84" s="420">
        <f t="shared" si="100"/>
        <v>3690</v>
      </c>
      <c r="AB84" s="420">
        <f t="shared" si="100"/>
        <v>7343</v>
      </c>
      <c r="AC84" s="420">
        <f t="shared" si="100"/>
        <v>2156</v>
      </c>
      <c r="AD84" s="420">
        <f t="shared" ref="AD84:AE84" si="101">AD86-AD76-AD53-AD77</f>
        <v>-292245</v>
      </c>
      <c r="AE84" s="420">
        <f t="shared" si="101"/>
        <v>6000</v>
      </c>
      <c r="AF84" s="741">
        <f>AF86-AF76-AF53-AF77</f>
        <v>6584</v>
      </c>
    </row>
    <row r="85" spans="1:32">
      <c r="A85" s="417"/>
      <c r="B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</row>
    <row r="86" spans="1:32">
      <c r="A86" s="429" t="s">
        <v>723</v>
      </c>
      <c r="B86" s="429" t="s">
        <v>724</v>
      </c>
      <c r="D86" s="420">
        <f t="shared" ref="D86:I86" si="102">D58+D60</f>
        <v>-3341</v>
      </c>
      <c r="E86" s="420">
        <f t="shared" si="102"/>
        <v>-3843</v>
      </c>
      <c r="F86" s="420">
        <f t="shared" si="102"/>
        <v>-13299</v>
      </c>
      <c r="G86" s="420">
        <f t="shared" si="102"/>
        <v>-12085</v>
      </c>
      <c r="H86" s="420">
        <f t="shared" si="102"/>
        <v>-5352</v>
      </c>
      <c r="I86" s="420">
        <f t="shared" si="102"/>
        <v>-21143</v>
      </c>
      <c r="J86" s="420">
        <f t="shared" ref="J86:T86" si="103">J58+J60</f>
        <v>-44679</v>
      </c>
      <c r="K86" s="420">
        <f t="shared" si="103"/>
        <v>-66881</v>
      </c>
      <c r="L86" s="420">
        <f t="shared" si="103"/>
        <v>-12632</v>
      </c>
      <c r="M86" s="420">
        <f t="shared" si="103"/>
        <v>-23659</v>
      </c>
      <c r="N86" s="420">
        <f t="shared" si="103"/>
        <v>-29811</v>
      </c>
      <c r="O86" s="420">
        <f t="shared" si="103"/>
        <v>-35804</v>
      </c>
      <c r="P86" s="420">
        <f t="shared" si="103"/>
        <v>-3834</v>
      </c>
      <c r="Q86" s="420">
        <f t="shared" si="103"/>
        <v>-4112</v>
      </c>
      <c r="R86" s="420">
        <f t="shared" si="103"/>
        <v>-10422</v>
      </c>
      <c r="S86" s="420">
        <f t="shared" si="103"/>
        <v>-311273</v>
      </c>
      <c r="T86" s="741">
        <f t="shared" si="103"/>
        <v>-2821</v>
      </c>
      <c r="U86" s="741">
        <f>U58+U60</f>
        <v>-5855</v>
      </c>
      <c r="W86" s="420">
        <f t="shared" ref="W86:AC86" si="104">W58+W60</f>
        <v>-12632</v>
      </c>
      <c r="X86" s="420">
        <f t="shared" si="104"/>
        <v>-11027</v>
      </c>
      <c r="Y86" s="420">
        <f t="shared" si="104"/>
        <v>-6152</v>
      </c>
      <c r="Z86" s="420">
        <f t="shared" si="104"/>
        <v>-5993</v>
      </c>
      <c r="AA86" s="420">
        <f t="shared" si="104"/>
        <v>-3834</v>
      </c>
      <c r="AB86" s="420">
        <f t="shared" si="104"/>
        <v>-278</v>
      </c>
      <c r="AC86" s="420">
        <f t="shared" si="104"/>
        <v>-6310</v>
      </c>
      <c r="AD86" s="420">
        <f t="shared" ref="AD86:AE86" si="105">AD58+AD60</f>
        <v>-300851</v>
      </c>
      <c r="AE86" s="420">
        <f t="shared" si="105"/>
        <v>-2821</v>
      </c>
      <c r="AF86" s="741">
        <f>AF58+AF60</f>
        <v>-3034</v>
      </c>
    </row>
    <row r="87" spans="1:32">
      <c r="A87" s="417"/>
      <c r="B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</row>
    <row r="88" spans="1:32">
      <c r="A88" s="429" t="s">
        <v>725</v>
      </c>
      <c r="B88" s="429" t="s">
        <v>726</v>
      </c>
      <c r="D88" s="420">
        <f t="shared" ref="D88:I88" si="106">D90+D100</f>
        <v>-26156</v>
      </c>
      <c r="E88" s="420">
        <f t="shared" si="106"/>
        <v>-57848</v>
      </c>
      <c r="F88" s="420">
        <f t="shared" si="106"/>
        <v>-95235</v>
      </c>
      <c r="G88" s="420">
        <f t="shared" si="106"/>
        <v>-134070</v>
      </c>
      <c r="H88" s="420">
        <f t="shared" si="106"/>
        <v>-42104</v>
      </c>
      <c r="I88" s="420">
        <f t="shared" si="106"/>
        <v>-83259</v>
      </c>
      <c r="J88" s="420">
        <f t="shared" ref="J88:T88" si="107">J90+J100</f>
        <v>-126442</v>
      </c>
      <c r="K88" s="420">
        <f t="shared" si="107"/>
        <v>-167198</v>
      </c>
      <c r="L88" s="420">
        <f t="shared" si="107"/>
        <v>-44297</v>
      </c>
      <c r="M88" s="420">
        <f t="shared" si="107"/>
        <v>-82352</v>
      </c>
      <c r="N88" s="420">
        <f t="shared" si="107"/>
        <v>-120164</v>
      </c>
      <c r="O88" s="420">
        <f t="shared" si="107"/>
        <v>-166117</v>
      </c>
      <c r="P88" s="420">
        <f t="shared" si="107"/>
        <v>-55024</v>
      </c>
      <c r="Q88" s="420">
        <f t="shared" si="107"/>
        <v>-101837</v>
      </c>
      <c r="R88" s="420">
        <f t="shared" si="107"/>
        <v>-140810</v>
      </c>
      <c r="S88" s="420">
        <f t="shared" si="107"/>
        <v>-174787</v>
      </c>
      <c r="T88" s="741">
        <f t="shared" si="107"/>
        <v>-36886</v>
      </c>
      <c r="U88" s="741">
        <f>U90+U100</f>
        <v>-87890</v>
      </c>
      <c r="W88" s="420">
        <f t="shared" ref="W88:AC88" si="108">W90+W100</f>
        <v>-44297</v>
      </c>
      <c r="X88" s="420">
        <f t="shared" si="108"/>
        <v>-38055</v>
      </c>
      <c r="Y88" s="420">
        <f t="shared" si="108"/>
        <v>-37812</v>
      </c>
      <c r="Z88" s="420">
        <f t="shared" si="108"/>
        <v>-45953</v>
      </c>
      <c r="AA88" s="420">
        <f t="shared" si="108"/>
        <v>-55024</v>
      </c>
      <c r="AB88" s="420">
        <f t="shared" si="108"/>
        <v>-46813</v>
      </c>
      <c r="AC88" s="420">
        <f t="shared" si="108"/>
        <v>-38973</v>
      </c>
      <c r="AD88" s="420">
        <f t="shared" ref="AD88:AE88" si="109">AD90+AD100</f>
        <v>-33977</v>
      </c>
      <c r="AE88" s="420">
        <f t="shared" si="109"/>
        <v>-36886</v>
      </c>
      <c r="AF88" s="741">
        <f>AF90+AF100</f>
        <v>-51004</v>
      </c>
    </row>
    <row r="89" spans="1:32">
      <c r="A89" s="416"/>
      <c r="B89" s="416"/>
      <c r="D89" s="417"/>
      <c r="E89" s="417"/>
      <c r="F89" s="417"/>
      <c r="G89" s="417"/>
      <c r="H89" s="417"/>
      <c r="I89" s="417"/>
      <c r="J89" s="417"/>
      <c r="K89" s="417"/>
      <c r="L89" s="417"/>
      <c r="M89" s="417"/>
      <c r="N89" s="417"/>
      <c r="O89" s="417"/>
      <c r="P89" s="417"/>
      <c r="Q89" s="417"/>
      <c r="R89" s="417"/>
      <c r="S89" s="417"/>
      <c r="T89" s="417"/>
      <c r="U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</row>
    <row r="90" spans="1:32">
      <c r="A90" s="417" t="s">
        <v>727</v>
      </c>
      <c r="B90" s="417" t="s">
        <v>728</v>
      </c>
      <c r="D90" s="424">
        <f t="shared" ref="D90:I90" si="110">SUM(D91:D99)</f>
        <v>2594</v>
      </c>
      <c r="E90" s="424">
        <f t="shared" si="110"/>
        <v>5376</v>
      </c>
      <c r="F90" s="424">
        <f t="shared" si="110"/>
        <v>8165</v>
      </c>
      <c r="G90" s="424">
        <f t="shared" si="110"/>
        <v>9825</v>
      </c>
      <c r="H90" s="424">
        <f t="shared" si="110"/>
        <v>982</v>
      </c>
      <c r="I90" s="424">
        <f t="shared" si="110"/>
        <v>1653</v>
      </c>
      <c r="J90" s="424">
        <f t="shared" ref="J90:T90" si="111">SUM(J91:J99)</f>
        <v>3891</v>
      </c>
      <c r="K90" s="424">
        <f t="shared" si="111"/>
        <v>11827</v>
      </c>
      <c r="L90" s="424">
        <f t="shared" si="111"/>
        <v>2962</v>
      </c>
      <c r="M90" s="424">
        <f t="shared" si="111"/>
        <v>6341</v>
      </c>
      <c r="N90" s="424">
        <f t="shared" si="111"/>
        <v>7666</v>
      </c>
      <c r="O90" s="424">
        <f t="shared" si="111"/>
        <v>9512</v>
      </c>
      <c r="P90" s="424">
        <f t="shared" si="111"/>
        <v>1263</v>
      </c>
      <c r="Q90" s="424">
        <f t="shared" si="111"/>
        <v>2706</v>
      </c>
      <c r="R90" s="424">
        <f t="shared" si="111"/>
        <v>3913</v>
      </c>
      <c r="S90" s="424">
        <f t="shared" si="111"/>
        <v>6345</v>
      </c>
      <c r="T90" s="424">
        <f t="shared" si="111"/>
        <v>1048</v>
      </c>
      <c r="U90" s="424">
        <f>SUM(U91:U99)</f>
        <v>2309</v>
      </c>
      <c r="W90" s="424">
        <f t="shared" ref="W90:AC90" si="112">SUM(W91:W99)</f>
        <v>2962</v>
      </c>
      <c r="X90" s="424">
        <f t="shared" si="112"/>
        <v>3379</v>
      </c>
      <c r="Y90" s="424">
        <f t="shared" si="112"/>
        <v>1325</v>
      </c>
      <c r="Z90" s="424">
        <f t="shared" si="112"/>
        <v>1846</v>
      </c>
      <c r="AA90" s="424">
        <f t="shared" si="112"/>
        <v>1263</v>
      </c>
      <c r="AB90" s="424">
        <f t="shared" si="112"/>
        <v>1443</v>
      </c>
      <c r="AC90" s="424">
        <f t="shared" si="112"/>
        <v>1207</v>
      </c>
      <c r="AD90" s="424">
        <f t="shared" ref="AD90:AE90" si="113">SUM(AD91:AD99)</f>
        <v>2432</v>
      </c>
      <c r="AE90" s="424">
        <f t="shared" si="113"/>
        <v>1048</v>
      </c>
      <c r="AF90" s="424">
        <f>SUM(AF91:AF99)</f>
        <v>1261</v>
      </c>
    </row>
    <row r="91" spans="1:32" outlineLevel="1">
      <c r="A91" s="418" t="s">
        <v>729</v>
      </c>
      <c r="B91" s="418" t="s">
        <v>728</v>
      </c>
      <c r="D91" s="423">
        <v>2720</v>
      </c>
      <c r="E91" s="423">
        <v>5688</v>
      </c>
      <c r="F91" s="423">
        <v>8563</v>
      </c>
      <c r="G91" s="423">
        <v>10304</v>
      </c>
      <c r="H91" s="423">
        <v>1030</v>
      </c>
      <c r="I91" s="423">
        <v>1728</v>
      </c>
      <c r="J91" s="423">
        <v>4080</v>
      </c>
      <c r="K91" s="423">
        <v>11940</v>
      </c>
      <c r="L91" s="423">
        <v>2516</v>
      </c>
      <c r="M91" s="423">
        <v>6699</v>
      </c>
      <c r="N91" s="423">
        <v>7504</v>
      </c>
      <c r="O91" s="423">
        <v>6428</v>
      </c>
      <c r="P91" s="423">
        <v>375</v>
      </c>
      <c r="Q91" s="423">
        <v>740</v>
      </c>
      <c r="R91" s="423">
        <v>1046</v>
      </c>
      <c r="S91" s="423">
        <v>2752</v>
      </c>
      <c r="T91" s="423">
        <v>196</v>
      </c>
      <c r="U91" s="423">
        <v>329</v>
      </c>
      <c r="W91" s="423">
        <f t="shared" ref="W91:W99" si="114">L91</f>
        <v>2516</v>
      </c>
      <c r="X91" s="423">
        <f t="shared" ref="X91:X99" si="115">M91-W91</f>
        <v>4183</v>
      </c>
      <c r="Y91" s="423">
        <f t="shared" ref="Y91:Y99" si="116">N91-M91</f>
        <v>805</v>
      </c>
      <c r="Z91" s="423">
        <f t="shared" ref="Z91:Z99" si="117">O91-N91</f>
        <v>-1076</v>
      </c>
      <c r="AA91" s="423">
        <f t="shared" ref="AA91:AA99" si="118">P91</f>
        <v>375</v>
      </c>
      <c r="AB91" s="423">
        <f t="shared" ref="AB91:AB99" si="119">Q91-AA91</f>
        <v>365</v>
      </c>
      <c r="AC91" s="423">
        <f t="shared" ref="AC91:AC99" si="120">R91-Q91</f>
        <v>306</v>
      </c>
      <c r="AD91" s="423">
        <f t="shared" ref="AD91:AD99" si="121">S91-R91</f>
        <v>1706</v>
      </c>
      <c r="AE91" s="423">
        <f t="shared" ref="AE91:AE99" si="122">T91</f>
        <v>196</v>
      </c>
      <c r="AF91" s="423">
        <f t="shared" ref="AF91:AF99" si="123">U91-T91</f>
        <v>133</v>
      </c>
    </row>
    <row r="92" spans="1:32" outlineLevel="1">
      <c r="A92" s="418" t="s">
        <v>730</v>
      </c>
      <c r="B92" s="418" t="s">
        <v>731</v>
      </c>
      <c r="D92" s="423">
        <v>-126</v>
      </c>
      <c r="E92" s="423">
        <v>-312</v>
      </c>
      <c r="F92" s="423">
        <v>-398</v>
      </c>
      <c r="G92" s="423">
        <v>-479</v>
      </c>
      <c r="H92" s="423">
        <v>-48</v>
      </c>
      <c r="I92" s="423">
        <v>-80</v>
      </c>
      <c r="J92" s="423">
        <v>-189</v>
      </c>
      <c r="K92" s="423">
        <v>-576</v>
      </c>
      <c r="L92" s="423">
        <v>-134</v>
      </c>
      <c r="M92" s="423">
        <v>-358</v>
      </c>
      <c r="N92" s="423">
        <v>-434</v>
      </c>
      <c r="O92" s="423">
        <v>-524</v>
      </c>
      <c r="P92" s="423">
        <v>-62</v>
      </c>
      <c r="Q92" s="423">
        <v>-132</v>
      </c>
      <c r="R92" s="423">
        <v>-191</v>
      </c>
      <c r="S92" s="423">
        <v>-309</v>
      </c>
      <c r="T92" s="423">
        <v>-50</v>
      </c>
      <c r="U92" s="423">
        <v>-112</v>
      </c>
      <c r="W92" s="423">
        <f t="shared" si="114"/>
        <v>-134</v>
      </c>
      <c r="X92" s="423">
        <f t="shared" si="115"/>
        <v>-224</v>
      </c>
      <c r="Y92" s="423">
        <f t="shared" si="116"/>
        <v>-76</v>
      </c>
      <c r="Z92" s="423">
        <f t="shared" si="117"/>
        <v>-90</v>
      </c>
      <c r="AA92" s="423">
        <f t="shared" si="118"/>
        <v>-62</v>
      </c>
      <c r="AB92" s="423">
        <f t="shared" si="119"/>
        <v>-70</v>
      </c>
      <c r="AC92" s="423">
        <f t="shared" si="120"/>
        <v>-59</v>
      </c>
      <c r="AD92" s="423">
        <f t="shared" si="121"/>
        <v>-118</v>
      </c>
      <c r="AE92" s="423">
        <f t="shared" si="122"/>
        <v>-50</v>
      </c>
      <c r="AF92" s="423">
        <f t="shared" si="123"/>
        <v>-62</v>
      </c>
    </row>
    <row r="93" spans="1:32" outlineLevel="1">
      <c r="A93" s="418" t="s">
        <v>2561</v>
      </c>
      <c r="B93" s="418" t="s">
        <v>2562</v>
      </c>
      <c r="D93" s="423">
        <v>0</v>
      </c>
      <c r="E93" s="423">
        <v>0</v>
      </c>
      <c r="F93" s="423">
        <v>0</v>
      </c>
      <c r="G93" s="423">
        <v>0</v>
      </c>
      <c r="H93" s="423">
        <v>0</v>
      </c>
      <c r="I93" s="423">
        <v>0</v>
      </c>
      <c r="J93" s="423">
        <v>0</v>
      </c>
      <c r="K93" s="423">
        <v>0</v>
      </c>
      <c r="L93" s="423">
        <v>0</v>
      </c>
      <c r="M93" s="423">
        <v>0</v>
      </c>
      <c r="N93" s="423">
        <v>0</v>
      </c>
      <c r="O93" s="423">
        <v>0</v>
      </c>
      <c r="P93" s="423">
        <v>0</v>
      </c>
      <c r="Q93" s="423">
        <v>0</v>
      </c>
      <c r="R93" s="423">
        <v>0</v>
      </c>
      <c r="S93" s="423">
        <v>0</v>
      </c>
      <c r="T93" s="423">
        <v>0</v>
      </c>
      <c r="U93" s="423">
        <v>0</v>
      </c>
      <c r="W93" s="423">
        <f t="shared" si="114"/>
        <v>0</v>
      </c>
      <c r="X93" s="423">
        <f t="shared" si="115"/>
        <v>0</v>
      </c>
      <c r="Y93" s="423">
        <f t="shared" si="116"/>
        <v>0</v>
      </c>
      <c r="Z93" s="423">
        <f t="shared" si="117"/>
        <v>0</v>
      </c>
      <c r="AA93" s="423">
        <f t="shared" si="118"/>
        <v>0</v>
      </c>
      <c r="AB93" s="423">
        <f t="shared" si="119"/>
        <v>0</v>
      </c>
      <c r="AC93" s="423">
        <f t="shared" si="120"/>
        <v>0</v>
      </c>
      <c r="AD93" s="423">
        <f t="shared" si="121"/>
        <v>0</v>
      </c>
      <c r="AE93" s="423">
        <f t="shared" si="122"/>
        <v>0</v>
      </c>
      <c r="AF93" s="423">
        <f t="shared" si="123"/>
        <v>0</v>
      </c>
    </row>
    <row r="94" spans="1:32" outlineLevel="1">
      <c r="A94" s="418" t="s">
        <v>733</v>
      </c>
      <c r="B94" s="418" t="s">
        <v>734</v>
      </c>
      <c r="D94" s="423">
        <v>0</v>
      </c>
      <c r="E94" s="423">
        <v>0</v>
      </c>
      <c r="F94" s="423">
        <v>0</v>
      </c>
      <c r="G94" s="423">
        <v>0</v>
      </c>
      <c r="H94" s="423">
        <v>0</v>
      </c>
      <c r="I94" s="423">
        <v>0</v>
      </c>
      <c r="J94" s="423">
        <v>0</v>
      </c>
      <c r="K94" s="423">
        <v>0</v>
      </c>
      <c r="L94" s="423">
        <v>0</v>
      </c>
      <c r="M94" s="423">
        <v>0</v>
      </c>
      <c r="N94" s="423"/>
      <c r="O94" s="423">
        <v>0</v>
      </c>
      <c r="P94" s="423">
        <v>863</v>
      </c>
      <c r="Q94" s="423">
        <v>1895</v>
      </c>
      <c r="R94" s="423">
        <v>2474</v>
      </c>
      <c r="S94" s="423">
        <v>3138</v>
      </c>
      <c r="T94" s="423">
        <v>711</v>
      </c>
      <c r="U94" s="423">
        <v>1717</v>
      </c>
      <c r="W94" s="423">
        <f t="shared" si="114"/>
        <v>0</v>
      </c>
      <c r="X94" s="423">
        <f t="shared" si="115"/>
        <v>0</v>
      </c>
      <c r="Y94" s="423">
        <f t="shared" si="116"/>
        <v>0</v>
      </c>
      <c r="Z94" s="423">
        <f t="shared" si="117"/>
        <v>0</v>
      </c>
      <c r="AA94" s="423">
        <f t="shared" si="118"/>
        <v>863</v>
      </c>
      <c r="AB94" s="423">
        <f t="shared" si="119"/>
        <v>1032</v>
      </c>
      <c r="AC94" s="423">
        <f t="shared" si="120"/>
        <v>579</v>
      </c>
      <c r="AD94" s="423">
        <f t="shared" si="121"/>
        <v>664</v>
      </c>
      <c r="AE94" s="423">
        <f t="shared" si="122"/>
        <v>711</v>
      </c>
      <c r="AF94" s="423">
        <f t="shared" si="123"/>
        <v>1006</v>
      </c>
    </row>
    <row r="95" spans="1:32" outlineLevel="1">
      <c r="A95" s="418" t="s">
        <v>735</v>
      </c>
      <c r="B95" s="418" t="s">
        <v>736</v>
      </c>
      <c r="D95" s="423">
        <v>0</v>
      </c>
      <c r="E95" s="423">
        <v>0</v>
      </c>
      <c r="F95" s="423">
        <v>0</v>
      </c>
      <c r="G95" s="423">
        <v>0</v>
      </c>
      <c r="H95" s="423">
        <v>0</v>
      </c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>
        <v>0</v>
      </c>
      <c r="T95" s="423">
        <v>0</v>
      </c>
      <c r="U95" s="423">
        <v>0</v>
      </c>
      <c r="W95" s="423">
        <f t="shared" si="114"/>
        <v>0</v>
      </c>
      <c r="X95" s="423">
        <f t="shared" si="115"/>
        <v>0</v>
      </c>
      <c r="Y95" s="423">
        <f t="shared" si="116"/>
        <v>0</v>
      </c>
      <c r="Z95" s="423">
        <f t="shared" si="117"/>
        <v>0</v>
      </c>
      <c r="AA95" s="423">
        <f t="shared" si="118"/>
        <v>0</v>
      </c>
      <c r="AB95" s="423">
        <f t="shared" si="119"/>
        <v>0</v>
      </c>
      <c r="AC95" s="423">
        <f t="shared" si="120"/>
        <v>0</v>
      </c>
      <c r="AD95" s="423">
        <f t="shared" si="121"/>
        <v>0</v>
      </c>
      <c r="AE95" s="423">
        <f t="shared" si="122"/>
        <v>0</v>
      </c>
      <c r="AF95" s="423">
        <f t="shared" si="123"/>
        <v>0</v>
      </c>
    </row>
    <row r="96" spans="1:32" outlineLevel="1">
      <c r="A96" s="418" t="s">
        <v>737</v>
      </c>
      <c r="B96" s="418" t="s">
        <v>738</v>
      </c>
      <c r="D96" s="423">
        <v>0</v>
      </c>
      <c r="E96" s="423">
        <v>0</v>
      </c>
      <c r="F96" s="423">
        <v>0</v>
      </c>
      <c r="G96" s="423">
        <v>0</v>
      </c>
      <c r="H96" s="423">
        <v>0</v>
      </c>
      <c r="I96" s="423">
        <v>0</v>
      </c>
      <c r="J96" s="423">
        <v>0</v>
      </c>
      <c r="K96" s="423">
        <v>0</v>
      </c>
      <c r="L96" s="423">
        <v>0</v>
      </c>
      <c r="M96" s="423">
        <v>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>
        <v>0</v>
      </c>
      <c r="T96" s="423">
        <v>0</v>
      </c>
      <c r="U96" s="423">
        <v>0</v>
      </c>
      <c r="W96" s="423">
        <f t="shared" si="114"/>
        <v>0</v>
      </c>
      <c r="X96" s="423">
        <f t="shared" si="115"/>
        <v>0</v>
      </c>
      <c r="Y96" s="423">
        <f t="shared" si="116"/>
        <v>0</v>
      </c>
      <c r="Z96" s="423">
        <f t="shared" si="117"/>
        <v>0</v>
      </c>
      <c r="AA96" s="423">
        <f t="shared" si="118"/>
        <v>0</v>
      </c>
      <c r="AB96" s="423">
        <f t="shared" si="119"/>
        <v>0</v>
      </c>
      <c r="AC96" s="423">
        <f t="shared" si="120"/>
        <v>0</v>
      </c>
      <c r="AD96" s="423">
        <f t="shared" si="121"/>
        <v>0</v>
      </c>
      <c r="AE96" s="423">
        <f t="shared" si="122"/>
        <v>0</v>
      </c>
      <c r="AF96" s="423">
        <f t="shared" si="123"/>
        <v>0</v>
      </c>
    </row>
    <row r="97" spans="1:32" outlineLevel="1">
      <c r="A97" s="418" t="s">
        <v>739</v>
      </c>
      <c r="B97" s="418" t="s">
        <v>740</v>
      </c>
      <c r="D97" s="423">
        <v>0</v>
      </c>
      <c r="E97" s="423">
        <v>0</v>
      </c>
      <c r="F97" s="423">
        <v>0</v>
      </c>
      <c r="G97" s="423">
        <v>0</v>
      </c>
      <c r="H97" s="423">
        <v>0</v>
      </c>
      <c r="I97" s="423">
        <v>5</v>
      </c>
      <c r="J97" s="423">
        <v>0</v>
      </c>
      <c r="K97" s="423">
        <v>463</v>
      </c>
      <c r="L97" s="423">
        <v>580</v>
      </c>
      <c r="M97" s="423">
        <v>0</v>
      </c>
      <c r="N97" s="423">
        <v>596</v>
      </c>
      <c r="O97" s="423">
        <v>3608</v>
      </c>
      <c r="P97" s="423">
        <v>87</v>
      </c>
      <c r="Q97" s="423">
        <v>203</v>
      </c>
      <c r="R97" s="423">
        <v>584</v>
      </c>
      <c r="S97" s="423">
        <v>764</v>
      </c>
      <c r="T97" s="423">
        <v>191</v>
      </c>
      <c r="U97" s="423">
        <v>375</v>
      </c>
      <c r="W97" s="423">
        <f t="shared" si="114"/>
        <v>580</v>
      </c>
      <c r="X97" s="423">
        <f t="shared" si="115"/>
        <v>-580</v>
      </c>
      <c r="Y97" s="423">
        <f t="shared" si="116"/>
        <v>596</v>
      </c>
      <c r="Z97" s="423">
        <f t="shared" si="117"/>
        <v>3012</v>
      </c>
      <c r="AA97" s="423">
        <f t="shared" si="118"/>
        <v>87</v>
      </c>
      <c r="AB97" s="423">
        <f t="shared" si="119"/>
        <v>116</v>
      </c>
      <c r="AC97" s="423">
        <f t="shared" si="120"/>
        <v>381</v>
      </c>
      <c r="AD97" s="423">
        <f t="shared" si="121"/>
        <v>180</v>
      </c>
      <c r="AE97" s="423">
        <f t="shared" si="122"/>
        <v>191</v>
      </c>
      <c r="AF97" s="423">
        <f t="shared" si="123"/>
        <v>184</v>
      </c>
    </row>
    <row r="98" spans="1:32" outlineLevel="1">
      <c r="A98" s="418" t="s">
        <v>741</v>
      </c>
      <c r="B98" s="418" t="s">
        <v>2536</v>
      </c>
      <c r="D98" s="423">
        <v>0</v>
      </c>
      <c r="E98" s="423">
        <v>0</v>
      </c>
      <c r="F98" s="423">
        <v>0</v>
      </c>
      <c r="G98" s="423">
        <v>0</v>
      </c>
      <c r="H98" s="423">
        <v>0</v>
      </c>
      <c r="I98" s="423">
        <v>0</v>
      </c>
      <c r="J98" s="423">
        <v>0</v>
      </c>
      <c r="K98" s="423">
        <v>0</v>
      </c>
      <c r="L98" s="423">
        <v>0</v>
      </c>
      <c r="M98" s="423">
        <v>0</v>
      </c>
      <c r="N98" s="423">
        <v>0</v>
      </c>
      <c r="O98" s="423">
        <v>0</v>
      </c>
      <c r="P98" s="423">
        <v>0</v>
      </c>
      <c r="Q98" s="423">
        <v>0</v>
      </c>
      <c r="R98" s="423">
        <v>0</v>
      </c>
      <c r="S98" s="423">
        <v>0</v>
      </c>
      <c r="T98" s="423">
        <v>0</v>
      </c>
      <c r="U98" s="423">
        <v>0</v>
      </c>
      <c r="W98" s="423">
        <f>L98</f>
        <v>0</v>
      </c>
      <c r="X98" s="423">
        <f>M98-W98</f>
        <v>0</v>
      </c>
      <c r="Y98" s="423">
        <f t="shared" si="116"/>
        <v>0</v>
      </c>
      <c r="Z98" s="423">
        <f t="shared" si="117"/>
        <v>0</v>
      </c>
      <c r="AA98" s="423">
        <f>P98</f>
        <v>0</v>
      </c>
      <c r="AB98" s="423">
        <f>Q98-AA98</f>
        <v>0</v>
      </c>
      <c r="AC98" s="423">
        <f t="shared" si="120"/>
        <v>0</v>
      </c>
      <c r="AD98" s="423">
        <f t="shared" si="121"/>
        <v>0</v>
      </c>
      <c r="AE98" s="423">
        <f>T98</f>
        <v>0</v>
      </c>
      <c r="AF98" s="423">
        <f t="shared" si="123"/>
        <v>0</v>
      </c>
    </row>
    <row r="99" spans="1:32" outlineLevel="1">
      <c r="A99" s="418" t="s">
        <v>742</v>
      </c>
      <c r="B99" s="418" t="s">
        <v>743</v>
      </c>
      <c r="D99" s="423">
        <v>0</v>
      </c>
      <c r="E99" s="423">
        <v>0</v>
      </c>
      <c r="F99" s="423">
        <v>0</v>
      </c>
      <c r="G99" s="423">
        <v>0</v>
      </c>
      <c r="H99" s="423">
        <v>0</v>
      </c>
      <c r="I99" s="423">
        <v>0</v>
      </c>
      <c r="J99" s="423">
        <v>0</v>
      </c>
      <c r="K99" s="423">
        <v>0</v>
      </c>
      <c r="L99" s="423">
        <v>0</v>
      </c>
      <c r="M99" s="423">
        <v>0</v>
      </c>
      <c r="N99" s="423">
        <v>0</v>
      </c>
      <c r="O99" s="423">
        <v>0</v>
      </c>
      <c r="P99" s="423">
        <v>0</v>
      </c>
      <c r="Q99" s="423">
        <v>0</v>
      </c>
      <c r="R99" s="423">
        <v>0</v>
      </c>
      <c r="S99" s="423">
        <v>0</v>
      </c>
      <c r="T99" s="423">
        <v>0</v>
      </c>
      <c r="U99" s="423">
        <v>0</v>
      </c>
      <c r="W99" s="423">
        <f t="shared" si="114"/>
        <v>0</v>
      </c>
      <c r="X99" s="423">
        <f t="shared" si="115"/>
        <v>0</v>
      </c>
      <c r="Y99" s="423">
        <f t="shared" si="116"/>
        <v>0</v>
      </c>
      <c r="Z99" s="423">
        <f t="shared" si="117"/>
        <v>0</v>
      </c>
      <c r="AA99" s="423">
        <f t="shared" si="118"/>
        <v>0</v>
      </c>
      <c r="AB99" s="423">
        <f t="shared" si="119"/>
        <v>0</v>
      </c>
      <c r="AC99" s="423">
        <f t="shared" si="120"/>
        <v>0</v>
      </c>
      <c r="AD99" s="423">
        <f t="shared" si="121"/>
        <v>0</v>
      </c>
      <c r="AE99" s="423">
        <f t="shared" si="122"/>
        <v>0</v>
      </c>
      <c r="AF99" s="423">
        <f t="shared" si="123"/>
        <v>0</v>
      </c>
    </row>
    <row r="100" spans="1:32">
      <c r="A100" s="417" t="s">
        <v>744</v>
      </c>
      <c r="B100" s="417" t="s">
        <v>745</v>
      </c>
      <c r="D100" s="422">
        <f t="shared" ref="D100:I100" si="124">SUM(D101:D110)</f>
        <v>-28750</v>
      </c>
      <c r="E100" s="422">
        <f t="shared" si="124"/>
        <v>-63224</v>
      </c>
      <c r="F100" s="422">
        <f t="shared" si="124"/>
        <v>-103400</v>
      </c>
      <c r="G100" s="422">
        <f t="shared" si="124"/>
        <v>-143895</v>
      </c>
      <c r="H100" s="422">
        <f t="shared" si="124"/>
        <v>-43086</v>
      </c>
      <c r="I100" s="422">
        <f t="shared" si="124"/>
        <v>-84912</v>
      </c>
      <c r="J100" s="422">
        <f t="shared" ref="J100:T100" si="125">SUM(J101:J110)</f>
        <v>-130333</v>
      </c>
      <c r="K100" s="422">
        <f t="shared" si="125"/>
        <v>-179025</v>
      </c>
      <c r="L100" s="422">
        <f t="shared" si="125"/>
        <v>-47259</v>
      </c>
      <c r="M100" s="422">
        <f t="shared" si="125"/>
        <v>-88693</v>
      </c>
      <c r="N100" s="422">
        <f t="shared" si="125"/>
        <v>-127830</v>
      </c>
      <c r="O100" s="422">
        <f t="shared" si="125"/>
        <v>-175629</v>
      </c>
      <c r="P100" s="422">
        <f t="shared" si="125"/>
        <v>-56287</v>
      </c>
      <c r="Q100" s="422">
        <f t="shared" si="125"/>
        <v>-104543</v>
      </c>
      <c r="R100" s="422">
        <f t="shared" si="125"/>
        <v>-144723</v>
      </c>
      <c r="S100" s="422">
        <f t="shared" si="125"/>
        <v>-181132</v>
      </c>
      <c r="T100" s="422">
        <f t="shared" si="125"/>
        <v>-37934</v>
      </c>
      <c r="U100" s="422">
        <f>SUM(U101:U110)</f>
        <v>-90199</v>
      </c>
      <c r="W100" s="422">
        <f t="shared" ref="W100:AC100" si="126">SUM(W101:W110)</f>
        <v>-47259</v>
      </c>
      <c r="X100" s="422">
        <f t="shared" si="126"/>
        <v>-41434</v>
      </c>
      <c r="Y100" s="422">
        <f t="shared" si="126"/>
        <v>-39137</v>
      </c>
      <c r="Z100" s="422">
        <f t="shared" si="126"/>
        <v>-47799</v>
      </c>
      <c r="AA100" s="422">
        <f t="shared" si="126"/>
        <v>-56287</v>
      </c>
      <c r="AB100" s="422">
        <f t="shared" si="126"/>
        <v>-48256</v>
      </c>
      <c r="AC100" s="422">
        <f t="shared" si="126"/>
        <v>-40180</v>
      </c>
      <c r="AD100" s="422">
        <f t="shared" ref="AD100:AE100" si="127">SUM(AD101:AD110)</f>
        <v>-36409</v>
      </c>
      <c r="AE100" s="422">
        <f t="shared" si="127"/>
        <v>-37934</v>
      </c>
      <c r="AF100" s="422">
        <f>SUM(AF101:AF110)</f>
        <v>-52265</v>
      </c>
    </row>
    <row r="101" spans="1:32" outlineLevel="1">
      <c r="A101" s="418" t="s">
        <v>746</v>
      </c>
      <c r="B101" s="418" t="s">
        <v>747</v>
      </c>
      <c r="D101" s="423">
        <v>-28682</v>
      </c>
      <c r="E101" s="423">
        <v>-63076</v>
      </c>
      <c r="F101" s="423">
        <v>-103131</v>
      </c>
      <c r="G101" s="423">
        <v>-143215</v>
      </c>
      <c r="H101" s="423">
        <v>-42433</v>
      </c>
      <c r="I101" s="423">
        <v>-84994</v>
      </c>
      <c r="J101" s="423">
        <v>-130510</v>
      </c>
      <c r="K101" s="423">
        <v>-171749</v>
      </c>
      <c r="L101" s="423">
        <v>-29704</v>
      </c>
      <c r="M101" s="423">
        <v>-60121</v>
      </c>
      <c r="N101" s="423">
        <v>-91864</v>
      </c>
      <c r="O101" s="423">
        <v>-124737</v>
      </c>
      <c r="P101" s="423">
        <v>-34961</v>
      </c>
      <c r="Q101" s="423">
        <v>-71234</v>
      </c>
      <c r="R101" s="423">
        <v>-104250</v>
      </c>
      <c r="S101" s="423">
        <v>-132350</v>
      </c>
      <c r="T101" s="423">
        <v>-23693</v>
      </c>
      <c r="U101" s="423">
        <v>-51627</v>
      </c>
      <c r="W101" s="423">
        <f t="shared" ref="W101:W110" si="128">L101</f>
        <v>-29704</v>
      </c>
      <c r="X101" s="423">
        <f t="shared" ref="X101:X110" si="129">M101-W101</f>
        <v>-30417</v>
      </c>
      <c r="Y101" s="423">
        <f t="shared" ref="Y101:Y110" si="130">N101-M101</f>
        <v>-31743</v>
      </c>
      <c r="Z101" s="423">
        <f t="shared" ref="Z101:Z110" si="131">O101-N101</f>
        <v>-32873</v>
      </c>
      <c r="AA101" s="423">
        <f t="shared" ref="AA101:AA110" si="132">P101</f>
        <v>-34961</v>
      </c>
      <c r="AB101" s="423">
        <f t="shared" ref="AB101:AB110" si="133">Q101-AA101</f>
        <v>-36273</v>
      </c>
      <c r="AC101" s="423">
        <f t="shared" ref="AC101:AC110" si="134">R101-Q101</f>
        <v>-33016</v>
      </c>
      <c r="AD101" s="423">
        <f t="shared" ref="AD101:AD110" si="135">S101-R101</f>
        <v>-28100</v>
      </c>
      <c r="AE101" s="423">
        <f t="shared" ref="AE101:AE110" si="136">T101</f>
        <v>-23693</v>
      </c>
      <c r="AF101" s="423">
        <f t="shared" ref="AF101:AF110" si="137">U101-T101</f>
        <v>-27934</v>
      </c>
    </row>
    <row r="102" spans="1:32" outlineLevel="1">
      <c r="A102" s="418" t="s">
        <v>748</v>
      </c>
      <c r="B102" s="418" t="s">
        <v>749</v>
      </c>
      <c r="D102" s="423">
        <v>0</v>
      </c>
      <c r="E102" s="423">
        <v>0</v>
      </c>
      <c r="F102" s="423">
        <v>0</v>
      </c>
      <c r="G102" s="423">
        <v>0</v>
      </c>
      <c r="H102" s="423">
        <v>0</v>
      </c>
      <c r="I102" s="423">
        <v>0</v>
      </c>
      <c r="J102" s="423">
        <v>0</v>
      </c>
      <c r="K102" s="423">
        <v>0</v>
      </c>
      <c r="L102" s="423">
        <v>0</v>
      </c>
      <c r="M102" s="423">
        <v>0</v>
      </c>
      <c r="N102" s="423">
        <v>0</v>
      </c>
      <c r="O102" s="423">
        <v>0</v>
      </c>
      <c r="P102" s="423">
        <v>0</v>
      </c>
      <c r="Q102" s="423">
        <v>0</v>
      </c>
      <c r="R102" s="423">
        <v>0</v>
      </c>
      <c r="S102" s="423">
        <v>0</v>
      </c>
      <c r="T102" s="423">
        <v>0</v>
      </c>
      <c r="U102" s="423">
        <v>0</v>
      </c>
      <c r="W102" s="423">
        <f t="shared" si="128"/>
        <v>0</v>
      </c>
      <c r="X102" s="423">
        <f t="shared" si="129"/>
        <v>0</v>
      </c>
      <c r="Y102" s="423">
        <f t="shared" si="130"/>
        <v>0</v>
      </c>
      <c r="Z102" s="423">
        <f t="shared" si="131"/>
        <v>0</v>
      </c>
      <c r="AA102" s="423">
        <f t="shared" si="132"/>
        <v>0</v>
      </c>
      <c r="AB102" s="423">
        <f t="shared" si="133"/>
        <v>0</v>
      </c>
      <c r="AC102" s="423">
        <f t="shared" si="134"/>
        <v>0</v>
      </c>
      <c r="AD102" s="423">
        <f t="shared" si="135"/>
        <v>0</v>
      </c>
      <c r="AE102" s="423">
        <f t="shared" si="136"/>
        <v>0</v>
      </c>
      <c r="AF102" s="423">
        <f t="shared" si="137"/>
        <v>0</v>
      </c>
    </row>
    <row r="103" spans="1:32" outlineLevel="1">
      <c r="A103" s="418" t="s">
        <v>750</v>
      </c>
      <c r="B103" s="418" t="s">
        <v>751</v>
      </c>
      <c r="D103" s="423">
        <v>0</v>
      </c>
      <c r="E103" s="423">
        <v>0</v>
      </c>
      <c r="F103" s="423">
        <v>0</v>
      </c>
      <c r="G103" s="423">
        <v>0</v>
      </c>
      <c r="H103" s="423">
        <v>0</v>
      </c>
      <c r="I103" s="423">
        <v>922</v>
      </c>
      <c r="J103" s="423">
        <v>1121</v>
      </c>
      <c r="K103" s="423">
        <v>-3959</v>
      </c>
      <c r="L103" s="423">
        <v>-16152</v>
      </c>
      <c r="M103" s="423">
        <v>-26163</v>
      </c>
      <c r="N103" s="423">
        <v>-32628</v>
      </c>
      <c r="O103" s="423">
        <v>-46911</v>
      </c>
      <c r="P103" s="423">
        <v>-20014</v>
      </c>
      <c r="Q103" s="423">
        <v>-30878</v>
      </c>
      <c r="R103" s="423">
        <v>-36984</v>
      </c>
      <c r="S103" s="423">
        <v>-43812</v>
      </c>
      <c r="T103" s="423">
        <v>-13333</v>
      </c>
      <c r="U103" s="423">
        <v>-36086</v>
      </c>
      <c r="W103" s="423">
        <f t="shared" si="128"/>
        <v>-16152</v>
      </c>
      <c r="X103" s="423">
        <f t="shared" si="129"/>
        <v>-10011</v>
      </c>
      <c r="Y103" s="423">
        <f t="shared" si="130"/>
        <v>-6465</v>
      </c>
      <c r="Z103" s="423">
        <f t="shared" si="131"/>
        <v>-14283</v>
      </c>
      <c r="AA103" s="423">
        <f t="shared" si="132"/>
        <v>-20014</v>
      </c>
      <c r="AB103" s="423">
        <f t="shared" si="133"/>
        <v>-10864</v>
      </c>
      <c r="AC103" s="423">
        <f t="shared" si="134"/>
        <v>-6106</v>
      </c>
      <c r="AD103" s="423">
        <f t="shared" si="135"/>
        <v>-6828</v>
      </c>
      <c r="AE103" s="423">
        <f t="shared" si="136"/>
        <v>-13333</v>
      </c>
      <c r="AF103" s="423">
        <f t="shared" si="137"/>
        <v>-22753</v>
      </c>
    </row>
    <row r="104" spans="1:32" outlineLevel="1">
      <c r="A104" s="418" t="s">
        <v>741</v>
      </c>
      <c r="B104" s="418" t="s">
        <v>2536</v>
      </c>
      <c r="D104" s="423"/>
      <c r="E104" s="423"/>
      <c r="F104" s="423"/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>
        <v>0</v>
      </c>
      <c r="R104" s="423">
        <v>0</v>
      </c>
      <c r="S104" s="423">
        <v>0</v>
      </c>
      <c r="T104" s="423">
        <v>0</v>
      </c>
      <c r="U104" s="423">
        <v>0</v>
      </c>
      <c r="W104" s="423">
        <f>L104</f>
        <v>0</v>
      </c>
      <c r="X104" s="423">
        <f>M104-W104</f>
        <v>0</v>
      </c>
      <c r="Y104" s="423">
        <f t="shared" si="130"/>
        <v>0</v>
      </c>
      <c r="Z104" s="423">
        <f t="shared" si="131"/>
        <v>0</v>
      </c>
      <c r="AA104" s="423">
        <f>P104</f>
        <v>0</v>
      </c>
      <c r="AB104" s="423">
        <f>Q104-AA104</f>
        <v>0</v>
      </c>
      <c r="AC104" s="423">
        <f t="shared" si="134"/>
        <v>0</v>
      </c>
      <c r="AD104" s="423">
        <f t="shared" si="135"/>
        <v>0</v>
      </c>
      <c r="AE104" s="423">
        <f>T104</f>
        <v>0</v>
      </c>
      <c r="AF104" s="423">
        <f t="shared" si="137"/>
        <v>0</v>
      </c>
    </row>
    <row r="105" spans="1:32" outlineLevel="1">
      <c r="A105" s="418" t="s">
        <v>752</v>
      </c>
      <c r="B105" s="418" t="s">
        <v>753</v>
      </c>
      <c r="D105" s="423">
        <v>0</v>
      </c>
      <c r="E105" s="423">
        <v>0</v>
      </c>
      <c r="F105" s="423">
        <v>0</v>
      </c>
      <c r="G105" s="423">
        <v>0</v>
      </c>
      <c r="H105" s="423">
        <v>0</v>
      </c>
      <c r="I105" s="423">
        <v>0</v>
      </c>
      <c r="J105" s="423">
        <v>0</v>
      </c>
      <c r="K105" s="423">
        <v>0</v>
      </c>
      <c r="L105" s="423">
        <v>0</v>
      </c>
      <c r="M105" s="423">
        <v>0</v>
      </c>
      <c r="N105" s="423">
        <v>0</v>
      </c>
      <c r="O105" s="423">
        <v>0</v>
      </c>
      <c r="P105" s="423">
        <v>0</v>
      </c>
      <c r="Q105" s="423">
        <v>0</v>
      </c>
      <c r="R105" s="423">
        <v>0</v>
      </c>
      <c r="S105" s="423">
        <v>0</v>
      </c>
      <c r="T105" s="423">
        <v>0</v>
      </c>
      <c r="U105" s="423">
        <v>0</v>
      </c>
      <c r="W105" s="423">
        <f>L105</f>
        <v>0</v>
      </c>
      <c r="X105" s="423">
        <f>M105-W105</f>
        <v>0</v>
      </c>
      <c r="Y105" s="423">
        <f t="shared" si="130"/>
        <v>0</v>
      </c>
      <c r="Z105" s="423">
        <f t="shared" si="131"/>
        <v>0</v>
      </c>
      <c r="AA105" s="423">
        <f>P105</f>
        <v>0</v>
      </c>
      <c r="AB105" s="423">
        <f>Q105-AA105</f>
        <v>0</v>
      </c>
      <c r="AC105" s="423">
        <f t="shared" si="134"/>
        <v>0</v>
      </c>
      <c r="AD105" s="423">
        <f t="shared" si="135"/>
        <v>0</v>
      </c>
      <c r="AE105" s="423">
        <f>T105</f>
        <v>0</v>
      </c>
      <c r="AF105" s="423">
        <f t="shared" si="137"/>
        <v>0</v>
      </c>
    </row>
    <row r="106" spans="1:32" outlineLevel="1">
      <c r="A106" s="418" t="s">
        <v>754</v>
      </c>
      <c r="B106" s="418" t="s">
        <v>755</v>
      </c>
      <c r="D106" s="423">
        <v>0</v>
      </c>
      <c r="E106" s="423">
        <v>0</v>
      </c>
      <c r="F106" s="423">
        <v>0</v>
      </c>
      <c r="G106" s="423">
        <v>0</v>
      </c>
      <c r="H106" s="423">
        <v>0</v>
      </c>
      <c r="I106" s="423">
        <v>0</v>
      </c>
      <c r="J106" s="423">
        <v>0</v>
      </c>
      <c r="K106" s="423">
        <v>0</v>
      </c>
      <c r="L106" s="423">
        <v>0</v>
      </c>
      <c r="M106" s="423">
        <v>0</v>
      </c>
      <c r="N106" s="423">
        <v>0</v>
      </c>
      <c r="O106" s="423">
        <v>0</v>
      </c>
      <c r="P106" s="423">
        <v>0</v>
      </c>
      <c r="Q106" s="423">
        <v>0</v>
      </c>
      <c r="R106" s="423">
        <v>0</v>
      </c>
      <c r="S106" s="423">
        <v>0</v>
      </c>
      <c r="T106" s="423">
        <v>0</v>
      </c>
      <c r="U106" s="423">
        <v>0</v>
      </c>
      <c r="W106" s="423">
        <f>L106</f>
        <v>0</v>
      </c>
      <c r="X106" s="423">
        <f>M106-W106</f>
        <v>0</v>
      </c>
      <c r="Y106" s="423">
        <f t="shared" si="130"/>
        <v>0</v>
      </c>
      <c r="Z106" s="423">
        <f t="shared" si="131"/>
        <v>0</v>
      </c>
      <c r="AA106" s="423">
        <f>P106</f>
        <v>0</v>
      </c>
      <c r="AB106" s="423">
        <f>Q106-AA106</f>
        <v>0</v>
      </c>
      <c r="AC106" s="423">
        <f t="shared" si="134"/>
        <v>0</v>
      </c>
      <c r="AD106" s="423">
        <f t="shared" si="135"/>
        <v>0</v>
      </c>
      <c r="AE106" s="423">
        <f>T106</f>
        <v>0</v>
      </c>
      <c r="AF106" s="423">
        <f t="shared" si="137"/>
        <v>0</v>
      </c>
    </row>
    <row r="107" spans="1:32" outlineLevel="1">
      <c r="A107" s="418" t="s">
        <v>756</v>
      </c>
      <c r="B107" s="418" t="s">
        <v>757</v>
      </c>
      <c r="D107" s="423">
        <v>0</v>
      </c>
      <c r="E107" s="423">
        <v>-20</v>
      </c>
      <c r="F107" s="423">
        <v>-24</v>
      </c>
      <c r="G107" s="423">
        <v>-31</v>
      </c>
      <c r="H107" s="423">
        <v>-3</v>
      </c>
      <c r="I107" s="423">
        <v>-6</v>
      </c>
      <c r="J107" s="423">
        <v>-7</v>
      </c>
      <c r="K107" s="423">
        <v>-8</v>
      </c>
      <c r="L107" s="423">
        <v>-1</v>
      </c>
      <c r="M107" s="423">
        <v>-4</v>
      </c>
      <c r="N107" s="423">
        <v>-4</v>
      </c>
      <c r="O107" s="423">
        <v>-5</v>
      </c>
      <c r="P107" s="423">
        <v>0</v>
      </c>
      <c r="Q107" s="423">
        <v>0</v>
      </c>
      <c r="R107" s="423">
        <v>0</v>
      </c>
      <c r="S107" s="423">
        <v>0</v>
      </c>
      <c r="T107" s="423">
        <v>-1</v>
      </c>
      <c r="U107" s="423">
        <v>-3</v>
      </c>
      <c r="W107" s="423">
        <f t="shared" si="128"/>
        <v>-1</v>
      </c>
      <c r="X107" s="423">
        <f t="shared" si="129"/>
        <v>-3</v>
      </c>
      <c r="Y107" s="423">
        <f t="shared" si="130"/>
        <v>0</v>
      </c>
      <c r="Z107" s="423">
        <f t="shared" si="131"/>
        <v>-1</v>
      </c>
      <c r="AA107" s="423">
        <f t="shared" si="132"/>
        <v>0</v>
      </c>
      <c r="AB107" s="423">
        <f t="shared" si="133"/>
        <v>0</v>
      </c>
      <c r="AC107" s="423">
        <f t="shared" si="134"/>
        <v>0</v>
      </c>
      <c r="AD107" s="423">
        <f t="shared" si="135"/>
        <v>0</v>
      </c>
      <c r="AE107" s="423">
        <f t="shared" si="136"/>
        <v>-1</v>
      </c>
      <c r="AF107" s="423">
        <f t="shared" si="137"/>
        <v>-2</v>
      </c>
    </row>
    <row r="108" spans="1:32" outlineLevel="1">
      <c r="A108" s="418" t="s">
        <v>758</v>
      </c>
      <c r="B108" s="418" t="s">
        <v>759</v>
      </c>
      <c r="D108" s="423">
        <v>0</v>
      </c>
      <c r="E108" s="423">
        <v>0</v>
      </c>
      <c r="F108" s="423">
        <v>0</v>
      </c>
      <c r="G108" s="423">
        <v>0</v>
      </c>
      <c r="H108" s="423">
        <v>0</v>
      </c>
      <c r="I108" s="423">
        <v>0</v>
      </c>
      <c r="J108" s="423">
        <v>0</v>
      </c>
      <c r="K108" s="423">
        <v>0</v>
      </c>
      <c r="L108" s="423">
        <v>0</v>
      </c>
      <c r="M108" s="423">
        <v>0</v>
      </c>
      <c r="N108" s="423">
        <v>0</v>
      </c>
      <c r="O108" s="423">
        <v>0</v>
      </c>
      <c r="P108" s="423">
        <v>0</v>
      </c>
      <c r="Q108" s="423">
        <v>0</v>
      </c>
      <c r="R108" s="423">
        <v>0</v>
      </c>
      <c r="S108" s="423">
        <v>0</v>
      </c>
      <c r="T108" s="423">
        <v>0</v>
      </c>
      <c r="U108" s="423">
        <v>0</v>
      </c>
      <c r="W108" s="423">
        <f t="shared" si="128"/>
        <v>0</v>
      </c>
      <c r="X108" s="423">
        <f t="shared" si="129"/>
        <v>0</v>
      </c>
      <c r="Y108" s="423">
        <f t="shared" si="130"/>
        <v>0</v>
      </c>
      <c r="Z108" s="423">
        <f t="shared" si="131"/>
        <v>0</v>
      </c>
      <c r="AA108" s="423">
        <f t="shared" si="132"/>
        <v>0</v>
      </c>
      <c r="AB108" s="423">
        <f t="shared" si="133"/>
        <v>0</v>
      </c>
      <c r="AC108" s="423">
        <f t="shared" si="134"/>
        <v>0</v>
      </c>
      <c r="AD108" s="423">
        <f t="shared" si="135"/>
        <v>0</v>
      </c>
      <c r="AE108" s="423">
        <f t="shared" si="136"/>
        <v>0</v>
      </c>
      <c r="AF108" s="423">
        <f t="shared" si="137"/>
        <v>0</v>
      </c>
    </row>
    <row r="109" spans="1:32" outlineLevel="1">
      <c r="A109" s="418" t="s">
        <v>760</v>
      </c>
      <c r="B109" s="418" t="s">
        <v>761</v>
      </c>
      <c r="D109" s="423">
        <v>0</v>
      </c>
      <c r="E109" s="423">
        <v>0</v>
      </c>
      <c r="F109" s="423">
        <v>0</v>
      </c>
      <c r="G109" s="423">
        <v>0</v>
      </c>
      <c r="H109" s="423">
        <v>0</v>
      </c>
      <c r="I109" s="423">
        <v>0</v>
      </c>
      <c r="J109" s="423">
        <v>0</v>
      </c>
      <c r="K109" s="423">
        <v>0</v>
      </c>
      <c r="L109" s="423">
        <v>0</v>
      </c>
      <c r="M109" s="423">
        <v>0</v>
      </c>
      <c r="N109" s="423">
        <v>0</v>
      </c>
      <c r="O109" s="423">
        <v>0</v>
      </c>
      <c r="P109" s="423">
        <v>0</v>
      </c>
      <c r="Q109" s="423">
        <v>0</v>
      </c>
      <c r="R109" s="423">
        <v>0</v>
      </c>
      <c r="S109" s="423">
        <v>0</v>
      </c>
      <c r="T109" s="423">
        <v>0</v>
      </c>
      <c r="U109" s="423">
        <v>0</v>
      </c>
      <c r="W109" s="423">
        <f t="shared" si="128"/>
        <v>0</v>
      </c>
      <c r="X109" s="423">
        <f t="shared" si="129"/>
        <v>0</v>
      </c>
      <c r="Y109" s="423">
        <f t="shared" si="130"/>
        <v>0</v>
      </c>
      <c r="Z109" s="423">
        <f t="shared" si="131"/>
        <v>0</v>
      </c>
      <c r="AA109" s="423">
        <f t="shared" si="132"/>
        <v>0</v>
      </c>
      <c r="AB109" s="423">
        <f t="shared" si="133"/>
        <v>0</v>
      </c>
      <c r="AC109" s="423">
        <f t="shared" si="134"/>
        <v>0</v>
      </c>
      <c r="AD109" s="423">
        <f t="shared" si="135"/>
        <v>0</v>
      </c>
      <c r="AE109" s="423">
        <f t="shared" si="136"/>
        <v>0</v>
      </c>
      <c r="AF109" s="423">
        <f t="shared" si="137"/>
        <v>0</v>
      </c>
    </row>
    <row r="110" spans="1:32" outlineLevel="1">
      <c r="A110" s="418" t="s">
        <v>762</v>
      </c>
      <c r="B110" s="418" t="s">
        <v>763</v>
      </c>
      <c r="D110" s="423">
        <v>-68</v>
      </c>
      <c r="E110" s="423">
        <v>-128</v>
      </c>
      <c r="F110" s="423">
        <v>-245</v>
      </c>
      <c r="G110" s="423">
        <v>-649</v>
      </c>
      <c r="H110" s="423">
        <v>-650</v>
      </c>
      <c r="I110" s="423">
        <v>-834</v>
      </c>
      <c r="J110" s="423">
        <v>-937</v>
      </c>
      <c r="K110" s="423">
        <v>-3309</v>
      </c>
      <c r="L110" s="423">
        <v>-1402</v>
      </c>
      <c r="M110" s="423">
        <v>-2405</v>
      </c>
      <c r="N110" s="423">
        <v>-3334</v>
      </c>
      <c r="O110" s="423">
        <v>-3976</v>
      </c>
      <c r="P110" s="423">
        <v>-1312</v>
      </c>
      <c r="Q110" s="423">
        <v>-2431</v>
      </c>
      <c r="R110" s="423">
        <v>-3489</v>
      </c>
      <c r="S110" s="423">
        <v>-4970</v>
      </c>
      <c r="T110" s="423">
        <v>-907</v>
      </c>
      <c r="U110" s="423">
        <v>-2483</v>
      </c>
      <c r="W110" s="423">
        <f t="shared" si="128"/>
        <v>-1402</v>
      </c>
      <c r="X110" s="423">
        <f t="shared" si="129"/>
        <v>-1003</v>
      </c>
      <c r="Y110" s="423">
        <f t="shared" si="130"/>
        <v>-929</v>
      </c>
      <c r="Z110" s="423">
        <f t="shared" si="131"/>
        <v>-642</v>
      </c>
      <c r="AA110" s="423">
        <f t="shared" si="132"/>
        <v>-1312</v>
      </c>
      <c r="AB110" s="423">
        <f t="shared" si="133"/>
        <v>-1119</v>
      </c>
      <c r="AC110" s="423">
        <f t="shared" si="134"/>
        <v>-1058</v>
      </c>
      <c r="AD110" s="423">
        <f t="shared" si="135"/>
        <v>-1481</v>
      </c>
      <c r="AE110" s="423">
        <f t="shared" si="136"/>
        <v>-907</v>
      </c>
      <c r="AF110" s="423">
        <f t="shared" si="137"/>
        <v>-1576</v>
      </c>
    </row>
    <row r="111" spans="1:32">
      <c r="A111" s="417"/>
      <c r="B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</row>
    <row r="112" spans="1:32">
      <c r="A112" s="429" t="s">
        <v>764</v>
      </c>
      <c r="B112" s="429" t="s">
        <v>765</v>
      </c>
      <c r="D112" s="420">
        <f t="shared" ref="D112:I112" si="138">D86+D88</f>
        <v>-29497</v>
      </c>
      <c r="E112" s="420">
        <f t="shared" si="138"/>
        <v>-61691</v>
      </c>
      <c r="F112" s="420">
        <f t="shared" si="138"/>
        <v>-108534</v>
      </c>
      <c r="G112" s="420">
        <f t="shared" si="138"/>
        <v>-146155</v>
      </c>
      <c r="H112" s="420">
        <f t="shared" si="138"/>
        <v>-47456</v>
      </c>
      <c r="I112" s="420">
        <f t="shared" si="138"/>
        <v>-104402</v>
      </c>
      <c r="J112" s="420">
        <f t="shared" ref="J112:T112" si="139">J86+J88</f>
        <v>-171121</v>
      </c>
      <c r="K112" s="420">
        <f t="shared" si="139"/>
        <v>-234079</v>
      </c>
      <c r="L112" s="420">
        <f t="shared" si="139"/>
        <v>-56929</v>
      </c>
      <c r="M112" s="420">
        <f t="shared" si="139"/>
        <v>-106011</v>
      </c>
      <c r="N112" s="420">
        <f t="shared" si="139"/>
        <v>-149975</v>
      </c>
      <c r="O112" s="420">
        <f t="shared" si="139"/>
        <v>-201921</v>
      </c>
      <c r="P112" s="420">
        <f t="shared" si="139"/>
        <v>-58858</v>
      </c>
      <c r="Q112" s="420">
        <f t="shared" si="139"/>
        <v>-105949</v>
      </c>
      <c r="R112" s="420">
        <f t="shared" si="139"/>
        <v>-151232</v>
      </c>
      <c r="S112" s="420">
        <f t="shared" si="139"/>
        <v>-486060</v>
      </c>
      <c r="T112" s="741">
        <f t="shared" si="139"/>
        <v>-39707</v>
      </c>
      <c r="U112" s="741">
        <f>U86+U88</f>
        <v>-93745</v>
      </c>
      <c r="W112" s="420">
        <f t="shared" ref="W112:AC112" si="140">W86+W88</f>
        <v>-56929</v>
      </c>
      <c r="X112" s="420">
        <f t="shared" si="140"/>
        <v>-49082</v>
      </c>
      <c r="Y112" s="420">
        <f t="shared" si="140"/>
        <v>-43964</v>
      </c>
      <c r="Z112" s="420">
        <f t="shared" si="140"/>
        <v>-51946</v>
      </c>
      <c r="AA112" s="420">
        <f t="shared" si="140"/>
        <v>-58858</v>
      </c>
      <c r="AB112" s="420">
        <f t="shared" si="140"/>
        <v>-47091</v>
      </c>
      <c r="AC112" s="420">
        <f t="shared" si="140"/>
        <v>-45283</v>
      </c>
      <c r="AD112" s="420">
        <f t="shared" ref="AD112:AE112" si="141">AD86+AD88</f>
        <v>-334828</v>
      </c>
      <c r="AE112" s="420">
        <f t="shared" si="141"/>
        <v>-39707</v>
      </c>
      <c r="AF112" s="741">
        <f>AF86+AF88</f>
        <v>-54038</v>
      </c>
    </row>
    <row r="114" spans="1:32">
      <c r="A114" s="416" t="s">
        <v>766</v>
      </c>
      <c r="B114" s="416" t="s">
        <v>767</v>
      </c>
      <c r="D114" s="424">
        <f t="shared" ref="D114:I114" si="142">SUM(D116:D119)</f>
        <v>0</v>
      </c>
      <c r="E114" s="424">
        <f t="shared" si="142"/>
        <v>0</v>
      </c>
      <c r="F114" s="424">
        <f t="shared" si="142"/>
        <v>0</v>
      </c>
      <c r="G114" s="424">
        <f t="shared" si="142"/>
        <v>0</v>
      </c>
      <c r="H114" s="424">
        <f t="shared" si="142"/>
        <v>0</v>
      </c>
      <c r="I114" s="424">
        <f t="shared" si="142"/>
        <v>0</v>
      </c>
      <c r="J114" s="424">
        <f t="shared" ref="J114:T114" si="143">SUM(J116:J119)</f>
        <v>0</v>
      </c>
      <c r="K114" s="424">
        <f t="shared" si="143"/>
        <v>0</v>
      </c>
      <c r="L114" s="424">
        <f t="shared" si="143"/>
        <v>0</v>
      </c>
      <c r="M114" s="424">
        <f t="shared" si="143"/>
        <v>0</v>
      </c>
      <c r="N114" s="424">
        <f t="shared" si="143"/>
        <v>0</v>
      </c>
      <c r="O114" s="424">
        <f t="shared" si="143"/>
        <v>0</v>
      </c>
      <c r="P114" s="424">
        <f t="shared" si="143"/>
        <v>0</v>
      </c>
      <c r="Q114" s="424">
        <f t="shared" si="143"/>
        <v>0</v>
      </c>
      <c r="R114" s="424">
        <f t="shared" si="143"/>
        <v>0</v>
      </c>
      <c r="S114" s="424">
        <f t="shared" si="143"/>
        <v>0</v>
      </c>
      <c r="T114" s="424">
        <f t="shared" si="143"/>
        <v>0</v>
      </c>
      <c r="U114" s="424">
        <f>SUM(U116:U119)</f>
        <v>0</v>
      </c>
      <c r="W114" s="424">
        <f t="shared" ref="W114:AC114" si="144">SUM(W116:W119)</f>
        <v>0</v>
      </c>
      <c r="X114" s="424">
        <f t="shared" si="144"/>
        <v>0</v>
      </c>
      <c r="Y114" s="424">
        <f t="shared" si="144"/>
        <v>0</v>
      </c>
      <c r="Z114" s="424">
        <f t="shared" si="144"/>
        <v>0</v>
      </c>
      <c r="AA114" s="424">
        <f t="shared" si="144"/>
        <v>0</v>
      </c>
      <c r="AB114" s="424">
        <f t="shared" si="144"/>
        <v>0</v>
      </c>
      <c r="AC114" s="424">
        <f t="shared" si="144"/>
        <v>0</v>
      </c>
      <c r="AD114" s="424">
        <f t="shared" ref="AD114:AE114" si="145">SUM(AD116:AD119)</f>
        <v>0</v>
      </c>
      <c r="AE114" s="424">
        <f t="shared" si="145"/>
        <v>0</v>
      </c>
      <c r="AF114" s="424">
        <f>SUM(AF116:AF119)</f>
        <v>0</v>
      </c>
    </row>
    <row r="115" spans="1:32">
      <c r="A115" s="417"/>
      <c r="B115" s="417"/>
      <c r="D115" s="417"/>
      <c r="E115" s="417"/>
      <c r="F115" s="417"/>
      <c r="G115" s="417"/>
      <c r="H115" s="417"/>
      <c r="I115" s="417"/>
      <c r="J115" s="417"/>
      <c r="K115" s="417"/>
      <c r="L115" s="417"/>
      <c r="M115" s="417"/>
      <c r="N115" s="417"/>
      <c r="P115" s="417"/>
      <c r="Q115" s="417"/>
      <c r="R115" s="417"/>
      <c r="S115" s="417"/>
      <c r="T115" s="417"/>
      <c r="U115" s="417"/>
      <c r="W115" s="417"/>
      <c r="X115" s="417"/>
      <c r="Y115" s="417"/>
      <c r="AA115" s="417"/>
      <c r="AB115" s="417"/>
      <c r="AC115" s="417"/>
      <c r="AD115" s="417"/>
      <c r="AE115" s="417"/>
      <c r="AF115" s="417"/>
    </row>
    <row r="116" spans="1:32">
      <c r="A116" s="417" t="s">
        <v>768</v>
      </c>
      <c r="B116" s="417" t="s">
        <v>769</v>
      </c>
      <c r="D116" s="425">
        <v>0</v>
      </c>
      <c r="E116" s="425">
        <v>0</v>
      </c>
      <c r="F116" s="425">
        <v>0</v>
      </c>
      <c r="G116" s="425">
        <v>0</v>
      </c>
      <c r="H116" s="425">
        <v>0</v>
      </c>
      <c r="I116" s="425">
        <v>0</v>
      </c>
      <c r="J116" s="425">
        <v>0</v>
      </c>
      <c r="K116" s="425">
        <v>0</v>
      </c>
      <c r="L116" s="425">
        <v>0</v>
      </c>
      <c r="M116" s="425">
        <v>0</v>
      </c>
      <c r="N116" s="425">
        <v>0</v>
      </c>
      <c r="O116" s="425">
        <v>0</v>
      </c>
      <c r="P116" s="425">
        <v>0</v>
      </c>
      <c r="Q116" s="425">
        <v>0</v>
      </c>
      <c r="R116" s="425">
        <v>0</v>
      </c>
      <c r="S116" s="425">
        <v>0</v>
      </c>
      <c r="T116" s="425">
        <v>0</v>
      </c>
      <c r="U116" s="756">
        <v>0</v>
      </c>
      <c r="W116" s="425">
        <f>L116</f>
        <v>0</v>
      </c>
      <c r="X116" s="425">
        <f>M116-W116</f>
        <v>0</v>
      </c>
      <c r="Y116" s="425">
        <f t="shared" ref="Y116:Z119" si="146">N116-M116</f>
        <v>0</v>
      </c>
      <c r="Z116" s="425">
        <f t="shared" si="146"/>
        <v>0</v>
      </c>
      <c r="AA116" s="425">
        <f>P116</f>
        <v>0</v>
      </c>
      <c r="AB116" s="425">
        <f t="shared" ref="AB116:AB119" si="147">Q116-AA116</f>
        <v>0</v>
      </c>
      <c r="AC116" s="425">
        <f t="shared" ref="AC116:AD119" si="148">R116-Q116</f>
        <v>0</v>
      </c>
      <c r="AD116" s="425">
        <f t="shared" si="148"/>
        <v>0</v>
      </c>
      <c r="AE116" s="425">
        <f>T116</f>
        <v>0</v>
      </c>
      <c r="AF116" s="756">
        <f>U116-T116</f>
        <v>0</v>
      </c>
    </row>
    <row r="117" spans="1:32">
      <c r="A117" s="417" t="s">
        <v>770</v>
      </c>
      <c r="B117" s="417" t="s">
        <v>771</v>
      </c>
      <c r="D117" s="425">
        <v>0</v>
      </c>
      <c r="E117" s="425">
        <v>0</v>
      </c>
      <c r="F117" s="425">
        <v>0</v>
      </c>
      <c r="G117" s="425">
        <v>0</v>
      </c>
      <c r="H117" s="425">
        <v>0</v>
      </c>
      <c r="I117" s="425">
        <v>0</v>
      </c>
      <c r="J117" s="425">
        <v>0</v>
      </c>
      <c r="K117" s="425">
        <v>0</v>
      </c>
      <c r="L117" s="425">
        <v>0</v>
      </c>
      <c r="M117" s="425">
        <v>0</v>
      </c>
      <c r="N117" s="425">
        <v>0</v>
      </c>
      <c r="O117" s="425">
        <v>0</v>
      </c>
      <c r="P117" s="425">
        <v>0</v>
      </c>
      <c r="Q117" s="425">
        <v>0</v>
      </c>
      <c r="R117" s="425">
        <v>0</v>
      </c>
      <c r="S117" s="425">
        <v>0</v>
      </c>
      <c r="T117" s="425">
        <v>0</v>
      </c>
      <c r="U117" s="756">
        <v>0</v>
      </c>
      <c r="W117" s="425">
        <f>L117</f>
        <v>0</v>
      </c>
      <c r="X117" s="425">
        <f>M117-W117</f>
        <v>0</v>
      </c>
      <c r="Y117" s="425">
        <f t="shared" si="146"/>
        <v>0</v>
      </c>
      <c r="Z117" s="425">
        <f t="shared" si="146"/>
        <v>0</v>
      </c>
      <c r="AA117" s="425">
        <f>P117</f>
        <v>0</v>
      </c>
      <c r="AB117" s="425">
        <f t="shared" si="147"/>
        <v>0</v>
      </c>
      <c r="AC117" s="425">
        <f t="shared" si="148"/>
        <v>0</v>
      </c>
      <c r="AD117" s="425">
        <f t="shared" si="148"/>
        <v>0</v>
      </c>
      <c r="AE117" s="425">
        <f>T117</f>
        <v>0</v>
      </c>
      <c r="AF117" s="756">
        <f>U117-T117</f>
        <v>0</v>
      </c>
    </row>
    <row r="118" spans="1:32">
      <c r="A118" s="417" t="s">
        <v>772</v>
      </c>
      <c r="B118" s="417" t="s">
        <v>773</v>
      </c>
      <c r="D118" s="425">
        <v>0</v>
      </c>
      <c r="E118" s="425">
        <v>0</v>
      </c>
      <c r="F118" s="425">
        <v>0</v>
      </c>
      <c r="G118" s="425">
        <v>0</v>
      </c>
      <c r="H118" s="425">
        <v>0</v>
      </c>
      <c r="I118" s="425">
        <v>0</v>
      </c>
      <c r="J118" s="425">
        <v>0</v>
      </c>
      <c r="K118" s="425">
        <v>0</v>
      </c>
      <c r="L118" s="425">
        <v>0</v>
      </c>
      <c r="M118" s="425">
        <v>0</v>
      </c>
      <c r="N118" s="425">
        <v>0</v>
      </c>
      <c r="O118" s="425">
        <v>0</v>
      </c>
      <c r="P118" s="425">
        <v>0</v>
      </c>
      <c r="Q118" s="425">
        <v>0</v>
      </c>
      <c r="R118" s="425">
        <v>0</v>
      </c>
      <c r="S118" s="425">
        <v>0</v>
      </c>
      <c r="T118" s="425">
        <v>0</v>
      </c>
      <c r="U118" s="756">
        <v>0</v>
      </c>
      <c r="W118" s="425">
        <f>L118</f>
        <v>0</v>
      </c>
      <c r="X118" s="425">
        <f>M118-W118</f>
        <v>0</v>
      </c>
      <c r="Y118" s="425">
        <f t="shared" si="146"/>
        <v>0</v>
      </c>
      <c r="Z118" s="425">
        <f t="shared" si="146"/>
        <v>0</v>
      </c>
      <c r="AA118" s="425">
        <f>P118</f>
        <v>0</v>
      </c>
      <c r="AB118" s="425">
        <f t="shared" si="147"/>
        <v>0</v>
      </c>
      <c r="AC118" s="425">
        <f t="shared" si="148"/>
        <v>0</v>
      </c>
      <c r="AD118" s="425">
        <f t="shared" si="148"/>
        <v>0</v>
      </c>
      <c r="AE118" s="425">
        <f>T118</f>
        <v>0</v>
      </c>
      <c r="AF118" s="756">
        <f>U118-T118</f>
        <v>0</v>
      </c>
    </row>
    <row r="119" spans="1:32">
      <c r="A119" s="417" t="s">
        <v>774</v>
      </c>
      <c r="B119" s="417" t="s">
        <v>775</v>
      </c>
      <c r="D119" s="425">
        <v>0</v>
      </c>
      <c r="E119" s="425">
        <v>0</v>
      </c>
      <c r="F119" s="425">
        <v>0</v>
      </c>
      <c r="G119" s="425">
        <v>0</v>
      </c>
      <c r="H119" s="425">
        <v>0</v>
      </c>
      <c r="I119" s="425">
        <v>0</v>
      </c>
      <c r="J119" s="425">
        <v>0</v>
      </c>
      <c r="K119" s="425">
        <v>0</v>
      </c>
      <c r="L119" s="425">
        <v>0</v>
      </c>
      <c r="M119" s="425">
        <v>0</v>
      </c>
      <c r="N119" s="425">
        <v>0</v>
      </c>
      <c r="O119" s="425">
        <v>0</v>
      </c>
      <c r="P119" s="425">
        <v>0</v>
      </c>
      <c r="Q119" s="425">
        <v>0</v>
      </c>
      <c r="R119" s="425">
        <v>0</v>
      </c>
      <c r="S119" s="425">
        <v>0</v>
      </c>
      <c r="T119" s="425">
        <v>0</v>
      </c>
      <c r="U119" s="756">
        <v>0</v>
      </c>
      <c r="W119" s="425">
        <f>L119</f>
        <v>0</v>
      </c>
      <c r="X119" s="425">
        <f>M119-W119</f>
        <v>0</v>
      </c>
      <c r="Y119" s="425">
        <f t="shared" si="146"/>
        <v>0</v>
      </c>
      <c r="Z119" s="425">
        <f t="shared" si="146"/>
        <v>0</v>
      </c>
      <c r="AA119" s="425">
        <f>P119</f>
        <v>0</v>
      </c>
      <c r="AB119" s="425">
        <f t="shared" si="147"/>
        <v>0</v>
      </c>
      <c r="AC119" s="425">
        <f t="shared" si="148"/>
        <v>0</v>
      </c>
      <c r="AD119" s="425">
        <f t="shared" si="148"/>
        <v>0</v>
      </c>
      <c r="AE119" s="425">
        <f>T119</f>
        <v>0</v>
      </c>
      <c r="AF119" s="756">
        <f>U119-T119</f>
        <v>0</v>
      </c>
    </row>
    <row r="120" spans="1:32">
      <c r="A120" s="417"/>
      <c r="B120" s="417"/>
      <c r="D120" s="417"/>
      <c r="E120" s="417"/>
      <c r="F120" s="417"/>
      <c r="G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</row>
    <row r="121" spans="1:32" ht="15" thickBot="1">
      <c r="A121" s="430" t="s">
        <v>776</v>
      </c>
      <c r="B121" s="430" t="s">
        <v>777</v>
      </c>
      <c r="D121" s="426">
        <f t="shared" ref="D121:I121" si="149">D112+D114</f>
        <v>-29497</v>
      </c>
      <c r="E121" s="426">
        <f t="shared" si="149"/>
        <v>-61691</v>
      </c>
      <c r="F121" s="426">
        <f t="shared" si="149"/>
        <v>-108534</v>
      </c>
      <c r="G121" s="426">
        <f t="shared" si="149"/>
        <v>-146155</v>
      </c>
      <c r="H121" s="426">
        <f t="shared" si="149"/>
        <v>-47456</v>
      </c>
      <c r="I121" s="426">
        <f t="shared" si="149"/>
        <v>-104402</v>
      </c>
      <c r="J121" s="426">
        <f t="shared" ref="J121:T121" si="150">J112+J114</f>
        <v>-171121</v>
      </c>
      <c r="K121" s="426">
        <f t="shared" si="150"/>
        <v>-234079</v>
      </c>
      <c r="L121" s="426">
        <f t="shared" si="150"/>
        <v>-56929</v>
      </c>
      <c r="M121" s="426">
        <f t="shared" si="150"/>
        <v>-106011</v>
      </c>
      <c r="N121" s="426">
        <f t="shared" si="150"/>
        <v>-149975</v>
      </c>
      <c r="O121" s="426">
        <f t="shared" si="150"/>
        <v>-201921</v>
      </c>
      <c r="P121" s="426">
        <f t="shared" si="150"/>
        <v>-58858</v>
      </c>
      <c r="Q121" s="426">
        <f t="shared" si="150"/>
        <v>-105949</v>
      </c>
      <c r="R121" s="426">
        <f t="shared" si="150"/>
        <v>-151232</v>
      </c>
      <c r="S121" s="426">
        <f t="shared" si="150"/>
        <v>-486060</v>
      </c>
      <c r="T121" s="426">
        <f t="shared" si="150"/>
        <v>-39707</v>
      </c>
      <c r="U121" s="426">
        <f>U112+U114</f>
        <v>-93745</v>
      </c>
      <c r="W121" s="426">
        <f t="shared" ref="W121:AC121" si="151">W112+W114</f>
        <v>-56929</v>
      </c>
      <c r="X121" s="426">
        <f t="shared" si="151"/>
        <v>-49082</v>
      </c>
      <c r="Y121" s="426">
        <f t="shared" si="151"/>
        <v>-43964</v>
      </c>
      <c r="Z121" s="426">
        <f t="shared" si="151"/>
        <v>-51946</v>
      </c>
      <c r="AA121" s="426">
        <f t="shared" si="151"/>
        <v>-58858</v>
      </c>
      <c r="AB121" s="426">
        <f t="shared" si="151"/>
        <v>-47091</v>
      </c>
      <c r="AC121" s="426">
        <f t="shared" si="151"/>
        <v>-45283</v>
      </c>
      <c r="AD121" s="426">
        <f t="shared" ref="AD121:AE121" si="152">AD112+AD114</f>
        <v>-334828</v>
      </c>
      <c r="AE121" s="426">
        <f t="shared" si="152"/>
        <v>-39707</v>
      </c>
      <c r="AF121" s="426">
        <f>AF112+AF114</f>
        <v>-54038</v>
      </c>
    </row>
    <row r="122" spans="1:32" ht="15" thickTop="1">
      <c r="A122" s="417"/>
      <c r="B122" s="417"/>
      <c r="D122" s="417"/>
      <c r="E122" s="417"/>
      <c r="F122" s="417"/>
      <c r="G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S122" s="417"/>
      <c r="T122" s="417"/>
      <c r="U122" s="417"/>
      <c r="W122" s="417"/>
      <c r="X122" s="417"/>
      <c r="Y122" s="417"/>
      <c r="Z122" s="417"/>
      <c r="AA122" s="417"/>
      <c r="AB122" s="417"/>
      <c r="AC122" s="417"/>
      <c r="AD122" s="417"/>
      <c r="AE122" s="417"/>
      <c r="AF122" s="417"/>
    </row>
    <row r="123" spans="1:32">
      <c r="A123" s="416" t="s">
        <v>778</v>
      </c>
      <c r="B123" s="416" t="s">
        <v>779</v>
      </c>
      <c r="D123" s="425"/>
      <c r="E123" s="425"/>
      <c r="F123" s="425"/>
      <c r="G123" s="425"/>
      <c r="H123" s="425"/>
      <c r="I123" s="425"/>
      <c r="J123" s="425"/>
      <c r="K123" s="425"/>
      <c r="L123" s="425"/>
      <c r="M123" s="425"/>
      <c r="N123" s="425"/>
      <c r="O123" s="425"/>
      <c r="P123" s="425"/>
      <c r="Q123" s="425"/>
      <c r="R123" s="425"/>
      <c r="S123" s="425"/>
      <c r="T123" s="425"/>
      <c r="U123" s="756"/>
      <c r="W123" s="425"/>
      <c r="X123" s="425"/>
      <c r="Y123" s="425"/>
      <c r="Z123" s="425"/>
      <c r="AA123" s="425"/>
      <c r="AB123" s="425"/>
      <c r="AC123" s="425"/>
      <c r="AD123" s="425"/>
      <c r="AE123" s="425"/>
      <c r="AF123" s="756"/>
    </row>
    <row r="124" spans="1:32">
      <c r="A124" s="417" t="s">
        <v>780</v>
      </c>
      <c r="B124" s="417" t="s">
        <v>781</v>
      </c>
      <c r="D124" s="425">
        <f t="shared" ref="D124:I124" si="153">D121-D125</f>
        <v>-23597.599999999999</v>
      </c>
      <c r="E124" s="425">
        <f t="shared" si="153"/>
        <v>-49352.800000000003</v>
      </c>
      <c r="F124" s="425">
        <f t="shared" si="153"/>
        <v>-86827.199999999997</v>
      </c>
      <c r="G124" s="425">
        <f t="shared" si="153"/>
        <v>-116924</v>
      </c>
      <c r="H124" s="425">
        <f t="shared" si="153"/>
        <v>-37964.800000000003</v>
      </c>
      <c r="I124" s="425">
        <f t="shared" si="153"/>
        <v>-83521.600000000006</v>
      </c>
      <c r="J124" s="425">
        <f>J121-J125</f>
        <v>-136896.79999999999</v>
      </c>
      <c r="K124" s="425">
        <f>K121-K125</f>
        <v>-187263.2</v>
      </c>
      <c r="L124" s="425">
        <v>-45544</v>
      </c>
      <c r="M124" s="425">
        <v>-84809</v>
      </c>
      <c r="N124" s="425">
        <v>-119980</v>
      </c>
      <c r="O124" s="425">
        <v>-161537</v>
      </c>
      <c r="P124" s="425">
        <v>-47086</v>
      </c>
      <c r="Q124" s="425">
        <v>-87255</v>
      </c>
      <c r="R124" s="425">
        <v>-130458</v>
      </c>
      <c r="S124" s="425">
        <v>-456045</v>
      </c>
      <c r="T124" s="425">
        <v>-38638</v>
      </c>
      <c r="U124" s="756">
        <v>-90741</v>
      </c>
      <c r="W124" s="425">
        <f>L124</f>
        <v>-45544</v>
      </c>
      <c r="X124" s="425">
        <f>M124-W124</f>
        <v>-39265</v>
      </c>
      <c r="Y124" s="425">
        <f>N124-M124</f>
        <v>-35171</v>
      </c>
      <c r="Z124" s="425">
        <f>O124-N124</f>
        <v>-41557</v>
      </c>
      <c r="AA124" s="425">
        <f>P124</f>
        <v>-47086</v>
      </c>
      <c r="AB124" s="425">
        <f>Q124-AA124</f>
        <v>-40169</v>
      </c>
      <c r="AC124" s="425">
        <f>R124-Q124</f>
        <v>-43203</v>
      </c>
      <c r="AD124" s="425">
        <f>S124-R124</f>
        <v>-325587</v>
      </c>
      <c r="AE124" s="425">
        <f>T124</f>
        <v>-38638</v>
      </c>
      <c r="AF124" s="756">
        <f>U124-T124</f>
        <v>-52103</v>
      </c>
    </row>
    <row r="125" spans="1:32">
      <c r="A125" s="417" t="s">
        <v>782</v>
      </c>
      <c r="B125" s="417" t="s">
        <v>783</v>
      </c>
      <c r="D125" s="425">
        <f t="shared" ref="D125:I125" si="154">D121*D130</f>
        <v>-5899.4000000000005</v>
      </c>
      <c r="E125" s="425">
        <f t="shared" si="154"/>
        <v>-12338.2</v>
      </c>
      <c r="F125" s="425">
        <f t="shared" si="154"/>
        <v>-21706.800000000003</v>
      </c>
      <c r="G125" s="425">
        <f t="shared" si="154"/>
        <v>-29231</v>
      </c>
      <c r="H125" s="425">
        <f t="shared" si="154"/>
        <v>-9491.2000000000007</v>
      </c>
      <c r="I125" s="425">
        <f t="shared" si="154"/>
        <v>-20880.400000000001</v>
      </c>
      <c r="J125" s="425">
        <f>J121*J130</f>
        <v>-34224.200000000004</v>
      </c>
      <c r="K125" s="425">
        <f>K121*K130</f>
        <v>-46815.8</v>
      </c>
      <c r="L125" s="425">
        <v>-11385</v>
      </c>
      <c r="M125" s="425">
        <v>-21202</v>
      </c>
      <c r="N125" s="425">
        <v>-29995</v>
      </c>
      <c r="O125" s="425">
        <v>-40384</v>
      </c>
      <c r="P125" s="425">
        <v>-11772</v>
      </c>
      <c r="Q125" s="425">
        <v>-18694</v>
      </c>
      <c r="R125" s="425">
        <v>-20774</v>
      </c>
      <c r="S125" s="425">
        <v>-30015</v>
      </c>
      <c r="T125" s="425">
        <v>-1069</v>
      </c>
      <c r="U125" s="756">
        <v>-3004</v>
      </c>
      <c r="W125" s="425">
        <f>L125</f>
        <v>-11385</v>
      </c>
      <c r="X125" s="425">
        <f>M125-W125</f>
        <v>-9817</v>
      </c>
      <c r="Y125" s="425">
        <f>N125-M125</f>
        <v>-8793</v>
      </c>
      <c r="Z125" s="425">
        <f>O125-N125</f>
        <v>-10389</v>
      </c>
      <c r="AA125" s="425">
        <f>P125</f>
        <v>-11772</v>
      </c>
      <c r="AB125" s="425">
        <f>Q125-AA125</f>
        <v>-6922</v>
      </c>
      <c r="AC125" s="425">
        <f>R125-Q125</f>
        <v>-2080</v>
      </c>
      <c r="AD125" s="425">
        <f>S125-R125</f>
        <v>-9241</v>
      </c>
      <c r="AE125" s="425">
        <f>T125</f>
        <v>-1069</v>
      </c>
      <c r="AF125" s="756">
        <f>U125-T125</f>
        <v>-1935</v>
      </c>
    </row>
    <row r="126" spans="1:32">
      <c r="A126" s="417"/>
      <c r="B126" s="417"/>
      <c r="D126" s="417"/>
      <c r="E126" s="417"/>
      <c r="F126" s="417"/>
      <c r="G126" s="417"/>
      <c r="H126" s="417"/>
      <c r="I126" s="417"/>
      <c r="J126" s="417"/>
      <c r="K126" s="417"/>
      <c r="L126" s="417"/>
      <c r="M126" s="417"/>
      <c r="N126" s="417"/>
      <c r="P126" s="417"/>
      <c r="Q126" s="417"/>
      <c r="R126" s="417"/>
      <c r="S126" s="417"/>
      <c r="T126" s="425"/>
      <c r="U126" s="756"/>
      <c r="W126" s="417"/>
      <c r="X126" s="417"/>
      <c r="Y126" s="417"/>
      <c r="Z126" s="417"/>
      <c r="AA126" s="417"/>
      <c r="AB126" s="417"/>
      <c r="AC126" s="417"/>
      <c r="AD126" s="417"/>
      <c r="AE126" s="417"/>
      <c r="AF126" s="417"/>
    </row>
    <row r="127" spans="1:32" ht="15" thickBot="1">
      <c r="A127" s="430" t="s">
        <v>776</v>
      </c>
      <c r="B127" s="430" t="s">
        <v>784</v>
      </c>
      <c r="D127" s="426">
        <f t="shared" ref="D127:I127" si="155">SUM(D124:D125)</f>
        <v>-29497</v>
      </c>
      <c r="E127" s="426">
        <f t="shared" si="155"/>
        <v>-61691</v>
      </c>
      <c r="F127" s="426">
        <f t="shared" si="155"/>
        <v>-108534</v>
      </c>
      <c r="G127" s="426">
        <f t="shared" si="155"/>
        <v>-146155</v>
      </c>
      <c r="H127" s="426">
        <f t="shared" si="155"/>
        <v>-47456</v>
      </c>
      <c r="I127" s="426">
        <f t="shared" si="155"/>
        <v>-104402</v>
      </c>
      <c r="J127" s="426">
        <f t="shared" ref="J127:T127" si="156">SUM(J124:J125)</f>
        <v>-171121</v>
      </c>
      <c r="K127" s="426">
        <f t="shared" si="156"/>
        <v>-234079</v>
      </c>
      <c r="L127" s="426">
        <f t="shared" si="156"/>
        <v>-56929</v>
      </c>
      <c r="M127" s="426">
        <f t="shared" si="156"/>
        <v>-106011</v>
      </c>
      <c r="N127" s="426">
        <f t="shared" si="156"/>
        <v>-149975</v>
      </c>
      <c r="O127" s="426">
        <f t="shared" si="156"/>
        <v>-201921</v>
      </c>
      <c r="P127" s="426">
        <f t="shared" si="156"/>
        <v>-58858</v>
      </c>
      <c r="Q127" s="426">
        <f t="shared" si="156"/>
        <v>-105949</v>
      </c>
      <c r="R127" s="426">
        <f t="shared" si="156"/>
        <v>-151232</v>
      </c>
      <c r="S127" s="426">
        <f t="shared" si="156"/>
        <v>-486060</v>
      </c>
      <c r="T127" s="426">
        <f t="shared" si="156"/>
        <v>-39707</v>
      </c>
      <c r="U127" s="426">
        <f>SUM(U124:U125)</f>
        <v>-93745</v>
      </c>
      <c r="W127" s="426">
        <f t="shared" ref="W127:AC127" si="157">SUM(W124:W125)</f>
        <v>-56929</v>
      </c>
      <c r="X127" s="426">
        <f t="shared" si="157"/>
        <v>-49082</v>
      </c>
      <c r="Y127" s="426">
        <f t="shared" si="157"/>
        <v>-43964</v>
      </c>
      <c r="Z127" s="426">
        <f t="shared" si="157"/>
        <v>-51946</v>
      </c>
      <c r="AA127" s="426">
        <f t="shared" si="157"/>
        <v>-58858</v>
      </c>
      <c r="AB127" s="426">
        <f t="shared" si="157"/>
        <v>-47091</v>
      </c>
      <c r="AC127" s="426">
        <f t="shared" si="157"/>
        <v>-45283</v>
      </c>
      <c r="AD127" s="426">
        <f t="shared" ref="AD127:AE127" si="158">SUM(AD124:AD125)</f>
        <v>-334828</v>
      </c>
      <c r="AE127" s="426">
        <f t="shared" si="158"/>
        <v>-39707</v>
      </c>
      <c r="AF127" s="426">
        <f>SUM(AF124:AF125)</f>
        <v>-54038</v>
      </c>
    </row>
    <row r="129" spans="1:32" s="432" customFormat="1" ht="10.199999999999999">
      <c r="A129" s="431" t="s">
        <v>785</v>
      </c>
      <c r="B129" s="431" t="s">
        <v>786</v>
      </c>
      <c r="D129" s="433">
        <v>0.8</v>
      </c>
      <c r="E129" s="433">
        <v>0.8</v>
      </c>
      <c r="F129" s="433">
        <v>0.8</v>
      </c>
      <c r="G129" s="433">
        <v>0.8</v>
      </c>
      <c r="H129" s="433">
        <v>0.8</v>
      </c>
      <c r="I129" s="433">
        <v>0.8</v>
      </c>
      <c r="J129" s="433">
        <v>0.8</v>
      </c>
      <c r="K129" s="433">
        <v>0.8</v>
      </c>
      <c r="L129" s="433">
        <v>0.8</v>
      </c>
      <c r="M129" s="433">
        <v>0.8</v>
      </c>
      <c r="N129" s="433">
        <f t="shared" ref="N129:T130" si="159">M129</f>
        <v>0.8</v>
      </c>
      <c r="O129" s="433">
        <f t="shared" si="159"/>
        <v>0.8</v>
      </c>
      <c r="P129" s="433">
        <f t="shared" si="159"/>
        <v>0.8</v>
      </c>
      <c r="Q129" s="433">
        <v>0.93275498635199405</v>
      </c>
      <c r="R129" s="433">
        <f t="shared" si="159"/>
        <v>0.93275498635199405</v>
      </c>
      <c r="S129" s="433">
        <f t="shared" si="159"/>
        <v>0.93275498635199405</v>
      </c>
      <c r="T129" s="433">
        <f t="shared" si="159"/>
        <v>0.93275498635199405</v>
      </c>
      <c r="U129" s="433">
        <f>S129</f>
        <v>0.93275498635199405</v>
      </c>
      <c r="W129" s="433">
        <f>L129</f>
        <v>0.8</v>
      </c>
      <c r="X129" s="433">
        <v>0.8</v>
      </c>
      <c r="Y129" s="433">
        <f>X129</f>
        <v>0.8</v>
      </c>
      <c r="Z129" s="433">
        <f>Y129</f>
        <v>0.8</v>
      </c>
      <c r="AA129" s="433">
        <f>P129</f>
        <v>0.8</v>
      </c>
      <c r="AB129" s="433">
        <f t="shared" ref="AB129:AD130" si="160">AA129</f>
        <v>0.8</v>
      </c>
      <c r="AC129" s="433">
        <f t="shared" si="160"/>
        <v>0.8</v>
      </c>
      <c r="AD129" s="433">
        <f t="shared" si="160"/>
        <v>0.8</v>
      </c>
      <c r="AE129" s="433">
        <f>T129</f>
        <v>0.93275498635199405</v>
      </c>
      <c r="AF129" s="433">
        <f>U129</f>
        <v>0.93275498635199405</v>
      </c>
    </row>
    <row r="130" spans="1:32" s="432" customFormat="1" ht="10.199999999999999">
      <c r="A130" s="431" t="s">
        <v>787</v>
      </c>
      <c r="B130" s="431" t="s">
        <v>788</v>
      </c>
      <c r="D130" s="433">
        <v>0.2</v>
      </c>
      <c r="E130" s="433">
        <v>0.2</v>
      </c>
      <c r="F130" s="433">
        <v>0.2</v>
      </c>
      <c r="G130" s="433">
        <v>0.2</v>
      </c>
      <c r="H130" s="433">
        <v>0.2</v>
      </c>
      <c r="I130" s="433">
        <v>0.2</v>
      </c>
      <c r="J130" s="433">
        <v>0.2</v>
      </c>
      <c r="K130" s="433">
        <v>0.2</v>
      </c>
      <c r="L130" s="433">
        <v>0.2</v>
      </c>
      <c r="M130" s="433">
        <v>0.2</v>
      </c>
      <c r="N130" s="433">
        <f t="shared" si="159"/>
        <v>0.2</v>
      </c>
      <c r="O130" s="433">
        <f t="shared" si="159"/>
        <v>0.2</v>
      </c>
      <c r="P130" s="433">
        <f t="shared" si="159"/>
        <v>0.2</v>
      </c>
      <c r="Q130" s="433">
        <v>6.7245013648005947E-2</v>
      </c>
      <c r="R130" s="433">
        <f t="shared" si="159"/>
        <v>6.7245013648005947E-2</v>
      </c>
      <c r="S130" s="433">
        <f t="shared" si="159"/>
        <v>6.7245013648005947E-2</v>
      </c>
      <c r="T130" s="433">
        <f t="shared" si="159"/>
        <v>6.7245013648005947E-2</v>
      </c>
      <c r="U130" s="433">
        <f>S130</f>
        <v>6.7245013648005947E-2</v>
      </c>
      <c r="W130" s="433">
        <f>L130</f>
        <v>0.2</v>
      </c>
      <c r="X130" s="433">
        <v>0.2</v>
      </c>
      <c r="Y130" s="433">
        <f>X130</f>
        <v>0.2</v>
      </c>
      <c r="Z130" s="433">
        <f>Y130</f>
        <v>0.2</v>
      </c>
      <c r="AA130" s="433">
        <f>P130</f>
        <v>0.2</v>
      </c>
      <c r="AB130" s="433">
        <f t="shared" si="160"/>
        <v>0.2</v>
      </c>
      <c r="AC130" s="433">
        <f t="shared" si="160"/>
        <v>0.2</v>
      </c>
      <c r="AD130" s="433">
        <f t="shared" si="160"/>
        <v>0.2</v>
      </c>
      <c r="AE130" s="433">
        <f>T130</f>
        <v>6.7245013648005947E-2</v>
      </c>
      <c r="AF130" s="433">
        <f>U130</f>
        <v>6.7245013648005947E-2</v>
      </c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9" tint="0.79998168889431442"/>
  </sheetPr>
  <dimension ref="A4:AF130"/>
  <sheetViews>
    <sheetView showGridLines="0" zoomScale="55" zoomScaleNormal="55" workbookViewId="0">
      <pane xSplit="2" ySplit="5" topLeftCell="Z6" activePane="bottomRight" state="frozen"/>
      <selection pane="topRight" activeCell="C1" sqref="C1"/>
      <selection pane="bottomLeft" activeCell="A6" sqref="A6"/>
      <selection pane="bottomRight" activeCell="M90" sqref="M90"/>
    </sheetView>
  </sheetViews>
  <sheetFormatPr defaultRowHeight="14.4" outlineLevelRow="1"/>
  <cols>
    <col min="1" max="1" width="65.5546875" bestFit="1" customWidth="1"/>
    <col min="2" max="2" width="65.5546875" customWidth="1"/>
    <col min="3" max="3" width="1.5546875" customWidth="1"/>
    <col min="4" max="18" width="15.21875" customWidth="1"/>
    <col min="19" max="21" width="15.33203125" customWidth="1"/>
    <col min="22" max="22" width="1.5546875" customWidth="1"/>
    <col min="23" max="32" width="15.21875" customWidth="1"/>
  </cols>
  <sheetData>
    <row r="4" spans="1:32">
      <c r="A4" s="428" t="s">
        <v>836</v>
      </c>
      <c r="B4" s="428" t="s">
        <v>837</v>
      </c>
      <c r="D4" s="427" t="s">
        <v>584</v>
      </c>
      <c r="E4" s="427" t="s">
        <v>585</v>
      </c>
      <c r="F4" s="427" t="s">
        <v>586</v>
      </c>
      <c r="G4" s="427">
        <v>2022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T4" s="427" t="s">
        <v>2488</v>
      </c>
      <c r="U4" s="427" t="s">
        <v>2497</v>
      </c>
      <c r="W4" s="427" t="s">
        <v>83</v>
      </c>
      <c r="X4" s="427" t="s">
        <v>84</v>
      </c>
      <c r="Y4" s="427" t="s">
        <v>85</v>
      </c>
      <c r="Z4" s="427" t="s">
        <v>86</v>
      </c>
      <c r="AA4" s="427" t="s">
        <v>87</v>
      </c>
      <c r="AB4" s="427" t="s">
        <v>88</v>
      </c>
      <c r="AC4" s="427" t="s">
        <v>2074</v>
      </c>
      <c r="AD4" s="427" t="s">
        <v>2127</v>
      </c>
      <c r="AE4" s="427" t="s">
        <v>2360</v>
      </c>
      <c r="AF4" s="427" t="s">
        <v>2494</v>
      </c>
    </row>
    <row r="5" spans="1:32" ht="6.75" customHeight="1"/>
    <row r="6" spans="1:32">
      <c r="A6" s="429" t="s">
        <v>596</v>
      </c>
      <c r="B6" s="429" t="s">
        <v>597</v>
      </c>
      <c r="D6" s="420">
        <f t="shared" ref="D6:I6" si="0">SUM(D8,D11:D17)</f>
        <v>77170</v>
      </c>
      <c r="E6" s="420">
        <f t="shared" si="0"/>
        <v>184571</v>
      </c>
      <c r="F6" s="420">
        <f t="shared" si="0"/>
        <v>307314</v>
      </c>
      <c r="G6" s="420">
        <f t="shared" si="0"/>
        <v>435255</v>
      </c>
      <c r="H6" s="420">
        <f t="shared" si="0"/>
        <v>212054</v>
      </c>
      <c r="I6" s="420">
        <f t="shared" si="0"/>
        <v>361239</v>
      </c>
      <c r="J6" s="420">
        <f t="shared" ref="J6:T6" si="1">SUM(J8,J11:J17)</f>
        <v>538827</v>
      </c>
      <c r="K6" s="420">
        <f t="shared" si="1"/>
        <v>490228</v>
      </c>
      <c r="L6" s="420">
        <f t="shared" si="1"/>
        <v>186247</v>
      </c>
      <c r="M6" s="420">
        <f t="shared" si="1"/>
        <v>369537</v>
      </c>
      <c r="N6" s="420">
        <f t="shared" si="1"/>
        <v>624992</v>
      </c>
      <c r="O6" s="420">
        <f t="shared" si="1"/>
        <v>1078827</v>
      </c>
      <c r="P6" s="420">
        <f t="shared" si="1"/>
        <v>539337</v>
      </c>
      <c r="Q6" s="420">
        <f t="shared" si="1"/>
        <v>1199255</v>
      </c>
      <c r="R6" s="420">
        <f t="shared" si="1"/>
        <v>2128555</v>
      </c>
      <c r="S6" s="420">
        <f t="shared" si="1"/>
        <v>3185543</v>
      </c>
      <c r="T6" s="741">
        <f t="shared" si="1"/>
        <v>671481</v>
      </c>
      <c r="U6" s="741">
        <f>SUM(U8,U11:U17)</f>
        <v>1258229</v>
      </c>
      <c r="W6" s="420">
        <f t="shared" ref="W6:AC6" si="2">SUM(W8,W11:W17)</f>
        <v>186247</v>
      </c>
      <c r="X6" s="420">
        <f t="shared" si="2"/>
        <v>183290</v>
      </c>
      <c r="Y6" s="420">
        <f t="shared" si="2"/>
        <v>255455</v>
      </c>
      <c r="Z6" s="420">
        <f t="shared" si="2"/>
        <v>453835</v>
      </c>
      <c r="AA6" s="420">
        <f t="shared" si="2"/>
        <v>539337</v>
      </c>
      <c r="AB6" s="420">
        <f t="shared" si="2"/>
        <v>659918</v>
      </c>
      <c r="AC6" s="420">
        <f t="shared" si="2"/>
        <v>929300</v>
      </c>
      <c r="AD6" s="420">
        <f t="shared" ref="AD6:AE6" si="3">SUM(AD8,AD11:AD17)</f>
        <v>1056988</v>
      </c>
      <c r="AE6" s="420">
        <f t="shared" si="3"/>
        <v>671481</v>
      </c>
      <c r="AF6" s="741">
        <f>SUM(AF8,AF11:AF17)</f>
        <v>586748</v>
      </c>
    </row>
    <row r="7" spans="1:32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W7" s="421"/>
      <c r="X7" s="421"/>
      <c r="Y7" s="421"/>
      <c r="Z7" s="421"/>
      <c r="AA7" s="421"/>
      <c r="AB7" s="421"/>
      <c r="AC7" s="421"/>
      <c r="AD7" s="421"/>
      <c r="AE7" s="421"/>
      <c r="AF7" s="421"/>
    </row>
    <row r="8" spans="1:32">
      <c r="A8" s="417" t="s">
        <v>598</v>
      </c>
      <c r="B8" s="417" t="s">
        <v>599</v>
      </c>
      <c r="D8" s="422">
        <f t="shared" ref="D8:I8" si="4">SUM(D9:D10)</f>
        <v>38604</v>
      </c>
      <c r="E8" s="422">
        <f t="shared" si="4"/>
        <v>101441</v>
      </c>
      <c r="F8" s="422">
        <f t="shared" si="4"/>
        <v>195169</v>
      </c>
      <c r="G8" s="422">
        <f t="shared" si="4"/>
        <v>302368</v>
      </c>
      <c r="H8" s="422">
        <f t="shared" si="4"/>
        <v>69646</v>
      </c>
      <c r="I8" s="422">
        <f t="shared" si="4"/>
        <v>133179</v>
      </c>
      <c r="J8" s="422">
        <f t="shared" ref="J8:T8" si="5">SUM(J9:J10)</f>
        <v>200340</v>
      </c>
      <c r="K8" s="422">
        <f t="shared" si="5"/>
        <v>271698</v>
      </c>
      <c r="L8" s="422">
        <f t="shared" si="5"/>
        <v>78294</v>
      </c>
      <c r="M8" s="422">
        <f t="shared" si="5"/>
        <v>168565</v>
      </c>
      <c r="N8" s="422">
        <f t="shared" si="5"/>
        <v>356959</v>
      </c>
      <c r="O8" s="422">
        <f t="shared" si="5"/>
        <v>733937</v>
      </c>
      <c r="P8" s="422">
        <f t="shared" si="5"/>
        <v>417971</v>
      </c>
      <c r="Q8" s="422">
        <f t="shared" si="5"/>
        <v>1006528</v>
      </c>
      <c r="R8" s="422">
        <f t="shared" si="5"/>
        <v>1831705</v>
      </c>
      <c r="S8" s="422">
        <f t="shared" si="5"/>
        <v>2705119</v>
      </c>
      <c r="T8" s="422">
        <f t="shared" si="5"/>
        <v>603332</v>
      </c>
      <c r="U8" s="422">
        <f>SUM(U9:U10)</f>
        <v>1111008</v>
      </c>
      <c r="W8" s="422">
        <f t="shared" ref="W8:AC8" si="6">SUM(W9:W10)</f>
        <v>78294</v>
      </c>
      <c r="X8" s="422">
        <f t="shared" si="6"/>
        <v>90271</v>
      </c>
      <c r="Y8" s="422">
        <f t="shared" si="6"/>
        <v>188394</v>
      </c>
      <c r="Z8" s="422">
        <f t="shared" si="6"/>
        <v>376978</v>
      </c>
      <c r="AA8" s="422">
        <f t="shared" si="6"/>
        <v>417971</v>
      </c>
      <c r="AB8" s="422">
        <f t="shared" si="6"/>
        <v>588557</v>
      </c>
      <c r="AC8" s="422">
        <f t="shared" si="6"/>
        <v>825177</v>
      </c>
      <c r="AD8" s="422">
        <f t="shared" ref="AD8:AE8" si="7">SUM(AD9:AD10)</f>
        <v>873414</v>
      </c>
      <c r="AE8" s="422">
        <f t="shared" si="7"/>
        <v>603332</v>
      </c>
      <c r="AF8" s="422">
        <f>SUM(AF9:AF10)</f>
        <v>507676</v>
      </c>
    </row>
    <row r="9" spans="1:32" outlineLevel="1">
      <c r="A9" s="418" t="s">
        <v>598</v>
      </c>
      <c r="B9" s="418" t="s">
        <v>599</v>
      </c>
      <c r="D9" s="423">
        <v>38604</v>
      </c>
      <c r="E9" s="423">
        <v>101441</v>
      </c>
      <c r="F9" s="423">
        <v>195169</v>
      </c>
      <c r="G9" s="423">
        <v>302368</v>
      </c>
      <c r="H9" s="423">
        <v>69646</v>
      </c>
      <c r="I9" s="423">
        <v>133179</v>
      </c>
      <c r="J9" s="423">
        <v>200340</v>
      </c>
      <c r="K9" s="423">
        <v>271698</v>
      </c>
      <c r="L9" s="423">
        <v>78294</v>
      </c>
      <c r="M9" s="423">
        <v>168565</v>
      </c>
      <c r="N9" s="423">
        <v>356959</v>
      </c>
      <c r="O9" s="423">
        <v>733937</v>
      </c>
      <c r="P9" s="423">
        <v>417971</v>
      </c>
      <c r="Q9" s="423">
        <v>1006528</v>
      </c>
      <c r="R9" s="423">
        <v>1831705</v>
      </c>
      <c r="S9" s="423">
        <v>2705119</v>
      </c>
      <c r="T9" s="423">
        <v>603332</v>
      </c>
      <c r="U9" s="423">
        <v>1111008</v>
      </c>
      <c r="W9" s="423">
        <f>L9</f>
        <v>78294</v>
      </c>
      <c r="X9" s="423">
        <f>M9-W9</f>
        <v>90271</v>
      </c>
      <c r="Y9" s="423">
        <f t="shared" ref="Y9:Z16" si="8">N9-M9</f>
        <v>188394</v>
      </c>
      <c r="Z9" s="423">
        <f t="shared" si="8"/>
        <v>376978</v>
      </c>
      <c r="AA9" s="423">
        <f>P9</f>
        <v>417971</v>
      </c>
      <c r="AB9" s="423">
        <f t="shared" ref="AB9:AD16" si="9">Q9-P9</f>
        <v>588557</v>
      </c>
      <c r="AC9" s="423">
        <f t="shared" si="9"/>
        <v>825177</v>
      </c>
      <c r="AD9" s="423">
        <f t="shared" si="9"/>
        <v>873414</v>
      </c>
      <c r="AE9" s="423">
        <f>T9</f>
        <v>603332</v>
      </c>
      <c r="AF9" s="423">
        <f t="shared" ref="AF9:AF16" si="10">U9-T9</f>
        <v>507676</v>
      </c>
    </row>
    <row r="10" spans="1:32" outlineLevel="1">
      <c r="A10" s="418" t="s">
        <v>600</v>
      </c>
      <c r="B10" s="418" t="s">
        <v>601</v>
      </c>
      <c r="D10" s="423">
        <v>0</v>
      </c>
      <c r="E10" s="423">
        <v>0</v>
      </c>
      <c r="F10" s="423">
        <v>0</v>
      </c>
      <c r="G10" s="423">
        <v>0</v>
      </c>
      <c r="H10" s="423">
        <v>0</v>
      </c>
      <c r="I10" s="423">
        <v>0</v>
      </c>
      <c r="J10" s="423">
        <v>0</v>
      </c>
      <c r="K10" s="423">
        <v>0</v>
      </c>
      <c r="L10" s="423">
        <v>0</v>
      </c>
      <c r="M10" s="423">
        <v>0</v>
      </c>
      <c r="N10" s="423">
        <v>0</v>
      </c>
      <c r="O10" s="423">
        <v>0</v>
      </c>
      <c r="P10" s="423">
        <v>0</v>
      </c>
      <c r="Q10" s="423">
        <v>0</v>
      </c>
      <c r="R10" s="423">
        <v>0</v>
      </c>
      <c r="S10" s="423">
        <v>0</v>
      </c>
      <c r="T10" s="423">
        <v>0</v>
      </c>
      <c r="U10" s="423">
        <v>0</v>
      </c>
      <c r="W10" s="423">
        <f t="shared" ref="W10:W25" si="11">L10</f>
        <v>0</v>
      </c>
      <c r="X10" s="423">
        <f t="shared" ref="X10:X16" si="12">M10-W10</f>
        <v>0</v>
      </c>
      <c r="Y10" s="423">
        <f t="shared" si="8"/>
        <v>0</v>
      </c>
      <c r="Z10" s="423">
        <f t="shared" si="8"/>
        <v>0</v>
      </c>
      <c r="AA10" s="423">
        <f t="shared" ref="AA10:AA25" si="13">P10</f>
        <v>0</v>
      </c>
      <c r="AB10" s="423">
        <f t="shared" si="9"/>
        <v>0</v>
      </c>
      <c r="AC10" s="423">
        <f t="shared" si="9"/>
        <v>0</v>
      </c>
      <c r="AD10" s="423">
        <f t="shared" si="9"/>
        <v>0</v>
      </c>
      <c r="AE10" s="423">
        <f t="shared" ref="AE10:AE25" si="14">T10</f>
        <v>0</v>
      </c>
      <c r="AF10" s="423">
        <f t="shared" si="10"/>
        <v>0</v>
      </c>
    </row>
    <row r="11" spans="1:32">
      <c r="A11" s="417" t="s">
        <v>602</v>
      </c>
      <c r="B11" s="417" t="s">
        <v>603</v>
      </c>
      <c r="D11" s="422">
        <v>0</v>
      </c>
      <c r="E11" s="422">
        <v>0</v>
      </c>
      <c r="F11" s="422">
        <v>0</v>
      </c>
      <c r="G11" s="422">
        <v>0</v>
      </c>
      <c r="H11" s="422">
        <v>0</v>
      </c>
      <c r="I11" s="422">
        <v>0</v>
      </c>
      <c r="J11" s="422">
        <v>0</v>
      </c>
      <c r="K11" s="422">
        <v>0</v>
      </c>
      <c r="L11" s="422">
        <v>0</v>
      </c>
      <c r="M11" s="422">
        <v>0</v>
      </c>
      <c r="N11" s="422">
        <v>0</v>
      </c>
      <c r="O11" s="422">
        <v>0</v>
      </c>
      <c r="P11" s="422">
        <v>0</v>
      </c>
      <c r="Q11" s="422">
        <v>0</v>
      </c>
      <c r="R11" s="422">
        <v>0</v>
      </c>
      <c r="S11" s="422">
        <v>0</v>
      </c>
      <c r="T11" s="422">
        <v>0</v>
      </c>
      <c r="U11" s="422">
        <v>0</v>
      </c>
      <c r="W11" s="422">
        <f t="shared" si="11"/>
        <v>0</v>
      </c>
      <c r="X11" s="422">
        <f t="shared" si="12"/>
        <v>0</v>
      </c>
      <c r="Y11" s="422">
        <f t="shared" si="8"/>
        <v>0</v>
      </c>
      <c r="Z11" s="422">
        <f t="shared" si="8"/>
        <v>0</v>
      </c>
      <c r="AA11" s="422">
        <f>P11</f>
        <v>0</v>
      </c>
      <c r="AB11" s="422">
        <f t="shared" si="9"/>
        <v>0</v>
      </c>
      <c r="AC11" s="422">
        <f t="shared" si="9"/>
        <v>0</v>
      </c>
      <c r="AD11" s="422">
        <f t="shared" si="9"/>
        <v>0</v>
      </c>
      <c r="AE11" s="422">
        <f>T11</f>
        <v>0</v>
      </c>
      <c r="AF11" s="422">
        <f t="shared" si="10"/>
        <v>0</v>
      </c>
    </row>
    <row r="12" spans="1:32">
      <c r="A12" s="417" t="s">
        <v>604</v>
      </c>
      <c r="B12" s="417" t="s">
        <v>605</v>
      </c>
      <c r="D12" s="422">
        <v>0</v>
      </c>
      <c r="E12" s="422">
        <v>0</v>
      </c>
      <c r="F12" s="422">
        <v>0</v>
      </c>
      <c r="G12" s="422">
        <v>0</v>
      </c>
      <c r="H12" s="422">
        <v>0</v>
      </c>
      <c r="I12" s="422">
        <v>0</v>
      </c>
      <c r="J12" s="422">
        <v>0</v>
      </c>
      <c r="K12" s="422">
        <v>0</v>
      </c>
      <c r="L12" s="422">
        <v>0</v>
      </c>
      <c r="M12" s="422">
        <v>0</v>
      </c>
      <c r="N12" s="422">
        <v>0</v>
      </c>
      <c r="O12" s="422">
        <v>0</v>
      </c>
      <c r="P12" s="422">
        <v>0</v>
      </c>
      <c r="Q12" s="422">
        <v>0</v>
      </c>
      <c r="R12" s="422">
        <v>0</v>
      </c>
      <c r="S12" s="422">
        <v>0</v>
      </c>
      <c r="T12" s="422">
        <v>0</v>
      </c>
      <c r="U12" s="422">
        <v>0</v>
      </c>
      <c r="W12" s="422">
        <f t="shared" si="11"/>
        <v>0</v>
      </c>
      <c r="X12" s="422">
        <f t="shared" si="12"/>
        <v>0</v>
      </c>
      <c r="Y12" s="422">
        <f t="shared" si="8"/>
        <v>0</v>
      </c>
      <c r="Z12" s="422">
        <f t="shared" si="8"/>
        <v>0</v>
      </c>
      <c r="AA12" s="422">
        <f t="shared" si="13"/>
        <v>0</v>
      </c>
      <c r="AB12" s="422">
        <f t="shared" si="9"/>
        <v>0</v>
      </c>
      <c r="AC12" s="422">
        <f t="shared" si="9"/>
        <v>0</v>
      </c>
      <c r="AD12" s="422">
        <f t="shared" si="9"/>
        <v>0</v>
      </c>
      <c r="AE12" s="422">
        <f t="shared" si="14"/>
        <v>0</v>
      </c>
      <c r="AF12" s="422">
        <f t="shared" si="10"/>
        <v>0</v>
      </c>
    </row>
    <row r="13" spans="1:32">
      <c r="A13" s="417" t="s">
        <v>606</v>
      </c>
      <c r="B13" s="417" t="s">
        <v>607</v>
      </c>
      <c r="D13" s="422">
        <v>0</v>
      </c>
      <c r="E13" s="422">
        <v>0</v>
      </c>
      <c r="F13" s="422">
        <v>0</v>
      </c>
      <c r="G13" s="422">
        <v>0</v>
      </c>
      <c r="H13" s="422">
        <v>0</v>
      </c>
      <c r="I13" s="422">
        <v>0</v>
      </c>
      <c r="J13" s="422">
        <v>0</v>
      </c>
      <c r="K13" s="422">
        <v>0</v>
      </c>
      <c r="L13" s="422">
        <v>0</v>
      </c>
      <c r="M13" s="422">
        <v>0</v>
      </c>
      <c r="N13" s="422">
        <v>0</v>
      </c>
      <c r="O13" s="422">
        <v>0</v>
      </c>
      <c r="P13" s="422">
        <v>0</v>
      </c>
      <c r="Q13" s="422">
        <v>0</v>
      </c>
      <c r="R13" s="422">
        <v>0</v>
      </c>
      <c r="S13" s="422">
        <v>0</v>
      </c>
      <c r="T13" s="422">
        <v>0</v>
      </c>
      <c r="U13" s="422">
        <v>0</v>
      </c>
      <c r="W13" s="422">
        <f t="shared" si="11"/>
        <v>0</v>
      </c>
      <c r="X13" s="422">
        <f t="shared" si="12"/>
        <v>0</v>
      </c>
      <c r="Y13" s="422">
        <f t="shared" si="8"/>
        <v>0</v>
      </c>
      <c r="Z13" s="422">
        <f t="shared" si="8"/>
        <v>0</v>
      </c>
      <c r="AA13" s="422">
        <f t="shared" si="13"/>
        <v>0</v>
      </c>
      <c r="AB13" s="422">
        <f t="shared" si="9"/>
        <v>0</v>
      </c>
      <c r="AC13" s="422">
        <f t="shared" si="9"/>
        <v>0</v>
      </c>
      <c r="AD13" s="422">
        <f t="shared" si="9"/>
        <v>0</v>
      </c>
      <c r="AE13" s="422">
        <f t="shared" si="14"/>
        <v>0</v>
      </c>
      <c r="AF13" s="422">
        <f t="shared" si="10"/>
        <v>0</v>
      </c>
    </row>
    <row r="14" spans="1:32">
      <c r="A14" s="417" t="s">
        <v>608</v>
      </c>
      <c r="B14" s="417" t="s">
        <v>609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>
        <v>0</v>
      </c>
      <c r="T14" s="422">
        <v>0</v>
      </c>
      <c r="U14" s="422">
        <v>0</v>
      </c>
      <c r="W14" s="422">
        <f t="shared" si="11"/>
        <v>0</v>
      </c>
      <c r="X14" s="422">
        <f t="shared" si="12"/>
        <v>0</v>
      </c>
      <c r="Y14" s="422">
        <f t="shared" si="8"/>
        <v>0</v>
      </c>
      <c r="Z14" s="422">
        <f t="shared" si="8"/>
        <v>0</v>
      </c>
      <c r="AA14" s="422">
        <f t="shared" si="13"/>
        <v>0</v>
      </c>
      <c r="AB14" s="422">
        <f t="shared" si="9"/>
        <v>0</v>
      </c>
      <c r="AC14" s="422">
        <f t="shared" si="9"/>
        <v>0</v>
      </c>
      <c r="AD14" s="422">
        <f t="shared" si="9"/>
        <v>0</v>
      </c>
      <c r="AE14" s="422">
        <f t="shared" si="14"/>
        <v>0</v>
      </c>
      <c r="AF14" s="422">
        <f t="shared" si="10"/>
        <v>0</v>
      </c>
    </row>
    <row r="15" spans="1:32">
      <c r="A15" s="417" t="s">
        <v>610</v>
      </c>
      <c r="B15" s="417" t="s">
        <v>611</v>
      </c>
      <c r="D15" s="422">
        <v>0</v>
      </c>
      <c r="E15" s="422">
        <v>0</v>
      </c>
      <c r="F15" s="422">
        <v>0</v>
      </c>
      <c r="G15" s="422">
        <v>0</v>
      </c>
      <c r="H15" s="422">
        <v>0</v>
      </c>
      <c r="I15" s="422">
        <v>0</v>
      </c>
      <c r="J15" s="422">
        <v>0</v>
      </c>
      <c r="K15" s="422">
        <v>0</v>
      </c>
      <c r="L15" s="422">
        <v>0</v>
      </c>
      <c r="M15" s="422">
        <v>0</v>
      </c>
      <c r="N15" s="422">
        <v>0</v>
      </c>
      <c r="O15" s="422">
        <v>0</v>
      </c>
      <c r="P15" s="422">
        <v>0</v>
      </c>
      <c r="Q15" s="422">
        <v>0</v>
      </c>
      <c r="R15" s="422">
        <v>0</v>
      </c>
      <c r="S15" s="422">
        <v>0</v>
      </c>
      <c r="T15" s="422">
        <v>0</v>
      </c>
      <c r="U15" s="422">
        <v>0</v>
      </c>
      <c r="W15" s="422">
        <f t="shared" si="11"/>
        <v>0</v>
      </c>
      <c r="X15" s="422">
        <f t="shared" si="12"/>
        <v>0</v>
      </c>
      <c r="Y15" s="422">
        <f t="shared" si="8"/>
        <v>0</v>
      </c>
      <c r="Z15" s="422">
        <f t="shared" si="8"/>
        <v>0</v>
      </c>
      <c r="AA15" s="422">
        <f t="shared" si="13"/>
        <v>0</v>
      </c>
      <c r="AB15" s="422">
        <f t="shared" si="9"/>
        <v>0</v>
      </c>
      <c r="AC15" s="422">
        <f t="shared" si="9"/>
        <v>0</v>
      </c>
      <c r="AD15" s="422">
        <f t="shared" si="9"/>
        <v>0</v>
      </c>
      <c r="AE15" s="422">
        <f t="shared" si="14"/>
        <v>0</v>
      </c>
      <c r="AF15" s="422">
        <f t="shared" si="10"/>
        <v>0</v>
      </c>
    </row>
    <row r="16" spans="1:32">
      <c r="A16" s="417" t="s">
        <v>612</v>
      </c>
      <c r="B16" s="417" t="s">
        <v>613</v>
      </c>
      <c r="D16" s="422">
        <v>0</v>
      </c>
      <c r="E16" s="422">
        <v>0</v>
      </c>
      <c r="F16" s="422">
        <v>0</v>
      </c>
      <c r="G16" s="422">
        <v>0</v>
      </c>
      <c r="H16" s="422">
        <v>0</v>
      </c>
      <c r="I16" s="422">
        <v>0</v>
      </c>
      <c r="J16" s="422">
        <v>0</v>
      </c>
      <c r="K16" s="422">
        <v>0</v>
      </c>
      <c r="L16" s="422">
        <v>0</v>
      </c>
      <c r="M16" s="422">
        <v>0</v>
      </c>
      <c r="N16" s="422">
        <v>0</v>
      </c>
      <c r="O16" s="422">
        <v>0</v>
      </c>
      <c r="P16" s="422">
        <v>0</v>
      </c>
      <c r="Q16" s="422">
        <v>0</v>
      </c>
      <c r="R16" s="422">
        <v>0</v>
      </c>
      <c r="S16" s="422">
        <v>0</v>
      </c>
      <c r="T16" s="422">
        <v>0</v>
      </c>
      <c r="U16" s="422">
        <v>0</v>
      </c>
      <c r="W16" s="422">
        <f t="shared" si="11"/>
        <v>0</v>
      </c>
      <c r="X16" s="422">
        <f t="shared" si="12"/>
        <v>0</v>
      </c>
      <c r="Y16" s="422">
        <f t="shared" si="8"/>
        <v>0</v>
      </c>
      <c r="Z16" s="422">
        <f t="shared" si="8"/>
        <v>0</v>
      </c>
      <c r="AA16" s="422">
        <f t="shared" si="13"/>
        <v>0</v>
      </c>
      <c r="AB16" s="422">
        <f t="shared" si="9"/>
        <v>0</v>
      </c>
      <c r="AC16" s="422">
        <f t="shared" si="9"/>
        <v>0</v>
      </c>
      <c r="AD16" s="422">
        <f t="shared" si="9"/>
        <v>0</v>
      </c>
      <c r="AE16" s="422">
        <f t="shared" si="14"/>
        <v>0</v>
      </c>
      <c r="AF16" s="422">
        <f t="shared" si="10"/>
        <v>0</v>
      </c>
    </row>
    <row r="17" spans="1:32">
      <c r="A17" s="417" t="s">
        <v>614</v>
      </c>
      <c r="B17" s="417" t="s">
        <v>615</v>
      </c>
      <c r="D17" s="422">
        <f t="shared" ref="D17:I17" si="15">SUM(D18:D25)</f>
        <v>38566</v>
      </c>
      <c r="E17" s="422">
        <f t="shared" si="15"/>
        <v>83130</v>
      </c>
      <c r="F17" s="422">
        <f t="shared" si="15"/>
        <v>112145</v>
      </c>
      <c r="G17" s="422">
        <f t="shared" si="15"/>
        <v>132887</v>
      </c>
      <c r="H17" s="422">
        <f t="shared" si="15"/>
        <v>142408</v>
      </c>
      <c r="I17" s="422">
        <f t="shared" si="15"/>
        <v>228060</v>
      </c>
      <c r="J17" s="422">
        <f t="shared" ref="J17:T17" si="16">SUM(J18:J25)</f>
        <v>338487</v>
      </c>
      <c r="K17" s="422">
        <f t="shared" si="16"/>
        <v>218530</v>
      </c>
      <c r="L17" s="422">
        <f t="shared" si="16"/>
        <v>107953</v>
      </c>
      <c r="M17" s="422">
        <f t="shared" si="16"/>
        <v>200972</v>
      </c>
      <c r="N17" s="422">
        <f t="shared" si="16"/>
        <v>268033</v>
      </c>
      <c r="O17" s="422">
        <f t="shared" si="16"/>
        <v>344890</v>
      </c>
      <c r="P17" s="422">
        <f t="shared" si="16"/>
        <v>121366</v>
      </c>
      <c r="Q17" s="422">
        <f t="shared" si="16"/>
        <v>192727</v>
      </c>
      <c r="R17" s="422">
        <f t="shared" si="16"/>
        <v>296850</v>
      </c>
      <c r="S17" s="422">
        <f t="shared" si="16"/>
        <v>480424</v>
      </c>
      <c r="T17" s="422">
        <f t="shared" si="16"/>
        <v>68149</v>
      </c>
      <c r="U17" s="422">
        <f>SUM(U18:U25)</f>
        <v>147221</v>
      </c>
      <c r="W17" s="422">
        <f t="shared" ref="W17:AC17" si="17">SUM(W18:W25)</f>
        <v>107953</v>
      </c>
      <c r="X17" s="422">
        <f t="shared" si="17"/>
        <v>93019</v>
      </c>
      <c r="Y17" s="422">
        <f t="shared" si="17"/>
        <v>67061</v>
      </c>
      <c r="Z17" s="422">
        <f t="shared" si="17"/>
        <v>76857</v>
      </c>
      <c r="AA17" s="422">
        <f t="shared" si="17"/>
        <v>121366</v>
      </c>
      <c r="AB17" s="422">
        <f t="shared" si="17"/>
        <v>71361</v>
      </c>
      <c r="AC17" s="422">
        <f t="shared" si="17"/>
        <v>104123</v>
      </c>
      <c r="AD17" s="422">
        <f t="shared" ref="AD17:AE17" si="18">SUM(AD18:AD25)</f>
        <v>183574</v>
      </c>
      <c r="AE17" s="422">
        <f t="shared" si="18"/>
        <v>68149</v>
      </c>
      <c r="AF17" s="422">
        <f>SUM(AF18:AF25)</f>
        <v>79072</v>
      </c>
    </row>
    <row r="18" spans="1:32" outlineLevel="1">
      <c r="A18" s="418" t="s">
        <v>616</v>
      </c>
      <c r="B18" s="418" t="s">
        <v>617</v>
      </c>
      <c r="D18" s="423">
        <v>0</v>
      </c>
      <c r="E18" s="423">
        <v>0</v>
      </c>
      <c r="F18" s="423">
        <v>0</v>
      </c>
      <c r="G18" s="423">
        <v>0</v>
      </c>
      <c r="H18" s="423">
        <v>0</v>
      </c>
      <c r="I18" s="423">
        <v>0</v>
      </c>
      <c r="J18" s="423">
        <v>0</v>
      </c>
      <c r="K18" s="423">
        <v>0</v>
      </c>
      <c r="L18" s="423">
        <v>0</v>
      </c>
      <c r="M18" s="423">
        <v>0</v>
      </c>
      <c r="N18" s="423">
        <v>0</v>
      </c>
      <c r="O18" s="423">
        <v>0</v>
      </c>
      <c r="P18" s="423">
        <v>0</v>
      </c>
      <c r="Q18" s="423">
        <v>0</v>
      </c>
      <c r="R18" s="423">
        <v>0</v>
      </c>
      <c r="S18" s="423">
        <v>0</v>
      </c>
      <c r="T18" s="423">
        <v>0</v>
      </c>
      <c r="U18" s="423">
        <v>0</v>
      </c>
      <c r="W18" s="423">
        <f t="shared" si="11"/>
        <v>0</v>
      </c>
      <c r="X18" s="423">
        <f t="shared" ref="X18:X25" si="19">M18-W18</f>
        <v>0</v>
      </c>
      <c r="Y18" s="423">
        <f t="shared" ref="Y18:Z25" si="20">N18-M18</f>
        <v>0</v>
      </c>
      <c r="Z18" s="423">
        <f t="shared" si="20"/>
        <v>0</v>
      </c>
      <c r="AA18" s="423">
        <f t="shared" si="13"/>
        <v>0</v>
      </c>
      <c r="AB18" s="423">
        <f t="shared" ref="AB18:AD25" si="21">Q18-P18</f>
        <v>0</v>
      </c>
      <c r="AC18" s="423">
        <f t="shared" si="21"/>
        <v>0</v>
      </c>
      <c r="AD18" s="423">
        <f t="shared" si="21"/>
        <v>0</v>
      </c>
      <c r="AE18" s="423">
        <f t="shared" si="14"/>
        <v>0</v>
      </c>
      <c r="AF18" s="423">
        <f t="shared" ref="AF18:AF25" si="22">U18-T18</f>
        <v>0</v>
      </c>
    </row>
    <row r="19" spans="1:32" outlineLevel="1">
      <c r="A19" s="418" t="s">
        <v>618</v>
      </c>
      <c r="B19" s="418" t="s">
        <v>619</v>
      </c>
      <c r="D19" s="423">
        <v>0</v>
      </c>
      <c r="E19" s="423">
        <v>0</v>
      </c>
      <c r="F19" s="423">
        <v>0</v>
      </c>
      <c r="G19" s="423">
        <v>0</v>
      </c>
      <c r="H19" s="423">
        <v>0</v>
      </c>
      <c r="I19" s="423">
        <v>0</v>
      </c>
      <c r="J19" s="423">
        <v>0</v>
      </c>
      <c r="K19" s="423">
        <v>0</v>
      </c>
      <c r="L19" s="423">
        <v>0</v>
      </c>
      <c r="M19" s="423">
        <v>0</v>
      </c>
      <c r="N19" s="423">
        <v>0</v>
      </c>
      <c r="O19" s="423">
        <v>0</v>
      </c>
      <c r="P19" s="423">
        <v>0</v>
      </c>
      <c r="Q19" s="423">
        <v>0</v>
      </c>
      <c r="R19" s="423">
        <v>0</v>
      </c>
      <c r="S19" s="423">
        <v>0</v>
      </c>
      <c r="T19" s="423">
        <v>0</v>
      </c>
      <c r="U19" s="423">
        <v>0</v>
      </c>
      <c r="W19" s="423">
        <f t="shared" si="11"/>
        <v>0</v>
      </c>
      <c r="X19" s="423">
        <f t="shared" si="19"/>
        <v>0</v>
      </c>
      <c r="Y19" s="423">
        <f t="shared" si="20"/>
        <v>0</v>
      </c>
      <c r="Z19" s="423">
        <f t="shared" si="20"/>
        <v>0</v>
      </c>
      <c r="AA19" s="423">
        <f t="shared" si="13"/>
        <v>0</v>
      </c>
      <c r="AB19" s="423">
        <f t="shared" si="21"/>
        <v>0</v>
      </c>
      <c r="AC19" s="423">
        <f t="shared" si="21"/>
        <v>0</v>
      </c>
      <c r="AD19" s="423">
        <f t="shared" si="21"/>
        <v>0</v>
      </c>
      <c r="AE19" s="423">
        <f t="shared" si="14"/>
        <v>0</v>
      </c>
      <c r="AF19" s="423">
        <f t="shared" si="22"/>
        <v>0</v>
      </c>
    </row>
    <row r="20" spans="1:32" outlineLevel="1">
      <c r="A20" s="418" t="s">
        <v>620</v>
      </c>
      <c r="B20" s="418" t="s">
        <v>621</v>
      </c>
      <c r="D20" s="423">
        <v>0</v>
      </c>
      <c r="E20" s="423">
        <v>0</v>
      </c>
      <c r="F20" s="423">
        <v>0</v>
      </c>
      <c r="G20" s="423">
        <v>0</v>
      </c>
      <c r="H20" s="423">
        <v>0</v>
      </c>
      <c r="I20" s="423">
        <v>0</v>
      </c>
      <c r="J20" s="423">
        <v>0</v>
      </c>
      <c r="K20" s="423">
        <v>0</v>
      </c>
      <c r="L20" s="423">
        <v>0</v>
      </c>
      <c r="M20" s="423">
        <v>0</v>
      </c>
      <c r="N20" s="423">
        <v>0</v>
      </c>
      <c r="O20" s="423">
        <v>0</v>
      </c>
      <c r="P20" s="423">
        <v>0</v>
      </c>
      <c r="Q20" s="423">
        <v>0</v>
      </c>
      <c r="R20" s="423">
        <v>0</v>
      </c>
      <c r="S20" s="423">
        <v>0</v>
      </c>
      <c r="T20" s="423">
        <v>0</v>
      </c>
      <c r="U20" s="423">
        <v>0</v>
      </c>
      <c r="W20" s="423">
        <f t="shared" si="11"/>
        <v>0</v>
      </c>
      <c r="X20" s="423">
        <f t="shared" si="19"/>
        <v>0</v>
      </c>
      <c r="Y20" s="423">
        <f t="shared" si="20"/>
        <v>0</v>
      </c>
      <c r="Z20" s="423">
        <f t="shared" si="20"/>
        <v>0</v>
      </c>
      <c r="AA20" s="423">
        <f t="shared" si="13"/>
        <v>0</v>
      </c>
      <c r="AB20" s="423">
        <f t="shared" si="21"/>
        <v>0</v>
      </c>
      <c r="AC20" s="423">
        <f t="shared" si="21"/>
        <v>0</v>
      </c>
      <c r="AD20" s="423">
        <f t="shared" si="21"/>
        <v>0</v>
      </c>
      <c r="AE20" s="423">
        <f t="shared" si="14"/>
        <v>0</v>
      </c>
      <c r="AF20" s="423">
        <f t="shared" si="22"/>
        <v>0</v>
      </c>
    </row>
    <row r="21" spans="1:32" outlineLevel="1">
      <c r="A21" s="418" t="s">
        <v>622</v>
      </c>
      <c r="B21" s="418" t="s">
        <v>623</v>
      </c>
      <c r="D21" s="423">
        <v>0</v>
      </c>
      <c r="E21" s="423">
        <v>0</v>
      </c>
      <c r="F21" s="423">
        <v>0</v>
      </c>
      <c r="G21" s="423">
        <v>0</v>
      </c>
      <c r="H21" s="423">
        <v>0</v>
      </c>
      <c r="I21" s="423">
        <v>0</v>
      </c>
      <c r="J21" s="423">
        <v>0</v>
      </c>
      <c r="K21" s="423">
        <v>0</v>
      </c>
      <c r="L21" s="423">
        <v>0</v>
      </c>
      <c r="M21" s="423">
        <v>0</v>
      </c>
      <c r="N21" s="423">
        <v>0</v>
      </c>
      <c r="O21" s="423">
        <v>0</v>
      </c>
      <c r="P21" s="423">
        <v>0</v>
      </c>
      <c r="Q21" s="423">
        <v>0</v>
      </c>
      <c r="R21" s="423">
        <v>0</v>
      </c>
      <c r="S21" s="423">
        <v>0</v>
      </c>
      <c r="T21" s="423">
        <v>0</v>
      </c>
      <c r="U21" s="423">
        <v>0</v>
      </c>
      <c r="W21" s="423">
        <f t="shared" si="11"/>
        <v>0</v>
      </c>
      <c r="X21" s="423">
        <f t="shared" si="19"/>
        <v>0</v>
      </c>
      <c r="Y21" s="423">
        <f t="shared" si="20"/>
        <v>0</v>
      </c>
      <c r="Z21" s="423">
        <f t="shared" si="20"/>
        <v>0</v>
      </c>
      <c r="AA21" s="423">
        <f t="shared" si="13"/>
        <v>0</v>
      </c>
      <c r="AB21" s="423">
        <f t="shared" si="21"/>
        <v>0</v>
      </c>
      <c r="AC21" s="423">
        <f t="shared" si="21"/>
        <v>0</v>
      </c>
      <c r="AD21" s="423">
        <f t="shared" si="21"/>
        <v>0</v>
      </c>
      <c r="AE21" s="423">
        <f t="shared" si="14"/>
        <v>0</v>
      </c>
      <c r="AF21" s="423">
        <f t="shared" si="22"/>
        <v>0</v>
      </c>
    </row>
    <row r="22" spans="1:32" outlineLevel="1">
      <c r="A22" s="418" t="s">
        <v>624</v>
      </c>
      <c r="B22" s="418" t="s">
        <v>625</v>
      </c>
      <c r="D22" s="423">
        <v>0</v>
      </c>
      <c r="E22" s="423">
        <v>0</v>
      </c>
      <c r="F22" s="423">
        <v>0</v>
      </c>
      <c r="G22" s="423">
        <v>0</v>
      </c>
      <c r="H22" s="423">
        <v>0</v>
      </c>
      <c r="I22" s="423">
        <v>0</v>
      </c>
      <c r="J22" s="423">
        <v>0</v>
      </c>
      <c r="K22" s="423">
        <v>0</v>
      </c>
      <c r="L22" s="423">
        <v>0</v>
      </c>
      <c r="M22" s="423">
        <v>0</v>
      </c>
      <c r="N22" s="423">
        <v>0</v>
      </c>
      <c r="O22" s="423">
        <v>0</v>
      </c>
      <c r="P22" s="423">
        <v>0</v>
      </c>
      <c r="Q22" s="423">
        <v>0</v>
      </c>
      <c r="R22" s="423">
        <v>0</v>
      </c>
      <c r="S22" s="423">
        <v>0</v>
      </c>
      <c r="T22" s="423">
        <v>0</v>
      </c>
      <c r="U22" s="423">
        <v>0</v>
      </c>
      <c r="W22" s="423">
        <f t="shared" si="11"/>
        <v>0</v>
      </c>
      <c r="X22" s="423">
        <f t="shared" si="19"/>
        <v>0</v>
      </c>
      <c r="Y22" s="423">
        <f t="shared" si="20"/>
        <v>0</v>
      </c>
      <c r="Z22" s="423">
        <f t="shared" si="20"/>
        <v>0</v>
      </c>
      <c r="AA22" s="423">
        <f t="shared" si="13"/>
        <v>0</v>
      </c>
      <c r="AB22" s="423">
        <f t="shared" si="21"/>
        <v>0</v>
      </c>
      <c r="AC22" s="423">
        <f t="shared" si="21"/>
        <v>0</v>
      </c>
      <c r="AD22" s="423">
        <f t="shared" si="21"/>
        <v>0</v>
      </c>
      <c r="AE22" s="423">
        <f t="shared" si="14"/>
        <v>0</v>
      </c>
      <c r="AF22" s="423">
        <f t="shared" si="22"/>
        <v>0</v>
      </c>
    </row>
    <row r="23" spans="1:32" outlineLevel="1">
      <c r="A23" s="418" t="s">
        <v>626</v>
      </c>
      <c r="B23" s="418" t="s">
        <v>811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0</v>
      </c>
      <c r="T23" s="423">
        <v>0</v>
      </c>
      <c r="U23" s="423">
        <v>0</v>
      </c>
      <c r="W23" s="423">
        <f t="shared" si="11"/>
        <v>0</v>
      </c>
      <c r="X23" s="423">
        <f t="shared" si="19"/>
        <v>0</v>
      </c>
      <c r="Y23" s="423">
        <f t="shared" si="20"/>
        <v>0</v>
      </c>
      <c r="Z23" s="423">
        <f t="shared" si="20"/>
        <v>0</v>
      </c>
      <c r="AA23" s="423">
        <f t="shared" si="13"/>
        <v>0</v>
      </c>
      <c r="AB23" s="423">
        <f t="shared" si="21"/>
        <v>0</v>
      </c>
      <c r="AC23" s="423">
        <f t="shared" si="21"/>
        <v>0</v>
      </c>
      <c r="AD23" s="423">
        <f t="shared" si="21"/>
        <v>0</v>
      </c>
      <c r="AE23" s="423">
        <f t="shared" si="14"/>
        <v>0</v>
      </c>
      <c r="AF23" s="423">
        <f t="shared" si="22"/>
        <v>0</v>
      </c>
    </row>
    <row r="24" spans="1:32" outlineLevel="1">
      <c r="A24" s="418" t="s">
        <v>628</v>
      </c>
      <c r="B24" s="418" t="s">
        <v>629</v>
      </c>
      <c r="D24" s="423">
        <v>0</v>
      </c>
      <c r="E24" s="423">
        <v>0</v>
      </c>
      <c r="F24" s="423">
        <v>-11403</v>
      </c>
      <c r="G24" s="423">
        <v>-48704</v>
      </c>
      <c r="H24" s="423">
        <v>84126</v>
      </c>
      <c r="I24" s="423">
        <v>115969</v>
      </c>
      <c r="J24" s="423">
        <v>143180</v>
      </c>
      <c r="K24" s="423">
        <v>-50587</v>
      </c>
      <c r="L24" s="423">
        <v>19954</v>
      </c>
      <c r="M24" s="423">
        <v>19569</v>
      </c>
      <c r="N24" s="423">
        <v>-3058</v>
      </c>
      <c r="O24" s="423">
        <v>-14886</v>
      </c>
      <c r="P24" s="423">
        <v>31035</v>
      </c>
      <c r="Q24" s="423">
        <v>22080</v>
      </c>
      <c r="R24" s="423">
        <v>36094</v>
      </c>
      <c r="S24" s="423">
        <v>99893</v>
      </c>
      <c r="T24" s="423">
        <v>-31476</v>
      </c>
      <c r="U24" s="423">
        <v>-61432</v>
      </c>
      <c r="W24" s="423">
        <f t="shared" si="11"/>
        <v>19954</v>
      </c>
      <c r="X24" s="423">
        <f t="shared" si="19"/>
        <v>-385</v>
      </c>
      <c r="Y24" s="423">
        <f t="shared" si="20"/>
        <v>-22627</v>
      </c>
      <c r="Z24" s="423">
        <f t="shared" si="20"/>
        <v>-11828</v>
      </c>
      <c r="AA24" s="423">
        <f t="shared" si="13"/>
        <v>31035</v>
      </c>
      <c r="AB24" s="423">
        <f t="shared" si="21"/>
        <v>-8955</v>
      </c>
      <c r="AC24" s="423">
        <f t="shared" si="21"/>
        <v>14014</v>
      </c>
      <c r="AD24" s="423">
        <f t="shared" si="21"/>
        <v>63799</v>
      </c>
      <c r="AE24" s="423">
        <f t="shared" si="14"/>
        <v>-31476</v>
      </c>
      <c r="AF24" s="423">
        <f t="shared" si="22"/>
        <v>-29956</v>
      </c>
    </row>
    <row r="25" spans="1:32" outlineLevel="1">
      <c r="A25" s="418" t="s">
        <v>614</v>
      </c>
      <c r="B25" s="418" t="s">
        <v>615</v>
      </c>
      <c r="D25" s="423">
        <v>38566</v>
      </c>
      <c r="E25" s="423">
        <v>83130</v>
      </c>
      <c r="F25" s="423">
        <v>123548</v>
      </c>
      <c r="G25" s="423">
        <v>181591</v>
      </c>
      <c r="H25" s="423">
        <v>58282</v>
      </c>
      <c r="I25" s="423">
        <v>112091</v>
      </c>
      <c r="J25" s="423">
        <v>195307</v>
      </c>
      <c r="K25" s="423">
        <v>269117</v>
      </c>
      <c r="L25" s="423">
        <v>87999</v>
      </c>
      <c r="M25" s="423">
        <v>181403</v>
      </c>
      <c r="N25" s="423">
        <v>271091</v>
      </c>
      <c r="O25" s="423">
        <v>359776</v>
      </c>
      <c r="P25" s="423">
        <v>90331</v>
      </c>
      <c r="Q25" s="423">
        <v>170647</v>
      </c>
      <c r="R25" s="423">
        <v>260756</v>
      </c>
      <c r="S25" s="423">
        <v>380531</v>
      </c>
      <c r="T25" s="423">
        <v>99625</v>
      </c>
      <c r="U25" s="423">
        <v>208653</v>
      </c>
      <c r="W25" s="423">
        <f t="shared" si="11"/>
        <v>87999</v>
      </c>
      <c r="X25" s="423">
        <f t="shared" si="19"/>
        <v>93404</v>
      </c>
      <c r="Y25" s="423">
        <f t="shared" si="20"/>
        <v>89688</v>
      </c>
      <c r="Z25" s="423">
        <f t="shared" si="20"/>
        <v>88685</v>
      </c>
      <c r="AA25" s="423">
        <f t="shared" si="13"/>
        <v>90331</v>
      </c>
      <c r="AB25" s="423">
        <f t="shared" si="21"/>
        <v>80316</v>
      </c>
      <c r="AC25" s="423">
        <f t="shared" si="21"/>
        <v>90109</v>
      </c>
      <c r="AD25" s="423">
        <f t="shared" si="21"/>
        <v>119775</v>
      </c>
      <c r="AE25" s="423">
        <f t="shared" si="14"/>
        <v>99625</v>
      </c>
      <c r="AF25" s="423">
        <f t="shared" si="22"/>
        <v>109028</v>
      </c>
    </row>
    <row r="26" spans="1:32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</row>
    <row r="27" spans="1:32">
      <c r="A27" s="429" t="s">
        <v>630</v>
      </c>
      <c r="B27" s="429" t="s">
        <v>631</v>
      </c>
      <c r="D27" s="420">
        <f t="shared" ref="D27:I27" si="23">SUM(D29:D37)</f>
        <v>-9023</v>
      </c>
      <c r="E27" s="420">
        <f t="shared" si="23"/>
        <v>-20905</v>
      </c>
      <c r="F27" s="420">
        <f t="shared" si="23"/>
        <v>-33963</v>
      </c>
      <c r="G27" s="420">
        <f t="shared" si="23"/>
        <v>-66769</v>
      </c>
      <c r="H27" s="420">
        <f t="shared" si="23"/>
        <v>-29162</v>
      </c>
      <c r="I27" s="420">
        <f t="shared" si="23"/>
        <v>-42872</v>
      </c>
      <c r="J27" s="420">
        <f t="shared" ref="J27:T27" si="24">SUM(J29:J37)</f>
        <v>-66496</v>
      </c>
      <c r="K27" s="420">
        <f t="shared" si="24"/>
        <v>-71461</v>
      </c>
      <c r="L27" s="420">
        <f t="shared" si="24"/>
        <v>-23269</v>
      </c>
      <c r="M27" s="420">
        <f t="shared" si="24"/>
        <v>-51248</v>
      </c>
      <c r="N27" s="420">
        <f t="shared" si="24"/>
        <v>-65645</v>
      </c>
      <c r="O27" s="420">
        <f t="shared" si="24"/>
        <v>-148062</v>
      </c>
      <c r="P27" s="420">
        <f t="shared" si="24"/>
        <v>-61953</v>
      </c>
      <c r="Q27" s="420">
        <f t="shared" si="24"/>
        <v>-142314</v>
      </c>
      <c r="R27" s="420">
        <f t="shared" si="24"/>
        <v>-247772</v>
      </c>
      <c r="S27" s="420">
        <f t="shared" si="24"/>
        <v>-370265</v>
      </c>
      <c r="T27" s="741">
        <f t="shared" si="24"/>
        <v>-77182</v>
      </c>
      <c r="U27" s="741">
        <f>SUM(U29:U37)</f>
        <v>-157453</v>
      </c>
      <c r="W27" s="420">
        <f t="shared" ref="W27:AC27" si="25">SUM(W29:W37)</f>
        <v>-23269</v>
      </c>
      <c r="X27" s="420">
        <f t="shared" si="25"/>
        <v>-27979</v>
      </c>
      <c r="Y27" s="420">
        <f t="shared" si="25"/>
        <v>-14397</v>
      </c>
      <c r="Z27" s="420">
        <f t="shared" si="25"/>
        <v>-82417</v>
      </c>
      <c r="AA27" s="420">
        <f t="shared" si="25"/>
        <v>-61953</v>
      </c>
      <c r="AB27" s="420">
        <f t="shared" si="25"/>
        <v>-80361</v>
      </c>
      <c r="AC27" s="420">
        <f t="shared" si="25"/>
        <v>-105458</v>
      </c>
      <c r="AD27" s="420">
        <f t="shared" ref="AD27:AE27" si="26">SUM(AD29:AD37)</f>
        <v>-122493</v>
      </c>
      <c r="AE27" s="420">
        <f t="shared" si="26"/>
        <v>-77182</v>
      </c>
      <c r="AF27" s="741">
        <f>SUM(AF29:AF37)</f>
        <v>-80271</v>
      </c>
    </row>
    <row r="28" spans="1:32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</row>
    <row r="29" spans="1:32" outlineLevel="1">
      <c r="A29" s="418" t="s">
        <v>632</v>
      </c>
      <c r="B29" s="418" t="s">
        <v>632</v>
      </c>
      <c r="D29" s="423">
        <v>-1042</v>
      </c>
      <c r="E29" s="423">
        <v>-2171</v>
      </c>
      <c r="F29" s="423">
        <v>-3007</v>
      </c>
      <c r="G29" s="423">
        <v>-14829</v>
      </c>
      <c r="H29" s="423">
        <v>-8635</v>
      </c>
      <c r="I29" s="423">
        <v>-15294</v>
      </c>
      <c r="J29" s="423">
        <v>-20164</v>
      </c>
      <c r="K29" s="423">
        <v>-25077</v>
      </c>
      <c r="L29" s="423">
        <v>-3168</v>
      </c>
      <c r="M29" s="423">
        <v>-6161</v>
      </c>
      <c r="N29" s="423">
        <v>-10177</v>
      </c>
      <c r="O29" s="423">
        <v>-50565</v>
      </c>
      <c r="P29" s="423">
        <v>-10575</v>
      </c>
      <c r="Q29" s="423">
        <v>-27637</v>
      </c>
      <c r="R29" s="423">
        <v>-45150</v>
      </c>
      <c r="S29" s="423">
        <v>-73256</v>
      </c>
      <c r="T29" s="423">
        <v>-19618</v>
      </c>
      <c r="U29" s="423">
        <v>-41484</v>
      </c>
      <c r="W29" s="423">
        <f t="shared" ref="W29:W37" si="27">L29</f>
        <v>-3168</v>
      </c>
      <c r="X29" s="423">
        <f t="shared" ref="X29:X37" si="28">M29-W29</f>
        <v>-2993</v>
      </c>
      <c r="Y29" s="423">
        <f t="shared" ref="Y29:Y37" si="29">N29-M29</f>
        <v>-4016</v>
      </c>
      <c r="Z29" s="423">
        <f t="shared" ref="Z29:Z37" si="30">O29-N29</f>
        <v>-40388</v>
      </c>
      <c r="AA29" s="423">
        <f t="shared" ref="AA29:AA37" si="31">P29</f>
        <v>-10575</v>
      </c>
      <c r="AB29" s="423">
        <f t="shared" ref="AB29:AB37" si="32">Q29-P29</f>
        <v>-17062</v>
      </c>
      <c r="AC29" s="423">
        <f t="shared" ref="AC29:AC37" si="33">R29-Q29</f>
        <v>-17513</v>
      </c>
      <c r="AD29" s="423">
        <f t="shared" ref="AD29:AD37" si="34">S29-R29</f>
        <v>-28106</v>
      </c>
      <c r="AE29" s="423">
        <f t="shared" ref="AE29:AE37" si="35">T29</f>
        <v>-19618</v>
      </c>
      <c r="AF29" s="423">
        <f t="shared" ref="AF29:AF37" si="36">U29-T29</f>
        <v>-21866</v>
      </c>
    </row>
    <row r="30" spans="1:32" outlineLevel="1">
      <c r="A30" s="418" t="s">
        <v>633</v>
      </c>
      <c r="B30" s="418" t="s">
        <v>634</v>
      </c>
      <c r="D30" s="423">
        <v>-6033</v>
      </c>
      <c r="E30" s="423">
        <v>-14453</v>
      </c>
      <c r="F30" s="423">
        <v>-25831</v>
      </c>
      <c r="G30" s="423">
        <v>-38718</v>
      </c>
      <c r="H30" s="423">
        <v>-9716</v>
      </c>
      <c r="I30" s="423">
        <v>-18994</v>
      </c>
      <c r="J30" s="423">
        <v>-30830</v>
      </c>
      <c r="K30" s="423">
        <v>-43622</v>
      </c>
      <c r="L30" s="423">
        <v>-13401</v>
      </c>
      <c r="M30" s="423">
        <v>-32605</v>
      </c>
      <c r="N30" s="423">
        <v>-40078</v>
      </c>
      <c r="O30" s="423">
        <v>-78185</v>
      </c>
      <c r="P30" s="423">
        <v>-44360</v>
      </c>
      <c r="Q30" s="423">
        <v>-104064</v>
      </c>
      <c r="R30" s="423">
        <v>-186619</v>
      </c>
      <c r="S30" s="423">
        <v>-270533</v>
      </c>
      <c r="T30" s="423">
        <v>-62226</v>
      </c>
      <c r="U30" s="423">
        <v>-119909</v>
      </c>
      <c r="W30" s="423">
        <f t="shared" si="27"/>
        <v>-13401</v>
      </c>
      <c r="X30" s="423">
        <f t="shared" si="28"/>
        <v>-19204</v>
      </c>
      <c r="Y30" s="423">
        <f t="shared" si="29"/>
        <v>-7473</v>
      </c>
      <c r="Z30" s="423">
        <f t="shared" si="30"/>
        <v>-38107</v>
      </c>
      <c r="AA30" s="423">
        <f t="shared" si="31"/>
        <v>-44360</v>
      </c>
      <c r="AB30" s="423">
        <f t="shared" si="32"/>
        <v>-59704</v>
      </c>
      <c r="AC30" s="423">
        <f t="shared" si="33"/>
        <v>-82555</v>
      </c>
      <c r="AD30" s="423">
        <f t="shared" si="34"/>
        <v>-83914</v>
      </c>
      <c r="AE30" s="423">
        <f t="shared" si="35"/>
        <v>-62226</v>
      </c>
      <c r="AF30" s="423">
        <f t="shared" si="36"/>
        <v>-57683</v>
      </c>
    </row>
    <row r="31" spans="1:32" outlineLevel="1">
      <c r="A31" s="418" t="s">
        <v>635</v>
      </c>
      <c r="B31" s="418" t="s">
        <v>636</v>
      </c>
      <c r="D31" s="423">
        <v>0</v>
      </c>
      <c r="E31" s="423">
        <v>0</v>
      </c>
      <c r="F31" s="423">
        <v>0</v>
      </c>
      <c r="G31" s="423">
        <v>-3958</v>
      </c>
      <c r="H31" s="423">
        <v>-7782</v>
      </c>
      <c r="I31" s="423">
        <v>-2265</v>
      </c>
      <c r="J31" s="423">
        <v>-4782</v>
      </c>
      <c r="K31" s="423">
        <v>13142</v>
      </c>
      <c r="L31" s="423">
        <v>-1845</v>
      </c>
      <c r="M31" s="423">
        <v>-1810</v>
      </c>
      <c r="N31" s="423">
        <v>284</v>
      </c>
      <c r="O31" s="423">
        <v>1378</v>
      </c>
      <c r="P31" s="423">
        <v>-55</v>
      </c>
      <c r="Q31" s="423">
        <v>-2042</v>
      </c>
      <c r="R31" s="423">
        <v>-3339</v>
      </c>
      <c r="S31" s="423">
        <v>-9240</v>
      </c>
      <c r="T31" s="423">
        <v>7748</v>
      </c>
      <c r="U31" s="423">
        <v>11259</v>
      </c>
      <c r="W31" s="423">
        <f t="shared" si="27"/>
        <v>-1845</v>
      </c>
      <c r="X31" s="423">
        <f t="shared" si="28"/>
        <v>35</v>
      </c>
      <c r="Y31" s="423">
        <f t="shared" si="29"/>
        <v>2094</v>
      </c>
      <c r="Z31" s="423">
        <f t="shared" si="30"/>
        <v>1094</v>
      </c>
      <c r="AA31" s="423">
        <f t="shared" si="31"/>
        <v>-55</v>
      </c>
      <c r="AB31" s="423">
        <f t="shared" si="32"/>
        <v>-1987</v>
      </c>
      <c r="AC31" s="423">
        <f t="shared" si="33"/>
        <v>-1297</v>
      </c>
      <c r="AD31" s="423">
        <f t="shared" si="34"/>
        <v>-5901</v>
      </c>
      <c r="AE31" s="423">
        <f t="shared" si="35"/>
        <v>7748</v>
      </c>
      <c r="AF31" s="423">
        <f t="shared" si="36"/>
        <v>3511</v>
      </c>
    </row>
    <row r="32" spans="1:32" outlineLevel="1">
      <c r="A32" s="418" t="s">
        <v>637</v>
      </c>
      <c r="B32" s="418" t="s">
        <v>638</v>
      </c>
      <c r="D32" s="423">
        <v>0</v>
      </c>
      <c r="E32" s="423">
        <v>0</v>
      </c>
      <c r="F32" s="423">
        <v>0</v>
      </c>
      <c r="G32" s="423">
        <v>0</v>
      </c>
      <c r="H32" s="423">
        <v>0</v>
      </c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>
        <v>0</v>
      </c>
      <c r="T32" s="423">
        <v>0</v>
      </c>
      <c r="U32" s="423">
        <v>0</v>
      </c>
      <c r="W32" s="423">
        <f t="shared" si="27"/>
        <v>0</v>
      </c>
      <c r="X32" s="423">
        <f t="shared" si="28"/>
        <v>0</v>
      </c>
      <c r="Y32" s="423">
        <f t="shared" si="29"/>
        <v>0</v>
      </c>
      <c r="Z32" s="423">
        <f t="shared" si="30"/>
        <v>0</v>
      </c>
      <c r="AA32" s="423">
        <f t="shared" si="31"/>
        <v>0</v>
      </c>
      <c r="AB32" s="423">
        <f t="shared" si="32"/>
        <v>0</v>
      </c>
      <c r="AC32" s="423">
        <f t="shared" si="33"/>
        <v>0</v>
      </c>
      <c r="AD32" s="423">
        <f t="shared" si="34"/>
        <v>0</v>
      </c>
      <c r="AE32" s="423">
        <f t="shared" si="35"/>
        <v>0</v>
      </c>
      <c r="AF32" s="423">
        <f t="shared" si="36"/>
        <v>0</v>
      </c>
    </row>
    <row r="33" spans="1:32" outlineLevel="1">
      <c r="A33" s="418" t="s">
        <v>639</v>
      </c>
      <c r="B33" s="418" t="s">
        <v>640</v>
      </c>
      <c r="D33" s="423">
        <v>0</v>
      </c>
      <c r="E33" s="423">
        <v>0</v>
      </c>
      <c r="F33" s="423">
        <v>0</v>
      </c>
      <c r="G33" s="423">
        <v>0</v>
      </c>
      <c r="H33" s="423">
        <v>0</v>
      </c>
      <c r="I33" s="423">
        <v>0</v>
      </c>
      <c r="J33" s="423">
        <v>0</v>
      </c>
      <c r="K33" s="423">
        <v>0</v>
      </c>
      <c r="L33" s="423">
        <v>0</v>
      </c>
      <c r="M33" s="423">
        <v>0</v>
      </c>
      <c r="N33" s="423">
        <v>0</v>
      </c>
      <c r="O33" s="423">
        <v>0</v>
      </c>
      <c r="P33" s="423">
        <v>0</v>
      </c>
      <c r="Q33" s="423">
        <v>0</v>
      </c>
      <c r="R33" s="423">
        <v>0</v>
      </c>
      <c r="S33" s="423">
        <v>0</v>
      </c>
      <c r="T33" s="423">
        <v>0</v>
      </c>
      <c r="U33" s="423">
        <v>0</v>
      </c>
      <c r="W33" s="423">
        <f t="shared" si="27"/>
        <v>0</v>
      </c>
      <c r="X33" s="423">
        <f t="shared" si="28"/>
        <v>0</v>
      </c>
      <c r="Y33" s="423">
        <f t="shared" si="29"/>
        <v>0</v>
      </c>
      <c r="Z33" s="423">
        <f t="shared" si="30"/>
        <v>0</v>
      </c>
      <c r="AA33" s="423">
        <f t="shared" si="31"/>
        <v>0</v>
      </c>
      <c r="AB33" s="423">
        <f t="shared" si="32"/>
        <v>0</v>
      </c>
      <c r="AC33" s="423">
        <f t="shared" si="33"/>
        <v>0</v>
      </c>
      <c r="AD33" s="423">
        <f t="shared" si="34"/>
        <v>0</v>
      </c>
      <c r="AE33" s="423">
        <f t="shared" si="35"/>
        <v>0</v>
      </c>
      <c r="AF33" s="423">
        <f t="shared" si="36"/>
        <v>0</v>
      </c>
    </row>
    <row r="34" spans="1:32" outlineLevel="1">
      <c r="A34" s="418" t="s">
        <v>641</v>
      </c>
      <c r="B34" s="418" t="s">
        <v>642</v>
      </c>
      <c r="D34" s="423">
        <v>0</v>
      </c>
      <c r="E34" s="423">
        <v>0</v>
      </c>
      <c r="F34" s="423">
        <v>0</v>
      </c>
      <c r="G34" s="423">
        <v>0</v>
      </c>
      <c r="H34" s="423">
        <v>0</v>
      </c>
      <c r="I34" s="423">
        <v>0</v>
      </c>
      <c r="J34" s="423">
        <v>0</v>
      </c>
      <c r="K34" s="423">
        <v>0</v>
      </c>
      <c r="L34" s="423">
        <v>0</v>
      </c>
      <c r="M34" s="423">
        <v>0</v>
      </c>
      <c r="N34" s="423">
        <v>0</v>
      </c>
      <c r="O34" s="423">
        <v>0</v>
      </c>
      <c r="P34" s="423">
        <v>0</v>
      </c>
      <c r="Q34" s="423">
        <v>0</v>
      </c>
      <c r="R34" s="423">
        <v>0</v>
      </c>
      <c r="S34" s="423">
        <v>0</v>
      </c>
      <c r="T34" s="423">
        <v>0</v>
      </c>
      <c r="U34" s="423">
        <v>0</v>
      </c>
      <c r="W34" s="423">
        <f t="shared" si="27"/>
        <v>0</v>
      </c>
      <c r="X34" s="423">
        <f t="shared" si="28"/>
        <v>0</v>
      </c>
      <c r="Y34" s="423">
        <f t="shared" si="29"/>
        <v>0</v>
      </c>
      <c r="Z34" s="423">
        <f t="shared" si="30"/>
        <v>0</v>
      </c>
      <c r="AA34" s="423">
        <f t="shared" si="31"/>
        <v>0</v>
      </c>
      <c r="AB34" s="423">
        <f t="shared" si="32"/>
        <v>0</v>
      </c>
      <c r="AC34" s="423">
        <f t="shared" si="33"/>
        <v>0</v>
      </c>
      <c r="AD34" s="423">
        <f t="shared" si="34"/>
        <v>0</v>
      </c>
      <c r="AE34" s="423">
        <f t="shared" si="35"/>
        <v>0</v>
      </c>
      <c r="AF34" s="423">
        <f t="shared" si="36"/>
        <v>0</v>
      </c>
    </row>
    <row r="35" spans="1:32" outlineLevel="1">
      <c r="A35" s="418" t="s">
        <v>643</v>
      </c>
      <c r="B35" s="418" t="s">
        <v>644</v>
      </c>
      <c r="D35" s="423">
        <v>0</v>
      </c>
      <c r="E35" s="423">
        <v>0</v>
      </c>
      <c r="F35" s="423">
        <v>0</v>
      </c>
      <c r="G35" s="423">
        <v>0</v>
      </c>
      <c r="H35" s="423">
        <v>0</v>
      </c>
      <c r="I35" s="423">
        <v>0</v>
      </c>
      <c r="J35" s="423">
        <v>0</v>
      </c>
      <c r="K35" s="423">
        <v>0</v>
      </c>
      <c r="L35" s="423">
        <v>0</v>
      </c>
      <c r="M35" s="423">
        <v>0</v>
      </c>
      <c r="N35" s="423">
        <v>0</v>
      </c>
      <c r="O35" s="423">
        <v>0</v>
      </c>
      <c r="P35" s="423">
        <v>0</v>
      </c>
      <c r="Q35" s="423">
        <v>0</v>
      </c>
      <c r="R35" s="423">
        <v>0</v>
      </c>
      <c r="S35" s="423">
        <v>0</v>
      </c>
      <c r="T35" s="423">
        <v>0</v>
      </c>
      <c r="U35" s="423">
        <v>0</v>
      </c>
      <c r="W35" s="423">
        <f t="shared" si="27"/>
        <v>0</v>
      </c>
      <c r="X35" s="423">
        <f t="shared" si="28"/>
        <v>0</v>
      </c>
      <c r="Y35" s="423">
        <f t="shared" si="29"/>
        <v>0</v>
      </c>
      <c r="Z35" s="423">
        <f t="shared" si="30"/>
        <v>0</v>
      </c>
      <c r="AA35" s="423">
        <f t="shared" si="31"/>
        <v>0</v>
      </c>
      <c r="AB35" s="423">
        <f t="shared" si="32"/>
        <v>0</v>
      </c>
      <c r="AC35" s="423">
        <f t="shared" si="33"/>
        <v>0</v>
      </c>
      <c r="AD35" s="423">
        <f t="shared" si="34"/>
        <v>0</v>
      </c>
      <c r="AE35" s="423">
        <f t="shared" si="35"/>
        <v>0</v>
      </c>
      <c r="AF35" s="423">
        <f t="shared" si="36"/>
        <v>0</v>
      </c>
    </row>
    <row r="36" spans="1:32" outlineLevel="1">
      <c r="A36" s="418" t="s">
        <v>645</v>
      </c>
      <c r="B36" s="418" t="s">
        <v>645</v>
      </c>
      <c r="D36" s="423">
        <v>-950</v>
      </c>
      <c r="E36" s="423">
        <v>-2001</v>
      </c>
      <c r="F36" s="423">
        <v>-2944</v>
      </c>
      <c r="G36" s="423">
        <v>-4428</v>
      </c>
      <c r="H36" s="423">
        <v>-1374</v>
      </c>
      <c r="I36" s="423">
        <v>-2830</v>
      </c>
      <c r="J36" s="423">
        <v>-4691</v>
      </c>
      <c r="K36" s="423">
        <v>-7372</v>
      </c>
      <c r="L36" s="423">
        <v>-2156</v>
      </c>
      <c r="M36" s="423">
        <v>-4246</v>
      </c>
      <c r="N36" s="423">
        <v>-6522</v>
      </c>
      <c r="O36" s="423">
        <v>-8769</v>
      </c>
      <c r="P36" s="423">
        <v>-2553</v>
      </c>
      <c r="Q36" s="423">
        <v>-5256</v>
      </c>
      <c r="R36" s="423">
        <v>-7862</v>
      </c>
      <c r="S36" s="423">
        <v>-10743</v>
      </c>
      <c r="T36" s="423">
        <v>-2956</v>
      </c>
      <c r="U36" s="423">
        <v>-7005</v>
      </c>
      <c r="W36" s="423">
        <f t="shared" si="27"/>
        <v>-2156</v>
      </c>
      <c r="X36" s="423">
        <f t="shared" si="28"/>
        <v>-2090</v>
      </c>
      <c r="Y36" s="423">
        <f t="shared" si="29"/>
        <v>-2276</v>
      </c>
      <c r="Z36" s="423">
        <f t="shared" si="30"/>
        <v>-2247</v>
      </c>
      <c r="AA36" s="423">
        <f t="shared" si="31"/>
        <v>-2553</v>
      </c>
      <c r="AB36" s="423">
        <f t="shared" si="32"/>
        <v>-2703</v>
      </c>
      <c r="AC36" s="423">
        <f t="shared" si="33"/>
        <v>-2606</v>
      </c>
      <c r="AD36" s="423">
        <f t="shared" si="34"/>
        <v>-2881</v>
      </c>
      <c r="AE36" s="423">
        <f t="shared" si="35"/>
        <v>-2956</v>
      </c>
      <c r="AF36" s="423">
        <f t="shared" si="36"/>
        <v>-4049</v>
      </c>
    </row>
    <row r="37" spans="1:32" outlineLevel="1">
      <c r="A37" s="418" t="s">
        <v>95</v>
      </c>
      <c r="B37" s="418" t="s">
        <v>96</v>
      </c>
      <c r="D37" s="423">
        <v>-998</v>
      </c>
      <c r="E37" s="423">
        <v>-2280</v>
      </c>
      <c r="F37" s="423">
        <v>-2181</v>
      </c>
      <c r="G37" s="423">
        <v>-4836</v>
      </c>
      <c r="H37" s="423">
        <v>-1655</v>
      </c>
      <c r="I37" s="423">
        <v>-3489</v>
      </c>
      <c r="J37" s="423">
        <v>-6029</v>
      </c>
      <c r="K37" s="423">
        <v>-8532</v>
      </c>
      <c r="L37" s="423">
        <v>-2699</v>
      </c>
      <c r="M37" s="423">
        <v>-6426</v>
      </c>
      <c r="N37" s="423">
        <v>-9152</v>
      </c>
      <c r="O37" s="423">
        <v>-11921</v>
      </c>
      <c r="P37" s="423">
        <v>-4410</v>
      </c>
      <c r="Q37" s="423">
        <v>-3315</v>
      </c>
      <c r="R37" s="423">
        <v>-4802</v>
      </c>
      <c r="S37" s="423">
        <v>-6493</v>
      </c>
      <c r="T37" s="423">
        <v>-130</v>
      </c>
      <c r="U37" s="423">
        <v>-314</v>
      </c>
      <c r="W37" s="423">
        <f t="shared" si="27"/>
        <v>-2699</v>
      </c>
      <c r="X37" s="423">
        <f t="shared" si="28"/>
        <v>-3727</v>
      </c>
      <c r="Y37" s="423">
        <f t="shared" si="29"/>
        <v>-2726</v>
      </c>
      <c r="Z37" s="423">
        <f t="shared" si="30"/>
        <v>-2769</v>
      </c>
      <c r="AA37" s="423">
        <f t="shared" si="31"/>
        <v>-4410</v>
      </c>
      <c r="AB37" s="423">
        <f t="shared" si="32"/>
        <v>1095</v>
      </c>
      <c r="AC37" s="423">
        <f t="shared" si="33"/>
        <v>-1487</v>
      </c>
      <c r="AD37" s="423">
        <f t="shared" si="34"/>
        <v>-1691</v>
      </c>
      <c r="AE37" s="423">
        <f t="shared" si="35"/>
        <v>-130</v>
      </c>
      <c r="AF37" s="423">
        <f t="shared" si="36"/>
        <v>-184</v>
      </c>
    </row>
    <row r="38" spans="1:32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</row>
    <row r="39" spans="1:32">
      <c r="A39" s="429" t="s">
        <v>646</v>
      </c>
      <c r="B39" s="429" t="s">
        <v>647</v>
      </c>
      <c r="D39" s="420">
        <f t="shared" ref="D39:I39" si="37">D27+D6</f>
        <v>68147</v>
      </c>
      <c r="E39" s="420">
        <f t="shared" si="37"/>
        <v>163666</v>
      </c>
      <c r="F39" s="420">
        <f t="shared" si="37"/>
        <v>273351</v>
      </c>
      <c r="G39" s="420">
        <f t="shared" si="37"/>
        <v>368486</v>
      </c>
      <c r="H39" s="420">
        <f t="shared" si="37"/>
        <v>182892</v>
      </c>
      <c r="I39" s="420">
        <f t="shared" si="37"/>
        <v>318367</v>
      </c>
      <c r="J39" s="420">
        <f t="shared" ref="J39:T39" si="38">J27+J6</f>
        <v>472331</v>
      </c>
      <c r="K39" s="420">
        <f t="shared" si="38"/>
        <v>418767</v>
      </c>
      <c r="L39" s="420">
        <f t="shared" si="38"/>
        <v>162978</v>
      </c>
      <c r="M39" s="420">
        <f t="shared" si="38"/>
        <v>318289</v>
      </c>
      <c r="N39" s="420">
        <f t="shared" si="38"/>
        <v>559347</v>
      </c>
      <c r="O39" s="420">
        <f t="shared" si="38"/>
        <v>930765</v>
      </c>
      <c r="P39" s="420">
        <f t="shared" si="38"/>
        <v>477384</v>
      </c>
      <c r="Q39" s="420">
        <f t="shared" si="38"/>
        <v>1056941</v>
      </c>
      <c r="R39" s="420">
        <f t="shared" si="38"/>
        <v>1880783</v>
      </c>
      <c r="S39" s="420">
        <f t="shared" si="38"/>
        <v>2815278</v>
      </c>
      <c r="T39" s="741">
        <f t="shared" si="38"/>
        <v>594299</v>
      </c>
      <c r="U39" s="741">
        <f>U27+U6</f>
        <v>1100776</v>
      </c>
      <c r="W39" s="420">
        <f t="shared" ref="W39:AC39" si="39">W27+W6</f>
        <v>162978</v>
      </c>
      <c r="X39" s="420">
        <f t="shared" si="39"/>
        <v>155311</v>
      </c>
      <c r="Y39" s="420">
        <f t="shared" si="39"/>
        <v>241058</v>
      </c>
      <c r="Z39" s="420">
        <f t="shared" si="39"/>
        <v>371418</v>
      </c>
      <c r="AA39" s="420">
        <f t="shared" si="39"/>
        <v>477384</v>
      </c>
      <c r="AB39" s="420">
        <f t="shared" si="39"/>
        <v>579557</v>
      </c>
      <c r="AC39" s="420">
        <f t="shared" si="39"/>
        <v>823842</v>
      </c>
      <c r="AD39" s="420">
        <f t="shared" ref="AD39:AE39" si="40">AD27+AD6</f>
        <v>934495</v>
      </c>
      <c r="AE39" s="420">
        <f t="shared" si="40"/>
        <v>594299</v>
      </c>
      <c r="AF39" s="741">
        <f>AF27+AF6</f>
        <v>506477</v>
      </c>
    </row>
    <row r="40" spans="1:32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</row>
    <row r="41" spans="1:32">
      <c r="A41" s="416" t="s">
        <v>648</v>
      </c>
      <c r="B41" s="416" t="s">
        <v>649</v>
      </c>
      <c r="D41" s="424">
        <f t="shared" ref="D41:I41" si="41">SUM(D43:D49)</f>
        <v>-51408</v>
      </c>
      <c r="E41" s="424">
        <f t="shared" si="41"/>
        <v>-118012</v>
      </c>
      <c r="F41" s="424">
        <f t="shared" si="41"/>
        <v>-215765</v>
      </c>
      <c r="G41" s="424">
        <f t="shared" si="41"/>
        <v>-317102</v>
      </c>
      <c r="H41" s="424">
        <f t="shared" si="41"/>
        <v>-73162</v>
      </c>
      <c r="I41" s="424">
        <f t="shared" si="41"/>
        <v>-145147</v>
      </c>
      <c r="J41" s="424">
        <f t="shared" ref="J41:T41" si="42">SUM(J43:J49)</f>
        <v>-229204</v>
      </c>
      <c r="K41" s="424">
        <f t="shared" si="42"/>
        <v>-331897</v>
      </c>
      <c r="L41" s="424">
        <f t="shared" si="42"/>
        <v>-105301</v>
      </c>
      <c r="M41" s="424">
        <f t="shared" si="42"/>
        <v>-238418</v>
      </c>
      <c r="N41" s="424">
        <f t="shared" si="42"/>
        <v>-479624</v>
      </c>
      <c r="O41" s="424">
        <f t="shared" si="42"/>
        <v>-830943</v>
      </c>
      <c r="P41" s="424">
        <f t="shared" si="42"/>
        <v>-444521</v>
      </c>
      <c r="Q41" s="424">
        <f t="shared" si="42"/>
        <v>-996340</v>
      </c>
      <c r="R41" s="424">
        <f t="shared" si="42"/>
        <v>-1797738</v>
      </c>
      <c r="S41" s="424">
        <f t="shared" si="42"/>
        <v>-2633111</v>
      </c>
      <c r="T41" s="424">
        <f t="shared" si="42"/>
        <v>-639176</v>
      </c>
      <c r="U41" s="424">
        <f>SUM(U43:U49)</f>
        <v>-1164505</v>
      </c>
      <c r="W41" s="424">
        <f t="shared" ref="W41:AC41" si="43">SUM(W43:W49)</f>
        <v>-105301</v>
      </c>
      <c r="X41" s="424">
        <f t="shared" si="43"/>
        <v>-133117</v>
      </c>
      <c r="Y41" s="424">
        <f t="shared" si="43"/>
        <v>-241206</v>
      </c>
      <c r="Z41" s="424">
        <f t="shared" si="43"/>
        <v>-351319</v>
      </c>
      <c r="AA41" s="424">
        <f t="shared" si="43"/>
        <v>-444521</v>
      </c>
      <c r="AB41" s="424">
        <f t="shared" si="43"/>
        <v>-551819</v>
      </c>
      <c r="AC41" s="424">
        <f t="shared" si="43"/>
        <v>-801398</v>
      </c>
      <c r="AD41" s="424">
        <f t="shared" ref="AD41:AE41" si="44">SUM(AD43:AD49)</f>
        <v>-835373</v>
      </c>
      <c r="AE41" s="424">
        <f t="shared" si="44"/>
        <v>-639176</v>
      </c>
      <c r="AF41" s="424">
        <f>SUM(AF43:AF49)</f>
        <v>-525329</v>
      </c>
    </row>
    <row r="42" spans="1:32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</row>
    <row r="43" spans="1:32">
      <c r="A43" s="417" t="s">
        <v>650</v>
      </c>
      <c r="B43" s="417" t="s">
        <v>651</v>
      </c>
      <c r="D43" s="422">
        <v>-34223</v>
      </c>
      <c r="E43" s="422">
        <v>-89548</v>
      </c>
      <c r="F43" s="422">
        <v>-173472</v>
      </c>
      <c r="G43" s="422">
        <v>-245410</v>
      </c>
      <c r="H43" s="422">
        <v>-50218</v>
      </c>
      <c r="I43" s="422">
        <v>-96067</v>
      </c>
      <c r="J43" s="422">
        <v>-148406</v>
      </c>
      <c r="K43" s="422">
        <v>-211862</v>
      </c>
      <c r="L43" s="422">
        <v>-65322</v>
      </c>
      <c r="M43" s="422">
        <v>-150313</v>
      </c>
      <c r="N43" s="422">
        <v>-350075</v>
      </c>
      <c r="O43" s="422">
        <v>-661174</v>
      </c>
      <c r="P43" s="422">
        <v>-395577</v>
      </c>
      <c r="Q43" s="422">
        <v>-897754</v>
      </c>
      <c r="R43" s="422">
        <v>-1646585</v>
      </c>
      <c r="S43" s="422">
        <v>-2413430</v>
      </c>
      <c r="T43" s="422">
        <v>-579713</v>
      </c>
      <c r="U43" s="422">
        <v>-1049006</v>
      </c>
      <c r="W43" s="422">
        <f>L43</f>
        <v>-65322</v>
      </c>
      <c r="X43" s="422">
        <f>M43-W43</f>
        <v>-84991</v>
      </c>
      <c r="Y43" s="422">
        <f>N43-M43</f>
        <v>-199762</v>
      </c>
      <c r="Z43" s="422">
        <f>O43-N43</f>
        <v>-311099</v>
      </c>
      <c r="AA43" s="422">
        <f>P43</f>
        <v>-395577</v>
      </c>
      <c r="AB43" s="422">
        <f>Q43-P43</f>
        <v>-502177</v>
      </c>
      <c r="AC43" s="422">
        <f>R43-Q43</f>
        <v>-748831</v>
      </c>
      <c r="AD43" s="422">
        <f>S43-R43</f>
        <v>-766845</v>
      </c>
      <c r="AE43" s="422">
        <f>T43</f>
        <v>-579713</v>
      </c>
      <c r="AF43" s="422">
        <f>U43-T43</f>
        <v>-469293</v>
      </c>
    </row>
    <row r="44" spans="1:32">
      <c r="A44" s="417" t="s">
        <v>2498</v>
      </c>
      <c r="B44" s="417" t="s">
        <v>2499</v>
      </c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>
        <v>0</v>
      </c>
      <c r="W44" s="422"/>
      <c r="X44" s="422"/>
      <c r="Y44" s="422"/>
      <c r="Z44" s="422"/>
      <c r="AA44" s="422"/>
      <c r="AB44" s="422"/>
      <c r="AC44" s="422"/>
      <c r="AD44" s="422"/>
      <c r="AE44" s="422"/>
      <c r="AF44" s="422"/>
    </row>
    <row r="45" spans="1:32">
      <c r="A45" s="417" t="s">
        <v>652</v>
      </c>
      <c r="B45" s="417" t="s">
        <v>653</v>
      </c>
      <c r="D45" s="422">
        <v>0</v>
      </c>
      <c r="E45" s="422">
        <v>0</v>
      </c>
      <c r="F45" s="422">
        <v>0</v>
      </c>
      <c r="G45" s="422">
        <v>0</v>
      </c>
      <c r="H45" s="422">
        <v>0</v>
      </c>
      <c r="I45" s="422">
        <v>0</v>
      </c>
      <c r="J45" s="422">
        <v>0</v>
      </c>
      <c r="K45" s="422">
        <v>0</v>
      </c>
      <c r="L45" s="422">
        <v>0</v>
      </c>
      <c r="M45" s="422">
        <v>0</v>
      </c>
      <c r="N45" s="422">
        <v>0</v>
      </c>
      <c r="O45" s="422">
        <v>0</v>
      </c>
      <c r="P45" s="422">
        <v>0</v>
      </c>
      <c r="Q45" s="422">
        <v>0</v>
      </c>
      <c r="R45" s="422">
        <v>0</v>
      </c>
      <c r="S45" s="422">
        <v>0</v>
      </c>
      <c r="T45" s="422">
        <v>0</v>
      </c>
      <c r="U45" s="422">
        <v>0</v>
      </c>
      <c r="W45" s="422">
        <f>L45</f>
        <v>0</v>
      </c>
      <c r="X45" s="422">
        <f>M45-W45</f>
        <v>0</v>
      </c>
      <c r="Y45" s="422">
        <f t="shared" ref="Y45:Z48" si="45">N45-M45</f>
        <v>0</v>
      </c>
      <c r="Z45" s="422">
        <f t="shared" si="45"/>
        <v>0</v>
      </c>
      <c r="AA45" s="422">
        <f>P45</f>
        <v>0</v>
      </c>
      <c r="AB45" s="422">
        <f t="shared" ref="AB45:AD48" si="46">Q45-P45</f>
        <v>0</v>
      </c>
      <c r="AC45" s="422">
        <f t="shared" si="46"/>
        <v>0</v>
      </c>
      <c r="AD45" s="422">
        <f t="shared" si="46"/>
        <v>0</v>
      </c>
      <c r="AE45" s="422">
        <f>T45</f>
        <v>0</v>
      </c>
      <c r="AF45" s="422">
        <f>U45-T45</f>
        <v>0</v>
      </c>
    </row>
    <row r="46" spans="1:32">
      <c r="A46" s="417" t="s">
        <v>654</v>
      </c>
      <c r="B46" s="417" t="s">
        <v>655</v>
      </c>
      <c r="D46" s="422">
        <v>0</v>
      </c>
      <c r="E46" s="422">
        <v>0</v>
      </c>
      <c r="F46" s="422">
        <v>0</v>
      </c>
      <c r="G46" s="422">
        <v>0</v>
      </c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>
        <v>0</v>
      </c>
      <c r="T46" s="422">
        <v>0</v>
      </c>
      <c r="U46" s="422">
        <v>0</v>
      </c>
      <c r="W46" s="422">
        <f>L46</f>
        <v>0</v>
      </c>
      <c r="X46" s="422">
        <f>M46-W46</f>
        <v>0</v>
      </c>
      <c r="Y46" s="422">
        <f t="shared" si="45"/>
        <v>0</v>
      </c>
      <c r="Z46" s="422">
        <f t="shared" si="45"/>
        <v>0</v>
      </c>
      <c r="AA46" s="422">
        <f>P46</f>
        <v>0</v>
      </c>
      <c r="AB46" s="422">
        <f t="shared" si="46"/>
        <v>0</v>
      </c>
      <c r="AC46" s="422">
        <f t="shared" si="46"/>
        <v>0</v>
      </c>
      <c r="AD46" s="422">
        <f t="shared" si="46"/>
        <v>0</v>
      </c>
      <c r="AE46" s="422">
        <f>T46</f>
        <v>0</v>
      </c>
      <c r="AF46" s="422">
        <f>U46-T46</f>
        <v>0</v>
      </c>
    </row>
    <row r="47" spans="1:32">
      <c r="A47" s="417" t="s">
        <v>656</v>
      </c>
      <c r="B47" s="417" t="s">
        <v>657</v>
      </c>
      <c r="D47" s="422">
        <v>0</v>
      </c>
      <c r="E47" s="422">
        <v>0</v>
      </c>
      <c r="F47" s="422">
        <v>0</v>
      </c>
      <c r="G47" s="422">
        <v>0</v>
      </c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>
        <v>0</v>
      </c>
      <c r="T47" s="422">
        <v>0</v>
      </c>
      <c r="U47" s="422">
        <v>0</v>
      </c>
      <c r="W47" s="422">
        <f>L47</f>
        <v>0</v>
      </c>
      <c r="X47" s="422">
        <f>M47-W47</f>
        <v>0</v>
      </c>
      <c r="Y47" s="422">
        <f t="shared" si="45"/>
        <v>0</v>
      </c>
      <c r="Z47" s="422">
        <f t="shared" si="45"/>
        <v>0</v>
      </c>
      <c r="AA47" s="422">
        <f>P47</f>
        <v>0</v>
      </c>
      <c r="AB47" s="422">
        <f t="shared" si="46"/>
        <v>0</v>
      </c>
      <c r="AC47" s="422">
        <f t="shared" si="46"/>
        <v>0</v>
      </c>
      <c r="AD47" s="422">
        <f t="shared" si="46"/>
        <v>0</v>
      </c>
      <c r="AE47" s="422">
        <f>T47</f>
        <v>0</v>
      </c>
      <c r="AF47" s="422">
        <f>U47-T47</f>
        <v>0</v>
      </c>
    </row>
    <row r="48" spans="1:32">
      <c r="A48" s="417" t="s">
        <v>658</v>
      </c>
      <c r="B48" s="417" t="s">
        <v>659</v>
      </c>
      <c r="D48" s="422">
        <v>0</v>
      </c>
      <c r="E48" s="422">
        <v>0</v>
      </c>
      <c r="F48" s="422">
        <v>0</v>
      </c>
      <c r="G48" s="422">
        <v>0</v>
      </c>
      <c r="H48" s="422">
        <v>0</v>
      </c>
      <c r="I48" s="422">
        <v>0</v>
      </c>
      <c r="J48" s="422">
        <v>0</v>
      </c>
      <c r="K48" s="422">
        <v>0</v>
      </c>
      <c r="L48" s="422">
        <v>0</v>
      </c>
      <c r="M48" s="422">
        <v>0</v>
      </c>
      <c r="N48" s="422">
        <v>0</v>
      </c>
      <c r="O48" s="422">
        <v>0</v>
      </c>
      <c r="P48" s="422">
        <v>0</v>
      </c>
      <c r="Q48" s="422">
        <v>0</v>
      </c>
      <c r="R48" s="422">
        <v>0</v>
      </c>
      <c r="S48" s="422">
        <v>0</v>
      </c>
      <c r="T48" s="422">
        <v>0</v>
      </c>
      <c r="U48" s="422">
        <v>0</v>
      </c>
      <c r="W48" s="422">
        <f>L48</f>
        <v>0</v>
      </c>
      <c r="X48" s="422">
        <f>M48-W48</f>
        <v>0</v>
      </c>
      <c r="Y48" s="422">
        <f t="shared" si="45"/>
        <v>0</v>
      </c>
      <c r="Z48" s="422">
        <f t="shared" si="45"/>
        <v>0</v>
      </c>
      <c r="AA48" s="422">
        <f>P48</f>
        <v>0</v>
      </c>
      <c r="AB48" s="422">
        <f t="shared" si="46"/>
        <v>0</v>
      </c>
      <c r="AC48" s="422">
        <f t="shared" si="46"/>
        <v>0</v>
      </c>
      <c r="AD48" s="422">
        <f t="shared" si="46"/>
        <v>0</v>
      </c>
      <c r="AE48" s="422">
        <f>T48</f>
        <v>0</v>
      </c>
      <c r="AF48" s="422">
        <f>U48-T48</f>
        <v>0</v>
      </c>
    </row>
    <row r="49" spans="1:32">
      <c r="A49" s="417" t="s">
        <v>660</v>
      </c>
      <c r="B49" s="417" t="s">
        <v>661</v>
      </c>
      <c r="D49" s="422">
        <f t="shared" ref="D49:I49" si="47">SUM(D50:D56)</f>
        <v>-17185</v>
      </c>
      <c r="E49" s="422">
        <f t="shared" si="47"/>
        <v>-28464</v>
      </c>
      <c r="F49" s="422">
        <f t="shared" si="47"/>
        <v>-42293</v>
      </c>
      <c r="G49" s="422">
        <f t="shared" si="47"/>
        <v>-71692</v>
      </c>
      <c r="H49" s="422">
        <f t="shared" si="47"/>
        <v>-22944</v>
      </c>
      <c r="I49" s="422">
        <f t="shared" si="47"/>
        <v>-49080</v>
      </c>
      <c r="J49" s="422">
        <f t="shared" ref="J49:T49" si="48">SUM(J50:J56)</f>
        <v>-80798</v>
      </c>
      <c r="K49" s="422">
        <f t="shared" si="48"/>
        <v>-120035</v>
      </c>
      <c r="L49" s="422">
        <f t="shared" si="48"/>
        <v>-39979</v>
      </c>
      <c r="M49" s="422">
        <f t="shared" si="48"/>
        <v>-88105</v>
      </c>
      <c r="N49" s="422">
        <f t="shared" si="48"/>
        <v>-129549</v>
      </c>
      <c r="O49" s="422">
        <f t="shared" si="48"/>
        <v>-169769</v>
      </c>
      <c r="P49" s="422">
        <f t="shared" si="48"/>
        <v>-48944</v>
      </c>
      <c r="Q49" s="422">
        <f t="shared" si="48"/>
        <v>-98586</v>
      </c>
      <c r="R49" s="422">
        <f t="shared" si="48"/>
        <v>-151153</v>
      </c>
      <c r="S49" s="422">
        <f t="shared" si="48"/>
        <v>-219681</v>
      </c>
      <c r="T49" s="422">
        <f t="shared" si="48"/>
        <v>-59463</v>
      </c>
      <c r="U49" s="422">
        <f>SUM(U50:U56)</f>
        <v>-115499</v>
      </c>
      <c r="W49" s="422">
        <f t="shared" ref="W49:AC49" si="49">SUM(W50:W56)</f>
        <v>-39979</v>
      </c>
      <c r="X49" s="422">
        <f t="shared" si="49"/>
        <v>-48126</v>
      </c>
      <c r="Y49" s="422">
        <f t="shared" si="49"/>
        <v>-41444</v>
      </c>
      <c r="Z49" s="422">
        <f t="shared" si="49"/>
        <v>-40220</v>
      </c>
      <c r="AA49" s="422">
        <f t="shared" si="49"/>
        <v>-48944</v>
      </c>
      <c r="AB49" s="422">
        <f t="shared" si="49"/>
        <v>-49642</v>
      </c>
      <c r="AC49" s="422">
        <f t="shared" si="49"/>
        <v>-52567</v>
      </c>
      <c r="AD49" s="422">
        <f t="shared" ref="AD49:AE49" si="50">SUM(AD50:AD56)</f>
        <v>-68528</v>
      </c>
      <c r="AE49" s="422">
        <f t="shared" si="50"/>
        <v>-59463</v>
      </c>
      <c r="AF49" s="422">
        <f>SUM(AF50:AF56)</f>
        <v>-56036</v>
      </c>
    </row>
    <row r="50" spans="1:32" outlineLevel="1">
      <c r="A50" s="418" t="s">
        <v>662</v>
      </c>
      <c r="B50" s="418" t="s">
        <v>663</v>
      </c>
      <c r="D50" s="423">
        <v>-8839</v>
      </c>
      <c r="E50" s="423">
        <v>-18212</v>
      </c>
      <c r="F50" s="423">
        <v>-30022</v>
      </c>
      <c r="G50" s="423">
        <v>-40668</v>
      </c>
      <c r="H50" s="423">
        <v>-14692</v>
      </c>
      <c r="I50" s="423">
        <v>-28740</v>
      </c>
      <c r="J50" s="423">
        <v>-43806</v>
      </c>
      <c r="K50" s="423">
        <v>-62780</v>
      </c>
      <c r="L50" s="423">
        <v>-23095</v>
      </c>
      <c r="M50" s="423">
        <v>-47246</v>
      </c>
      <c r="N50" s="423">
        <v>-71749</v>
      </c>
      <c r="O50" s="423">
        <v>-94733</v>
      </c>
      <c r="P50" s="423">
        <v>-29005</v>
      </c>
      <c r="Q50" s="423">
        <v>-57448</v>
      </c>
      <c r="R50" s="423">
        <v>-86546</v>
      </c>
      <c r="S50" s="423">
        <v>-119558</v>
      </c>
      <c r="T50" s="423">
        <v>-33210</v>
      </c>
      <c r="U50" s="423">
        <v>-63205</v>
      </c>
      <c r="W50" s="423">
        <f t="shared" ref="W50:W56" si="51">L50</f>
        <v>-23095</v>
      </c>
      <c r="X50" s="423">
        <f t="shared" ref="X50:X56" si="52">M50-W50</f>
        <v>-24151</v>
      </c>
      <c r="Y50" s="423">
        <f t="shared" ref="Y50:Z56" si="53">N50-M50</f>
        <v>-24503</v>
      </c>
      <c r="Z50" s="423">
        <f t="shared" si="53"/>
        <v>-22984</v>
      </c>
      <c r="AA50" s="423">
        <f t="shared" ref="AA50:AA56" si="54">P50</f>
        <v>-29005</v>
      </c>
      <c r="AB50" s="423">
        <f t="shared" ref="AB50:AB56" si="55">Q50-AA50</f>
        <v>-28443</v>
      </c>
      <c r="AC50" s="423">
        <f t="shared" ref="AC50:AD56" si="56">R50-Q50</f>
        <v>-29098</v>
      </c>
      <c r="AD50" s="423">
        <f t="shared" si="56"/>
        <v>-33012</v>
      </c>
      <c r="AE50" s="423">
        <f t="shared" ref="AE50:AE56" si="57">T50</f>
        <v>-33210</v>
      </c>
      <c r="AF50" s="423">
        <f t="shared" ref="AF50:AF56" si="58">U50-T50</f>
        <v>-29995</v>
      </c>
    </row>
    <row r="51" spans="1:32" outlineLevel="1">
      <c r="A51" s="418" t="s">
        <v>664</v>
      </c>
      <c r="B51" s="418" t="s">
        <v>665</v>
      </c>
      <c r="D51" s="423">
        <v>-5957</v>
      </c>
      <c r="E51" s="423">
        <v>-6281</v>
      </c>
      <c r="F51" s="423">
        <v>-6482</v>
      </c>
      <c r="G51" s="423">
        <v>-22839</v>
      </c>
      <c r="H51" s="423">
        <v>-2209</v>
      </c>
      <c r="I51" s="423">
        <v>-9940</v>
      </c>
      <c r="J51" s="423">
        <v>-12087</v>
      </c>
      <c r="K51" s="423">
        <v>-12286</v>
      </c>
      <c r="L51" s="423">
        <v>-643</v>
      </c>
      <c r="M51" s="423">
        <v>-1321</v>
      </c>
      <c r="N51" s="423">
        <v>-1920</v>
      </c>
      <c r="O51" s="423">
        <v>-2178</v>
      </c>
      <c r="P51" s="423">
        <v>-545</v>
      </c>
      <c r="Q51" s="423">
        <v>-1495</v>
      </c>
      <c r="R51" s="423">
        <v>-2221</v>
      </c>
      <c r="S51" s="423">
        <v>-2278</v>
      </c>
      <c r="T51" s="423">
        <v>-911</v>
      </c>
      <c r="U51" s="423">
        <v>-1770</v>
      </c>
      <c r="W51" s="423">
        <f t="shared" si="51"/>
        <v>-643</v>
      </c>
      <c r="X51" s="423">
        <f t="shared" si="52"/>
        <v>-678</v>
      </c>
      <c r="Y51" s="423">
        <f t="shared" si="53"/>
        <v>-599</v>
      </c>
      <c r="Z51" s="423">
        <f t="shared" si="53"/>
        <v>-258</v>
      </c>
      <c r="AA51" s="423">
        <f t="shared" si="54"/>
        <v>-545</v>
      </c>
      <c r="AB51" s="423">
        <f t="shared" si="55"/>
        <v>-950</v>
      </c>
      <c r="AC51" s="423">
        <f t="shared" si="56"/>
        <v>-726</v>
      </c>
      <c r="AD51" s="423">
        <f t="shared" si="56"/>
        <v>-57</v>
      </c>
      <c r="AE51" s="423">
        <f t="shared" si="57"/>
        <v>-911</v>
      </c>
      <c r="AF51" s="423">
        <f t="shared" si="58"/>
        <v>-859</v>
      </c>
    </row>
    <row r="52" spans="1:32" outlineLevel="1">
      <c r="A52" s="418" t="s">
        <v>666</v>
      </c>
      <c r="B52" s="418" t="s">
        <v>667</v>
      </c>
      <c r="D52" s="423">
        <v>-351</v>
      </c>
      <c r="E52" s="423">
        <v>-325</v>
      </c>
      <c r="F52" s="423">
        <v>-701</v>
      </c>
      <c r="G52" s="423">
        <v>-789</v>
      </c>
      <c r="H52" s="423">
        <v>-266</v>
      </c>
      <c r="I52" s="423">
        <v>-1338</v>
      </c>
      <c r="J52" s="423">
        <v>-3208</v>
      </c>
      <c r="K52" s="423">
        <v>-6441</v>
      </c>
      <c r="L52" s="423">
        <v>-2512</v>
      </c>
      <c r="M52" s="423">
        <v>-6497</v>
      </c>
      <c r="N52" s="423">
        <v>-8869</v>
      </c>
      <c r="O52" s="423">
        <v>-11165</v>
      </c>
      <c r="P52" s="423">
        <v>-3626</v>
      </c>
      <c r="Q52" s="423">
        <v>-7071</v>
      </c>
      <c r="R52" s="423">
        <v>-10648</v>
      </c>
      <c r="S52" s="423">
        <v>-14576</v>
      </c>
      <c r="T52" s="423">
        <v>-4728</v>
      </c>
      <c r="U52" s="423">
        <v>-9170</v>
      </c>
      <c r="W52" s="423">
        <f t="shared" si="51"/>
        <v>-2512</v>
      </c>
      <c r="X52" s="423">
        <f t="shared" si="52"/>
        <v>-3985</v>
      </c>
      <c r="Y52" s="423">
        <f t="shared" si="53"/>
        <v>-2372</v>
      </c>
      <c r="Z52" s="423">
        <f t="shared" si="53"/>
        <v>-2296</v>
      </c>
      <c r="AA52" s="423">
        <f t="shared" si="54"/>
        <v>-3626</v>
      </c>
      <c r="AB52" s="423">
        <f t="shared" si="55"/>
        <v>-3445</v>
      </c>
      <c r="AC52" s="423">
        <f t="shared" si="56"/>
        <v>-3577</v>
      </c>
      <c r="AD52" s="423">
        <f t="shared" si="56"/>
        <v>-3928</v>
      </c>
      <c r="AE52" s="423">
        <f t="shared" si="57"/>
        <v>-4728</v>
      </c>
      <c r="AF52" s="423">
        <f t="shared" si="58"/>
        <v>-4442</v>
      </c>
    </row>
    <row r="53" spans="1:32" outlineLevel="1">
      <c r="A53" s="418" t="s">
        <v>668</v>
      </c>
      <c r="B53" s="418" t="s">
        <v>669</v>
      </c>
      <c r="D53" s="423">
        <v>0</v>
      </c>
      <c r="E53" s="423">
        <v>-2</v>
      </c>
      <c r="F53" s="423">
        <v>-405</v>
      </c>
      <c r="G53" s="423">
        <v>-575</v>
      </c>
      <c r="H53" s="423">
        <v>-253</v>
      </c>
      <c r="I53" s="423">
        <v>-558</v>
      </c>
      <c r="J53" s="423">
        <v>-947</v>
      </c>
      <c r="K53" s="423">
        <v>-1338</v>
      </c>
      <c r="L53" s="423">
        <v>-391</v>
      </c>
      <c r="M53" s="423">
        <v>-946</v>
      </c>
      <c r="N53" s="423">
        <v>-1505</v>
      </c>
      <c r="O53" s="423">
        <v>-2065</v>
      </c>
      <c r="P53" s="423">
        <v>-393</v>
      </c>
      <c r="Q53" s="423">
        <v>-618</v>
      </c>
      <c r="R53" s="423">
        <v>-761</v>
      </c>
      <c r="S53" s="423">
        <v>-902</v>
      </c>
      <c r="T53" s="423">
        <v>-142</v>
      </c>
      <c r="U53" s="423">
        <v>-284</v>
      </c>
      <c r="W53" s="423">
        <f t="shared" si="51"/>
        <v>-391</v>
      </c>
      <c r="X53" s="423">
        <f t="shared" si="52"/>
        <v>-555</v>
      </c>
      <c r="Y53" s="423">
        <f t="shared" si="53"/>
        <v>-559</v>
      </c>
      <c r="Z53" s="423">
        <f t="shared" si="53"/>
        <v>-560</v>
      </c>
      <c r="AA53" s="423">
        <f t="shared" si="54"/>
        <v>-393</v>
      </c>
      <c r="AB53" s="423">
        <f t="shared" si="55"/>
        <v>-225</v>
      </c>
      <c r="AC53" s="423">
        <f t="shared" si="56"/>
        <v>-143</v>
      </c>
      <c r="AD53" s="423">
        <f t="shared" si="56"/>
        <v>-141</v>
      </c>
      <c r="AE53" s="423">
        <f t="shared" si="57"/>
        <v>-142</v>
      </c>
      <c r="AF53" s="423">
        <f t="shared" si="58"/>
        <v>-142</v>
      </c>
    </row>
    <row r="54" spans="1:32" outlineLevel="1">
      <c r="A54" s="418" t="s">
        <v>670</v>
      </c>
      <c r="B54" s="418" t="s">
        <v>671</v>
      </c>
      <c r="D54" s="423">
        <v>0</v>
      </c>
      <c r="E54" s="423">
        <v>0</v>
      </c>
      <c r="F54" s="423">
        <v>0</v>
      </c>
      <c r="G54" s="423">
        <v>0</v>
      </c>
      <c r="H54" s="423">
        <v>0</v>
      </c>
      <c r="I54" s="423">
        <v>0</v>
      </c>
      <c r="J54" s="423">
        <v>0</v>
      </c>
      <c r="K54" s="423">
        <v>0</v>
      </c>
      <c r="L54" s="423">
        <v>0</v>
      </c>
      <c r="M54" s="423">
        <v>0</v>
      </c>
      <c r="N54" s="423">
        <v>-14</v>
      </c>
      <c r="O54" s="423">
        <v>0</v>
      </c>
      <c r="P54" s="423">
        <v>0</v>
      </c>
      <c r="Q54" s="423">
        <v>-35</v>
      </c>
      <c r="R54" s="423">
        <v>-74</v>
      </c>
      <c r="S54" s="423">
        <v>-74</v>
      </c>
      <c r="T54" s="423">
        <v>0</v>
      </c>
      <c r="U54" s="423">
        <v>0</v>
      </c>
      <c r="W54" s="423">
        <f t="shared" si="51"/>
        <v>0</v>
      </c>
      <c r="X54" s="423">
        <f t="shared" si="52"/>
        <v>0</v>
      </c>
      <c r="Y54" s="423">
        <f t="shared" si="53"/>
        <v>-14</v>
      </c>
      <c r="Z54" s="423">
        <f t="shared" si="53"/>
        <v>14</v>
      </c>
      <c r="AA54" s="423">
        <f t="shared" si="54"/>
        <v>0</v>
      </c>
      <c r="AB54" s="423">
        <f t="shared" si="55"/>
        <v>-35</v>
      </c>
      <c r="AC54" s="423">
        <f t="shared" si="56"/>
        <v>-39</v>
      </c>
      <c r="AD54" s="423">
        <f t="shared" si="56"/>
        <v>0</v>
      </c>
      <c r="AE54" s="423">
        <f t="shared" si="57"/>
        <v>0</v>
      </c>
      <c r="AF54" s="423">
        <f t="shared" si="58"/>
        <v>0</v>
      </c>
    </row>
    <row r="55" spans="1:32" outlineLevel="1">
      <c r="A55" s="418" t="s">
        <v>672</v>
      </c>
      <c r="B55" s="418" t="s">
        <v>673</v>
      </c>
      <c r="D55" s="423">
        <v>-80</v>
      </c>
      <c r="E55" s="423">
        <v>-135</v>
      </c>
      <c r="F55" s="423">
        <v>-190</v>
      </c>
      <c r="G55" s="423">
        <v>-340</v>
      </c>
      <c r="H55" s="423">
        <v>-92</v>
      </c>
      <c r="I55" s="423">
        <v>-197</v>
      </c>
      <c r="J55" s="423">
        <v>-496</v>
      </c>
      <c r="K55" s="423">
        <v>-557</v>
      </c>
      <c r="L55" s="423">
        <v>-138</v>
      </c>
      <c r="M55" s="423">
        <v>-787</v>
      </c>
      <c r="N55" s="423">
        <v>-1320</v>
      </c>
      <c r="O55" s="423">
        <v>-1910</v>
      </c>
      <c r="P55" s="423">
        <v>-156</v>
      </c>
      <c r="Q55" s="423">
        <v>-483</v>
      </c>
      <c r="R55" s="423">
        <v>-752</v>
      </c>
      <c r="S55" s="423">
        <v>-1037</v>
      </c>
      <c r="T55" s="423">
        <v>-365</v>
      </c>
      <c r="U55" s="423">
        <v>-662</v>
      </c>
      <c r="W55" s="423">
        <f t="shared" si="51"/>
        <v>-138</v>
      </c>
      <c r="X55" s="423">
        <f t="shared" si="52"/>
        <v>-649</v>
      </c>
      <c r="Y55" s="423">
        <f t="shared" si="53"/>
        <v>-533</v>
      </c>
      <c r="Z55" s="423">
        <f t="shared" si="53"/>
        <v>-590</v>
      </c>
      <c r="AA55" s="423">
        <f t="shared" si="54"/>
        <v>-156</v>
      </c>
      <c r="AB55" s="423">
        <f t="shared" si="55"/>
        <v>-327</v>
      </c>
      <c r="AC55" s="423">
        <f t="shared" si="56"/>
        <v>-269</v>
      </c>
      <c r="AD55" s="423">
        <f t="shared" si="56"/>
        <v>-285</v>
      </c>
      <c r="AE55" s="423">
        <f t="shared" si="57"/>
        <v>-365</v>
      </c>
      <c r="AF55" s="423">
        <f t="shared" si="58"/>
        <v>-297</v>
      </c>
    </row>
    <row r="56" spans="1:32" outlineLevel="1">
      <c r="A56" s="418" t="s">
        <v>674</v>
      </c>
      <c r="B56" s="418" t="s">
        <v>675</v>
      </c>
      <c r="D56" s="423">
        <v>-1958</v>
      </c>
      <c r="E56" s="423">
        <v>-3509</v>
      </c>
      <c r="F56" s="423">
        <v>-4493</v>
      </c>
      <c r="G56" s="423">
        <v>-6481</v>
      </c>
      <c r="H56" s="423">
        <v>-5432</v>
      </c>
      <c r="I56" s="423">
        <v>-8307</v>
      </c>
      <c r="J56" s="423">
        <v>-20254</v>
      </c>
      <c r="K56" s="423">
        <v>-36633</v>
      </c>
      <c r="L56" s="423">
        <v>-13200</v>
      </c>
      <c r="M56" s="423">
        <v>-31308</v>
      </c>
      <c r="N56" s="423">
        <v>-44172</v>
      </c>
      <c r="O56" s="423">
        <v>-57718</v>
      </c>
      <c r="P56" s="423">
        <v>-15219</v>
      </c>
      <c r="Q56" s="423">
        <v>-31436</v>
      </c>
      <c r="R56" s="423">
        <v>-50151</v>
      </c>
      <c r="S56" s="423">
        <v>-81256</v>
      </c>
      <c r="T56" s="423">
        <v>-20107</v>
      </c>
      <c r="U56" s="423">
        <v>-40408</v>
      </c>
      <c r="W56" s="423">
        <f t="shared" si="51"/>
        <v>-13200</v>
      </c>
      <c r="X56" s="423">
        <f t="shared" si="52"/>
        <v>-18108</v>
      </c>
      <c r="Y56" s="423">
        <f t="shared" si="53"/>
        <v>-12864</v>
      </c>
      <c r="Z56" s="423">
        <f t="shared" si="53"/>
        <v>-13546</v>
      </c>
      <c r="AA56" s="423">
        <f t="shared" si="54"/>
        <v>-15219</v>
      </c>
      <c r="AB56" s="423">
        <f t="shared" si="55"/>
        <v>-16217</v>
      </c>
      <c r="AC56" s="423">
        <f t="shared" si="56"/>
        <v>-18715</v>
      </c>
      <c r="AD56" s="423">
        <f t="shared" si="56"/>
        <v>-31105</v>
      </c>
      <c r="AE56" s="423">
        <f t="shared" si="57"/>
        <v>-20107</v>
      </c>
      <c r="AF56" s="423">
        <f t="shared" si="58"/>
        <v>-20301</v>
      </c>
    </row>
    <row r="57" spans="1:32">
      <c r="A57" s="417"/>
      <c r="B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</row>
    <row r="58" spans="1:32">
      <c r="A58" s="429" t="s">
        <v>676</v>
      </c>
      <c r="B58" s="429" t="s">
        <v>677</v>
      </c>
      <c r="D58" s="420">
        <f t="shared" ref="D58:I58" si="59">D39+D41</f>
        <v>16739</v>
      </c>
      <c r="E58" s="420">
        <f t="shared" si="59"/>
        <v>45654</v>
      </c>
      <c r="F58" s="420">
        <f t="shared" si="59"/>
        <v>57586</v>
      </c>
      <c r="G58" s="420">
        <f t="shared" si="59"/>
        <v>51384</v>
      </c>
      <c r="H58" s="420">
        <f t="shared" si="59"/>
        <v>109730</v>
      </c>
      <c r="I58" s="420">
        <f t="shared" si="59"/>
        <v>173220</v>
      </c>
      <c r="J58" s="420">
        <f t="shared" ref="J58:T58" si="60">J39+J41</f>
        <v>243127</v>
      </c>
      <c r="K58" s="420">
        <f t="shared" si="60"/>
        <v>86870</v>
      </c>
      <c r="L58" s="420">
        <f t="shared" si="60"/>
        <v>57677</v>
      </c>
      <c r="M58" s="420">
        <f t="shared" si="60"/>
        <v>79871</v>
      </c>
      <c r="N58" s="420">
        <f t="shared" si="60"/>
        <v>79723</v>
      </c>
      <c r="O58" s="420">
        <f t="shared" si="60"/>
        <v>99822</v>
      </c>
      <c r="P58" s="420">
        <f t="shared" si="60"/>
        <v>32863</v>
      </c>
      <c r="Q58" s="420">
        <f t="shared" si="60"/>
        <v>60601</v>
      </c>
      <c r="R58" s="420">
        <f t="shared" si="60"/>
        <v>83045</v>
      </c>
      <c r="S58" s="420">
        <f t="shared" si="60"/>
        <v>182167</v>
      </c>
      <c r="T58" s="741">
        <f t="shared" si="60"/>
        <v>-44877</v>
      </c>
      <c r="U58" s="741">
        <f>U39+U41</f>
        <v>-63729</v>
      </c>
      <c r="W58" s="420">
        <f t="shared" ref="W58:AC58" si="61">W39+W41</f>
        <v>57677</v>
      </c>
      <c r="X58" s="420">
        <f t="shared" si="61"/>
        <v>22194</v>
      </c>
      <c r="Y58" s="420">
        <f t="shared" si="61"/>
        <v>-148</v>
      </c>
      <c r="Z58" s="420">
        <f t="shared" si="61"/>
        <v>20099</v>
      </c>
      <c r="AA58" s="420">
        <f t="shared" si="61"/>
        <v>32863</v>
      </c>
      <c r="AB58" s="420">
        <f t="shared" si="61"/>
        <v>27738</v>
      </c>
      <c r="AC58" s="420">
        <f t="shared" si="61"/>
        <v>22444</v>
      </c>
      <c r="AD58" s="420">
        <f t="shared" ref="AD58:AE58" si="62">AD39+AD41</f>
        <v>99122</v>
      </c>
      <c r="AE58" s="420">
        <f t="shared" si="62"/>
        <v>-44877</v>
      </c>
      <c r="AF58" s="741">
        <f>AF39+AF41</f>
        <v>-18852</v>
      </c>
    </row>
    <row r="59" spans="1:32">
      <c r="A59" s="417"/>
      <c r="B59" s="417"/>
      <c r="D59" s="417"/>
      <c r="E59" s="417"/>
      <c r="F59" s="417"/>
      <c r="G59" s="417"/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</row>
    <row r="60" spans="1:32">
      <c r="A60" s="416" t="s">
        <v>678</v>
      </c>
      <c r="B60" s="416" t="s">
        <v>679</v>
      </c>
      <c r="D60" s="424">
        <f t="shared" ref="D60:I60" si="63">D62+D68+D69+D78+D79</f>
        <v>-12951</v>
      </c>
      <c r="E60" s="424">
        <f t="shared" si="63"/>
        <v>-33909</v>
      </c>
      <c r="F60" s="424">
        <f t="shared" si="63"/>
        <v>-51875</v>
      </c>
      <c r="G60" s="424">
        <f t="shared" si="63"/>
        <v>-81398</v>
      </c>
      <c r="H60" s="424">
        <f t="shared" si="63"/>
        <v>-25353</v>
      </c>
      <c r="I60" s="424">
        <f t="shared" si="63"/>
        <v>-48650</v>
      </c>
      <c r="J60" s="424">
        <f t="shared" ref="J60:T60" si="64">J62+J68+J69+J78+J79</f>
        <v>-74397</v>
      </c>
      <c r="K60" s="424">
        <f t="shared" si="64"/>
        <v>-97643</v>
      </c>
      <c r="L60" s="424">
        <f t="shared" si="64"/>
        <v>-30369</v>
      </c>
      <c r="M60" s="424">
        <f t="shared" si="64"/>
        <v>-46727</v>
      </c>
      <c r="N60" s="424">
        <f t="shared" si="64"/>
        <v>-61361</v>
      </c>
      <c r="O60" s="424">
        <f t="shared" si="64"/>
        <v>-81111</v>
      </c>
      <c r="P60" s="424">
        <f t="shared" si="64"/>
        <v>-14082</v>
      </c>
      <c r="Q60" s="424">
        <f t="shared" si="64"/>
        <v>-25071</v>
      </c>
      <c r="R60" s="424">
        <f t="shared" si="64"/>
        <v>-45960</v>
      </c>
      <c r="S60" s="424">
        <f t="shared" si="64"/>
        <v>-85959</v>
      </c>
      <c r="T60" s="424">
        <f t="shared" si="64"/>
        <v>-19963</v>
      </c>
      <c r="U60" s="424">
        <f>U62+U68+U69+U78+U79</f>
        <v>-40037</v>
      </c>
      <c r="W60" s="424">
        <f t="shared" ref="W60:AC60" si="65">W62+W68+W69+W78+W79</f>
        <v>-30369</v>
      </c>
      <c r="X60" s="424">
        <f t="shared" si="65"/>
        <v>-16358</v>
      </c>
      <c r="Y60" s="424">
        <f t="shared" si="65"/>
        <v>-14634</v>
      </c>
      <c r="Z60" s="424">
        <f t="shared" si="65"/>
        <v>-19750</v>
      </c>
      <c r="AA60" s="424">
        <f t="shared" si="65"/>
        <v>-14082</v>
      </c>
      <c r="AB60" s="424">
        <f t="shared" si="65"/>
        <v>-10989</v>
      </c>
      <c r="AC60" s="424">
        <f t="shared" si="65"/>
        <v>-20889</v>
      </c>
      <c r="AD60" s="424">
        <f t="shared" ref="AD60:AE60" si="66">AD62+AD68+AD69+AD78+AD79</f>
        <v>-39999</v>
      </c>
      <c r="AE60" s="424">
        <f t="shared" si="66"/>
        <v>-19963</v>
      </c>
      <c r="AF60" s="424">
        <f>AF62+AF68+AF69+AF78+AF79</f>
        <v>-20074</v>
      </c>
    </row>
    <row r="61" spans="1:32">
      <c r="A61" s="416"/>
      <c r="B61" s="416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W61" s="421"/>
      <c r="X61" s="421"/>
      <c r="Y61" s="421"/>
      <c r="Z61" s="421"/>
      <c r="AA61" s="421"/>
      <c r="AB61" s="421"/>
      <c r="AC61" s="421"/>
      <c r="AD61" s="421"/>
      <c r="AE61" s="421"/>
      <c r="AF61" s="421"/>
    </row>
    <row r="62" spans="1:32">
      <c r="A62" s="419" t="s">
        <v>680</v>
      </c>
      <c r="B62" s="419" t="s">
        <v>681</v>
      </c>
      <c r="D62" s="422">
        <f t="shared" ref="D62:I62" si="67">SUM(D63:D67)</f>
        <v>-4027</v>
      </c>
      <c r="E62" s="422">
        <f t="shared" si="67"/>
        <v>-11334</v>
      </c>
      <c r="F62" s="422">
        <f t="shared" si="67"/>
        <v>-16180</v>
      </c>
      <c r="G62" s="422">
        <f t="shared" si="67"/>
        <v>-22364</v>
      </c>
      <c r="H62" s="422">
        <f t="shared" si="67"/>
        <v>-8965</v>
      </c>
      <c r="I62" s="422">
        <f t="shared" si="67"/>
        <v>-14507</v>
      </c>
      <c r="J62" s="422">
        <f t="shared" ref="J62:T62" si="68">SUM(J63:J67)</f>
        <v>-22695</v>
      </c>
      <c r="K62" s="422">
        <f t="shared" si="68"/>
        <v>-38989</v>
      </c>
      <c r="L62" s="422">
        <f t="shared" si="68"/>
        <v>-10298</v>
      </c>
      <c r="M62" s="422">
        <f t="shared" si="68"/>
        <v>-14134</v>
      </c>
      <c r="N62" s="422">
        <f t="shared" si="68"/>
        <v>-26450</v>
      </c>
      <c r="O62" s="422">
        <f t="shared" si="68"/>
        <v>-30573</v>
      </c>
      <c r="P62" s="422">
        <f t="shared" si="68"/>
        <v>-4824</v>
      </c>
      <c r="Q62" s="422">
        <f t="shared" si="68"/>
        <v>-8570</v>
      </c>
      <c r="R62" s="422">
        <f t="shared" si="68"/>
        <v>-19890</v>
      </c>
      <c r="S62" s="422">
        <f t="shared" si="68"/>
        <v>-27483</v>
      </c>
      <c r="T62" s="422">
        <f t="shared" si="68"/>
        <v>-9307</v>
      </c>
      <c r="U62" s="422">
        <f>SUM(U63:U67)</f>
        <v>-17970</v>
      </c>
      <c r="W62" s="422">
        <f t="shared" ref="W62:AC62" si="69">SUM(W63:W67)</f>
        <v>-10298</v>
      </c>
      <c r="X62" s="422">
        <f t="shared" si="69"/>
        <v>-3836</v>
      </c>
      <c r="Y62" s="422">
        <f t="shared" si="69"/>
        <v>-12316</v>
      </c>
      <c r="Z62" s="422">
        <f t="shared" si="69"/>
        <v>-4123</v>
      </c>
      <c r="AA62" s="422">
        <f t="shared" si="69"/>
        <v>-4824</v>
      </c>
      <c r="AB62" s="422">
        <f t="shared" si="69"/>
        <v>-3746</v>
      </c>
      <c r="AC62" s="422">
        <f t="shared" si="69"/>
        <v>-11320</v>
      </c>
      <c r="AD62" s="422">
        <f t="shared" ref="AD62:AE62" si="70">SUM(AD63:AD67)</f>
        <v>-7593</v>
      </c>
      <c r="AE62" s="422">
        <f t="shared" si="70"/>
        <v>-9307</v>
      </c>
      <c r="AF62" s="422">
        <f>SUM(AF63:AF67)</f>
        <v>-8663</v>
      </c>
    </row>
    <row r="63" spans="1:32" outlineLevel="1">
      <c r="A63" s="418" t="s">
        <v>682</v>
      </c>
      <c r="B63" s="418" t="s">
        <v>683</v>
      </c>
      <c r="D63" s="423">
        <v>-3108</v>
      </c>
      <c r="E63" s="423">
        <v>-8064</v>
      </c>
      <c r="F63" s="423">
        <v>-11297</v>
      </c>
      <c r="G63" s="423">
        <v>-15337</v>
      </c>
      <c r="H63" s="423">
        <v>-4322</v>
      </c>
      <c r="I63" s="423">
        <v>-8252</v>
      </c>
      <c r="J63" s="423">
        <v>-12797</v>
      </c>
      <c r="K63" s="423">
        <v>-17521</v>
      </c>
      <c r="L63" s="423">
        <v>-4397</v>
      </c>
      <c r="M63" s="423">
        <v>-8032</v>
      </c>
      <c r="N63" s="423">
        <v>-12001</v>
      </c>
      <c r="O63" s="423">
        <v>-15336</v>
      </c>
      <c r="P63" s="423">
        <v>-3567</v>
      </c>
      <c r="Q63" s="423">
        <v>-6722</v>
      </c>
      <c r="R63" s="423">
        <v>-11038</v>
      </c>
      <c r="S63" s="423">
        <v>-14516</v>
      </c>
      <c r="T63" s="423">
        <v>-4648</v>
      </c>
      <c r="U63" s="423">
        <v>-9789</v>
      </c>
      <c r="W63" s="423">
        <f t="shared" ref="W63:W68" si="71">L63</f>
        <v>-4397</v>
      </c>
      <c r="X63" s="423">
        <f t="shared" ref="X63:X68" si="72">M63-W63</f>
        <v>-3635</v>
      </c>
      <c r="Y63" s="423">
        <f t="shared" ref="Y63:Z68" si="73">N63-M63</f>
        <v>-3969</v>
      </c>
      <c r="Z63" s="423">
        <f t="shared" si="73"/>
        <v>-3335</v>
      </c>
      <c r="AA63" s="423">
        <f t="shared" ref="AA63:AA68" si="74">P63</f>
        <v>-3567</v>
      </c>
      <c r="AB63" s="423">
        <f t="shared" ref="AB63:AB68" si="75">Q63-AA63</f>
        <v>-3155</v>
      </c>
      <c r="AC63" s="423">
        <f t="shared" ref="AC63:AD68" si="76">R63-Q63</f>
        <v>-4316</v>
      </c>
      <c r="AD63" s="423">
        <f t="shared" si="76"/>
        <v>-3478</v>
      </c>
      <c r="AE63" s="423">
        <f t="shared" ref="AE63:AE68" si="77">T63</f>
        <v>-4648</v>
      </c>
      <c r="AF63" s="423">
        <f t="shared" ref="AF63:AF68" si="78">U63-T63</f>
        <v>-5141</v>
      </c>
    </row>
    <row r="64" spans="1:32" outlineLevel="1">
      <c r="A64" s="418" t="s">
        <v>684</v>
      </c>
      <c r="B64" s="418" t="s">
        <v>685</v>
      </c>
      <c r="D64" s="423">
        <v>-41</v>
      </c>
      <c r="E64" s="423">
        <v>-237</v>
      </c>
      <c r="F64" s="423">
        <v>-327</v>
      </c>
      <c r="G64" s="423">
        <v>-537</v>
      </c>
      <c r="H64" s="423">
        <v>-242</v>
      </c>
      <c r="I64" s="423">
        <v>-388</v>
      </c>
      <c r="J64" s="423">
        <v>-576</v>
      </c>
      <c r="K64" s="423">
        <v>-805</v>
      </c>
      <c r="L64" s="423">
        <v>-256</v>
      </c>
      <c r="M64" s="423">
        <v>-80</v>
      </c>
      <c r="N64" s="423">
        <v>-842</v>
      </c>
      <c r="O64" s="423">
        <v>-264</v>
      </c>
      <c r="P64" s="423">
        <v>-247</v>
      </c>
      <c r="Q64" s="423">
        <v>-164</v>
      </c>
      <c r="R64" s="423">
        <v>-156</v>
      </c>
      <c r="S64" s="423">
        <v>-407</v>
      </c>
      <c r="T64" s="423">
        <v>-26</v>
      </c>
      <c r="U64" s="423">
        <v>-52</v>
      </c>
      <c r="W64" s="423">
        <f t="shared" si="71"/>
        <v>-256</v>
      </c>
      <c r="X64" s="423">
        <f t="shared" si="72"/>
        <v>176</v>
      </c>
      <c r="Y64" s="423">
        <f t="shared" si="73"/>
        <v>-762</v>
      </c>
      <c r="Z64" s="423">
        <f t="shared" si="73"/>
        <v>578</v>
      </c>
      <c r="AA64" s="423">
        <f t="shared" si="74"/>
        <v>-247</v>
      </c>
      <c r="AB64" s="423">
        <f t="shared" si="75"/>
        <v>83</v>
      </c>
      <c r="AC64" s="423">
        <f t="shared" si="76"/>
        <v>8</v>
      </c>
      <c r="AD64" s="423">
        <f t="shared" si="76"/>
        <v>-251</v>
      </c>
      <c r="AE64" s="423">
        <f t="shared" si="77"/>
        <v>-26</v>
      </c>
      <c r="AF64" s="423">
        <f t="shared" si="78"/>
        <v>-26</v>
      </c>
    </row>
    <row r="65" spans="1:32" outlineLevel="1">
      <c r="A65" s="418" t="s">
        <v>686</v>
      </c>
      <c r="B65" s="418" t="s">
        <v>687</v>
      </c>
      <c r="D65" s="423">
        <v>-162</v>
      </c>
      <c r="E65" s="423">
        <v>-464</v>
      </c>
      <c r="F65" s="423">
        <v>-749</v>
      </c>
      <c r="G65" s="423">
        <v>-1254</v>
      </c>
      <c r="H65" s="423">
        <v>-403</v>
      </c>
      <c r="I65" s="423">
        <v>-900</v>
      </c>
      <c r="J65" s="423">
        <v>-1288</v>
      </c>
      <c r="K65" s="423">
        <v>-1474</v>
      </c>
      <c r="L65" s="423">
        <v>-627</v>
      </c>
      <c r="M65" s="423">
        <v>850</v>
      </c>
      <c r="N65" s="423">
        <v>-338</v>
      </c>
      <c r="O65" s="423">
        <v>-417</v>
      </c>
      <c r="P65" s="423">
        <v>-34</v>
      </c>
      <c r="Q65" s="423">
        <v>-223</v>
      </c>
      <c r="R65" s="423">
        <v>-404</v>
      </c>
      <c r="S65" s="423">
        <v>-609</v>
      </c>
      <c r="T65" s="423">
        <v>-282</v>
      </c>
      <c r="U65" s="423">
        <v>-716</v>
      </c>
      <c r="W65" s="423">
        <f t="shared" si="71"/>
        <v>-627</v>
      </c>
      <c r="X65" s="423">
        <f t="shared" si="72"/>
        <v>1477</v>
      </c>
      <c r="Y65" s="423">
        <f t="shared" si="73"/>
        <v>-1188</v>
      </c>
      <c r="Z65" s="423">
        <f t="shared" si="73"/>
        <v>-79</v>
      </c>
      <c r="AA65" s="423">
        <f t="shared" si="74"/>
        <v>-34</v>
      </c>
      <c r="AB65" s="423">
        <f t="shared" si="75"/>
        <v>-189</v>
      </c>
      <c r="AC65" s="423">
        <f t="shared" si="76"/>
        <v>-181</v>
      </c>
      <c r="AD65" s="423">
        <f t="shared" si="76"/>
        <v>-205</v>
      </c>
      <c r="AE65" s="423">
        <f t="shared" si="77"/>
        <v>-282</v>
      </c>
      <c r="AF65" s="423">
        <f t="shared" si="78"/>
        <v>-434</v>
      </c>
    </row>
    <row r="66" spans="1:32" outlineLevel="1">
      <c r="A66" s="418" t="s">
        <v>688</v>
      </c>
      <c r="B66" s="418" t="s">
        <v>689</v>
      </c>
      <c r="D66" s="423">
        <v>-13</v>
      </c>
      <c r="E66" s="423">
        <v>-39</v>
      </c>
      <c r="F66" s="423">
        <v>-60</v>
      </c>
      <c r="G66" s="423">
        <v>-86</v>
      </c>
      <c r="H66" s="423">
        <v>-19</v>
      </c>
      <c r="I66" s="423">
        <v>-38</v>
      </c>
      <c r="J66" s="423">
        <v>-60</v>
      </c>
      <c r="K66" s="423">
        <v>-83</v>
      </c>
      <c r="L66" s="423">
        <v>-22</v>
      </c>
      <c r="M66" s="423">
        <v>-17</v>
      </c>
      <c r="N66" s="423">
        <v>-29</v>
      </c>
      <c r="O66" s="423">
        <v>-49</v>
      </c>
      <c r="P66" s="423">
        <v>-12</v>
      </c>
      <c r="Q66" s="423">
        <v>-18</v>
      </c>
      <c r="R66" s="423">
        <v>-7</v>
      </c>
      <c r="S66" s="423">
        <v>-15</v>
      </c>
      <c r="T66" s="423">
        <v>-12</v>
      </c>
      <c r="U66" s="423">
        <v>-21</v>
      </c>
      <c r="W66" s="423">
        <f t="shared" si="71"/>
        <v>-22</v>
      </c>
      <c r="X66" s="423">
        <f t="shared" si="72"/>
        <v>5</v>
      </c>
      <c r="Y66" s="423">
        <f t="shared" si="73"/>
        <v>-12</v>
      </c>
      <c r="Z66" s="423">
        <f t="shared" si="73"/>
        <v>-20</v>
      </c>
      <c r="AA66" s="423">
        <f t="shared" si="74"/>
        <v>-12</v>
      </c>
      <c r="AB66" s="423">
        <f t="shared" si="75"/>
        <v>-6</v>
      </c>
      <c r="AC66" s="423">
        <f t="shared" si="76"/>
        <v>11</v>
      </c>
      <c r="AD66" s="423">
        <f t="shared" si="76"/>
        <v>-8</v>
      </c>
      <c r="AE66" s="423">
        <f t="shared" si="77"/>
        <v>-12</v>
      </c>
      <c r="AF66" s="423">
        <f t="shared" si="78"/>
        <v>-9</v>
      </c>
    </row>
    <row r="67" spans="1:32" outlineLevel="1">
      <c r="A67" s="418" t="s">
        <v>690</v>
      </c>
      <c r="B67" s="418" t="s">
        <v>691</v>
      </c>
      <c r="D67" s="423">
        <v>-703</v>
      </c>
      <c r="E67" s="423">
        <v>-2530</v>
      </c>
      <c r="F67" s="423">
        <v>-3747</v>
      </c>
      <c r="G67" s="423">
        <v>-5150</v>
      </c>
      <c r="H67" s="423">
        <v>-3979</v>
      </c>
      <c r="I67" s="423">
        <v>-4929</v>
      </c>
      <c r="J67" s="423">
        <v>-7974</v>
      </c>
      <c r="K67" s="423">
        <v>-19106</v>
      </c>
      <c r="L67" s="423">
        <v>-4996</v>
      </c>
      <c r="M67" s="423">
        <v>-6855</v>
      </c>
      <c r="N67" s="423">
        <v>-13240</v>
      </c>
      <c r="O67" s="423">
        <v>-14507</v>
      </c>
      <c r="P67" s="423">
        <v>-964</v>
      </c>
      <c r="Q67" s="423">
        <v>-1443</v>
      </c>
      <c r="R67" s="423">
        <v>-8285</v>
      </c>
      <c r="S67" s="423">
        <v>-11936</v>
      </c>
      <c r="T67" s="423">
        <v>-4339</v>
      </c>
      <c r="U67" s="423">
        <v>-7392</v>
      </c>
      <c r="W67" s="423">
        <f t="shared" si="71"/>
        <v>-4996</v>
      </c>
      <c r="X67" s="423">
        <f t="shared" si="72"/>
        <v>-1859</v>
      </c>
      <c r="Y67" s="423">
        <f t="shared" si="73"/>
        <v>-6385</v>
      </c>
      <c r="Z67" s="423">
        <f t="shared" si="73"/>
        <v>-1267</v>
      </c>
      <c r="AA67" s="423">
        <f t="shared" si="74"/>
        <v>-964</v>
      </c>
      <c r="AB67" s="423">
        <f t="shared" si="75"/>
        <v>-479</v>
      </c>
      <c r="AC67" s="423">
        <f t="shared" si="76"/>
        <v>-6842</v>
      </c>
      <c r="AD67" s="423">
        <f t="shared" si="76"/>
        <v>-3651</v>
      </c>
      <c r="AE67" s="423">
        <f t="shared" si="77"/>
        <v>-4339</v>
      </c>
      <c r="AF67" s="423">
        <f t="shared" si="78"/>
        <v>-3053</v>
      </c>
    </row>
    <row r="68" spans="1:32">
      <c r="A68" s="417" t="s">
        <v>692</v>
      </c>
      <c r="B68" s="417" t="s">
        <v>693</v>
      </c>
      <c r="D68" s="425">
        <v>24</v>
      </c>
      <c r="E68" s="425">
        <v>14</v>
      </c>
      <c r="F68" s="425">
        <v>17</v>
      </c>
      <c r="G68" s="425">
        <v>-5</v>
      </c>
      <c r="H68" s="425">
        <v>-770</v>
      </c>
      <c r="I68" s="425">
        <v>-290</v>
      </c>
      <c r="J68" s="425">
        <v>-339</v>
      </c>
      <c r="K68" s="425">
        <v>-709</v>
      </c>
      <c r="L68" s="425">
        <v>-97</v>
      </c>
      <c r="M68" s="425">
        <v>-1240</v>
      </c>
      <c r="N68" s="425">
        <v>-1336</v>
      </c>
      <c r="O68" s="425">
        <v>-12699</v>
      </c>
      <c r="P68" s="425">
        <v>-62</v>
      </c>
      <c r="Q68" s="425">
        <v>-94</v>
      </c>
      <c r="R68" s="425">
        <v>-96</v>
      </c>
      <c r="S68" s="425">
        <v>-13084</v>
      </c>
      <c r="T68" s="425">
        <v>-1212</v>
      </c>
      <c r="U68" s="756">
        <v>-2160</v>
      </c>
      <c r="W68" s="425">
        <f t="shared" si="71"/>
        <v>-97</v>
      </c>
      <c r="X68" s="425">
        <f t="shared" si="72"/>
        <v>-1143</v>
      </c>
      <c r="Y68" s="425">
        <f t="shared" si="73"/>
        <v>-96</v>
      </c>
      <c r="Z68" s="425">
        <f t="shared" si="73"/>
        <v>-11363</v>
      </c>
      <c r="AA68" s="425">
        <f t="shared" si="74"/>
        <v>-62</v>
      </c>
      <c r="AB68" s="425">
        <f t="shared" si="75"/>
        <v>-32</v>
      </c>
      <c r="AC68" s="425">
        <f t="shared" si="76"/>
        <v>-2</v>
      </c>
      <c r="AD68" s="425">
        <f t="shared" si="76"/>
        <v>-12988</v>
      </c>
      <c r="AE68" s="425">
        <f t="shared" si="77"/>
        <v>-1212</v>
      </c>
      <c r="AF68" s="756">
        <f t="shared" si="78"/>
        <v>-948</v>
      </c>
    </row>
    <row r="69" spans="1:32">
      <c r="A69" s="417" t="s">
        <v>694</v>
      </c>
      <c r="B69" s="417" t="s">
        <v>695</v>
      </c>
      <c r="D69" s="422">
        <f t="shared" ref="D69:I69" si="79">SUM(D70:D77)</f>
        <v>-8904</v>
      </c>
      <c r="E69" s="422">
        <f t="shared" si="79"/>
        <v>-21450</v>
      </c>
      <c r="F69" s="422">
        <f t="shared" si="79"/>
        <v>-33041</v>
      </c>
      <c r="G69" s="422">
        <f t="shared" si="79"/>
        <v>-52184</v>
      </c>
      <c r="H69" s="422">
        <f t="shared" si="79"/>
        <v>-14906</v>
      </c>
      <c r="I69" s="422">
        <f t="shared" si="79"/>
        <v>-31263</v>
      </c>
      <c r="J69" s="422">
        <f t="shared" ref="J69:T69" si="80">SUM(J70:J77)</f>
        <v>-47703</v>
      </c>
      <c r="K69" s="422">
        <f t="shared" si="80"/>
        <v>-52129</v>
      </c>
      <c r="L69" s="422">
        <f t="shared" si="80"/>
        <v>-15902</v>
      </c>
      <c r="M69" s="422">
        <f t="shared" si="80"/>
        <v>-25531</v>
      </c>
      <c r="N69" s="422">
        <f t="shared" si="80"/>
        <v>-41535</v>
      </c>
      <c r="O69" s="422">
        <f t="shared" si="80"/>
        <v>-53893</v>
      </c>
      <c r="P69" s="422">
        <f t="shared" si="80"/>
        <v>-8636</v>
      </c>
      <c r="Q69" s="422">
        <f t="shared" si="80"/>
        <v>-14898</v>
      </c>
      <c r="R69" s="422">
        <f t="shared" si="80"/>
        <v>-25205</v>
      </c>
      <c r="S69" s="422">
        <f t="shared" si="80"/>
        <v>-35206</v>
      </c>
      <c r="T69" s="422">
        <f t="shared" si="80"/>
        <v>-7941</v>
      </c>
      <c r="U69" s="422">
        <f>SUM(U70:U77)</f>
        <v>-17074</v>
      </c>
      <c r="W69" s="422">
        <f t="shared" ref="W69:AC69" si="81">SUM(W70:W77)</f>
        <v>-15902</v>
      </c>
      <c r="X69" s="422">
        <f t="shared" si="81"/>
        <v>-9629</v>
      </c>
      <c r="Y69" s="422">
        <f t="shared" si="81"/>
        <v>-16004</v>
      </c>
      <c r="Z69" s="422">
        <f t="shared" si="81"/>
        <v>-12358</v>
      </c>
      <c r="AA69" s="422">
        <f t="shared" si="81"/>
        <v>-8636</v>
      </c>
      <c r="AB69" s="422">
        <f t="shared" si="81"/>
        <v>-6262</v>
      </c>
      <c r="AC69" s="422">
        <f t="shared" si="81"/>
        <v>-10307</v>
      </c>
      <c r="AD69" s="422">
        <f t="shared" ref="AD69:AE69" si="82">SUM(AD70:AD77)</f>
        <v>-10001</v>
      </c>
      <c r="AE69" s="422">
        <f t="shared" si="82"/>
        <v>-7941</v>
      </c>
      <c r="AF69" s="422">
        <f>SUM(AF70:AF77)</f>
        <v>-9133</v>
      </c>
    </row>
    <row r="70" spans="1:32" outlineLevel="1">
      <c r="A70" s="418" t="s">
        <v>696</v>
      </c>
      <c r="B70" s="418" t="s">
        <v>697</v>
      </c>
      <c r="D70" s="423">
        <v>-5779</v>
      </c>
      <c r="E70" s="423">
        <v>-12895</v>
      </c>
      <c r="F70" s="423">
        <v>-18804</v>
      </c>
      <c r="G70" s="423">
        <v>-27195</v>
      </c>
      <c r="H70" s="423">
        <v>-10324</v>
      </c>
      <c r="I70" s="423">
        <v>-21161</v>
      </c>
      <c r="J70" s="423">
        <v>-32783</v>
      </c>
      <c r="K70" s="423">
        <v>-40399</v>
      </c>
      <c r="L70" s="423">
        <v>-11404</v>
      </c>
      <c r="M70" s="423">
        <v>-18702</v>
      </c>
      <c r="N70" s="423">
        <v>-30002</v>
      </c>
      <c r="O70" s="423">
        <v>-36630</v>
      </c>
      <c r="P70" s="423">
        <v>-5967</v>
      </c>
      <c r="Q70" s="423">
        <v>-8271</v>
      </c>
      <c r="R70" s="423">
        <v>-14899</v>
      </c>
      <c r="S70" s="423">
        <v>-21049</v>
      </c>
      <c r="T70" s="423">
        <v>-5430</v>
      </c>
      <c r="U70" s="423">
        <v>-12660</v>
      </c>
      <c r="W70" s="423">
        <f t="shared" ref="W70:W78" si="83">L70</f>
        <v>-11404</v>
      </c>
      <c r="X70" s="423">
        <f t="shared" ref="X70:X78" si="84">M70-W70</f>
        <v>-7298</v>
      </c>
      <c r="Y70" s="423">
        <f t="shared" ref="Y70:Y78" si="85">N70-M70</f>
        <v>-11300</v>
      </c>
      <c r="Z70" s="423">
        <f t="shared" ref="Z70:Z78" si="86">O70-N70</f>
        <v>-6628</v>
      </c>
      <c r="AA70" s="423">
        <f t="shared" ref="AA70:AA78" si="87">P70</f>
        <v>-5967</v>
      </c>
      <c r="AB70" s="423">
        <f t="shared" ref="AB70:AB78" si="88">Q70-AA70</f>
        <v>-2304</v>
      </c>
      <c r="AC70" s="423">
        <f t="shared" ref="AC70:AC78" si="89">R70-Q70</f>
        <v>-6628</v>
      </c>
      <c r="AD70" s="423">
        <f t="shared" ref="AD70:AD78" si="90">S70-R70</f>
        <v>-6150</v>
      </c>
      <c r="AE70" s="423">
        <f t="shared" ref="AE70:AE78" si="91">T70</f>
        <v>-5430</v>
      </c>
      <c r="AF70" s="423">
        <f t="shared" ref="AF70:AF78" si="92">U70-T70</f>
        <v>-7230</v>
      </c>
    </row>
    <row r="71" spans="1:32" outlineLevel="1">
      <c r="A71" s="418" t="s">
        <v>698</v>
      </c>
      <c r="B71" s="418" t="s">
        <v>699</v>
      </c>
      <c r="D71" s="423">
        <v>-279</v>
      </c>
      <c r="E71" s="423">
        <v>-612</v>
      </c>
      <c r="F71" s="423">
        <v>-1354</v>
      </c>
      <c r="G71" s="423">
        <v>-2385</v>
      </c>
      <c r="H71" s="423">
        <v>-636</v>
      </c>
      <c r="I71" s="423">
        <v>-821</v>
      </c>
      <c r="J71" s="423">
        <v>-1745</v>
      </c>
      <c r="K71" s="423">
        <v>-2829</v>
      </c>
      <c r="L71" s="423">
        <v>-561</v>
      </c>
      <c r="M71" s="423">
        <v>-889</v>
      </c>
      <c r="N71" s="423">
        <v>-1518</v>
      </c>
      <c r="O71" s="423">
        <v>-1994</v>
      </c>
      <c r="P71" s="423">
        <v>-567</v>
      </c>
      <c r="Q71" s="423">
        <v>-749</v>
      </c>
      <c r="R71" s="423">
        <v>-1190</v>
      </c>
      <c r="S71" s="423">
        <v>-1141</v>
      </c>
      <c r="T71" s="423">
        <v>-45</v>
      </c>
      <c r="U71" s="423">
        <v>-87</v>
      </c>
      <c r="W71" s="423">
        <f t="shared" si="83"/>
        <v>-561</v>
      </c>
      <c r="X71" s="423">
        <f t="shared" si="84"/>
        <v>-328</v>
      </c>
      <c r="Y71" s="423">
        <f t="shared" si="85"/>
        <v>-629</v>
      </c>
      <c r="Z71" s="423">
        <f t="shared" si="86"/>
        <v>-476</v>
      </c>
      <c r="AA71" s="423">
        <f t="shared" si="87"/>
        <v>-567</v>
      </c>
      <c r="AB71" s="423">
        <f t="shared" si="88"/>
        <v>-182</v>
      </c>
      <c r="AC71" s="423">
        <f t="shared" si="89"/>
        <v>-441</v>
      </c>
      <c r="AD71" s="423">
        <f t="shared" si="90"/>
        <v>49</v>
      </c>
      <c r="AE71" s="423">
        <f t="shared" si="91"/>
        <v>-45</v>
      </c>
      <c r="AF71" s="423">
        <f t="shared" si="92"/>
        <v>-42</v>
      </c>
    </row>
    <row r="72" spans="1:32" outlineLevel="1">
      <c r="A72" s="418" t="s">
        <v>700</v>
      </c>
      <c r="B72" s="418" t="s">
        <v>701</v>
      </c>
      <c r="D72" s="423">
        <v>-2155</v>
      </c>
      <c r="E72" s="423">
        <v>-4930</v>
      </c>
      <c r="F72" s="423">
        <v>-8560</v>
      </c>
      <c r="G72" s="423">
        <v>-12714</v>
      </c>
      <c r="H72" s="423">
        <v>-1891</v>
      </c>
      <c r="I72" s="423">
        <v>-764</v>
      </c>
      <c r="J72" s="423">
        <v>-1354</v>
      </c>
      <c r="K72" s="423">
        <v>4967</v>
      </c>
      <c r="L72" s="423">
        <v>-731</v>
      </c>
      <c r="M72" s="423">
        <v>1373</v>
      </c>
      <c r="N72" s="423">
        <v>3258</v>
      </c>
      <c r="O72" s="423">
        <v>6286</v>
      </c>
      <c r="P72" s="423">
        <v>4258</v>
      </c>
      <c r="Q72" s="423">
        <v>8639</v>
      </c>
      <c r="R72" s="423">
        <v>13219</v>
      </c>
      <c r="S72" s="423">
        <v>15878</v>
      </c>
      <c r="T72" s="423">
        <v>5430</v>
      </c>
      <c r="U72" s="423">
        <v>11835</v>
      </c>
      <c r="W72" s="423">
        <f t="shared" si="83"/>
        <v>-731</v>
      </c>
      <c r="X72" s="423">
        <f t="shared" si="84"/>
        <v>2104</v>
      </c>
      <c r="Y72" s="423">
        <f t="shared" si="85"/>
        <v>1885</v>
      </c>
      <c r="Z72" s="423">
        <f t="shared" si="86"/>
        <v>3028</v>
      </c>
      <c r="AA72" s="423">
        <f t="shared" si="87"/>
        <v>4258</v>
      </c>
      <c r="AB72" s="423">
        <f t="shared" si="88"/>
        <v>4381</v>
      </c>
      <c r="AC72" s="423">
        <f t="shared" si="89"/>
        <v>4580</v>
      </c>
      <c r="AD72" s="423">
        <f t="shared" si="90"/>
        <v>2659</v>
      </c>
      <c r="AE72" s="423">
        <f t="shared" si="91"/>
        <v>5430</v>
      </c>
      <c r="AF72" s="423">
        <f t="shared" si="92"/>
        <v>6405</v>
      </c>
    </row>
    <row r="73" spans="1:32" outlineLevel="1">
      <c r="A73" s="418" t="s">
        <v>702</v>
      </c>
      <c r="B73" s="418" t="s">
        <v>703</v>
      </c>
      <c r="D73" s="423">
        <v>-177</v>
      </c>
      <c r="E73" s="423">
        <v>-313</v>
      </c>
      <c r="F73" s="423">
        <v>-399</v>
      </c>
      <c r="G73" s="423">
        <v>-653</v>
      </c>
      <c r="H73" s="423">
        <v>-427</v>
      </c>
      <c r="I73" s="423">
        <v>-1409</v>
      </c>
      <c r="J73" s="423">
        <v>-2012</v>
      </c>
      <c r="K73" s="423">
        <v>-1211</v>
      </c>
      <c r="L73" s="423">
        <v>-534</v>
      </c>
      <c r="M73" s="423">
        <v>-991</v>
      </c>
      <c r="N73" s="423">
        <v>-1284</v>
      </c>
      <c r="O73" s="423">
        <v>-1193</v>
      </c>
      <c r="P73" s="423">
        <v>-375</v>
      </c>
      <c r="Q73" s="423">
        <v>-720</v>
      </c>
      <c r="R73" s="423">
        <v>-531</v>
      </c>
      <c r="S73" s="423">
        <v>-348</v>
      </c>
      <c r="T73" s="423">
        <v>-66</v>
      </c>
      <c r="U73" s="423">
        <v>-139</v>
      </c>
      <c r="W73" s="423">
        <f t="shared" si="83"/>
        <v>-534</v>
      </c>
      <c r="X73" s="423">
        <f t="shared" si="84"/>
        <v>-457</v>
      </c>
      <c r="Y73" s="423">
        <f t="shared" si="85"/>
        <v>-293</v>
      </c>
      <c r="Z73" s="423">
        <f t="shared" si="86"/>
        <v>91</v>
      </c>
      <c r="AA73" s="423">
        <f t="shared" si="87"/>
        <v>-375</v>
      </c>
      <c r="AB73" s="423">
        <f t="shared" si="88"/>
        <v>-345</v>
      </c>
      <c r="AC73" s="423">
        <f t="shared" si="89"/>
        <v>189</v>
      </c>
      <c r="AD73" s="423">
        <f t="shared" si="90"/>
        <v>183</v>
      </c>
      <c r="AE73" s="423">
        <f t="shared" si="91"/>
        <v>-66</v>
      </c>
      <c r="AF73" s="423">
        <f t="shared" si="92"/>
        <v>-73</v>
      </c>
    </row>
    <row r="74" spans="1:32" outlineLevel="1">
      <c r="A74" s="418" t="s">
        <v>704</v>
      </c>
      <c r="B74" s="418" t="s">
        <v>705</v>
      </c>
      <c r="D74" s="423">
        <v>-54</v>
      </c>
      <c r="E74" s="423">
        <v>-133</v>
      </c>
      <c r="F74" s="423">
        <v>-278</v>
      </c>
      <c r="G74" s="423">
        <v>-4221</v>
      </c>
      <c r="H74" s="423">
        <v>-290</v>
      </c>
      <c r="I74" s="423">
        <v>-3870</v>
      </c>
      <c r="J74" s="423">
        <v>-4695</v>
      </c>
      <c r="K74" s="423">
        <v>-4958</v>
      </c>
      <c r="L74" s="423">
        <v>-638</v>
      </c>
      <c r="M74" s="423">
        <v>-1785</v>
      </c>
      <c r="N74" s="423">
        <v>-3355</v>
      </c>
      <c r="O74" s="423">
        <v>-7338</v>
      </c>
      <c r="P74" s="423">
        <v>-29</v>
      </c>
      <c r="Q74" s="423">
        <v>74</v>
      </c>
      <c r="R74" s="423">
        <v>745</v>
      </c>
      <c r="S74" s="423">
        <v>1900</v>
      </c>
      <c r="T74" s="423">
        <v>269</v>
      </c>
      <c r="U74" s="423">
        <v>371</v>
      </c>
      <c r="W74" s="423">
        <f t="shared" si="83"/>
        <v>-638</v>
      </c>
      <c r="X74" s="423">
        <f t="shared" si="84"/>
        <v>-1147</v>
      </c>
      <c r="Y74" s="423">
        <f t="shared" si="85"/>
        <v>-1570</v>
      </c>
      <c r="Z74" s="423">
        <f t="shared" si="86"/>
        <v>-3983</v>
      </c>
      <c r="AA74" s="423">
        <f t="shared" si="87"/>
        <v>-29</v>
      </c>
      <c r="AB74" s="423">
        <f t="shared" si="88"/>
        <v>103</v>
      </c>
      <c r="AC74" s="423">
        <f t="shared" si="89"/>
        <v>671</v>
      </c>
      <c r="AD74" s="423">
        <f t="shared" si="90"/>
        <v>1155</v>
      </c>
      <c r="AE74" s="423">
        <f t="shared" si="91"/>
        <v>269</v>
      </c>
      <c r="AF74" s="423">
        <f t="shared" si="92"/>
        <v>102</v>
      </c>
    </row>
    <row r="75" spans="1:32" outlineLevel="1">
      <c r="A75" s="418" t="s">
        <v>706</v>
      </c>
      <c r="B75" s="418" t="s">
        <v>707</v>
      </c>
      <c r="D75" s="423">
        <v>-399</v>
      </c>
      <c r="E75" s="423">
        <v>-2445</v>
      </c>
      <c r="F75" s="423">
        <v>-2745</v>
      </c>
      <c r="G75" s="423">
        <v>-2880</v>
      </c>
      <c r="H75" s="423">
        <v>-124</v>
      </c>
      <c r="I75" s="423">
        <v>-488</v>
      </c>
      <c r="J75" s="423">
        <v>-803</v>
      </c>
      <c r="K75" s="423">
        <v>-1005</v>
      </c>
      <c r="L75" s="423">
        <v>268</v>
      </c>
      <c r="M75" s="423">
        <v>-76</v>
      </c>
      <c r="N75" s="423">
        <v>-481</v>
      </c>
      <c r="O75" s="423">
        <v>-730</v>
      </c>
      <c r="P75" s="423">
        <v>-214</v>
      </c>
      <c r="Q75" s="423">
        <v>-1118</v>
      </c>
      <c r="R75" s="423">
        <v>-2217</v>
      </c>
      <c r="S75" s="423">
        <v>-2720</v>
      </c>
      <c r="T75" s="423">
        <v>62</v>
      </c>
      <c r="U75" s="423">
        <v>-113</v>
      </c>
      <c r="W75" s="423">
        <f t="shared" si="83"/>
        <v>268</v>
      </c>
      <c r="X75" s="423">
        <f t="shared" si="84"/>
        <v>-344</v>
      </c>
      <c r="Y75" s="423">
        <f t="shared" si="85"/>
        <v>-405</v>
      </c>
      <c r="Z75" s="423">
        <f t="shared" si="86"/>
        <v>-249</v>
      </c>
      <c r="AA75" s="423">
        <f t="shared" si="87"/>
        <v>-214</v>
      </c>
      <c r="AB75" s="423">
        <f t="shared" si="88"/>
        <v>-904</v>
      </c>
      <c r="AC75" s="423">
        <f t="shared" si="89"/>
        <v>-1099</v>
      </c>
      <c r="AD75" s="423">
        <f t="shared" si="90"/>
        <v>-503</v>
      </c>
      <c r="AE75" s="423">
        <f t="shared" si="91"/>
        <v>62</v>
      </c>
      <c r="AF75" s="423">
        <f t="shared" si="92"/>
        <v>-175</v>
      </c>
    </row>
    <row r="76" spans="1:32" outlineLevel="1">
      <c r="A76" s="418" t="s">
        <v>708</v>
      </c>
      <c r="B76" s="418" t="s">
        <v>709</v>
      </c>
      <c r="D76" s="423">
        <v>-61</v>
      </c>
      <c r="E76" s="423">
        <v>-122</v>
      </c>
      <c r="F76" s="423">
        <v>-901</v>
      </c>
      <c r="G76" s="423">
        <v>-2136</v>
      </c>
      <c r="H76" s="423">
        <v>-1214</v>
      </c>
      <c r="I76" s="423">
        <v>-2750</v>
      </c>
      <c r="J76" s="423">
        <v>-4311</v>
      </c>
      <c r="K76" s="423">
        <v>-6694</v>
      </c>
      <c r="L76" s="423">
        <v>-2302</v>
      </c>
      <c r="M76" s="423">
        <v>-4461</v>
      </c>
      <c r="N76" s="423">
        <v>-8153</v>
      </c>
      <c r="O76" s="423">
        <v>-12294</v>
      </c>
      <c r="P76" s="423">
        <v>-5742</v>
      </c>
      <c r="Q76" s="423">
        <v>-12753</v>
      </c>
      <c r="R76" s="423">
        <v>-20332</v>
      </c>
      <c r="S76" s="423">
        <v>-27726</v>
      </c>
      <c r="T76" s="423">
        <v>-8161</v>
      </c>
      <c r="U76" s="423">
        <v>-16281</v>
      </c>
      <c r="W76" s="423">
        <f t="shared" si="83"/>
        <v>-2302</v>
      </c>
      <c r="X76" s="423">
        <f t="shared" si="84"/>
        <v>-2159</v>
      </c>
      <c r="Y76" s="423">
        <f t="shared" si="85"/>
        <v>-3692</v>
      </c>
      <c r="Z76" s="423">
        <f t="shared" si="86"/>
        <v>-4141</v>
      </c>
      <c r="AA76" s="423">
        <f t="shared" si="87"/>
        <v>-5742</v>
      </c>
      <c r="AB76" s="423">
        <f t="shared" si="88"/>
        <v>-7011</v>
      </c>
      <c r="AC76" s="423">
        <f t="shared" si="89"/>
        <v>-7579</v>
      </c>
      <c r="AD76" s="423">
        <f t="shared" si="90"/>
        <v>-7394</v>
      </c>
      <c r="AE76" s="423">
        <f t="shared" si="91"/>
        <v>-8161</v>
      </c>
      <c r="AF76" s="423">
        <f t="shared" si="92"/>
        <v>-8120</v>
      </c>
    </row>
    <row r="77" spans="1:32" outlineLevel="1">
      <c r="A77" s="418" t="s">
        <v>710</v>
      </c>
      <c r="B77" s="418" t="s">
        <v>711</v>
      </c>
      <c r="D77" s="423">
        <v>0</v>
      </c>
      <c r="E77" s="423">
        <v>0</v>
      </c>
      <c r="F77" s="423">
        <v>0</v>
      </c>
      <c r="G77" s="423">
        <v>0</v>
      </c>
      <c r="H77" s="423">
        <v>0</v>
      </c>
      <c r="I77" s="423">
        <v>0</v>
      </c>
      <c r="J77" s="423">
        <v>0</v>
      </c>
      <c r="K77" s="423">
        <v>0</v>
      </c>
      <c r="L77" s="423">
        <v>0</v>
      </c>
      <c r="M77" s="423">
        <v>0</v>
      </c>
      <c r="N77" s="423">
        <v>0</v>
      </c>
      <c r="O77" s="423">
        <v>0</v>
      </c>
      <c r="P77" s="423">
        <v>0</v>
      </c>
      <c r="Q77" s="423">
        <v>0</v>
      </c>
      <c r="R77" s="423">
        <v>0</v>
      </c>
      <c r="S77" s="423">
        <v>0</v>
      </c>
      <c r="T77" s="423">
        <v>0</v>
      </c>
      <c r="U77" s="423">
        <v>0</v>
      </c>
      <c r="W77" s="423">
        <f t="shared" si="83"/>
        <v>0</v>
      </c>
      <c r="X77" s="423">
        <f t="shared" si="84"/>
        <v>0</v>
      </c>
      <c r="Y77" s="423">
        <f t="shared" si="85"/>
        <v>0</v>
      </c>
      <c r="Z77" s="423">
        <f t="shared" si="86"/>
        <v>0</v>
      </c>
      <c r="AA77" s="423">
        <f t="shared" si="87"/>
        <v>0</v>
      </c>
      <c r="AB77" s="423">
        <f t="shared" si="88"/>
        <v>0</v>
      </c>
      <c r="AC77" s="423">
        <f t="shared" si="89"/>
        <v>0</v>
      </c>
      <c r="AD77" s="423">
        <f t="shared" si="90"/>
        <v>0</v>
      </c>
      <c r="AE77" s="423">
        <f t="shared" si="91"/>
        <v>0</v>
      </c>
      <c r="AF77" s="423">
        <f t="shared" si="92"/>
        <v>0</v>
      </c>
    </row>
    <row r="78" spans="1:32">
      <c r="A78" s="417" t="s">
        <v>712</v>
      </c>
      <c r="B78" s="417" t="s">
        <v>713</v>
      </c>
      <c r="D78" s="422">
        <v>0</v>
      </c>
      <c r="E78" s="422">
        <v>0</v>
      </c>
      <c r="F78" s="422">
        <v>0</v>
      </c>
      <c r="G78" s="422">
        <v>0</v>
      </c>
      <c r="H78" s="422">
        <v>0</v>
      </c>
      <c r="I78" s="422">
        <v>0</v>
      </c>
      <c r="J78" s="422">
        <v>0</v>
      </c>
      <c r="K78" s="422"/>
      <c r="L78" s="422"/>
      <c r="M78" s="422">
        <v>-605</v>
      </c>
      <c r="N78" s="422">
        <v>14684</v>
      </c>
      <c r="O78" s="422">
        <v>23092</v>
      </c>
      <c r="P78" s="422">
        <v>1169</v>
      </c>
      <c r="Q78" s="422">
        <v>2063</v>
      </c>
      <c r="R78" s="422">
        <v>4158</v>
      </c>
      <c r="S78" s="422">
        <v>0</v>
      </c>
      <c r="T78" s="422">
        <v>0</v>
      </c>
      <c r="U78" s="422">
        <v>0</v>
      </c>
      <c r="W78" s="422">
        <f t="shared" si="83"/>
        <v>0</v>
      </c>
      <c r="X78" s="422">
        <f t="shared" si="84"/>
        <v>-605</v>
      </c>
      <c r="Y78" s="422">
        <f t="shared" si="85"/>
        <v>15289</v>
      </c>
      <c r="Z78" s="422">
        <f t="shared" si="86"/>
        <v>8408</v>
      </c>
      <c r="AA78" s="422">
        <f t="shared" si="87"/>
        <v>1169</v>
      </c>
      <c r="AB78" s="422">
        <f t="shared" si="88"/>
        <v>894</v>
      </c>
      <c r="AC78" s="422">
        <f t="shared" si="89"/>
        <v>2095</v>
      </c>
      <c r="AD78" s="422">
        <f t="shared" si="90"/>
        <v>-4158</v>
      </c>
      <c r="AE78" s="422">
        <f t="shared" si="91"/>
        <v>0</v>
      </c>
      <c r="AF78" s="422">
        <f t="shared" si="92"/>
        <v>0</v>
      </c>
    </row>
    <row r="79" spans="1:32">
      <c r="A79" s="417" t="s">
        <v>714</v>
      </c>
      <c r="B79" s="417" t="s">
        <v>715</v>
      </c>
      <c r="D79" s="422">
        <f t="shared" ref="D79:L79" si="93">SUM(D80:D82)</f>
        <v>-44</v>
      </c>
      <c r="E79" s="422">
        <f t="shared" si="93"/>
        <v>-1139</v>
      </c>
      <c r="F79" s="422">
        <f t="shared" si="93"/>
        <v>-2671</v>
      </c>
      <c r="G79" s="422">
        <f t="shared" si="93"/>
        <v>-6845</v>
      </c>
      <c r="H79" s="422">
        <f t="shared" si="93"/>
        <v>-712</v>
      </c>
      <c r="I79" s="422">
        <f t="shared" si="93"/>
        <v>-2590</v>
      </c>
      <c r="J79" s="422">
        <f t="shared" si="93"/>
        <v>-3660</v>
      </c>
      <c r="K79" s="422">
        <f t="shared" si="93"/>
        <v>-5816</v>
      </c>
      <c r="L79" s="422">
        <f t="shared" si="93"/>
        <v>-4072</v>
      </c>
      <c r="M79" s="422">
        <f t="shared" ref="M79:T79" si="94">SUM(M80:M82)</f>
        <v>-5217</v>
      </c>
      <c r="N79" s="422">
        <f t="shared" si="94"/>
        <v>-6724</v>
      </c>
      <c r="O79" s="422">
        <f t="shared" si="94"/>
        <v>-7038</v>
      </c>
      <c r="P79" s="422">
        <f t="shared" si="94"/>
        <v>-1729</v>
      </c>
      <c r="Q79" s="422">
        <f t="shared" si="94"/>
        <v>-3572</v>
      </c>
      <c r="R79" s="422">
        <f t="shared" si="94"/>
        <v>-4927</v>
      </c>
      <c r="S79" s="422">
        <f t="shared" si="94"/>
        <v>-10186</v>
      </c>
      <c r="T79" s="422">
        <f t="shared" si="94"/>
        <v>-1503</v>
      </c>
      <c r="U79" s="422">
        <f>SUM(U80:U82)</f>
        <v>-2833</v>
      </c>
      <c r="W79" s="422">
        <f t="shared" ref="W79:AC79" si="95">SUM(W80:W82)</f>
        <v>-4072</v>
      </c>
      <c r="X79" s="422">
        <f t="shared" si="95"/>
        <v>-1145</v>
      </c>
      <c r="Y79" s="422">
        <f t="shared" si="95"/>
        <v>-1507</v>
      </c>
      <c r="Z79" s="422">
        <f t="shared" si="95"/>
        <v>-314</v>
      </c>
      <c r="AA79" s="422">
        <f t="shared" si="95"/>
        <v>-1729</v>
      </c>
      <c r="AB79" s="422">
        <f t="shared" si="95"/>
        <v>-1843</v>
      </c>
      <c r="AC79" s="422">
        <f t="shared" si="95"/>
        <v>-1355</v>
      </c>
      <c r="AD79" s="422">
        <f t="shared" ref="AD79:AE79" si="96">SUM(AD80:AD82)</f>
        <v>-5259</v>
      </c>
      <c r="AE79" s="422">
        <f t="shared" si="96"/>
        <v>-1503</v>
      </c>
      <c r="AF79" s="422">
        <f>SUM(AF80:AF82)</f>
        <v>-1330</v>
      </c>
    </row>
    <row r="80" spans="1:32" outlineLevel="1">
      <c r="A80" s="418" t="s">
        <v>716</v>
      </c>
      <c r="B80" s="418" t="s">
        <v>717</v>
      </c>
      <c r="D80" s="423">
        <v>-44</v>
      </c>
      <c r="E80" s="423">
        <v>-1139</v>
      </c>
      <c r="F80" s="423">
        <v>-2671</v>
      </c>
      <c r="G80" s="423">
        <v>-3715</v>
      </c>
      <c r="H80" s="423">
        <v>-712</v>
      </c>
      <c r="I80" s="423">
        <v>-2311</v>
      </c>
      <c r="J80" s="423">
        <v>-3382</v>
      </c>
      <c r="K80" s="423">
        <v>-5379</v>
      </c>
      <c r="L80" s="423">
        <v>-3893</v>
      </c>
      <c r="M80" s="423">
        <v>-5724</v>
      </c>
      <c r="N80" s="423">
        <v>-6547</v>
      </c>
      <c r="O80" s="423">
        <v>-17363</v>
      </c>
      <c r="P80" s="423">
        <v>-1729</v>
      </c>
      <c r="Q80" s="423">
        <v>-3572</v>
      </c>
      <c r="R80" s="423">
        <v>-5023</v>
      </c>
      <c r="S80" s="423">
        <v>-7804</v>
      </c>
      <c r="T80" s="423">
        <v>-1429</v>
      </c>
      <c r="U80" s="423">
        <v>-3036</v>
      </c>
      <c r="W80" s="423">
        <f>L80</f>
        <v>-3893</v>
      </c>
      <c r="X80" s="423">
        <f>M80-W80</f>
        <v>-1831</v>
      </c>
      <c r="Y80" s="423">
        <f t="shared" ref="Y80:Z82" si="97">N80-M80</f>
        <v>-823</v>
      </c>
      <c r="Z80" s="423">
        <f t="shared" si="97"/>
        <v>-10816</v>
      </c>
      <c r="AA80" s="423">
        <f>P80</f>
        <v>-1729</v>
      </c>
      <c r="AB80" s="423">
        <f t="shared" ref="AB80:AB82" si="98">Q80-AA80</f>
        <v>-1843</v>
      </c>
      <c r="AC80" s="423">
        <f t="shared" ref="AC80:AD82" si="99">R80-Q80</f>
        <v>-1451</v>
      </c>
      <c r="AD80" s="423">
        <f t="shared" si="99"/>
        <v>-2781</v>
      </c>
      <c r="AE80" s="423">
        <f>T80</f>
        <v>-1429</v>
      </c>
      <c r="AF80" s="423">
        <f>U80-T80</f>
        <v>-1607</v>
      </c>
    </row>
    <row r="81" spans="1:32" outlineLevel="1">
      <c r="A81" s="418" t="s">
        <v>718</v>
      </c>
      <c r="B81" s="418" t="s">
        <v>719</v>
      </c>
      <c r="D81" s="423">
        <v>0</v>
      </c>
      <c r="E81" s="423">
        <v>0</v>
      </c>
      <c r="F81" s="423">
        <v>0</v>
      </c>
      <c r="G81" s="423">
        <v>-3130</v>
      </c>
      <c r="H81" s="423">
        <v>0</v>
      </c>
      <c r="I81" s="423">
        <v>-279</v>
      </c>
      <c r="J81" s="423">
        <v>-278</v>
      </c>
      <c r="K81" s="423">
        <v>-437</v>
      </c>
      <c r="L81" s="423">
        <v>-179</v>
      </c>
      <c r="M81" s="423">
        <v>507</v>
      </c>
      <c r="N81" s="423">
        <v>-177</v>
      </c>
      <c r="O81" s="423">
        <v>-990</v>
      </c>
      <c r="P81" s="423">
        <v>0</v>
      </c>
      <c r="Q81" s="423">
        <v>0</v>
      </c>
      <c r="R81" s="423">
        <v>97</v>
      </c>
      <c r="S81" s="423">
        <v>-2204</v>
      </c>
      <c r="T81" s="423">
        <v>0</v>
      </c>
      <c r="U81" s="423">
        <v>459</v>
      </c>
      <c r="W81" s="423">
        <f>L81</f>
        <v>-179</v>
      </c>
      <c r="X81" s="423">
        <f>M81-W81</f>
        <v>686</v>
      </c>
      <c r="Y81" s="423">
        <f t="shared" si="97"/>
        <v>-684</v>
      </c>
      <c r="Z81" s="423">
        <f t="shared" si="97"/>
        <v>-813</v>
      </c>
      <c r="AA81" s="423">
        <f>P81</f>
        <v>0</v>
      </c>
      <c r="AB81" s="423">
        <f t="shared" si="98"/>
        <v>0</v>
      </c>
      <c r="AC81" s="423">
        <f t="shared" si="99"/>
        <v>97</v>
      </c>
      <c r="AD81" s="423">
        <f t="shared" si="99"/>
        <v>-2301</v>
      </c>
      <c r="AE81" s="423">
        <f>T81</f>
        <v>0</v>
      </c>
      <c r="AF81" s="423">
        <f>U81-T81</f>
        <v>459</v>
      </c>
    </row>
    <row r="82" spans="1:32" outlineLevel="1">
      <c r="A82" s="418" t="s">
        <v>720</v>
      </c>
      <c r="B82" s="418" t="s">
        <v>721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/>
      <c r="N82" s="423">
        <v>0</v>
      </c>
      <c r="O82" s="423">
        <v>11315</v>
      </c>
      <c r="P82" s="423">
        <v>0</v>
      </c>
      <c r="Q82" s="423">
        <v>0</v>
      </c>
      <c r="R82" s="423">
        <v>-1</v>
      </c>
      <c r="S82" s="423">
        <v>-178</v>
      </c>
      <c r="T82" s="423">
        <v>-74</v>
      </c>
      <c r="U82" s="423">
        <v>-256</v>
      </c>
      <c r="W82" s="423"/>
      <c r="X82" s="423">
        <f>M82-W82</f>
        <v>0</v>
      </c>
      <c r="Y82" s="423">
        <f t="shared" si="97"/>
        <v>0</v>
      </c>
      <c r="Z82" s="423">
        <f t="shared" si="97"/>
        <v>11315</v>
      </c>
      <c r="AA82" s="423">
        <f>P82</f>
        <v>0</v>
      </c>
      <c r="AB82" s="423">
        <f t="shared" si="98"/>
        <v>0</v>
      </c>
      <c r="AC82" s="423">
        <f t="shared" si="99"/>
        <v>-1</v>
      </c>
      <c r="AD82" s="423">
        <f t="shared" si="99"/>
        <v>-177</v>
      </c>
      <c r="AE82" s="423">
        <f>T82</f>
        <v>-74</v>
      </c>
      <c r="AF82" s="423">
        <f>U82-T82</f>
        <v>-182</v>
      </c>
    </row>
    <row r="83" spans="1:32">
      <c r="A83" s="417"/>
      <c r="B83" s="417"/>
      <c r="D83" s="417"/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</row>
    <row r="84" spans="1:32">
      <c r="A84" s="429" t="s">
        <v>722</v>
      </c>
      <c r="B84" s="429" t="s">
        <v>722</v>
      </c>
      <c r="D84" s="420">
        <f t="shared" ref="D84:I84" si="100">D86-D76-D53-D77</f>
        <v>3849</v>
      </c>
      <c r="E84" s="420">
        <f t="shared" si="100"/>
        <v>11869</v>
      </c>
      <c r="F84" s="420">
        <f t="shared" si="100"/>
        <v>7017</v>
      </c>
      <c r="G84" s="420">
        <f t="shared" si="100"/>
        <v>-27303</v>
      </c>
      <c r="H84" s="420">
        <f t="shared" si="100"/>
        <v>85844</v>
      </c>
      <c r="I84" s="420">
        <f t="shared" si="100"/>
        <v>127878</v>
      </c>
      <c r="J84" s="420">
        <f t="shared" ref="J84:T84" si="101">J86-J76-J53-J77</f>
        <v>173988</v>
      </c>
      <c r="K84" s="420">
        <f t="shared" si="101"/>
        <v>-2741</v>
      </c>
      <c r="L84" s="420">
        <f t="shared" si="101"/>
        <v>30001</v>
      </c>
      <c r="M84" s="420">
        <f t="shared" si="101"/>
        <v>38551</v>
      </c>
      <c r="N84" s="420">
        <f t="shared" si="101"/>
        <v>28020</v>
      </c>
      <c r="O84" s="420">
        <f t="shared" si="101"/>
        <v>33070</v>
      </c>
      <c r="P84" s="420">
        <f t="shared" si="101"/>
        <v>24916</v>
      </c>
      <c r="Q84" s="420">
        <f t="shared" si="101"/>
        <v>48901</v>
      </c>
      <c r="R84" s="420">
        <f t="shared" si="101"/>
        <v>58178</v>
      </c>
      <c r="S84" s="420">
        <f t="shared" si="101"/>
        <v>124836</v>
      </c>
      <c r="T84" s="741">
        <f t="shared" si="101"/>
        <v>-56537</v>
      </c>
      <c r="U84" s="741">
        <f>U86-U76-U53-U77</f>
        <v>-87201</v>
      </c>
      <c r="W84" s="420">
        <f t="shared" ref="W84:AC84" si="102">W86-W76-W53-W77</f>
        <v>30001</v>
      </c>
      <c r="X84" s="420">
        <f t="shared" si="102"/>
        <v>8550</v>
      </c>
      <c r="Y84" s="420">
        <f t="shared" si="102"/>
        <v>-10531</v>
      </c>
      <c r="Z84" s="420">
        <f t="shared" si="102"/>
        <v>5050</v>
      </c>
      <c r="AA84" s="420">
        <f t="shared" si="102"/>
        <v>24916</v>
      </c>
      <c r="AB84" s="420">
        <f t="shared" si="102"/>
        <v>23985</v>
      </c>
      <c r="AC84" s="420">
        <f t="shared" si="102"/>
        <v>9277</v>
      </c>
      <c r="AD84" s="420">
        <f t="shared" ref="AD84:AE84" si="103">AD86-AD76-AD53-AD77</f>
        <v>66658</v>
      </c>
      <c r="AE84" s="420">
        <f t="shared" si="103"/>
        <v>-56537</v>
      </c>
      <c r="AF84" s="741">
        <f>AF86-AF76-AF53-AF77</f>
        <v>-30664</v>
      </c>
    </row>
    <row r="85" spans="1:32">
      <c r="A85" s="417"/>
      <c r="B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</row>
    <row r="86" spans="1:32">
      <c r="A86" s="429" t="s">
        <v>723</v>
      </c>
      <c r="B86" s="429" t="s">
        <v>724</v>
      </c>
      <c r="D86" s="420">
        <f t="shared" ref="D86:I86" si="104">D58+D60</f>
        <v>3788</v>
      </c>
      <c r="E86" s="420">
        <f t="shared" si="104"/>
        <v>11745</v>
      </c>
      <c r="F86" s="420">
        <f t="shared" si="104"/>
        <v>5711</v>
      </c>
      <c r="G86" s="420">
        <f t="shared" si="104"/>
        <v>-30014</v>
      </c>
      <c r="H86" s="420">
        <f t="shared" si="104"/>
        <v>84377</v>
      </c>
      <c r="I86" s="420">
        <f t="shared" si="104"/>
        <v>124570</v>
      </c>
      <c r="J86" s="420">
        <f t="shared" ref="J86:T86" si="105">J58+J60</f>
        <v>168730</v>
      </c>
      <c r="K86" s="420">
        <f t="shared" si="105"/>
        <v>-10773</v>
      </c>
      <c r="L86" s="420">
        <f t="shared" si="105"/>
        <v>27308</v>
      </c>
      <c r="M86" s="420">
        <f t="shared" si="105"/>
        <v>33144</v>
      </c>
      <c r="N86" s="420">
        <f t="shared" si="105"/>
        <v>18362</v>
      </c>
      <c r="O86" s="420">
        <f t="shared" si="105"/>
        <v>18711</v>
      </c>
      <c r="P86" s="420">
        <f t="shared" si="105"/>
        <v>18781</v>
      </c>
      <c r="Q86" s="420">
        <f t="shared" si="105"/>
        <v>35530</v>
      </c>
      <c r="R86" s="420">
        <f t="shared" si="105"/>
        <v>37085</v>
      </c>
      <c r="S86" s="420">
        <f t="shared" si="105"/>
        <v>96208</v>
      </c>
      <c r="T86" s="741">
        <f t="shared" si="105"/>
        <v>-64840</v>
      </c>
      <c r="U86" s="741">
        <f>U58+U60</f>
        <v>-103766</v>
      </c>
      <c r="W86" s="420">
        <f t="shared" ref="W86:AC86" si="106">W58+W60</f>
        <v>27308</v>
      </c>
      <c r="X86" s="420">
        <f t="shared" si="106"/>
        <v>5836</v>
      </c>
      <c r="Y86" s="420">
        <f t="shared" si="106"/>
        <v>-14782</v>
      </c>
      <c r="Z86" s="420">
        <f t="shared" si="106"/>
        <v>349</v>
      </c>
      <c r="AA86" s="420">
        <f t="shared" si="106"/>
        <v>18781</v>
      </c>
      <c r="AB86" s="420">
        <f t="shared" si="106"/>
        <v>16749</v>
      </c>
      <c r="AC86" s="420">
        <f t="shared" si="106"/>
        <v>1555</v>
      </c>
      <c r="AD86" s="420">
        <f t="shared" ref="AD86:AE86" si="107">AD58+AD60</f>
        <v>59123</v>
      </c>
      <c r="AE86" s="420">
        <f t="shared" si="107"/>
        <v>-64840</v>
      </c>
      <c r="AF86" s="741">
        <f>AF58+AF60</f>
        <v>-38926</v>
      </c>
    </row>
    <row r="87" spans="1:32">
      <c r="A87" s="417"/>
      <c r="B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</row>
    <row r="88" spans="1:32">
      <c r="A88" s="429" t="s">
        <v>725</v>
      </c>
      <c r="B88" s="429" t="s">
        <v>726</v>
      </c>
      <c r="D88" s="420">
        <f t="shared" ref="D88:I88" si="108">D90+D100</f>
        <v>1183</v>
      </c>
      <c r="E88" s="420">
        <f t="shared" si="108"/>
        <v>2219</v>
      </c>
      <c r="F88" s="420">
        <f t="shared" si="108"/>
        <v>3624</v>
      </c>
      <c r="G88" s="420">
        <f t="shared" si="108"/>
        <v>3211</v>
      </c>
      <c r="H88" s="420">
        <f t="shared" si="108"/>
        <v>1720</v>
      </c>
      <c r="I88" s="420">
        <f t="shared" si="108"/>
        <v>1344</v>
      </c>
      <c r="J88" s="420">
        <f t="shared" ref="J88:T88" si="109">J90+J100</f>
        <v>-785</v>
      </c>
      <c r="K88" s="420">
        <f t="shared" si="109"/>
        <v>-4307</v>
      </c>
      <c r="L88" s="420">
        <f t="shared" si="109"/>
        <v>-4921</v>
      </c>
      <c r="M88" s="420">
        <f t="shared" si="109"/>
        <v>-12776</v>
      </c>
      <c r="N88" s="420">
        <f t="shared" si="109"/>
        <v>-19602</v>
      </c>
      <c r="O88" s="420">
        <f t="shared" si="109"/>
        <v>-25852</v>
      </c>
      <c r="P88" s="420">
        <f t="shared" si="109"/>
        <v>-2706</v>
      </c>
      <c r="Q88" s="420">
        <f t="shared" si="109"/>
        <v>-5398</v>
      </c>
      <c r="R88" s="420">
        <f t="shared" si="109"/>
        <v>-5261</v>
      </c>
      <c r="S88" s="420">
        <f t="shared" si="109"/>
        <v>-5961</v>
      </c>
      <c r="T88" s="741">
        <f t="shared" si="109"/>
        <v>-1095</v>
      </c>
      <c r="U88" s="741">
        <f>U90+U100</f>
        <v>-1685</v>
      </c>
      <c r="W88" s="420">
        <f t="shared" ref="W88:AC88" si="110">W90+W100</f>
        <v>-4921</v>
      </c>
      <c r="X88" s="420">
        <f t="shared" si="110"/>
        <v>-7855</v>
      </c>
      <c r="Y88" s="420">
        <f t="shared" si="110"/>
        <v>-6826</v>
      </c>
      <c r="Z88" s="420">
        <f t="shared" si="110"/>
        <v>-6250</v>
      </c>
      <c r="AA88" s="420">
        <f t="shared" si="110"/>
        <v>-2706</v>
      </c>
      <c r="AB88" s="420">
        <f t="shared" si="110"/>
        <v>-2692</v>
      </c>
      <c r="AC88" s="420">
        <f t="shared" si="110"/>
        <v>137</v>
      </c>
      <c r="AD88" s="420">
        <f t="shared" ref="AD88:AE88" si="111">AD90+AD100</f>
        <v>-700</v>
      </c>
      <c r="AE88" s="420">
        <f t="shared" si="111"/>
        <v>-1095</v>
      </c>
      <c r="AF88" s="741">
        <f>AF90+AF100</f>
        <v>-590</v>
      </c>
    </row>
    <row r="89" spans="1:32">
      <c r="A89" s="416"/>
      <c r="B89" s="416"/>
      <c r="D89" s="417"/>
      <c r="E89" s="417"/>
      <c r="F89" s="417"/>
      <c r="G89" s="417"/>
      <c r="H89" s="417"/>
      <c r="I89" s="417"/>
      <c r="J89" s="417"/>
      <c r="K89" s="417"/>
      <c r="L89" s="417"/>
      <c r="M89" s="417"/>
      <c r="N89" s="417"/>
      <c r="O89" s="417"/>
      <c r="P89" s="417"/>
      <c r="Q89" s="417"/>
      <c r="R89" s="417"/>
      <c r="S89" s="417"/>
      <c r="T89" s="417"/>
      <c r="U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</row>
    <row r="90" spans="1:32">
      <c r="A90" s="417" t="s">
        <v>727</v>
      </c>
      <c r="B90" s="417" t="s">
        <v>728</v>
      </c>
      <c r="D90" s="424">
        <f t="shared" ref="D90:I90" si="112">SUM(D91:D99)</f>
        <v>5260</v>
      </c>
      <c r="E90" s="424">
        <f t="shared" si="112"/>
        <v>12052</v>
      </c>
      <c r="F90" s="424">
        <f t="shared" si="112"/>
        <v>24152</v>
      </c>
      <c r="G90" s="424">
        <f t="shared" si="112"/>
        <v>33645</v>
      </c>
      <c r="H90" s="424">
        <f t="shared" si="112"/>
        <v>15333</v>
      </c>
      <c r="I90" s="424">
        <f t="shared" si="112"/>
        <v>28794</v>
      </c>
      <c r="J90" s="424">
        <f t="shared" ref="J90:T90" si="113">SUM(J91:J99)</f>
        <v>33687</v>
      </c>
      <c r="K90" s="424">
        <f t="shared" si="113"/>
        <v>39902</v>
      </c>
      <c r="L90" s="424">
        <f t="shared" si="113"/>
        <v>9176</v>
      </c>
      <c r="M90" s="424">
        <f t="shared" si="113"/>
        <v>17162</v>
      </c>
      <c r="N90" s="424">
        <f t="shared" si="113"/>
        <v>31738</v>
      </c>
      <c r="O90" s="424">
        <f t="shared" si="113"/>
        <v>64345</v>
      </c>
      <c r="P90" s="424">
        <f t="shared" si="113"/>
        <v>13636</v>
      </c>
      <c r="Q90" s="424">
        <f t="shared" si="113"/>
        <v>17670</v>
      </c>
      <c r="R90" s="424">
        <f t="shared" si="113"/>
        <v>24305</v>
      </c>
      <c r="S90" s="424">
        <f t="shared" si="113"/>
        <v>27489</v>
      </c>
      <c r="T90" s="424">
        <f t="shared" si="113"/>
        <v>6649</v>
      </c>
      <c r="U90" s="424">
        <f>SUM(U91:U99)</f>
        <v>12432</v>
      </c>
      <c r="W90" s="424">
        <f t="shared" ref="W90:AC90" si="114">SUM(W91:W99)</f>
        <v>9176</v>
      </c>
      <c r="X90" s="424">
        <f t="shared" si="114"/>
        <v>7986</v>
      </c>
      <c r="Y90" s="424">
        <f t="shared" si="114"/>
        <v>14576</v>
      </c>
      <c r="Z90" s="424">
        <f t="shared" si="114"/>
        <v>32607</v>
      </c>
      <c r="AA90" s="424">
        <f t="shared" si="114"/>
        <v>13636</v>
      </c>
      <c r="AB90" s="424">
        <f t="shared" si="114"/>
        <v>4034</v>
      </c>
      <c r="AC90" s="424">
        <f t="shared" si="114"/>
        <v>6635</v>
      </c>
      <c r="AD90" s="424">
        <f t="shared" ref="AD90:AE90" si="115">SUM(AD91:AD99)</f>
        <v>3184</v>
      </c>
      <c r="AE90" s="424">
        <f t="shared" si="115"/>
        <v>6649</v>
      </c>
      <c r="AF90" s="424">
        <f>SUM(AF91:AF99)</f>
        <v>5783</v>
      </c>
    </row>
    <row r="91" spans="1:32" outlineLevel="1">
      <c r="A91" s="418" t="s">
        <v>729</v>
      </c>
      <c r="B91" s="418" t="s">
        <v>728</v>
      </c>
      <c r="D91" s="423">
        <v>2402</v>
      </c>
      <c r="E91" s="423">
        <v>8166</v>
      </c>
      <c r="F91" s="423">
        <v>18868</v>
      </c>
      <c r="G91" s="423">
        <v>26579</v>
      </c>
      <c r="H91" s="423">
        <v>9513</v>
      </c>
      <c r="I91" s="423">
        <v>20753</v>
      </c>
      <c r="J91" s="423">
        <v>26185</v>
      </c>
      <c r="K91" s="423">
        <v>32003</v>
      </c>
      <c r="L91" s="423">
        <v>792</v>
      </c>
      <c r="M91" s="423">
        <v>9333</v>
      </c>
      <c r="N91" s="423">
        <v>4197</v>
      </c>
      <c r="O91" s="423">
        <v>6331</v>
      </c>
      <c r="P91" s="423">
        <v>1723</v>
      </c>
      <c r="Q91" s="423">
        <v>4070</v>
      </c>
      <c r="R91" s="423">
        <v>6588</v>
      </c>
      <c r="S91" s="423">
        <v>9312</v>
      </c>
      <c r="T91" s="423">
        <v>1784</v>
      </c>
      <c r="U91" s="423">
        <v>3579</v>
      </c>
      <c r="W91" s="423">
        <f t="shared" ref="W91:W99" si="116">L91</f>
        <v>792</v>
      </c>
      <c r="X91" s="423">
        <f t="shared" ref="X91:X99" si="117">M91-W91</f>
        <v>8541</v>
      </c>
      <c r="Y91" s="423">
        <f t="shared" ref="Y91:Y99" si="118">N91-M91</f>
        <v>-5136</v>
      </c>
      <c r="Z91" s="423">
        <f t="shared" ref="Z91:Z99" si="119">O91-N91</f>
        <v>2134</v>
      </c>
      <c r="AA91" s="423">
        <f t="shared" ref="AA91:AA99" si="120">P91</f>
        <v>1723</v>
      </c>
      <c r="AB91" s="423">
        <f t="shared" ref="AB91:AB99" si="121">Q91-AA91</f>
        <v>2347</v>
      </c>
      <c r="AC91" s="423">
        <f t="shared" ref="AC91:AC99" si="122">R91-Q91</f>
        <v>2518</v>
      </c>
      <c r="AD91" s="423">
        <f t="shared" ref="AD91:AD99" si="123">S91-R91</f>
        <v>2724</v>
      </c>
      <c r="AE91" s="423">
        <f t="shared" ref="AE91:AE99" si="124">T91</f>
        <v>1784</v>
      </c>
      <c r="AF91" s="423">
        <f t="shared" ref="AF91:AF99" si="125">U91-T91</f>
        <v>1795</v>
      </c>
    </row>
    <row r="92" spans="1:32" outlineLevel="1">
      <c r="A92" s="418" t="s">
        <v>730</v>
      </c>
      <c r="B92" s="418" t="s">
        <v>731</v>
      </c>
      <c r="D92" s="423">
        <v>-58</v>
      </c>
      <c r="E92" s="423">
        <v>-105</v>
      </c>
      <c r="F92" s="423">
        <v>-178</v>
      </c>
      <c r="G92" s="423">
        <v>-243</v>
      </c>
      <c r="H92" s="423">
        <v>-48</v>
      </c>
      <c r="I92" s="423">
        <v>-106</v>
      </c>
      <c r="J92" s="423">
        <v>-164</v>
      </c>
      <c r="K92" s="423">
        <v>-205</v>
      </c>
      <c r="L92" s="423">
        <v>-28</v>
      </c>
      <c r="M92" s="423">
        <v>-75</v>
      </c>
      <c r="N92" s="423">
        <v>-139</v>
      </c>
      <c r="O92" s="423">
        <v>-218</v>
      </c>
      <c r="P92" s="423">
        <v>-84</v>
      </c>
      <c r="Q92" s="423">
        <v>-205</v>
      </c>
      <c r="R92" s="423">
        <v>-413</v>
      </c>
      <c r="S92" s="423">
        <v>-597</v>
      </c>
      <c r="T92" s="423">
        <v>-112</v>
      </c>
      <c r="U92" s="423">
        <v>-240</v>
      </c>
      <c r="W92" s="423">
        <f t="shared" si="116"/>
        <v>-28</v>
      </c>
      <c r="X92" s="423">
        <f t="shared" si="117"/>
        <v>-47</v>
      </c>
      <c r="Y92" s="423">
        <f t="shared" si="118"/>
        <v>-64</v>
      </c>
      <c r="Z92" s="423">
        <f t="shared" si="119"/>
        <v>-79</v>
      </c>
      <c r="AA92" s="423">
        <f t="shared" si="120"/>
        <v>-84</v>
      </c>
      <c r="AB92" s="423">
        <f t="shared" si="121"/>
        <v>-121</v>
      </c>
      <c r="AC92" s="423">
        <f t="shared" si="122"/>
        <v>-208</v>
      </c>
      <c r="AD92" s="423">
        <f t="shared" si="123"/>
        <v>-184</v>
      </c>
      <c r="AE92" s="423">
        <f t="shared" si="124"/>
        <v>-112</v>
      </c>
      <c r="AF92" s="423">
        <f t="shared" si="125"/>
        <v>-128</v>
      </c>
    </row>
    <row r="93" spans="1:32" outlineLevel="1">
      <c r="A93" s="418" t="s">
        <v>2561</v>
      </c>
      <c r="B93" s="418" t="s">
        <v>2562</v>
      </c>
      <c r="D93" s="423">
        <v>0</v>
      </c>
      <c r="E93" s="423">
        <v>0</v>
      </c>
      <c r="F93" s="423">
        <v>0</v>
      </c>
      <c r="G93" s="423">
        <v>519</v>
      </c>
      <c r="H93" s="423">
        <v>2975</v>
      </c>
      <c r="I93" s="423">
        <v>2975</v>
      </c>
      <c r="J93" s="423">
        <v>2975</v>
      </c>
      <c r="K93" s="423">
        <v>2975</v>
      </c>
      <c r="L93" s="423">
        <v>8002</v>
      </c>
      <c r="M93" s="423">
        <v>7405</v>
      </c>
      <c r="N93" s="423">
        <v>18506</v>
      </c>
      <c r="O93" s="423">
        <v>48751</v>
      </c>
      <c r="P93" s="423">
        <v>4028</v>
      </c>
      <c r="Q93" s="423">
        <v>571</v>
      </c>
      <c r="R93" s="423">
        <v>0</v>
      </c>
      <c r="S93" s="423">
        <v>808</v>
      </c>
      <c r="T93" s="423">
        <v>779</v>
      </c>
      <c r="U93" s="423">
        <v>779</v>
      </c>
      <c r="W93" s="423">
        <f t="shared" si="116"/>
        <v>8002</v>
      </c>
      <c r="X93" s="423">
        <f t="shared" si="117"/>
        <v>-597</v>
      </c>
      <c r="Y93" s="423">
        <f t="shared" si="118"/>
        <v>11101</v>
      </c>
      <c r="Z93" s="423">
        <f t="shared" si="119"/>
        <v>30245</v>
      </c>
      <c r="AA93" s="423">
        <f t="shared" si="120"/>
        <v>4028</v>
      </c>
      <c r="AB93" s="423">
        <f t="shared" si="121"/>
        <v>-3457</v>
      </c>
      <c r="AC93" s="423">
        <f t="shared" si="122"/>
        <v>-571</v>
      </c>
      <c r="AD93" s="423">
        <f t="shared" si="123"/>
        <v>808</v>
      </c>
      <c r="AE93" s="423">
        <f t="shared" si="124"/>
        <v>779</v>
      </c>
      <c r="AF93" s="423">
        <f t="shared" si="125"/>
        <v>0</v>
      </c>
    </row>
    <row r="94" spans="1:32" outlineLevel="1">
      <c r="A94" s="418" t="s">
        <v>733</v>
      </c>
      <c r="B94" s="418" t="s">
        <v>734</v>
      </c>
      <c r="D94" s="423">
        <v>0</v>
      </c>
      <c r="E94" s="423">
        <v>0</v>
      </c>
      <c r="F94" s="423">
        <v>0</v>
      </c>
      <c r="G94" s="423">
        <v>0</v>
      </c>
      <c r="H94" s="423">
        <v>0</v>
      </c>
      <c r="I94" s="423">
        <v>0</v>
      </c>
      <c r="J94" s="423">
        <v>0</v>
      </c>
      <c r="K94" s="423">
        <v>0</v>
      </c>
      <c r="L94" s="423">
        <v>0</v>
      </c>
      <c r="M94" s="423">
        <v>0</v>
      </c>
      <c r="N94" s="423">
        <v>0</v>
      </c>
      <c r="O94" s="423">
        <v>0</v>
      </c>
      <c r="P94" s="423">
        <v>0</v>
      </c>
      <c r="Q94" s="423">
        <v>0</v>
      </c>
      <c r="R94" s="423">
        <v>0</v>
      </c>
      <c r="S94" s="423">
        <v>0</v>
      </c>
      <c r="T94" s="423">
        <v>0</v>
      </c>
      <c r="U94" s="423">
        <v>0</v>
      </c>
      <c r="W94" s="423">
        <f t="shared" si="116"/>
        <v>0</v>
      </c>
      <c r="X94" s="423">
        <f t="shared" si="117"/>
        <v>0</v>
      </c>
      <c r="Y94" s="423">
        <f t="shared" si="118"/>
        <v>0</v>
      </c>
      <c r="Z94" s="423">
        <f t="shared" si="119"/>
        <v>0</v>
      </c>
      <c r="AA94" s="423">
        <f t="shared" si="120"/>
        <v>0</v>
      </c>
      <c r="AB94" s="423">
        <f t="shared" si="121"/>
        <v>0</v>
      </c>
      <c r="AC94" s="423">
        <f t="shared" si="122"/>
        <v>0</v>
      </c>
      <c r="AD94" s="423">
        <f t="shared" si="123"/>
        <v>0</v>
      </c>
      <c r="AE94" s="423">
        <f t="shared" si="124"/>
        <v>0</v>
      </c>
      <c r="AF94" s="423">
        <f t="shared" si="125"/>
        <v>0</v>
      </c>
    </row>
    <row r="95" spans="1:32" outlineLevel="1">
      <c r="A95" s="418" t="s">
        <v>735</v>
      </c>
      <c r="B95" s="418" t="s">
        <v>736</v>
      </c>
      <c r="D95" s="423">
        <v>0</v>
      </c>
      <c r="E95" s="423">
        <v>0</v>
      </c>
      <c r="F95" s="423">
        <v>0</v>
      </c>
      <c r="G95" s="423">
        <v>0</v>
      </c>
      <c r="H95" s="423">
        <v>0</v>
      </c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>
        <v>0</v>
      </c>
      <c r="T95" s="423">
        <v>0</v>
      </c>
      <c r="U95" s="423">
        <v>0</v>
      </c>
      <c r="W95" s="423">
        <f t="shared" si="116"/>
        <v>0</v>
      </c>
      <c r="X95" s="423">
        <f t="shared" si="117"/>
        <v>0</v>
      </c>
      <c r="Y95" s="423">
        <f t="shared" si="118"/>
        <v>0</v>
      </c>
      <c r="Z95" s="423">
        <f t="shared" si="119"/>
        <v>0</v>
      </c>
      <c r="AA95" s="423">
        <f t="shared" si="120"/>
        <v>0</v>
      </c>
      <c r="AB95" s="423">
        <f t="shared" si="121"/>
        <v>0</v>
      </c>
      <c r="AC95" s="423">
        <f t="shared" si="122"/>
        <v>0</v>
      </c>
      <c r="AD95" s="423">
        <f t="shared" si="123"/>
        <v>0</v>
      </c>
      <c r="AE95" s="423">
        <f t="shared" si="124"/>
        <v>0</v>
      </c>
      <c r="AF95" s="423">
        <f t="shared" si="125"/>
        <v>0</v>
      </c>
    </row>
    <row r="96" spans="1:32" outlineLevel="1">
      <c r="A96" s="418" t="s">
        <v>737</v>
      </c>
      <c r="B96" s="418" t="s">
        <v>738</v>
      </c>
      <c r="D96" s="423">
        <v>0</v>
      </c>
      <c r="E96" s="423">
        <v>0</v>
      </c>
      <c r="F96" s="423">
        <v>0</v>
      </c>
      <c r="G96" s="423">
        <v>0</v>
      </c>
      <c r="H96" s="423">
        <v>0</v>
      </c>
      <c r="I96" s="423">
        <v>0</v>
      </c>
      <c r="J96" s="423">
        <v>0</v>
      </c>
      <c r="K96" s="423">
        <v>0</v>
      </c>
      <c r="L96" s="423">
        <v>0</v>
      </c>
      <c r="M96" s="423">
        <v>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>
        <v>0</v>
      </c>
      <c r="T96" s="423">
        <v>0</v>
      </c>
      <c r="U96" s="423">
        <v>0</v>
      </c>
      <c r="W96" s="423">
        <f t="shared" si="116"/>
        <v>0</v>
      </c>
      <c r="X96" s="423">
        <f t="shared" si="117"/>
        <v>0</v>
      </c>
      <c r="Y96" s="423">
        <f t="shared" si="118"/>
        <v>0</v>
      </c>
      <c r="Z96" s="423">
        <f t="shared" si="119"/>
        <v>0</v>
      </c>
      <c r="AA96" s="423">
        <f t="shared" si="120"/>
        <v>0</v>
      </c>
      <c r="AB96" s="423">
        <f t="shared" si="121"/>
        <v>0</v>
      </c>
      <c r="AC96" s="423">
        <f t="shared" si="122"/>
        <v>0</v>
      </c>
      <c r="AD96" s="423">
        <f t="shared" si="123"/>
        <v>0</v>
      </c>
      <c r="AE96" s="423">
        <f t="shared" si="124"/>
        <v>0</v>
      </c>
      <c r="AF96" s="423">
        <f t="shared" si="125"/>
        <v>0</v>
      </c>
    </row>
    <row r="97" spans="1:32" outlineLevel="1">
      <c r="A97" s="418" t="s">
        <v>739</v>
      </c>
      <c r="B97" s="418" t="s">
        <v>740</v>
      </c>
      <c r="D97" s="423">
        <v>13</v>
      </c>
      <c r="E97" s="423">
        <v>37</v>
      </c>
      <c r="F97" s="423">
        <v>60</v>
      </c>
      <c r="G97" s="423">
        <v>123</v>
      </c>
      <c r="H97" s="423">
        <v>86</v>
      </c>
      <c r="I97" s="423">
        <v>100</v>
      </c>
      <c r="J97" s="423">
        <v>121</v>
      </c>
      <c r="K97" s="423">
        <v>171</v>
      </c>
      <c r="L97" s="423">
        <v>119</v>
      </c>
      <c r="M97" s="423">
        <v>187</v>
      </c>
      <c r="N97" s="423">
        <v>569</v>
      </c>
      <c r="O97" s="423">
        <v>876</v>
      </c>
      <c r="P97" s="423">
        <v>87</v>
      </c>
      <c r="Q97" s="423">
        <v>307</v>
      </c>
      <c r="R97" s="423">
        <v>1902</v>
      </c>
      <c r="S97" s="423">
        <v>2987</v>
      </c>
      <c r="T97" s="423">
        <v>630</v>
      </c>
      <c r="U97" s="423">
        <v>1581</v>
      </c>
      <c r="W97" s="423">
        <f t="shared" si="116"/>
        <v>119</v>
      </c>
      <c r="X97" s="423">
        <f t="shared" si="117"/>
        <v>68</v>
      </c>
      <c r="Y97" s="423">
        <f t="shared" si="118"/>
        <v>382</v>
      </c>
      <c r="Z97" s="423">
        <f t="shared" si="119"/>
        <v>307</v>
      </c>
      <c r="AA97" s="423">
        <f t="shared" si="120"/>
        <v>87</v>
      </c>
      <c r="AB97" s="423">
        <f t="shared" si="121"/>
        <v>220</v>
      </c>
      <c r="AC97" s="423">
        <f t="shared" si="122"/>
        <v>1595</v>
      </c>
      <c r="AD97" s="423">
        <f t="shared" si="123"/>
        <v>1085</v>
      </c>
      <c r="AE97" s="423">
        <f t="shared" si="124"/>
        <v>630</v>
      </c>
      <c r="AF97" s="423">
        <f t="shared" si="125"/>
        <v>951</v>
      </c>
    </row>
    <row r="98" spans="1:32" outlineLevel="1">
      <c r="A98" s="418" t="s">
        <v>741</v>
      </c>
      <c r="B98" s="418" t="s">
        <v>2536</v>
      </c>
      <c r="D98" s="423">
        <v>0</v>
      </c>
      <c r="E98" s="423">
        <v>0</v>
      </c>
      <c r="F98" s="423">
        <v>0</v>
      </c>
      <c r="G98" s="423">
        <v>0</v>
      </c>
      <c r="H98" s="423">
        <v>0</v>
      </c>
      <c r="I98" s="423">
        <v>0</v>
      </c>
      <c r="J98" s="423">
        <v>0</v>
      </c>
      <c r="K98" s="423">
        <v>0</v>
      </c>
      <c r="L98" s="423">
        <v>0</v>
      </c>
      <c r="M98" s="423">
        <v>0</v>
      </c>
      <c r="N98" s="423">
        <v>0</v>
      </c>
      <c r="O98" s="423">
        <v>0</v>
      </c>
      <c r="P98" s="423">
        <v>0</v>
      </c>
      <c r="Q98" s="423">
        <v>0</v>
      </c>
      <c r="R98" s="423">
        <v>0</v>
      </c>
      <c r="S98" s="423">
        <v>0</v>
      </c>
      <c r="T98" s="423">
        <v>0</v>
      </c>
      <c r="U98" s="423">
        <v>0</v>
      </c>
      <c r="W98" s="423">
        <f>L98</f>
        <v>0</v>
      </c>
      <c r="X98" s="423">
        <f>M98-W98</f>
        <v>0</v>
      </c>
      <c r="Y98" s="423">
        <f t="shared" si="118"/>
        <v>0</v>
      </c>
      <c r="Z98" s="423">
        <f t="shared" si="119"/>
        <v>0</v>
      </c>
      <c r="AA98" s="423">
        <f>P98</f>
        <v>0</v>
      </c>
      <c r="AB98" s="423">
        <f>Q98-AA98</f>
        <v>0</v>
      </c>
      <c r="AC98" s="423">
        <f t="shared" si="122"/>
        <v>0</v>
      </c>
      <c r="AD98" s="423">
        <f t="shared" si="123"/>
        <v>0</v>
      </c>
      <c r="AE98" s="423">
        <f>T98</f>
        <v>0</v>
      </c>
      <c r="AF98" s="423">
        <f t="shared" si="125"/>
        <v>0</v>
      </c>
    </row>
    <row r="99" spans="1:32" outlineLevel="1">
      <c r="A99" s="418" t="s">
        <v>742</v>
      </c>
      <c r="B99" s="418" t="s">
        <v>743</v>
      </c>
      <c r="D99" s="423">
        <v>2903</v>
      </c>
      <c r="E99" s="423">
        <v>3954</v>
      </c>
      <c r="F99" s="423">
        <v>5402</v>
      </c>
      <c r="G99" s="423">
        <v>6667</v>
      </c>
      <c r="H99" s="423">
        <v>2807</v>
      </c>
      <c r="I99" s="423">
        <v>5072</v>
      </c>
      <c r="J99" s="423">
        <v>4570</v>
      </c>
      <c r="K99" s="423">
        <v>4958</v>
      </c>
      <c r="L99" s="423">
        <v>291</v>
      </c>
      <c r="M99" s="423">
        <v>312</v>
      </c>
      <c r="N99" s="423">
        <v>8605</v>
      </c>
      <c r="O99" s="423">
        <v>8605</v>
      </c>
      <c r="P99" s="423">
        <v>7882</v>
      </c>
      <c r="Q99" s="423">
        <v>12927</v>
      </c>
      <c r="R99" s="423">
        <v>16228</v>
      </c>
      <c r="S99" s="423">
        <v>14979</v>
      </c>
      <c r="T99" s="423">
        <v>3568</v>
      </c>
      <c r="U99" s="423">
        <v>6733</v>
      </c>
      <c r="W99" s="423">
        <f t="shared" si="116"/>
        <v>291</v>
      </c>
      <c r="X99" s="423">
        <f t="shared" si="117"/>
        <v>21</v>
      </c>
      <c r="Y99" s="423">
        <f t="shared" si="118"/>
        <v>8293</v>
      </c>
      <c r="Z99" s="423">
        <f t="shared" si="119"/>
        <v>0</v>
      </c>
      <c r="AA99" s="423">
        <f t="shared" si="120"/>
        <v>7882</v>
      </c>
      <c r="AB99" s="423">
        <f t="shared" si="121"/>
        <v>5045</v>
      </c>
      <c r="AC99" s="423">
        <f t="shared" si="122"/>
        <v>3301</v>
      </c>
      <c r="AD99" s="423">
        <f t="shared" si="123"/>
        <v>-1249</v>
      </c>
      <c r="AE99" s="423">
        <f t="shared" si="124"/>
        <v>3568</v>
      </c>
      <c r="AF99" s="423">
        <f t="shared" si="125"/>
        <v>3165</v>
      </c>
    </row>
    <row r="100" spans="1:32">
      <c r="A100" s="417" t="s">
        <v>744</v>
      </c>
      <c r="B100" s="417" t="s">
        <v>745</v>
      </c>
      <c r="D100" s="422">
        <f t="shared" ref="D100:I100" si="126">SUM(D101:D110)</f>
        <v>-4077</v>
      </c>
      <c r="E100" s="422">
        <f t="shared" si="126"/>
        <v>-9833</v>
      </c>
      <c r="F100" s="422">
        <f t="shared" si="126"/>
        <v>-20528</v>
      </c>
      <c r="G100" s="422">
        <f t="shared" si="126"/>
        <v>-30434</v>
      </c>
      <c r="H100" s="422">
        <f t="shared" si="126"/>
        <v>-13613</v>
      </c>
      <c r="I100" s="422">
        <f t="shared" si="126"/>
        <v>-27450</v>
      </c>
      <c r="J100" s="424">
        <f t="shared" ref="J100:T100" si="127">SUM(J101:J110)</f>
        <v>-34472</v>
      </c>
      <c r="K100" s="424">
        <f t="shared" si="127"/>
        <v>-44209</v>
      </c>
      <c r="L100" s="424">
        <f t="shared" si="127"/>
        <v>-14097</v>
      </c>
      <c r="M100" s="424">
        <f t="shared" si="127"/>
        <v>-29938</v>
      </c>
      <c r="N100" s="422">
        <f t="shared" si="127"/>
        <v>-51340</v>
      </c>
      <c r="O100" s="422">
        <f t="shared" si="127"/>
        <v>-90197</v>
      </c>
      <c r="P100" s="422">
        <f t="shared" si="127"/>
        <v>-16342</v>
      </c>
      <c r="Q100" s="422">
        <f t="shared" si="127"/>
        <v>-23068</v>
      </c>
      <c r="R100" s="422">
        <f t="shared" si="127"/>
        <v>-29566</v>
      </c>
      <c r="S100" s="422">
        <f t="shared" si="127"/>
        <v>-33450</v>
      </c>
      <c r="T100" s="422">
        <f t="shared" si="127"/>
        <v>-7744</v>
      </c>
      <c r="U100" s="422">
        <f>SUM(U101:U110)</f>
        <v>-14117</v>
      </c>
      <c r="W100" s="422">
        <f t="shared" ref="W100:AC100" si="128">SUM(W101:W110)</f>
        <v>-14097</v>
      </c>
      <c r="X100" s="424">
        <f t="shared" si="128"/>
        <v>-15841</v>
      </c>
      <c r="Y100" s="422">
        <f t="shared" si="128"/>
        <v>-21402</v>
      </c>
      <c r="Z100" s="422">
        <f t="shared" si="128"/>
        <v>-38857</v>
      </c>
      <c r="AA100" s="422">
        <f t="shared" si="128"/>
        <v>-16342</v>
      </c>
      <c r="AB100" s="422">
        <f t="shared" si="128"/>
        <v>-6726</v>
      </c>
      <c r="AC100" s="422">
        <f t="shared" si="128"/>
        <v>-6498</v>
      </c>
      <c r="AD100" s="422">
        <f t="shared" ref="AD100:AE100" si="129">SUM(AD101:AD110)</f>
        <v>-3884</v>
      </c>
      <c r="AE100" s="422">
        <f t="shared" si="129"/>
        <v>-7744</v>
      </c>
      <c r="AF100" s="422">
        <f>SUM(AF101:AF110)</f>
        <v>-6373</v>
      </c>
    </row>
    <row r="101" spans="1:32" outlineLevel="1">
      <c r="A101" s="418" t="s">
        <v>746</v>
      </c>
      <c r="B101" s="418" t="s">
        <v>747</v>
      </c>
      <c r="D101" s="423">
        <v>-94</v>
      </c>
      <c r="E101" s="423">
        <v>-6428</v>
      </c>
      <c r="F101" s="423">
        <v>-14884</v>
      </c>
      <c r="G101" s="423">
        <v>-14449</v>
      </c>
      <c r="H101" s="423">
        <v>-3239</v>
      </c>
      <c r="I101" s="423">
        <v>-4929</v>
      </c>
      <c r="J101" s="423">
        <v>-12292</v>
      </c>
      <c r="K101" s="423">
        <v>-11369</v>
      </c>
      <c r="L101" s="423">
        <v>-7897</v>
      </c>
      <c r="M101" s="423">
        <v>-15732</v>
      </c>
      <c r="N101" s="423">
        <v>-26319</v>
      </c>
      <c r="O101" s="423">
        <v>-62815</v>
      </c>
      <c r="P101" s="423">
        <v>-2261</v>
      </c>
      <c r="Q101" s="423">
        <v>-4098</v>
      </c>
      <c r="R101" s="423">
        <v>-6539</v>
      </c>
      <c r="S101" s="423">
        <v>-9032</v>
      </c>
      <c r="T101" s="423">
        <v>-1231</v>
      </c>
      <c r="U101" s="423">
        <v>-2153</v>
      </c>
      <c r="W101" s="423">
        <f t="shared" ref="W101:W110" si="130">L101</f>
        <v>-7897</v>
      </c>
      <c r="X101" s="423">
        <f t="shared" ref="X101:X110" si="131">M101-W101</f>
        <v>-7835</v>
      </c>
      <c r="Y101" s="423">
        <f t="shared" ref="Y101:Y110" si="132">N101-M101</f>
        <v>-10587</v>
      </c>
      <c r="Z101" s="423">
        <f t="shared" ref="Z101:Z110" si="133">O101-N101</f>
        <v>-36496</v>
      </c>
      <c r="AA101" s="423">
        <f t="shared" ref="AA101:AA110" si="134">P101</f>
        <v>-2261</v>
      </c>
      <c r="AB101" s="423">
        <f t="shared" ref="AB101:AB110" si="135">Q101-AA101</f>
        <v>-1837</v>
      </c>
      <c r="AC101" s="423">
        <f t="shared" ref="AC101:AC110" si="136">R101-Q101</f>
        <v>-2441</v>
      </c>
      <c r="AD101" s="423">
        <f t="shared" ref="AD101:AD110" si="137">S101-R101</f>
        <v>-2493</v>
      </c>
      <c r="AE101" s="423">
        <f t="shared" ref="AE101:AE110" si="138">T101</f>
        <v>-1231</v>
      </c>
      <c r="AF101" s="423">
        <f t="shared" ref="AF101:AF110" si="139">U101-T101</f>
        <v>-922</v>
      </c>
    </row>
    <row r="102" spans="1:32" outlineLevel="1">
      <c r="A102" s="418" t="s">
        <v>748</v>
      </c>
      <c r="B102" s="418" t="s">
        <v>749</v>
      </c>
      <c r="D102" s="423">
        <v>0</v>
      </c>
      <c r="E102" s="423">
        <v>0</v>
      </c>
      <c r="F102" s="423">
        <v>0</v>
      </c>
      <c r="G102" s="423">
        <v>0</v>
      </c>
      <c r="H102" s="423">
        <v>0</v>
      </c>
      <c r="I102" s="423">
        <v>0</v>
      </c>
      <c r="J102" s="423">
        <v>0</v>
      </c>
      <c r="K102" s="423">
        <v>0</v>
      </c>
      <c r="L102" s="423">
        <v>0</v>
      </c>
      <c r="M102" s="423">
        <v>0</v>
      </c>
      <c r="N102" s="423">
        <v>0</v>
      </c>
      <c r="O102" s="423">
        <v>0</v>
      </c>
      <c r="P102" s="423">
        <v>0</v>
      </c>
      <c r="Q102" s="423">
        <v>0</v>
      </c>
      <c r="R102" s="423">
        <v>0</v>
      </c>
      <c r="S102" s="423">
        <v>0</v>
      </c>
      <c r="T102" s="423">
        <v>0</v>
      </c>
      <c r="U102" s="423">
        <v>0</v>
      </c>
      <c r="W102" s="423">
        <f t="shared" si="130"/>
        <v>0</v>
      </c>
      <c r="X102" s="423">
        <f t="shared" si="131"/>
        <v>0</v>
      </c>
      <c r="Y102" s="423">
        <f t="shared" si="132"/>
        <v>0</v>
      </c>
      <c r="Z102" s="423">
        <f t="shared" si="133"/>
        <v>0</v>
      </c>
      <c r="AA102" s="423">
        <f t="shared" si="134"/>
        <v>0</v>
      </c>
      <c r="AB102" s="423">
        <f t="shared" si="135"/>
        <v>0</v>
      </c>
      <c r="AC102" s="423">
        <f t="shared" si="136"/>
        <v>0</v>
      </c>
      <c r="AD102" s="423">
        <f t="shared" si="137"/>
        <v>0</v>
      </c>
      <c r="AE102" s="423">
        <f t="shared" si="138"/>
        <v>0</v>
      </c>
      <c r="AF102" s="423">
        <f t="shared" si="139"/>
        <v>0</v>
      </c>
    </row>
    <row r="103" spans="1:32" outlineLevel="1">
      <c r="A103" s="418" t="s">
        <v>750</v>
      </c>
      <c r="B103" s="418" t="s">
        <v>751</v>
      </c>
      <c r="D103" s="423">
        <v>-3899</v>
      </c>
      <c r="E103" s="423">
        <v>-2814</v>
      </c>
      <c r="F103" s="423">
        <v>-4583</v>
      </c>
      <c r="G103" s="423">
        <v>-13120</v>
      </c>
      <c r="H103" s="423">
        <v>-9860</v>
      </c>
      <c r="I103" s="423">
        <v>-21483</v>
      </c>
      <c r="J103" s="423">
        <v>-20760</v>
      </c>
      <c r="K103" s="423">
        <v>-30559</v>
      </c>
      <c r="L103" s="423">
        <v>-5323</v>
      </c>
      <c r="M103" s="423">
        <v>-8202</v>
      </c>
      <c r="N103" s="423">
        <v>-18355</v>
      </c>
      <c r="O103" s="423">
        <v>-18562</v>
      </c>
      <c r="P103" s="423">
        <v>-13363</v>
      </c>
      <c r="Q103" s="423">
        <v>-17086</v>
      </c>
      <c r="R103" s="423">
        <v>-20322</v>
      </c>
      <c r="S103" s="423">
        <v>-20438</v>
      </c>
      <c r="T103" s="423">
        <v>-6045</v>
      </c>
      <c r="U103" s="423">
        <v>-1848</v>
      </c>
      <c r="W103" s="423">
        <f t="shared" si="130"/>
        <v>-5323</v>
      </c>
      <c r="X103" s="423">
        <f t="shared" si="131"/>
        <v>-2879</v>
      </c>
      <c r="Y103" s="423">
        <f t="shared" si="132"/>
        <v>-10153</v>
      </c>
      <c r="Z103" s="423">
        <f t="shared" si="133"/>
        <v>-207</v>
      </c>
      <c r="AA103" s="423">
        <f t="shared" si="134"/>
        <v>-13363</v>
      </c>
      <c r="AB103" s="423">
        <f t="shared" si="135"/>
        <v>-3723</v>
      </c>
      <c r="AC103" s="423">
        <f t="shared" si="136"/>
        <v>-3236</v>
      </c>
      <c r="AD103" s="423">
        <f t="shared" si="137"/>
        <v>-116</v>
      </c>
      <c r="AE103" s="423">
        <f t="shared" si="138"/>
        <v>-6045</v>
      </c>
      <c r="AF103" s="423">
        <f t="shared" si="139"/>
        <v>4197</v>
      </c>
    </row>
    <row r="104" spans="1:32" outlineLevel="1">
      <c r="A104" s="418" t="s">
        <v>741</v>
      </c>
      <c r="B104" s="418" t="s">
        <v>2536</v>
      </c>
      <c r="D104" s="423"/>
      <c r="E104" s="423"/>
      <c r="F104" s="423"/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>
        <v>0</v>
      </c>
      <c r="R104" s="423">
        <v>0</v>
      </c>
      <c r="S104" s="423">
        <v>0</v>
      </c>
      <c r="T104" s="423">
        <v>0</v>
      </c>
      <c r="U104" s="423">
        <v>0</v>
      </c>
      <c r="W104" s="423">
        <f>L104</f>
        <v>0</v>
      </c>
      <c r="X104" s="423">
        <f>M104-W104</f>
        <v>0</v>
      </c>
      <c r="Y104" s="423">
        <f t="shared" si="132"/>
        <v>0</v>
      </c>
      <c r="Z104" s="423">
        <f t="shared" si="133"/>
        <v>0</v>
      </c>
      <c r="AA104" s="423">
        <f>P104</f>
        <v>0</v>
      </c>
      <c r="AB104" s="423">
        <f>Q104-AA104</f>
        <v>0</v>
      </c>
      <c r="AC104" s="423">
        <f t="shared" si="136"/>
        <v>0</v>
      </c>
      <c r="AD104" s="423">
        <f t="shared" si="137"/>
        <v>0</v>
      </c>
      <c r="AE104" s="423">
        <f>T104</f>
        <v>0</v>
      </c>
      <c r="AF104" s="423">
        <f t="shared" si="139"/>
        <v>0</v>
      </c>
    </row>
    <row r="105" spans="1:32" outlineLevel="1">
      <c r="A105" s="418" t="s">
        <v>752</v>
      </c>
      <c r="B105" s="418" t="s">
        <v>753</v>
      </c>
      <c r="D105" s="423">
        <v>0</v>
      </c>
      <c r="E105" s="423">
        <v>0</v>
      </c>
      <c r="F105" s="423">
        <v>0</v>
      </c>
      <c r="G105" s="423">
        <v>0</v>
      </c>
      <c r="H105" s="423">
        <v>0</v>
      </c>
      <c r="I105" s="423">
        <v>0</v>
      </c>
      <c r="J105" s="423">
        <v>0</v>
      </c>
      <c r="K105" s="423">
        <v>0</v>
      </c>
      <c r="L105" s="423">
        <v>0</v>
      </c>
      <c r="M105" s="423">
        <v>0</v>
      </c>
      <c r="N105" s="423">
        <v>0</v>
      </c>
      <c r="O105" s="423">
        <v>0</v>
      </c>
      <c r="P105" s="423">
        <v>0</v>
      </c>
      <c r="Q105" s="423">
        <v>0</v>
      </c>
      <c r="R105" s="423">
        <v>0</v>
      </c>
      <c r="S105" s="423">
        <v>0</v>
      </c>
      <c r="T105" s="423">
        <v>0</v>
      </c>
      <c r="U105" s="423">
        <v>0</v>
      </c>
      <c r="W105" s="423">
        <f>L105</f>
        <v>0</v>
      </c>
      <c r="X105" s="423">
        <f>M105-W105</f>
        <v>0</v>
      </c>
      <c r="Y105" s="423">
        <f t="shared" si="132"/>
        <v>0</v>
      </c>
      <c r="Z105" s="423">
        <f t="shared" si="133"/>
        <v>0</v>
      </c>
      <c r="AA105" s="423">
        <f>P105</f>
        <v>0</v>
      </c>
      <c r="AB105" s="423">
        <f>Q105-AA105</f>
        <v>0</v>
      </c>
      <c r="AC105" s="423">
        <f t="shared" si="136"/>
        <v>0</v>
      </c>
      <c r="AD105" s="423">
        <f t="shared" si="137"/>
        <v>0</v>
      </c>
      <c r="AE105" s="423">
        <f>T105</f>
        <v>0</v>
      </c>
      <c r="AF105" s="423">
        <f t="shared" si="139"/>
        <v>0</v>
      </c>
    </row>
    <row r="106" spans="1:32" outlineLevel="1">
      <c r="A106" s="418" t="s">
        <v>754</v>
      </c>
      <c r="B106" s="418" t="s">
        <v>755</v>
      </c>
      <c r="D106" s="423">
        <v>0</v>
      </c>
      <c r="E106" s="423">
        <v>0</v>
      </c>
      <c r="F106" s="423">
        <v>0</v>
      </c>
      <c r="G106" s="423">
        <v>0</v>
      </c>
      <c r="H106" s="423">
        <v>0</v>
      </c>
      <c r="I106" s="423">
        <v>0</v>
      </c>
      <c r="J106" s="423">
        <v>0</v>
      </c>
      <c r="K106" s="423">
        <v>0</v>
      </c>
      <c r="L106" s="423">
        <v>0</v>
      </c>
      <c r="M106" s="423">
        <v>0</v>
      </c>
      <c r="N106" s="423">
        <v>0</v>
      </c>
      <c r="O106" s="423">
        <v>0</v>
      </c>
      <c r="P106" s="423">
        <v>0</v>
      </c>
      <c r="Q106" s="423">
        <v>0</v>
      </c>
      <c r="R106" s="423">
        <v>0</v>
      </c>
      <c r="S106" s="423">
        <v>0</v>
      </c>
      <c r="T106" s="423">
        <v>0</v>
      </c>
      <c r="U106" s="423">
        <v>0</v>
      </c>
      <c r="W106" s="423">
        <f>L106</f>
        <v>0</v>
      </c>
      <c r="X106" s="423">
        <f>M106-W106</f>
        <v>0</v>
      </c>
      <c r="Y106" s="423">
        <f t="shared" si="132"/>
        <v>0</v>
      </c>
      <c r="Z106" s="423">
        <f t="shared" si="133"/>
        <v>0</v>
      </c>
      <c r="AA106" s="423">
        <f>P106</f>
        <v>0</v>
      </c>
      <c r="AB106" s="423">
        <f>Q106-AA106</f>
        <v>0</v>
      </c>
      <c r="AC106" s="423">
        <f t="shared" si="136"/>
        <v>0</v>
      </c>
      <c r="AD106" s="423">
        <f t="shared" si="137"/>
        <v>0</v>
      </c>
      <c r="AE106" s="423">
        <f>T106</f>
        <v>0</v>
      </c>
      <c r="AF106" s="423">
        <f t="shared" si="139"/>
        <v>0</v>
      </c>
    </row>
    <row r="107" spans="1:32" outlineLevel="1">
      <c r="A107" s="418" t="s">
        <v>756</v>
      </c>
      <c r="B107" s="418" t="s">
        <v>757</v>
      </c>
      <c r="D107" s="423">
        <v>0</v>
      </c>
      <c r="E107" s="423">
        <v>-16</v>
      </c>
      <c r="F107" s="423">
        <v>-47</v>
      </c>
      <c r="G107" s="423">
        <v>-65</v>
      </c>
      <c r="H107" s="423">
        <v>-16</v>
      </c>
      <c r="I107" s="423">
        <v>-43</v>
      </c>
      <c r="J107" s="423">
        <v>-60</v>
      </c>
      <c r="K107" s="423">
        <v>-97</v>
      </c>
      <c r="L107" s="423">
        <v>-38</v>
      </c>
      <c r="M107" s="423">
        <v>-241</v>
      </c>
      <c r="N107" s="423">
        <v>-325</v>
      </c>
      <c r="O107" s="423">
        <v>-352</v>
      </c>
      <c r="P107" s="423">
        <v>-13</v>
      </c>
      <c r="Q107" s="423">
        <v>-40</v>
      </c>
      <c r="R107" s="423">
        <v>-73</v>
      </c>
      <c r="S107" s="423">
        <v>-92</v>
      </c>
      <c r="T107" s="423">
        <v>-14</v>
      </c>
      <c r="U107" s="423">
        <v>-47</v>
      </c>
      <c r="W107" s="423">
        <f>L107</f>
        <v>-38</v>
      </c>
      <c r="X107" s="423">
        <f>M107-W107</f>
        <v>-203</v>
      </c>
      <c r="Y107" s="423">
        <f t="shared" si="132"/>
        <v>-84</v>
      </c>
      <c r="Z107" s="423">
        <f t="shared" si="133"/>
        <v>-27</v>
      </c>
      <c r="AA107" s="423">
        <f>P107</f>
        <v>-13</v>
      </c>
      <c r="AB107" s="423">
        <f>Q107-AA107</f>
        <v>-27</v>
      </c>
      <c r="AC107" s="423">
        <f t="shared" si="136"/>
        <v>-33</v>
      </c>
      <c r="AD107" s="423">
        <f t="shared" si="137"/>
        <v>-19</v>
      </c>
      <c r="AE107" s="423">
        <f>T107</f>
        <v>-14</v>
      </c>
      <c r="AF107" s="423">
        <f t="shared" si="139"/>
        <v>-33</v>
      </c>
    </row>
    <row r="108" spans="1:32" outlineLevel="1">
      <c r="A108" s="418" t="s">
        <v>758</v>
      </c>
      <c r="B108" s="418" t="s">
        <v>759</v>
      </c>
      <c r="D108" s="423">
        <v>0</v>
      </c>
      <c r="E108" s="423">
        <v>0</v>
      </c>
      <c r="F108" s="423">
        <v>0</v>
      </c>
      <c r="G108" s="423">
        <v>0</v>
      </c>
      <c r="H108" s="423">
        <v>0</v>
      </c>
      <c r="I108" s="423">
        <v>0</v>
      </c>
      <c r="J108" s="423">
        <v>0</v>
      </c>
      <c r="K108" s="423">
        <v>0</v>
      </c>
      <c r="L108" s="423">
        <v>0</v>
      </c>
      <c r="M108" s="423">
        <v>0</v>
      </c>
      <c r="N108" s="423">
        <v>0</v>
      </c>
      <c r="O108" s="423">
        <v>0</v>
      </c>
      <c r="P108" s="423">
        <v>0</v>
      </c>
      <c r="Q108" s="423">
        <v>0</v>
      </c>
      <c r="R108" s="423">
        <v>0</v>
      </c>
      <c r="S108" s="423">
        <v>0</v>
      </c>
      <c r="T108" s="423">
        <v>0</v>
      </c>
      <c r="U108" s="423">
        <v>-9058</v>
      </c>
      <c r="W108" s="423">
        <f t="shared" si="130"/>
        <v>0</v>
      </c>
      <c r="X108" s="423">
        <f t="shared" si="131"/>
        <v>0</v>
      </c>
      <c r="Y108" s="423">
        <f t="shared" si="132"/>
        <v>0</v>
      </c>
      <c r="Z108" s="423">
        <f t="shared" si="133"/>
        <v>0</v>
      </c>
      <c r="AA108" s="423">
        <f t="shared" si="134"/>
        <v>0</v>
      </c>
      <c r="AB108" s="423">
        <f t="shared" si="135"/>
        <v>0</v>
      </c>
      <c r="AC108" s="423">
        <f t="shared" si="136"/>
        <v>0</v>
      </c>
      <c r="AD108" s="423">
        <f t="shared" si="137"/>
        <v>0</v>
      </c>
      <c r="AE108" s="423">
        <f t="shared" si="138"/>
        <v>0</v>
      </c>
      <c r="AF108" s="423">
        <f t="shared" si="139"/>
        <v>-9058</v>
      </c>
    </row>
    <row r="109" spans="1:32" outlineLevel="1">
      <c r="A109" s="418" t="s">
        <v>760</v>
      </c>
      <c r="B109" s="418" t="s">
        <v>761</v>
      </c>
      <c r="D109" s="423">
        <v>0</v>
      </c>
      <c r="E109" s="423">
        <v>0</v>
      </c>
      <c r="F109" s="423">
        <v>0</v>
      </c>
      <c r="G109" s="423">
        <v>0</v>
      </c>
      <c r="H109" s="423">
        <v>0</v>
      </c>
      <c r="I109" s="423">
        <v>0</v>
      </c>
      <c r="J109" s="423">
        <v>0</v>
      </c>
      <c r="K109" s="423">
        <v>0</v>
      </c>
      <c r="L109" s="423">
        <v>0</v>
      </c>
      <c r="M109" s="423">
        <v>0</v>
      </c>
      <c r="N109" s="423">
        <v>0</v>
      </c>
      <c r="O109" s="423">
        <v>0</v>
      </c>
      <c r="P109" s="423">
        <v>0</v>
      </c>
      <c r="Q109" s="423">
        <v>0</v>
      </c>
      <c r="R109" s="423">
        <v>0</v>
      </c>
      <c r="S109" s="423">
        <v>0</v>
      </c>
      <c r="T109" s="423">
        <v>0</v>
      </c>
      <c r="U109" s="423">
        <v>0</v>
      </c>
      <c r="W109" s="423">
        <f t="shared" si="130"/>
        <v>0</v>
      </c>
      <c r="X109" s="423">
        <f t="shared" si="131"/>
        <v>0</v>
      </c>
      <c r="Y109" s="423">
        <f t="shared" si="132"/>
        <v>0</v>
      </c>
      <c r="Z109" s="423">
        <f t="shared" si="133"/>
        <v>0</v>
      </c>
      <c r="AA109" s="423">
        <f t="shared" si="134"/>
        <v>0</v>
      </c>
      <c r="AB109" s="423">
        <f t="shared" si="135"/>
        <v>0</v>
      </c>
      <c r="AC109" s="423">
        <f t="shared" si="136"/>
        <v>0</v>
      </c>
      <c r="AD109" s="423">
        <f t="shared" si="137"/>
        <v>0</v>
      </c>
      <c r="AE109" s="423">
        <f t="shared" si="138"/>
        <v>0</v>
      </c>
      <c r="AF109" s="423">
        <f t="shared" si="139"/>
        <v>0</v>
      </c>
    </row>
    <row r="110" spans="1:32" outlineLevel="1">
      <c r="A110" s="418" t="s">
        <v>762</v>
      </c>
      <c r="B110" s="418" t="s">
        <v>763</v>
      </c>
      <c r="D110" s="423">
        <v>-84</v>
      </c>
      <c r="E110" s="423">
        <v>-575</v>
      </c>
      <c r="F110" s="423">
        <v>-1014</v>
      </c>
      <c r="G110" s="423">
        <v>-2800</v>
      </c>
      <c r="H110" s="423">
        <v>-498</v>
      </c>
      <c r="I110" s="423">
        <v>-995</v>
      </c>
      <c r="J110" s="423">
        <v>-1360</v>
      </c>
      <c r="K110" s="423">
        <v>-2184</v>
      </c>
      <c r="L110" s="423">
        <v>-839</v>
      </c>
      <c r="M110" s="423">
        <v>-5763</v>
      </c>
      <c r="N110" s="423">
        <v>-6341</v>
      </c>
      <c r="O110" s="423">
        <v>-8468</v>
      </c>
      <c r="P110" s="423">
        <v>-705</v>
      </c>
      <c r="Q110" s="423">
        <v>-1844</v>
      </c>
      <c r="R110" s="423">
        <v>-2632</v>
      </c>
      <c r="S110" s="423">
        <v>-3888</v>
      </c>
      <c r="T110" s="423">
        <v>-454</v>
      </c>
      <c r="U110" s="423">
        <v>-1011</v>
      </c>
      <c r="W110" s="423">
        <f t="shared" si="130"/>
        <v>-839</v>
      </c>
      <c r="X110" s="423">
        <f t="shared" si="131"/>
        <v>-4924</v>
      </c>
      <c r="Y110" s="423">
        <f t="shared" si="132"/>
        <v>-578</v>
      </c>
      <c r="Z110" s="423">
        <f t="shared" si="133"/>
        <v>-2127</v>
      </c>
      <c r="AA110" s="423">
        <f t="shared" si="134"/>
        <v>-705</v>
      </c>
      <c r="AB110" s="423">
        <f t="shared" si="135"/>
        <v>-1139</v>
      </c>
      <c r="AC110" s="423">
        <f t="shared" si="136"/>
        <v>-788</v>
      </c>
      <c r="AD110" s="423">
        <f t="shared" si="137"/>
        <v>-1256</v>
      </c>
      <c r="AE110" s="423">
        <f t="shared" si="138"/>
        <v>-454</v>
      </c>
      <c r="AF110" s="423">
        <f t="shared" si="139"/>
        <v>-557</v>
      </c>
    </row>
    <row r="111" spans="1:32">
      <c r="A111" s="417"/>
      <c r="B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</row>
    <row r="112" spans="1:32">
      <c r="A112" s="429" t="s">
        <v>764</v>
      </c>
      <c r="B112" s="429" t="s">
        <v>765</v>
      </c>
      <c r="D112" s="420">
        <f t="shared" ref="D112:I112" si="140">D86+D88</f>
        <v>4971</v>
      </c>
      <c r="E112" s="420">
        <f t="shared" si="140"/>
        <v>13964</v>
      </c>
      <c r="F112" s="420">
        <f t="shared" si="140"/>
        <v>9335</v>
      </c>
      <c r="G112" s="420">
        <f t="shared" si="140"/>
        <v>-26803</v>
      </c>
      <c r="H112" s="420">
        <f t="shared" si="140"/>
        <v>86097</v>
      </c>
      <c r="I112" s="420">
        <f t="shared" si="140"/>
        <v>125914</v>
      </c>
      <c r="J112" s="420">
        <f t="shared" ref="J112:T112" si="141">J86+J88</f>
        <v>167945</v>
      </c>
      <c r="K112" s="420">
        <f t="shared" si="141"/>
        <v>-15080</v>
      </c>
      <c r="L112" s="420">
        <f t="shared" si="141"/>
        <v>22387</v>
      </c>
      <c r="M112" s="420">
        <f t="shared" si="141"/>
        <v>20368</v>
      </c>
      <c r="N112" s="420">
        <f t="shared" si="141"/>
        <v>-1240</v>
      </c>
      <c r="O112" s="420">
        <f t="shared" si="141"/>
        <v>-7141</v>
      </c>
      <c r="P112" s="420">
        <f t="shared" si="141"/>
        <v>16075</v>
      </c>
      <c r="Q112" s="420">
        <f t="shared" si="141"/>
        <v>30132</v>
      </c>
      <c r="R112" s="420">
        <f t="shared" si="141"/>
        <v>31824</v>
      </c>
      <c r="S112" s="420">
        <f t="shared" si="141"/>
        <v>90247</v>
      </c>
      <c r="T112" s="741">
        <f t="shared" si="141"/>
        <v>-65935</v>
      </c>
      <c r="U112" s="741">
        <f>U86+U88</f>
        <v>-105451</v>
      </c>
      <c r="W112" s="420">
        <f t="shared" ref="W112:AC112" si="142">W86+W88</f>
        <v>22387</v>
      </c>
      <c r="X112" s="420">
        <f t="shared" si="142"/>
        <v>-2019</v>
      </c>
      <c r="Y112" s="420">
        <f t="shared" si="142"/>
        <v>-21608</v>
      </c>
      <c r="Z112" s="420">
        <f t="shared" si="142"/>
        <v>-5901</v>
      </c>
      <c r="AA112" s="420">
        <f t="shared" si="142"/>
        <v>16075</v>
      </c>
      <c r="AB112" s="420">
        <f t="shared" si="142"/>
        <v>14057</v>
      </c>
      <c r="AC112" s="420">
        <f t="shared" si="142"/>
        <v>1692</v>
      </c>
      <c r="AD112" s="420">
        <f t="shared" ref="AD112:AE112" si="143">AD86+AD88</f>
        <v>58423</v>
      </c>
      <c r="AE112" s="420">
        <f t="shared" si="143"/>
        <v>-65935</v>
      </c>
      <c r="AF112" s="741">
        <f>AF86+AF88</f>
        <v>-39516</v>
      </c>
    </row>
    <row r="114" spans="1:32">
      <c r="A114" s="416" t="s">
        <v>766</v>
      </c>
      <c r="B114" s="416" t="s">
        <v>767</v>
      </c>
      <c r="D114" s="424">
        <f t="shared" ref="D114:I114" si="144">SUM(D116:D119)</f>
        <v>-2803</v>
      </c>
      <c r="E114" s="424">
        <f t="shared" si="144"/>
        <v>-6785</v>
      </c>
      <c r="F114" s="424">
        <f t="shared" si="144"/>
        <v>-4001</v>
      </c>
      <c r="G114" s="424">
        <f t="shared" si="144"/>
        <v>2763</v>
      </c>
      <c r="H114" s="424">
        <f t="shared" si="144"/>
        <v>-32163</v>
      </c>
      <c r="I114" s="424">
        <f t="shared" si="144"/>
        <v>-49478</v>
      </c>
      <c r="J114" s="424">
        <f t="shared" ref="J114:T114" si="145">SUM(J116:J119)</f>
        <v>-66637</v>
      </c>
      <c r="K114" s="424">
        <f t="shared" si="145"/>
        <v>-10346</v>
      </c>
      <c r="L114" s="424">
        <f t="shared" si="145"/>
        <v>-11075</v>
      </c>
      <c r="M114" s="424">
        <f t="shared" si="145"/>
        <v>-18773</v>
      </c>
      <c r="N114" s="424">
        <f t="shared" si="145"/>
        <v>-13624</v>
      </c>
      <c r="O114" s="424">
        <f t="shared" si="145"/>
        <v>-7740</v>
      </c>
      <c r="P114" s="424">
        <f t="shared" si="145"/>
        <v>-16010</v>
      </c>
      <c r="Q114" s="424">
        <f t="shared" si="145"/>
        <v>-22501</v>
      </c>
      <c r="R114" s="424">
        <f t="shared" si="145"/>
        <v>-31180</v>
      </c>
      <c r="S114" s="424">
        <f t="shared" si="145"/>
        <v>-59179</v>
      </c>
      <c r="T114" s="424">
        <f t="shared" si="145"/>
        <v>1180</v>
      </c>
      <c r="U114" s="424">
        <f>SUM(U116:U119)</f>
        <v>1474</v>
      </c>
      <c r="W114" s="424">
        <f t="shared" ref="W114:AC114" si="146">SUM(W116:W119)</f>
        <v>-11075</v>
      </c>
      <c r="X114" s="424">
        <f t="shared" si="146"/>
        <v>-7698</v>
      </c>
      <c r="Y114" s="424">
        <f t="shared" si="146"/>
        <v>5149</v>
      </c>
      <c r="Z114" s="424">
        <f t="shared" si="146"/>
        <v>5884</v>
      </c>
      <c r="AA114" s="424">
        <f t="shared" si="146"/>
        <v>-16010</v>
      </c>
      <c r="AB114" s="424">
        <f t="shared" si="146"/>
        <v>-6491</v>
      </c>
      <c r="AC114" s="424">
        <f t="shared" si="146"/>
        <v>-8679</v>
      </c>
      <c r="AD114" s="424">
        <f t="shared" ref="AD114:AE114" si="147">SUM(AD116:AD119)</f>
        <v>-27999</v>
      </c>
      <c r="AE114" s="424">
        <f t="shared" si="147"/>
        <v>1180</v>
      </c>
      <c r="AF114" s="424">
        <f>SUM(AF116:AF119)</f>
        <v>294</v>
      </c>
    </row>
    <row r="115" spans="1:32">
      <c r="A115" s="417"/>
      <c r="B115" s="417"/>
      <c r="D115" s="417"/>
      <c r="E115" s="417"/>
      <c r="F115" s="417"/>
      <c r="G115" s="417"/>
      <c r="H115" s="417"/>
      <c r="I115" s="417"/>
      <c r="J115" s="417"/>
      <c r="K115" s="417"/>
      <c r="L115" s="417"/>
      <c r="M115" s="417"/>
      <c r="N115" s="417"/>
      <c r="P115" s="417"/>
      <c r="Q115" s="417"/>
      <c r="R115" s="417"/>
      <c r="S115" s="417"/>
      <c r="T115" s="417"/>
      <c r="U115" s="417"/>
      <c r="W115" s="417"/>
      <c r="X115" s="417"/>
      <c r="Y115" s="417"/>
      <c r="AA115" s="417"/>
      <c r="AB115" s="417"/>
      <c r="AC115" s="417"/>
      <c r="AD115" s="417"/>
      <c r="AE115" s="417"/>
      <c r="AF115" s="417"/>
    </row>
    <row r="116" spans="1:32">
      <c r="A116" s="417" t="s">
        <v>768</v>
      </c>
      <c r="B116" s="417" t="s">
        <v>769</v>
      </c>
      <c r="D116" s="425">
        <v>-785</v>
      </c>
      <c r="E116" s="425">
        <v>-1842</v>
      </c>
      <c r="F116" s="425">
        <v>-2033</v>
      </c>
      <c r="G116" s="425">
        <v>-3328</v>
      </c>
      <c r="H116" s="425">
        <v>-1693</v>
      </c>
      <c r="I116" s="425">
        <v>-3813</v>
      </c>
      <c r="J116" s="425">
        <v>-6271</v>
      </c>
      <c r="K116" s="425">
        <v>-7309</v>
      </c>
      <c r="L116" s="425">
        <v>-1324</v>
      </c>
      <c r="M116" s="425">
        <v>-3289</v>
      </c>
      <c r="N116" s="425">
        <v>-3928</v>
      </c>
      <c r="O116" s="425">
        <v>-3020</v>
      </c>
      <c r="P116" s="425">
        <v>-2048</v>
      </c>
      <c r="Q116" s="425">
        <v>-4545</v>
      </c>
      <c r="R116" s="425">
        <v>-5720</v>
      </c>
      <c r="S116" s="425">
        <v>-7948</v>
      </c>
      <c r="T116" s="425">
        <v>-1849</v>
      </c>
      <c r="U116" s="756">
        <v>-4132</v>
      </c>
      <c r="W116" s="425">
        <f>L116</f>
        <v>-1324</v>
      </c>
      <c r="X116" s="425">
        <f>M116-W116</f>
        <v>-1965</v>
      </c>
      <c r="Y116" s="425">
        <f t="shared" ref="Y116:Z119" si="148">N116-M116</f>
        <v>-639</v>
      </c>
      <c r="Z116" s="425">
        <f t="shared" si="148"/>
        <v>908</v>
      </c>
      <c r="AA116" s="425">
        <f>P116</f>
        <v>-2048</v>
      </c>
      <c r="AB116" s="425">
        <f t="shared" ref="AB116:AB119" si="149">Q116-AA116</f>
        <v>-2497</v>
      </c>
      <c r="AC116" s="425">
        <f t="shared" ref="AC116:AD119" si="150">R116-Q116</f>
        <v>-1175</v>
      </c>
      <c r="AD116" s="425">
        <f t="shared" si="150"/>
        <v>-2228</v>
      </c>
      <c r="AE116" s="425">
        <f>T116</f>
        <v>-1849</v>
      </c>
      <c r="AF116" s="756">
        <f>U116-T116</f>
        <v>-2283</v>
      </c>
    </row>
    <row r="117" spans="1:32">
      <c r="A117" s="417" t="s">
        <v>770</v>
      </c>
      <c r="B117" s="417" t="s">
        <v>771</v>
      </c>
      <c r="D117" s="425">
        <v>-2018</v>
      </c>
      <c r="E117" s="425">
        <v>-4943</v>
      </c>
      <c r="F117" s="425">
        <v>-5449</v>
      </c>
      <c r="G117" s="425">
        <v>-8937</v>
      </c>
      <c r="H117" s="425">
        <v>-4513</v>
      </c>
      <c r="I117" s="425">
        <v>-9883</v>
      </c>
      <c r="J117" s="425">
        <v>-16188</v>
      </c>
      <c r="K117" s="425">
        <v>-18645</v>
      </c>
      <c r="L117" s="425">
        <v>-3594</v>
      </c>
      <c r="M117" s="425">
        <v>-9445</v>
      </c>
      <c r="N117" s="425">
        <v>-10639</v>
      </c>
      <c r="O117" s="425">
        <v>-8160</v>
      </c>
      <c r="P117" s="425">
        <v>-5539</v>
      </c>
      <c r="Q117" s="425">
        <v>-12297</v>
      </c>
      <c r="R117" s="425">
        <v>-15477</v>
      </c>
      <c r="S117" s="425">
        <v>-21562</v>
      </c>
      <c r="T117" s="425">
        <v>-5039</v>
      </c>
      <c r="U117" s="756">
        <v>-11706</v>
      </c>
      <c r="W117" s="425">
        <f>L117</f>
        <v>-3594</v>
      </c>
      <c r="X117" s="425">
        <f>M117-W117</f>
        <v>-5851</v>
      </c>
      <c r="Y117" s="425">
        <f t="shared" si="148"/>
        <v>-1194</v>
      </c>
      <c r="Z117" s="425">
        <f t="shared" si="148"/>
        <v>2479</v>
      </c>
      <c r="AA117" s="425">
        <f>P117</f>
        <v>-5539</v>
      </c>
      <c r="AB117" s="425">
        <f t="shared" si="149"/>
        <v>-6758</v>
      </c>
      <c r="AC117" s="425">
        <f t="shared" si="150"/>
        <v>-3180</v>
      </c>
      <c r="AD117" s="425">
        <f t="shared" si="150"/>
        <v>-6085</v>
      </c>
      <c r="AE117" s="425">
        <f>T117</f>
        <v>-5039</v>
      </c>
      <c r="AF117" s="756">
        <f>U117-T117</f>
        <v>-6667</v>
      </c>
    </row>
    <row r="118" spans="1:32">
      <c r="A118" s="417" t="s">
        <v>772</v>
      </c>
      <c r="B118" s="417" t="s">
        <v>773</v>
      </c>
      <c r="D118" s="425">
        <v>0</v>
      </c>
      <c r="E118" s="425">
        <v>0</v>
      </c>
      <c r="F118" s="425">
        <v>-37</v>
      </c>
      <c r="G118" s="425">
        <v>0</v>
      </c>
      <c r="H118" s="425">
        <v>0</v>
      </c>
      <c r="I118" s="425">
        <v>0</v>
      </c>
      <c r="J118" s="425">
        <v>0</v>
      </c>
      <c r="K118" s="425">
        <v>0</v>
      </c>
      <c r="L118" s="425">
        <v>0</v>
      </c>
      <c r="M118" s="425">
        <v>0</v>
      </c>
      <c r="N118" s="425">
        <v>0</v>
      </c>
      <c r="O118" s="425">
        <v>0</v>
      </c>
      <c r="P118" s="425">
        <v>0</v>
      </c>
      <c r="Q118" s="425">
        <v>0</v>
      </c>
      <c r="R118" s="425">
        <v>0</v>
      </c>
      <c r="S118" s="425">
        <v>0</v>
      </c>
      <c r="T118" s="425">
        <v>0</v>
      </c>
      <c r="U118" s="756">
        <v>249</v>
      </c>
      <c r="W118" s="425">
        <f>L118</f>
        <v>0</v>
      </c>
      <c r="X118" s="425">
        <f>M118-W118</f>
        <v>0</v>
      </c>
      <c r="Y118" s="425">
        <f t="shared" si="148"/>
        <v>0</v>
      </c>
      <c r="Z118" s="425">
        <f t="shared" si="148"/>
        <v>0</v>
      </c>
      <c r="AA118" s="425">
        <f>P118</f>
        <v>0</v>
      </c>
      <c r="AB118" s="425">
        <f t="shared" si="149"/>
        <v>0</v>
      </c>
      <c r="AC118" s="425">
        <f t="shared" si="150"/>
        <v>0</v>
      </c>
      <c r="AD118" s="425">
        <f t="shared" si="150"/>
        <v>0</v>
      </c>
      <c r="AE118" s="425">
        <f>T118</f>
        <v>0</v>
      </c>
      <c r="AF118" s="756">
        <f>U118-T118</f>
        <v>249</v>
      </c>
    </row>
    <row r="119" spans="1:32">
      <c r="A119" s="417" t="s">
        <v>774</v>
      </c>
      <c r="B119" s="417" t="s">
        <v>775</v>
      </c>
      <c r="D119" s="425">
        <v>0</v>
      </c>
      <c r="E119" s="425">
        <v>0</v>
      </c>
      <c r="F119" s="425">
        <v>3518</v>
      </c>
      <c r="G119" s="425">
        <v>15028</v>
      </c>
      <c r="H119" s="425">
        <v>-25957</v>
      </c>
      <c r="I119" s="425">
        <v>-35782</v>
      </c>
      <c r="J119" s="425">
        <v>-44178</v>
      </c>
      <c r="K119" s="425">
        <v>15608</v>
      </c>
      <c r="L119" s="425">
        <v>-6157</v>
      </c>
      <c r="M119" s="425">
        <v>-6039</v>
      </c>
      <c r="N119" s="425">
        <v>943</v>
      </c>
      <c r="O119" s="425">
        <v>3440</v>
      </c>
      <c r="P119" s="425">
        <v>-8423</v>
      </c>
      <c r="Q119" s="425">
        <v>-5659</v>
      </c>
      <c r="R119" s="425">
        <v>-9983</v>
      </c>
      <c r="S119" s="425">
        <v>-29669</v>
      </c>
      <c r="T119" s="425">
        <v>8068</v>
      </c>
      <c r="U119" s="756">
        <v>17063</v>
      </c>
      <c r="W119" s="425">
        <f>L119</f>
        <v>-6157</v>
      </c>
      <c r="X119" s="425">
        <f>M119-W119</f>
        <v>118</v>
      </c>
      <c r="Y119" s="425">
        <f t="shared" si="148"/>
        <v>6982</v>
      </c>
      <c r="Z119" s="425">
        <f t="shared" si="148"/>
        <v>2497</v>
      </c>
      <c r="AA119" s="425">
        <f>P119</f>
        <v>-8423</v>
      </c>
      <c r="AB119" s="425">
        <f t="shared" si="149"/>
        <v>2764</v>
      </c>
      <c r="AC119" s="425">
        <f t="shared" si="150"/>
        <v>-4324</v>
      </c>
      <c r="AD119" s="425">
        <f t="shared" si="150"/>
        <v>-19686</v>
      </c>
      <c r="AE119" s="425">
        <f>T119</f>
        <v>8068</v>
      </c>
      <c r="AF119" s="756">
        <f>U119-T119</f>
        <v>8995</v>
      </c>
    </row>
    <row r="120" spans="1:32">
      <c r="A120" s="417"/>
      <c r="B120" s="417"/>
      <c r="D120" s="417"/>
      <c r="E120" s="417"/>
      <c r="F120" s="417"/>
      <c r="G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</row>
    <row r="121" spans="1:32" ht="15" thickBot="1">
      <c r="A121" s="430" t="s">
        <v>776</v>
      </c>
      <c r="B121" s="430" t="s">
        <v>777</v>
      </c>
      <c r="D121" s="426">
        <f t="shared" ref="D121:I121" si="151">D112+D114</f>
        <v>2168</v>
      </c>
      <c r="E121" s="426">
        <f t="shared" si="151"/>
        <v>7179</v>
      </c>
      <c r="F121" s="426">
        <f t="shared" si="151"/>
        <v>5334</v>
      </c>
      <c r="G121" s="426">
        <f t="shared" si="151"/>
        <v>-24040</v>
      </c>
      <c r="H121" s="426">
        <f t="shared" si="151"/>
        <v>53934</v>
      </c>
      <c r="I121" s="426">
        <f t="shared" si="151"/>
        <v>76436</v>
      </c>
      <c r="J121" s="426">
        <f t="shared" ref="J121:T121" si="152">J112+J114</f>
        <v>101308</v>
      </c>
      <c r="K121" s="426">
        <f t="shared" si="152"/>
        <v>-25426</v>
      </c>
      <c r="L121" s="426">
        <f t="shared" si="152"/>
        <v>11312</v>
      </c>
      <c r="M121" s="426">
        <f t="shared" si="152"/>
        <v>1595</v>
      </c>
      <c r="N121" s="426">
        <f t="shared" si="152"/>
        <v>-14864</v>
      </c>
      <c r="O121" s="426">
        <f t="shared" si="152"/>
        <v>-14881</v>
      </c>
      <c r="P121" s="426">
        <f t="shared" si="152"/>
        <v>65</v>
      </c>
      <c r="Q121" s="426">
        <f t="shared" si="152"/>
        <v>7631</v>
      </c>
      <c r="R121" s="426">
        <f t="shared" si="152"/>
        <v>644</v>
      </c>
      <c r="S121" s="426">
        <f t="shared" si="152"/>
        <v>31068</v>
      </c>
      <c r="T121" s="426">
        <f t="shared" si="152"/>
        <v>-64755</v>
      </c>
      <c r="U121" s="426">
        <f>U112+U114</f>
        <v>-103977</v>
      </c>
      <c r="W121" s="426">
        <f t="shared" ref="W121:AC121" si="153">W112+W114</f>
        <v>11312</v>
      </c>
      <c r="X121" s="426">
        <f t="shared" si="153"/>
        <v>-9717</v>
      </c>
      <c r="Y121" s="426">
        <f t="shared" si="153"/>
        <v>-16459</v>
      </c>
      <c r="Z121" s="426">
        <f t="shared" si="153"/>
        <v>-17</v>
      </c>
      <c r="AA121" s="426">
        <f t="shared" si="153"/>
        <v>65</v>
      </c>
      <c r="AB121" s="426">
        <f t="shared" si="153"/>
        <v>7566</v>
      </c>
      <c r="AC121" s="426">
        <f t="shared" si="153"/>
        <v>-6987</v>
      </c>
      <c r="AD121" s="426">
        <f t="shared" ref="AD121:AE121" si="154">AD112+AD114</f>
        <v>30424</v>
      </c>
      <c r="AE121" s="426">
        <f t="shared" si="154"/>
        <v>-64755</v>
      </c>
      <c r="AF121" s="426">
        <f>AF112+AF114</f>
        <v>-39222</v>
      </c>
    </row>
    <row r="122" spans="1:32" ht="15" thickTop="1">
      <c r="A122" s="417"/>
      <c r="B122" s="417"/>
      <c r="D122" s="417"/>
      <c r="E122" s="417"/>
      <c r="F122" s="417"/>
      <c r="G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S122" s="417"/>
      <c r="T122" s="417"/>
      <c r="U122" s="417"/>
      <c r="W122" s="417"/>
      <c r="X122" s="417"/>
      <c r="Y122" s="417"/>
      <c r="Z122" s="417"/>
      <c r="AA122" s="417"/>
      <c r="AB122" s="417"/>
      <c r="AC122" s="417"/>
      <c r="AD122" s="417"/>
      <c r="AE122" s="417"/>
      <c r="AF122" s="417"/>
    </row>
    <row r="123" spans="1:32">
      <c r="A123" s="416" t="s">
        <v>778</v>
      </c>
      <c r="B123" s="416" t="s">
        <v>779</v>
      </c>
      <c r="D123" s="425"/>
      <c r="E123" s="425"/>
      <c r="F123" s="425"/>
      <c r="G123" s="425"/>
      <c r="H123" s="425"/>
      <c r="I123" s="425"/>
      <c r="J123" s="425"/>
      <c r="K123" s="425"/>
      <c r="L123" s="425"/>
      <c r="M123" s="425"/>
      <c r="N123" s="425"/>
      <c r="O123" s="425"/>
      <c r="P123" s="425"/>
      <c r="Q123" s="425"/>
      <c r="R123" s="425"/>
      <c r="S123" s="425"/>
      <c r="T123" s="425"/>
      <c r="U123" s="756"/>
      <c r="W123" s="425"/>
      <c r="X123" s="425"/>
      <c r="Y123" s="425"/>
      <c r="Z123" s="425"/>
      <c r="AA123" s="425"/>
      <c r="AB123" s="425"/>
      <c r="AC123" s="425"/>
      <c r="AD123" s="425"/>
      <c r="AE123" s="425"/>
      <c r="AF123" s="756"/>
    </row>
    <row r="124" spans="1:32">
      <c r="A124" s="417" t="s">
        <v>780</v>
      </c>
      <c r="B124" s="417" t="s">
        <v>781</v>
      </c>
      <c r="D124" s="425">
        <f t="shared" ref="D124:I124" si="155">D121-D125</f>
        <v>2168</v>
      </c>
      <c r="E124" s="425">
        <f t="shared" si="155"/>
        <v>7179</v>
      </c>
      <c r="F124" s="425">
        <f t="shared" si="155"/>
        <v>5334</v>
      </c>
      <c r="G124" s="425">
        <f t="shared" si="155"/>
        <v>-24040</v>
      </c>
      <c r="H124" s="425">
        <f t="shared" si="155"/>
        <v>53934</v>
      </c>
      <c r="I124" s="425">
        <f t="shared" si="155"/>
        <v>76436</v>
      </c>
      <c r="J124" s="425">
        <f>J121-J125</f>
        <v>101308</v>
      </c>
      <c r="K124" s="425">
        <f>K121-K125</f>
        <v>-25426</v>
      </c>
      <c r="L124" s="425">
        <v>11311</v>
      </c>
      <c r="M124" s="425">
        <v>197</v>
      </c>
      <c r="N124" s="425">
        <v>-14877</v>
      </c>
      <c r="O124" s="425">
        <v>-14883</v>
      </c>
      <c r="P124" s="425">
        <v>65</v>
      </c>
      <c r="Q124" s="425">
        <v>7632</v>
      </c>
      <c r="R124" s="425">
        <v>647</v>
      </c>
      <c r="S124" s="425">
        <v>33398</v>
      </c>
      <c r="T124" s="425">
        <v>-58846</v>
      </c>
      <c r="U124" s="756">
        <v>-95032</v>
      </c>
      <c r="W124" s="425">
        <f>L124</f>
        <v>11311</v>
      </c>
      <c r="X124" s="425">
        <f>M124-W124</f>
        <v>-11114</v>
      </c>
      <c r="Y124" s="425">
        <f>N124-M124</f>
        <v>-15074</v>
      </c>
      <c r="Z124" s="425">
        <f>O124-N124</f>
        <v>-6</v>
      </c>
      <c r="AA124" s="425">
        <f>P124</f>
        <v>65</v>
      </c>
      <c r="AB124" s="425">
        <f>Q124-AA124</f>
        <v>7567</v>
      </c>
      <c r="AC124" s="425">
        <f>R124-Q124</f>
        <v>-6985</v>
      </c>
      <c r="AD124" s="425">
        <f>S124-R124</f>
        <v>32751</v>
      </c>
      <c r="AE124" s="425">
        <f>T124</f>
        <v>-58846</v>
      </c>
      <c r="AF124" s="756">
        <f>U124-T124</f>
        <v>-36186</v>
      </c>
    </row>
    <row r="125" spans="1:32">
      <c r="A125" s="417" t="s">
        <v>782</v>
      </c>
      <c r="B125" s="417" t="s">
        <v>783</v>
      </c>
      <c r="D125" s="425">
        <f t="shared" ref="D125:I125" si="156">D121*D130</f>
        <v>0</v>
      </c>
      <c r="E125" s="425">
        <f t="shared" si="156"/>
        <v>0</v>
      </c>
      <c r="F125" s="425">
        <f t="shared" si="156"/>
        <v>0</v>
      </c>
      <c r="G125" s="425">
        <f t="shared" si="156"/>
        <v>0</v>
      </c>
      <c r="H125" s="425">
        <f t="shared" si="156"/>
        <v>0</v>
      </c>
      <c r="I125" s="425">
        <f t="shared" si="156"/>
        <v>0</v>
      </c>
      <c r="J125" s="425">
        <f>J121*J130</f>
        <v>0</v>
      </c>
      <c r="K125" s="425">
        <f>K121*K130</f>
        <v>0</v>
      </c>
      <c r="L125" s="425">
        <v>0</v>
      </c>
      <c r="M125" s="425">
        <v>0</v>
      </c>
      <c r="N125" s="425">
        <v>0</v>
      </c>
      <c r="O125" s="425">
        <v>0</v>
      </c>
      <c r="P125" s="425">
        <v>0</v>
      </c>
      <c r="Q125" s="425">
        <v>-1</v>
      </c>
      <c r="R125" s="425">
        <v>0</v>
      </c>
      <c r="S125" s="425">
        <v>-2330</v>
      </c>
      <c r="T125" s="425">
        <v>-5909</v>
      </c>
      <c r="U125" s="756">
        <v>-8945</v>
      </c>
      <c r="W125" s="425">
        <f>L125</f>
        <v>0</v>
      </c>
      <c r="X125" s="425">
        <f>M125-W125</f>
        <v>0</v>
      </c>
      <c r="Y125" s="425">
        <f>N125-M125</f>
        <v>0</v>
      </c>
      <c r="Z125" s="425">
        <f>O125-N125</f>
        <v>0</v>
      </c>
      <c r="AA125" s="425">
        <f>P125</f>
        <v>0</v>
      </c>
      <c r="AB125" s="425">
        <f>Q125-AA125</f>
        <v>-1</v>
      </c>
      <c r="AC125" s="425">
        <f>R125-Q125</f>
        <v>1</v>
      </c>
      <c r="AD125" s="425">
        <f>S125-R125</f>
        <v>-2330</v>
      </c>
      <c r="AE125" s="425">
        <f>T125</f>
        <v>-5909</v>
      </c>
      <c r="AF125" s="756">
        <f>U125-T125</f>
        <v>-3036</v>
      </c>
    </row>
    <row r="126" spans="1:32">
      <c r="A126" s="417"/>
      <c r="B126" s="417"/>
      <c r="D126" s="417"/>
      <c r="E126" s="417"/>
      <c r="F126" s="417"/>
      <c r="G126" s="417"/>
      <c r="H126" s="417"/>
      <c r="I126" s="417"/>
      <c r="J126" s="417"/>
      <c r="K126" s="417"/>
      <c r="L126" s="417"/>
      <c r="M126" s="417"/>
      <c r="N126" s="417"/>
      <c r="P126" s="417"/>
      <c r="Q126" s="417"/>
      <c r="R126" s="417"/>
      <c r="S126" s="417"/>
      <c r="T126" s="417"/>
      <c r="U126" s="417"/>
      <c r="W126" s="417"/>
      <c r="X126" s="417"/>
      <c r="Y126" s="417"/>
      <c r="Z126" s="417"/>
      <c r="AA126" s="417"/>
      <c r="AB126" s="417"/>
      <c r="AC126" s="417"/>
      <c r="AD126" s="417"/>
      <c r="AE126" s="417"/>
      <c r="AF126" s="417"/>
    </row>
    <row r="127" spans="1:32" ht="15" thickBot="1">
      <c r="A127" s="430" t="s">
        <v>776</v>
      </c>
      <c r="B127" s="430" t="s">
        <v>784</v>
      </c>
      <c r="D127" s="426">
        <f t="shared" ref="D127:I127" si="157">SUM(D124:D125)</f>
        <v>2168</v>
      </c>
      <c r="E127" s="426">
        <f t="shared" si="157"/>
        <v>7179</v>
      </c>
      <c r="F127" s="426">
        <f t="shared" si="157"/>
        <v>5334</v>
      </c>
      <c r="G127" s="426">
        <f t="shared" si="157"/>
        <v>-24040</v>
      </c>
      <c r="H127" s="426">
        <f t="shared" si="157"/>
        <v>53934</v>
      </c>
      <c r="I127" s="426">
        <f t="shared" si="157"/>
        <v>76436</v>
      </c>
      <c r="J127" s="426">
        <f t="shared" ref="J127:T127" si="158">SUM(J124:J125)</f>
        <v>101308</v>
      </c>
      <c r="K127" s="426">
        <f t="shared" si="158"/>
        <v>-25426</v>
      </c>
      <c r="L127" s="426">
        <f t="shared" si="158"/>
        <v>11311</v>
      </c>
      <c r="M127" s="426">
        <f t="shared" si="158"/>
        <v>197</v>
      </c>
      <c r="N127" s="426">
        <f t="shared" si="158"/>
        <v>-14877</v>
      </c>
      <c r="O127" s="426">
        <f t="shared" si="158"/>
        <v>-14883</v>
      </c>
      <c r="P127" s="426">
        <f t="shared" si="158"/>
        <v>65</v>
      </c>
      <c r="Q127" s="426">
        <f t="shared" si="158"/>
        <v>7631</v>
      </c>
      <c r="R127" s="426">
        <f t="shared" si="158"/>
        <v>647</v>
      </c>
      <c r="S127" s="426">
        <f t="shared" si="158"/>
        <v>31068</v>
      </c>
      <c r="T127" s="426">
        <f t="shared" si="158"/>
        <v>-64755</v>
      </c>
      <c r="U127" s="426">
        <f>SUM(U124:U125)</f>
        <v>-103977</v>
      </c>
      <c r="W127" s="426">
        <f t="shared" ref="W127:AB127" si="159">SUM(W124:W125)</f>
        <v>11311</v>
      </c>
      <c r="X127" s="426">
        <f t="shared" si="159"/>
        <v>-11114</v>
      </c>
      <c r="Y127" s="426">
        <f t="shared" si="159"/>
        <v>-15074</v>
      </c>
      <c r="Z127" s="426">
        <f t="shared" si="159"/>
        <v>-6</v>
      </c>
      <c r="AA127" s="426">
        <f t="shared" si="159"/>
        <v>65</v>
      </c>
      <c r="AB127" s="426">
        <f t="shared" si="159"/>
        <v>7566</v>
      </c>
      <c r="AC127" s="426">
        <f t="shared" ref="AC127:AE127" si="160">SUM(AC124:AC125)</f>
        <v>-6984</v>
      </c>
      <c r="AD127" s="426">
        <f t="shared" si="160"/>
        <v>30421</v>
      </c>
      <c r="AE127" s="426">
        <f t="shared" si="160"/>
        <v>-64755</v>
      </c>
      <c r="AF127" s="426">
        <f>SUM(AF124:AF125)</f>
        <v>-39222</v>
      </c>
    </row>
    <row r="129" spans="1:32" s="432" customFormat="1" ht="10.199999999999999">
      <c r="A129" s="431" t="s">
        <v>785</v>
      </c>
      <c r="B129" s="431" t="s">
        <v>786</v>
      </c>
      <c r="D129" s="433">
        <v>1</v>
      </c>
      <c r="E129" s="433">
        <v>1</v>
      </c>
      <c r="F129" s="433">
        <v>1</v>
      </c>
      <c r="G129" s="433">
        <v>1</v>
      </c>
      <c r="H129" s="433">
        <v>1</v>
      </c>
      <c r="I129" s="433">
        <v>1</v>
      </c>
      <c r="J129" s="433">
        <v>1</v>
      </c>
      <c r="K129" s="433">
        <v>1</v>
      </c>
      <c r="L129" s="433">
        <v>1</v>
      </c>
      <c r="M129" s="433">
        <v>1</v>
      </c>
      <c r="N129" s="433">
        <f t="shared" ref="N129:T130" si="161">M129</f>
        <v>1</v>
      </c>
      <c r="O129" s="433">
        <f t="shared" si="161"/>
        <v>1</v>
      </c>
      <c r="P129" s="433">
        <f t="shared" si="161"/>
        <v>1</v>
      </c>
      <c r="Q129" s="433">
        <f t="shared" si="161"/>
        <v>1</v>
      </c>
      <c r="R129" s="433">
        <f t="shared" si="161"/>
        <v>1</v>
      </c>
      <c r="S129" s="433">
        <f t="shared" si="161"/>
        <v>1</v>
      </c>
      <c r="T129" s="433">
        <f t="shared" si="161"/>
        <v>1</v>
      </c>
      <c r="U129" s="433">
        <f>S129</f>
        <v>1</v>
      </c>
      <c r="W129" s="433">
        <f>L129</f>
        <v>1</v>
      </c>
      <c r="X129" s="433">
        <v>1</v>
      </c>
      <c r="Y129" s="433">
        <f>X129</f>
        <v>1</v>
      </c>
      <c r="Z129" s="433">
        <f>Y129</f>
        <v>1</v>
      </c>
      <c r="AA129" s="433">
        <f>P129</f>
        <v>1</v>
      </c>
      <c r="AB129" s="433">
        <f t="shared" ref="AB129:AD130" si="162">AA129</f>
        <v>1</v>
      </c>
      <c r="AC129" s="433">
        <f t="shared" si="162"/>
        <v>1</v>
      </c>
      <c r="AD129" s="433">
        <f t="shared" si="162"/>
        <v>1</v>
      </c>
      <c r="AE129" s="433">
        <f>T129</f>
        <v>1</v>
      </c>
      <c r="AF129" s="433">
        <f>U129</f>
        <v>1</v>
      </c>
    </row>
    <row r="130" spans="1:32" s="432" customFormat="1" ht="10.199999999999999">
      <c r="A130" s="431" t="s">
        <v>787</v>
      </c>
      <c r="B130" s="431" t="s">
        <v>788</v>
      </c>
      <c r="D130" s="433">
        <v>0</v>
      </c>
      <c r="E130" s="433">
        <v>0</v>
      </c>
      <c r="F130" s="433">
        <v>0</v>
      </c>
      <c r="G130" s="433">
        <v>0</v>
      </c>
      <c r="H130" s="433">
        <v>0</v>
      </c>
      <c r="I130" s="433">
        <v>0</v>
      </c>
      <c r="J130" s="433">
        <v>0</v>
      </c>
      <c r="K130" s="433">
        <v>0</v>
      </c>
      <c r="L130" s="433">
        <v>0</v>
      </c>
      <c r="M130" s="433">
        <v>0</v>
      </c>
      <c r="N130" s="433">
        <f t="shared" si="161"/>
        <v>0</v>
      </c>
      <c r="O130" s="433">
        <f t="shared" si="161"/>
        <v>0</v>
      </c>
      <c r="P130" s="433">
        <f t="shared" si="161"/>
        <v>0</v>
      </c>
      <c r="Q130" s="433">
        <f t="shared" si="161"/>
        <v>0</v>
      </c>
      <c r="R130" s="433">
        <f t="shared" si="161"/>
        <v>0</v>
      </c>
      <c r="S130" s="433">
        <f t="shared" si="161"/>
        <v>0</v>
      </c>
      <c r="T130" s="433">
        <f t="shared" si="161"/>
        <v>0</v>
      </c>
      <c r="U130" s="433">
        <f>S130</f>
        <v>0</v>
      </c>
      <c r="W130" s="433">
        <f>L130</f>
        <v>0</v>
      </c>
      <c r="X130" s="433">
        <v>0</v>
      </c>
      <c r="Y130" s="433">
        <f>X130</f>
        <v>0</v>
      </c>
      <c r="Z130" s="433">
        <f>Y130</f>
        <v>0</v>
      </c>
      <c r="AA130" s="433">
        <f>P130</f>
        <v>0</v>
      </c>
      <c r="AB130" s="433">
        <f t="shared" si="162"/>
        <v>0</v>
      </c>
      <c r="AC130" s="433">
        <f t="shared" si="162"/>
        <v>0</v>
      </c>
      <c r="AD130" s="433">
        <f t="shared" si="162"/>
        <v>0</v>
      </c>
      <c r="AE130" s="433">
        <f>T130</f>
        <v>0</v>
      </c>
      <c r="AF130" s="433">
        <f>U130</f>
        <v>0</v>
      </c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9" tint="0.79998168889431442"/>
  </sheetPr>
  <dimension ref="A1:AF123"/>
  <sheetViews>
    <sheetView showGridLines="0" zoomScale="70" zoomScaleNormal="7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93" sqref="A93:B93"/>
    </sheetView>
  </sheetViews>
  <sheetFormatPr defaultRowHeight="14.4" outlineLevelRow="1" outlineLevelCol="1"/>
  <cols>
    <col min="1" max="1" width="65.5546875" bestFit="1" customWidth="1"/>
    <col min="2" max="2" width="65.5546875" customWidth="1" outlineLevel="1"/>
    <col min="3" max="3" width="1.5546875" customWidth="1"/>
    <col min="4" max="18" width="15.21875" customWidth="1"/>
    <col min="19" max="21" width="15.33203125" customWidth="1"/>
    <col min="22" max="22" width="1.5546875" customWidth="1"/>
    <col min="23" max="32" width="15.21875" customWidth="1"/>
  </cols>
  <sheetData>
    <row r="1" spans="1:32">
      <c r="M1" s="546" t="s">
        <v>223</v>
      </c>
    </row>
    <row r="4" spans="1:32">
      <c r="A4" s="428" t="s">
        <v>838</v>
      </c>
      <c r="B4" s="428" t="s">
        <v>839</v>
      </c>
      <c r="D4" s="427" t="s">
        <v>584</v>
      </c>
      <c r="E4" s="427" t="s">
        <v>585</v>
      </c>
      <c r="F4" s="427" t="s">
        <v>586</v>
      </c>
      <c r="G4" s="427">
        <v>2022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T4" s="427" t="s">
        <v>2488</v>
      </c>
      <c r="U4" s="427" t="s">
        <v>2497</v>
      </c>
      <c r="W4" s="427" t="s">
        <v>83</v>
      </c>
      <c r="X4" s="427" t="s">
        <v>84</v>
      </c>
      <c r="Y4" s="427" t="s">
        <v>85</v>
      </c>
      <c r="Z4" s="427" t="s">
        <v>86</v>
      </c>
      <c r="AA4" s="427" t="s">
        <v>87</v>
      </c>
      <c r="AB4" s="427" t="s">
        <v>88</v>
      </c>
      <c r="AC4" s="427" t="s">
        <v>2074</v>
      </c>
      <c r="AD4" s="427" t="s">
        <v>2127</v>
      </c>
      <c r="AE4" s="427" t="s">
        <v>2360</v>
      </c>
      <c r="AF4" s="427" t="s">
        <v>2494</v>
      </c>
    </row>
    <row r="5" spans="1:32" ht="6.75" customHeight="1"/>
    <row r="6" spans="1:32">
      <c r="A6" s="429" t="s">
        <v>596</v>
      </c>
      <c r="B6" s="429" t="s">
        <v>597</v>
      </c>
      <c r="D6" s="420">
        <f t="shared" ref="D6:I6" si="0">SUM(D8,D11:D17)</f>
        <v>0</v>
      </c>
      <c r="E6" s="420">
        <f t="shared" si="0"/>
        <v>0</v>
      </c>
      <c r="F6" s="420">
        <f t="shared" si="0"/>
        <v>0</v>
      </c>
      <c r="G6" s="420">
        <f t="shared" si="0"/>
        <v>0</v>
      </c>
      <c r="H6" s="420">
        <f t="shared" si="0"/>
        <v>0</v>
      </c>
      <c r="I6" s="420">
        <f t="shared" si="0"/>
        <v>0</v>
      </c>
      <c r="J6" s="420">
        <f t="shared" ref="J6:T6" si="1">SUM(J8,J11:J17)</f>
        <v>0</v>
      </c>
      <c r="K6" s="420">
        <f t="shared" si="1"/>
        <v>0</v>
      </c>
      <c r="L6" s="420">
        <f t="shared" si="1"/>
        <v>0</v>
      </c>
      <c r="M6" s="420">
        <f t="shared" si="1"/>
        <v>0</v>
      </c>
      <c r="N6" s="420">
        <f t="shared" si="1"/>
        <v>0</v>
      </c>
      <c r="O6" s="420">
        <f t="shared" si="1"/>
        <v>0</v>
      </c>
      <c r="P6" s="420">
        <f t="shared" si="1"/>
        <v>0</v>
      </c>
      <c r="Q6" s="420">
        <f t="shared" si="1"/>
        <v>0</v>
      </c>
      <c r="R6" s="420">
        <f t="shared" si="1"/>
        <v>0</v>
      </c>
      <c r="S6" s="420">
        <f t="shared" si="1"/>
        <v>0</v>
      </c>
      <c r="T6" s="741">
        <f t="shared" si="1"/>
        <v>0</v>
      </c>
      <c r="U6" s="741">
        <f>SUM(U8,U11:U17)</f>
        <v>0</v>
      </c>
      <c r="W6" s="420">
        <f t="shared" ref="W6:AC6" si="2">SUM(W8,W11:W17)</f>
        <v>0</v>
      </c>
      <c r="X6" s="420">
        <f t="shared" si="2"/>
        <v>0</v>
      </c>
      <c r="Y6" s="420">
        <f t="shared" si="2"/>
        <v>0</v>
      </c>
      <c r="Z6" s="420">
        <f t="shared" si="2"/>
        <v>0</v>
      </c>
      <c r="AA6" s="420">
        <f t="shared" si="2"/>
        <v>0</v>
      </c>
      <c r="AB6" s="420">
        <f t="shared" si="2"/>
        <v>0</v>
      </c>
      <c r="AC6" s="420">
        <f t="shared" si="2"/>
        <v>0</v>
      </c>
      <c r="AD6" s="420">
        <f t="shared" ref="AD6:AE6" si="3">SUM(AD8,AD11:AD17)</f>
        <v>0</v>
      </c>
      <c r="AE6" s="420">
        <f t="shared" si="3"/>
        <v>0</v>
      </c>
      <c r="AF6" s="741">
        <f>SUM(AF8,AF11:AF17)</f>
        <v>0</v>
      </c>
    </row>
    <row r="7" spans="1:32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W7" s="421"/>
      <c r="X7" s="421"/>
      <c r="Y7" s="421"/>
      <c r="Z7" s="421"/>
      <c r="AA7" s="421"/>
      <c r="AB7" s="421"/>
      <c r="AC7" s="421"/>
      <c r="AD7" s="421"/>
      <c r="AE7" s="421"/>
      <c r="AF7" s="421"/>
    </row>
    <row r="8" spans="1:32">
      <c r="A8" s="417" t="s">
        <v>598</v>
      </c>
      <c r="B8" s="417" t="s">
        <v>599</v>
      </c>
      <c r="D8" s="422">
        <f t="shared" ref="D8:I8" si="4">SUM(D9:D10)</f>
        <v>0</v>
      </c>
      <c r="E8" s="422">
        <f t="shared" si="4"/>
        <v>0</v>
      </c>
      <c r="F8" s="422">
        <f t="shared" si="4"/>
        <v>0</v>
      </c>
      <c r="G8" s="422">
        <f t="shared" si="4"/>
        <v>0</v>
      </c>
      <c r="H8" s="422">
        <f t="shared" si="4"/>
        <v>0</v>
      </c>
      <c r="I8" s="422">
        <f t="shared" si="4"/>
        <v>0</v>
      </c>
      <c r="J8" s="422">
        <f t="shared" ref="J8:T8" si="5">SUM(J9:J10)</f>
        <v>0</v>
      </c>
      <c r="K8" s="422">
        <f t="shared" si="5"/>
        <v>0</v>
      </c>
      <c r="L8" s="422">
        <f t="shared" si="5"/>
        <v>0</v>
      </c>
      <c r="M8" s="422">
        <f t="shared" si="5"/>
        <v>0</v>
      </c>
      <c r="N8" s="422">
        <f t="shared" si="5"/>
        <v>0</v>
      </c>
      <c r="O8" s="422">
        <f t="shared" si="5"/>
        <v>0</v>
      </c>
      <c r="P8" s="422">
        <f t="shared" si="5"/>
        <v>0</v>
      </c>
      <c r="Q8" s="422">
        <f t="shared" si="5"/>
        <v>0</v>
      </c>
      <c r="R8" s="422">
        <f t="shared" si="5"/>
        <v>0</v>
      </c>
      <c r="S8" s="422">
        <f t="shared" si="5"/>
        <v>0</v>
      </c>
      <c r="T8" s="422">
        <f t="shared" si="5"/>
        <v>0</v>
      </c>
      <c r="U8" s="422">
        <f>SUM(U9:U10)</f>
        <v>0</v>
      </c>
      <c r="W8" s="422">
        <f t="shared" ref="W8:AC8" si="6">SUM(W9:W10)</f>
        <v>0</v>
      </c>
      <c r="X8" s="422">
        <f t="shared" si="6"/>
        <v>0</v>
      </c>
      <c r="Y8" s="422">
        <f t="shared" si="6"/>
        <v>0</v>
      </c>
      <c r="Z8" s="422">
        <f t="shared" si="6"/>
        <v>0</v>
      </c>
      <c r="AA8" s="422">
        <f t="shared" si="6"/>
        <v>0</v>
      </c>
      <c r="AB8" s="422">
        <f t="shared" si="6"/>
        <v>0</v>
      </c>
      <c r="AC8" s="422">
        <f t="shared" si="6"/>
        <v>0</v>
      </c>
      <c r="AD8" s="422">
        <f t="shared" ref="AD8:AE8" si="7">SUM(AD9:AD10)</f>
        <v>0</v>
      </c>
      <c r="AE8" s="422">
        <f t="shared" si="7"/>
        <v>0</v>
      </c>
      <c r="AF8" s="422">
        <f>SUM(AF9:AF10)</f>
        <v>0</v>
      </c>
    </row>
    <row r="9" spans="1:32" outlineLevel="1">
      <c r="A9" s="418" t="s">
        <v>598</v>
      </c>
      <c r="B9" s="418" t="s">
        <v>599</v>
      </c>
      <c r="D9" s="423">
        <v>0</v>
      </c>
      <c r="E9" s="423">
        <v>0</v>
      </c>
      <c r="F9" s="423">
        <v>0</v>
      </c>
      <c r="G9" s="423">
        <v>0</v>
      </c>
      <c r="H9" s="423">
        <v>0</v>
      </c>
      <c r="I9" s="423">
        <v>0</v>
      </c>
      <c r="J9" s="423">
        <v>0</v>
      </c>
      <c r="K9" s="423">
        <v>0</v>
      </c>
      <c r="L9" s="423">
        <v>0</v>
      </c>
      <c r="M9" s="423">
        <v>0</v>
      </c>
      <c r="N9" s="423">
        <v>0</v>
      </c>
      <c r="O9" s="423">
        <v>0</v>
      </c>
      <c r="P9" s="423">
        <v>0</v>
      </c>
      <c r="Q9" s="423">
        <v>0</v>
      </c>
      <c r="R9" s="423">
        <v>0</v>
      </c>
      <c r="S9" s="423">
        <v>0</v>
      </c>
      <c r="T9" s="423">
        <v>0</v>
      </c>
      <c r="U9" s="423">
        <v>0</v>
      </c>
      <c r="W9" s="423">
        <f>L9</f>
        <v>0</v>
      </c>
      <c r="X9" s="423">
        <f>M9-W9</f>
        <v>0</v>
      </c>
      <c r="Y9" s="423">
        <f t="shared" ref="Y9:Z16" si="8">N9-M9</f>
        <v>0</v>
      </c>
      <c r="Z9" s="423">
        <f t="shared" si="8"/>
        <v>0</v>
      </c>
      <c r="AA9" s="423">
        <f>P9</f>
        <v>0</v>
      </c>
      <c r="AB9" s="423">
        <f t="shared" ref="AB9:AD16" si="9">Q9-P9</f>
        <v>0</v>
      </c>
      <c r="AC9" s="423">
        <f t="shared" si="9"/>
        <v>0</v>
      </c>
      <c r="AD9" s="423">
        <f t="shared" si="9"/>
        <v>0</v>
      </c>
      <c r="AE9" s="423">
        <f>T9</f>
        <v>0</v>
      </c>
      <c r="AF9" s="423">
        <f t="shared" ref="AF9:AF16" si="10">U9-T9</f>
        <v>0</v>
      </c>
    </row>
    <row r="10" spans="1:32" outlineLevel="1">
      <c r="A10" s="418" t="s">
        <v>600</v>
      </c>
      <c r="B10" s="418" t="s">
        <v>601</v>
      </c>
      <c r="D10" s="423">
        <v>0</v>
      </c>
      <c r="E10" s="423">
        <v>0</v>
      </c>
      <c r="F10" s="423">
        <v>0</v>
      </c>
      <c r="G10" s="423">
        <v>0</v>
      </c>
      <c r="H10" s="423">
        <v>0</v>
      </c>
      <c r="I10" s="423">
        <v>0</v>
      </c>
      <c r="J10" s="423">
        <v>0</v>
      </c>
      <c r="K10" s="423">
        <v>0</v>
      </c>
      <c r="L10" s="423">
        <v>0</v>
      </c>
      <c r="M10" s="423">
        <v>0</v>
      </c>
      <c r="N10" s="423">
        <v>0</v>
      </c>
      <c r="O10" s="423">
        <v>0</v>
      </c>
      <c r="P10" s="423">
        <v>0</v>
      </c>
      <c r="Q10" s="423">
        <v>0</v>
      </c>
      <c r="R10" s="423">
        <v>0</v>
      </c>
      <c r="S10" s="423">
        <v>0</v>
      </c>
      <c r="T10" s="423">
        <v>0</v>
      </c>
      <c r="U10" s="423">
        <v>0</v>
      </c>
      <c r="W10" s="423">
        <f t="shared" ref="W10:W25" si="11">L10</f>
        <v>0</v>
      </c>
      <c r="X10" s="423">
        <f t="shared" ref="X10:X16" si="12">M10-W10</f>
        <v>0</v>
      </c>
      <c r="Y10" s="423">
        <f t="shared" si="8"/>
        <v>0</v>
      </c>
      <c r="Z10" s="423">
        <f t="shared" si="8"/>
        <v>0</v>
      </c>
      <c r="AA10" s="423">
        <f t="shared" ref="AA10:AA25" si="13">P10</f>
        <v>0</v>
      </c>
      <c r="AB10" s="423">
        <f t="shared" si="9"/>
        <v>0</v>
      </c>
      <c r="AC10" s="423">
        <f t="shared" si="9"/>
        <v>0</v>
      </c>
      <c r="AD10" s="423">
        <f t="shared" si="9"/>
        <v>0</v>
      </c>
      <c r="AE10" s="423">
        <f t="shared" ref="AE10:AE25" si="14">T10</f>
        <v>0</v>
      </c>
      <c r="AF10" s="423">
        <f t="shared" si="10"/>
        <v>0</v>
      </c>
    </row>
    <row r="11" spans="1:32">
      <c r="A11" s="417" t="s">
        <v>602</v>
      </c>
      <c r="B11" s="417" t="s">
        <v>603</v>
      </c>
      <c r="D11" s="422">
        <v>0</v>
      </c>
      <c r="E11" s="422">
        <v>0</v>
      </c>
      <c r="F11" s="422">
        <v>0</v>
      </c>
      <c r="G11" s="422">
        <v>0</v>
      </c>
      <c r="H11" s="422">
        <v>0</v>
      </c>
      <c r="I11" s="422">
        <v>0</v>
      </c>
      <c r="J11" s="422">
        <v>0</v>
      </c>
      <c r="K11" s="422">
        <v>0</v>
      </c>
      <c r="L11" s="422">
        <v>0</v>
      </c>
      <c r="M11" s="422">
        <v>0</v>
      </c>
      <c r="N11" s="422">
        <v>0</v>
      </c>
      <c r="O11" s="422">
        <v>0</v>
      </c>
      <c r="P11" s="422">
        <v>0</v>
      </c>
      <c r="Q11" s="422">
        <v>0</v>
      </c>
      <c r="R11" s="422">
        <v>0</v>
      </c>
      <c r="S11" s="422">
        <v>0</v>
      </c>
      <c r="T11" s="422">
        <v>0</v>
      </c>
      <c r="U11" s="422">
        <v>0</v>
      </c>
      <c r="W11" s="422">
        <f t="shared" si="11"/>
        <v>0</v>
      </c>
      <c r="X11" s="422">
        <f t="shared" si="12"/>
        <v>0</v>
      </c>
      <c r="Y11" s="422">
        <f t="shared" si="8"/>
        <v>0</v>
      </c>
      <c r="Z11" s="422">
        <f t="shared" si="8"/>
        <v>0</v>
      </c>
      <c r="AA11" s="422">
        <f>P11</f>
        <v>0</v>
      </c>
      <c r="AB11" s="422">
        <f t="shared" si="9"/>
        <v>0</v>
      </c>
      <c r="AC11" s="422">
        <f t="shared" si="9"/>
        <v>0</v>
      </c>
      <c r="AD11" s="422">
        <f t="shared" si="9"/>
        <v>0</v>
      </c>
      <c r="AE11" s="422">
        <f>T11</f>
        <v>0</v>
      </c>
      <c r="AF11" s="422">
        <f t="shared" si="10"/>
        <v>0</v>
      </c>
    </row>
    <row r="12" spans="1:32">
      <c r="A12" s="417" t="s">
        <v>604</v>
      </c>
      <c r="B12" s="417" t="s">
        <v>605</v>
      </c>
      <c r="D12" s="422">
        <v>0</v>
      </c>
      <c r="E12" s="422">
        <v>0</v>
      </c>
      <c r="F12" s="422">
        <v>0</v>
      </c>
      <c r="G12" s="422">
        <v>0</v>
      </c>
      <c r="H12" s="422">
        <v>0</v>
      </c>
      <c r="I12" s="422">
        <v>0</v>
      </c>
      <c r="J12" s="422">
        <v>0</v>
      </c>
      <c r="K12" s="422">
        <v>0</v>
      </c>
      <c r="L12" s="422">
        <v>0</v>
      </c>
      <c r="M12" s="422">
        <v>0</v>
      </c>
      <c r="N12" s="422">
        <v>0</v>
      </c>
      <c r="O12" s="422">
        <v>0</v>
      </c>
      <c r="P12" s="422">
        <v>0</v>
      </c>
      <c r="Q12" s="422">
        <v>0</v>
      </c>
      <c r="R12" s="422">
        <v>0</v>
      </c>
      <c r="S12" s="422">
        <v>0</v>
      </c>
      <c r="T12" s="422">
        <v>0</v>
      </c>
      <c r="U12" s="422">
        <v>0</v>
      </c>
      <c r="W12" s="422">
        <f t="shared" si="11"/>
        <v>0</v>
      </c>
      <c r="X12" s="422">
        <f t="shared" si="12"/>
        <v>0</v>
      </c>
      <c r="Y12" s="422">
        <f t="shared" si="8"/>
        <v>0</v>
      </c>
      <c r="Z12" s="422">
        <f t="shared" si="8"/>
        <v>0</v>
      </c>
      <c r="AA12" s="422">
        <f t="shared" si="13"/>
        <v>0</v>
      </c>
      <c r="AB12" s="422">
        <f t="shared" si="9"/>
        <v>0</v>
      </c>
      <c r="AC12" s="422">
        <f t="shared" si="9"/>
        <v>0</v>
      </c>
      <c r="AD12" s="422">
        <f t="shared" si="9"/>
        <v>0</v>
      </c>
      <c r="AE12" s="422">
        <f t="shared" si="14"/>
        <v>0</v>
      </c>
      <c r="AF12" s="422">
        <f t="shared" si="10"/>
        <v>0</v>
      </c>
    </row>
    <row r="13" spans="1:32">
      <c r="A13" s="417" t="s">
        <v>606</v>
      </c>
      <c r="B13" s="417" t="s">
        <v>607</v>
      </c>
      <c r="D13" s="422">
        <v>0</v>
      </c>
      <c r="E13" s="422">
        <v>0</v>
      </c>
      <c r="F13" s="422">
        <v>0</v>
      </c>
      <c r="G13" s="422">
        <v>0</v>
      </c>
      <c r="H13" s="422">
        <v>0</v>
      </c>
      <c r="I13" s="422">
        <v>0</v>
      </c>
      <c r="J13" s="422">
        <v>0</v>
      </c>
      <c r="K13" s="422">
        <v>0</v>
      </c>
      <c r="L13" s="422">
        <v>0</v>
      </c>
      <c r="M13" s="422">
        <v>0</v>
      </c>
      <c r="N13" s="422">
        <v>0</v>
      </c>
      <c r="O13" s="422">
        <v>0</v>
      </c>
      <c r="P13" s="422">
        <v>0</v>
      </c>
      <c r="Q13" s="422">
        <v>0</v>
      </c>
      <c r="R13" s="422">
        <v>0</v>
      </c>
      <c r="S13" s="422">
        <v>0</v>
      </c>
      <c r="T13" s="422">
        <v>0</v>
      </c>
      <c r="U13" s="422">
        <v>0</v>
      </c>
      <c r="W13" s="422">
        <f t="shared" si="11"/>
        <v>0</v>
      </c>
      <c r="X13" s="422">
        <f t="shared" si="12"/>
        <v>0</v>
      </c>
      <c r="Y13" s="422">
        <f t="shared" si="8"/>
        <v>0</v>
      </c>
      <c r="Z13" s="422">
        <f t="shared" si="8"/>
        <v>0</v>
      </c>
      <c r="AA13" s="422">
        <f t="shared" si="13"/>
        <v>0</v>
      </c>
      <c r="AB13" s="422">
        <f t="shared" si="9"/>
        <v>0</v>
      </c>
      <c r="AC13" s="422">
        <f t="shared" si="9"/>
        <v>0</v>
      </c>
      <c r="AD13" s="422">
        <f t="shared" si="9"/>
        <v>0</v>
      </c>
      <c r="AE13" s="422">
        <f t="shared" si="14"/>
        <v>0</v>
      </c>
      <c r="AF13" s="422">
        <f t="shared" si="10"/>
        <v>0</v>
      </c>
    </row>
    <row r="14" spans="1:32">
      <c r="A14" s="417" t="s">
        <v>608</v>
      </c>
      <c r="B14" s="417" t="s">
        <v>609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>
        <v>0</v>
      </c>
      <c r="T14" s="422">
        <v>0</v>
      </c>
      <c r="U14" s="422">
        <v>0</v>
      </c>
      <c r="W14" s="422">
        <f t="shared" si="11"/>
        <v>0</v>
      </c>
      <c r="X14" s="422">
        <f t="shared" si="12"/>
        <v>0</v>
      </c>
      <c r="Y14" s="422">
        <f t="shared" si="8"/>
        <v>0</v>
      </c>
      <c r="Z14" s="422">
        <f t="shared" si="8"/>
        <v>0</v>
      </c>
      <c r="AA14" s="422">
        <f t="shared" si="13"/>
        <v>0</v>
      </c>
      <c r="AB14" s="422">
        <f t="shared" si="9"/>
        <v>0</v>
      </c>
      <c r="AC14" s="422">
        <f t="shared" si="9"/>
        <v>0</v>
      </c>
      <c r="AD14" s="422">
        <f t="shared" si="9"/>
        <v>0</v>
      </c>
      <c r="AE14" s="422">
        <f t="shared" si="14"/>
        <v>0</v>
      </c>
      <c r="AF14" s="422">
        <f t="shared" si="10"/>
        <v>0</v>
      </c>
    </row>
    <row r="15" spans="1:32">
      <c r="A15" s="417" t="s">
        <v>610</v>
      </c>
      <c r="B15" s="417" t="s">
        <v>611</v>
      </c>
      <c r="D15" s="422">
        <v>0</v>
      </c>
      <c r="E15" s="422">
        <v>0</v>
      </c>
      <c r="F15" s="422">
        <v>0</v>
      </c>
      <c r="G15" s="422">
        <v>0</v>
      </c>
      <c r="H15" s="422">
        <v>0</v>
      </c>
      <c r="I15" s="422">
        <v>0</v>
      </c>
      <c r="J15" s="422">
        <v>0</v>
      </c>
      <c r="K15" s="422">
        <v>0</v>
      </c>
      <c r="L15" s="422">
        <v>0</v>
      </c>
      <c r="M15" s="422">
        <v>0</v>
      </c>
      <c r="N15" s="422">
        <v>0</v>
      </c>
      <c r="O15" s="422">
        <v>0</v>
      </c>
      <c r="P15" s="422">
        <v>0</v>
      </c>
      <c r="Q15" s="422">
        <v>0</v>
      </c>
      <c r="R15" s="422">
        <v>0</v>
      </c>
      <c r="S15" s="422">
        <v>0</v>
      </c>
      <c r="T15" s="422">
        <v>0</v>
      </c>
      <c r="U15" s="422">
        <v>0</v>
      </c>
      <c r="W15" s="422">
        <f t="shared" si="11"/>
        <v>0</v>
      </c>
      <c r="X15" s="422">
        <f t="shared" si="12"/>
        <v>0</v>
      </c>
      <c r="Y15" s="422">
        <f t="shared" si="8"/>
        <v>0</v>
      </c>
      <c r="Z15" s="422">
        <f t="shared" si="8"/>
        <v>0</v>
      </c>
      <c r="AA15" s="422">
        <f t="shared" si="13"/>
        <v>0</v>
      </c>
      <c r="AB15" s="422">
        <f t="shared" si="9"/>
        <v>0</v>
      </c>
      <c r="AC15" s="422">
        <f t="shared" si="9"/>
        <v>0</v>
      </c>
      <c r="AD15" s="422">
        <f t="shared" si="9"/>
        <v>0</v>
      </c>
      <c r="AE15" s="422">
        <f t="shared" si="14"/>
        <v>0</v>
      </c>
      <c r="AF15" s="422">
        <f t="shared" si="10"/>
        <v>0</v>
      </c>
    </row>
    <row r="16" spans="1:32">
      <c r="A16" s="417" t="s">
        <v>612</v>
      </c>
      <c r="B16" s="417" t="s">
        <v>613</v>
      </c>
      <c r="D16" s="422">
        <v>0</v>
      </c>
      <c r="E16" s="422">
        <v>0</v>
      </c>
      <c r="F16" s="422">
        <v>0</v>
      </c>
      <c r="G16" s="422">
        <v>0</v>
      </c>
      <c r="H16" s="422">
        <v>0</v>
      </c>
      <c r="I16" s="422">
        <v>0</v>
      </c>
      <c r="J16" s="422">
        <v>0</v>
      </c>
      <c r="K16" s="422">
        <v>0</v>
      </c>
      <c r="L16" s="422">
        <v>0</v>
      </c>
      <c r="M16" s="422">
        <v>0</v>
      </c>
      <c r="N16" s="422">
        <v>0</v>
      </c>
      <c r="O16" s="422">
        <v>0</v>
      </c>
      <c r="P16" s="422">
        <v>0</v>
      </c>
      <c r="Q16" s="422">
        <v>0</v>
      </c>
      <c r="R16" s="422">
        <v>0</v>
      </c>
      <c r="S16" s="422">
        <v>0</v>
      </c>
      <c r="T16" s="422">
        <v>0</v>
      </c>
      <c r="U16" s="422">
        <v>0</v>
      </c>
      <c r="W16" s="422">
        <f t="shared" si="11"/>
        <v>0</v>
      </c>
      <c r="X16" s="422">
        <f t="shared" si="12"/>
        <v>0</v>
      </c>
      <c r="Y16" s="422">
        <f t="shared" si="8"/>
        <v>0</v>
      </c>
      <c r="Z16" s="422">
        <f t="shared" si="8"/>
        <v>0</v>
      </c>
      <c r="AA16" s="422">
        <f t="shared" si="13"/>
        <v>0</v>
      </c>
      <c r="AB16" s="422">
        <f t="shared" si="9"/>
        <v>0</v>
      </c>
      <c r="AC16" s="422">
        <f t="shared" si="9"/>
        <v>0</v>
      </c>
      <c r="AD16" s="422">
        <f t="shared" si="9"/>
        <v>0</v>
      </c>
      <c r="AE16" s="422">
        <f t="shared" si="14"/>
        <v>0</v>
      </c>
      <c r="AF16" s="422">
        <f t="shared" si="10"/>
        <v>0</v>
      </c>
    </row>
    <row r="17" spans="1:32">
      <c r="A17" s="417" t="s">
        <v>614</v>
      </c>
      <c r="B17" s="417" t="s">
        <v>615</v>
      </c>
      <c r="D17" s="422">
        <f t="shared" ref="D17:I17" si="15">SUM(D18:D25)</f>
        <v>0</v>
      </c>
      <c r="E17" s="422">
        <f t="shared" si="15"/>
        <v>0</v>
      </c>
      <c r="F17" s="422">
        <f t="shared" si="15"/>
        <v>0</v>
      </c>
      <c r="G17" s="422">
        <f t="shared" si="15"/>
        <v>0</v>
      </c>
      <c r="H17" s="422">
        <f t="shared" si="15"/>
        <v>0</v>
      </c>
      <c r="I17" s="422">
        <f t="shared" si="15"/>
        <v>0</v>
      </c>
      <c r="J17" s="422">
        <f t="shared" ref="J17:T17" si="16">SUM(J18:J25)</f>
        <v>0</v>
      </c>
      <c r="K17" s="422">
        <f t="shared" si="16"/>
        <v>0</v>
      </c>
      <c r="L17" s="422">
        <f t="shared" si="16"/>
        <v>0</v>
      </c>
      <c r="M17" s="422">
        <f t="shared" si="16"/>
        <v>0</v>
      </c>
      <c r="N17" s="422">
        <f t="shared" si="16"/>
        <v>0</v>
      </c>
      <c r="O17" s="422">
        <f t="shared" si="16"/>
        <v>0</v>
      </c>
      <c r="P17" s="422">
        <f t="shared" si="16"/>
        <v>0</v>
      </c>
      <c r="Q17" s="422">
        <f t="shared" si="16"/>
        <v>0</v>
      </c>
      <c r="R17" s="422">
        <f t="shared" si="16"/>
        <v>0</v>
      </c>
      <c r="S17" s="422">
        <f t="shared" si="16"/>
        <v>0</v>
      </c>
      <c r="T17" s="422">
        <f t="shared" si="16"/>
        <v>0</v>
      </c>
      <c r="U17" s="422">
        <f>SUM(U18:U25)</f>
        <v>0</v>
      </c>
      <c r="W17" s="422">
        <f t="shared" ref="W17:AC17" si="17">SUM(W18:W25)</f>
        <v>0</v>
      </c>
      <c r="X17" s="422">
        <f t="shared" si="17"/>
        <v>0</v>
      </c>
      <c r="Y17" s="422">
        <f t="shared" si="17"/>
        <v>0</v>
      </c>
      <c r="Z17" s="422">
        <f t="shared" si="17"/>
        <v>0</v>
      </c>
      <c r="AA17" s="422">
        <f t="shared" si="17"/>
        <v>0</v>
      </c>
      <c r="AB17" s="422">
        <f t="shared" si="17"/>
        <v>0</v>
      </c>
      <c r="AC17" s="422">
        <f t="shared" si="17"/>
        <v>0</v>
      </c>
      <c r="AD17" s="422">
        <f t="shared" ref="AD17:AE17" si="18">SUM(AD18:AD25)</f>
        <v>0</v>
      </c>
      <c r="AE17" s="422">
        <f t="shared" si="18"/>
        <v>0</v>
      </c>
      <c r="AF17" s="422">
        <f>SUM(AF18:AF25)</f>
        <v>0</v>
      </c>
    </row>
    <row r="18" spans="1:32" outlineLevel="1">
      <c r="A18" s="418" t="s">
        <v>616</v>
      </c>
      <c r="B18" s="418" t="s">
        <v>617</v>
      </c>
      <c r="D18" s="423">
        <v>0</v>
      </c>
      <c r="E18" s="423">
        <v>0</v>
      </c>
      <c r="F18" s="423">
        <v>0</v>
      </c>
      <c r="G18" s="423">
        <v>0</v>
      </c>
      <c r="H18" s="423">
        <v>0</v>
      </c>
      <c r="I18" s="423">
        <v>0</v>
      </c>
      <c r="J18" s="423">
        <v>0</v>
      </c>
      <c r="K18" s="423">
        <v>0</v>
      </c>
      <c r="L18" s="423">
        <v>0</v>
      </c>
      <c r="M18" s="423">
        <v>0</v>
      </c>
      <c r="N18" s="423">
        <v>0</v>
      </c>
      <c r="O18" s="423">
        <v>0</v>
      </c>
      <c r="P18" s="423">
        <v>0</v>
      </c>
      <c r="Q18" s="423">
        <v>0</v>
      </c>
      <c r="R18" s="423">
        <v>0</v>
      </c>
      <c r="S18" s="423">
        <v>0</v>
      </c>
      <c r="T18" s="423">
        <v>0</v>
      </c>
      <c r="U18" s="423">
        <v>0</v>
      </c>
      <c r="W18" s="423">
        <f t="shared" si="11"/>
        <v>0</v>
      </c>
      <c r="X18" s="423">
        <f t="shared" ref="X18:X25" si="19">M18-W18</f>
        <v>0</v>
      </c>
      <c r="Y18" s="423">
        <f t="shared" ref="Y18:Z25" si="20">N18-M18</f>
        <v>0</v>
      </c>
      <c r="Z18" s="423">
        <f t="shared" si="20"/>
        <v>0</v>
      </c>
      <c r="AA18" s="423">
        <f t="shared" si="13"/>
        <v>0</v>
      </c>
      <c r="AB18" s="423">
        <f t="shared" ref="AB18:AD25" si="21">Q18-P18</f>
        <v>0</v>
      </c>
      <c r="AC18" s="423">
        <f t="shared" si="21"/>
        <v>0</v>
      </c>
      <c r="AD18" s="423">
        <f t="shared" si="21"/>
        <v>0</v>
      </c>
      <c r="AE18" s="423">
        <f t="shared" si="14"/>
        <v>0</v>
      </c>
      <c r="AF18" s="423">
        <f t="shared" ref="AF18:AF25" si="22">U18-T18</f>
        <v>0</v>
      </c>
    </row>
    <row r="19" spans="1:32" outlineLevel="1">
      <c r="A19" s="418" t="s">
        <v>618</v>
      </c>
      <c r="B19" s="418" t="s">
        <v>619</v>
      </c>
      <c r="D19" s="423">
        <v>0</v>
      </c>
      <c r="E19" s="423">
        <v>0</v>
      </c>
      <c r="F19" s="423">
        <v>0</v>
      </c>
      <c r="G19" s="423">
        <v>0</v>
      </c>
      <c r="H19" s="423">
        <v>0</v>
      </c>
      <c r="I19" s="423">
        <v>0</v>
      </c>
      <c r="J19" s="423">
        <v>0</v>
      </c>
      <c r="K19" s="423">
        <v>0</v>
      </c>
      <c r="L19" s="423">
        <v>0</v>
      </c>
      <c r="M19" s="423">
        <v>0</v>
      </c>
      <c r="N19" s="423">
        <v>0</v>
      </c>
      <c r="O19" s="423">
        <v>0</v>
      </c>
      <c r="P19" s="423">
        <v>0</v>
      </c>
      <c r="Q19" s="423">
        <v>0</v>
      </c>
      <c r="R19" s="423">
        <v>0</v>
      </c>
      <c r="S19" s="423">
        <v>0</v>
      </c>
      <c r="T19" s="423">
        <v>0</v>
      </c>
      <c r="U19" s="423">
        <v>0</v>
      </c>
      <c r="W19" s="423">
        <f t="shared" si="11"/>
        <v>0</v>
      </c>
      <c r="X19" s="423">
        <f t="shared" si="19"/>
        <v>0</v>
      </c>
      <c r="Y19" s="423">
        <f t="shared" si="20"/>
        <v>0</v>
      </c>
      <c r="Z19" s="423">
        <f t="shared" si="20"/>
        <v>0</v>
      </c>
      <c r="AA19" s="423">
        <f t="shared" si="13"/>
        <v>0</v>
      </c>
      <c r="AB19" s="423">
        <f t="shared" si="21"/>
        <v>0</v>
      </c>
      <c r="AC19" s="423">
        <f t="shared" si="21"/>
        <v>0</v>
      </c>
      <c r="AD19" s="423">
        <f t="shared" si="21"/>
        <v>0</v>
      </c>
      <c r="AE19" s="423">
        <f t="shared" si="14"/>
        <v>0</v>
      </c>
      <c r="AF19" s="423">
        <f t="shared" si="22"/>
        <v>0</v>
      </c>
    </row>
    <row r="20" spans="1:32" outlineLevel="1">
      <c r="A20" s="418" t="s">
        <v>620</v>
      </c>
      <c r="B20" s="418" t="s">
        <v>621</v>
      </c>
      <c r="D20" s="423">
        <v>0</v>
      </c>
      <c r="E20" s="423">
        <v>0</v>
      </c>
      <c r="F20" s="423">
        <v>0</v>
      </c>
      <c r="G20" s="423">
        <v>0</v>
      </c>
      <c r="H20" s="423">
        <v>0</v>
      </c>
      <c r="I20" s="423">
        <v>0</v>
      </c>
      <c r="J20" s="423">
        <v>0</v>
      </c>
      <c r="K20" s="423">
        <v>0</v>
      </c>
      <c r="L20" s="423">
        <v>0</v>
      </c>
      <c r="M20" s="423">
        <v>0</v>
      </c>
      <c r="N20" s="423">
        <v>0</v>
      </c>
      <c r="O20" s="423">
        <v>0</v>
      </c>
      <c r="P20" s="423">
        <v>0</v>
      </c>
      <c r="Q20" s="423">
        <v>0</v>
      </c>
      <c r="R20" s="423">
        <v>0</v>
      </c>
      <c r="S20" s="423">
        <v>0</v>
      </c>
      <c r="T20" s="423">
        <v>0</v>
      </c>
      <c r="U20" s="423">
        <v>0</v>
      </c>
      <c r="W20" s="423">
        <f t="shared" si="11"/>
        <v>0</v>
      </c>
      <c r="X20" s="423">
        <f t="shared" si="19"/>
        <v>0</v>
      </c>
      <c r="Y20" s="423">
        <f t="shared" si="20"/>
        <v>0</v>
      </c>
      <c r="Z20" s="423">
        <f t="shared" si="20"/>
        <v>0</v>
      </c>
      <c r="AA20" s="423">
        <f t="shared" si="13"/>
        <v>0</v>
      </c>
      <c r="AB20" s="423">
        <f t="shared" si="21"/>
        <v>0</v>
      </c>
      <c r="AC20" s="423">
        <f t="shared" si="21"/>
        <v>0</v>
      </c>
      <c r="AD20" s="423">
        <f t="shared" si="21"/>
        <v>0</v>
      </c>
      <c r="AE20" s="423">
        <f t="shared" si="14"/>
        <v>0</v>
      </c>
      <c r="AF20" s="423">
        <f t="shared" si="22"/>
        <v>0</v>
      </c>
    </row>
    <row r="21" spans="1:32" outlineLevel="1">
      <c r="A21" s="418" t="s">
        <v>622</v>
      </c>
      <c r="B21" s="418" t="s">
        <v>623</v>
      </c>
      <c r="D21" s="423">
        <v>0</v>
      </c>
      <c r="E21" s="423">
        <v>0</v>
      </c>
      <c r="F21" s="423">
        <v>0</v>
      </c>
      <c r="G21" s="423">
        <v>0</v>
      </c>
      <c r="H21" s="423">
        <v>0</v>
      </c>
      <c r="I21" s="423">
        <v>0</v>
      </c>
      <c r="J21" s="423">
        <v>0</v>
      </c>
      <c r="K21" s="423">
        <v>0</v>
      </c>
      <c r="L21" s="423">
        <v>0</v>
      </c>
      <c r="M21" s="423">
        <v>0</v>
      </c>
      <c r="N21" s="423">
        <v>0</v>
      </c>
      <c r="O21" s="423">
        <v>0</v>
      </c>
      <c r="P21" s="423">
        <v>0</v>
      </c>
      <c r="Q21" s="423">
        <v>0</v>
      </c>
      <c r="R21" s="423">
        <v>0</v>
      </c>
      <c r="S21" s="423">
        <v>0</v>
      </c>
      <c r="T21" s="423">
        <v>0</v>
      </c>
      <c r="U21" s="423">
        <v>0</v>
      </c>
      <c r="W21" s="423">
        <f t="shared" si="11"/>
        <v>0</v>
      </c>
      <c r="X21" s="423">
        <f t="shared" si="19"/>
        <v>0</v>
      </c>
      <c r="Y21" s="423">
        <f t="shared" si="20"/>
        <v>0</v>
      </c>
      <c r="Z21" s="423">
        <f t="shared" si="20"/>
        <v>0</v>
      </c>
      <c r="AA21" s="423">
        <f t="shared" si="13"/>
        <v>0</v>
      </c>
      <c r="AB21" s="423">
        <f t="shared" si="21"/>
        <v>0</v>
      </c>
      <c r="AC21" s="423">
        <f t="shared" si="21"/>
        <v>0</v>
      </c>
      <c r="AD21" s="423">
        <f t="shared" si="21"/>
        <v>0</v>
      </c>
      <c r="AE21" s="423">
        <f t="shared" si="14"/>
        <v>0</v>
      </c>
      <c r="AF21" s="423">
        <f t="shared" si="22"/>
        <v>0</v>
      </c>
    </row>
    <row r="22" spans="1:32" outlineLevel="1">
      <c r="A22" s="418" t="s">
        <v>624</v>
      </c>
      <c r="B22" s="418" t="s">
        <v>625</v>
      </c>
      <c r="D22" s="423">
        <v>0</v>
      </c>
      <c r="E22" s="423">
        <v>0</v>
      </c>
      <c r="F22" s="423">
        <v>0</v>
      </c>
      <c r="G22" s="423">
        <v>0</v>
      </c>
      <c r="H22" s="423">
        <v>0</v>
      </c>
      <c r="I22" s="423">
        <v>0</v>
      </c>
      <c r="J22" s="423">
        <v>0</v>
      </c>
      <c r="K22" s="423">
        <v>0</v>
      </c>
      <c r="L22" s="423">
        <v>0</v>
      </c>
      <c r="M22" s="423">
        <v>0</v>
      </c>
      <c r="N22" s="423">
        <v>0</v>
      </c>
      <c r="O22" s="423">
        <v>0</v>
      </c>
      <c r="P22" s="423">
        <v>0</v>
      </c>
      <c r="Q22" s="423">
        <v>0</v>
      </c>
      <c r="R22" s="423">
        <v>0</v>
      </c>
      <c r="S22" s="423">
        <v>0</v>
      </c>
      <c r="T22" s="423">
        <v>0</v>
      </c>
      <c r="U22" s="423">
        <v>0</v>
      </c>
      <c r="W22" s="423">
        <f t="shared" si="11"/>
        <v>0</v>
      </c>
      <c r="X22" s="423">
        <f t="shared" si="19"/>
        <v>0</v>
      </c>
      <c r="Y22" s="423">
        <f t="shared" si="20"/>
        <v>0</v>
      </c>
      <c r="Z22" s="423">
        <f t="shared" si="20"/>
        <v>0</v>
      </c>
      <c r="AA22" s="423">
        <f t="shared" si="13"/>
        <v>0</v>
      </c>
      <c r="AB22" s="423">
        <f t="shared" si="21"/>
        <v>0</v>
      </c>
      <c r="AC22" s="423">
        <f t="shared" si="21"/>
        <v>0</v>
      </c>
      <c r="AD22" s="423">
        <f t="shared" si="21"/>
        <v>0</v>
      </c>
      <c r="AE22" s="423">
        <f t="shared" si="14"/>
        <v>0</v>
      </c>
      <c r="AF22" s="423">
        <f t="shared" si="22"/>
        <v>0</v>
      </c>
    </row>
    <row r="23" spans="1:32" outlineLevel="1">
      <c r="A23" s="418" t="s">
        <v>626</v>
      </c>
      <c r="B23" s="418" t="s">
        <v>811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0</v>
      </c>
      <c r="T23" s="423">
        <v>0</v>
      </c>
      <c r="U23" s="423">
        <v>0</v>
      </c>
      <c r="W23" s="423">
        <f t="shared" si="11"/>
        <v>0</v>
      </c>
      <c r="X23" s="423">
        <f t="shared" si="19"/>
        <v>0</v>
      </c>
      <c r="Y23" s="423">
        <f t="shared" si="20"/>
        <v>0</v>
      </c>
      <c r="Z23" s="423">
        <f t="shared" si="20"/>
        <v>0</v>
      </c>
      <c r="AA23" s="423">
        <f t="shared" si="13"/>
        <v>0</v>
      </c>
      <c r="AB23" s="423">
        <f t="shared" si="21"/>
        <v>0</v>
      </c>
      <c r="AC23" s="423">
        <f t="shared" si="21"/>
        <v>0</v>
      </c>
      <c r="AD23" s="423">
        <f t="shared" si="21"/>
        <v>0</v>
      </c>
      <c r="AE23" s="423">
        <f t="shared" si="14"/>
        <v>0</v>
      </c>
      <c r="AF23" s="423">
        <f t="shared" si="22"/>
        <v>0</v>
      </c>
    </row>
    <row r="24" spans="1:32" outlineLevel="1">
      <c r="A24" s="418" t="s">
        <v>628</v>
      </c>
      <c r="B24" s="418" t="s">
        <v>629</v>
      </c>
      <c r="D24" s="423">
        <v>0</v>
      </c>
      <c r="E24" s="423">
        <v>0</v>
      </c>
      <c r="F24" s="423">
        <v>0</v>
      </c>
      <c r="G24" s="423">
        <v>0</v>
      </c>
      <c r="H24" s="423">
        <v>0</v>
      </c>
      <c r="I24" s="423">
        <v>0</v>
      </c>
      <c r="J24" s="423">
        <v>0</v>
      </c>
      <c r="K24" s="423">
        <v>0</v>
      </c>
      <c r="L24" s="423">
        <v>0</v>
      </c>
      <c r="M24" s="423">
        <v>0</v>
      </c>
      <c r="N24" s="423">
        <v>0</v>
      </c>
      <c r="O24" s="423">
        <v>0</v>
      </c>
      <c r="P24" s="423">
        <v>0</v>
      </c>
      <c r="Q24" s="423">
        <v>0</v>
      </c>
      <c r="R24" s="423">
        <v>0</v>
      </c>
      <c r="S24" s="423">
        <v>0</v>
      </c>
      <c r="T24" s="423">
        <v>0</v>
      </c>
      <c r="U24" s="423">
        <v>0</v>
      </c>
      <c r="W24" s="423">
        <f t="shared" si="11"/>
        <v>0</v>
      </c>
      <c r="X24" s="423">
        <f t="shared" si="19"/>
        <v>0</v>
      </c>
      <c r="Y24" s="423">
        <f t="shared" si="20"/>
        <v>0</v>
      </c>
      <c r="Z24" s="423">
        <f t="shared" si="20"/>
        <v>0</v>
      </c>
      <c r="AA24" s="423">
        <f t="shared" si="13"/>
        <v>0</v>
      </c>
      <c r="AB24" s="423">
        <f t="shared" si="21"/>
        <v>0</v>
      </c>
      <c r="AC24" s="423">
        <f t="shared" si="21"/>
        <v>0</v>
      </c>
      <c r="AD24" s="423">
        <f t="shared" si="21"/>
        <v>0</v>
      </c>
      <c r="AE24" s="423">
        <f t="shared" si="14"/>
        <v>0</v>
      </c>
      <c r="AF24" s="423">
        <f t="shared" si="22"/>
        <v>0</v>
      </c>
    </row>
    <row r="25" spans="1:32" outlineLevel="1">
      <c r="A25" s="418" t="s">
        <v>614</v>
      </c>
      <c r="B25" s="418" t="s">
        <v>615</v>
      </c>
      <c r="D25" s="423">
        <v>0</v>
      </c>
      <c r="E25" s="423">
        <v>0</v>
      </c>
      <c r="F25" s="423">
        <v>0</v>
      </c>
      <c r="G25" s="423">
        <v>0</v>
      </c>
      <c r="H25" s="423">
        <v>0</v>
      </c>
      <c r="I25" s="423">
        <v>0</v>
      </c>
      <c r="J25" s="423">
        <v>0</v>
      </c>
      <c r="K25" s="423">
        <v>0</v>
      </c>
      <c r="L25" s="423">
        <v>0</v>
      </c>
      <c r="M25" s="423">
        <v>0</v>
      </c>
      <c r="N25" s="423">
        <v>0</v>
      </c>
      <c r="O25" s="423">
        <v>0</v>
      </c>
      <c r="P25" s="423">
        <v>0</v>
      </c>
      <c r="Q25" s="423">
        <v>0</v>
      </c>
      <c r="R25" s="423">
        <v>0</v>
      </c>
      <c r="S25" s="423">
        <v>0</v>
      </c>
      <c r="T25" s="423">
        <v>0</v>
      </c>
      <c r="U25" s="423">
        <v>0</v>
      </c>
      <c r="W25" s="423">
        <f t="shared" si="11"/>
        <v>0</v>
      </c>
      <c r="X25" s="423">
        <f t="shared" si="19"/>
        <v>0</v>
      </c>
      <c r="Y25" s="423">
        <f t="shared" si="20"/>
        <v>0</v>
      </c>
      <c r="Z25" s="423">
        <f t="shared" si="20"/>
        <v>0</v>
      </c>
      <c r="AA25" s="423">
        <f t="shared" si="13"/>
        <v>0</v>
      </c>
      <c r="AB25" s="423">
        <f t="shared" si="21"/>
        <v>0</v>
      </c>
      <c r="AC25" s="423">
        <f t="shared" si="21"/>
        <v>0</v>
      </c>
      <c r="AD25" s="423">
        <f t="shared" si="21"/>
        <v>0</v>
      </c>
      <c r="AE25" s="423">
        <f t="shared" si="14"/>
        <v>0</v>
      </c>
      <c r="AF25" s="423">
        <f t="shared" si="22"/>
        <v>0</v>
      </c>
    </row>
    <row r="26" spans="1:32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</row>
    <row r="27" spans="1:32">
      <c r="A27" s="429" t="s">
        <v>630</v>
      </c>
      <c r="B27" s="429" t="s">
        <v>631</v>
      </c>
      <c r="D27" s="420">
        <f t="shared" ref="D27:I27" si="23">SUM(D29:D37)</f>
        <v>0</v>
      </c>
      <c r="E27" s="420">
        <f t="shared" si="23"/>
        <v>0</v>
      </c>
      <c r="F27" s="420">
        <f t="shared" si="23"/>
        <v>0</v>
      </c>
      <c r="G27" s="420">
        <f t="shared" si="23"/>
        <v>0</v>
      </c>
      <c r="H27" s="420">
        <f t="shared" si="23"/>
        <v>0</v>
      </c>
      <c r="I27" s="420">
        <f t="shared" si="23"/>
        <v>0</v>
      </c>
      <c r="J27" s="420">
        <f t="shared" ref="J27:T27" si="24">SUM(J29:J37)</f>
        <v>0</v>
      </c>
      <c r="K27" s="420">
        <f t="shared" si="24"/>
        <v>0</v>
      </c>
      <c r="L27" s="420">
        <f t="shared" si="24"/>
        <v>0</v>
      </c>
      <c r="M27" s="420">
        <f t="shared" si="24"/>
        <v>0</v>
      </c>
      <c r="N27" s="420">
        <f t="shared" si="24"/>
        <v>0</v>
      </c>
      <c r="O27" s="420">
        <f t="shared" si="24"/>
        <v>0</v>
      </c>
      <c r="P27" s="420">
        <f t="shared" si="24"/>
        <v>0</v>
      </c>
      <c r="Q27" s="420">
        <f t="shared" si="24"/>
        <v>0</v>
      </c>
      <c r="R27" s="420">
        <f t="shared" si="24"/>
        <v>0</v>
      </c>
      <c r="S27" s="420">
        <f t="shared" si="24"/>
        <v>0</v>
      </c>
      <c r="T27" s="741">
        <f t="shared" si="24"/>
        <v>0</v>
      </c>
      <c r="U27" s="741">
        <f>SUM(U29:U37)</f>
        <v>0</v>
      </c>
      <c r="W27" s="420">
        <f t="shared" ref="W27:AC27" si="25">SUM(W29:W37)</f>
        <v>0</v>
      </c>
      <c r="X27" s="420">
        <f t="shared" si="25"/>
        <v>0</v>
      </c>
      <c r="Y27" s="420">
        <f t="shared" si="25"/>
        <v>0</v>
      </c>
      <c r="Z27" s="420">
        <f t="shared" si="25"/>
        <v>0</v>
      </c>
      <c r="AA27" s="420">
        <f t="shared" si="25"/>
        <v>0</v>
      </c>
      <c r="AB27" s="420">
        <f t="shared" si="25"/>
        <v>0</v>
      </c>
      <c r="AC27" s="420">
        <f t="shared" si="25"/>
        <v>0</v>
      </c>
      <c r="AD27" s="420">
        <f t="shared" ref="AD27:AE27" si="26">SUM(AD29:AD37)</f>
        <v>0</v>
      </c>
      <c r="AE27" s="420">
        <f t="shared" si="26"/>
        <v>0</v>
      </c>
      <c r="AF27" s="741">
        <f>SUM(AF29:AF37)</f>
        <v>0</v>
      </c>
    </row>
    <row r="28" spans="1:32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</row>
    <row r="29" spans="1:32" outlineLevel="1">
      <c r="A29" s="418" t="s">
        <v>632</v>
      </c>
      <c r="B29" s="418" t="s">
        <v>632</v>
      </c>
      <c r="D29" s="423">
        <v>0</v>
      </c>
      <c r="E29" s="423">
        <v>0</v>
      </c>
      <c r="F29" s="423">
        <v>0</v>
      </c>
      <c r="G29" s="423">
        <v>0</v>
      </c>
      <c r="H29" s="423">
        <v>0</v>
      </c>
      <c r="I29" s="423">
        <v>0</v>
      </c>
      <c r="J29" s="423">
        <v>0</v>
      </c>
      <c r="K29" s="423">
        <v>0</v>
      </c>
      <c r="L29" s="423">
        <v>0</v>
      </c>
      <c r="M29" s="423">
        <v>0</v>
      </c>
      <c r="N29" s="423">
        <v>0</v>
      </c>
      <c r="O29" s="423">
        <v>0</v>
      </c>
      <c r="P29" s="423">
        <v>0</v>
      </c>
      <c r="Q29" s="423">
        <v>0</v>
      </c>
      <c r="R29" s="423">
        <v>0</v>
      </c>
      <c r="S29" s="423">
        <v>0</v>
      </c>
      <c r="T29" s="423">
        <v>0</v>
      </c>
      <c r="U29" s="423">
        <v>0</v>
      </c>
      <c r="W29" s="423">
        <f t="shared" ref="W29:W37" si="27">L29</f>
        <v>0</v>
      </c>
      <c r="X29" s="423">
        <f t="shared" ref="X29:X37" si="28">M29-W29</f>
        <v>0</v>
      </c>
      <c r="Y29" s="423">
        <f t="shared" ref="Y29:Y37" si="29">N29-M29</f>
        <v>0</v>
      </c>
      <c r="Z29" s="423">
        <f t="shared" ref="Z29:Z37" si="30">O29-N29</f>
        <v>0</v>
      </c>
      <c r="AA29" s="423">
        <f t="shared" ref="AA29:AA37" si="31">P29</f>
        <v>0</v>
      </c>
      <c r="AB29" s="423">
        <f t="shared" ref="AB29:AB37" si="32">Q29-P29</f>
        <v>0</v>
      </c>
      <c r="AC29" s="423">
        <f t="shared" ref="AC29:AC37" si="33">R29-Q29</f>
        <v>0</v>
      </c>
      <c r="AD29" s="423">
        <f t="shared" ref="AD29:AD37" si="34">S29-R29</f>
        <v>0</v>
      </c>
      <c r="AE29" s="423">
        <f t="shared" ref="AE29:AE37" si="35">T29</f>
        <v>0</v>
      </c>
      <c r="AF29" s="423">
        <f t="shared" ref="AF29:AF37" si="36">U29-T29</f>
        <v>0</v>
      </c>
    </row>
    <row r="30" spans="1:32" outlineLevel="1">
      <c r="A30" s="418" t="s">
        <v>633</v>
      </c>
      <c r="B30" s="418" t="s">
        <v>634</v>
      </c>
      <c r="D30" s="423">
        <v>0</v>
      </c>
      <c r="E30" s="423">
        <v>0</v>
      </c>
      <c r="F30" s="423">
        <v>0</v>
      </c>
      <c r="G30" s="423">
        <v>0</v>
      </c>
      <c r="H30" s="423">
        <v>0</v>
      </c>
      <c r="I30" s="423">
        <v>0</v>
      </c>
      <c r="J30" s="423">
        <v>0</v>
      </c>
      <c r="K30" s="423">
        <v>0</v>
      </c>
      <c r="L30" s="423">
        <v>0</v>
      </c>
      <c r="M30" s="423">
        <v>0</v>
      </c>
      <c r="N30" s="423">
        <v>0</v>
      </c>
      <c r="O30" s="423">
        <v>0</v>
      </c>
      <c r="P30" s="423">
        <v>0</v>
      </c>
      <c r="Q30" s="423">
        <v>0</v>
      </c>
      <c r="R30" s="423">
        <v>0</v>
      </c>
      <c r="S30" s="423">
        <v>0</v>
      </c>
      <c r="T30" s="423">
        <v>0</v>
      </c>
      <c r="U30" s="423">
        <v>0</v>
      </c>
      <c r="W30" s="423">
        <f t="shared" si="27"/>
        <v>0</v>
      </c>
      <c r="X30" s="423">
        <f t="shared" si="28"/>
        <v>0</v>
      </c>
      <c r="Y30" s="423">
        <f t="shared" si="29"/>
        <v>0</v>
      </c>
      <c r="Z30" s="423">
        <f t="shared" si="30"/>
        <v>0</v>
      </c>
      <c r="AA30" s="423">
        <f t="shared" si="31"/>
        <v>0</v>
      </c>
      <c r="AB30" s="423">
        <f t="shared" si="32"/>
        <v>0</v>
      </c>
      <c r="AC30" s="423">
        <f t="shared" si="33"/>
        <v>0</v>
      </c>
      <c r="AD30" s="423">
        <f t="shared" si="34"/>
        <v>0</v>
      </c>
      <c r="AE30" s="423">
        <f t="shared" si="35"/>
        <v>0</v>
      </c>
      <c r="AF30" s="423">
        <f t="shared" si="36"/>
        <v>0</v>
      </c>
    </row>
    <row r="31" spans="1:32" outlineLevel="1">
      <c r="A31" s="418" t="s">
        <v>635</v>
      </c>
      <c r="B31" s="418" t="s">
        <v>636</v>
      </c>
      <c r="D31" s="423">
        <v>0</v>
      </c>
      <c r="E31" s="423">
        <v>0</v>
      </c>
      <c r="F31" s="423">
        <v>0</v>
      </c>
      <c r="G31" s="423">
        <v>0</v>
      </c>
      <c r="H31" s="423">
        <v>0</v>
      </c>
      <c r="I31" s="423">
        <v>0</v>
      </c>
      <c r="J31" s="423">
        <v>0</v>
      </c>
      <c r="K31" s="423">
        <v>0</v>
      </c>
      <c r="L31" s="423">
        <v>0</v>
      </c>
      <c r="M31" s="423">
        <v>0</v>
      </c>
      <c r="N31" s="423">
        <v>0</v>
      </c>
      <c r="O31" s="423">
        <v>0</v>
      </c>
      <c r="P31" s="423">
        <v>0</v>
      </c>
      <c r="Q31" s="423">
        <v>0</v>
      </c>
      <c r="R31" s="423">
        <v>0</v>
      </c>
      <c r="S31" s="423">
        <v>0</v>
      </c>
      <c r="T31" s="423">
        <v>0</v>
      </c>
      <c r="U31" s="423">
        <v>0</v>
      </c>
      <c r="W31" s="423">
        <f t="shared" si="27"/>
        <v>0</v>
      </c>
      <c r="X31" s="423">
        <f t="shared" si="28"/>
        <v>0</v>
      </c>
      <c r="Y31" s="423">
        <f t="shared" si="29"/>
        <v>0</v>
      </c>
      <c r="Z31" s="423">
        <f t="shared" si="30"/>
        <v>0</v>
      </c>
      <c r="AA31" s="423">
        <f t="shared" si="31"/>
        <v>0</v>
      </c>
      <c r="AB31" s="423">
        <f t="shared" si="32"/>
        <v>0</v>
      </c>
      <c r="AC31" s="423">
        <f t="shared" si="33"/>
        <v>0</v>
      </c>
      <c r="AD31" s="423">
        <f t="shared" si="34"/>
        <v>0</v>
      </c>
      <c r="AE31" s="423">
        <f t="shared" si="35"/>
        <v>0</v>
      </c>
      <c r="AF31" s="423">
        <f t="shared" si="36"/>
        <v>0</v>
      </c>
    </row>
    <row r="32" spans="1:32" outlineLevel="1">
      <c r="A32" s="418" t="s">
        <v>637</v>
      </c>
      <c r="B32" s="418" t="s">
        <v>638</v>
      </c>
      <c r="D32" s="423">
        <v>0</v>
      </c>
      <c r="E32" s="423">
        <v>0</v>
      </c>
      <c r="F32" s="423">
        <v>0</v>
      </c>
      <c r="G32" s="423">
        <v>0</v>
      </c>
      <c r="H32" s="423">
        <v>0</v>
      </c>
      <c r="I32" s="423">
        <v>0</v>
      </c>
      <c r="J32" s="423">
        <v>0</v>
      </c>
      <c r="K32" s="423">
        <v>0</v>
      </c>
      <c r="L32" s="423">
        <v>0</v>
      </c>
      <c r="M32" s="423">
        <v>0</v>
      </c>
      <c r="N32" s="423">
        <v>0</v>
      </c>
      <c r="O32" s="423">
        <v>0</v>
      </c>
      <c r="P32" s="423">
        <v>0</v>
      </c>
      <c r="Q32" s="423">
        <v>0</v>
      </c>
      <c r="R32" s="423">
        <v>0</v>
      </c>
      <c r="S32" s="423">
        <v>0</v>
      </c>
      <c r="T32" s="423">
        <v>0</v>
      </c>
      <c r="U32" s="423">
        <v>0</v>
      </c>
      <c r="W32" s="423">
        <f t="shared" si="27"/>
        <v>0</v>
      </c>
      <c r="X32" s="423">
        <f t="shared" si="28"/>
        <v>0</v>
      </c>
      <c r="Y32" s="423">
        <f t="shared" si="29"/>
        <v>0</v>
      </c>
      <c r="Z32" s="423">
        <f t="shared" si="30"/>
        <v>0</v>
      </c>
      <c r="AA32" s="423">
        <f t="shared" si="31"/>
        <v>0</v>
      </c>
      <c r="AB32" s="423">
        <f t="shared" si="32"/>
        <v>0</v>
      </c>
      <c r="AC32" s="423">
        <f t="shared" si="33"/>
        <v>0</v>
      </c>
      <c r="AD32" s="423">
        <f t="shared" si="34"/>
        <v>0</v>
      </c>
      <c r="AE32" s="423">
        <f t="shared" si="35"/>
        <v>0</v>
      </c>
      <c r="AF32" s="423">
        <f t="shared" si="36"/>
        <v>0</v>
      </c>
    </row>
    <row r="33" spans="1:32" outlineLevel="1">
      <c r="A33" s="418" t="s">
        <v>639</v>
      </c>
      <c r="B33" s="418" t="s">
        <v>640</v>
      </c>
      <c r="D33" s="423">
        <v>0</v>
      </c>
      <c r="E33" s="423">
        <v>0</v>
      </c>
      <c r="F33" s="423">
        <v>0</v>
      </c>
      <c r="G33" s="423">
        <v>0</v>
      </c>
      <c r="H33" s="423">
        <v>0</v>
      </c>
      <c r="I33" s="423">
        <v>0</v>
      </c>
      <c r="J33" s="423">
        <v>0</v>
      </c>
      <c r="K33" s="423">
        <v>0</v>
      </c>
      <c r="L33" s="423">
        <v>0</v>
      </c>
      <c r="M33" s="423">
        <v>0</v>
      </c>
      <c r="N33" s="423">
        <v>0</v>
      </c>
      <c r="O33" s="423">
        <v>0</v>
      </c>
      <c r="P33" s="423">
        <v>0</v>
      </c>
      <c r="Q33" s="423">
        <v>0</v>
      </c>
      <c r="R33" s="423">
        <v>0</v>
      </c>
      <c r="S33" s="423">
        <v>0</v>
      </c>
      <c r="T33" s="423">
        <v>0</v>
      </c>
      <c r="U33" s="423">
        <v>0</v>
      </c>
      <c r="W33" s="423">
        <f t="shared" si="27"/>
        <v>0</v>
      </c>
      <c r="X33" s="423">
        <f t="shared" si="28"/>
        <v>0</v>
      </c>
      <c r="Y33" s="423">
        <f t="shared" si="29"/>
        <v>0</v>
      </c>
      <c r="Z33" s="423">
        <f t="shared" si="30"/>
        <v>0</v>
      </c>
      <c r="AA33" s="423">
        <f t="shared" si="31"/>
        <v>0</v>
      </c>
      <c r="AB33" s="423">
        <f t="shared" si="32"/>
        <v>0</v>
      </c>
      <c r="AC33" s="423">
        <f t="shared" si="33"/>
        <v>0</v>
      </c>
      <c r="AD33" s="423">
        <f t="shared" si="34"/>
        <v>0</v>
      </c>
      <c r="AE33" s="423">
        <f t="shared" si="35"/>
        <v>0</v>
      </c>
      <c r="AF33" s="423">
        <f t="shared" si="36"/>
        <v>0</v>
      </c>
    </row>
    <row r="34" spans="1:32" outlineLevel="1">
      <c r="A34" s="418" t="s">
        <v>641</v>
      </c>
      <c r="B34" s="418" t="s">
        <v>642</v>
      </c>
      <c r="D34" s="423">
        <v>0</v>
      </c>
      <c r="E34" s="423">
        <v>0</v>
      </c>
      <c r="F34" s="423">
        <v>0</v>
      </c>
      <c r="G34" s="423">
        <v>0</v>
      </c>
      <c r="H34" s="423">
        <v>0</v>
      </c>
      <c r="I34" s="423">
        <v>0</v>
      </c>
      <c r="J34" s="423">
        <v>0</v>
      </c>
      <c r="K34" s="423">
        <v>0</v>
      </c>
      <c r="L34" s="423">
        <v>0</v>
      </c>
      <c r="M34" s="423">
        <v>0</v>
      </c>
      <c r="N34" s="423">
        <v>0</v>
      </c>
      <c r="O34" s="423">
        <v>0</v>
      </c>
      <c r="P34" s="423">
        <v>0</v>
      </c>
      <c r="Q34" s="423">
        <v>0</v>
      </c>
      <c r="R34" s="423">
        <v>0</v>
      </c>
      <c r="S34" s="423">
        <v>0</v>
      </c>
      <c r="T34" s="423">
        <v>0</v>
      </c>
      <c r="U34" s="423">
        <v>0</v>
      </c>
      <c r="W34" s="423">
        <f t="shared" si="27"/>
        <v>0</v>
      </c>
      <c r="X34" s="423">
        <f t="shared" si="28"/>
        <v>0</v>
      </c>
      <c r="Y34" s="423">
        <f t="shared" si="29"/>
        <v>0</v>
      </c>
      <c r="Z34" s="423">
        <f t="shared" si="30"/>
        <v>0</v>
      </c>
      <c r="AA34" s="423">
        <f t="shared" si="31"/>
        <v>0</v>
      </c>
      <c r="AB34" s="423">
        <f t="shared" si="32"/>
        <v>0</v>
      </c>
      <c r="AC34" s="423">
        <f t="shared" si="33"/>
        <v>0</v>
      </c>
      <c r="AD34" s="423">
        <f t="shared" si="34"/>
        <v>0</v>
      </c>
      <c r="AE34" s="423">
        <f t="shared" si="35"/>
        <v>0</v>
      </c>
      <c r="AF34" s="423">
        <f t="shared" si="36"/>
        <v>0</v>
      </c>
    </row>
    <row r="35" spans="1:32" outlineLevel="1">
      <c r="A35" s="418" t="s">
        <v>643</v>
      </c>
      <c r="B35" s="418" t="s">
        <v>644</v>
      </c>
      <c r="D35" s="423">
        <v>0</v>
      </c>
      <c r="E35" s="423">
        <v>0</v>
      </c>
      <c r="F35" s="423">
        <v>0</v>
      </c>
      <c r="G35" s="423">
        <v>0</v>
      </c>
      <c r="H35" s="423">
        <v>0</v>
      </c>
      <c r="I35" s="423">
        <v>0</v>
      </c>
      <c r="J35" s="423">
        <v>0</v>
      </c>
      <c r="K35" s="423">
        <v>0</v>
      </c>
      <c r="L35" s="423">
        <v>0</v>
      </c>
      <c r="M35" s="423">
        <v>0</v>
      </c>
      <c r="N35" s="423">
        <v>0</v>
      </c>
      <c r="O35" s="423">
        <v>0</v>
      </c>
      <c r="P35" s="423">
        <v>0</v>
      </c>
      <c r="Q35" s="423">
        <v>0</v>
      </c>
      <c r="R35" s="423">
        <v>0</v>
      </c>
      <c r="S35" s="423">
        <v>0</v>
      </c>
      <c r="T35" s="423">
        <v>0</v>
      </c>
      <c r="U35" s="423">
        <v>0</v>
      </c>
      <c r="W35" s="423">
        <f t="shared" si="27"/>
        <v>0</v>
      </c>
      <c r="X35" s="423">
        <f t="shared" si="28"/>
        <v>0</v>
      </c>
      <c r="Y35" s="423">
        <f t="shared" si="29"/>
        <v>0</v>
      </c>
      <c r="Z35" s="423">
        <f t="shared" si="30"/>
        <v>0</v>
      </c>
      <c r="AA35" s="423">
        <f t="shared" si="31"/>
        <v>0</v>
      </c>
      <c r="AB35" s="423">
        <f t="shared" si="32"/>
        <v>0</v>
      </c>
      <c r="AC35" s="423">
        <f t="shared" si="33"/>
        <v>0</v>
      </c>
      <c r="AD35" s="423">
        <f t="shared" si="34"/>
        <v>0</v>
      </c>
      <c r="AE35" s="423">
        <f t="shared" si="35"/>
        <v>0</v>
      </c>
      <c r="AF35" s="423">
        <f t="shared" si="36"/>
        <v>0</v>
      </c>
    </row>
    <row r="36" spans="1:32" outlineLevel="1">
      <c r="A36" s="418" t="s">
        <v>645</v>
      </c>
      <c r="B36" s="418" t="s">
        <v>645</v>
      </c>
      <c r="D36" s="423">
        <v>0</v>
      </c>
      <c r="E36" s="423">
        <v>0</v>
      </c>
      <c r="F36" s="423">
        <v>0</v>
      </c>
      <c r="G36" s="423">
        <v>0</v>
      </c>
      <c r="H36" s="423">
        <v>0</v>
      </c>
      <c r="I36" s="423">
        <v>0</v>
      </c>
      <c r="J36" s="423">
        <v>0</v>
      </c>
      <c r="K36" s="423">
        <v>0</v>
      </c>
      <c r="L36" s="423">
        <v>0</v>
      </c>
      <c r="M36" s="423">
        <v>0</v>
      </c>
      <c r="N36" s="423">
        <v>0</v>
      </c>
      <c r="O36" s="423">
        <v>0</v>
      </c>
      <c r="P36" s="423">
        <v>0</v>
      </c>
      <c r="Q36" s="423">
        <v>0</v>
      </c>
      <c r="R36" s="423">
        <v>0</v>
      </c>
      <c r="S36" s="423">
        <v>0</v>
      </c>
      <c r="T36" s="423">
        <v>0</v>
      </c>
      <c r="U36" s="423">
        <v>0</v>
      </c>
      <c r="W36" s="423">
        <f t="shared" si="27"/>
        <v>0</v>
      </c>
      <c r="X36" s="423">
        <f t="shared" si="28"/>
        <v>0</v>
      </c>
      <c r="Y36" s="423">
        <f t="shared" si="29"/>
        <v>0</v>
      </c>
      <c r="Z36" s="423">
        <f t="shared" si="30"/>
        <v>0</v>
      </c>
      <c r="AA36" s="423">
        <f t="shared" si="31"/>
        <v>0</v>
      </c>
      <c r="AB36" s="423">
        <f t="shared" si="32"/>
        <v>0</v>
      </c>
      <c r="AC36" s="423">
        <f t="shared" si="33"/>
        <v>0</v>
      </c>
      <c r="AD36" s="423">
        <f t="shared" si="34"/>
        <v>0</v>
      </c>
      <c r="AE36" s="423">
        <f t="shared" si="35"/>
        <v>0</v>
      </c>
      <c r="AF36" s="423">
        <f t="shared" si="36"/>
        <v>0</v>
      </c>
    </row>
    <row r="37" spans="1:32" outlineLevel="1">
      <c r="A37" s="418" t="s">
        <v>95</v>
      </c>
      <c r="B37" s="418" t="s">
        <v>96</v>
      </c>
      <c r="D37" s="423">
        <v>0</v>
      </c>
      <c r="E37" s="423">
        <v>0</v>
      </c>
      <c r="F37" s="423">
        <v>0</v>
      </c>
      <c r="G37" s="423">
        <v>0</v>
      </c>
      <c r="H37" s="423">
        <v>0</v>
      </c>
      <c r="I37" s="423">
        <v>0</v>
      </c>
      <c r="J37" s="423">
        <v>0</v>
      </c>
      <c r="K37" s="423">
        <v>0</v>
      </c>
      <c r="L37" s="423">
        <v>0</v>
      </c>
      <c r="M37" s="423">
        <v>0</v>
      </c>
      <c r="N37" s="423">
        <v>0</v>
      </c>
      <c r="O37" s="423">
        <v>0</v>
      </c>
      <c r="P37" s="423">
        <v>0</v>
      </c>
      <c r="Q37" s="423">
        <v>0</v>
      </c>
      <c r="R37" s="423">
        <v>0</v>
      </c>
      <c r="S37" s="423">
        <v>0</v>
      </c>
      <c r="T37" s="423">
        <v>0</v>
      </c>
      <c r="U37" s="423">
        <v>0</v>
      </c>
      <c r="W37" s="423">
        <f t="shared" si="27"/>
        <v>0</v>
      </c>
      <c r="X37" s="423">
        <f t="shared" si="28"/>
        <v>0</v>
      </c>
      <c r="Y37" s="423">
        <f t="shared" si="29"/>
        <v>0</v>
      </c>
      <c r="Z37" s="423">
        <f t="shared" si="30"/>
        <v>0</v>
      </c>
      <c r="AA37" s="423">
        <f t="shared" si="31"/>
        <v>0</v>
      </c>
      <c r="AB37" s="423">
        <f t="shared" si="32"/>
        <v>0</v>
      </c>
      <c r="AC37" s="423">
        <f t="shared" si="33"/>
        <v>0</v>
      </c>
      <c r="AD37" s="423">
        <f t="shared" si="34"/>
        <v>0</v>
      </c>
      <c r="AE37" s="423">
        <f t="shared" si="35"/>
        <v>0</v>
      </c>
      <c r="AF37" s="423">
        <f t="shared" si="36"/>
        <v>0</v>
      </c>
    </row>
    <row r="38" spans="1:32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</row>
    <row r="39" spans="1:32">
      <c r="A39" s="429" t="s">
        <v>646</v>
      </c>
      <c r="B39" s="429" t="s">
        <v>647</v>
      </c>
      <c r="D39" s="420">
        <f t="shared" ref="D39:I39" si="37">D27+D6</f>
        <v>0</v>
      </c>
      <c r="E39" s="420">
        <f t="shared" si="37"/>
        <v>0</v>
      </c>
      <c r="F39" s="420">
        <f t="shared" si="37"/>
        <v>0</v>
      </c>
      <c r="G39" s="420">
        <f t="shared" si="37"/>
        <v>0</v>
      </c>
      <c r="H39" s="420">
        <f t="shared" si="37"/>
        <v>0</v>
      </c>
      <c r="I39" s="420">
        <f t="shared" si="37"/>
        <v>0</v>
      </c>
      <c r="J39" s="420">
        <f t="shared" ref="J39:T39" si="38">J27+J6</f>
        <v>0</v>
      </c>
      <c r="K39" s="420">
        <f t="shared" si="38"/>
        <v>0</v>
      </c>
      <c r="L39" s="420">
        <f t="shared" si="38"/>
        <v>0</v>
      </c>
      <c r="M39" s="420">
        <f t="shared" si="38"/>
        <v>0</v>
      </c>
      <c r="N39" s="420">
        <f t="shared" si="38"/>
        <v>0</v>
      </c>
      <c r="O39" s="420">
        <f t="shared" si="38"/>
        <v>0</v>
      </c>
      <c r="P39" s="420">
        <f t="shared" si="38"/>
        <v>0</v>
      </c>
      <c r="Q39" s="420">
        <f t="shared" si="38"/>
        <v>0</v>
      </c>
      <c r="R39" s="420">
        <f t="shared" si="38"/>
        <v>0</v>
      </c>
      <c r="S39" s="420">
        <f t="shared" si="38"/>
        <v>0</v>
      </c>
      <c r="T39" s="741">
        <f t="shared" si="38"/>
        <v>0</v>
      </c>
      <c r="U39" s="741">
        <f>U27+U6</f>
        <v>0</v>
      </c>
      <c r="W39" s="420">
        <f t="shared" ref="W39:AC39" si="39">W27+W6</f>
        <v>0</v>
      </c>
      <c r="X39" s="420">
        <f t="shared" si="39"/>
        <v>0</v>
      </c>
      <c r="Y39" s="420">
        <f t="shared" si="39"/>
        <v>0</v>
      </c>
      <c r="Z39" s="420">
        <f t="shared" si="39"/>
        <v>0</v>
      </c>
      <c r="AA39" s="420">
        <f t="shared" si="39"/>
        <v>0</v>
      </c>
      <c r="AB39" s="420">
        <f t="shared" si="39"/>
        <v>0</v>
      </c>
      <c r="AC39" s="420">
        <f t="shared" si="39"/>
        <v>0</v>
      </c>
      <c r="AD39" s="420">
        <f t="shared" ref="AD39:AE39" si="40">AD27+AD6</f>
        <v>0</v>
      </c>
      <c r="AE39" s="420">
        <f t="shared" si="40"/>
        <v>0</v>
      </c>
      <c r="AF39" s="741">
        <f>AF27+AF6</f>
        <v>0</v>
      </c>
    </row>
    <row r="40" spans="1:32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</row>
    <row r="41" spans="1:32">
      <c r="A41" s="416" t="s">
        <v>648</v>
      </c>
      <c r="B41" s="416" t="s">
        <v>649</v>
      </c>
      <c r="D41" s="424">
        <f t="shared" ref="D41:I41" si="41">SUM(D43:D49)</f>
        <v>0</v>
      </c>
      <c r="E41" s="424">
        <f t="shared" si="41"/>
        <v>0</v>
      </c>
      <c r="F41" s="424">
        <f t="shared" si="41"/>
        <v>0</v>
      </c>
      <c r="G41" s="424">
        <f t="shared" si="41"/>
        <v>0</v>
      </c>
      <c r="H41" s="424">
        <f t="shared" si="41"/>
        <v>0</v>
      </c>
      <c r="I41" s="424">
        <f t="shared" si="41"/>
        <v>0</v>
      </c>
      <c r="J41" s="424">
        <f t="shared" ref="J41:T41" si="42">SUM(J43:J49)</f>
        <v>0</v>
      </c>
      <c r="K41" s="424">
        <f t="shared" si="42"/>
        <v>0</v>
      </c>
      <c r="L41" s="424">
        <f t="shared" si="42"/>
        <v>0</v>
      </c>
      <c r="M41" s="424">
        <f t="shared" si="42"/>
        <v>0</v>
      </c>
      <c r="N41" s="424">
        <f t="shared" si="42"/>
        <v>0</v>
      </c>
      <c r="O41" s="424">
        <f t="shared" si="42"/>
        <v>0</v>
      </c>
      <c r="P41" s="424">
        <f t="shared" si="42"/>
        <v>0</v>
      </c>
      <c r="Q41" s="424">
        <f t="shared" si="42"/>
        <v>0</v>
      </c>
      <c r="R41" s="424">
        <f t="shared" si="42"/>
        <v>-2</v>
      </c>
      <c r="S41" s="424">
        <f t="shared" si="42"/>
        <v>0</v>
      </c>
      <c r="T41" s="424">
        <f t="shared" si="42"/>
        <v>0</v>
      </c>
      <c r="U41" s="424">
        <f>SUM(U43:U49)</f>
        <v>0</v>
      </c>
      <c r="W41" s="424">
        <f t="shared" ref="W41:AC41" si="43">SUM(W43:W49)</f>
        <v>0</v>
      </c>
      <c r="X41" s="424">
        <f t="shared" si="43"/>
        <v>0</v>
      </c>
      <c r="Y41" s="424">
        <f t="shared" si="43"/>
        <v>0</v>
      </c>
      <c r="Z41" s="424">
        <f t="shared" si="43"/>
        <v>0</v>
      </c>
      <c r="AA41" s="424">
        <f t="shared" si="43"/>
        <v>0</v>
      </c>
      <c r="AB41" s="424">
        <f t="shared" si="43"/>
        <v>0</v>
      </c>
      <c r="AC41" s="424">
        <f t="shared" si="43"/>
        <v>-2</v>
      </c>
      <c r="AD41" s="424">
        <f t="shared" ref="AD41:AE41" si="44">SUM(AD43:AD49)</f>
        <v>2</v>
      </c>
      <c r="AE41" s="424">
        <f t="shared" si="44"/>
        <v>0</v>
      </c>
      <c r="AF41" s="424">
        <f>SUM(AF43:AF49)</f>
        <v>0</v>
      </c>
    </row>
    <row r="42" spans="1:32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</row>
    <row r="43" spans="1:32">
      <c r="A43" s="417" t="s">
        <v>650</v>
      </c>
      <c r="B43" s="417" t="s">
        <v>651</v>
      </c>
      <c r="D43" s="422">
        <v>0</v>
      </c>
      <c r="E43" s="422">
        <v>0</v>
      </c>
      <c r="F43" s="422">
        <v>0</v>
      </c>
      <c r="G43" s="422">
        <v>0</v>
      </c>
      <c r="H43" s="422">
        <v>0</v>
      </c>
      <c r="I43" s="422">
        <v>0</v>
      </c>
      <c r="J43" s="422">
        <v>0</v>
      </c>
      <c r="K43" s="422">
        <v>0</v>
      </c>
      <c r="L43" s="422">
        <v>0</v>
      </c>
      <c r="M43" s="422">
        <v>0</v>
      </c>
      <c r="N43" s="422">
        <v>0</v>
      </c>
      <c r="O43" s="422">
        <v>0</v>
      </c>
      <c r="P43" s="422">
        <v>0</v>
      </c>
      <c r="Q43" s="422">
        <v>0</v>
      </c>
      <c r="R43" s="422">
        <v>0</v>
      </c>
      <c r="S43" s="422">
        <v>0</v>
      </c>
      <c r="T43" s="422">
        <v>0</v>
      </c>
      <c r="U43" s="422">
        <v>0</v>
      </c>
      <c r="W43" s="422">
        <f>L43</f>
        <v>0</v>
      </c>
      <c r="X43" s="422">
        <f>M43-W43</f>
        <v>0</v>
      </c>
      <c r="Y43" s="422">
        <f>N43-M43</f>
        <v>0</v>
      </c>
      <c r="Z43" s="422">
        <f>O43-N43</f>
        <v>0</v>
      </c>
      <c r="AA43" s="422">
        <f>P43</f>
        <v>0</v>
      </c>
      <c r="AB43" s="422">
        <f>Q43-P43</f>
        <v>0</v>
      </c>
      <c r="AC43" s="422">
        <f>R43-Q43</f>
        <v>0</v>
      </c>
      <c r="AD43" s="422">
        <f>S43-R43</f>
        <v>0</v>
      </c>
      <c r="AE43" s="422">
        <f>T43</f>
        <v>0</v>
      </c>
      <c r="AF43" s="422">
        <f>U43-T43</f>
        <v>0</v>
      </c>
    </row>
    <row r="44" spans="1:32">
      <c r="A44" s="417" t="s">
        <v>2498</v>
      </c>
      <c r="B44" s="417" t="s">
        <v>2499</v>
      </c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>
        <v>0</v>
      </c>
      <c r="W44" s="422"/>
      <c r="X44" s="422"/>
      <c r="Y44" s="422"/>
      <c r="Z44" s="422"/>
      <c r="AA44" s="422"/>
      <c r="AB44" s="422"/>
      <c r="AC44" s="422"/>
      <c r="AD44" s="422"/>
      <c r="AE44" s="422"/>
      <c r="AF44" s="422"/>
    </row>
    <row r="45" spans="1:32">
      <c r="A45" s="417" t="s">
        <v>652</v>
      </c>
      <c r="B45" s="417" t="s">
        <v>653</v>
      </c>
      <c r="D45" s="422">
        <v>0</v>
      </c>
      <c r="E45" s="422">
        <v>0</v>
      </c>
      <c r="F45" s="422">
        <v>0</v>
      </c>
      <c r="G45" s="422">
        <v>0</v>
      </c>
      <c r="H45" s="422">
        <v>0</v>
      </c>
      <c r="I45" s="422">
        <v>0</v>
      </c>
      <c r="J45" s="422">
        <v>0</v>
      </c>
      <c r="K45" s="422">
        <v>0</v>
      </c>
      <c r="L45" s="422">
        <v>0</v>
      </c>
      <c r="M45" s="422">
        <v>0</v>
      </c>
      <c r="N45" s="422">
        <v>0</v>
      </c>
      <c r="O45" s="422">
        <v>0</v>
      </c>
      <c r="P45" s="422">
        <v>0</v>
      </c>
      <c r="Q45" s="422">
        <v>0</v>
      </c>
      <c r="R45" s="422">
        <v>0</v>
      </c>
      <c r="S45" s="422">
        <v>0</v>
      </c>
      <c r="T45" s="422">
        <v>0</v>
      </c>
      <c r="U45" s="422">
        <v>0</v>
      </c>
      <c r="W45" s="422">
        <f>L45</f>
        <v>0</v>
      </c>
      <c r="X45" s="422">
        <f>M45-W45</f>
        <v>0</v>
      </c>
      <c r="Y45" s="422">
        <f t="shared" ref="Y45:Z48" si="45">N45-M45</f>
        <v>0</v>
      </c>
      <c r="Z45" s="422">
        <f t="shared" si="45"/>
        <v>0</v>
      </c>
      <c r="AA45" s="422">
        <f>P45</f>
        <v>0</v>
      </c>
      <c r="AB45" s="422">
        <f t="shared" ref="AB45:AD48" si="46">Q45-P45</f>
        <v>0</v>
      </c>
      <c r="AC45" s="422">
        <f t="shared" si="46"/>
        <v>0</v>
      </c>
      <c r="AD45" s="422">
        <f t="shared" si="46"/>
        <v>0</v>
      </c>
      <c r="AE45" s="422">
        <f>T45</f>
        <v>0</v>
      </c>
      <c r="AF45" s="422">
        <f>U45-T45</f>
        <v>0</v>
      </c>
    </row>
    <row r="46" spans="1:32">
      <c r="A46" s="417" t="s">
        <v>654</v>
      </c>
      <c r="B46" s="417" t="s">
        <v>655</v>
      </c>
      <c r="D46" s="422">
        <v>0</v>
      </c>
      <c r="E46" s="422">
        <v>0</v>
      </c>
      <c r="F46" s="422">
        <v>0</v>
      </c>
      <c r="G46" s="422">
        <v>0</v>
      </c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>
        <v>0</v>
      </c>
      <c r="T46" s="422">
        <v>0</v>
      </c>
      <c r="U46" s="422">
        <v>0</v>
      </c>
      <c r="W46" s="422">
        <f>L46</f>
        <v>0</v>
      </c>
      <c r="X46" s="422">
        <f>M46-W46</f>
        <v>0</v>
      </c>
      <c r="Y46" s="422">
        <f t="shared" si="45"/>
        <v>0</v>
      </c>
      <c r="Z46" s="422">
        <f t="shared" si="45"/>
        <v>0</v>
      </c>
      <c r="AA46" s="422">
        <f>P46</f>
        <v>0</v>
      </c>
      <c r="AB46" s="422">
        <f t="shared" si="46"/>
        <v>0</v>
      </c>
      <c r="AC46" s="422">
        <f t="shared" si="46"/>
        <v>0</v>
      </c>
      <c r="AD46" s="422">
        <f t="shared" si="46"/>
        <v>0</v>
      </c>
      <c r="AE46" s="422">
        <f>T46</f>
        <v>0</v>
      </c>
      <c r="AF46" s="422">
        <f>U46-T46</f>
        <v>0</v>
      </c>
    </row>
    <row r="47" spans="1:32">
      <c r="A47" s="417" t="s">
        <v>656</v>
      </c>
      <c r="B47" s="417" t="s">
        <v>657</v>
      </c>
      <c r="D47" s="422">
        <v>0</v>
      </c>
      <c r="E47" s="422">
        <v>0</v>
      </c>
      <c r="F47" s="422">
        <v>0</v>
      </c>
      <c r="G47" s="422">
        <v>0</v>
      </c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>
        <v>0</v>
      </c>
      <c r="T47" s="422">
        <v>0</v>
      </c>
      <c r="U47" s="422">
        <v>0</v>
      </c>
      <c r="W47" s="422">
        <f>L47</f>
        <v>0</v>
      </c>
      <c r="X47" s="422">
        <f>M47-W47</f>
        <v>0</v>
      </c>
      <c r="Y47" s="422">
        <f t="shared" si="45"/>
        <v>0</v>
      </c>
      <c r="Z47" s="422">
        <f t="shared" si="45"/>
        <v>0</v>
      </c>
      <c r="AA47" s="422">
        <f>P47</f>
        <v>0</v>
      </c>
      <c r="AB47" s="422">
        <f t="shared" si="46"/>
        <v>0</v>
      </c>
      <c r="AC47" s="422">
        <f t="shared" si="46"/>
        <v>0</v>
      </c>
      <c r="AD47" s="422">
        <f t="shared" si="46"/>
        <v>0</v>
      </c>
      <c r="AE47" s="422">
        <f>T47</f>
        <v>0</v>
      </c>
      <c r="AF47" s="422">
        <f>U47-T47</f>
        <v>0</v>
      </c>
    </row>
    <row r="48" spans="1:32">
      <c r="A48" s="417" t="s">
        <v>658</v>
      </c>
      <c r="B48" s="417" t="s">
        <v>659</v>
      </c>
      <c r="D48" s="422">
        <v>0</v>
      </c>
      <c r="E48" s="422">
        <v>0</v>
      </c>
      <c r="F48" s="422">
        <v>0</v>
      </c>
      <c r="G48" s="422">
        <v>0</v>
      </c>
      <c r="H48" s="422">
        <v>0</v>
      </c>
      <c r="I48" s="422">
        <v>0</v>
      </c>
      <c r="J48" s="422">
        <v>0</v>
      </c>
      <c r="K48" s="422">
        <v>0</v>
      </c>
      <c r="L48" s="422">
        <v>0</v>
      </c>
      <c r="M48" s="422">
        <v>0</v>
      </c>
      <c r="N48" s="422">
        <v>0</v>
      </c>
      <c r="O48" s="422">
        <v>0</v>
      </c>
      <c r="P48" s="422">
        <v>0</v>
      </c>
      <c r="Q48" s="422">
        <v>0</v>
      </c>
      <c r="R48" s="422">
        <v>0</v>
      </c>
      <c r="S48" s="422">
        <v>0</v>
      </c>
      <c r="T48" s="422">
        <v>0</v>
      </c>
      <c r="U48" s="422">
        <v>0</v>
      </c>
      <c r="W48" s="422">
        <f>L48</f>
        <v>0</v>
      </c>
      <c r="X48" s="422">
        <f>M48-W48</f>
        <v>0</v>
      </c>
      <c r="Y48" s="422">
        <f t="shared" si="45"/>
        <v>0</v>
      </c>
      <c r="Z48" s="422">
        <f t="shared" si="45"/>
        <v>0</v>
      </c>
      <c r="AA48" s="422">
        <f>P48</f>
        <v>0</v>
      </c>
      <c r="AB48" s="422">
        <f t="shared" si="46"/>
        <v>0</v>
      </c>
      <c r="AC48" s="422">
        <f t="shared" si="46"/>
        <v>0</v>
      </c>
      <c r="AD48" s="422">
        <f t="shared" si="46"/>
        <v>0</v>
      </c>
      <c r="AE48" s="422">
        <f>T48</f>
        <v>0</v>
      </c>
      <c r="AF48" s="422">
        <f>U48-T48</f>
        <v>0</v>
      </c>
    </row>
    <row r="49" spans="1:32">
      <c r="A49" s="417" t="s">
        <v>660</v>
      </c>
      <c r="B49" s="417" t="s">
        <v>661</v>
      </c>
      <c r="D49" s="422">
        <f t="shared" ref="D49:I49" si="47">SUM(D50:D56)</f>
        <v>0</v>
      </c>
      <c r="E49" s="422">
        <f t="shared" si="47"/>
        <v>0</v>
      </c>
      <c r="F49" s="422">
        <f t="shared" si="47"/>
        <v>0</v>
      </c>
      <c r="G49" s="422">
        <f t="shared" si="47"/>
        <v>0</v>
      </c>
      <c r="H49" s="422">
        <f t="shared" si="47"/>
        <v>0</v>
      </c>
      <c r="I49" s="422">
        <f t="shared" si="47"/>
        <v>0</v>
      </c>
      <c r="J49" s="422">
        <f t="shared" ref="J49:T49" si="48">SUM(J50:J56)</f>
        <v>0</v>
      </c>
      <c r="K49" s="422">
        <f t="shared" si="48"/>
        <v>0</v>
      </c>
      <c r="L49" s="422">
        <f t="shared" si="48"/>
        <v>0</v>
      </c>
      <c r="M49" s="422">
        <f t="shared" si="48"/>
        <v>0</v>
      </c>
      <c r="N49" s="422">
        <f t="shared" si="48"/>
        <v>0</v>
      </c>
      <c r="O49" s="422">
        <f t="shared" si="48"/>
        <v>0</v>
      </c>
      <c r="P49" s="422">
        <f t="shared" si="48"/>
        <v>0</v>
      </c>
      <c r="Q49" s="422">
        <f t="shared" si="48"/>
        <v>0</v>
      </c>
      <c r="R49" s="422">
        <f t="shared" si="48"/>
        <v>-2</v>
      </c>
      <c r="S49" s="422">
        <f t="shared" si="48"/>
        <v>0</v>
      </c>
      <c r="T49" s="422">
        <f t="shared" si="48"/>
        <v>0</v>
      </c>
      <c r="U49" s="422">
        <f>SUM(U50:U56)</f>
        <v>0</v>
      </c>
      <c r="W49" s="422">
        <f t="shared" ref="W49:AC49" si="49">SUM(W50:W56)</f>
        <v>0</v>
      </c>
      <c r="X49" s="422">
        <f t="shared" si="49"/>
        <v>0</v>
      </c>
      <c r="Y49" s="422">
        <f t="shared" si="49"/>
        <v>0</v>
      </c>
      <c r="Z49" s="422">
        <f t="shared" si="49"/>
        <v>0</v>
      </c>
      <c r="AA49" s="422">
        <f t="shared" si="49"/>
        <v>0</v>
      </c>
      <c r="AB49" s="422">
        <f t="shared" si="49"/>
        <v>0</v>
      </c>
      <c r="AC49" s="422">
        <f t="shared" si="49"/>
        <v>-2</v>
      </c>
      <c r="AD49" s="422">
        <f t="shared" ref="AD49:AE49" si="50">SUM(AD50:AD56)</f>
        <v>2</v>
      </c>
      <c r="AE49" s="422">
        <f t="shared" si="50"/>
        <v>0</v>
      </c>
      <c r="AF49" s="422">
        <f>SUM(AF50:AF56)</f>
        <v>0</v>
      </c>
    </row>
    <row r="50" spans="1:32" outlineLevel="1">
      <c r="A50" s="418" t="s">
        <v>662</v>
      </c>
      <c r="B50" s="418" t="s">
        <v>663</v>
      </c>
      <c r="D50" s="423">
        <v>0</v>
      </c>
      <c r="E50" s="423">
        <v>0</v>
      </c>
      <c r="F50" s="423">
        <v>0</v>
      </c>
      <c r="G50" s="423">
        <v>0</v>
      </c>
      <c r="H50" s="423">
        <v>0</v>
      </c>
      <c r="I50" s="423">
        <v>0</v>
      </c>
      <c r="J50" s="423">
        <v>0</v>
      </c>
      <c r="K50" s="423">
        <v>0</v>
      </c>
      <c r="L50" s="423">
        <v>0</v>
      </c>
      <c r="M50" s="423">
        <v>0</v>
      </c>
      <c r="N50" s="423">
        <v>0</v>
      </c>
      <c r="O50" s="423">
        <v>0</v>
      </c>
      <c r="P50" s="423">
        <v>0</v>
      </c>
      <c r="Q50" s="423">
        <v>0</v>
      </c>
      <c r="R50" s="423">
        <v>0</v>
      </c>
      <c r="S50" s="423">
        <v>0</v>
      </c>
      <c r="T50" s="423">
        <v>0</v>
      </c>
      <c r="U50" s="423">
        <v>0</v>
      </c>
      <c r="W50" s="423">
        <f t="shared" ref="W50:W56" si="51">L50</f>
        <v>0</v>
      </c>
      <c r="X50" s="423">
        <f t="shared" ref="X50:X56" si="52">M50-W50</f>
        <v>0</v>
      </c>
      <c r="Y50" s="423">
        <f t="shared" ref="Y50:Z56" si="53">N50-M50</f>
        <v>0</v>
      </c>
      <c r="Z50" s="423">
        <f t="shared" si="53"/>
        <v>0</v>
      </c>
      <c r="AA50" s="423">
        <f t="shared" ref="AA50:AA56" si="54">P50</f>
        <v>0</v>
      </c>
      <c r="AB50" s="423">
        <f t="shared" ref="AB50:AB56" si="55">Q50-AA50</f>
        <v>0</v>
      </c>
      <c r="AC50" s="423">
        <f t="shared" ref="AC50:AD56" si="56">R50-Q50</f>
        <v>0</v>
      </c>
      <c r="AD50" s="423">
        <f t="shared" si="56"/>
        <v>0</v>
      </c>
      <c r="AE50" s="423">
        <f t="shared" ref="AE50:AE56" si="57">T50</f>
        <v>0</v>
      </c>
      <c r="AF50" s="423">
        <f t="shared" ref="AF50:AF56" si="58">U50-T50</f>
        <v>0</v>
      </c>
    </row>
    <row r="51" spans="1:32" outlineLevel="1">
      <c r="A51" s="418" t="s">
        <v>664</v>
      </c>
      <c r="B51" s="418" t="s">
        <v>665</v>
      </c>
      <c r="D51" s="423">
        <v>0</v>
      </c>
      <c r="E51" s="423">
        <v>0</v>
      </c>
      <c r="F51" s="423">
        <v>0</v>
      </c>
      <c r="G51" s="423">
        <v>0</v>
      </c>
      <c r="H51" s="423">
        <v>0</v>
      </c>
      <c r="I51" s="423">
        <v>0</v>
      </c>
      <c r="J51" s="423">
        <v>0</v>
      </c>
      <c r="K51" s="423">
        <v>0</v>
      </c>
      <c r="L51" s="423">
        <v>0</v>
      </c>
      <c r="M51" s="423">
        <v>0</v>
      </c>
      <c r="N51" s="423">
        <v>0</v>
      </c>
      <c r="O51" s="423">
        <v>0</v>
      </c>
      <c r="P51" s="423">
        <v>0</v>
      </c>
      <c r="Q51" s="423">
        <v>0</v>
      </c>
      <c r="R51" s="423">
        <v>0</v>
      </c>
      <c r="S51" s="423">
        <v>0</v>
      </c>
      <c r="T51" s="423">
        <v>0</v>
      </c>
      <c r="U51" s="423">
        <v>0</v>
      </c>
      <c r="W51" s="423">
        <f t="shared" si="51"/>
        <v>0</v>
      </c>
      <c r="X51" s="423">
        <f t="shared" si="52"/>
        <v>0</v>
      </c>
      <c r="Y51" s="423">
        <f t="shared" si="53"/>
        <v>0</v>
      </c>
      <c r="Z51" s="423">
        <f t="shared" si="53"/>
        <v>0</v>
      </c>
      <c r="AA51" s="423">
        <f t="shared" si="54"/>
        <v>0</v>
      </c>
      <c r="AB51" s="423">
        <f t="shared" si="55"/>
        <v>0</v>
      </c>
      <c r="AC51" s="423">
        <f t="shared" si="56"/>
        <v>0</v>
      </c>
      <c r="AD51" s="423">
        <f t="shared" si="56"/>
        <v>0</v>
      </c>
      <c r="AE51" s="423">
        <f t="shared" si="57"/>
        <v>0</v>
      </c>
      <c r="AF51" s="423">
        <f t="shared" si="58"/>
        <v>0</v>
      </c>
    </row>
    <row r="52" spans="1:32" outlineLevel="1">
      <c r="A52" s="418" t="s">
        <v>666</v>
      </c>
      <c r="B52" s="418" t="s">
        <v>667</v>
      </c>
      <c r="D52" s="423">
        <v>0</v>
      </c>
      <c r="E52" s="423">
        <v>0</v>
      </c>
      <c r="F52" s="423">
        <v>0</v>
      </c>
      <c r="G52" s="423">
        <v>0</v>
      </c>
      <c r="H52" s="423">
        <v>0</v>
      </c>
      <c r="I52" s="423">
        <v>0</v>
      </c>
      <c r="J52" s="423">
        <v>0</v>
      </c>
      <c r="K52" s="423">
        <v>0</v>
      </c>
      <c r="L52" s="423">
        <v>0</v>
      </c>
      <c r="M52" s="423">
        <v>0</v>
      </c>
      <c r="N52" s="423">
        <v>0</v>
      </c>
      <c r="O52" s="423">
        <v>0</v>
      </c>
      <c r="P52" s="423">
        <v>0</v>
      </c>
      <c r="Q52" s="423">
        <v>0</v>
      </c>
      <c r="R52" s="423">
        <v>-2</v>
      </c>
      <c r="S52" s="423">
        <v>0</v>
      </c>
      <c r="T52" s="423">
        <v>0</v>
      </c>
      <c r="U52" s="423">
        <v>0</v>
      </c>
      <c r="W52" s="423">
        <f t="shared" si="51"/>
        <v>0</v>
      </c>
      <c r="X52" s="423">
        <f t="shared" si="52"/>
        <v>0</v>
      </c>
      <c r="Y52" s="423">
        <f t="shared" si="53"/>
        <v>0</v>
      </c>
      <c r="Z52" s="423">
        <f t="shared" si="53"/>
        <v>0</v>
      </c>
      <c r="AA52" s="423">
        <f t="shared" si="54"/>
        <v>0</v>
      </c>
      <c r="AB52" s="423">
        <f t="shared" si="55"/>
        <v>0</v>
      </c>
      <c r="AC52" s="423">
        <f t="shared" si="56"/>
        <v>-2</v>
      </c>
      <c r="AD52" s="423">
        <f t="shared" si="56"/>
        <v>2</v>
      </c>
      <c r="AE52" s="423">
        <f t="shared" si="57"/>
        <v>0</v>
      </c>
      <c r="AF52" s="423">
        <f t="shared" si="58"/>
        <v>0</v>
      </c>
    </row>
    <row r="53" spans="1:32" outlineLevel="1">
      <c r="A53" s="418" t="s">
        <v>668</v>
      </c>
      <c r="B53" s="418" t="s">
        <v>669</v>
      </c>
      <c r="D53" s="423">
        <v>0</v>
      </c>
      <c r="E53" s="423">
        <v>0</v>
      </c>
      <c r="F53" s="423">
        <v>0</v>
      </c>
      <c r="G53" s="423">
        <v>0</v>
      </c>
      <c r="H53" s="423">
        <v>0</v>
      </c>
      <c r="I53" s="423">
        <v>0</v>
      </c>
      <c r="J53" s="423">
        <v>0</v>
      </c>
      <c r="K53" s="423">
        <v>0</v>
      </c>
      <c r="L53" s="423">
        <v>0</v>
      </c>
      <c r="M53" s="423">
        <v>0</v>
      </c>
      <c r="N53" s="423">
        <v>0</v>
      </c>
      <c r="O53" s="423">
        <v>0</v>
      </c>
      <c r="P53" s="423">
        <v>0</v>
      </c>
      <c r="Q53" s="423">
        <v>0</v>
      </c>
      <c r="R53" s="423">
        <v>0</v>
      </c>
      <c r="S53" s="423">
        <v>0</v>
      </c>
      <c r="T53" s="423">
        <v>0</v>
      </c>
      <c r="U53" s="423">
        <v>0</v>
      </c>
      <c r="W53" s="423">
        <f t="shared" si="51"/>
        <v>0</v>
      </c>
      <c r="X53" s="423">
        <f t="shared" si="52"/>
        <v>0</v>
      </c>
      <c r="Y53" s="423">
        <f t="shared" si="53"/>
        <v>0</v>
      </c>
      <c r="Z53" s="423">
        <f t="shared" si="53"/>
        <v>0</v>
      </c>
      <c r="AA53" s="423">
        <f t="shared" si="54"/>
        <v>0</v>
      </c>
      <c r="AB53" s="423">
        <f t="shared" si="55"/>
        <v>0</v>
      </c>
      <c r="AC53" s="423">
        <f t="shared" si="56"/>
        <v>0</v>
      </c>
      <c r="AD53" s="423">
        <f t="shared" si="56"/>
        <v>0</v>
      </c>
      <c r="AE53" s="423">
        <f t="shared" si="57"/>
        <v>0</v>
      </c>
      <c r="AF53" s="423">
        <f t="shared" si="58"/>
        <v>0</v>
      </c>
    </row>
    <row r="54" spans="1:32" outlineLevel="1">
      <c r="A54" s="418" t="s">
        <v>670</v>
      </c>
      <c r="B54" s="418" t="s">
        <v>671</v>
      </c>
      <c r="D54" s="423">
        <v>0</v>
      </c>
      <c r="E54" s="423">
        <v>0</v>
      </c>
      <c r="F54" s="423">
        <v>0</v>
      </c>
      <c r="G54" s="423">
        <v>0</v>
      </c>
      <c r="H54" s="423">
        <v>0</v>
      </c>
      <c r="I54" s="423">
        <v>0</v>
      </c>
      <c r="J54" s="423">
        <v>0</v>
      </c>
      <c r="K54" s="423">
        <v>0</v>
      </c>
      <c r="L54" s="423">
        <v>0</v>
      </c>
      <c r="M54" s="423">
        <v>0</v>
      </c>
      <c r="N54" s="423">
        <v>0</v>
      </c>
      <c r="O54" s="423">
        <v>0</v>
      </c>
      <c r="P54" s="423">
        <v>0</v>
      </c>
      <c r="Q54" s="423">
        <v>0</v>
      </c>
      <c r="R54" s="423">
        <v>0</v>
      </c>
      <c r="S54" s="423">
        <v>0</v>
      </c>
      <c r="T54" s="423">
        <v>0</v>
      </c>
      <c r="U54" s="423">
        <v>0</v>
      </c>
      <c r="W54" s="423">
        <f t="shared" si="51"/>
        <v>0</v>
      </c>
      <c r="X54" s="423">
        <f t="shared" si="52"/>
        <v>0</v>
      </c>
      <c r="Y54" s="423">
        <f t="shared" si="53"/>
        <v>0</v>
      </c>
      <c r="Z54" s="423">
        <f t="shared" si="53"/>
        <v>0</v>
      </c>
      <c r="AA54" s="423">
        <f t="shared" si="54"/>
        <v>0</v>
      </c>
      <c r="AB54" s="423">
        <f t="shared" si="55"/>
        <v>0</v>
      </c>
      <c r="AC54" s="423">
        <f t="shared" si="56"/>
        <v>0</v>
      </c>
      <c r="AD54" s="423">
        <f t="shared" si="56"/>
        <v>0</v>
      </c>
      <c r="AE54" s="423">
        <f t="shared" si="57"/>
        <v>0</v>
      </c>
      <c r="AF54" s="423">
        <f t="shared" si="58"/>
        <v>0</v>
      </c>
    </row>
    <row r="55" spans="1:32" outlineLevel="1">
      <c r="A55" s="418" t="s">
        <v>672</v>
      </c>
      <c r="B55" s="418" t="s">
        <v>673</v>
      </c>
      <c r="D55" s="423">
        <v>0</v>
      </c>
      <c r="E55" s="423">
        <v>0</v>
      </c>
      <c r="F55" s="423">
        <v>0</v>
      </c>
      <c r="G55" s="423">
        <v>0</v>
      </c>
      <c r="H55" s="423">
        <v>0</v>
      </c>
      <c r="I55" s="423">
        <v>0</v>
      </c>
      <c r="J55" s="423">
        <v>0</v>
      </c>
      <c r="K55" s="423">
        <v>0</v>
      </c>
      <c r="L55" s="423">
        <v>0</v>
      </c>
      <c r="M55" s="423">
        <v>0</v>
      </c>
      <c r="N55" s="423">
        <v>0</v>
      </c>
      <c r="O55" s="423">
        <v>0</v>
      </c>
      <c r="P55" s="423">
        <v>0</v>
      </c>
      <c r="Q55" s="423">
        <v>0</v>
      </c>
      <c r="R55" s="423">
        <v>0</v>
      </c>
      <c r="S55" s="423">
        <v>0</v>
      </c>
      <c r="T55" s="423">
        <v>0</v>
      </c>
      <c r="U55" s="423">
        <v>0</v>
      </c>
      <c r="W55" s="423">
        <f t="shared" si="51"/>
        <v>0</v>
      </c>
      <c r="X55" s="423">
        <f t="shared" si="52"/>
        <v>0</v>
      </c>
      <c r="Y55" s="423">
        <f t="shared" si="53"/>
        <v>0</v>
      </c>
      <c r="Z55" s="423">
        <f t="shared" si="53"/>
        <v>0</v>
      </c>
      <c r="AA55" s="423">
        <f t="shared" si="54"/>
        <v>0</v>
      </c>
      <c r="AB55" s="423">
        <f t="shared" si="55"/>
        <v>0</v>
      </c>
      <c r="AC55" s="423">
        <f t="shared" si="56"/>
        <v>0</v>
      </c>
      <c r="AD55" s="423">
        <f t="shared" si="56"/>
        <v>0</v>
      </c>
      <c r="AE55" s="423">
        <f t="shared" si="57"/>
        <v>0</v>
      </c>
      <c r="AF55" s="423">
        <f t="shared" si="58"/>
        <v>0</v>
      </c>
    </row>
    <row r="56" spans="1:32" outlineLevel="1">
      <c r="A56" s="418" t="s">
        <v>674</v>
      </c>
      <c r="B56" s="418" t="s">
        <v>675</v>
      </c>
      <c r="D56" s="423">
        <v>0</v>
      </c>
      <c r="E56" s="423">
        <v>0</v>
      </c>
      <c r="F56" s="423">
        <v>0</v>
      </c>
      <c r="G56" s="423">
        <v>0</v>
      </c>
      <c r="H56" s="423">
        <v>0</v>
      </c>
      <c r="I56" s="423">
        <v>0</v>
      </c>
      <c r="J56" s="423">
        <v>0</v>
      </c>
      <c r="K56" s="423">
        <v>0</v>
      </c>
      <c r="L56" s="423">
        <v>0</v>
      </c>
      <c r="M56" s="423">
        <v>0</v>
      </c>
      <c r="N56" s="423">
        <v>0</v>
      </c>
      <c r="O56" s="423">
        <v>0</v>
      </c>
      <c r="P56" s="423">
        <v>0</v>
      </c>
      <c r="Q56" s="423">
        <v>0</v>
      </c>
      <c r="R56" s="423">
        <v>0</v>
      </c>
      <c r="S56" s="423">
        <v>0</v>
      </c>
      <c r="T56" s="423">
        <v>0</v>
      </c>
      <c r="U56" s="423">
        <v>0</v>
      </c>
      <c r="W56" s="423">
        <f t="shared" si="51"/>
        <v>0</v>
      </c>
      <c r="X56" s="423">
        <f t="shared" si="52"/>
        <v>0</v>
      </c>
      <c r="Y56" s="423">
        <f t="shared" si="53"/>
        <v>0</v>
      </c>
      <c r="Z56" s="423">
        <f t="shared" si="53"/>
        <v>0</v>
      </c>
      <c r="AA56" s="423">
        <f t="shared" si="54"/>
        <v>0</v>
      </c>
      <c r="AB56" s="423">
        <f t="shared" si="55"/>
        <v>0</v>
      </c>
      <c r="AC56" s="423">
        <f t="shared" si="56"/>
        <v>0</v>
      </c>
      <c r="AD56" s="423">
        <f t="shared" si="56"/>
        <v>0</v>
      </c>
      <c r="AE56" s="423">
        <f t="shared" si="57"/>
        <v>0</v>
      </c>
      <c r="AF56" s="423">
        <f t="shared" si="58"/>
        <v>0</v>
      </c>
    </row>
    <row r="57" spans="1:32">
      <c r="A57" s="417"/>
      <c r="B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</row>
    <row r="58" spans="1:32">
      <c r="A58" s="429" t="s">
        <v>676</v>
      </c>
      <c r="B58" s="429" t="s">
        <v>677</v>
      </c>
      <c r="D58" s="420">
        <f t="shared" ref="D58:I58" si="59">D39+D41</f>
        <v>0</v>
      </c>
      <c r="E58" s="420">
        <f t="shared" si="59"/>
        <v>0</v>
      </c>
      <c r="F58" s="420">
        <f t="shared" si="59"/>
        <v>0</v>
      </c>
      <c r="G58" s="420">
        <f t="shared" si="59"/>
        <v>0</v>
      </c>
      <c r="H58" s="420">
        <f t="shared" si="59"/>
        <v>0</v>
      </c>
      <c r="I58" s="420">
        <f t="shared" si="59"/>
        <v>0</v>
      </c>
      <c r="J58" s="420">
        <f t="shared" ref="J58:T58" si="60">J39+J41</f>
        <v>0</v>
      </c>
      <c r="K58" s="420">
        <f t="shared" si="60"/>
        <v>0</v>
      </c>
      <c r="L58" s="420">
        <f t="shared" si="60"/>
        <v>0</v>
      </c>
      <c r="M58" s="420">
        <f t="shared" si="60"/>
        <v>0</v>
      </c>
      <c r="N58" s="420">
        <f t="shared" si="60"/>
        <v>0</v>
      </c>
      <c r="O58" s="420">
        <f t="shared" si="60"/>
        <v>0</v>
      </c>
      <c r="P58" s="420">
        <f t="shared" si="60"/>
        <v>0</v>
      </c>
      <c r="Q58" s="420">
        <f t="shared" si="60"/>
        <v>0</v>
      </c>
      <c r="R58" s="420">
        <f t="shared" si="60"/>
        <v>-2</v>
      </c>
      <c r="S58" s="420">
        <f t="shared" si="60"/>
        <v>0</v>
      </c>
      <c r="T58" s="741">
        <f t="shared" si="60"/>
        <v>0</v>
      </c>
      <c r="U58" s="741">
        <f>U39+U41</f>
        <v>0</v>
      </c>
      <c r="W58" s="420">
        <f t="shared" ref="W58:AC58" si="61">W39+W41</f>
        <v>0</v>
      </c>
      <c r="X58" s="420">
        <f t="shared" si="61"/>
        <v>0</v>
      </c>
      <c r="Y58" s="420">
        <f t="shared" si="61"/>
        <v>0</v>
      </c>
      <c r="Z58" s="420">
        <f t="shared" si="61"/>
        <v>0</v>
      </c>
      <c r="AA58" s="420">
        <f t="shared" si="61"/>
        <v>0</v>
      </c>
      <c r="AB58" s="420">
        <f t="shared" si="61"/>
        <v>0</v>
      </c>
      <c r="AC58" s="420">
        <f t="shared" si="61"/>
        <v>-2</v>
      </c>
      <c r="AD58" s="420">
        <f t="shared" ref="AD58:AE58" si="62">AD39+AD41</f>
        <v>2</v>
      </c>
      <c r="AE58" s="420">
        <f t="shared" si="62"/>
        <v>0</v>
      </c>
      <c r="AF58" s="741">
        <f>AF39+AF41</f>
        <v>0</v>
      </c>
    </row>
    <row r="59" spans="1:32">
      <c r="A59" s="417"/>
      <c r="B59" s="417"/>
      <c r="D59" s="417"/>
      <c r="E59" s="417"/>
      <c r="F59" s="417"/>
      <c r="G59" s="417"/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</row>
    <row r="60" spans="1:32">
      <c r="A60" s="416" t="s">
        <v>678</v>
      </c>
      <c r="B60" s="416" t="s">
        <v>679</v>
      </c>
      <c r="D60" s="424">
        <f t="shared" ref="D60:I60" si="63">D62+D68+D69+D78+D79</f>
        <v>626795</v>
      </c>
      <c r="E60" s="424">
        <f t="shared" si="63"/>
        <v>605786</v>
      </c>
      <c r="F60" s="424">
        <f t="shared" si="63"/>
        <v>1174785</v>
      </c>
      <c r="G60" s="424">
        <f t="shared" si="63"/>
        <v>1691380</v>
      </c>
      <c r="H60" s="424">
        <f t="shared" si="63"/>
        <v>477573</v>
      </c>
      <c r="I60" s="424">
        <f t="shared" si="63"/>
        <v>1095701</v>
      </c>
      <c r="J60" s="424">
        <f t="shared" ref="J60:T60" si="64">J62+J68+J69+J78+J79</f>
        <v>1989970</v>
      </c>
      <c r="K60" s="424">
        <f t="shared" si="64"/>
        <v>2676130</v>
      </c>
      <c r="L60" s="424">
        <f t="shared" si="64"/>
        <v>333057</v>
      </c>
      <c r="M60" s="424">
        <f t="shared" si="64"/>
        <v>746149</v>
      </c>
      <c r="N60" s="424">
        <f t="shared" si="64"/>
        <v>1503547</v>
      </c>
      <c r="O60" s="424">
        <f t="shared" si="64"/>
        <v>3100916</v>
      </c>
      <c r="P60" s="424">
        <f t="shared" si="64"/>
        <v>577056</v>
      </c>
      <c r="Q60" s="424">
        <f t="shared" si="64"/>
        <v>1774474</v>
      </c>
      <c r="R60" s="424">
        <f t="shared" si="64"/>
        <v>2434250</v>
      </c>
      <c r="S60" s="424">
        <f t="shared" si="64"/>
        <v>1626546</v>
      </c>
      <c r="T60" s="424">
        <f t="shared" si="64"/>
        <v>449315</v>
      </c>
      <c r="U60" s="424">
        <f>U62+U68+U69+U78+U79</f>
        <v>949619</v>
      </c>
      <c r="W60" s="424">
        <f t="shared" ref="W60:AC60" si="65">W62+W68+W69+W78+W79</f>
        <v>333057</v>
      </c>
      <c r="X60" s="424">
        <f t="shared" si="65"/>
        <v>413092</v>
      </c>
      <c r="Y60" s="424">
        <f t="shared" si="65"/>
        <v>757398</v>
      </c>
      <c r="Z60" s="424">
        <f t="shared" si="65"/>
        <v>1597369</v>
      </c>
      <c r="AA60" s="424">
        <f t="shared" si="65"/>
        <v>577056</v>
      </c>
      <c r="AB60" s="424">
        <f t="shared" si="65"/>
        <v>1197418</v>
      </c>
      <c r="AC60" s="424">
        <f t="shared" si="65"/>
        <v>659776</v>
      </c>
      <c r="AD60" s="424">
        <f t="shared" ref="AD60:AE60" si="66">AD62+AD68+AD69+AD78+AD79</f>
        <v>-807704</v>
      </c>
      <c r="AE60" s="424">
        <f t="shared" si="66"/>
        <v>449315</v>
      </c>
      <c r="AF60" s="424">
        <f>AF62+AF68+AF69+AF78+AF79</f>
        <v>500304</v>
      </c>
    </row>
    <row r="61" spans="1:32">
      <c r="A61" s="416"/>
      <c r="B61" s="416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W61" s="421"/>
      <c r="X61" s="421"/>
      <c r="Y61" s="421"/>
      <c r="Z61" s="421"/>
      <c r="AA61" s="421"/>
      <c r="AB61" s="421"/>
      <c r="AC61" s="421"/>
      <c r="AD61" s="421"/>
      <c r="AE61" s="421"/>
      <c r="AF61" s="421"/>
    </row>
    <row r="62" spans="1:32">
      <c r="A62" s="419" t="s">
        <v>680</v>
      </c>
      <c r="B62" s="419" t="s">
        <v>681</v>
      </c>
      <c r="D62" s="422">
        <f t="shared" ref="D62:I62" si="67">SUM(D63:D67)</f>
        <v>0</v>
      </c>
      <c r="E62" s="422">
        <f t="shared" si="67"/>
        <v>0</v>
      </c>
      <c r="F62" s="422">
        <f t="shared" si="67"/>
        <v>0</v>
      </c>
      <c r="G62" s="422">
        <f t="shared" si="67"/>
        <v>0</v>
      </c>
      <c r="H62" s="422">
        <f t="shared" si="67"/>
        <v>0</v>
      </c>
      <c r="I62" s="422">
        <f t="shared" si="67"/>
        <v>0</v>
      </c>
      <c r="J62" s="422">
        <f t="shared" ref="J62:T62" si="68">SUM(J63:J67)</f>
        <v>0</v>
      </c>
      <c r="K62" s="422">
        <f t="shared" si="68"/>
        <v>0</v>
      </c>
      <c r="L62" s="422">
        <f t="shared" si="68"/>
        <v>0</v>
      </c>
      <c r="M62" s="422">
        <f t="shared" si="68"/>
        <v>-11953</v>
      </c>
      <c r="N62" s="422">
        <f t="shared" si="68"/>
        <v>-11729</v>
      </c>
      <c r="O62" s="422">
        <f t="shared" si="68"/>
        <v>-12890</v>
      </c>
      <c r="P62" s="422">
        <f t="shared" si="68"/>
        <v>-6</v>
      </c>
      <c r="Q62" s="422">
        <f t="shared" si="68"/>
        <v>-16</v>
      </c>
      <c r="R62" s="422">
        <f t="shared" si="68"/>
        <v>-25</v>
      </c>
      <c r="S62" s="422">
        <f t="shared" si="68"/>
        <v>-29</v>
      </c>
      <c r="T62" s="422">
        <f t="shared" si="68"/>
        <v>-17</v>
      </c>
      <c r="U62" s="422">
        <f>SUM(U63:U67)</f>
        <v>-202</v>
      </c>
      <c r="W62" s="422">
        <f t="shared" ref="W62:AC62" si="69">SUM(W63:W67)</f>
        <v>0</v>
      </c>
      <c r="X62" s="422">
        <f t="shared" si="69"/>
        <v>-11953</v>
      </c>
      <c r="Y62" s="422">
        <f t="shared" si="69"/>
        <v>224</v>
      </c>
      <c r="Z62" s="422">
        <f t="shared" si="69"/>
        <v>-1161</v>
      </c>
      <c r="AA62" s="422">
        <f t="shared" si="69"/>
        <v>-6</v>
      </c>
      <c r="AB62" s="422">
        <f t="shared" si="69"/>
        <v>-10</v>
      </c>
      <c r="AC62" s="422">
        <f t="shared" si="69"/>
        <v>-9</v>
      </c>
      <c r="AD62" s="422">
        <f t="shared" ref="AD62:AE62" si="70">SUM(AD63:AD67)</f>
        <v>-4</v>
      </c>
      <c r="AE62" s="422">
        <f t="shared" si="70"/>
        <v>-17</v>
      </c>
      <c r="AF62" s="422">
        <f>SUM(AF63:AF67)</f>
        <v>-185</v>
      </c>
    </row>
    <row r="63" spans="1:32" outlineLevel="1">
      <c r="A63" s="418" t="s">
        <v>682</v>
      </c>
      <c r="B63" s="418" t="s">
        <v>683</v>
      </c>
      <c r="D63" s="423">
        <v>0</v>
      </c>
      <c r="E63" s="423">
        <v>0</v>
      </c>
      <c r="F63" s="423">
        <v>0</v>
      </c>
      <c r="G63" s="423">
        <v>0</v>
      </c>
      <c r="H63" s="423">
        <v>0</v>
      </c>
      <c r="I63" s="423">
        <v>0</v>
      </c>
      <c r="J63" s="423">
        <v>0</v>
      </c>
      <c r="K63" s="423">
        <v>0</v>
      </c>
      <c r="L63" s="423">
        <v>0</v>
      </c>
      <c r="M63" s="423">
        <v>-725</v>
      </c>
      <c r="N63" s="423">
        <v>-321</v>
      </c>
      <c r="O63" s="423">
        <v>-495</v>
      </c>
      <c r="P63" s="423">
        <v>10</v>
      </c>
      <c r="Q63" s="423">
        <v>-2</v>
      </c>
      <c r="R63" s="423">
        <v>-11</v>
      </c>
      <c r="S63" s="423">
        <v>-14</v>
      </c>
      <c r="T63" s="423">
        <v>0</v>
      </c>
      <c r="U63" s="423">
        <v>0</v>
      </c>
      <c r="W63" s="423">
        <f t="shared" ref="W63:W68" si="71">L63</f>
        <v>0</v>
      </c>
      <c r="X63" s="423">
        <f t="shared" ref="X63:X68" si="72">M63-W63</f>
        <v>-725</v>
      </c>
      <c r="Y63" s="423">
        <f t="shared" ref="Y63:Z68" si="73">N63-M63</f>
        <v>404</v>
      </c>
      <c r="Z63" s="423">
        <f t="shared" si="73"/>
        <v>-174</v>
      </c>
      <c r="AA63" s="423">
        <f t="shared" ref="AA63:AA68" si="74">P63</f>
        <v>10</v>
      </c>
      <c r="AB63" s="423">
        <f t="shared" ref="AB63:AB68" si="75">Q63-AA63</f>
        <v>-12</v>
      </c>
      <c r="AC63" s="423">
        <f t="shared" ref="AC63:AD68" si="76">R63-Q63</f>
        <v>-9</v>
      </c>
      <c r="AD63" s="423">
        <f t="shared" si="76"/>
        <v>-3</v>
      </c>
      <c r="AE63" s="423">
        <f t="shared" ref="AE63:AE68" si="77">T63</f>
        <v>0</v>
      </c>
      <c r="AF63" s="423">
        <f t="shared" ref="AF63:AF68" si="78">U63-T63</f>
        <v>0</v>
      </c>
    </row>
    <row r="64" spans="1:32" outlineLevel="1">
      <c r="A64" s="418" t="s">
        <v>684</v>
      </c>
      <c r="B64" s="418" t="s">
        <v>685</v>
      </c>
      <c r="D64" s="423">
        <v>0</v>
      </c>
      <c r="E64" s="423">
        <v>0</v>
      </c>
      <c r="F64" s="423">
        <v>0</v>
      </c>
      <c r="G64" s="423">
        <v>0</v>
      </c>
      <c r="H64" s="423">
        <v>0</v>
      </c>
      <c r="I64" s="423">
        <v>0</v>
      </c>
      <c r="J64" s="423">
        <v>0</v>
      </c>
      <c r="K64" s="423">
        <v>0</v>
      </c>
      <c r="L64" s="423">
        <v>0</v>
      </c>
      <c r="M64" s="423">
        <v>0</v>
      </c>
      <c r="N64" s="423">
        <v>0</v>
      </c>
      <c r="O64" s="423">
        <v>-8</v>
      </c>
      <c r="P64" s="423">
        <v>0</v>
      </c>
      <c r="Q64" s="423">
        <v>0</v>
      </c>
      <c r="R64" s="423">
        <v>0</v>
      </c>
      <c r="S64" s="423">
        <v>0</v>
      </c>
      <c r="T64" s="423">
        <v>0</v>
      </c>
      <c r="U64" s="423">
        <v>-1</v>
      </c>
      <c r="W64" s="423">
        <f t="shared" si="71"/>
        <v>0</v>
      </c>
      <c r="X64" s="423">
        <f t="shared" si="72"/>
        <v>0</v>
      </c>
      <c r="Y64" s="423">
        <f t="shared" si="73"/>
        <v>0</v>
      </c>
      <c r="Z64" s="423">
        <f t="shared" si="73"/>
        <v>-8</v>
      </c>
      <c r="AA64" s="423">
        <f t="shared" si="74"/>
        <v>0</v>
      </c>
      <c r="AB64" s="423">
        <f t="shared" si="75"/>
        <v>0</v>
      </c>
      <c r="AC64" s="423">
        <f t="shared" si="76"/>
        <v>0</v>
      </c>
      <c r="AD64" s="423">
        <f t="shared" si="76"/>
        <v>0</v>
      </c>
      <c r="AE64" s="423">
        <f t="shared" si="77"/>
        <v>0</v>
      </c>
      <c r="AF64" s="423">
        <f t="shared" si="78"/>
        <v>-1</v>
      </c>
    </row>
    <row r="65" spans="1:32" outlineLevel="1">
      <c r="A65" s="418" t="s">
        <v>686</v>
      </c>
      <c r="B65" s="418" t="s">
        <v>687</v>
      </c>
      <c r="D65" s="423">
        <v>0</v>
      </c>
      <c r="E65" s="423">
        <v>0</v>
      </c>
      <c r="F65" s="423">
        <v>0</v>
      </c>
      <c r="G65" s="423">
        <v>0</v>
      </c>
      <c r="H65" s="423">
        <v>0</v>
      </c>
      <c r="I65" s="423">
        <v>0</v>
      </c>
      <c r="J65" s="423">
        <v>0</v>
      </c>
      <c r="K65" s="423">
        <v>0</v>
      </c>
      <c r="L65" s="423">
        <v>0</v>
      </c>
      <c r="M65" s="423">
        <v>-11228</v>
      </c>
      <c r="N65" s="423">
        <v>-11408</v>
      </c>
      <c r="O65" s="423">
        <v>-12387</v>
      </c>
      <c r="P65" s="423">
        <v>-16</v>
      </c>
      <c r="Q65" s="423">
        <v>-14</v>
      </c>
      <c r="R65" s="423">
        <v>-14</v>
      </c>
      <c r="S65" s="423">
        <v>-15</v>
      </c>
      <c r="T65" s="423">
        <v>-17</v>
      </c>
      <c r="U65" s="423">
        <v>-46</v>
      </c>
      <c r="W65" s="423">
        <f t="shared" si="71"/>
        <v>0</v>
      </c>
      <c r="X65" s="423">
        <f t="shared" si="72"/>
        <v>-11228</v>
      </c>
      <c r="Y65" s="423">
        <f t="shared" si="73"/>
        <v>-180</v>
      </c>
      <c r="Z65" s="423">
        <f t="shared" si="73"/>
        <v>-979</v>
      </c>
      <c r="AA65" s="423">
        <f t="shared" si="74"/>
        <v>-16</v>
      </c>
      <c r="AB65" s="423">
        <f t="shared" si="75"/>
        <v>2</v>
      </c>
      <c r="AC65" s="423">
        <f t="shared" si="76"/>
        <v>0</v>
      </c>
      <c r="AD65" s="423">
        <f t="shared" si="76"/>
        <v>-1</v>
      </c>
      <c r="AE65" s="423">
        <f t="shared" si="77"/>
        <v>-17</v>
      </c>
      <c r="AF65" s="423">
        <f t="shared" si="78"/>
        <v>-29</v>
      </c>
    </row>
    <row r="66" spans="1:32" outlineLevel="1">
      <c r="A66" s="418" t="s">
        <v>688</v>
      </c>
      <c r="B66" s="418" t="s">
        <v>689</v>
      </c>
      <c r="D66" s="423">
        <v>0</v>
      </c>
      <c r="E66" s="423">
        <v>0</v>
      </c>
      <c r="F66" s="423">
        <v>0</v>
      </c>
      <c r="G66" s="423">
        <v>0</v>
      </c>
      <c r="H66" s="423">
        <v>0</v>
      </c>
      <c r="I66" s="423">
        <v>0</v>
      </c>
      <c r="J66" s="423">
        <v>0</v>
      </c>
      <c r="K66" s="423">
        <v>0</v>
      </c>
      <c r="L66" s="423">
        <v>0</v>
      </c>
      <c r="M66" s="423">
        <v>0</v>
      </c>
      <c r="N66" s="423">
        <v>0</v>
      </c>
      <c r="O66" s="423">
        <v>0</v>
      </c>
      <c r="P66" s="423">
        <v>0</v>
      </c>
      <c r="Q66" s="423">
        <v>0</v>
      </c>
      <c r="R66" s="423">
        <v>0</v>
      </c>
      <c r="S66" s="423">
        <v>0</v>
      </c>
      <c r="T66" s="423">
        <v>0</v>
      </c>
      <c r="U66" s="423">
        <v>0</v>
      </c>
      <c r="W66" s="423">
        <f t="shared" si="71"/>
        <v>0</v>
      </c>
      <c r="X66" s="423">
        <f t="shared" si="72"/>
        <v>0</v>
      </c>
      <c r="Y66" s="423">
        <f t="shared" si="73"/>
        <v>0</v>
      </c>
      <c r="Z66" s="423">
        <f t="shared" si="73"/>
        <v>0</v>
      </c>
      <c r="AA66" s="423">
        <f t="shared" si="74"/>
        <v>0</v>
      </c>
      <c r="AB66" s="423">
        <f t="shared" si="75"/>
        <v>0</v>
      </c>
      <c r="AC66" s="423">
        <f t="shared" si="76"/>
        <v>0</v>
      </c>
      <c r="AD66" s="423">
        <f t="shared" si="76"/>
        <v>0</v>
      </c>
      <c r="AE66" s="423">
        <f t="shared" si="77"/>
        <v>0</v>
      </c>
      <c r="AF66" s="423">
        <f t="shared" si="78"/>
        <v>0</v>
      </c>
    </row>
    <row r="67" spans="1:32" outlineLevel="1">
      <c r="A67" s="418" t="s">
        <v>690</v>
      </c>
      <c r="B67" s="418" t="s">
        <v>691</v>
      </c>
      <c r="D67" s="423">
        <v>0</v>
      </c>
      <c r="E67" s="423">
        <v>0</v>
      </c>
      <c r="F67" s="423">
        <v>0</v>
      </c>
      <c r="G67" s="423">
        <v>0</v>
      </c>
      <c r="H67" s="423">
        <v>0</v>
      </c>
      <c r="I67" s="423">
        <v>0</v>
      </c>
      <c r="J67" s="423">
        <v>0</v>
      </c>
      <c r="K67" s="423">
        <v>0</v>
      </c>
      <c r="L67" s="423">
        <v>0</v>
      </c>
      <c r="M67" s="423">
        <v>0</v>
      </c>
      <c r="N67" s="423">
        <v>0</v>
      </c>
      <c r="O67" s="423">
        <v>0</v>
      </c>
      <c r="P67" s="423">
        <v>0</v>
      </c>
      <c r="Q67" s="423">
        <v>0</v>
      </c>
      <c r="R67" s="423">
        <v>0</v>
      </c>
      <c r="S67" s="423">
        <v>0</v>
      </c>
      <c r="T67" s="423">
        <v>0</v>
      </c>
      <c r="U67" s="423">
        <v>-155</v>
      </c>
      <c r="W67" s="423">
        <f t="shared" si="71"/>
        <v>0</v>
      </c>
      <c r="X67" s="423">
        <f t="shared" si="72"/>
        <v>0</v>
      </c>
      <c r="Y67" s="423">
        <f t="shared" si="73"/>
        <v>0</v>
      </c>
      <c r="Z67" s="423">
        <f t="shared" si="73"/>
        <v>0</v>
      </c>
      <c r="AA67" s="423">
        <f t="shared" si="74"/>
        <v>0</v>
      </c>
      <c r="AB67" s="423">
        <f t="shared" si="75"/>
        <v>0</v>
      </c>
      <c r="AC67" s="423">
        <f t="shared" si="76"/>
        <v>0</v>
      </c>
      <c r="AD67" s="423">
        <f t="shared" si="76"/>
        <v>0</v>
      </c>
      <c r="AE67" s="423">
        <f t="shared" si="77"/>
        <v>0</v>
      </c>
      <c r="AF67" s="423">
        <f t="shared" si="78"/>
        <v>-155</v>
      </c>
    </row>
    <row r="68" spans="1:32">
      <c r="A68" s="417" t="s">
        <v>692</v>
      </c>
      <c r="B68" s="417" t="s">
        <v>693</v>
      </c>
      <c r="D68" s="425">
        <v>0</v>
      </c>
      <c r="E68" s="425">
        <v>0</v>
      </c>
      <c r="F68" s="425">
        <v>0</v>
      </c>
      <c r="G68" s="425">
        <v>0</v>
      </c>
      <c r="H68" s="425">
        <v>0</v>
      </c>
      <c r="I68" s="425">
        <v>0</v>
      </c>
      <c r="J68" s="425">
        <v>0</v>
      </c>
      <c r="K68" s="425">
        <v>0</v>
      </c>
      <c r="L68" s="425">
        <v>0</v>
      </c>
      <c r="M68" s="425">
        <v>0</v>
      </c>
      <c r="N68" s="425">
        <v>0</v>
      </c>
      <c r="O68" s="425">
        <v>0</v>
      </c>
      <c r="P68" s="425">
        <v>0</v>
      </c>
      <c r="Q68" s="425">
        <v>0</v>
      </c>
      <c r="R68" s="425">
        <v>0</v>
      </c>
      <c r="S68" s="425">
        <v>0</v>
      </c>
      <c r="T68" s="425">
        <v>0</v>
      </c>
      <c r="U68" s="756">
        <v>0</v>
      </c>
      <c r="W68" s="425">
        <f t="shared" si="71"/>
        <v>0</v>
      </c>
      <c r="X68" s="425">
        <f t="shared" si="72"/>
        <v>0</v>
      </c>
      <c r="Y68" s="425">
        <f t="shared" si="73"/>
        <v>0</v>
      </c>
      <c r="Z68" s="425">
        <f t="shared" si="73"/>
        <v>0</v>
      </c>
      <c r="AA68" s="425">
        <f t="shared" si="74"/>
        <v>0</v>
      </c>
      <c r="AB68" s="425">
        <f t="shared" si="75"/>
        <v>0</v>
      </c>
      <c r="AC68" s="425">
        <f t="shared" si="76"/>
        <v>0</v>
      </c>
      <c r="AD68" s="425">
        <f t="shared" si="76"/>
        <v>0</v>
      </c>
      <c r="AE68" s="425">
        <f t="shared" si="77"/>
        <v>0</v>
      </c>
      <c r="AF68" s="756">
        <f t="shared" si="78"/>
        <v>0</v>
      </c>
    </row>
    <row r="69" spans="1:32">
      <c r="A69" s="417" t="s">
        <v>694</v>
      </c>
      <c r="B69" s="417" t="s">
        <v>695</v>
      </c>
      <c r="D69" s="422">
        <f t="shared" ref="D69:I69" si="79">SUM(D70:D77)</f>
        <v>-51794</v>
      </c>
      <c r="E69" s="422">
        <f t="shared" si="79"/>
        <v>-92169</v>
      </c>
      <c r="F69" s="422">
        <f t="shared" si="79"/>
        <v>-129967</v>
      </c>
      <c r="G69" s="422">
        <f t="shared" si="79"/>
        <v>-168895</v>
      </c>
      <c r="H69" s="422">
        <f t="shared" si="79"/>
        <v>-39673</v>
      </c>
      <c r="I69" s="422">
        <f t="shared" si="79"/>
        <v>-67224</v>
      </c>
      <c r="J69" s="422">
        <f t="shared" ref="J69:T69" si="80">SUM(J70:J77)</f>
        <v>-99181</v>
      </c>
      <c r="K69" s="422">
        <f t="shared" si="80"/>
        <v>-125960</v>
      </c>
      <c r="L69" s="422">
        <f t="shared" si="80"/>
        <v>-40061</v>
      </c>
      <c r="M69" s="422">
        <f t="shared" si="80"/>
        <v>-67820</v>
      </c>
      <c r="N69" s="422">
        <f t="shared" si="80"/>
        <v>-96145</v>
      </c>
      <c r="O69" s="422">
        <f t="shared" si="80"/>
        <v>-143204</v>
      </c>
      <c r="P69" s="422">
        <f t="shared" si="80"/>
        <v>-40774</v>
      </c>
      <c r="Q69" s="422">
        <f t="shared" si="80"/>
        <v>-69902</v>
      </c>
      <c r="R69" s="422">
        <f t="shared" si="80"/>
        <v>-98964</v>
      </c>
      <c r="S69" s="422">
        <f t="shared" si="80"/>
        <v>-243742</v>
      </c>
      <c r="T69" s="422">
        <f t="shared" si="80"/>
        <v>-59273</v>
      </c>
      <c r="U69" s="422">
        <f>SUM(U70:U77)</f>
        <v>-131441</v>
      </c>
      <c r="W69" s="422">
        <f t="shared" ref="W69:AC69" si="81">SUM(W70:W77)</f>
        <v>-40061</v>
      </c>
      <c r="X69" s="422">
        <f t="shared" si="81"/>
        <v>-27759</v>
      </c>
      <c r="Y69" s="422">
        <f t="shared" si="81"/>
        <v>-28325</v>
      </c>
      <c r="Z69" s="422">
        <f t="shared" si="81"/>
        <v>-47059</v>
      </c>
      <c r="AA69" s="422">
        <f t="shared" si="81"/>
        <v>-40774</v>
      </c>
      <c r="AB69" s="422">
        <f t="shared" si="81"/>
        <v>-29128</v>
      </c>
      <c r="AC69" s="422">
        <f t="shared" si="81"/>
        <v>-29062</v>
      </c>
      <c r="AD69" s="422">
        <f t="shared" ref="AD69:AE69" si="82">SUM(AD70:AD77)</f>
        <v>-144778</v>
      </c>
      <c r="AE69" s="422">
        <f t="shared" si="82"/>
        <v>-59273</v>
      </c>
      <c r="AF69" s="422">
        <f>SUM(AF70:AF77)</f>
        <v>-72168</v>
      </c>
    </row>
    <row r="70" spans="1:32" outlineLevel="1">
      <c r="A70" s="418" t="s">
        <v>696</v>
      </c>
      <c r="B70" s="418" t="s">
        <v>697</v>
      </c>
      <c r="D70" s="423">
        <v>-6300</v>
      </c>
      <c r="E70" s="423">
        <v>-12272</v>
      </c>
      <c r="F70" s="423">
        <v>-18831</v>
      </c>
      <c r="G70" s="423">
        <v>-25084</v>
      </c>
      <c r="H70" s="423">
        <v>-6335</v>
      </c>
      <c r="I70" s="423">
        <v>-14392</v>
      </c>
      <c r="J70" s="423">
        <v>-23668</v>
      </c>
      <c r="K70" s="423">
        <v>-35135</v>
      </c>
      <c r="L70" s="423">
        <v>-15749</v>
      </c>
      <c r="M70" s="423">
        <v>-25208</v>
      </c>
      <c r="N70" s="423">
        <v>-38144</v>
      </c>
      <c r="O70" s="423">
        <v>-60582</v>
      </c>
      <c r="P70" s="423">
        <v>-22405</v>
      </c>
      <c r="Q70" s="423">
        <v>-36745</v>
      </c>
      <c r="R70" s="423">
        <v>-47380</v>
      </c>
      <c r="S70" s="423">
        <v>-65963</v>
      </c>
      <c r="T70" s="423">
        <v>-17490</v>
      </c>
      <c r="U70" s="423">
        <v>-32747</v>
      </c>
      <c r="W70" s="423">
        <f t="shared" ref="W70:W78" si="83">L70</f>
        <v>-15749</v>
      </c>
      <c r="X70" s="423">
        <f t="shared" ref="X70:X78" si="84">M70-W70</f>
        <v>-9459</v>
      </c>
      <c r="Y70" s="423">
        <f t="shared" ref="Y70:Y78" si="85">N70-M70</f>
        <v>-12936</v>
      </c>
      <c r="Z70" s="423">
        <f t="shared" ref="Z70:Z78" si="86">O70-N70</f>
        <v>-22438</v>
      </c>
      <c r="AA70" s="423">
        <f t="shared" ref="AA70:AA78" si="87">P70</f>
        <v>-22405</v>
      </c>
      <c r="AB70" s="423">
        <f t="shared" ref="AB70:AB78" si="88">Q70-AA70</f>
        <v>-14340</v>
      </c>
      <c r="AC70" s="423">
        <f t="shared" ref="AC70:AC78" si="89">R70-Q70</f>
        <v>-10635</v>
      </c>
      <c r="AD70" s="423">
        <f t="shared" ref="AD70:AD78" si="90">S70-R70</f>
        <v>-18583</v>
      </c>
      <c r="AE70" s="423">
        <f t="shared" ref="AE70:AE78" si="91">T70</f>
        <v>-17490</v>
      </c>
      <c r="AF70" s="423">
        <f t="shared" ref="AF70:AF78" si="92">U70-T70</f>
        <v>-15257</v>
      </c>
    </row>
    <row r="71" spans="1:32" outlineLevel="1">
      <c r="A71" s="418" t="s">
        <v>698</v>
      </c>
      <c r="B71" s="418" t="s">
        <v>699</v>
      </c>
      <c r="D71" s="423">
        <v>-32</v>
      </c>
      <c r="E71" s="423">
        <v>-74</v>
      </c>
      <c r="F71" s="423">
        <v>-126</v>
      </c>
      <c r="G71" s="423">
        <v>-211</v>
      </c>
      <c r="H71" s="423">
        <v>-93</v>
      </c>
      <c r="I71" s="423">
        <v>-170</v>
      </c>
      <c r="J71" s="423">
        <v>-214</v>
      </c>
      <c r="K71" s="423">
        <v>-257</v>
      </c>
      <c r="L71" s="423">
        <v>-62</v>
      </c>
      <c r="M71" s="423">
        <v>-124</v>
      </c>
      <c r="N71" s="423">
        <v>-196</v>
      </c>
      <c r="O71" s="423">
        <v>-277</v>
      </c>
      <c r="P71" s="423">
        <v>-61</v>
      </c>
      <c r="Q71" s="423">
        <v>-123</v>
      </c>
      <c r="R71" s="423">
        <v>-260</v>
      </c>
      <c r="S71" s="423">
        <v>-346</v>
      </c>
      <c r="T71" s="423">
        <v>-63</v>
      </c>
      <c r="U71" s="423">
        <v>-199</v>
      </c>
      <c r="W71" s="423">
        <f t="shared" si="83"/>
        <v>-62</v>
      </c>
      <c r="X71" s="423">
        <f t="shared" si="84"/>
        <v>-62</v>
      </c>
      <c r="Y71" s="423">
        <f t="shared" si="85"/>
        <v>-72</v>
      </c>
      <c r="Z71" s="423">
        <f t="shared" si="86"/>
        <v>-81</v>
      </c>
      <c r="AA71" s="423">
        <f t="shared" si="87"/>
        <v>-61</v>
      </c>
      <c r="AB71" s="423">
        <f t="shared" si="88"/>
        <v>-62</v>
      </c>
      <c r="AC71" s="423">
        <f t="shared" si="89"/>
        <v>-137</v>
      </c>
      <c r="AD71" s="423">
        <f t="shared" si="90"/>
        <v>-86</v>
      </c>
      <c r="AE71" s="423">
        <f t="shared" si="91"/>
        <v>-63</v>
      </c>
      <c r="AF71" s="423">
        <f t="shared" si="92"/>
        <v>-136</v>
      </c>
    </row>
    <row r="72" spans="1:32" outlineLevel="1">
      <c r="A72" s="418" t="s">
        <v>700</v>
      </c>
      <c r="B72" s="418" t="s">
        <v>701</v>
      </c>
      <c r="D72" s="423">
        <v>-19753</v>
      </c>
      <c r="E72" s="423">
        <v>-29616</v>
      </c>
      <c r="F72" s="423">
        <v>-37511</v>
      </c>
      <c r="G72" s="423">
        <v>-45142</v>
      </c>
      <c r="H72" s="423">
        <v>-11602</v>
      </c>
      <c r="I72" s="423">
        <v>-20026</v>
      </c>
      <c r="J72" s="423">
        <v>-26334</v>
      </c>
      <c r="K72" s="423">
        <v>-30507</v>
      </c>
      <c r="L72" s="423">
        <v>-12554</v>
      </c>
      <c r="M72" s="423">
        <v>-20830</v>
      </c>
      <c r="N72" s="423">
        <v>-27224</v>
      </c>
      <c r="O72" s="423">
        <v>-41552</v>
      </c>
      <c r="P72" s="423">
        <v>-7471</v>
      </c>
      <c r="Q72" s="423">
        <v>-13672</v>
      </c>
      <c r="R72" s="423">
        <v>-20315</v>
      </c>
      <c r="S72" s="423">
        <v>-66552</v>
      </c>
      <c r="T72" s="423">
        <v>-6027</v>
      </c>
      <c r="U72" s="423">
        <v>-11256</v>
      </c>
      <c r="W72" s="423">
        <f t="shared" si="83"/>
        <v>-12554</v>
      </c>
      <c r="X72" s="423">
        <f t="shared" si="84"/>
        <v>-8276</v>
      </c>
      <c r="Y72" s="423">
        <f t="shared" si="85"/>
        <v>-6394</v>
      </c>
      <c r="Z72" s="423">
        <f t="shared" si="86"/>
        <v>-14328</v>
      </c>
      <c r="AA72" s="423">
        <f t="shared" si="87"/>
        <v>-7471</v>
      </c>
      <c r="AB72" s="423">
        <f t="shared" si="88"/>
        <v>-6201</v>
      </c>
      <c r="AC72" s="423">
        <f t="shared" si="89"/>
        <v>-6643</v>
      </c>
      <c r="AD72" s="423">
        <f t="shared" si="90"/>
        <v>-46237</v>
      </c>
      <c r="AE72" s="423">
        <f t="shared" si="91"/>
        <v>-6027</v>
      </c>
      <c r="AF72" s="423">
        <f t="shared" si="92"/>
        <v>-5229</v>
      </c>
    </row>
    <row r="73" spans="1:32" outlineLevel="1">
      <c r="A73" s="418" t="s">
        <v>702</v>
      </c>
      <c r="B73" s="418" t="s">
        <v>703</v>
      </c>
      <c r="D73" s="423">
        <v>24</v>
      </c>
      <c r="E73" s="423">
        <v>21</v>
      </c>
      <c r="F73" s="423">
        <v>-72</v>
      </c>
      <c r="G73" s="423">
        <v>-72</v>
      </c>
      <c r="H73" s="423">
        <v>0</v>
      </c>
      <c r="I73" s="423">
        <v>-2</v>
      </c>
      <c r="J73" s="423">
        <v>-31</v>
      </c>
      <c r="K73" s="423">
        <v>-65</v>
      </c>
      <c r="L73" s="423">
        <v>-21</v>
      </c>
      <c r="M73" s="423">
        <v>-57</v>
      </c>
      <c r="N73" s="423">
        <v>-113</v>
      </c>
      <c r="O73" s="423">
        <v>-156</v>
      </c>
      <c r="P73" s="423">
        <v>-20</v>
      </c>
      <c r="Q73" s="423">
        <v>-101</v>
      </c>
      <c r="R73" s="423">
        <v>-157</v>
      </c>
      <c r="S73" s="423">
        <v>-216</v>
      </c>
      <c r="T73" s="423">
        <v>-54</v>
      </c>
      <c r="U73" s="423">
        <v>-117</v>
      </c>
      <c r="W73" s="423">
        <f t="shared" si="83"/>
        <v>-21</v>
      </c>
      <c r="X73" s="423">
        <f t="shared" si="84"/>
        <v>-36</v>
      </c>
      <c r="Y73" s="423">
        <f t="shared" si="85"/>
        <v>-56</v>
      </c>
      <c r="Z73" s="423">
        <f t="shared" si="86"/>
        <v>-43</v>
      </c>
      <c r="AA73" s="423">
        <f t="shared" si="87"/>
        <v>-20</v>
      </c>
      <c r="AB73" s="423">
        <f t="shared" si="88"/>
        <v>-81</v>
      </c>
      <c r="AC73" s="423">
        <f t="shared" si="89"/>
        <v>-56</v>
      </c>
      <c r="AD73" s="423">
        <f t="shared" si="90"/>
        <v>-59</v>
      </c>
      <c r="AE73" s="423">
        <f t="shared" si="91"/>
        <v>-54</v>
      </c>
      <c r="AF73" s="423">
        <f t="shared" si="92"/>
        <v>-63</v>
      </c>
    </row>
    <row r="74" spans="1:32" outlineLevel="1">
      <c r="A74" s="418" t="s">
        <v>704</v>
      </c>
      <c r="B74" s="418" t="s">
        <v>705</v>
      </c>
      <c r="D74" s="423">
        <v>-1396</v>
      </c>
      <c r="E74" s="423">
        <v>-1561</v>
      </c>
      <c r="F74" s="423">
        <v>-433</v>
      </c>
      <c r="G74" s="423">
        <v>-1065</v>
      </c>
      <c r="H74" s="423">
        <v>-1831</v>
      </c>
      <c r="I74" s="423">
        <v>-2042</v>
      </c>
      <c r="J74" s="423">
        <v>-7562</v>
      </c>
      <c r="K74" s="423">
        <v>-7800</v>
      </c>
      <c r="L74" s="423">
        <v>-892</v>
      </c>
      <c r="M74" s="423">
        <v>-1194</v>
      </c>
      <c r="N74" s="423">
        <v>-437</v>
      </c>
      <c r="O74" s="423">
        <v>-886</v>
      </c>
      <c r="P74" s="423">
        <v>-885</v>
      </c>
      <c r="Q74" s="423">
        <v>603</v>
      </c>
      <c r="R74" s="423">
        <v>-1055</v>
      </c>
      <c r="S74" s="423">
        <v>-1020</v>
      </c>
      <c r="T74" s="423">
        <v>-1582</v>
      </c>
      <c r="U74" s="423">
        <v>-1760</v>
      </c>
      <c r="W74" s="423">
        <f t="shared" si="83"/>
        <v>-892</v>
      </c>
      <c r="X74" s="423">
        <f t="shared" si="84"/>
        <v>-302</v>
      </c>
      <c r="Y74" s="423">
        <f t="shared" si="85"/>
        <v>757</v>
      </c>
      <c r="Z74" s="423">
        <f t="shared" si="86"/>
        <v>-449</v>
      </c>
      <c r="AA74" s="423">
        <f t="shared" si="87"/>
        <v>-885</v>
      </c>
      <c r="AB74" s="423">
        <f t="shared" si="88"/>
        <v>1488</v>
      </c>
      <c r="AC74" s="423">
        <f t="shared" si="89"/>
        <v>-1658</v>
      </c>
      <c r="AD74" s="423">
        <f t="shared" si="90"/>
        <v>35</v>
      </c>
      <c r="AE74" s="423">
        <f t="shared" si="91"/>
        <v>-1582</v>
      </c>
      <c r="AF74" s="423">
        <f t="shared" si="92"/>
        <v>-178</v>
      </c>
    </row>
    <row r="75" spans="1:32" outlineLevel="1">
      <c r="A75" s="418" t="s">
        <v>706</v>
      </c>
      <c r="B75" s="418" t="s">
        <v>707</v>
      </c>
      <c r="D75" s="423">
        <v>0</v>
      </c>
      <c r="E75" s="423">
        <v>0</v>
      </c>
      <c r="F75" s="423">
        <v>0</v>
      </c>
      <c r="G75" s="423">
        <v>0</v>
      </c>
      <c r="H75" s="423">
        <v>0</v>
      </c>
      <c r="I75" s="423">
        <v>0</v>
      </c>
      <c r="J75" s="423">
        <v>0</v>
      </c>
      <c r="K75" s="423">
        <v>0</v>
      </c>
      <c r="L75" s="423">
        <v>0</v>
      </c>
      <c r="M75" s="423">
        <v>0</v>
      </c>
      <c r="N75" s="423">
        <v>0</v>
      </c>
      <c r="O75" s="423">
        <v>0</v>
      </c>
      <c r="P75" s="423">
        <v>0</v>
      </c>
      <c r="Q75" s="423">
        <v>0</v>
      </c>
      <c r="R75" s="423">
        <v>0</v>
      </c>
      <c r="S75" s="423">
        <v>0</v>
      </c>
      <c r="T75" s="423">
        <v>0</v>
      </c>
      <c r="U75" s="423">
        <v>0</v>
      </c>
      <c r="W75" s="423">
        <f t="shared" si="83"/>
        <v>0</v>
      </c>
      <c r="X75" s="423">
        <f t="shared" si="84"/>
        <v>0</v>
      </c>
      <c r="Y75" s="423">
        <f t="shared" si="85"/>
        <v>0</v>
      </c>
      <c r="Z75" s="423">
        <f t="shared" si="86"/>
        <v>0</v>
      </c>
      <c r="AA75" s="423">
        <f t="shared" si="87"/>
        <v>0</v>
      </c>
      <c r="AB75" s="423">
        <f t="shared" si="88"/>
        <v>0</v>
      </c>
      <c r="AC75" s="423">
        <f t="shared" si="89"/>
        <v>0</v>
      </c>
      <c r="AD75" s="423">
        <f t="shared" si="90"/>
        <v>0</v>
      </c>
      <c r="AE75" s="423">
        <f t="shared" si="91"/>
        <v>0</v>
      </c>
      <c r="AF75" s="423">
        <f t="shared" si="92"/>
        <v>0</v>
      </c>
    </row>
    <row r="76" spans="1:32" outlineLevel="1">
      <c r="A76" s="418" t="s">
        <v>708</v>
      </c>
      <c r="B76" s="418" t="s">
        <v>709</v>
      </c>
      <c r="D76" s="423">
        <v>-59</v>
      </c>
      <c r="E76" s="423">
        <v>-77</v>
      </c>
      <c r="F76" s="423">
        <v>-95</v>
      </c>
      <c r="G76" s="423">
        <v>-113</v>
      </c>
      <c r="H76" s="423">
        <v>-18</v>
      </c>
      <c r="I76" s="423">
        <v>-36</v>
      </c>
      <c r="J76" s="423">
        <v>-54</v>
      </c>
      <c r="K76" s="423">
        <v>-115</v>
      </c>
      <c r="L76" s="423">
        <v>-21</v>
      </c>
      <c r="M76" s="423">
        <v>-42</v>
      </c>
      <c r="N76" s="423">
        <v>-63</v>
      </c>
      <c r="O76" s="423">
        <v>-180</v>
      </c>
      <c r="P76" s="423">
        <v>-329</v>
      </c>
      <c r="Q76" s="423">
        <v>-658</v>
      </c>
      <c r="R76" s="423">
        <v>-988</v>
      </c>
      <c r="S76" s="423">
        <v>-1317</v>
      </c>
      <c r="T76" s="423">
        <v>-359</v>
      </c>
      <c r="U76" s="423">
        <v>-719</v>
      </c>
      <c r="W76" s="423">
        <f t="shared" si="83"/>
        <v>-21</v>
      </c>
      <c r="X76" s="423">
        <f t="shared" si="84"/>
        <v>-21</v>
      </c>
      <c r="Y76" s="423">
        <f t="shared" si="85"/>
        <v>-21</v>
      </c>
      <c r="Z76" s="423">
        <f t="shared" si="86"/>
        <v>-117</v>
      </c>
      <c r="AA76" s="423">
        <f t="shared" si="87"/>
        <v>-329</v>
      </c>
      <c r="AB76" s="423">
        <f t="shared" si="88"/>
        <v>-329</v>
      </c>
      <c r="AC76" s="423">
        <f t="shared" si="89"/>
        <v>-330</v>
      </c>
      <c r="AD76" s="423">
        <f t="shared" si="90"/>
        <v>-329</v>
      </c>
      <c r="AE76" s="423">
        <f t="shared" si="91"/>
        <v>-359</v>
      </c>
      <c r="AF76" s="423">
        <f t="shared" si="92"/>
        <v>-360</v>
      </c>
    </row>
    <row r="77" spans="1:32" outlineLevel="1">
      <c r="A77" s="418" t="s">
        <v>710</v>
      </c>
      <c r="B77" s="418" t="s">
        <v>711</v>
      </c>
      <c r="D77" s="423">
        <v>-24278</v>
      </c>
      <c r="E77" s="423">
        <v>-48590</v>
      </c>
      <c r="F77" s="423">
        <v>-72899</v>
      </c>
      <c r="G77" s="423">
        <v>-97208</v>
      </c>
      <c r="H77" s="423">
        <v>-19794</v>
      </c>
      <c r="I77" s="423">
        <v>-30556</v>
      </c>
      <c r="J77" s="423">
        <v>-41318</v>
      </c>
      <c r="K77" s="423">
        <v>-52081</v>
      </c>
      <c r="L77" s="423">
        <v>-10762</v>
      </c>
      <c r="M77" s="423">
        <v>-20365</v>
      </c>
      <c r="N77" s="423">
        <v>-29968</v>
      </c>
      <c r="O77" s="423">
        <v>-39571</v>
      </c>
      <c r="P77" s="423">
        <v>-9603</v>
      </c>
      <c r="Q77" s="423">
        <v>-19206</v>
      </c>
      <c r="R77" s="423">
        <v>-28809</v>
      </c>
      <c r="S77" s="423">
        <v>-108328</v>
      </c>
      <c r="T77" s="423">
        <v>-33698</v>
      </c>
      <c r="U77" s="423">
        <v>-84643</v>
      </c>
      <c r="W77" s="423">
        <f t="shared" si="83"/>
        <v>-10762</v>
      </c>
      <c r="X77" s="423">
        <f t="shared" si="84"/>
        <v>-9603</v>
      </c>
      <c r="Y77" s="423">
        <f t="shared" si="85"/>
        <v>-9603</v>
      </c>
      <c r="Z77" s="423">
        <f t="shared" si="86"/>
        <v>-9603</v>
      </c>
      <c r="AA77" s="423">
        <f t="shared" si="87"/>
        <v>-9603</v>
      </c>
      <c r="AB77" s="423">
        <f t="shared" si="88"/>
        <v>-9603</v>
      </c>
      <c r="AC77" s="423">
        <f t="shared" si="89"/>
        <v>-9603</v>
      </c>
      <c r="AD77" s="423">
        <f t="shared" si="90"/>
        <v>-79519</v>
      </c>
      <c r="AE77" s="423">
        <f t="shared" si="91"/>
        <v>-33698</v>
      </c>
      <c r="AF77" s="423">
        <f t="shared" si="92"/>
        <v>-50945</v>
      </c>
    </row>
    <row r="78" spans="1:32">
      <c r="A78" s="417" t="s">
        <v>712</v>
      </c>
      <c r="B78" s="417" t="s">
        <v>713</v>
      </c>
      <c r="D78" s="422">
        <v>678638</v>
      </c>
      <c r="E78" s="422">
        <v>734570</v>
      </c>
      <c r="F78" s="422">
        <v>1339376</v>
      </c>
      <c r="G78" s="422">
        <v>1894989</v>
      </c>
      <c r="H78" s="422">
        <v>517741</v>
      </c>
      <c r="I78" s="422">
        <v>1163559</v>
      </c>
      <c r="J78" s="422">
        <v>2089924</v>
      </c>
      <c r="K78" s="422">
        <v>2802997</v>
      </c>
      <c r="L78" s="422">
        <v>370431</v>
      </c>
      <c r="M78" s="422">
        <v>834621</v>
      </c>
      <c r="N78" s="422">
        <v>1639487</v>
      </c>
      <c r="O78" s="422">
        <v>3287967</v>
      </c>
      <c r="P78" s="422">
        <v>619503</v>
      </c>
      <c r="Q78" s="422">
        <v>1846208</v>
      </c>
      <c r="R78" s="422">
        <v>2530901</v>
      </c>
      <c r="S78" s="422">
        <v>2001179</v>
      </c>
      <c r="T78" s="422">
        <v>523374</v>
      </c>
      <c r="U78" s="422">
        <v>1088170</v>
      </c>
      <c r="W78" s="422">
        <f t="shared" si="83"/>
        <v>370431</v>
      </c>
      <c r="X78" s="422">
        <f t="shared" si="84"/>
        <v>464190</v>
      </c>
      <c r="Y78" s="422">
        <f t="shared" si="85"/>
        <v>804866</v>
      </c>
      <c r="Z78" s="422">
        <f t="shared" si="86"/>
        <v>1648480</v>
      </c>
      <c r="AA78" s="422">
        <f t="shared" si="87"/>
        <v>619503</v>
      </c>
      <c r="AB78" s="422">
        <f t="shared" si="88"/>
        <v>1226705</v>
      </c>
      <c r="AC78" s="422">
        <f t="shared" si="89"/>
        <v>684693</v>
      </c>
      <c r="AD78" s="422">
        <f t="shared" si="90"/>
        <v>-529722</v>
      </c>
      <c r="AE78" s="422">
        <f t="shared" si="91"/>
        <v>523374</v>
      </c>
      <c r="AF78" s="422">
        <f t="shared" si="92"/>
        <v>564796</v>
      </c>
    </row>
    <row r="79" spans="1:32">
      <c r="A79" s="417" t="s">
        <v>714</v>
      </c>
      <c r="B79" s="417" t="s">
        <v>715</v>
      </c>
      <c r="D79" s="422">
        <f t="shared" ref="D79:K79" si="93">SUM(D80:D82)</f>
        <v>-49</v>
      </c>
      <c r="E79" s="422">
        <f t="shared" si="93"/>
        <v>-36615</v>
      </c>
      <c r="F79" s="422">
        <f t="shared" si="93"/>
        <v>-34624</v>
      </c>
      <c r="G79" s="422">
        <f t="shared" si="93"/>
        <v>-34714</v>
      </c>
      <c r="H79" s="422">
        <f t="shared" si="93"/>
        <v>-495</v>
      </c>
      <c r="I79" s="422">
        <f t="shared" si="93"/>
        <v>-634</v>
      </c>
      <c r="J79" s="422">
        <f t="shared" si="93"/>
        <v>-773</v>
      </c>
      <c r="K79" s="422">
        <f t="shared" si="93"/>
        <v>-907</v>
      </c>
      <c r="L79" s="422">
        <f t="shared" ref="L79:Q79" si="94">SUM(L80:L82)</f>
        <v>2687</v>
      </c>
      <c r="M79" s="422">
        <f t="shared" si="94"/>
        <v>-8699</v>
      </c>
      <c r="N79" s="422">
        <f t="shared" si="94"/>
        <v>-28066</v>
      </c>
      <c r="O79" s="422">
        <f t="shared" si="94"/>
        <v>-30957</v>
      </c>
      <c r="P79" s="422">
        <f t="shared" si="94"/>
        <v>-1667</v>
      </c>
      <c r="Q79" s="422">
        <f t="shared" si="94"/>
        <v>-1816</v>
      </c>
      <c r="R79" s="422">
        <f>SUM(R80:R82)</f>
        <v>2338</v>
      </c>
      <c r="S79" s="422">
        <f>SUM(S80:S82)</f>
        <v>-130862</v>
      </c>
      <c r="T79" s="422">
        <f>SUM(T80:T82)</f>
        <v>-14769</v>
      </c>
      <c r="U79" s="422">
        <f>SUM(U80:U82)</f>
        <v>-6908</v>
      </c>
      <c r="W79" s="422">
        <f t="shared" ref="W79:AC79" si="95">SUM(W80:W82)</f>
        <v>2687</v>
      </c>
      <c r="X79" s="422">
        <f t="shared" si="95"/>
        <v>-11386</v>
      </c>
      <c r="Y79" s="422">
        <f t="shared" si="95"/>
        <v>-19367</v>
      </c>
      <c r="Z79" s="422">
        <f t="shared" si="95"/>
        <v>-2891</v>
      </c>
      <c r="AA79" s="422">
        <f t="shared" si="95"/>
        <v>-1667</v>
      </c>
      <c r="AB79" s="422">
        <f t="shared" si="95"/>
        <v>-149</v>
      </c>
      <c r="AC79" s="422">
        <f t="shared" si="95"/>
        <v>4154</v>
      </c>
      <c r="AD79" s="422">
        <f t="shared" ref="AD79:AE79" si="96">SUM(AD80:AD82)</f>
        <v>-133200</v>
      </c>
      <c r="AE79" s="422">
        <f t="shared" si="96"/>
        <v>-14769</v>
      </c>
      <c r="AF79" s="422">
        <f>SUM(AF80:AF82)</f>
        <v>7861</v>
      </c>
    </row>
    <row r="80" spans="1:32" outlineLevel="1">
      <c r="A80" s="418" t="s">
        <v>716</v>
      </c>
      <c r="B80" s="418" t="s">
        <v>717</v>
      </c>
      <c r="D80" s="423">
        <v>-49</v>
      </c>
      <c r="E80" s="423">
        <v>-36632</v>
      </c>
      <c r="F80" s="423">
        <v>-34641</v>
      </c>
      <c r="G80" s="423">
        <v>-34731</v>
      </c>
      <c r="H80" s="423">
        <v>-495</v>
      </c>
      <c r="I80" s="423">
        <v>-634</v>
      </c>
      <c r="J80" s="423">
        <v>-773</v>
      </c>
      <c r="K80" s="423">
        <v>-907</v>
      </c>
      <c r="L80" s="423">
        <v>-85</v>
      </c>
      <c r="M80" s="423">
        <v>-280</v>
      </c>
      <c r="N80" s="423">
        <v>-8993</v>
      </c>
      <c r="O80" s="423">
        <v>-9096</v>
      </c>
      <c r="P80" s="423">
        <v>-124</v>
      </c>
      <c r="Q80" s="423">
        <v>-211</v>
      </c>
      <c r="R80" s="423">
        <v>-494</v>
      </c>
      <c r="S80" s="423">
        <v>-2360208</v>
      </c>
      <c r="T80" s="423">
        <v>-89</v>
      </c>
      <c r="U80" s="423">
        <v>-166</v>
      </c>
      <c r="W80" s="423">
        <f>L80</f>
        <v>-85</v>
      </c>
      <c r="X80" s="423">
        <f>M80-W80</f>
        <v>-195</v>
      </c>
      <c r="Y80" s="423">
        <f t="shared" ref="Y80:Z82" si="97">N80-M80</f>
        <v>-8713</v>
      </c>
      <c r="Z80" s="423">
        <f t="shared" si="97"/>
        <v>-103</v>
      </c>
      <c r="AA80" s="423">
        <f>P80</f>
        <v>-124</v>
      </c>
      <c r="AB80" s="423">
        <f t="shared" ref="AB80:AB82" si="98">Q80-AA80</f>
        <v>-87</v>
      </c>
      <c r="AC80" s="423">
        <f t="shared" ref="AC80:AD82" si="99">R80-Q80</f>
        <v>-283</v>
      </c>
      <c r="AD80" s="423">
        <f t="shared" si="99"/>
        <v>-2359714</v>
      </c>
      <c r="AE80" s="423">
        <f>T80</f>
        <v>-89</v>
      </c>
      <c r="AF80" s="423">
        <f>U80-T80</f>
        <v>-77</v>
      </c>
    </row>
    <row r="81" spans="1:32" outlineLevel="1">
      <c r="A81" s="418" t="s">
        <v>718</v>
      </c>
      <c r="B81" s="418" t="s">
        <v>719</v>
      </c>
      <c r="D81" s="423">
        <v>0</v>
      </c>
      <c r="E81" s="423">
        <v>17</v>
      </c>
      <c r="F81" s="423">
        <v>17</v>
      </c>
      <c r="G81" s="423">
        <v>17</v>
      </c>
      <c r="H81" s="423">
        <v>0</v>
      </c>
      <c r="I81" s="423">
        <v>0</v>
      </c>
      <c r="J81" s="423">
        <v>0</v>
      </c>
      <c r="K81" s="423">
        <v>0</v>
      </c>
      <c r="L81" s="423">
        <v>2772</v>
      </c>
      <c r="M81" s="423">
        <v>-8419</v>
      </c>
      <c r="N81" s="423">
        <v>-19073</v>
      </c>
      <c r="O81" s="423">
        <v>-21861</v>
      </c>
      <c r="P81" s="423">
        <v>-1543</v>
      </c>
      <c r="Q81" s="423">
        <v>-1605</v>
      </c>
      <c r="R81" s="423">
        <v>2832</v>
      </c>
      <c r="S81" s="423">
        <v>2229346</v>
      </c>
      <c r="T81" s="423">
        <v>-14680</v>
      </c>
      <c r="U81" s="423">
        <v>-6742</v>
      </c>
      <c r="W81" s="423">
        <f>L81</f>
        <v>2772</v>
      </c>
      <c r="X81" s="423">
        <f>M81-W81</f>
        <v>-11191</v>
      </c>
      <c r="Y81" s="423">
        <f t="shared" si="97"/>
        <v>-10654</v>
      </c>
      <c r="Z81" s="423">
        <f t="shared" si="97"/>
        <v>-2788</v>
      </c>
      <c r="AA81" s="423">
        <f>P81</f>
        <v>-1543</v>
      </c>
      <c r="AB81" s="423">
        <f t="shared" si="98"/>
        <v>-62</v>
      </c>
      <c r="AC81" s="423">
        <f t="shared" si="99"/>
        <v>4437</v>
      </c>
      <c r="AD81" s="423">
        <f t="shared" si="99"/>
        <v>2226514</v>
      </c>
      <c r="AE81" s="423">
        <f>T81</f>
        <v>-14680</v>
      </c>
      <c r="AF81" s="423">
        <f>U81-T81</f>
        <v>7938</v>
      </c>
    </row>
    <row r="82" spans="1:32" outlineLevel="1">
      <c r="A82" s="418" t="s">
        <v>720</v>
      </c>
      <c r="B82" s="418" t="s">
        <v>721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>
        <v>0</v>
      </c>
      <c r="N82" s="423">
        <v>0</v>
      </c>
      <c r="O82" s="423">
        <v>0</v>
      </c>
      <c r="P82" s="423">
        <v>0</v>
      </c>
      <c r="Q82" s="423">
        <v>0</v>
      </c>
      <c r="R82" s="423">
        <v>0</v>
      </c>
      <c r="S82" s="423">
        <v>0</v>
      </c>
      <c r="T82" s="423">
        <v>0</v>
      </c>
      <c r="U82" s="423">
        <v>0</v>
      </c>
      <c r="W82" s="423"/>
      <c r="X82" s="423">
        <f>M82-W82</f>
        <v>0</v>
      </c>
      <c r="Y82" s="423">
        <f t="shared" si="97"/>
        <v>0</v>
      </c>
      <c r="Z82" s="423">
        <f t="shared" si="97"/>
        <v>0</v>
      </c>
      <c r="AA82" s="423">
        <f>P82</f>
        <v>0</v>
      </c>
      <c r="AB82" s="423">
        <f t="shared" si="98"/>
        <v>0</v>
      </c>
      <c r="AC82" s="423">
        <f t="shared" si="99"/>
        <v>0</v>
      </c>
      <c r="AD82" s="423">
        <f t="shared" si="99"/>
        <v>0</v>
      </c>
      <c r="AE82" s="423">
        <f>T82</f>
        <v>0</v>
      </c>
      <c r="AF82" s="423">
        <f>U82-T82</f>
        <v>0</v>
      </c>
    </row>
    <row r="83" spans="1:32">
      <c r="A83" s="417"/>
      <c r="B83" s="417"/>
      <c r="D83" s="417"/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</row>
    <row r="84" spans="1:32">
      <c r="A84" s="429" t="s">
        <v>722</v>
      </c>
      <c r="B84" s="429" t="s">
        <v>722</v>
      </c>
      <c r="D84" s="420">
        <f t="shared" ref="D84:I84" si="100">D86-D76-D53-D77</f>
        <v>651132</v>
      </c>
      <c r="E84" s="420">
        <f t="shared" si="100"/>
        <v>654453</v>
      </c>
      <c r="F84" s="420">
        <f t="shared" si="100"/>
        <v>1247779</v>
      </c>
      <c r="G84" s="420">
        <f t="shared" si="100"/>
        <v>1788701</v>
      </c>
      <c r="H84" s="420">
        <f t="shared" si="100"/>
        <v>497385</v>
      </c>
      <c r="I84" s="420">
        <f t="shared" si="100"/>
        <v>1126293</v>
      </c>
      <c r="J84" s="420">
        <f t="shared" ref="J84:T84" si="101">J86-J76-J53-J77</f>
        <v>2031342</v>
      </c>
      <c r="K84" s="420">
        <f t="shared" si="101"/>
        <v>2728326</v>
      </c>
      <c r="L84" s="420">
        <f t="shared" si="101"/>
        <v>343840</v>
      </c>
      <c r="M84" s="420">
        <f t="shared" si="101"/>
        <v>766556</v>
      </c>
      <c r="N84" s="420">
        <f t="shared" si="101"/>
        <v>1533578</v>
      </c>
      <c r="O84" s="420">
        <f t="shared" si="101"/>
        <v>3140667</v>
      </c>
      <c r="P84" s="420">
        <f t="shared" si="101"/>
        <v>586988</v>
      </c>
      <c r="Q84" s="420">
        <f t="shared" si="101"/>
        <v>1794338</v>
      </c>
      <c r="R84" s="420">
        <f t="shared" si="101"/>
        <v>2464045</v>
      </c>
      <c r="S84" s="420">
        <f t="shared" si="101"/>
        <v>1736191</v>
      </c>
      <c r="T84" s="741">
        <f t="shared" si="101"/>
        <v>483372</v>
      </c>
      <c r="U84" s="741">
        <f>U86-U76-U53-U77</f>
        <v>1034981</v>
      </c>
      <c r="W84" s="420">
        <f t="shared" ref="W84:AC84" si="102">W86-W76-W53-W77</f>
        <v>343840</v>
      </c>
      <c r="X84" s="420">
        <f t="shared" si="102"/>
        <v>422716</v>
      </c>
      <c r="Y84" s="420">
        <f t="shared" si="102"/>
        <v>767022</v>
      </c>
      <c r="Z84" s="420">
        <f t="shared" si="102"/>
        <v>1607089</v>
      </c>
      <c r="AA84" s="420">
        <f t="shared" si="102"/>
        <v>586988</v>
      </c>
      <c r="AB84" s="420">
        <f t="shared" si="102"/>
        <v>1207350</v>
      </c>
      <c r="AC84" s="420">
        <f t="shared" si="102"/>
        <v>669707</v>
      </c>
      <c r="AD84" s="420">
        <f t="shared" ref="AD84:AE84" si="103">AD86-AD76-AD53-AD77</f>
        <v>-727854</v>
      </c>
      <c r="AE84" s="420">
        <f t="shared" si="103"/>
        <v>483372</v>
      </c>
      <c r="AF84" s="741">
        <f>AF86-AF76-AF53-AF77</f>
        <v>551609</v>
      </c>
    </row>
    <row r="85" spans="1:32">
      <c r="A85" s="417"/>
      <c r="B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</row>
    <row r="86" spans="1:32">
      <c r="A86" s="429" t="s">
        <v>723</v>
      </c>
      <c r="B86" s="429" t="s">
        <v>724</v>
      </c>
      <c r="D86" s="420">
        <f t="shared" ref="D86:I86" si="104">D58+D60</f>
        <v>626795</v>
      </c>
      <c r="E86" s="420">
        <f t="shared" si="104"/>
        <v>605786</v>
      </c>
      <c r="F86" s="420">
        <f t="shared" si="104"/>
        <v>1174785</v>
      </c>
      <c r="G86" s="420">
        <f t="shared" si="104"/>
        <v>1691380</v>
      </c>
      <c r="H86" s="420">
        <f t="shared" si="104"/>
        <v>477573</v>
      </c>
      <c r="I86" s="420">
        <f t="shared" si="104"/>
        <v>1095701</v>
      </c>
      <c r="J86" s="420">
        <f t="shared" ref="J86:T86" si="105">J58+J60</f>
        <v>1989970</v>
      </c>
      <c r="K86" s="420">
        <f t="shared" si="105"/>
        <v>2676130</v>
      </c>
      <c r="L86" s="420">
        <f t="shared" si="105"/>
        <v>333057</v>
      </c>
      <c r="M86" s="420">
        <f t="shared" si="105"/>
        <v>746149</v>
      </c>
      <c r="N86" s="420">
        <f t="shared" si="105"/>
        <v>1503547</v>
      </c>
      <c r="O86" s="420">
        <f t="shared" si="105"/>
        <v>3100916</v>
      </c>
      <c r="P86" s="420">
        <f t="shared" si="105"/>
        <v>577056</v>
      </c>
      <c r="Q86" s="420">
        <f t="shared" si="105"/>
        <v>1774474</v>
      </c>
      <c r="R86" s="420">
        <f t="shared" si="105"/>
        <v>2434248</v>
      </c>
      <c r="S86" s="420">
        <f t="shared" si="105"/>
        <v>1626546</v>
      </c>
      <c r="T86" s="741">
        <f t="shared" si="105"/>
        <v>449315</v>
      </c>
      <c r="U86" s="741">
        <f>U58+U60</f>
        <v>949619</v>
      </c>
      <c r="W86" s="420">
        <f t="shared" ref="W86:AC86" si="106">W58+W60</f>
        <v>333057</v>
      </c>
      <c r="X86" s="420">
        <f t="shared" si="106"/>
        <v>413092</v>
      </c>
      <c r="Y86" s="420">
        <f t="shared" si="106"/>
        <v>757398</v>
      </c>
      <c r="Z86" s="420">
        <f t="shared" si="106"/>
        <v>1597369</v>
      </c>
      <c r="AA86" s="420">
        <f t="shared" si="106"/>
        <v>577056</v>
      </c>
      <c r="AB86" s="420">
        <f t="shared" si="106"/>
        <v>1197418</v>
      </c>
      <c r="AC86" s="420">
        <f t="shared" si="106"/>
        <v>659774</v>
      </c>
      <c r="AD86" s="420">
        <f t="shared" ref="AD86:AE86" si="107">AD58+AD60</f>
        <v>-807702</v>
      </c>
      <c r="AE86" s="420">
        <f t="shared" si="107"/>
        <v>449315</v>
      </c>
      <c r="AF86" s="741">
        <f>AF58+AF60</f>
        <v>500304</v>
      </c>
    </row>
    <row r="87" spans="1:32">
      <c r="A87" s="417"/>
      <c r="B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</row>
    <row r="88" spans="1:32">
      <c r="A88" s="429" t="s">
        <v>725</v>
      </c>
      <c r="B88" s="429" t="s">
        <v>726</v>
      </c>
      <c r="D88" s="420">
        <f t="shared" ref="D88:I88" si="108">D90+D100</f>
        <v>-33375</v>
      </c>
      <c r="E88" s="420">
        <f t="shared" si="108"/>
        <v>-120987</v>
      </c>
      <c r="F88" s="420">
        <f t="shared" si="108"/>
        <v>-220571</v>
      </c>
      <c r="G88" s="420">
        <f t="shared" si="108"/>
        <v>-258951</v>
      </c>
      <c r="H88" s="420">
        <f t="shared" si="108"/>
        <v>-414419</v>
      </c>
      <c r="I88" s="420">
        <f t="shared" si="108"/>
        <v>-532562</v>
      </c>
      <c r="J88" s="420">
        <f t="shared" ref="J88:T88" si="109">J90+J100</f>
        <v>-725423</v>
      </c>
      <c r="K88" s="420">
        <f t="shared" si="109"/>
        <v>-724408</v>
      </c>
      <c r="L88" s="420">
        <f t="shared" si="109"/>
        <v>-89843</v>
      </c>
      <c r="M88" s="420">
        <f t="shared" si="109"/>
        <v>22880</v>
      </c>
      <c r="N88" s="420">
        <f t="shared" si="109"/>
        <v>34149</v>
      </c>
      <c r="O88" s="420">
        <f t="shared" si="109"/>
        <v>-344995</v>
      </c>
      <c r="P88" s="420">
        <f t="shared" si="109"/>
        <v>-2288</v>
      </c>
      <c r="Q88" s="420">
        <f t="shared" si="109"/>
        <v>-133219</v>
      </c>
      <c r="R88" s="420">
        <f t="shared" si="109"/>
        <v>-297841</v>
      </c>
      <c r="S88" s="420">
        <f t="shared" si="109"/>
        <v>-446699</v>
      </c>
      <c r="T88" s="741">
        <f t="shared" si="109"/>
        <v>-17321</v>
      </c>
      <c r="U88" s="741">
        <f>U90+U100</f>
        <v>-64292</v>
      </c>
      <c r="W88" s="420">
        <f t="shared" ref="W88:AC88" si="110">W90+W100</f>
        <v>-89843</v>
      </c>
      <c r="X88" s="420">
        <f t="shared" si="110"/>
        <v>112723</v>
      </c>
      <c r="Y88" s="420">
        <f t="shared" si="110"/>
        <v>11269</v>
      </c>
      <c r="Z88" s="420">
        <f t="shared" si="110"/>
        <v>-379144</v>
      </c>
      <c r="AA88" s="420">
        <f t="shared" si="110"/>
        <v>-2288</v>
      </c>
      <c r="AB88" s="420">
        <f t="shared" si="110"/>
        <v>-130931</v>
      </c>
      <c r="AC88" s="420">
        <f t="shared" si="110"/>
        <v>-164622</v>
      </c>
      <c r="AD88" s="420">
        <f t="shared" ref="AD88:AE88" si="111">AD90+AD100</f>
        <v>-148858</v>
      </c>
      <c r="AE88" s="420">
        <f t="shared" si="111"/>
        <v>-17321</v>
      </c>
      <c r="AF88" s="741">
        <f>AF90+AF100</f>
        <v>-46971</v>
      </c>
    </row>
    <row r="89" spans="1:32">
      <c r="A89" s="416"/>
      <c r="B89" s="416"/>
      <c r="D89" s="417"/>
      <c r="E89" s="422"/>
      <c r="F89" s="422"/>
      <c r="G89" s="417"/>
      <c r="H89" s="417"/>
      <c r="I89" s="417"/>
      <c r="J89" s="417"/>
      <c r="K89" s="417"/>
      <c r="L89" s="417"/>
      <c r="M89" s="417"/>
      <c r="N89" s="417"/>
      <c r="O89" s="417"/>
      <c r="P89" s="417"/>
      <c r="Q89" s="417"/>
      <c r="R89" s="417"/>
      <c r="S89" s="417"/>
      <c r="T89" s="417"/>
      <c r="U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</row>
    <row r="90" spans="1:32">
      <c r="A90" s="417" t="s">
        <v>727</v>
      </c>
      <c r="B90" s="417" t="s">
        <v>728</v>
      </c>
      <c r="D90" s="424">
        <f t="shared" ref="D90:I90" si="112">SUM(D91:D99)</f>
        <v>106479</v>
      </c>
      <c r="E90" s="424">
        <f t="shared" si="112"/>
        <v>168938</v>
      </c>
      <c r="F90" s="424">
        <f t="shared" si="112"/>
        <v>237812</v>
      </c>
      <c r="G90" s="424">
        <f t="shared" si="112"/>
        <v>364627</v>
      </c>
      <c r="H90" s="424">
        <f t="shared" si="112"/>
        <v>115928</v>
      </c>
      <c r="I90" s="424">
        <f t="shared" si="112"/>
        <v>210851</v>
      </c>
      <c r="J90" s="424">
        <f t="shared" ref="J90:T90" si="113">SUM(J91:J99)</f>
        <v>320818</v>
      </c>
      <c r="K90" s="424">
        <f t="shared" si="113"/>
        <v>519151</v>
      </c>
      <c r="L90" s="424">
        <f t="shared" si="113"/>
        <v>106876</v>
      </c>
      <c r="M90" s="424">
        <f t="shared" si="113"/>
        <v>252935</v>
      </c>
      <c r="N90" s="424">
        <f t="shared" si="113"/>
        <v>373104</v>
      </c>
      <c r="O90" s="424">
        <f t="shared" si="113"/>
        <v>477661</v>
      </c>
      <c r="P90" s="424">
        <f t="shared" si="113"/>
        <v>129167</v>
      </c>
      <c r="Q90" s="424">
        <f t="shared" si="113"/>
        <v>171431</v>
      </c>
      <c r="R90" s="424">
        <f t="shared" si="113"/>
        <v>193338</v>
      </c>
      <c r="S90" s="424">
        <f t="shared" si="113"/>
        <v>186559</v>
      </c>
      <c r="T90" s="424">
        <f t="shared" si="113"/>
        <v>34634</v>
      </c>
      <c r="U90" s="424">
        <f>SUM(U91:U99)</f>
        <v>50044</v>
      </c>
      <c r="W90" s="424">
        <f t="shared" ref="W90:AC90" si="114">SUM(W91:W99)</f>
        <v>106876</v>
      </c>
      <c r="X90" s="424">
        <f t="shared" si="114"/>
        <v>146059</v>
      </c>
      <c r="Y90" s="424">
        <f t="shared" si="114"/>
        <v>120169</v>
      </c>
      <c r="Z90" s="424">
        <f t="shared" si="114"/>
        <v>104557</v>
      </c>
      <c r="AA90" s="424">
        <f t="shared" si="114"/>
        <v>129167</v>
      </c>
      <c r="AB90" s="424">
        <f t="shared" si="114"/>
        <v>42264</v>
      </c>
      <c r="AC90" s="424">
        <f t="shared" si="114"/>
        <v>21907</v>
      </c>
      <c r="AD90" s="424">
        <f t="shared" ref="AD90:AE90" si="115">SUM(AD91:AD99)</f>
        <v>-6779</v>
      </c>
      <c r="AE90" s="424">
        <f t="shared" si="115"/>
        <v>34634</v>
      </c>
      <c r="AF90" s="424">
        <f>SUM(AF91:AF99)</f>
        <v>15410</v>
      </c>
    </row>
    <row r="91" spans="1:32" outlineLevel="1">
      <c r="A91" s="418" t="s">
        <v>729</v>
      </c>
      <c r="B91" s="418" t="s">
        <v>728</v>
      </c>
      <c r="D91" s="423">
        <v>62853</v>
      </c>
      <c r="E91" s="423">
        <v>81523</v>
      </c>
      <c r="F91" s="423">
        <v>112595</v>
      </c>
      <c r="G91" s="423">
        <v>146746</v>
      </c>
      <c r="H91" s="423">
        <v>33057</v>
      </c>
      <c r="I91" s="423">
        <v>101219</v>
      </c>
      <c r="J91" s="423">
        <v>169324</v>
      </c>
      <c r="K91" s="423">
        <v>240729</v>
      </c>
      <c r="L91" s="423">
        <v>56129</v>
      </c>
      <c r="M91" s="423">
        <v>97152</v>
      </c>
      <c r="N91" s="423">
        <v>117176</v>
      </c>
      <c r="O91" s="423">
        <v>141062</v>
      </c>
      <c r="P91" s="423">
        <v>19230</v>
      </c>
      <c r="Q91" s="423">
        <v>41743</v>
      </c>
      <c r="R91" s="423">
        <v>52772</v>
      </c>
      <c r="S91" s="423">
        <v>95773</v>
      </c>
      <c r="T91" s="423">
        <v>29583</v>
      </c>
      <c r="U91" s="423">
        <v>53122</v>
      </c>
      <c r="W91" s="423">
        <f t="shared" ref="W91:W99" si="116">L91</f>
        <v>56129</v>
      </c>
      <c r="X91" s="423">
        <f t="shared" ref="X91:X99" si="117">M91-W91</f>
        <v>41023</v>
      </c>
      <c r="Y91" s="423">
        <f t="shared" ref="Y91:Y99" si="118">N91-M91</f>
        <v>20024</v>
      </c>
      <c r="Z91" s="423">
        <f t="shared" ref="Z91:Z99" si="119">O91-N91</f>
        <v>23886</v>
      </c>
      <c r="AA91" s="423">
        <f t="shared" ref="AA91:AA99" si="120">P91</f>
        <v>19230</v>
      </c>
      <c r="AB91" s="423">
        <f t="shared" ref="AB91:AB99" si="121">Q91-AA91</f>
        <v>22513</v>
      </c>
      <c r="AC91" s="423">
        <f t="shared" ref="AC91:AC99" si="122">R91-Q91</f>
        <v>11029</v>
      </c>
      <c r="AD91" s="423">
        <f t="shared" ref="AD91:AD99" si="123">S91-R91</f>
        <v>43001</v>
      </c>
      <c r="AE91" s="423">
        <f t="shared" ref="AE91:AE99" si="124">T91</f>
        <v>29583</v>
      </c>
      <c r="AF91" s="423">
        <f t="shared" ref="AF91:AF99" si="125">U91-T91</f>
        <v>23539</v>
      </c>
    </row>
    <row r="92" spans="1:32" outlineLevel="1">
      <c r="A92" s="418" t="s">
        <v>730</v>
      </c>
      <c r="B92" s="418" t="s">
        <v>731</v>
      </c>
      <c r="D92" s="423">
        <v>-2923</v>
      </c>
      <c r="E92" s="423">
        <v>-3105</v>
      </c>
      <c r="F92" s="423">
        <v>-4066</v>
      </c>
      <c r="G92" s="423">
        <v>-8014</v>
      </c>
      <c r="H92" s="423">
        <v>-3212</v>
      </c>
      <c r="I92" s="423">
        <v>-8050</v>
      </c>
      <c r="J92" s="423">
        <v>-13410</v>
      </c>
      <c r="K92" s="423">
        <v>-20198</v>
      </c>
      <c r="L92" s="423">
        <v>-5353</v>
      </c>
      <c r="M92" s="423">
        <v>-10128</v>
      </c>
      <c r="N92" s="423">
        <v>-13936</v>
      </c>
      <c r="O92" s="423">
        <v>-18297</v>
      </c>
      <c r="P92" s="423">
        <v>-3608</v>
      </c>
      <c r="Q92" s="423">
        <v>-5748</v>
      </c>
      <c r="R92" s="423">
        <v>-6819</v>
      </c>
      <c r="S92" s="423">
        <v>-9135</v>
      </c>
      <c r="T92" s="423">
        <v>-1653</v>
      </c>
      <c r="U92" s="423">
        <v>-3085</v>
      </c>
      <c r="W92" s="423">
        <f t="shared" si="116"/>
        <v>-5353</v>
      </c>
      <c r="X92" s="423">
        <f t="shared" si="117"/>
        <v>-4775</v>
      </c>
      <c r="Y92" s="423">
        <f t="shared" si="118"/>
        <v>-3808</v>
      </c>
      <c r="Z92" s="423">
        <f t="shared" si="119"/>
        <v>-4361</v>
      </c>
      <c r="AA92" s="423">
        <f t="shared" si="120"/>
        <v>-3608</v>
      </c>
      <c r="AB92" s="423">
        <f t="shared" si="121"/>
        <v>-2140</v>
      </c>
      <c r="AC92" s="423">
        <f t="shared" si="122"/>
        <v>-1071</v>
      </c>
      <c r="AD92" s="423">
        <f t="shared" si="123"/>
        <v>-2316</v>
      </c>
      <c r="AE92" s="423">
        <f t="shared" si="124"/>
        <v>-1653</v>
      </c>
      <c r="AF92" s="423">
        <f t="shared" si="125"/>
        <v>-1432</v>
      </c>
    </row>
    <row r="93" spans="1:32" outlineLevel="1">
      <c r="A93" s="418" t="s">
        <v>2561</v>
      </c>
      <c r="B93" s="418" t="s">
        <v>2562</v>
      </c>
      <c r="D93" s="423">
        <v>0</v>
      </c>
      <c r="E93" s="423" t="s">
        <v>2556</v>
      </c>
      <c r="F93" s="423">
        <v>0</v>
      </c>
      <c r="G93" s="423">
        <v>0</v>
      </c>
      <c r="H93" s="423">
        <v>0</v>
      </c>
      <c r="I93" s="423">
        <v>0</v>
      </c>
      <c r="J93" s="423">
        <v>0</v>
      </c>
      <c r="K93" s="423">
        <v>0</v>
      </c>
      <c r="L93" s="423">
        <v>0</v>
      </c>
      <c r="M93" s="423">
        <v>0</v>
      </c>
      <c r="N93" s="423">
        <v>0</v>
      </c>
      <c r="O93" s="423">
        <v>0</v>
      </c>
      <c r="P93" s="423">
        <v>0</v>
      </c>
      <c r="Q93" s="423">
        <v>0</v>
      </c>
      <c r="R93" s="423">
        <v>0</v>
      </c>
      <c r="S93" s="423">
        <v>0</v>
      </c>
      <c r="T93" s="423">
        <v>0</v>
      </c>
      <c r="U93" s="423">
        <v>0</v>
      </c>
      <c r="W93" s="423">
        <f t="shared" si="116"/>
        <v>0</v>
      </c>
      <c r="X93" s="423">
        <f t="shared" si="117"/>
        <v>0</v>
      </c>
      <c r="Y93" s="423">
        <f t="shared" si="118"/>
        <v>0</v>
      </c>
      <c r="Z93" s="423">
        <f t="shared" si="119"/>
        <v>0</v>
      </c>
      <c r="AA93" s="423">
        <f t="shared" si="120"/>
        <v>0</v>
      </c>
      <c r="AB93" s="423">
        <f t="shared" si="121"/>
        <v>0</v>
      </c>
      <c r="AC93" s="423">
        <f t="shared" si="122"/>
        <v>0</v>
      </c>
      <c r="AD93" s="423">
        <f t="shared" si="123"/>
        <v>0</v>
      </c>
      <c r="AE93" s="423">
        <f t="shared" si="124"/>
        <v>0</v>
      </c>
      <c r="AF93" s="423">
        <f t="shared" si="125"/>
        <v>0</v>
      </c>
    </row>
    <row r="94" spans="1:32" outlineLevel="1">
      <c r="A94" s="418" t="s">
        <v>733</v>
      </c>
      <c r="B94" s="418" t="s">
        <v>734</v>
      </c>
      <c r="D94" s="423">
        <v>0</v>
      </c>
      <c r="E94" s="423" t="s">
        <v>2556</v>
      </c>
      <c r="F94" s="423">
        <v>0</v>
      </c>
      <c r="G94" s="423">
        <v>0</v>
      </c>
      <c r="H94" s="423">
        <v>0</v>
      </c>
      <c r="I94" s="423">
        <v>0</v>
      </c>
      <c r="J94" s="423">
        <v>0</v>
      </c>
      <c r="K94" s="423">
        <v>0</v>
      </c>
      <c r="L94" s="423">
        <v>0</v>
      </c>
      <c r="M94" s="423">
        <v>0</v>
      </c>
      <c r="N94" s="423">
        <v>0</v>
      </c>
      <c r="O94" s="423">
        <v>0</v>
      </c>
      <c r="P94" s="423">
        <v>0</v>
      </c>
      <c r="Q94" s="423">
        <v>0</v>
      </c>
      <c r="R94" s="423">
        <v>0</v>
      </c>
      <c r="S94" s="423">
        <v>0</v>
      </c>
      <c r="T94" s="423">
        <v>0</v>
      </c>
      <c r="U94" s="423">
        <v>0</v>
      </c>
      <c r="W94" s="423">
        <f t="shared" si="116"/>
        <v>0</v>
      </c>
      <c r="X94" s="423">
        <f t="shared" si="117"/>
        <v>0</v>
      </c>
      <c r="Y94" s="423">
        <f t="shared" si="118"/>
        <v>0</v>
      </c>
      <c r="Z94" s="423">
        <f t="shared" si="119"/>
        <v>0</v>
      </c>
      <c r="AA94" s="423">
        <f t="shared" si="120"/>
        <v>0</v>
      </c>
      <c r="AB94" s="423">
        <f t="shared" si="121"/>
        <v>0</v>
      </c>
      <c r="AC94" s="423">
        <f t="shared" si="122"/>
        <v>0</v>
      </c>
      <c r="AD94" s="423">
        <f t="shared" si="123"/>
        <v>0</v>
      </c>
      <c r="AE94" s="423">
        <f t="shared" si="124"/>
        <v>0</v>
      </c>
      <c r="AF94" s="423">
        <f t="shared" si="125"/>
        <v>0</v>
      </c>
    </row>
    <row r="95" spans="1:32" outlineLevel="1">
      <c r="A95" s="418" t="s">
        <v>735</v>
      </c>
      <c r="B95" s="418" t="s">
        <v>736</v>
      </c>
      <c r="D95" s="423">
        <v>0</v>
      </c>
      <c r="E95" s="423" t="s">
        <v>2556</v>
      </c>
      <c r="F95" s="423">
        <v>0</v>
      </c>
      <c r="G95" s="423">
        <v>0</v>
      </c>
      <c r="H95" s="423">
        <v>0</v>
      </c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>
        <v>0</v>
      </c>
      <c r="T95" s="423">
        <v>0</v>
      </c>
      <c r="U95" s="423">
        <v>0</v>
      </c>
      <c r="W95" s="423">
        <f t="shared" si="116"/>
        <v>0</v>
      </c>
      <c r="X95" s="423">
        <f t="shared" si="117"/>
        <v>0</v>
      </c>
      <c r="Y95" s="423">
        <f t="shared" si="118"/>
        <v>0</v>
      </c>
      <c r="Z95" s="423">
        <f t="shared" si="119"/>
        <v>0</v>
      </c>
      <c r="AA95" s="423">
        <f t="shared" si="120"/>
        <v>0</v>
      </c>
      <c r="AB95" s="423">
        <f t="shared" si="121"/>
        <v>0</v>
      </c>
      <c r="AC95" s="423">
        <f t="shared" si="122"/>
        <v>0</v>
      </c>
      <c r="AD95" s="423">
        <f t="shared" si="123"/>
        <v>0</v>
      </c>
      <c r="AE95" s="423">
        <f t="shared" si="124"/>
        <v>0</v>
      </c>
      <c r="AF95" s="423">
        <f t="shared" si="125"/>
        <v>0</v>
      </c>
    </row>
    <row r="96" spans="1:32" outlineLevel="1">
      <c r="A96" s="418" t="s">
        <v>737</v>
      </c>
      <c r="B96" s="418" t="s">
        <v>738</v>
      </c>
      <c r="D96" s="423">
        <v>0</v>
      </c>
      <c r="E96" s="423" t="s">
        <v>2556</v>
      </c>
      <c r="F96" s="423">
        <v>0</v>
      </c>
      <c r="G96" s="423">
        <v>0</v>
      </c>
      <c r="H96" s="423">
        <v>0</v>
      </c>
      <c r="I96" s="423">
        <v>0</v>
      </c>
      <c r="J96" s="423">
        <v>0</v>
      </c>
      <c r="K96" s="423">
        <v>0</v>
      </c>
      <c r="L96" s="423">
        <v>0</v>
      </c>
      <c r="M96" s="423">
        <v>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>
        <v>0</v>
      </c>
      <c r="T96" s="423">
        <v>0</v>
      </c>
      <c r="U96" s="423">
        <v>0</v>
      </c>
      <c r="W96" s="423">
        <f t="shared" si="116"/>
        <v>0</v>
      </c>
      <c r="X96" s="423">
        <f t="shared" si="117"/>
        <v>0</v>
      </c>
      <c r="Y96" s="423">
        <f t="shared" si="118"/>
        <v>0</v>
      </c>
      <c r="Z96" s="423">
        <f t="shared" si="119"/>
        <v>0</v>
      </c>
      <c r="AA96" s="423">
        <f t="shared" si="120"/>
        <v>0</v>
      </c>
      <c r="AB96" s="423">
        <f t="shared" si="121"/>
        <v>0</v>
      </c>
      <c r="AC96" s="423">
        <f t="shared" si="122"/>
        <v>0</v>
      </c>
      <c r="AD96" s="423">
        <f t="shared" si="123"/>
        <v>0</v>
      </c>
      <c r="AE96" s="423">
        <f t="shared" si="124"/>
        <v>0</v>
      </c>
      <c r="AF96" s="423">
        <f t="shared" si="125"/>
        <v>0</v>
      </c>
    </row>
    <row r="97" spans="1:32" outlineLevel="1">
      <c r="A97" s="418" t="s">
        <v>739</v>
      </c>
      <c r="B97" s="418" t="s">
        <v>740</v>
      </c>
      <c r="D97" s="423">
        <v>46549</v>
      </c>
      <c r="E97" s="423">
        <v>90520</v>
      </c>
      <c r="F97" s="423">
        <v>129283</v>
      </c>
      <c r="G97" s="423">
        <v>225895</v>
      </c>
      <c r="H97" s="423">
        <v>86083</v>
      </c>
      <c r="I97" s="423">
        <v>117682</v>
      </c>
      <c r="J97" s="423">
        <v>164904</v>
      </c>
      <c r="K97" s="423">
        <v>298620</v>
      </c>
      <c r="L97" s="423">
        <v>56100</v>
      </c>
      <c r="M97" s="423">
        <v>165911</v>
      </c>
      <c r="N97" s="423">
        <v>269864</v>
      </c>
      <c r="O97" s="423">
        <v>354896</v>
      </c>
      <c r="P97" s="423">
        <v>113545</v>
      </c>
      <c r="Q97" s="423">
        <v>135436</v>
      </c>
      <c r="R97" s="423">
        <v>147385</v>
      </c>
      <c r="S97" s="423">
        <v>99921</v>
      </c>
      <c r="T97" s="423">
        <v>6704</v>
      </c>
      <c r="U97" s="423">
        <v>7</v>
      </c>
      <c r="W97" s="423">
        <f t="shared" si="116"/>
        <v>56100</v>
      </c>
      <c r="X97" s="423">
        <f t="shared" si="117"/>
        <v>109811</v>
      </c>
      <c r="Y97" s="423">
        <f t="shared" si="118"/>
        <v>103953</v>
      </c>
      <c r="Z97" s="423">
        <f t="shared" si="119"/>
        <v>85032</v>
      </c>
      <c r="AA97" s="423">
        <f t="shared" si="120"/>
        <v>113545</v>
      </c>
      <c r="AB97" s="423">
        <f t="shared" si="121"/>
        <v>21891</v>
      </c>
      <c r="AC97" s="423">
        <f t="shared" si="122"/>
        <v>11949</v>
      </c>
      <c r="AD97" s="423">
        <f t="shared" si="123"/>
        <v>-47464</v>
      </c>
      <c r="AE97" s="423">
        <f t="shared" si="124"/>
        <v>6704</v>
      </c>
      <c r="AF97" s="423">
        <f t="shared" si="125"/>
        <v>-6697</v>
      </c>
    </row>
    <row r="98" spans="1:32" outlineLevel="1">
      <c r="A98" s="418" t="s">
        <v>741</v>
      </c>
      <c r="B98" s="418" t="s">
        <v>2536</v>
      </c>
      <c r="D98" s="423">
        <v>0</v>
      </c>
      <c r="E98" s="423">
        <v>0</v>
      </c>
      <c r="F98" s="423">
        <v>0</v>
      </c>
      <c r="G98" s="423">
        <v>0</v>
      </c>
      <c r="H98" s="423">
        <v>0</v>
      </c>
      <c r="I98" s="423">
        <v>0</v>
      </c>
      <c r="J98" s="423">
        <v>0</v>
      </c>
      <c r="K98" s="423">
        <v>0</v>
      </c>
      <c r="L98" s="423">
        <v>0</v>
      </c>
      <c r="M98" s="423">
        <v>0</v>
      </c>
      <c r="N98" s="423">
        <v>0</v>
      </c>
      <c r="O98" s="423">
        <v>0</v>
      </c>
      <c r="P98" s="423">
        <v>0</v>
      </c>
      <c r="Q98" s="423">
        <v>0</v>
      </c>
      <c r="R98" s="423">
        <v>0</v>
      </c>
      <c r="S98" s="423">
        <v>0</v>
      </c>
      <c r="T98" s="423">
        <v>0</v>
      </c>
      <c r="U98" s="423">
        <v>0</v>
      </c>
      <c r="W98" s="423">
        <f>L98</f>
        <v>0</v>
      </c>
      <c r="X98" s="423">
        <f>M98-W98</f>
        <v>0</v>
      </c>
      <c r="Y98" s="423">
        <f t="shared" si="118"/>
        <v>0</v>
      </c>
      <c r="Z98" s="423">
        <f t="shared" si="119"/>
        <v>0</v>
      </c>
      <c r="AA98" s="423">
        <f>P98</f>
        <v>0</v>
      </c>
      <c r="AB98" s="423">
        <f>Q98-AA98</f>
        <v>0</v>
      </c>
      <c r="AC98" s="423">
        <f t="shared" si="122"/>
        <v>0</v>
      </c>
      <c r="AD98" s="423">
        <f t="shared" si="123"/>
        <v>0</v>
      </c>
      <c r="AE98" s="423">
        <f>T98</f>
        <v>0</v>
      </c>
      <c r="AF98" s="423">
        <f t="shared" si="125"/>
        <v>0</v>
      </c>
    </row>
    <row r="99" spans="1:32" outlineLevel="1">
      <c r="A99" s="418" t="s">
        <v>742</v>
      </c>
      <c r="B99" s="418" t="s">
        <v>743</v>
      </c>
      <c r="D99" s="423">
        <v>0</v>
      </c>
      <c r="E99" s="423">
        <v>0</v>
      </c>
      <c r="F99" s="423">
        <v>0</v>
      </c>
      <c r="G99" s="423">
        <v>0</v>
      </c>
      <c r="H99" s="423">
        <v>0</v>
      </c>
      <c r="I99" s="423">
        <v>0</v>
      </c>
      <c r="J99" s="423">
        <v>0</v>
      </c>
      <c r="K99" s="423">
        <v>0</v>
      </c>
      <c r="L99" s="423">
        <v>0</v>
      </c>
      <c r="M99" s="423">
        <v>0</v>
      </c>
      <c r="N99" s="423">
        <v>0</v>
      </c>
      <c r="O99" s="423">
        <v>0</v>
      </c>
      <c r="P99" s="423">
        <v>0</v>
      </c>
      <c r="Q99" s="423">
        <v>0</v>
      </c>
      <c r="R99" s="423">
        <v>0</v>
      </c>
      <c r="S99" s="423">
        <v>0</v>
      </c>
      <c r="T99" s="423">
        <v>0</v>
      </c>
      <c r="U99" s="423">
        <v>0</v>
      </c>
      <c r="W99" s="423">
        <f t="shared" si="116"/>
        <v>0</v>
      </c>
      <c r="X99" s="423">
        <f t="shared" si="117"/>
        <v>0</v>
      </c>
      <c r="Y99" s="423">
        <f t="shared" si="118"/>
        <v>0</v>
      </c>
      <c r="Z99" s="423">
        <f t="shared" si="119"/>
        <v>0</v>
      </c>
      <c r="AA99" s="423">
        <f t="shared" si="120"/>
        <v>0</v>
      </c>
      <c r="AB99" s="423">
        <f t="shared" si="121"/>
        <v>0</v>
      </c>
      <c r="AC99" s="423">
        <f t="shared" si="122"/>
        <v>0</v>
      </c>
      <c r="AD99" s="423">
        <f t="shared" si="123"/>
        <v>0</v>
      </c>
      <c r="AE99" s="423">
        <f t="shared" si="124"/>
        <v>0</v>
      </c>
      <c r="AF99" s="423">
        <f t="shared" si="125"/>
        <v>0</v>
      </c>
    </row>
    <row r="100" spans="1:32">
      <c r="A100" s="417" t="s">
        <v>744</v>
      </c>
      <c r="B100" s="417" t="s">
        <v>745</v>
      </c>
      <c r="D100" s="422">
        <f t="shared" ref="D100:I100" si="126">SUM(D101:D110)</f>
        <v>-139854</v>
      </c>
      <c r="E100" s="422">
        <f t="shared" si="126"/>
        <v>-289925</v>
      </c>
      <c r="F100" s="422">
        <f t="shared" si="126"/>
        <v>-458383</v>
      </c>
      <c r="G100" s="422">
        <f t="shared" si="126"/>
        <v>-623578</v>
      </c>
      <c r="H100" s="422">
        <f t="shared" si="126"/>
        <v>-530347</v>
      </c>
      <c r="I100" s="422">
        <f t="shared" si="126"/>
        <v>-743413</v>
      </c>
      <c r="J100" s="422">
        <f t="shared" ref="J100:T100" si="127">SUM(J101:J110)</f>
        <v>-1046241</v>
      </c>
      <c r="K100" s="422">
        <f t="shared" si="127"/>
        <v>-1243559</v>
      </c>
      <c r="L100" s="422">
        <f t="shared" si="127"/>
        <v>-196719</v>
      </c>
      <c r="M100" s="422">
        <f t="shared" si="127"/>
        <v>-230055</v>
      </c>
      <c r="N100" s="422">
        <f t="shared" si="127"/>
        <v>-338955</v>
      </c>
      <c r="O100" s="422">
        <f t="shared" si="127"/>
        <v>-822656</v>
      </c>
      <c r="P100" s="422">
        <f t="shared" si="127"/>
        <v>-131455</v>
      </c>
      <c r="Q100" s="422">
        <f t="shared" si="127"/>
        <v>-304650</v>
      </c>
      <c r="R100" s="422">
        <f t="shared" si="127"/>
        <v>-491179</v>
      </c>
      <c r="S100" s="422">
        <f t="shared" si="127"/>
        <v>-633258</v>
      </c>
      <c r="T100" s="422">
        <f t="shared" si="127"/>
        <v>-51955</v>
      </c>
      <c r="U100" s="422">
        <f>SUM(U101:U110)</f>
        <v>-114336</v>
      </c>
      <c r="W100" s="422">
        <f t="shared" ref="W100:AC100" si="128">SUM(W101:W110)</f>
        <v>-196719</v>
      </c>
      <c r="X100" s="422">
        <f t="shared" si="128"/>
        <v>-33336</v>
      </c>
      <c r="Y100" s="422">
        <f t="shared" si="128"/>
        <v>-108900</v>
      </c>
      <c r="Z100" s="422">
        <f t="shared" si="128"/>
        <v>-483701</v>
      </c>
      <c r="AA100" s="422">
        <f t="shared" si="128"/>
        <v>-131455</v>
      </c>
      <c r="AB100" s="422">
        <f t="shared" si="128"/>
        <v>-173195</v>
      </c>
      <c r="AC100" s="422">
        <f t="shared" si="128"/>
        <v>-186529</v>
      </c>
      <c r="AD100" s="422">
        <f t="shared" ref="AD100:AE100" si="129">SUM(AD101:AD110)</f>
        <v>-142079</v>
      </c>
      <c r="AE100" s="422">
        <f t="shared" si="129"/>
        <v>-51955</v>
      </c>
      <c r="AF100" s="422">
        <f>SUM(AF101:AF110)</f>
        <v>-62381</v>
      </c>
    </row>
    <row r="101" spans="1:32" outlineLevel="1">
      <c r="A101" s="418" t="s">
        <v>746</v>
      </c>
      <c r="B101" s="418" t="s">
        <v>747</v>
      </c>
      <c r="D101" s="423">
        <v>-91545</v>
      </c>
      <c r="E101" s="423">
        <v>-240407</v>
      </c>
      <c r="F101" s="423">
        <v>-408210</v>
      </c>
      <c r="G101" s="423">
        <v>-572637</v>
      </c>
      <c r="H101" s="423">
        <v>-181583</v>
      </c>
      <c r="I101" s="423">
        <v>-341905</v>
      </c>
      <c r="J101" s="423">
        <v>-505788</v>
      </c>
      <c r="K101" s="423">
        <v>-662549</v>
      </c>
      <c r="L101" s="423">
        <v>-84520</v>
      </c>
      <c r="M101" s="423">
        <v>-145658</v>
      </c>
      <c r="N101" s="423">
        <v>-207926</v>
      </c>
      <c r="O101" s="423">
        <v>-495870</v>
      </c>
      <c r="P101" s="423">
        <v>-128445</v>
      </c>
      <c r="Q101" s="423">
        <v>-269474</v>
      </c>
      <c r="R101" s="423">
        <v>-429693</v>
      </c>
      <c r="S101" s="423">
        <v>-557695</v>
      </c>
      <c r="T101" s="423">
        <v>-55803</v>
      </c>
      <c r="U101" s="423">
        <v>-108891</v>
      </c>
      <c r="W101" s="423">
        <f t="shared" ref="W101:W110" si="130">L101</f>
        <v>-84520</v>
      </c>
      <c r="X101" s="423">
        <f t="shared" ref="X101:X110" si="131">M101-W101</f>
        <v>-61138</v>
      </c>
      <c r="Y101" s="423">
        <f t="shared" ref="Y101:Y110" si="132">N101-M101</f>
        <v>-62268</v>
      </c>
      <c r="Z101" s="423">
        <f t="shared" ref="Z101:Z110" si="133">O101-N101</f>
        <v>-287944</v>
      </c>
      <c r="AA101" s="423">
        <f t="shared" ref="AA101:AA110" si="134">P101</f>
        <v>-128445</v>
      </c>
      <c r="AB101" s="423">
        <f t="shared" ref="AB101:AB110" si="135">Q101-AA101</f>
        <v>-141029</v>
      </c>
      <c r="AC101" s="423">
        <f t="shared" ref="AC101:AC110" si="136">R101-Q101</f>
        <v>-160219</v>
      </c>
      <c r="AD101" s="423">
        <f t="shared" ref="AD101:AD110" si="137">S101-R101</f>
        <v>-128002</v>
      </c>
      <c r="AE101" s="423">
        <f t="shared" ref="AE101:AE110" si="138">T101</f>
        <v>-55803</v>
      </c>
      <c r="AF101" s="423">
        <f t="shared" ref="AF101:AF110" si="139">U101-T101</f>
        <v>-53088</v>
      </c>
    </row>
    <row r="102" spans="1:32" outlineLevel="1">
      <c r="A102" s="418" t="s">
        <v>748</v>
      </c>
      <c r="B102" s="418" t="s">
        <v>749</v>
      </c>
      <c r="D102" s="423">
        <v>0</v>
      </c>
      <c r="E102" s="423">
        <v>0</v>
      </c>
      <c r="F102" s="423">
        <v>0</v>
      </c>
      <c r="G102" s="423">
        <v>0</v>
      </c>
      <c r="H102" s="423">
        <v>0</v>
      </c>
      <c r="I102" s="423">
        <v>0</v>
      </c>
      <c r="J102" s="423">
        <v>0</v>
      </c>
      <c r="K102" s="423">
        <v>0</v>
      </c>
      <c r="L102" s="423">
        <v>0</v>
      </c>
      <c r="M102" s="423">
        <v>0</v>
      </c>
      <c r="N102" s="423">
        <v>0</v>
      </c>
      <c r="O102" s="423">
        <v>0</v>
      </c>
      <c r="P102" s="423">
        <v>0</v>
      </c>
      <c r="Q102" s="423">
        <v>0</v>
      </c>
      <c r="R102" s="423">
        <v>0</v>
      </c>
      <c r="S102" s="423">
        <v>0</v>
      </c>
      <c r="T102" s="423">
        <v>0</v>
      </c>
      <c r="U102" s="423">
        <v>0</v>
      </c>
      <c r="W102" s="423">
        <f t="shared" si="130"/>
        <v>0</v>
      </c>
      <c r="X102" s="423">
        <f t="shared" si="131"/>
        <v>0</v>
      </c>
      <c r="Y102" s="423">
        <f t="shared" si="132"/>
        <v>0</v>
      </c>
      <c r="Z102" s="423">
        <f t="shared" si="133"/>
        <v>0</v>
      </c>
      <c r="AA102" s="423">
        <f t="shared" si="134"/>
        <v>0</v>
      </c>
      <c r="AB102" s="423">
        <f t="shared" si="135"/>
        <v>0</v>
      </c>
      <c r="AC102" s="423">
        <f t="shared" si="136"/>
        <v>0</v>
      </c>
      <c r="AD102" s="423">
        <f t="shared" si="137"/>
        <v>0</v>
      </c>
      <c r="AE102" s="423">
        <f t="shared" si="138"/>
        <v>0</v>
      </c>
      <c r="AF102" s="423">
        <f t="shared" si="139"/>
        <v>0</v>
      </c>
    </row>
    <row r="103" spans="1:32" outlineLevel="1">
      <c r="A103" s="418" t="s">
        <v>750</v>
      </c>
      <c r="B103" s="418" t="s">
        <v>751</v>
      </c>
      <c r="D103" s="423">
        <v>0</v>
      </c>
      <c r="E103" s="423">
        <v>0</v>
      </c>
      <c r="F103" s="423">
        <v>0</v>
      </c>
      <c r="G103" s="423">
        <v>0</v>
      </c>
      <c r="H103" s="423">
        <v>0</v>
      </c>
      <c r="I103" s="423">
        <v>0</v>
      </c>
      <c r="J103" s="423">
        <v>0</v>
      </c>
      <c r="K103" s="423">
        <v>0</v>
      </c>
      <c r="L103" s="423">
        <v>0</v>
      </c>
      <c r="M103" s="423">
        <v>0</v>
      </c>
      <c r="N103" s="423">
        <v>0</v>
      </c>
      <c r="O103" s="423">
        <v>0</v>
      </c>
      <c r="P103" s="423">
        <v>0</v>
      </c>
      <c r="Q103" s="423">
        <v>0</v>
      </c>
      <c r="R103" s="423">
        <v>0</v>
      </c>
      <c r="S103" s="423">
        <v>0</v>
      </c>
      <c r="T103" s="423">
        <v>0</v>
      </c>
      <c r="U103" s="423">
        <v>0</v>
      </c>
      <c r="W103" s="423">
        <f t="shared" si="130"/>
        <v>0</v>
      </c>
      <c r="X103" s="423">
        <f t="shared" si="131"/>
        <v>0</v>
      </c>
      <c r="Y103" s="423">
        <f t="shared" si="132"/>
        <v>0</v>
      </c>
      <c r="Z103" s="423">
        <f t="shared" si="133"/>
        <v>0</v>
      </c>
      <c r="AA103" s="423">
        <f t="shared" si="134"/>
        <v>0</v>
      </c>
      <c r="AB103" s="423">
        <f t="shared" si="135"/>
        <v>0</v>
      </c>
      <c r="AC103" s="423">
        <f t="shared" si="136"/>
        <v>0</v>
      </c>
      <c r="AD103" s="423">
        <f t="shared" si="137"/>
        <v>0</v>
      </c>
      <c r="AE103" s="423">
        <f t="shared" si="138"/>
        <v>0</v>
      </c>
      <c r="AF103" s="423">
        <f t="shared" si="139"/>
        <v>0</v>
      </c>
    </row>
    <row r="104" spans="1:32" outlineLevel="1">
      <c r="A104" s="418" t="s">
        <v>741</v>
      </c>
      <c r="B104" s="418" t="s">
        <v>2536</v>
      </c>
      <c r="D104" s="423"/>
      <c r="E104" s="423"/>
      <c r="F104" s="423"/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>
        <v>0</v>
      </c>
      <c r="R104" s="423">
        <v>0</v>
      </c>
      <c r="S104" s="423">
        <v>0</v>
      </c>
      <c r="T104" s="423">
        <v>0</v>
      </c>
      <c r="U104" s="423">
        <v>0</v>
      </c>
      <c r="W104" s="423">
        <f>L104</f>
        <v>0</v>
      </c>
      <c r="X104" s="423">
        <f>M104-W104</f>
        <v>0</v>
      </c>
      <c r="Y104" s="423">
        <f t="shared" si="132"/>
        <v>0</v>
      </c>
      <c r="Z104" s="423">
        <f t="shared" si="133"/>
        <v>0</v>
      </c>
      <c r="AA104" s="423">
        <f>P104</f>
        <v>0</v>
      </c>
      <c r="AB104" s="423">
        <f>Q104-AA104</f>
        <v>0</v>
      </c>
      <c r="AC104" s="423">
        <f t="shared" si="136"/>
        <v>0</v>
      </c>
      <c r="AD104" s="423">
        <f t="shared" si="137"/>
        <v>0</v>
      </c>
      <c r="AE104" s="423">
        <f>T104</f>
        <v>0</v>
      </c>
      <c r="AF104" s="423">
        <f t="shared" si="139"/>
        <v>0</v>
      </c>
    </row>
    <row r="105" spans="1:32" outlineLevel="1">
      <c r="A105" s="418" t="s">
        <v>752</v>
      </c>
      <c r="B105" s="418" t="s">
        <v>753</v>
      </c>
      <c r="D105" s="423">
        <v>0</v>
      </c>
      <c r="E105" s="423">
        <v>0</v>
      </c>
      <c r="F105" s="423">
        <v>0</v>
      </c>
      <c r="G105" s="423">
        <v>0</v>
      </c>
      <c r="H105" s="423">
        <v>0</v>
      </c>
      <c r="I105" s="423">
        <v>0</v>
      </c>
      <c r="J105" s="423">
        <v>0</v>
      </c>
      <c r="K105" s="423">
        <v>0</v>
      </c>
      <c r="L105" s="423">
        <v>0</v>
      </c>
      <c r="M105" s="423">
        <v>0</v>
      </c>
      <c r="N105" s="423">
        <v>0</v>
      </c>
      <c r="O105" s="423">
        <v>0</v>
      </c>
      <c r="P105" s="423">
        <v>0</v>
      </c>
      <c r="Q105" s="423">
        <v>0</v>
      </c>
      <c r="R105" s="423">
        <v>0</v>
      </c>
      <c r="S105" s="423">
        <v>0</v>
      </c>
      <c r="T105" s="423">
        <v>0</v>
      </c>
      <c r="U105" s="423">
        <v>0</v>
      </c>
      <c r="W105" s="423">
        <f>L105</f>
        <v>0</v>
      </c>
      <c r="X105" s="423">
        <f>M105-W105</f>
        <v>0</v>
      </c>
      <c r="Y105" s="423">
        <f t="shared" si="132"/>
        <v>0</v>
      </c>
      <c r="Z105" s="423">
        <f t="shared" si="133"/>
        <v>0</v>
      </c>
      <c r="AA105" s="423">
        <f>P105</f>
        <v>0</v>
      </c>
      <c r="AB105" s="423">
        <f>Q105-AA105</f>
        <v>0</v>
      </c>
      <c r="AC105" s="423">
        <f t="shared" si="136"/>
        <v>0</v>
      </c>
      <c r="AD105" s="423">
        <f t="shared" si="137"/>
        <v>0</v>
      </c>
      <c r="AE105" s="423">
        <f>T105</f>
        <v>0</v>
      </c>
      <c r="AF105" s="423">
        <f t="shared" si="139"/>
        <v>0</v>
      </c>
    </row>
    <row r="106" spans="1:32" outlineLevel="1">
      <c r="A106" s="418" t="s">
        <v>754</v>
      </c>
      <c r="B106" s="418" t="s">
        <v>755</v>
      </c>
      <c r="D106" s="423">
        <v>0</v>
      </c>
      <c r="E106" s="423">
        <v>0</v>
      </c>
      <c r="F106" s="423">
        <v>0</v>
      </c>
      <c r="G106" s="423">
        <v>0</v>
      </c>
      <c r="H106" s="423">
        <v>0</v>
      </c>
      <c r="I106" s="423">
        <v>0</v>
      </c>
      <c r="J106" s="423">
        <v>0</v>
      </c>
      <c r="K106" s="423">
        <v>0</v>
      </c>
      <c r="L106" s="423">
        <v>0</v>
      </c>
      <c r="M106" s="423">
        <v>0</v>
      </c>
      <c r="N106" s="423">
        <v>0</v>
      </c>
      <c r="O106" s="423">
        <v>0</v>
      </c>
      <c r="P106" s="423">
        <v>0</v>
      </c>
      <c r="Q106" s="423">
        <v>0</v>
      </c>
      <c r="R106" s="423">
        <v>0</v>
      </c>
      <c r="S106" s="423">
        <v>0</v>
      </c>
      <c r="T106" s="423">
        <v>0</v>
      </c>
      <c r="U106" s="423">
        <v>0</v>
      </c>
      <c r="W106" s="423">
        <f>L106</f>
        <v>0</v>
      </c>
      <c r="X106" s="423">
        <f>M106-W106</f>
        <v>0</v>
      </c>
      <c r="Y106" s="423">
        <f t="shared" si="132"/>
        <v>0</v>
      </c>
      <c r="Z106" s="423">
        <f t="shared" si="133"/>
        <v>0</v>
      </c>
      <c r="AA106" s="423">
        <f>P106</f>
        <v>0</v>
      </c>
      <c r="AB106" s="423">
        <f>Q106-AA106</f>
        <v>0</v>
      </c>
      <c r="AC106" s="423">
        <f t="shared" si="136"/>
        <v>0</v>
      </c>
      <c r="AD106" s="423">
        <f t="shared" si="137"/>
        <v>0</v>
      </c>
      <c r="AE106" s="423">
        <f>T106</f>
        <v>0</v>
      </c>
      <c r="AF106" s="423">
        <f t="shared" si="139"/>
        <v>0</v>
      </c>
    </row>
    <row r="107" spans="1:32" outlineLevel="1">
      <c r="A107" s="418" t="s">
        <v>756</v>
      </c>
      <c r="B107" s="418" t="s">
        <v>757</v>
      </c>
      <c r="D107" s="423">
        <v>-8</v>
      </c>
      <c r="E107" s="423">
        <v>-9</v>
      </c>
      <c r="F107" s="423">
        <v>-10</v>
      </c>
      <c r="G107" s="423">
        <v>0</v>
      </c>
      <c r="H107" s="423">
        <v>0</v>
      </c>
      <c r="I107" s="423">
        <v>-9</v>
      </c>
      <c r="J107" s="423">
        <v>-17</v>
      </c>
      <c r="K107" s="423">
        <v>-19</v>
      </c>
      <c r="L107" s="423">
        <v>0</v>
      </c>
      <c r="M107" s="423">
        <v>-1</v>
      </c>
      <c r="N107" s="423">
        <v>-19</v>
      </c>
      <c r="O107" s="423">
        <v>-19</v>
      </c>
      <c r="P107" s="423">
        <v>-609</v>
      </c>
      <c r="Q107" s="423">
        <v>-614</v>
      </c>
      <c r="R107" s="423">
        <v>-614</v>
      </c>
      <c r="S107" s="423">
        <v>-614</v>
      </c>
      <c r="T107" s="423">
        <v>-395</v>
      </c>
      <c r="U107" s="423">
        <v>-395</v>
      </c>
      <c r="W107" s="423">
        <f>L107</f>
        <v>0</v>
      </c>
      <c r="X107" s="423">
        <f>M107-W107</f>
        <v>-1</v>
      </c>
      <c r="Y107" s="423">
        <f t="shared" si="132"/>
        <v>-18</v>
      </c>
      <c r="Z107" s="423">
        <f t="shared" si="133"/>
        <v>0</v>
      </c>
      <c r="AA107" s="423">
        <f>P107</f>
        <v>-609</v>
      </c>
      <c r="AB107" s="423">
        <f>Q107-AA107</f>
        <v>-5</v>
      </c>
      <c r="AC107" s="423">
        <f t="shared" si="136"/>
        <v>0</v>
      </c>
      <c r="AD107" s="423">
        <f t="shared" si="137"/>
        <v>0</v>
      </c>
      <c r="AE107" s="423">
        <f>T107</f>
        <v>-395</v>
      </c>
      <c r="AF107" s="423">
        <f t="shared" si="139"/>
        <v>0</v>
      </c>
    </row>
    <row r="108" spans="1:32" outlineLevel="1">
      <c r="A108" s="418" t="s">
        <v>758</v>
      </c>
      <c r="B108" s="418" t="s">
        <v>759</v>
      </c>
      <c r="D108" s="423">
        <v>0</v>
      </c>
      <c r="E108" s="423">
        <v>0</v>
      </c>
      <c r="F108" s="423">
        <v>0</v>
      </c>
      <c r="G108" s="423">
        <v>0</v>
      </c>
      <c r="H108" s="423">
        <v>0</v>
      </c>
      <c r="I108" s="423">
        <v>0</v>
      </c>
      <c r="J108" s="423">
        <v>0</v>
      </c>
      <c r="K108" s="423">
        <v>0</v>
      </c>
      <c r="L108" s="423">
        <v>0</v>
      </c>
      <c r="M108" s="423">
        <v>0</v>
      </c>
      <c r="N108" s="423">
        <v>0</v>
      </c>
      <c r="O108" s="423">
        <v>0</v>
      </c>
      <c r="P108" s="423">
        <v>0</v>
      </c>
      <c r="Q108" s="423">
        <v>0</v>
      </c>
      <c r="R108" s="423">
        <v>0</v>
      </c>
      <c r="S108" s="423">
        <v>0</v>
      </c>
      <c r="T108" s="423">
        <v>0</v>
      </c>
      <c r="U108" s="423">
        <v>0</v>
      </c>
      <c r="W108" s="423">
        <f t="shared" si="130"/>
        <v>0</v>
      </c>
      <c r="X108" s="423">
        <f t="shared" si="131"/>
        <v>0</v>
      </c>
      <c r="Y108" s="423">
        <f t="shared" si="132"/>
        <v>0</v>
      </c>
      <c r="Z108" s="423">
        <f t="shared" si="133"/>
        <v>0</v>
      </c>
      <c r="AA108" s="423">
        <f t="shared" si="134"/>
        <v>0</v>
      </c>
      <c r="AB108" s="423">
        <f t="shared" si="135"/>
        <v>0</v>
      </c>
      <c r="AC108" s="423">
        <f t="shared" si="136"/>
        <v>0</v>
      </c>
      <c r="AD108" s="423">
        <f t="shared" si="137"/>
        <v>0</v>
      </c>
      <c r="AE108" s="423">
        <f t="shared" si="138"/>
        <v>0</v>
      </c>
      <c r="AF108" s="423">
        <f t="shared" si="139"/>
        <v>0</v>
      </c>
    </row>
    <row r="109" spans="1:32" outlineLevel="1">
      <c r="A109" s="418" t="s">
        <v>760</v>
      </c>
      <c r="B109" s="418" t="s">
        <v>761</v>
      </c>
      <c r="D109" s="423">
        <v>0</v>
      </c>
      <c r="E109" s="423">
        <v>0</v>
      </c>
      <c r="F109" s="423">
        <v>0</v>
      </c>
      <c r="G109" s="423">
        <v>0</v>
      </c>
      <c r="H109" s="423">
        <v>0</v>
      </c>
      <c r="I109" s="423">
        <v>0</v>
      </c>
      <c r="J109" s="423">
        <v>0</v>
      </c>
      <c r="K109" s="423">
        <v>0</v>
      </c>
      <c r="L109" s="423">
        <v>0</v>
      </c>
      <c r="M109" s="423">
        <v>0</v>
      </c>
      <c r="N109" s="423">
        <v>0</v>
      </c>
      <c r="O109" s="423">
        <v>0</v>
      </c>
      <c r="P109" s="423">
        <v>0</v>
      </c>
      <c r="Q109" s="423">
        <v>0</v>
      </c>
      <c r="R109" s="423">
        <v>0</v>
      </c>
      <c r="S109" s="423">
        <v>0</v>
      </c>
      <c r="T109" s="423">
        <v>0</v>
      </c>
      <c r="U109" s="423">
        <v>0</v>
      </c>
      <c r="W109" s="423">
        <f t="shared" si="130"/>
        <v>0</v>
      </c>
      <c r="X109" s="423">
        <f t="shared" si="131"/>
        <v>0</v>
      </c>
      <c r="Y109" s="423">
        <f t="shared" si="132"/>
        <v>0</v>
      </c>
      <c r="Z109" s="423">
        <f t="shared" si="133"/>
        <v>0</v>
      </c>
      <c r="AA109" s="423">
        <f t="shared" si="134"/>
        <v>0</v>
      </c>
      <c r="AB109" s="423">
        <f t="shared" si="135"/>
        <v>0</v>
      </c>
      <c r="AC109" s="423">
        <f t="shared" si="136"/>
        <v>0</v>
      </c>
      <c r="AD109" s="423">
        <f t="shared" si="137"/>
        <v>0</v>
      </c>
      <c r="AE109" s="423">
        <f t="shared" si="138"/>
        <v>0</v>
      </c>
      <c r="AF109" s="423">
        <f t="shared" si="139"/>
        <v>0</v>
      </c>
    </row>
    <row r="110" spans="1:32" outlineLevel="1">
      <c r="A110" s="418" t="s">
        <v>762</v>
      </c>
      <c r="B110" s="418" t="s">
        <v>763</v>
      </c>
      <c r="D110" s="423">
        <v>-48301</v>
      </c>
      <c r="E110" s="423">
        <v>-49509</v>
      </c>
      <c r="F110" s="423">
        <v>-50163</v>
      </c>
      <c r="G110" s="423">
        <v>-50941</v>
      </c>
      <c r="H110" s="423">
        <v>-348764</v>
      </c>
      <c r="I110" s="423">
        <v>-401499</v>
      </c>
      <c r="J110" s="423">
        <v>-540436</v>
      </c>
      <c r="K110" s="423">
        <v>-580991</v>
      </c>
      <c r="L110" s="423">
        <v>-112199</v>
      </c>
      <c r="M110" s="423">
        <v>-84396</v>
      </c>
      <c r="N110" s="423">
        <v>-131010</v>
      </c>
      <c r="O110" s="423">
        <v>-326767</v>
      </c>
      <c r="P110" s="423">
        <v>-2401</v>
      </c>
      <c r="Q110" s="423">
        <v>-34562</v>
      </c>
      <c r="R110" s="423">
        <v>-60872</v>
      </c>
      <c r="S110" s="423">
        <v>-74949</v>
      </c>
      <c r="T110" s="423">
        <v>4243</v>
      </c>
      <c r="U110" s="423">
        <v>-5050</v>
      </c>
      <c r="W110" s="423">
        <f t="shared" si="130"/>
        <v>-112199</v>
      </c>
      <c r="X110" s="423">
        <f t="shared" si="131"/>
        <v>27803</v>
      </c>
      <c r="Y110" s="423">
        <f t="shared" si="132"/>
        <v>-46614</v>
      </c>
      <c r="Z110" s="423">
        <f t="shared" si="133"/>
        <v>-195757</v>
      </c>
      <c r="AA110" s="423">
        <f t="shared" si="134"/>
        <v>-2401</v>
      </c>
      <c r="AB110" s="423">
        <f t="shared" si="135"/>
        <v>-32161</v>
      </c>
      <c r="AC110" s="423">
        <f t="shared" si="136"/>
        <v>-26310</v>
      </c>
      <c r="AD110" s="423">
        <f t="shared" si="137"/>
        <v>-14077</v>
      </c>
      <c r="AE110" s="423">
        <f t="shared" si="138"/>
        <v>4243</v>
      </c>
      <c r="AF110" s="423">
        <f t="shared" si="139"/>
        <v>-9293</v>
      </c>
    </row>
    <row r="111" spans="1:32">
      <c r="A111" s="417"/>
      <c r="B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</row>
    <row r="112" spans="1:32">
      <c r="A112" s="429" t="s">
        <v>764</v>
      </c>
      <c r="B112" s="429" t="s">
        <v>765</v>
      </c>
      <c r="D112" s="420">
        <f t="shared" ref="D112:I112" si="140">D86+D88</f>
        <v>593420</v>
      </c>
      <c r="E112" s="420">
        <f t="shared" si="140"/>
        <v>484799</v>
      </c>
      <c r="F112" s="420">
        <f t="shared" si="140"/>
        <v>954214</v>
      </c>
      <c r="G112" s="420">
        <f t="shared" si="140"/>
        <v>1432429</v>
      </c>
      <c r="H112" s="420">
        <f t="shared" si="140"/>
        <v>63154</v>
      </c>
      <c r="I112" s="420">
        <f t="shared" si="140"/>
        <v>563139</v>
      </c>
      <c r="J112" s="420">
        <f t="shared" ref="J112:T112" si="141">J86+J88</f>
        <v>1264547</v>
      </c>
      <c r="K112" s="420">
        <f t="shared" si="141"/>
        <v>1951722</v>
      </c>
      <c r="L112" s="420">
        <f t="shared" si="141"/>
        <v>243214</v>
      </c>
      <c r="M112" s="420">
        <f t="shared" si="141"/>
        <v>769029</v>
      </c>
      <c r="N112" s="420">
        <f t="shared" si="141"/>
        <v>1537696</v>
      </c>
      <c r="O112" s="420">
        <f t="shared" si="141"/>
        <v>2755921</v>
      </c>
      <c r="P112" s="420">
        <f t="shared" si="141"/>
        <v>574768</v>
      </c>
      <c r="Q112" s="420">
        <f t="shared" si="141"/>
        <v>1641255</v>
      </c>
      <c r="R112" s="420">
        <f t="shared" si="141"/>
        <v>2136407</v>
      </c>
      <c r="S112" s="420">
        <f t="shared" si="141"/>
        <v>1179847</v>
      </c>
      <c r="T112" s="741">
        <f t="shared" si="141"/>
        <v>431994</v>
      </c>
      <c r="U112" s="741">
        <f>U86+U88</f>
        <v>885327</v>
      </c>
      <c r="W112" s="420">
        <f t="shared" ref="W112:AC112" si="142">W86+W88</f>
        <v>243214</v>
      </c>
      <c r="X112" s="420">
        <f t="shared" si="142"/>
        <v>525815</v>
      </c>
      <c r="Y112" s="420">
        <f t="shared" si="142"/>
        <v>768667</v>
      </c>
      <c r="Z112" s="420">
        <f t="shared" si="142"/>
        <v>1218225</v>
      </c>
      <c r="AA112" s="420">
        <f t="shared" si="142"/>
        <v>574768</v>
      </c>
      <c r="AB112" s="420">
        <f t="shared" si="142"/>
        <v>1066487</v>
      </c>
      <c r="AC112" s="420">
        <f t="shared" si="142"/>
        <v>495152</v>
      </c>
      <c r="AD112" s="420">
        <f t="shared" ref="AD112:AE112" si="143">AD86+AD88</f>
        <v>-956560</v>
      </c>
      <c r="AE112" s="420">
        <f t="shared" si="143"/>
        <v>431994</v>
      </c>
      <c r="AF112" s="741">
        <f>AF86+AF88</f>
        <v>453333</v>
      </c>
    </row>
    <row r="114" spans="1:32">
      <c r="A114" s="416" t="s">
        <v>766</v>
      </c>
      <c r="B114" s="416" t="s">
        <v>767</v>
      </c>
      <c r="D114" s="424">
        <f t="shared" ref="D114:I114" si="144">SUM(D116:D119)</f>
        <v>-13344</v>
      </c>
      <c r="E114" s="424">
        <f t="shared" si="144"/>
        <v>-26873</v>
      </c>
      <c r="F114" s="424">
        <f t="shared" si="144"/>
        <v>-40180</v>
      </c>
      <c r="G114" s="424">
        <f t="shared" si="144"/>
        <v>-58491</v>
      </c>
      <c r="H114" s="424">
        <f t="shared" si="144"/>
        <v>100532</v>
      </c>
      <c r="I114" s="424">
        <f t="shared" si="144"/>
        <v>118246</v>
      </c>
      <c r="J114" s="424">
        <f t="shared" ref="J114:T114" si="145">SUM(J116:J119)</f>
        <v>136861</v>
      </c>
      <c r="K114" s="424">
        <f t="shared" si="145"/>
        <v>123871</v>
      </c>
      <c r="L114" s="424">
        <f t="shared" si="145"/>
        <v>36230</v>
      </c>
      <c r="M114" s="424">
        <f t="shared" si="145"/>
        <v>18890</v>
      </c>
      <c r="N114" s="424">
        <f t="shared" si="145"/>
        <v>10294</v>
      </c>
      <c r="O114" s="424">
        <f t="shared" si="145"/>
        <v>55754</v>
      </c>
      <c r="P114" s="424">
        <f t="shared" si="145"/>
        <v>-18600</v>
      </c>
      <c r="Q114" s="424">
        <f t="shared" si="145"/>
        <v>-11486</v>
      </c>
      <c r="R114" s="424">
        <f t="shared" si="145"/>
        <v>-2669</v>
      </c>
      <c r="S114" s="424">
        <f t="shared" si="145"/>
        <v>27813</v>
      </c>
      <c r="T114" s="424">
        <f t="shared" si="145"/>
        <v>-7529</v>
      </c>
      <c r="U114" s="424">
        <f>SUM(U116:U119)</f>
        <v>-197</v>
      </c>
      <c r="W114" s="424">
        <f t="shared" ref="W114:AC114" si="146">SUM(W116:W119)</f>
        <v>36230</v>
      </c>
      <c r="X114" s="424">
        <f t="shared" si="146"/>
        <v>-17340</v>
      </c>
      <c r="Y114" s="424">
        <f t="shared" si="146"/>
        <v>-8596</v>
      </c>
      <c r="Z114" s="424">
        <f t="shared" si="146"/>
        <v>45460</v>
      </c>
      <c r="AA114" s="424">
        <f t="shared" si="146"/>
        <v>-18600</v>
      </c>
      <c r="AB114" s="424">
        <f t="shared" si="146"/>
        <v>7114</v>
      </c>
      <c r="AC114" s="424">
        <f t="shared" si="146"/>
        <v>8817</v>
      </c>
      <c r="AD114" s="424">
        <f t="shared" ref="AD114:AE114" si="147">SUM(AD116:AD119)</f>
        <v>30482</v>
      </c>
      <c r="AE114" s="424">
        <f t="shared" si="147"/>
        <v>-7529</v>
      </c>
      <c r="AF114" s="424">
        <f>SUM(AF116:AF119)</f>
        <v>7332</v>
      </c>
    </row>
    <row r="115" spans="1:32">
      <c r="P115" s="417"/>
      <c r="Q115" s="417"/>
      <c r="R115" s="417"/>
      <c r="S115" s="417"/>
      <c r="T115" s="417"/>
      <c r="U115" s="417"/>
      <c r="AA115" s="417"/>
      <c r="AB115" s="417"/>
      <c r="AC115" s="417"/>
      <c r="AD115" s="417"/>
      <c r="AE115" s="417"/>
      <c r="AF115" s="417"/>
    </row>
    <row r="116" spans="1:32">
      <c r="A116" s="417" t="s">
        <v>768</v>
      </c>
      <c r="B116" s="417" t="s">
        <v>769</v>
      </c>
      <c r="D116" s="425">
        <v>0</v>
      </c>
      <c r="E116" s="425">
        <v>0</v>
      </c>
      <c r="F116" s="425">
        <v>0</v>
      </c>
      <c r="G116" s="425">
        <v>0</v>
      </c>
      <c r="H116" s="425">
        <v>0</v>
      </c>
      <c r="I116" s="425">
        <v>0</v>
      </c>
      <c r="J116" s="425">
        <v>0</v>
      </c>
      <c r="K116" s="425">
        <v>0</v>
      </c>
      <c r="L116" s="425">
        <v>0</v>
      </c>
      <c r="M116" s="425">
        <v>0</v>
      </c>
      <c r="N116" s="425">
        <v>-24</v>
      </c>
      <c r="O116" s="425">
        <v>-24</v>
      </c>
      <c r="P116" s="425">
        <v>0</v>
      </c>
      <c r="Q116" s="425">
        <v>0</v>
      </c>
      <c r="R116" s="425">
        <v>0</v>
      </c>
      <c r="S116" s="425">
        <v>0</v>
      </c>
      <c r="T116" s="425">
        <v>-2064</v>
      </c>
      <c r="U116" s="756">
        <v>-70</v>
      </c>
      <c r="W116" s="425">
        <f>L116</f>
        <v>0</v>
      </c>
      <c r="X116" s="425">
        <f>M116-W116</f>
        <v>0</v>
      </c>
      <c r="Y116" s="425">
        <f t="shared" ref="Y116:Z119" si="148">N116-M116</f>
        <v>-24</v>
      </c>
      <c r="Z116" s="425">
        <f t="shared" si="148"/>
        <v>0</v>
      </c>
      <c r="AA116" s="425">
        <f>P116</f>
        <v>0</v>
      </c>
      <c r="AB116" s="425">
        <f t="shared" ref="AB116:AB119" si="149">Q116-AA116</f>
        <v>0</v>
      </c>
      <c r="AC116" s="425">
        <f t="shared" ref="AC116:AD119" si="150">R116-Q116</f>
        <v>0</v>
      </c>
      <c r="AD116" s="425">
        <f t="shared" si="150"/>
        <v>0</v>
      </c>
      <c r="AE116" s="425">
        <f>T116</f>
        <v>-2064</v>
      </c>
      <c r="AF116" s="756">
        <f>U116-T116</f>
        <v>1994</v>
      </c>
    </row>
    <row r="117" spans="1:32">
      <c r="A117" s="417" t="s">
        <v>770</v>
      </c>
      <c r="B117" s="417" t="s">
        <v>771</v>
      </c>
      <c r="D117" s="425">
        <v>0</v>
      </c>
      <c r="E117" s="425">
        <v>0</v>
      </c>
      <c r="F117" s="425">
        <v>0</v>
      </c>
      <c r="G117" s="425">
        <v>0</v>
      </c>
      <c r="H117" s="425">
        <v>0</v>
      </c>
      <c r="I117" s="425">
        <v>0</v>
      </c>
      <c r="J117" s="425">
        <v>0</v>
      </c>
      <c r="K117" s="425">
        <v>0</v>
      </c>
      <c r="L117" s="425">
        <v>-111</v>
      </c>
      <c r="M117" s="425">
        <v>0</v>
      </c>
      <c r="N117" s="425">
        <v>-66</v>
      </c>
      <c r="O117" s="425">
        <v>-66</v>
      </c>
      <c r="P117" s="425">
        <v>0</v>
      </c>
      <c r="Q117" s="425">
        <v>0</v>
      </c>
      <c r="R117" s="425">
        <v>0</v>
      </c>
      <c r="S117" s="425">
        <v>0</v>
      </c>
      <c r="T117" s="425">
        <v>-6209</v>
      </c>
      <c r="U117" s="756">
        <v>-871</v>
      </c>
      <c r="W117" s="425">
        <f>L117</f>
        <v>-111</v>
      </c>
      <c r="X117" s="425">
        <f>M117-W117</f>
        <v>111</v>
      </c>
      <c r="Y117" s="425">
        <f t="shared" si="148"/>
        <v>-66</v>
      </c>
      <c r="Z117" s="425">
        <f t="shared" si="148"/>
        <v>0</v>
      </c>
      <c r="AA117" s="425">
        <f>P117</f>
        <v>0</v>
      </c>
      <c r="AB117" s="425">
        <f t="shared" si="149"/>
        <v>0</v>
      </c>
      <c r="AC117" s="425">
        <f t="shared" si="150"/>
        <v>0</v>
      </c>
      <c r="AD117" s="425">
        <f t="shared" si="150"/>
        <v>0</v>
      </c>
      <c r="AE117" s="425">
        <f>T117</f>
        <v>-6209</v>
      </c>
      <c r="AF117" s="756">
        <f>U117-T117</f>
        <v>5338</v>
      </c>
    </row>
    <row r="118" spans="1:32">
      <c r="A118" s="417" t="s">
        <v>772</v>
      </c>
      <c r="B118" s="417" t="s">
        <v>773</v>
      </c>
      <c r="D118" s="425">
        <v>0</v>
      </c>
      <c r="E118" s="425">
        <v>0</v>
      </c>
      <c r="F118" s="425">
        <v>0</v>
      </c>
      <c r="G118" s="425">
        <v>0</v>
      </c>
      <c r="H118" s="425">
        <v>0</v>
      </c>
      <c r="I118" s="425">
        <v>0</v>
      </c>
      <c r="J118" s="425">
        <v>0</v>
      </c>
      <c r="K118" s="425">
        <v>0</v>
      </c>
      <c r="L118" s="425">
        <v>0</v>
      </c>
      <c r="M118" s="425">
        <v>0</v>
      </c>
      <c r="N118" s="425">
        <v>0</v>
      </c>
      <c r="O118" s="425">
        <v>0</v>
      </c>
      <c r="P118" s="425">
        <v>0</v>
      </c>
      <c r="Q118" s="425">
        <v>0</v>
      </c>
      <c r="R118" s="425">
        <v>0</v>
      </c>
      <c r="S118" s="425">
        <v>0</v>
      </c>
      <c r="T118" s="425">
        <v>0</v>
      </c>
      <c r="U118" s="756">
        <v>0</v>
      </c>
      <c r="W118" s="425">
        <f>L118</f>
        <v>0</v>
      </c>
      <c r="X118" s="425">
        <f>M118-W118</f>
        <v>0</v>
      </c>
      <c r="Y118" s="425">
        <f t="shared" si="148"/>
        <v>0</v>
      </c>
      <c r="Z118" s="425">
        <f t="shared" si="148"/>
        <v>0</v>
      </c>
      <c r="AA118" s="425">
        <f>P118</f>
        <v>0</v>
      </c>
      <c r="AB118" s="425">
        <f t="shared" si="149"/>
        <v>0</v>
      </c>
      <c r="AC118" s="425">
        <f t="shared" si="150"/>
        <v>0</v>
      </c>
      <c r="AD118" s="425">
        <f t="shared" si="150"/>
        <v>0</v>
      </c>
      <c r="AE118" s="425">
        <f>T118</f>
        <v>0</v>
      </c>
      <c r="AF118" s="756">
        <f>U118-T118</f>
        <v>0</v>
      </c>
    </row>
    <row r="119" spans="1:32">
      <c r="A119" s="417" t="s">
        <v>774</v>
      </c>
      <c r="B119" s="417" t="s">
        <v>775</v>
      </c>
      <c r="D119" s="425">
        <v>-13344</v>
      </c>
      <c r="E119" s="425">
        <v>-26873</v>
      </c>
      <c r="F119" s="425">
        <v>-40180</v>
      </c>
      <c r="G119" s="425">
        <v>-58491</v>
      </c>
      <c r="H119" s="425">
        <v>100532</v>
      </c>
      <c r="I119" s="425">
        <v>118246</v>
      </c>
      <c r="J119" s="425">
        <v>136861</v>
      </c>
      <c r="K119" s="425">
        <v>123871</v>
      </c>
      <c r="L119" s="425">
        <v>36341</v>
      </c>
      <c r="M119" s="425">
        <v>18890</v>
      </c>
      <c r="N119" s="425">
        <v>10384</v>
      </c>
      <c r="O119" s="425">
        <v>55844</v>
      </c>
      <c r="P119" s="425">
        <v>-18600</v>
      </c>
      <c r="Q119" s="425">
        <v>-11486</v>
      </c>
      <c r="R119" s="425">
        <v>-2669</v>
      </c>
      <c r="S119" s="425">
        <v>27813</v>
      </c>
      <c r="T119" s="425">
        <v>744</v>
      </c>
      <c r="U119" s="756">
        <v>744</v>
      </c>
      <c r="W119" s="425">
        <f>L119</f>
        <v>36341</v>
      </c>
      <c r="X119" s="425">
        <f>M119-W119</f>
        <v>-17451</v>
      </c>
      <c r="Y119" s="425">
        <f t="shared" si="148"/>
        <v>-8506</v>
      </c>
      <c r="Z119" s="425">
        <f t="shared" si="148"/>
        <v>45460</v>
      </c>
      <c r="AA119" s="425">
        <f>P119</f>
        <v>-18600</v>
      </c>
      <c r="AB119" s="425">
        <f t="shared" si="149"/>
        <v>7114</v>
      </c>
      <c r="AC119" s="425">
        <f t="shared" si="150"/>
        <v>8817</v>
      </c>
      <c r="AD119" s="425">
        <f t="shared" si="150"/>
        <v>30482</v>
      </c>
      <c r="AE119" s="425">
        <f>T119</f>
        <v>744</v>
      </c>
      <c r="AF119" s="756">
        <f>U119-T119</f>
        <v>0</v>
      </c>
    </row>
    <row r="120" spans="1:32">
      <c r="A120" s="417"/>
      <c r="B120" s="417"/>
      <c r="D120" s="417"/>
      <c r="E120" s="417"/>
      <c r="F120" s="417"/>
      <c r="G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</row>
    <row r="121" spans="1:32" ht="15" thickBot="1">
      <c r="A121" s="430" t="s">
        <v>776</v>
      </c>
      <c r="B121" s="430" t="s">
        <v>777</v>
      </c>
      <c r="D121" s="426">
        <f t="shared" ref="D121:I121" si="151">D112+D114</f>
        <v>580076</v>
      </c>
      <c r="E121" s="426">
        <f t="shared" si="151"/>
        <v>457926</v>
      </c>
      <c r="F121" s="426">
        <f t="shared" si="151"/>
        <v>914034</v>
      </c>
      <c r="G121" s="426">
        <f t="shared" si="151"/>
        <v>1373938</v>
      </c>
      <c r="H121" s="426">
        <f t="shared" si="151"/>
        <v>163686</v>
      </c>
      <c r="I121" s="426">
        <f t="shared" si="151"/>
        <v>681385</v>
      </c>
      <c r="J121" s="426">
        <f t="shared" ref="J121:T121" si="152">J112+J114</f>
        <v>1401408</v>
      </c>
      <c r="K121" s="426">
        <f t="shared" si="152"/>
        <v>2075593</v>
      </c>
      <c r="L121" s="426">
        <f t="shared" si="152"/>
        <v>279444</v>
      </c>
      <c r="M121" s="426">
        <f t="shared" si="152"/>
        <v>787919</v>
      </c>
      <c r="N121" s="426">
        <f t="shared" si="152"/>
        <v>1547990</v>
      </c>
      <c r="O121" s="426">
        <f t="shared" si="152"/>
        <v>2811675</v>
      </c>
      <c r="P121" s="426">
        <f t="shared" si="152"/>
        <v>556168</v>
      </c>
      <c r="Q121" s="426">
        <f t="shared" si="152"/>
        <v>1629769</v>
      </c>
      <c r="R121" s="426">
        <f t="shared" si="152"/>
        <v>2133738</v>
      </c>
      <c r="S121" s="426">
        <f t="shared" si="152"/>
        <v>1207660</v>
      </c>
      <c r="T121" s="426">
        <f t="shared" si="152"/>
        <v>424465</v>
      </c>
      <c r="U121" s="426">
        <f>U112+U114</f>
        <v>885130</v>
      </c>
      <c r="W121" s="426">
        <f t="shared" ref="W121:AC121" si="153">W112+W114</f>
        <v>279444</v>
      </c>
      <c r="X121" s="426">
        <f t="shared" si="153"/>
        <v>508475</v>
      </c>
      <c r="Y121" s="426">
        <f t="shared" si="153"/>
        <v>760071</v>
      </c>
      <c r="Z121" s="426">
        <f t="shared" si="153"/>
        <v>1263685</v>
      </c>
      <c r="AA121" s="426">
        <f t="shared" si="153"/>
        <v>556168</v>
      </c>
      <c r="AB121" s="426">
        <f t="shared" si="153"/>
        <v>1073601</v>
      </c>
      <c r="AC121" s="426">
        <f t="shared" si="153"/>
        <v>503969</v>
      </c>
      <c r="AD121" s="426">
        <f t="shared" ref="AD121:AE121" si="154">AD112+AD114</f>
        <v>-926078</v>
      </c>
      <c r="AE121" s="426">
        <f t="shared" si="154"/>
        <v>424465</v>
      </c>
      <c r="AF121" s="426">
        <f>AF112+AF114</f>
        <v>460665</v>
      </c>
    </row>
    <row r="122" spans="1:32" ht="15" thickTop="1">
      <c r="A122" s="417"/>
      <c r="B122" s="417"/>
      <c r="D122" s="417"/>
      <c r="E122" s="417"/>
      <c r="F122" s="417"/>
      <c r="G122" s="417"/>
      <c r="H122" s="417"/>
      <c r="I122" s="417"/>
      <c r="J122" s="417"/>
      <c r="K122" s="417"/>
      <c r="L122" s="417"/>
      <c r="M122" s="417"/>
      <c r="N122" s="417"/>
      <c r="O122" s="417"/>
      <c r="P122" s="417"/>
      <c r="Q122" s="417"/>
      <c r="R122" s="417"/>
      <c r="S122" s="417"/>
      <c r="T122" s="417"/>
      <c r="U122" s="417"/>
      <c r="W122" s="417"/>
      <c r="X122" s="417"/>
      <c r="Y122" s="417"/>
      <c r="Z122" s="417"/>
      <c r="AA122" s="417"/>
      <c r="AB122" s="417"/>
      <c r="AC122" s="417"/>
      <c r="AD122" s="417"/>
      <c r="AE122" s="417"/>
      <c r="AF122" s="417"/>
    </row>
    <row r="123" spans="1:32">
      <c r="A123" s="417" t="s">
        <v>2355</v>
      </c>
      <c r="B123" t="s">
        <v>2537</v>
      </c>
      <c r="R123" s="425"/>
      <c r="S123" s="425">
        <v>470692</v>
      </c>
      <c r="T123" s="425"/>
      <c r="U123" s="756"/>
      <c r="AC123" s="425"/>
      <c r="AD123" s="425">
        <f t="shared" ref="AD123" si="155">S123-R123</f>
        <v>470692</v>
      </c>
      <c r="AF123" s="756"/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9" tint="0.79998168889431442"/>
  </sheetPr>
  <dimension ref="A4:AF125"/>
  <sheetViews>
    <sheetView showGridLines="0" zoomScale="55" zoomScaleNormal="5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104" sqref="B104"/>
    </sheetView>
  </sheetViews>
  <sheetFormatPr defaultRowHeight="14.4" outlineLevelRow="1" outlineLevelCol="1"/>
  <cols>
    <col min="1" max="1" width="65.5546875" bestFit="1" customWidth="1"/>
    <col min="2" max="2" width="65.5546875" customWidth="1" outlineLevel="1"/>
    <col min="3" max="3" width="1.5546875" customWidth="1"/>
    <col min="4" max="17" width="15.21875" customWidth="1"/>
    <col min="18" max="18" width="15.5546875" customWidth="1"/>
    <col min="19" max="21" width="15.33203125" customWidth="1"/>
    <col min="22" max="22" width="1.5546875" customWidth="1"/>
    <col min="23" max="32" width="15.21875" customWidth="1"/>
  </cols>
  <sheetData>
    <row r="4" spans="1:32">
      <c r="A4" s="428" t="s">
        <v>840</v>
      </c>
      <c r="B4" s="428" t="s">
        <v>839</v>
      </c>
      <c r="D4" s="427" t="s">
        <v>584</v>
      </c>
      <c r="E4" s="427" t="s">
        <v>585</v>
      </c>
      <c r="F4" s="427" t="s">
        <v>586</v>
      </c>
      <c r="G4" s="427">
        <v>2022</v>
      </c>
      <c r="H4" s="427" t="s">
        <v>587</v>
      </c>
      <c r="I4" s="427" t="s">
        <v>588</v>
      </c>
      <c r="J4" s="427" t="s">
        <v>589</v>
      </c>
      <c r="K4" s="427">
        <v>2023</v>
      </c>
      <c r="L4" s="427" t="s">
        <v>590</v>
      </c>
      <c r="M4" s="427" t="s">
        <v>591</v>
      </c>
      <c r="N4" s="427" t="s">
        <v>592</v>
      </c>
      <c r="O4" s="427">
        <v>2024</v>
      </c>
      <c r="P4" s="427" t="s">
        <v>593</v>
      </c>
      <c r="Q4" s="427" t="s">
        <v>594</v>
      </c>
      <c r="R4" s="427" t="s">
        <v>595</v>
      </c>
      <c r="S4" s="427">
        <v>2025</v>
      </c>
      <c r="T4" s="427" t="s">
        <v>2488</v>
      </c>
      <c r="U4" s="427" t="s">
        <v>2497</v>
      </c>
      <c r="W4" s="427" t="s">
        <v>83</v>
      </c>
      <c r="X4" s="427" t="s">
        <v>84</v>
      </c>
      <c r="Y4" s="427" t="s">
        <v>85</v>
      </c>
      <c r="Z4" s="427" t="s">
        <v>86</v>
      </c>
      <c r="AA4" s="427" t="s">
        <v>87</v>
      </c>
      <c r="AB4" s="427" t="s">
        <v>88</v>
      </c>
      <c r="AC4" s="427" t="s">
        <v>2074</v>
      </c>
      <c r="AD4" s="427" t="s">
        <v>2359</v>
      </c>
      <c r="AE4" s="427" t="s">
        <v>2360</v>
      </c>
      <c r="AF4" s="427" t="s">
        <v>2494</v>
      </c>
    </row>
    <row r="5" spans="1:32" ht="6.75" customHeight="1"/>
    <row r="6" spans="1:32">
      <c r="A6" s="429" t="s">
        <v>596</v>
      </c>
      <c r="B6" s="429" t="s">
        <v>597</v>
      </c>
      <c r="D6" s="420">
        <f t="shared" ref="D6:J6" si="0">SUM(D8,D11:D17)</f>
        <v>8665672</v>
      </c>
      <c r="E6" s="420">
        <f t="shared" si="0"/>
        <v>17755932</v>
      </c>
      <c r="F6" s="420">
        <f t="shared" si="0"/>
        <v>26727084</v>
      </c>
      <c r="G6" s="420">
        <f t="shared" si="0"/>
        <v>36812186</v>
      </c>
      <c r="H6" s="420">
        <f t="shared" si="0"/>
        <v>13238356</v>
      </c>
      <c r="I6" s="420">
        <f t="shared" si="0"/>
        <v>26032433</v>
      </c>
      <c r="J6" s="420">
        <f t="shared" si="0"/>
        <v>39618350</v>
      </c>
      <c r="K6" s="420">
        <f t="shared" ref="K6:T6" si="1">SUM(K8,K11:K17)</f>
        <v>54865607.314999998</v>
      </c>
      <c r="L6" s="420">
        <f t="shared" si="1"/>
        <v>13837155.754999999</v>
      </c>
      <c r="M6" s="420">
        <f t="shared" si="1"/>
        <v>28368395.754999999</v>
      </c>
      <c r="N6" s="420">
        <f t="shared" si="1"/>
        <v>44769859</v>
      </c>
      <c r="O6" s="420">
        <f t="shared" si="1"/>
        <v>61505554</v>
      </c>
      <c r="P6" s="420">
        <f t="shared" si="1"/>
        <v>15495516</v>
      </c>
      <c r="Q6" s="420">
        <f t="shared" si="1"/>
        <v>32551954</v>
      </c>
      <c r="R6" s="420">
        <f t="shared" si="1"/>
        <v>51302139</v>
      </c>
      <c r="S6" s="420">
        <f t="shared" si="1"/>
        <v>69949547</v>
      </c>
      <c r="T6" s="741">
        <f t="shared" si="1"/>
        <v>17518534</v>
      </c>
      <c r="U6" s="741">
        <f>SUM(U8,U11:U17)</f>
        <v>36330421</v>
      </c>
      <c r="W6" s="420">
        <f t="shared" ref="W6:AC6" si="2">SUM(W8,W11:W17)</f>
        <v>13837155.754999999</v>
      </c>
      <c r="X6" s="420">
        <f t="shared" si="2"/>
        <v>14531240</v>
      </c>
      <c r="Y6" s="420">
        <f t="shared" si="2"/>
        <v>16401463.245000001</v>
      </c>
      <c r="Z6" s="420">
        <f t="shared" si="2"/>
        <v>16735695</v>
      </c>
      <c r="AA6" s="420">
        <f t="shared" si="2"/>
        <v>15495516</v>
      </c>
      <c r="AB6" s="420">
        <f t="shared" si="2"/>
        <v>17056438</v>
      </c>
      <c r="AC6" s="420">
        <f t="shared" si="2"/>
        <v>18750185</v>
      </c>
      <c r="AD6" s="420">
        <f t="shared" ref="AD6:AE6" si="3">SUM(AD8,AD11:AD17)</f>
        <v>18647408</v>
      </c>
      <c r="AE6" s="420">
        <f t="shared" si="3"/>
        <v>17518534</v>
      </c>
      <c r="AF6" s="741">
        <f>SUM(AF8,AF11:AF17)</f>
        <v>18811887</v>
      </c>
    </row>
    <row r="7" spans="1:32">
      <c r="A7" s="416"/>
      <c r="B7" s="416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W7" s="421"/>
      <c r="X7" s="421"/>
      <c r="Y7" s="421"/>
      <c r="Z7" s="421"/>
      <c r="AA7" s="421"/>
      <c r="AB7" s="421"/>
      <c r="AC7" s="421"/>
      <c r="AD7" s="421"/>
      <c r="AE7" s="421"/>
      <c r="AF7" s="421"/>
    </row>
    <row r="8" spans="1:32">
      <c r="A8" s="417" t="s">
        <v>598</v>
      </c>
      <c r="B8" s="417" t="s">
        <v>599</v>
      </c>
      <c r="D8" s="422">
        <f t="shared" ref="D8:I8" si="4">SUM(D9:D10)</f>
        <v>6505347</v>
      </c>
      <c r="E8" s="422">
        <f t="shared" si="4"/>
        <v>12896498</v>
      </c>
      <c r="F8" s="422">
        <f t="shared" si="4"/>
        <v>19290015</v>
      </c>
      <c r="G8" s="422">
        <f t="shared" si="4"/>
        <v>26274660</v>
      </c>
      <c r="H8" s="422">
        <f t="shared" si="4"/>
        <v>9068794</v>
      </c>
      <c r="I8" s="422">
        <f t="shared" si="4"/>
        <v>17957280</v>
      </c>
      <c r="J8" s="422">
        <f>SUM(J9:J10)</f>
        <v>27523778</v>
      </c>
      <c r="K8" s="422">
        <v>38277778</v>
      </c>
      <c r="L8" s="422">
        <f t="shared" ref="L8:T8" si="5">SUM(L9:L10)</f>
        <v>10166242</v>
      </c>
      <c r="M8" s="422">
        <f t="shared" si="5"/>
        <v>20543598</v>
      </c>
      <c r="N8" s="422">
        <f t="shared" si="5"/>
        <v>31989929</v>
      </c>
      <c r="O8" s="422">
        <f t="shared" si="5"/>
        <v>43646997</v>
      </c>
      <c r="P8" s="422">
        <f t="shared" si="5"/>
        <v>10654675</v>
      </c>
      <c r="Q8" s="422">
        <f t="shared" si="5"/>
        <v>22440196</v>
      </c>
      <c r="R8" s="422">
        <f t="shared" si="5"/>
        <v>35446704</v>
      </c>
      <c r="S8" s="422">
        <f t="shared" si="5"/>
        <v>50544725</v>
      </c>
      <c r="T8" s="422">
        <f t="shared" si="5"/>
        <v>12362786</v>
      </c>
      <c r="U8" s="422">
        <f>SUM(U9:U10)</f>
        <v>26169632</v>
      </c>
      <c r="W8" s="422">
        <f t="shared" ref="W8:AC8" si="6">SUM(W9:W10)</f>
        <v>10166242</v>
      </c>
      <c r="X8" s="422">
        <f t="shared" si="6"/>
        <v>10377356</v>
      </c>
      <c r="Y8" s="422">
        <f t="shared" si="6"/>
        <v>11446331</v>
      </c>
      <c r="Z8" s="422">
        <f t="shared" si="6"/>
        <v>11657068</v>
      </c>
      <c r="AA8" s="422">
        <f t="shared" si="6"/>
        <v>10654675</v>
      </c>
      <c r="AB8" s="422">
        <f t="shared" si="6"/>
        <v>11785521</v>
      </c>
      <c r="AC8" s="422">
        <f t="shared" si="6"/>
        <v>13006508</v>
      </c>
      <c r="AD8" s="422">
        <f t="shared" ref="AD8:AE8" si="7">SUM(AD9:AD10)</f>
        <v>15098021</v>
      </c>
      <c r="AE8" s="422">
        <f t="shared" si="7"/>
        <v>12362786</v>
      </c>
      <c r="AF8" s="422">
        <f>SUM(AF9:AF10)</f>
        <v>13806846</v>
      </c>
    </row>
    <row r="9" spans="1:32" outlineLevel="1">
      <c r="A9" s="418" t="s">
        <v>598</v>
      </c>
      <c r="B9" s="418" t="s">
        <v>599</v>
      </c>
      <c r="D9" s="423">
        <v>7011770</v>
      </c>
      <c r="E9" s="423">
        <v>13046421</v>
      </c>
      <c r="F9" s="423">
        <v>19122233</v>
      </c>
      <c r="G9" s="423">
        <v>25604245</v>
      </c>
      <c r="H9" s="423">
        <v>8740935</v>
      </c>
      <c r="I9" s="423">
        <v>17206931</v>
      </c>
      <c r="J9" s="423">
        <v>26529193</v>
      </c>
      <c r="K9" s="423">
        <v>37070572</v>
      </c>
      <c r="L9" s="423">
        <v>10122258</v>
      </c>
      <c r="M9" s="423">
        <v>20058568</v>
      </c>
      <c r="N9" s="423">
        <v>30535008</v>
      </c>
      <c r="O9" s="423">
        <v>42213433</v>
      </c>
      <c r="P9" s="423">
        <v>10411334</v>
      </c>
      <c r="Q9" s="423">
        <v>21337298</v>
      </c>
      <c r="R9" s="423">
        <v>33143092</v>
      </c>
      <c r="S9" s="423">
        <v>47507912</v>
      </c>
      <c r="T9" s="423">
        <v>12174258</v>
      </c>
      <c r="U9" s="423">
        <v>24723229</v>
      </c>
      <c r="W9" s="423">
        <f t="shared" ref="W9:W16" si="8">L9</f>
        <v>10122258</v>
      </c>
      <c r="X9" s="423">
        <f t="shared" ref="X9:X16" si="9">M9-W9</f>
        <v>9936310</v>
      </c>
      <c r="Y9" s="423">
        <f t="shared" ref="Y9:Z16" si="10">N9-M9</f>
        <v>10476440</v>
      </c>
      <c r="Z9" s="423">
        <f t="shared" si="10"/>
        <v>11678425</v>
      </c>
      <c r="AA9" s="423">
        <f t="shared" ref="AA9:AA16" si="11">P9</f>
        <v>10411334</v>
      </c>
      <c r="AB9" s="423">
        <f t="shared" ref="AB9:AD16" si="12">Q9-P9</f>
        <v>10925964</v>
      </c>
      <c r="AC9" s="423">
        <f t="shared" si="12"/>
        <v>11805794</v>
      </c>
      <c r="AD9" s="423">
        <f t="shared" si="12"/>
        <v>14364820</v>
      </c>
      <c r="AE9" s="423">
        <f t="shared" ref="AE9:AE16" si="13">T9</f>
        <v>12174258</v>
      </c>
      <c r="AF9" s="423">
        <f t="shared" ref="AF9:AF16" si="14">U9-T9</f>
        <v>12548971</v>
      </c>
    </row>
    <row r="10" spans="1:32" outlineLevel="1">
      <c r="A10" s="418" t="s">
        <v>600</v>
      </c>
      <c r="B10" s="418" t="s">
        <v>601</v>
      </c>
      <c r="D10" s="423">
        <v>-506423</v>
      </c>
      <c r="E10" s="423">
        <v>-149923</v>
      </c>
      <c r="F10" s="423">
        <v>167782</v>
      </c>
      <c r="G10" s="423">
        <v>670415</v>
      </c>
      <c r="H10" s="423">
        <v>327859</v>
      </c>
      <c r="I10" s="423">
        <v>750349</v>
      </c>
      <c r="J10" s="423">
        <v>994585</v>
      </c>
      <c r="K10" s="423">
        <v>1207206</v>
      </c>
      <c r="L10" s="423">
        <v>43984</v>
      </c>
      <c r="M10" s="423">
        <v>485030</v>
      </c>
      <c r="N10" s="423">
        <v>1454921</v>
      </c>
      <c r="O10" s="423">
        <v>1433564</v>
      </c>
      <c r="P10" s="423">
        <v>243341</v>
      </c>
      <c r="Q10" s="423">
        <v>1102898</v>
      </c>
      <c r="R10" s="423">
        <v>2303612</v>
      </c>
      <c r="S10" s="423">
        <v>3036813</v>
      </c>
      <c r="T10" s="423">
        <v>188528</v>
      </c>
      <c r="U10" s="423">
        <v>1446403</v>
      </c>
      <c r="W10" s="423">
        <f t="shared" si="8"/>
        <v>43984</v>
      </c>
      <c r="X10" s="423">
        <f t="shared" si="9"/>
        <v>441046</v>
      </c>
      <c r="Y10" s="423">
        <f t="shared" si="10"/>
        <v>969891</v>
      </c>
      <c r="Z10" s="423">
        <f t="shared" si="10"/>
        <v>-21357</v>
      </c>
      <c r="AA10" s="423">
        <f t="shared" si="11"/>
        <v>243341</v>
      </c>
      <c r="AB10" s="423">
        <f t="shared" si="12"/>
        <v>859557</v>
      </c>
      <c r="AC10" s="423">
        <f t="shared" si="12"/>
        <v>1200714</v>
      </c>
      <c r="AD10" s="423">
        <f t="shared" si="12"/>
        <v>733201</v>
      </c>
      <c r="AE10" s="423">
        <f t="shared" si="13"/>
        <v>188528</v>
      </c>
      <c r="AF10" s="423">
        <f t="shared" si="14"/>
        <v>1257875</v>
      </c>
    </row>
    <row r="11" spans="1:32">
      <c r="A11" s="417" t="s">
        <v>602</v>
      </c>
      <c r="B11" s="417" t="s">
        <v>603</v>
      </c>
      <c r="D11" s="422">
        <v>69935</v>
      </c>
      <c r="E11" s="422">
        <v>180421</v>
      </c>
      <c r="F11" s="422">
        <v>274294</v>
      </c>
      <c r="G11" s="422">
        <v>365487</v>
      </c>
      <c r="H11" s="422">
        <v>96740</v>
      </c>
      <c r="I11" s="422">
        <v>220806</v>
      </c>
      <c r="J11" s="422">
        <v>331144</v>
      </c>
      <c r="K11" s="422">
        <v>511046</v>
      </c>
      <c r="L11" s="422">
        <v>62768</v>
      </c>
      <c r="M11" s="422">
        <v>153201</v>
      </c>
      <c r="N11" s="422">
        <v>454986</v>
      </c>
      <c r="O11" s="422">
        <v>653661</v>
      </c>
      <c r="P11" s="422">
        <v>126838</v>
      </c>
      <c r="Q11" s="422">
        <v>347546</v>
      </c>
      <c r="R11" s="422">
        <v>728263</v>
      </c>
      <c r="S11" s="422">
        <v>1051852</v>
      </c>
      <c r="T11" s="422">
        <v>342809</v>
      </c>
      <c r="U11" s="422">
        <v>402200</v>
      </c>
      <c r="W11" s="422">
        <f t="shared" si="8"/>
        <v>62768</v>
      </c>
      <c r="X11" s="422">
        <f t="shared" si="9"/>
        <v>90433</v>
      </c>
      <c r="Y11" s="422">
        <f t="shared" si="10"/>
        <v>301785</v>
      </c>
      <c r="Z11" s="422">
        <f t="shared" si="10"/>
        <v>198675</v>
      </c>
      <c r="AA11" s="422">
        <f t="shared" si="11"/>
        <v>126838</v>
      </c>
      <c r="AB11" s="422">
        <f t="shared" si="12"/>
        <v>220708</v>
      </c>
      <c r="AC11" s="422">
        <f t="shared" si="12"/>
        <v>380717</v>
      </c>
      <c r="AD11" s="422">
        <f t="shared" si="12"/>
        <v>323589</v>
      </c>
      <c r="AE11" s="422">
        <f t="shared" si="13"/>
        <v>342809</v>
      </c>
      <c r="AF11" s="422">
        <f t="shared" si="14"/>
        <v>59391</v>
      </c>
    </row>
    <row r="12" spans="1:32">
      <c r="A12" s="417" t="s">
        <v>604</v>
      </c>
      <c r="B12" s="417" t="s">
        <v>605</v>
      </c>
      <c r="D12" s="422">
        <v>66744</v>
      </c>
      <c r="E12" s="422">
        <v>265619</v>
      </c>
      <c r="F12" s="422">
        <v>573582</v>
      </c>
      <c r="G12" s="422">
        <v>862231</v>
      </c>
      <c r="H12" s="422">
        <v>250025</v>
      </c>
      <c r="I12" s="422">
        <v>465137</v>
      </c>
      <c r="J12" s="422">
        <v>751476</v>
      </c>
      <c r="K12" s="422">
        <v>1067589</v>
      </c>
      <c r="L12" s="422">
        <v>210521</v>
      </c>
      <c r="M12" s="422">
        <v>436367</v>
      </c>
      <c r="N12" s="422">
        <v>840113</v>
      </c>
      <c r="O12" s="422">
        <v>1239423</v>
      </c>
      <c r="P12" s="422">
        <v>332134</v>
      </c>
      <c r="Q12" s="422">
        <v>700374</v>
      </c>
      <c r="R12" s="422">
        <v>1129559</v>
      </c>
      <c r="S12" s="422">
        <v>1573050</v>
      </c>
      <c r="T12" s="422">
        <v>338211</v>
      </c>
      <c r="U12" s="422">
        <v>656579</v>
      </c>
      <c r="W12" s="422">
        <f t="shared" si="8"/>
        <v>210521</v>
      </c>
      <c r="X12" s="422">
        <f t="shared" si="9"/>
        <v>225846</v>
      </c>
      <c r="Y12" s="422">
        <f t="shared" si="10"/>
        <v>403746</v>
      </c>
      <c r="Z12" s="422">
        <f t="shared" si="10"/>
        <v>399310</v>
      </c>
      <c r="AA12" s="422">
        <f t="shared" si="11"/>
        <v>332134</v>
      </c>
      <c r="AB12" s="422">
        <f t="shared" si="12"/>
        <v>368240</v>
      </c>
      <c r="AC12" s="422">
        <f t="shared" si="12"/>
        <v>429185</v>
      </c>
      <c r="AD12" s="422">
        <f t="shared" si="12"/>
        <v>443491</v>
      </c>
      <c r="AE12" s="422">
        <f t="shared" si="13"/>
        <v>338211</v>
      </c>
      <c r="AF12" s="422">
        <f t="shared" si="14"/>
        <v>318368</v>
      </c>
    </row>
    <row r="13" spans="1:32">
      <c r="A13" s="417" t="s">
        <v>606</v>
      </c>
      <c r="B13" s="417" t="s">
        <v>607</v>
      </c>
      <c r="D13" s="422">
        <v>830324</v>
      </c>
      <c r="E13" s="422">
        <v>1944544</v>
      </c>
      <c r="F13" s="422">
        <v>3506153</v>
      </c>
      <c r="G13" s="422">
        <v>5255337</v>
      </c>
      <c r="H13" s="422">
        <v>2345841</v>
      </c>
      <c r="I13" s="422">
        <v>4389957</v>
      </c>
      <c r="J13" s="422">
        <v>6118944</v>
      </c>
      <c r="K13" s="422">
        <v>8162226</v>
      </c>
      <c r="L13" s="422">
        <v>1564880</v>
      </c>
      <c r="M13" s="422">
        <v>3562833</v>
      </c>
      <c r="N13" s="422">
        <v>5864871</v>
      </c>
      <c r="O13" s="422">
        <v>8542273</v>
      </c>
      <c r="P13" s="422">
        <v>2287533</v>
      </c>
      <c r="Q13" s="422">
        <v>4974643</v>
      </c>
      <c r="R13" s="422">
        <v>7920792</v>
      </c>
      <c r="S13" s="422">
        <v>10706360</v>
      </c>
      <c r="T13" s="422">
        <v>2545304</v>
      </c>
      <c r="U13" s="422">
        <v>5084580</v>
      </c>
      <c r="W13" s="422">
        <f t="shared" si="8"/>
        <v>1564880</v>
      </c>
      <c r="X13" s="422">
        <f t="shared" si="9"/>
        <v>1997953</v>
      </c>
      <c r="Y13" s="422">
        <f t="shared" si="10"/>
        <v>2302038</v>
      </c>
      <c r="Z13" s="422">
        <f t="shared" si="10"/>
        <v>2677402</v>
      </c>
      <c r="AA13" s="422">
        <f t="shared" si="11"/>
        <v>2287533</v>
      </c>
      <c r="AB13" s="422">
        <f t="shared" si="12"/>
        <v>2687110</v>
      </c>
      <c r="AC13" s="422">
        <f t="shared" si="12"/>
        <v>2946149</v>
      </c>
      <c r="AD13" s="422">
        <f t="shared" si="12"/>
        <v>2785568</v>
      </c>
      <c r="AE13" s="422">
        <f t="shared" si="13"/>
        <v>2545304</v>
      </c>
      <c r="AF13" s="422">
        <f t="shared" si="14"/>
        <v>2539276</v>
      </c>
    </row>
    <row r="14" spans="1:32">
      <c r="A14" s="417" t="s">
        <v>608</v>
      </c>
      <c r="B14" s="417" t="s">
        <v>609</v>
      </c>
      <c r="D14" s="422">
        <v>0</v>
      </c>
      <c r="E14" s="422">
        <v>0</v>
      </c>
      <c r="F14" s="422">
        <v>0</v>
      </c>
      <c r="G14" s="422">
        <v>0</v>
      </c>
      <c r="H14" s="422">
        <v>0</v>
      </c>
      <c r="I14" s="422">
        <v>0</v>
      </c>
      <c r="J14" s="422">
        <v>0</v>
      </c>
      <c r="K14" s="422">
        <v>0</v>
      </c>
      <c r="L14" s="422">
        <v>0</v>
      </c>
      <c r="M14" s="422">
        <v>0</v>
      </c>
      <c r="N14" s="422">
        <v>0</v>
      </c>
      <c r="O14" s="422">
        <v>0</v>
      </c>
      <c r="P14" s="422">
        <v>0</v>
      </c>
      <c r="Q14" s="422">
        <v>0</v>
      </c>
      <c r="R14" s="422">
        <v>0</v>
      </c>
      <c r="S14" s="422">
        <v>0</v>
      </c>
      <c r="T14" s="422">
        <v>0</v>
      </c>
      <c r="U14" s="422">
        <v>0</v>
      </c>
      <c r="W14" s="422">
        <f t="shared" si="8"/>
        <v>0</v>
      </c>
      <c r="X14" s="422">
        <f t="shared" si="9"/>
        <v>0</v>
      </c>
      <c r="Y14" s="422">
        <f t="shared" si="10"/>
        <v>0</v>
      </c>
      <c r="Z14" s="422">
        <f t="shared" si="10"/>
        <v>0</v>
      </c>
      <c r="AA14" s="422">
        <f t="shared" si="11"/>
        <v>0</v>
      </c>
      <c r="AB14" s="422">
        <f t="shared" si="12"/>
        <v>0</v>
      </c>
      <c r="AC14" s="422">
        <f t="shared" si="12"/>
        <v>0</v>
      </c>
      <c r="AD14" s="422">
        <f t="shared" si="12"/>
        <v>0</v>
      </c>
      <c r="AE14" s="422">
        <f t="shared" si="13"/>
        <v>0</v>
      </c>
      <c r="AF14" s="422">
        <f t="shared" si="14"/>
        <v>0</v>
      </c>
    </row>
    <row r="15" spans="1:32">
      <c r="A15" s="417" t="s">
        <v>610</v>
      </c>
      <c r="B15" s="417" t="s">
        <v>611</v>
      </c>
      <c r="D15" s="422">
        <v>19337</v>
      </c>
      <c r="E15" s="422">
        <v>49828</v>
      </c>
      <c r="F15" s="422">
        <v>78466</v>
      </c>
      <c r="G15" s="422">
        <v>114440</v>
      </c>
      <c r="H15" s="422">
        <v>28883</v>
      </c>
      <c r="I15" s="422">
        <v>56768</v>
      </c>
      <c r="J15" s="422">
        <v>107332</v>
      </c>
      <c r="K15" s="422">
        <v>138513</v>
      </c>
      <c r="L15" s="422">
        <v>28220</v>
      </c>
      <c r="M15" s="422">
        <v>55714</v>
      </c>
      <c r="N15" s="422">
        <v>86879</v>
      </c>
      <c r="O15" s="422">
        <v>116506</v>
      </c>
      <c r="P15" s="422">
        <v>30409</v>
      </c>
      <c r="Q15" s="422">
        <v>66427</v>
      </c>
      <c r="R15" s="422">
        <v>102310</v>
      </c>
      <c r="S15" s="422">
        <v>0</v>
      </c>
      <c r="T15" s="422">
        <v>0</v>
      </c>
      <c r="U15" s="422">
        <v>0</v>
      </c>
      <c r="W15" s="422">
        <f t="shared" si="8"/>
        <v>28220</v>
      </c>
      <c r="X15" s="422">
        <f t="shared" si="9"/>
        <v>27494</v>
      </c>
      <c r="Y15" s="422">
        <f t="shared" si="10"/>
        <v>31165</v>
      </c>
      <c r="Z15" s="422">
        <f t="shared" si="10"/>
        <v>29627</v>
      </c>
      <c r="AA15" s="422">
        <f t="shared" si="11"/>
        <v>30409</v>
      </c>
      <c r="AB15" s="422">
        <f t="shared" si="12"/>
        <v>36018</v>
      </c>
      <c r="AC15" s="422">
        <f t="shared" si="12"/>
        <v>35883</v>
      </c>
      <c r="AD15" s="422">
        <f t="shared" si="12"/>
        <v>-102310</v>
      </c>
      <c r="AE15" s="422">
        <f t="shared" si="13"/>
        <v>0</v>
      </c>
      <c r="AF15" s="422">
        <f t="shared" si="14"/>
        <v>0</v>
      </c>
    </row>
    <row r="16" spans="1:32">
      <c r="A16" s="417" t="s">
        <v>612</v>
      </c>
      <c r="B16" s="417" t="s">
        <v>613</v>
      </c>
      <c r="D16" s="422">
        <v>0</v>
      </c>
      <c r="E16" s="422">
        <v>0</v>
      </c>
      <c r="F16" s="422">
        <v>13428</v>
      </c>
      <c r="G16" s="422">
        <v>34088</v>
      </c>
      <c r="H16" s="422">
        <v>27047</v>
      </c>
      <c r="I16" s="422">
        <v>47681</v>
      </c>
      <c r="J16" s="422">
        <v>66460</v>
      </c>
      <c r="K16" s="422">
        <v>84149</v>
      </c>
      <c r="L16" s="422">
        <v>21842</v>
      </c>
      <c r="M16" s="422">
        <v>44659</v>
      </c>
      <c r="N16" s="422">
        <v>69712</v>
      </c>
      <c r="O16" s="422">
        <v>95871</v>
      </c>
      <c r="P16" s="422">
        <v>25592</v>
      </c>
      <c r="Q16" s="422">
        <v>52063</v>
      </c>
      <c r="R16" s="422">
        <v>78496</v>
      </c>
      <c r="S16" s="422">
        <v>107984</v>
      </c>
      <c r="T16" s="422">
        <v>32115</v>
      </c>
      <c r="U16" s="422">
        <v>63564</v>
      </c>
      <c r="W16" s="422">
        <f t="shared" si="8"/>
        <v>21842</v>
      </c>
      <c r="X16" s="422">
        <f t="shared" si="9"/>
        <v>22817</v>
      </c>
      <c r="Y16" s="422">
        <f t="shared" si="10"/>
        <v>25053</v>
      </c>
      <c r="Z16" s="422">
        <f t="shared" si="10"/>
        <v>26159</v>
      </c>
      <c r="AA16" s="422">
        <f t="shared" si="11"/>
        <v>25592</v>
      </c>
      <c r="AB16" s="422">
        <f t="shared" si="12"/>
        <v>26471</v>
      </c>
      <c r="AC16" s="422">
        <f t="shared" si="12"/>
        <v>26433</v>
      </c>
      <c r="AD16" s="422">
        <f t="shared" si="12"/>
        <v>29488</v>
      </c>
      <c r="AE16" s="422">
        <f t="shared" si="13"/>
        <v>32115</v>
      </c>
      <c r="AF16" s="422">
        <f t="shared" si="14"/>
        <v>31449</v>
      </c>
    </row>
    <row r="17" spans="1:32">
      <c r="A17" s="417" t="s">
        <v>614</v>
      </c>
      <c r="B17" s="417" t="s">
        <v>615</v>
      </c>
      <c r="D17" s="422">
        <f t="shared" ref="D17:I17" si="15">SUM(D18:D25)</f>
        <v>1173985</v>
      </c>
      <c r="E17" s="422">
        <f t="shared" si="15"/>
        <v>2419022</v>
      </c>
      <c r="F17" s="422">
        <f t="shared" si="15"/>
        <v>2991146</v>
      </c>
      <c r="G17" s="422">
        <f t="shared" si="15"/>
        <v>3905943</v>
      </c>
      <c r="H17" s="422">
        <f t="shared" si="15"/>
        <v>1421026</v>
      </c>
      <c r="I17" s="422">
        <f t="shared" si="15"/>
        <v>2894804</v>
      </c>
      <c r="J17" s="422">
        <f t="shared" ref="J17:T17" si="16">SUM(J18:J25)</f>
        <v>4719216</v>
      </c>
      <c r="K17" s="422">
        <f t="shared" si="16"/>
        <v>6624306.3150000004</v>
      </c>
      <c r="L17" s="422">
        <f t="shared" si="16"/>
        <v>1782682.7549999999</v>
      </c>
      <c r="M17" s="422">
        <f t="shared" si="16"/>
        <v>3572023.7549999999</v>
      </c>
      <c r="N17" s="422">
        <f t="shared" si="16"/>
        <v>5463369</v>
      </c>
      <c r="O17" s="422">
        <f t="shared" si="16"/>
        <v>7210823</v>
      </c>
      <c r="P17" s="422">
        <f t="shared" si="16"/>
        <v>2038335</v>
      </c>
      <c r="Q17" s="422">
        <f t="shared" si="16"/>
        <v>3970705</v>
      </c>
      <c r="R17" s="422">
        <f t="shared" si="16"/>
        <v>5896015</v>
      </c>
      <c r="S17" s="422">
        <f t="shared" si="16"/>
        <v>5965576</v>
      </c>
      <c r="T17" s="422">
        <f t="shared" si="16"/>
        <v>1897309</v>
      </c>
      <c r="U17" s="422">
        <f>SUM(U18:U25)</f>
        <v>3953866</v>
      </c>
      <c r="W17" s="422">
        <f t="shared" ref="W17:AC17" si="17">SUM(W18:W25)</f>
        <v>1782682.7549999999</v>
      </c>
      <c r="X17" s="422">
        <f t="shared" si="17"/>
        <v>1789341</v>
      </c>
      <c r="Y17" s="422">
        <f t="shared" si="17"/>
        <v>1891345.2450000001</v>
      </c>
      <c r="Z17" s="422">
        <f t="shared" si="17"/>
        <v>1747454</v>
      </c>
      <c r="AA17" s="422">
        <f t="shared" si="17"/>
        <v>2038335</v>
      </c>
      <c r="AB17" s="422">
        <f t="shared" si="17"/>
        <v>1932370</v>
      </c>
      <c r="AC17" s="422">
        <f t="shared" si="17"/>
        <v>1925310</v>
      </c>
      <c r="AD17" s="422">
        <f t="shared" ref="AD17:AE17" si="18">SUM(AD18:AD25)</f>
        <v>69561</v>
      </c>
      <c r="AE17" s="422">
        <f t="shared" si="18"/>
        <v>1897309</v>
      </c>
      <c r="AF17" s="422">
        <f>SUM(AF18:AF25)</f>
        <v>2056557</v>
      </c>
    </row>
    <row r="18" spans="1:32" outlineLevel="1">
      <c r="A18" s="418" t="s">
        <v>616</v>
      </c>
      <c r="B18" s="418" t="s">
        <v>617</v>
      </c>
      <c r="D18" s="423">
        <v>288726</v>
      </c>
      <c r="E18" s="423">
        <v>579563</v>
      </c>
      <c r="F18" s="423">
        <v>860569</v>
      </c>
      <c r="G18" s="423">
        <v>1130043</v>
      </c>
      <c r="H18" s="423">
        <v>548202</v>
      </c>
      <c r="I18" s="423">
        <v>1082349</v>
      </c>
      <c r="J18" s="423">
        <v>1729199</v>
      </c>
      <c r="K18" s="423">
        <v>2505930</v>
      </c>
      <c r="L18" s="423">
        <v>681202</v>
      </c>
      <c r="M18" s="423">
        <v>1402128</v>
      </c>
      <c r="N18" s="423">
        <v>2130064</v>
      </c>
      <c r="O18" s="423">
        <v>2905118</v>
      </c>
      <c r="P18" s="423">
        <v>790431</v>
      </c>
      <c r="Q18" s="423">
        <v>1667594</v>
      </c>
      <c r="R18" s="423">
        <v>2537156</v>
      </c>
      <c r="S18" s="423">
        <v>3562001</v>
      </c>
      <c r="T18" s="423">
        <v>1072445</v>
      </c>
      <c r="U18" s="423">
        <v>2101523</v>
      </c>
      <c r="W18" s="423">
        <f t="shared" ref="W18:W25" si="19">L18</f>
        <v>681202</v>
      </c>
      <c r="X18" s="423">
        <f t="shared" ref="X18:X25" si="20">M18-W18</f>
        <v>720926</v>
      </c>
      <c r="Y18" s="423">
        <f t="shared" ref="Y18:Z25" si="21">N18-M18</f>
        <v>727936</v>
      </c>
      <c r="Z18" s="423">
        <f t="shared" si="21"/>
        <v>775054</v>
      </c>
      <c r="AA18" s="423">
        <f t="shared" ref="AA18:AA25" si="22">P18</f>
        <v>790431</v>
      </c>
      <c r="AB18" s="423">
        <f t="shared" ref="AB18:AD25" si="23">Q18-P18</f>
        <v>877163</v>
      </c>
      <c r="AC18" s="423">
        <f t="shared" si="23"/>
        <v>869562</v>
      </c>
      <c r="AD18" s="423">
        <f t="shared" si="23"/>
        <v>1024845</v>
      </c>
      <c r="AE18" s="423">
        <f t="shared" ref="AE18:AE25" si="24">T18</f>
        <v>1072445</v>
      </c>
      <c r="AF18" s="423">
        <f t="shared" ref="AF18:AF25" si="25">U18-T18</f>
        <v>1029078</v>
      </c>
    </row>
    <row r="19" spans="1:32" outlineLevel="1">
      <c r="A19" s="418" t="s">
        <v>618</v>
      </c>
      <c r="B19" s="418" t="s">
        <v>619</v>
      </c>
      <c r="D19" s="423">
        <v>163013</v>
      </c>
      <c r="E19" s="423">
        <v>402102</v>
      </c>
      <c r="F19" s="423">
        <v>192629</v>
      </c>
      <c r="G19" s="423">
        <v>325698</v>
      </c>
      <c r="H19" s="423">
        <v>32570</v>
      </c>
      <c r="I19" s="423">
        <v>128832</v>
      </c>
      <c r="J19" s="423">
        <v>421300</v>
      </c>
      <c r="K19" s="423">
        <v>618930</v>
      </c>
      <c r="L19" s="423">
        <v>200727</v>
      </c>
      <c r="M19" s="423">
        <v>370306</v>
      </c>
      <c r="N19" s="423">
        <v>425829</v>
      </c>
      <c r="O19" s="423">
        <v>603328</v>
      </c>
      <c r="P19" s="423">
        <v>343561</v>
      </c>
      <c r="Q19" s="423">
        <v>551359</v>
      </c>
      <c r="R19" s="423">
        <v>593264</v>
      </c>
      <c r="S19" s="423">
        <v>689264</v>
      </c>
      <c r="T19" s="423">
        <v>348946</v>
      </c>
      <c r="U19" s="423">
        <v>648626</v>
      </c>
      <c r="W19" s="423">
        <f t="shared" si="19"/>
        <v>200727</v>
      </c>
      <c r="X19" s="423">
        <f t="shared" si="20"/>
        <v>169579</v>
      </c>
      <c r="Y19" s="423">
        <f t="shared" si="21"/>
        <v>55523</v>
      </c>
      <c r="Z19" s="423">
        <f t="shared" si="21"/>
        <v>177499</v>
      </c>
      <c r="AA19" s="423">
        <f t="shared" si="22"/>
        <v>343561</v>
      </c>
      <c r="AB19" s="423">
        <f t="shared" si="23"/>
        <v>207798</v>
      </c>
      <c r="AC19" s="423">
        <f t="shared" si="23"/>
        <v>41905</v>
      </c>
      <c r="AD19" s="423">
        <f t="shared" si="23"/>
        <v>96000</v>
      </c>
      <c r="AE19" s="423">
        <f t="shared" si="24"/>
        <v>348946</v>
      </c>
      <c r="AF19" s="423">
        <f t="shared" si="25"/>
        <v>299680</v>
      </c>
    </row>
    <row r="20" spans="1:32" outlineLevel="1">
      <c r="A20" s="418" t="s">
        <v>620</v>
      </c>
      <c r="B20" s="418" t="s">
        <v>621</v>
      </c>
      <c r="D20" s="423">
        <v>0</v>
      </c>
      <c r="E20" s="423">
        <v>14956</v>
      </c>
      <c r="F20" s="423">
        <v>14956</v>
      </c>
      <c r="G20" s="423">
        <v>0</v>
      </c>
      <c r="H20" s="423">
        <v>0</v>
      </c>
      <c r="I20" s="423">
        <v>0</v>
      </c>
      <c r="J20" s="423">
        <v>0</v>
      </c>
      <c r="K20" s="423">
        <v>116</v>
      </c>
      <c r="L20" s="423">
        <v>296</v>
      </c>
      <c r="M20" s="423">
        <v>642</v>
      </c>
      <c r="N20" s="423">
        <v>994</v>
      </c>
      <c r="O20" s="423">
        <v>1349</v>
      </c>
      <c r="P20" s="423">
        <v>0</v>
      </c>
      <c r="Q20" s="423">
        <v>0</v>
      </c>
      <c r="R20" s="423">
        <v>0</v>
      </c>
      <c r="S20" s="423">
        <v>0</v>
      </c>
      <c r="T20" s="423">
        <v>0</v>
      </c>
      <c r="U20" s="423">
        <v>0</v>
      </c>
      <c r="W20" s="423">
        <f t="shared" si="19"/>
        <v>296</v>
      </c>
      <c r="X20" s="423">
        <f t="shared" si="20"/>
        <v>346</v>
      </c>
      <c r="Y20" s="423">
        <f t="shared" si="21"/>
        <v>352</v>
      </c>
      <c r="Z20" s="423">
        <f t="shared" si="21"/>
        <v>355</v>
      </c>
      <c r="AA20" s="423">
        <f t="shared" si="22"/>
        <v>0</v>
      </c>
      <c r="AB20" s="423">
        <f t="shared" si="23"/>
        <v>0</v>
      </c>
      <c r="AC20" s="423">
        <f t="shared" si="23"/>
        <v>0</v>
      </c>
      <c r="AD20" s="423">
        <f t="shared" si="23"/>
        <v>0</v>
      </c>
      <c r="AE20" s="423">
        <f t="shared" si="24"/>
        <v>0</v>
      </c>
      <c r="AF20" s="423">
        <f t="shared" si="25"/>
        <v>0</v>
      </c>
    </row>
    <row r="21" spans="1:32" outlineLevel="1">
      <c r="A21" s="418" t="s">
        <v>622</v>
      </c>
      <c r="B21" s="418" t="s">
        <v>623</v>
      </c>
      <c r="D21" s="423">
        <v>415881</v>
      </c>
      <c r="E21" s="423">
        <v>786326</v>
      </c>
      <c r="F21" s="423">
        <v>1172886</v>
      </c>
      <c r="G21" s="423">
        <v>1578951</v>
      </c>
      <c r="H21" s="423">
        <v>394547</v>
      </c>
      <c r="I21" s="423">
        <v>822278</v>
      </c>
      <c r="J21" s="423">
        <v>1228782</v>
      </c>
      <c r="K21" s="423">
        <v>1622095</v>
      </c>
      <c r="L21" s="423">
        <v>403273</v>
      </c>
      <c r="M21" s="423">
        <v>774055</v>
      </c>
      <c r="N21" s="423">
        <v>1103358</v>
      </c>
      <c r="O21" s="423">
        <v>1449493</v>
      </c>
      <c r="P21" s="423">
        <v>331245</v>
      </c>
      <c r="Q21" s="423">
        <v>662230</v>
      </c>
      <c r="R21" s="423">
        <v>1002203</v>
      </c>
      <c r="S21" s="423">
        <v>0</v>
      </c>
      <c r="T21" s="423">
        <v>0</v>
      </c>
      <c r="U21" s="423">
        <v>0</v>
      </c>
      <c r="W21" s="423">
        <f t="shared" si="19"/>
        <v>403273</v>
      </c>
      <c r="X21" s="423">
        <f t="shared" si="20"/>
        <v>370782</v>
      </c>
      <c r="Y21" s="423">
        <f t="shared" si="21"/>
        <v>329303</v>
      </c>
      <c r="Z21" s="423">
        <f t="shared" si="21"/>
        <v>346135</v>
      </c>
      <c r="AA21" s="423">
        <f t="shared" si="22"/>
        <v>331245</v>
      </c>
      <c r="AB21" s="423">
        <f t="shared" si="23"/>
        <v>330985</v>
      </c>
      <c r="AC21" s="423">
        <f t="shared" si="23"/>
        <v>339973</v>
      </c>
      <c r="AD21" s="423">
        <f t="shared" si="23"/>
        <v>-1002203</v>
      </c>
      <c r="AE21" s="423">
        <f t="shared" si="24"/>
        <v>0</v>
      </c>
      <c r="AF21" s="423">
        <f t="shared" si="25"/>
        <v>0</v>
      </c>
    </row>
    <row r="22" spans="1:32" outlineLevel="1">
      <c r="A22" s="418" t="s">
        <v>624</v>
      </c>
      <c r="B22" s="418" t="s">
        <v>625</v>
      </c>
      <c r="D22" s="423">
        <v>-38469</v>
      </c>
      <c r="E22" s="423">
        <v>-74119</v>
      </c>
      <c r="F22" s="423">
        <v>-109876</v>
      </c>
      <c r="G22" s="423">
        <v>-146053</v>
      </c>
      <c r="H22" s="423">
        <v>-36495</v>
      </c>
      <c r="I22" s="423">
        <v>-76061</v>
      </c>
      <c r="J22" s="423">
        <v>-113662</v>
      </c>
      <c r="K22" s="423">
        <v>-97609.684999999998</v>
      </c>
      <c r="L22" s="423">
        <v>-22857.244999999999</v>
      </c>
      <c r="M22" s="423">
        <v>-44141.245000000003</v>
      </c>
      <c r="N22" s="423">
        <v>186142</v>
      </c>
      <c r="O22" s="423">
        <v>179556</v>
      </c>
      <c r="P22" s="423">
        <v>-6164</v>
      </c>
      <c r="Q22" s="423">
        <v>-12541</v>
      </c>
      <c r="R22" s="423">
        <v>-17423</v>
      </c>
      <c r="S22" s="423">
        <v>0</v>
      </c>
      <c r="T22" s="423">
        <v>0</v>
      </c>
      <c r="U22" s="423">
        <v>0</v>
      </c>
      <c r="W22" s="423">
        <f t="shared" si="19"/>
        <v>-22857.244999999999</v>
      </c>
      <c r="X22" s="423">
        <f t="shared" si="20"/>
        <v>-21284.000000000004</v>
      </c>
      <c r="Y22" s="423">
        <f t="shared" si="21"/>
        <v>230283.245</v>
      </c>
      <c r="Z22" s="423">
        <f t="shared" si="21"/>
        <v>-6586</v>
      </c>
      <c r="AA22" s="423">
        <f t="shared" si="22"/>
        <v>-6164</v>
      </c>
      <c r="AB22" s="423">
        <f t="shared" si="23"/>
        <v>-6377</v>
      </c>
      <c r="AC22" s="423">
        <f t="shared" si="23"/>
        <v>-4882</v>
      </c>
      <c r="AD22" s="423">
        <f t="shared" si="23"/>
        <v>17423</v>
      </c>
      <c r="AE22" s="423">
        <f t="shared" si="24"/>
        <v>0</v>
      </c>
      <c r="AF22" s="423">
        <f t="shared" si="25"/>
        <v>0</v>
      </c>
    </row>
    <row r="23" spans="1:32" outlineLevel="1">
      <c r="A23" s="418" t="s">
        <v>626</v>
      </c>
      <c r="B23" s="418" t="s">
        <v>811</v>
      </c>
      <c r="D23" s="423">
        <v>0</v>
      </c>
      <c r="E23" s="423">
        <v>0</v>
      </c>
      <c r="F23" s="423">
        <v>0</v>
      </c>
      <c r="G23" s="423">
        <v>0</v>
      </c>
      <c r="H23" s="423">
        <v>0</v>
      </c>
      <c r="I23" s="423">
        <v>0</v>
      </c>
      <c r="J23" s="423">
        <v>0</v>
      </c>
      <c r="K23" s="423">
        <v>0</v>
      </c>
      <c r="L23" s="423">
        <v>0</v>
      </c>
      <c r="M23" s="423">
        <v>0</v>
      </c>
      <c r="N23" s="423">
        <v>0</v>
      </c>
      <c r="O23" s="423">
        <v>0</v>
      </c>
      <c r="P23" s="423">
        <v>0</v>
      </c>
      <c r="Q23" s="423">
        <v>0</v>
      </c>
      <c r="R23" s="423">
        <v>0</v>
      </c>
      <c r="S23" s="423">
        <v>0</v>
      </c>
      <c r="T23" s="423">
        <v>0</v>
      </c>
      <c r="U23" s="423">
        <v>0</v>
      </c>
      <c r="W23" s="423">
        <f t="shared" si="19"/>
        <v>0</v>
      </c>
      <c r="X23" s="423">
        <f t="shared" si="20"/>
        <v>0</v>
      </c>
      <c r="Y23" s="423">
        <f t="shared" si="21"/>
        <v>0</v>
      </c>
      <c r="Z23" s="423">
        <f t="shared" si="21"/>
        <v>0</v>
      </c>
      <c r="AA23" s="423">
        <f t="shared" si="22"/>
        <v>0</v>
      </c>
      <c r="AB23" s="423">
        <f t="shared" si="23"/>
        <v>0</v>
      </c>
      <c r="AC23" s="423">
        <f t="shared" si="23"/>
        <v>0</v>
      </c>
      <c r="AD23" s="423">
        <f t="shared" si="23"/>
        <v>0</v>
      </c>
      <c r="AE23" s="423">
        <f t="shared" si="24"/>
        <v>0</v>
      </c>
      <c r="AF23" s="423">
        <f t="shared" si="25"/>
        <v>0</v>
      </c>
    </row>
    <row r="24" spans="1:32" outlineLevel="1">
      <c r="A24" s="418" t="s">
        <v>628</v>
      </c>
      <c r="B24" s="418" t="s">
        <v>629</v>
      </c>
      <c r="D24" s="423">
        <v>0</v>
      </c>
      <c r="E24" s="423">
        <v>0</v>
      </c>
      <c r="F24" s="423">
        <v>-11403</v>
      </c>
      <c r="G24" s="423">
        <v>-48704</v>
      </c>
      <c r="H24" s="423">
        <v>84126</v>
      </c>
      <c r="I24" s="423">
        <v>115969</v>
      </c>
      <c r="J24" s="423">
        <v>143180</v>
      </c>
      <c r="K24" s="423">
        <v>-51115</v>
      </c>
      <c r="L24" s="423">
        <v>19877</v>
      </c>
      <c r="M24" s="423">
        <v>19445</v>
      </c>
      <c r="N24" s="423">
        <v>-3211</v>
      </c>
      <c r="O24" s="423">
        <v>-15182</v>
      </c>
      <c r="P24" s="423">
        <v>31170</v>
      </c>
      <c r="Q24" s="423">
        <v>22101</v>
      </c>
      <c r="R24" s="423">
        <v>36058</v>
      </c>
      <c r="S24" s="423">
        <v>99808</v>
      </c>
      <c r="T24" s="423">
        <v>-31566</v>
      </c>
      <c r="U24" s="423">
        <v>-61559</v>
      </c>
      <c r="W24" s="423">
        <f t="shared" si="19"/>
        <v>19877</v>
      </c>
      <c r="X24" s="423">
        <f t="shared" si="20"/>
        <v>-432</v>
      </c>
      <c r="Y24" s="423">
        <f t="shared" si="21"/>
        <v>-22656</v>
      </c>
      <c r="Z24" s="423">
        <f t="shared" si="21"/>
        <v>-11971</v>
      </c>
      <c r="AA24" s="423">
        <f t="shared" si="22"/>
        <v>31170</v>
      </c>
      <c r="AB24" s="423">
        <f t="shared" si="23"/>
        <v>-9069</v>
      </c>
      <c r="AC24" s="423">
        <f t="shared" si="23"/>
        <v>13957</v>
      </c>
      <c r="AD24" s="423">
        <f t="shared" si="23"/>
        <v>63750</v>
      </c>
      <c r="AE24" s="423">
        <f t="shared" si="24"/>
        <v>-31566</v>
      </c>
      <c r="AF24" s="423">
        <f t="shared" si="25"/>
        <v>-29993</v>
      </c>
    </row>
    <row r="25" spans="1:32" outlineLevel="1">
      <c r="A25" s="418" t="s">
        <v>614</v>
      </c>
      <c r="B25" s="418" t="s">
        <v>615</v>
      </c>
      <c r="D25" s="423">
        <v>344834</v>
      </c>
      <c r="E25" s="423">
        <v>710194</v>
      </c>
      <c r="F25" s="423">
        <v>871385</v>
      </c>
      <c r="G25" s="423">
        <v>1066008</v>
      </c>
      <c r="H25" s="423">
        <v>398076</v>
      </c>
      <c r="I25" s="423">
        <v>821437</v>
      </c>
      <c r="J25" s="423">
        <v>1310417</v>
      </c>
      <c r="K25" s="423">
        <v>2025960</v>
      </c>
      <c r="L25" s="423">
        <v>500165</v>
      </c>
      <c r="M25" s="423">
        <v>1049589</v>
      </c>
      <c r="N25" s="423">
        <v>1620193</v>
      </c>
      <c r="O25" s="423">
        <v>2087161</v>
      </c>
      <c r="P25" s="423">
        <v>548092</v>
      </c>
      <c r="Q25" s="423">
        <v>1079962</v>
      </c>
      <c r="R25" s="423">
        <v>1744757</v>
      </c>
      <c r="S25" s="423">
        <v>1614503</v>
      </c>
      <c r="T25" s="423">
        <v>507484</v>
      </c>
      <c r="U25" s="423">
        <v>1265276</v>
      </c>
      <c r="W25" s="423">
        <f t="shared" si="19"/>
        <v>500165</v>
      </c>
      <c r="X25" s="423">
        <f t="shared" si="20"/>
        <v>549424</v>
      </c>
      <c r="Y25" s="423">
        <f t="shared" si="21"/>
        <v>570604</v>
      </c>
      <c r="Z25" s="423">
        <f t="shared" si="21"/>
        <v>466968</v>
      </c>
      <c r="AA25" s="423">
        <f t="shared" si="22"/>
        <v>548092</v>
      </c>
      <c r="AB25" s="423">
        <f t="shared" si="23"/>
        <v>531870</v>
      </c>
      <c r="AC25" s="423">
        <f t="shared" si="23"/>
        <v>664795</v>
      </c>
      <c r="AD25" s="423">
        <f t="shared" si="23"/>
        <v>-130254</v>
      </c>
      <c r="AE25" s="423">
        <f t="shared" si="24"/>
        <v>507484</v>
      </c>
      <c r="AF25" s="423">
        <f t="shared" si="25"/>
        <v>757792</v>
      </c>
    </row>
    <row r="26" spans="1:32">
      <c r="A26" s="417"/>
      <c r="B26" s="417"/>
      <c r="D26" s="417"/>
      <c r="E26" s="417"/>
      <c r="F26" s="417"/>
      <c r="G26" s="417"/>
      <c r="H26" s="417"/>
      <c r="I26" s="417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</row>
    <row r="27" spans="1:32">
      <c r="A27" s="429" t="s">
        <v>630</v>
      </c>
      <c r="B27" s="429" t="s">
        <v>631</v>
      </c>
      <c r="D27" s="420">
        <f t="shared" ref="D27:I27" si="26">SUM(D29:D37)</f>
        <v>-2822483</v>
      </c>
      <c r="E27" s="420">
        <f t="shared" si="26"/>
        <v>-5372396</v>
      </c>
      <c r="F27" s="420">
        <f t="shared" si="26"/>
        <v>-7511512</v>
      </c>
      <c r="G27" s="420">
        <f t="shared" si="26"/>
        <v>-9679679</v>
      </c>
      <c r="H27" s="420">
        <f t="shared" si="26"/>
        <v>-3061782</v>
      </c>
      <c r="I27" s="420">
        <f t="shared" si="26"/>
        <v>-6400537</v>
      </c>
      <c r="J27" s="420">
        <f t="shared" ref="J27:T27" si="27">SUM(J29:J37)</f>
        <v>-9878781</v>
      </c>
      <c r="K27" s="420">
        <f t="shared" si="27"/>
        <v>-13880530.314999999</v>
      </c>
      <c r="L27" s="420">
        <f t="shared" si="27"/>
        <v>-3938997.7549999999</v>
      </c>
      <c r="M27" s="420">
        <f t="shared" si="27"/>
        <v>-7983069.7549999999</v>
      </c>
      <c r="N27" s="420">
        <f t="shared" si="27"/>
        <v>-12021238</v>
      </c>
      <c r="O27" s="420">
        <f t="shared" si="27"/>
        <v>-16138879</v>
      </c>
      <c r="P27" s="420">
        <f t="shared" si="27"/>
        <v>-3786423</v>
      </c>
      <c r="Q27" s="420">
        <f t="shared" si="27"/>
        <v>-8047534</v>
      </c>
      <c r="R27" s="420">
        <f t="shared" si="27"/>
        <v>-12652623</v>
      </c>
      <c r="S27" s="420">
        <f t="shared" si="27"/>
        <v>-17875743</v>
      </c>
      <c r="T27" s="741">
        <f t="shared" si="27"/>
        <v>-4768594</v>
      </c>
      <c r="U27" s="741">
        <f>SUM(U29:U37)</f>
        <v>-9841547</v>
      </c>
      <c r="W27" s="420">
        <f t="shared" ref="W27:AC27" si="28">SUM(W29:W37)</f>
        <v>-3938997.7549999999</v>
      </c>
      <c r="X27" s="420">
        <f t="shared" si="28"/>
        <v>-4044072</v>
      </c>
      <c r="Y27" s="420">
        <f t="shared" si="28"/>
        <v>-4038168.2450000001</v>
      </c>
      <c r="Z27" s="420">
        <f t="shared" si="28"/>
        <v>-4117641</v>
      </c>
      <c r="AA27" s="420">
        <f t="shared" si="28"/>
        <v>-3786423</v>
      </c>
      <c r="AB27" s="420">
        <f t="shared" si="28"/>
        <v>-4261111</v>
      </c>
      <c r="AC27" s="420">
        <f t="shared" si="28"/>
        <v>-4605089</v>
      </c>
      <c r="AD27" s="420">
        <f t="shared" ref="AD27:AE27" si="29">SUM(AD29:AD37)</f>
        <v>-5223120</v>
      </c>
      <c r="AE27" s="420">
        <f t="shared" si="29"/>
        <v>-4768594</v>
      </c>
      <c r="AF27" s="741">
        <f>SUM(AF29:AF37)</f>
        <v>-5072953</v>
      </c>
    </row>
    <row r="28" spans="1:32">
      <c r="A28" s="416"/>
      <c r="B28" s="416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</row>
    <row r="29" spans="1:32" outlineLevel="1">
      <c r="A29" s="418" t="s">
        <v>632</v>
      </c>
      <c r="B29" s="418" t="s">
        <v>632</v>
      </c>
      <c r="D29" s="423">
        <v>-1560242</v>
      </c>
      <c r="E29" s="423">
        <v>-2884357</v>
      </c>
      <c r="F29" s="423">
        <v>-3868885</v>
      </c>
      <c r="G29" s="423">
        <v>-4775531</v>
      </c>
      <c r="H29" s="423">
        <v>-1290353</v>
      </c>
      <c r="I29" s="423">
        <v>-2811027</v>
      </c>
      <c r="J29" s="423">
        <v>-4428826</v>
      </c>
      <c r="K29" s="423">
        <v>-6355412</v>
      </c>
      <c r="L29" s="423">
        <v>-1791641</v>
      </c>
      <c r="M29" s="423">
        <v>-3641789</v>
      </c>
      <c r="N29" s="423">
        <v>-5580439</v>
      </c>
      <c r="O29" s="423">
        <v>-7790990</v>
      </c>
      <c r="P29" s="423">
        <v>-1886539</v>
      </c>
      <c r="Q29" s="423">
        <v>-3895439</v>
      </c>
      <c r="R29" s="423">
        <v>-6038155</v>
      </c>
      <c r="S29" s="423">
        <v>-8516981</v>
      </c>
      <c r="T29" s="423">
        <v>-2260979</v>
      </c>
      <c r="U29" s="423">
        <v>-4647924</v>
      </c>
      <c r="W29" s="423">
        <f t="shared" ref="W29:W37" si="30">L29</f>
        <v>-1791641</v>
      </c>
      <c r="X29" s="423">
        <f t="shared" ref="X29:X37" si="31">M29-W29</f>
        <v>-1850148</v>
      </c>
      <c r="Y29" s="423">
        <f t="shared" ref="Y29:Y37" si="32">N29-M29</f>
        <v>-1938650</v>
      </c>
      <c r="Z29" s="423">
        <f t="shared" ref="Z29:Z37" si="33">O29-N29</f>
        <v>-2210551</v>
      </c>
      <c r="AA29" s="423">
        <f t="shared" ref="AA29:AA37" si="34">P29</f>
        <v>-1886539</v>
      </c>
      <c r="AB29" s="423">
        <f t="shared" ref="AB29:AB37" si="35">Q29-P29</f>
        <v>-2008900</v>
      </c>
      <c r="AC29" s="423">
        <f t="shared" ref="AC29:AC37" si="36">R29-Q29</f>
        <v>-2142716</v>
      </c>
      <c r="AD29" s="423">
        <f t="shared" ref="AD29:AD37" si="37">S29-R29</f>
        <v>-2478826</v>
      </c>
      <c r="AE29" s="423">
        <f t="shared" ref="AE29:AE37" si="38">T29</f>
        <v>-2260979</v>
      </c>
      <c r="AF29" s="423">
        <f t="shared" ref="AF29:AF37" si="39">U29-T29</f>
        <v>-2386945</v>
      </c>
    </row>
    <row r="30" spans="1:32" outlineLevel="1">
      <c r="A30" s="418" t="s">
        <v>633</v>
      </c>
      <c r="B30" s="418" t="s">
        <v>634</v>
      </c>
      <c r="D30" s="423">
        <v>-624032</v>
      </c>
      <c r="E30" s="423">
        <v>-1184940</v>
      </c>
      <c r="F30" s="423">
        <v>-1773062</v>
      </c>
      <c r="G30" s="423">
        <v>-2402073</v>
      </c>
      <c r="H30" s="423">
        <v>-816891</v>
      </c>
      <c r="I30" s="423">
        <v>-1633110</v>
      </c>
      <c r="J30" s="423">
        <v>-2483217</v>
      </c>
      <c r="K30" s="423">
        <v>-3450413</v>
      </c>
      <c r="L30" s="423">
        <v>-881299</v>
      </c>
      <c r="M30" s="423">
        <v>-1828500</v>
      </c>
      <c r="N30" s="423">
        <v>-2796625</v>
      </c>
      <c r="O30" s="423">
        <v>-3939934</v>
      </c>
      <c r="P30" s="423">
        <v>-798385</v>
      </c>
      <c r="Q30" s="423">
        <v>-1950356</v>
      </c>
      <c r="R30" s="423">
        <v>-3013584</v>
      </c>
      <c r="S30" s="423">
        <v>-4276237</v>
      </c>
      <c r="T30" s="423">
        <v>-1012902</v>
      </c>
      <c r="U30" s="423">
        <v>-2212213</v>
      </c>
      <c r="W30" s="423">
        <f t="shared" si="30"/>
        <v>-881299</v>
      </c>
      <c r="X30" s="423">
        <f t="shared" si="31"/>
        <v>-947201</v>
      </c>
      <c r="Y30" s="423">
        <f t="shared" si="32"/>
        <v>-968125</v>
      </c>
      <c r="Z30" s="423">
        <f t="shared" si="33"/>
        <v>-1143309</v>
      </c>
      <c r="AA30" s="423">
        <f t="shared" si="34"/>
        <v>-798385</v>
      </c>
      <c r="AB30" s="423">
        <f t="shared" si="35"/>
        <v>-1151971</v>
      </c>
      <c r="AC30" s="423">
        <f t="shared" si="36"/>
        <v>-1063228</v>
      </c>
      <c r="AD30" s="423">
        <f t="shared" si="37"/>
        <v>-1262653</v>
      </c>
      <c r="AE30" s="423">
        <f t="shared" si="38"/>
        <v>-1012902</v>
      </c>
      <c r="AF30" s="423">
        <f t="shared" si="39"/>
        <v>-1199311</v>
      </c>
    </row>
    <row r="31" spans="1:32" outlineLevel="1">
      <c r="A31" s="418" t="s">
        <v>635</v>
      </c>
      <c r="B31" s="418" t="s">
        <v>636</v>
      </c>
      <c r="D31" s="423">
        <v>-9614</v>
      </c>
      <c r="E31" s="423">
        <v>-9964</v>
      </c>
      <c r="F31" s="423">
        <v>-9299</v>
      </c>
      <c r="G31" s="423">
        <v>-13923</v>
      </c>
      <c r="H31" s="423">
        <v>-7907</v>
      </c>
      <c r="I31" s="423">
        <v>-3059</v>
      </c>
      <c r="J31" s="423">
        <v>-11907</v>
      </c>
      <c r="K31" s="423">
        <v>4111.6850000000013</v>
      </c>
      <c r="L31" s="423">
        <v>-2401.7550000000001</v>
      </c>
      <c r="M31" s="423">
        <v>-2495.7550000000001</v>
      </c>
      <c r="N31" s="423">
        <v>-411</v>
      </c>
      <c r="O31" s="423">
        <v>590</v>
      </c>
      <c r="P31" s="423">
        <v>-67</v>
      </c>
      <c r="Q31" s="423">
        <v>-2044</v>
      </c>
      <c r="R31" s="423">
        <v>-4194</v>
      </c>
      <c r="S31" s="423">
        <v>-10064</v>
      </c>
      <c r="T31" s="423">
        <v>7928</v>
      </c>
      <c r="U31" s="423">
        <v>11259</v>
      </c>
      <c r="W31" s="423">
        <f t="shared" si="30"/>
        <v>-2401.7550000000001</v>
      </c>
      <c r="X31" s="423">
        <f t="shared" si="31"/>
        <v>-94</v>
      </c>
      <c r="Y31" s="423">
        <f t="shared" si="32"/>
        <v>2084.7550000000001</v>
      </c>
      <c r="Z31" s="423">
        <f t="shared" si="33"/>
        <v>1001</v>
      </c>
      <c r="AA31" s="423">
        <f t="shared" si="34"/>
        <v>-67</v>
      </c>
      <c r="AB31" s="423">
        <f t="shared" si="35"/>
        <v>-1977</v>
      </c>
      <c r="AC31" s="423">
        <f t="shared" si="36"/>
        <v>-2150</v>
      </c>
      <c r="AD31" s="423">
        <f t="shared" si="37"/>
        <v>-5870</v>
      </c>
      <c r="AE31" s="423">
        <f t="shared" si="38"/>
        <v>7928</v>
      </c>
      <c r="AF31" s="423">
        <f t="shared" si="39"/>
        <v>3331</v>
      </c>
    </row>
    <row r="32" spans="1:32" outlineLevel="1">
      <c r="A32" s="418" t="s">
        <v>637</v>
      </c>
      <c r="B32" s="418" t="s">
        <v>638</v>
      </c>
      <c r="D32" s="423">
        <v>-1301</v>
      </c>
      <c r="E32" s="423">
        <v>-2602</v>
      </c>
      <c r="F32" s="423">
        <v>-3833</v>
      </c>
      <c r="G32" s="423">
        <v>-5029</v>
      </c>
      <c r="H32" s="423">
        <v>-1196</v>
      </c>
      <c r="I32" s="423">
        <v>-2392</v>
      </c>
      <c r="J32" s="423">
        <v>-3813</v>
      </c>
      <c r="K32" s="423">
        <v>-5347</v>
      </c>
      <c r="L32" s="423">
        <v>-1534</v>
      </c>
      <c r="M32" s="423">
        <v>-1534</v>
      </c>
      <c r="N32" s="423">
        <v>-1534</v>
      </c>
      <c r="O32" s="423">
        <v>-1534</v>
      </c>
      <c r="P32" s="423">
        <v>0</v>
      </c>
      <c r="Q32" s="423">
        <v>0</v>
      </c>
      <c r="R32" s="423">
        <v>0</v>
      </c>
      <c r="S32" s="423">
        <v>0</v>
      </c>
      <c r="T32" s="423">
        <v>0</v>
      </c>
      <c r="U32" s="423">
        <v>0</v>
      </c>
      <c r="W32" s="423">
        <f t="shared" si="30"/>
        <v>-1534</v>
      </c>
      <c r="X32" s="423">
        <f t="shared" si="31"/>
        <v>0</v>
      </c>
      <c r="Y32" s="423">
        <f t="shared" si="32"/>
        <v>0</v>
      </c>
      <c r="Z32" s="423">
        <f t="shared" si="33"/>
        <v>0</v>
      </c>
      <c r="AA32" s="423">
        <f t="shared" si="34"/>
        <v>0</v>
      </c>
      <c r="AB32" s="423">
        <f t="shared" si="35"/>
        <v>0</v>
      </c>
      <c r="AC32" s="423">
        <f t="shared" si="36"/>
        <v>0</v>
      </c>
      <c r="AD32" s="423">
        <f t="shared" si="37"/>
        <v>0</v>
      </c>
      <c r="AE32" s="423">
        <f t="shared" si="38"/>
        <v>0</v>
      </c>
      <c r="AF32" s="423">
        <f t="shared" si="39"/>
        <v>0</v>
      </c>
    </row>
    <row r="33" spans="1:32" outlineLevel="1">
      <c r="A33" s="418" t="s">
        <v>639</v>
      </c>
      <c r="B33" s="418" t="s">
        <v>640</v>
      </c>
      <c r="D33" s="423">
        <v>-50142</v>
      </c>
      <c r="E33" s="423">
        <v>-93452</v>
      </c>
      <c r="F33" s="423">
        <v>-128899</v>
      </c>
      <c r="G33" s="423">
        <v>-192120</v>
      </c>
      <c r="H33" s="423">
        <v>-65393</v>
      </c>
      <c r="I33" s="423">
        <v>-140150</v>
      </c>
      <c r="J33" s="423">
        <v>-221751</v>
      </c>
      <c r="K33" s="423">
        <v>-312270</v>
      </c>
      <c r="L33" s="423">
        <v>-78252</v>
      </c>
      <c r="M33" s="423">
        <v>-153384</v>
      </c>
      <c r="N33" s="423">
        <v>-244160</v>
      </c>
      <c r="O33" s="423">
        <v>-333482</v>
      </c>
      <c r="P33" s="423">
        <v>-81665</v>
      </c>
      <c r="Q33" s="423">
        <v>-170861</v>
      </c>
      <c r="R33" s="423">
        <v>-268378</v>
      </c>
      <c r="S33" s="423">
        <v>-360390</v>
      </c>
      <c r="T33" s="423">
        <v>-87637</v>
      </c>
      <c r="U33" s="423">
        <v>-183741</v>
      </c>
      <c r="W33" s="423">
        <f t="shared" si="30"/>
        <v>-78252</v>
      </c>
      <c r="X33" s="423">
        <f t="shared" si="31"/>
        <v>-75132</v>
      </c>
      <c r="Y33" s="423">
        <f t="shared" si="32"/>
        <v>-90776</v>
      </c>
      <c r="Z33" s="423">
        <f t="shared" si="33"/>
        <v>-89322</v>
      </c>
      <c r="AA33" s="423">
        <f t="shared" si="34"/>
        <v>-81665</v>
      </c>
      <c r="AB33" s="423">
        <f t="shared" si="35"/>
        <v>-89196</v>
      </c>
      <c r="AC33" s="423">
        <f t="shared" si="36"/>
        <v>-97517</v>
      </c>
      <c r="AD33" s="423">
        <f t="shared" si="37"/>
        <v>-92012</v>
      </c>
      <c r="AE33" s="423">
        <f t="shared" si="38"/>
        <v>-87637</v>
      </c>
      <c r="AF33" s="423">
        <f t="shared" si="39"/>
        <v>-96104</v>
      </c>
    </row>
    <row r="34" spans="1:32" outlineLevel="1">
      <c r="A34" s="418" t="s">
        <v>641</v>
      </c>
      <c r="B34" s="418" t="s">
        <v>642</v>
      </c>
      <c r="D34" s="423">
        <v>-11996</v>
      </c>
      <c r="E34" s="423">
        <v>-22451</v>
      </c>
      <c r="F34" s="423">
        <v>-34900</v>
      </c>
      <c r="G34" s="423">
        <v>-48524</v>
      </c>
      <c r="H34" s="423">
        <v>-16732</v>
      </c>
      <c r="I34" s="423">
        <v>-22979</v>
      </c>
      <c r="J34" s="423">
        <v>-34180</v>
      </c>
      <c r="K34" s="423">
        <v>-47541</v>
      </c>
      <c r="L34" s="423">
        <v>-12386</v>
      </c>
      <c r="M34" s="423">
        <v>-24654</v>
      </c>
      <c r="N34" s="423">
        <v>-36150</v>
      </c>
      <c r="O34" s="423">
        <v>-52255</v>
      </c>
      <c r="P34" s="423">
        <v>-13583</v>
      </c>
      <c r="Q34" s="423">
        <v>-27178</v>
      </c>
      <c r="R34" s="423">
        <v>-40865</v>
      </c>
      <c r="S34" s="423">
        <v>-52973</v>
      </c>
      <c r="T34" s="423">
        <v>-12920</v>
      </c>
      <c r="U34" s="423">
        <v>-25872</v>
      </c>
      <c r="W34" s="423">
        <f t="shared" si="30"/>
        <v>-12386</v>
      </c>
      <c r="X34" s="423">
        <f t="shared" si="31"/>
        <v>-12268</v>
      </c>
      <c r="Y34" s="423">
        <f t="shared" si="32"/>
        <v>-11496</v>
      </c>
      <c r="Z34" s="423">
        <f t="shared" si="33"/>
        <v>-16105</v>
      </c>
      <c r="AA34" s="423">
        <f t="shared" si="34"/>
        <v>-13583</v>
      </c>
      <c r="AB34" s="423">
        <f t="shared" si="35"/>
        <v>-13595</v>
      </c>
      <c r="AC34" s="423">
        <f t="shared" si="36"/>
        <v>-13687</v>
      </c>
      <c r="AD34" s="423">
        <f t="shared" si="37"/>
        <v>-12108</v>
      </c>
      <c r="AE34" s="423">
        <f t="shared" si="38"/>
        <v>-12920</v>
      </c>
      <c r="AF34" s="423">
        <f t="shared" si="39"/>
        <v>-12952</v>
      </c>
    </row>
    <row r="35" spans="1:32" outlineLevel="1">
      <c r="A35" s="418" t="s">
        <v>643</v>
      </c>
      <c r="B35" s="418" t="s">
        <v>644</v>
      </c>
      <c r="D35" s="423">
        <v>-499162</v>
      </c>
      <c r="E35" s="423">
        <v>-1005220</v>
      </c>
      <c r="F35" s="423">
        <v>-1498100</v>
      </c>
      <c r="G35" s="423">
        <v>-1989694</v>
      </c>
      <c r="H35" s="423">
        <v>-800956</v>
      </c>
      <c r="I35" s="423">
        <v>-1655950</v>
      </c>
      <c r="J35" s="423">
        <v>-2519814</v>
      </c>
      <c r="K35" s="423">
        <v>-3441127</v>
      </c>
      <c r="L35" s="423">
        <v>-1031356</v>
      </c>
      <c r="M35" s="423">
        <v>-2080514</v>
      </c>
      <c r="N35" s="423">
        <v>-3049408</v>
      </c>
      <c r="O35" s="423">
        <v>-3678719</v>
      </c>
      <c r="P35" s="423">
        <v>-895209</v>
      </c>
      <c r="Q35" s="423">
        <v>-1789495</v>
      </c>
      <c r="R35" s="423">
        <v>-2894854</v>
      </c>
      <c r="S35" s="423">
        <v>-4151794</v>
      </c>
      <c r="T35" s="423">
        <v>-1307251</v>
      </c>
      <c r="U35" s="423">
        <v>-2611349</v>
      </c>
      <c r="W35" s="423">
        <f t="shared" si="30"/>
        <v>-1031356</v>
      </c>
      <c r="X35" s="423">
        <f t="shared" si="31"/>
        <v>-1049158</v>
      </c>
      <c r="Y35" s="423">
        <f t="shared" si="32"/>
        <v>-968894</v>
      </c>
      <c r="Z35" s="423">
        <f t="shared" si="33"/>
        <v>-629311</v>
      </c>
      <c r="AA35" s="423">
        <f t="shared" si="34"/>
        <v>-895209</v>
      </c>
      <c r="AB35" s="423">
        <f t="shared" si="35"/>
        <v>-894286</v>
      </c>
      <c r="AC35" s="423">
        <f t="shared" si="36"/>
        <v>-1105359</v>
      </c>
      <c r="AD35" s="423">
        <f t="shared" si="37"/>
        <v>-1256940</v>
      </c>
      <c r="AE35" s="423">
        <f t="shared" si="38"/>
        <v>-1307251</v>
      </c>
      <c r="AF35" s="423">
        <f t="shared" si="39"/>
        <v>-1304098</v>
      </c>
    </row>
    <row r="36" spans="1:32" outlineLevel="1">
      <c r="A36" s="418" t="s">
        <v>645</v>
      </c>
      <c r="B36" s="418" t="s">
        <v>645</v>
      </c>
      <c r="D36" s="423">
        <v>-2205</v>
      </c>
      <c r="E36" s="423">
        <v>-4462</v>
      </c>
      <c r="F36" s="423">
        <v>-6500</v>
      </c>
      <c r="G36" s="423">
        <v>-9300</v>
      </c>
      <c r="H36" s="423">
        <v>-3603</v>
      </c>
      <c r="I36" s="423">
        <v>-6371</v>
      </c>
      <c r="J36" s="423">
        <v>-9546</v>
      </c>
      <c r="K36" s="423">
        <v>-13806</v>
      </c>
      <c r="L36" s="423">
        <v>-3536</v>
      </c>
      <c r="M36" s="423">
        <v>-7212</v>
      </c>
      <c r="N36" s="423">
        <v>-11039</v>
      </c>
      <c r="O36" s="423">
        <v>-14926</v>
      </c>
      <c r="P36" s="423">
        <v>-4063</v>
      </c>
      <c r="Q36" s="423">
        <v>-8317</v>
      </c>
      <c r="R36" s="423">
        <v>-12513</v>
      </c>
      <c r="S36" s="423">
        <v>-16862</v>
      </c>
      <c r="T36" s="423">
        <v>-4421</v>
      </c>
      <c r="U36" s="423">
        <v>-9632</v>
      </c>
      <c r="W36" s="423">
        <f t="shared" si="30"/>
        <v>-3536</v>
      </c>
      <c r="X36" s="423">
        <f t="shared" si="31"/>
        <v>-3676</v>
      </c>
      <c r="Y36" s="423">
        <f t="shared" si="32"/>
        <v>-3827</v>
      </c>
      <c r="Z36" s="423">
        <f t="shared" si="33"/>
        <v>-3887</v>
      </c>
      <c r="AA36" s="423">
        <f t="shared" si="34"/>
        <v>-4063</v>
      </c>
      <c r="AB36" s="423">
        <f t="shared" si="35"/>
        <v>-4254</v>
      </c>
      <c r="AC36" s="423">
        <f t="shared" si="36"/>
        <v>-4196</v>
      </c>
      <c r="AD36" s="423">
        <f t="shared" si="37"/>
        <v>-4349</v>
      </c>
      <c r="AE36" s="423">
        <f t="shared" si="38"/>
        <v>-4421</v>
      </c>
      <c r="AF36" s="423">
        <f t="shared" si="39"/>
        <v>-5211</v>
      </c>
    </row>
    <row r="37" spans="1:32" outlineLevel="1">
      <c r="A37" s="418" t="s">
        <v>95</v>
      </c>
      <c r="B37" s="418" t="s">
        <v>96</v>
      </c>
      <c r="D37" s="423">
        <v>-63789</v>
      </c>
      <c r="E37" s="423">
        <v>-164948</v>
      </c>
      <c r="F37" s="423">
        <v>-188034</v>
      </c>
      <c r="G37" s="423">
        <v>-243485</v>
      </c>
      <c r="H37" s="423">
        <v>-58751</v>
      </c>
      <c r="I37" s="423">
        <v>-125499</v>
      </c>
      <c r="J37" s="423">
        <v>-165727</v>
      </c>
      <c r="K37" s="423">
        <v>-258726</v>
      </c>
      <c r="L37" s="423">
        <v>-136592</v>
      </c>
      <c r="M37" s="423">
        <v>-242987</v>
      </c>
      <c r="N37" s="423">
        <v>-301472</v>
      </c>
      <c r="O37" s="423">
        <v>-327629</v>
      </c>
      <c r="P37" s="423">
        <v>-106912</v>
      </c>
      <c r="Q37" s="423">
        <v>-203844</v>
      </c>
      <c r="R37" s="423">
        <v>-380080</v>
      </c>
      <c r="S37" s="423">
        <v>-490442</v>
      </c>
      <c r="T37" s="423">
        <v>-90412</v>
      </c>
      <c r="U37" s="423">
        <v>-162075</v>
      </c>
      <c r="W37" s="423">
        <f t="shared" si="30"/>
        <v>-136592</v>
      </c>
      <c r="X37" s="423">
        <f t="shared" si="31"/>
        <v>-106395</v>
      </c>
      <c r="Y37" s="423">
        <f t="shared" si="32"/>
        <v>-58485</v>
      </c>
      <c r="Z37" s="423">
        <f t="shared" si="33"/>
        <v>-26157</v>
      </c>
      <c r="AA37" s="423">
        <f t="shared" si="34"/>
        <v>-106912</v>
      </c>
      <c r="AB37" s="423">
        <f t="shared" si="35"/>
        <v>-96932</v>
      </c>
      <c r="AC37" s="423">
        <f t="shared" si="36"/>
        <v>-176236</v>
      </c>
      <c r="AD37" s="423">
        <f t="shared" si="37"/>
        <v>-110362</v>
      </c>
      <c r="AE37" s="423">
        <f t="shared" si="38"/>
        <v>-90412</v>
      </c>
      <c r="AF37" s="423">
        <f t="shared" si="39"/>
        <v>-71663</v>
      </c>
    </row>
    <row r="38" spans="1:32">
      <c r="A38" s="417"/>
      <c r="B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</row>
    <row r="39" spans="1:32">
      <c r="A39" s="429" t="s">
        <v>646</v>
      </c>
      <c r="B39" s="429" t="s">
        <v>647</v>
      </c>
      <c r="D39" s="420">
        <f t="shared" ref="D39:I39" si="40">D27+D6</f>
        <v>5843189</v>
      </c>
      <c r="E39" s="420">
        <f t="shared" si="40"/>
        <v>12383536</v>
      </c>
      <c r="F39" s="420">
        <f t="shared" si="40"/>
        <v>19215572</v>
      </c>
      <c r="G39" s="420">
        <f t="shared" si="40"/>
        <v>27132507</v>
      </c>
      <c r="H39" s="420">
        <f t="shared" si="40"/>
        <v>10176574</v>
      </c>
      <c r="I39" s="420">
        <f t="shared" si="40"/>
        <v>19631896</v>
      </c>
      <c r="J39" s="420">
        <f t="shared" ref="J39:T39" si="41">J27+J6</f>
        <v>29739569</v>
      </c>
      <c r="K39" s="420">
        <f t="shared" si="41"/>
        <v>40985077</v>
      </c>
      <c r="L39" s="420">
        <f t="shared" si="41"/>
        <v>9898158</v>
      </c>
      <c r="M39" s="420">
        <f t="shared" si="41"/>
        <v>20385326</v>
      </c>
      <c r="N39" s="420">
        <f t="shared" si="41"/>
        <v>32748621</v>
      </c>
      <c r="O39" s="420">
        <f t="shared" si="41"/>
        <v>45366675</v>
      </c>
      <c r="P39" s="420">
        <f t="shared" si="41"/>
        <v>11709093</v>
      </c>
      <c r="Q39" s="420">
        <f t="shared" si="41"/>
        <v>24504420</v>
      </c>
      <c r="R39" s="420">
        <f t="shared" si="41"/>
        <v>38649516</v>
      </c>
      <c r="S39" s="420">
        <f t="shared" si="41"/>
        <v>52073804</v>
      </c>
      <c r="T39" s="741">
        <f t="shared" si="41"/>
        <v>12749940</v>
      </c>
      <c r="U39" s="741">
        <f>U27+U6</f>
        <v>26488874</v>
      </c>
      <c r="W39" s="420">
        <f t="shared" ref="W39:AC39" si="42">W27+W6</f>
        <v>9898158</v>
      </c>
      <c r="X39" s="420">
        <f t="shared" si="42"/>
        <v>10487168</v>
      </c>
      <c r="Y39" s="420">
        <f t="shared" si="42"/>
        <v>12363295</v>
      </c>
      <c r="Z39" s="420">
        <f t="shared" si="42"/>
        <v>12618054</v>
      </c>
      <c r="AA39" s="420">
        <f t="shared" si="42"/>
        <v>11709093</v>
      </c>
      <c r="AB39" s="420">
        <f t="shared" si="42"/>
        <v>12795327</v>
      </c>
      <c r="AC39" s="420">
        <f t="shared" si="42"/>
        <v>14145096</v>
      </c>
      <c r="AD39" s="420">
        <f t="shared" ref="AD39:AE39" si="43">AD27+AD6</f>
        <v>13424288</v>
      </c>
      <c r="AE39" s="420">
        <f t="shared" si="43"/>
        <v>12749940</v>
      </c>
      <c r="AF39" s="741">
        <f>AF27+AF6</f>
        <v>13738934</v>
      </c>
    </row>
    <row r="40" spans="1:32">
      <c r="A40" s="417"/>
      <c r="B40" s="417"/>
      <c r="D40" s="417"/>
      <c r="E40" s="417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</row>
    <row r="41" spans="1:32">
      <c r="A41" s="416" t="s">
        <v>648</v>
      </c>
      <c r="B41" s="416" t="s">
        <v>649</v>
      </c>
      <c r="D41" s="424">
        <f t="shared" ref="D41:I41" si="44">SUM(D43:D49)</f>
        <v>-3844293</v>
      </c>
      <c r="E41" s="424">
        <f t="shared" si="44"/>
        <v>-8224780</v>
      </c>
      <c r="F41" s="424">
        <f t="shared" si="44"/>
        <v>-13107635</v>
      </c>
      <c r="G41" s="424">
        <f t="shared" si="44"/>
        <v>-18565736</v>
      </c>
      <c r="H41" s="424">
        <f t="shared" si="44"/>
        <v>-7380981</v>
      </c>
      <c r="I41" s="424">
        <f t="shared" si="44"/>
        <v>-14072959</v>
      </c>
      <c r="J41" s="424">
        <f t="shared" ref="J41:T41" si="45">SUM(J43:J49)</f>
        <v>-20874221</v>
      </c>
      <c r="K41" s="424">
        <f t="shared" si="45"/>
        <v>-28842545</v>
      </c>
      <c r="L41" s="424">
        <f t="shared" si="45"/>
        <v>-6766947</v>
      </c>
      <c r="M41" s="424">
        <f t="shared" si="45"/>
        <v>-14099970</v>
      </c>
      <c r="N41" s="424">
        <f t="shared" si="45"/>
        <v>-23005475</v>
      </c>
      <c r="O41" s="424">
        <f t="shared" si="45"/>
        <v>-32309713</v>
      </c>
      <c r="P41" s="424">
        <f t="shared" si="45"/>
        <v>-8238723</v>
      </c>
      <c r="Q41" s="424">
        <f t="shared" si="45"/>
        <v>-17649673</v>
      </c>
      <c r="R41" s="424">
        <f t="shared" si="45"/>
        <v>-28308095</v>
      </c>
      <c r="S41" s="424">
        <f t="shared" si="45"/>
        <v>-38466548</v>
      </c>
      <c r="T41" s="424">
        <f t="shared" si="45"/>
        <v>-9294925</v>
      </c>
      <c r="U41" s="424">
        <f>SUM(U43:U49)</f>
        <v>-19417847</v>
      </c>
      <c r="W41" s="424">
        <f t="shared" ref="W41:AC41" si="46">SUM(W43:W49)</f>
        <v>-6766947</v>
      </c>
      <c r="X41" s="424">
        <f t="shared" si="46"/>
        <v>-7333023</v>
      </c>
      <c r="Y41" s="424">
        <f t="shared" si="46"/>
        <v>-8905505</v>
      </c>
      <c r="Z41" s="424">
        <f t="shared" si="46"/>
        <v>-9304238</v>
      </c>
      <c r="AA41" s="424">
        <f t="shared" si="46"/>
        <v>-8238723</v>
      </c>
      <c r="AB41" s="424">
        <f t="shared" si="46"/>
        <v>-9410950</v>
      </c>
      <c r="AC41" s="424">
        <f t="shared" si="46"/>
        <v>-10658422</v>
      </c>
      <c r="AD41" s="424">
        <f t="shared" ref="AD41:AE41" si="47">SUM(AD43:AD49)</f>
        <v>-10158453</v>
      </c>
      <c r="AE41" s="424">
        <f t="shared" si="47"/>
        <v>-9294925</v>
      </c>
      <c r="AF41" s="424">
        <f>SUM(AF43:AF49)</f>
        <v>-7744817</v>
      </c>
    </row>
    <row r="42" spans="1:32">
      <c r="A42" s="416"/>
      <c r="B42" s="416"/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W42" s="421"/>
      <c r="X42" s="421"/>
      <c r="Y42" s="421"/>
      <c r="Z42" s="421"/>
      <c r="AA42" s="421"/>
      <c r="AB42" s="421"/>
      <c r="AC42" s="421"/>
      <c r="AD42" s="421"/>
      <c r="AE42" s="421"/>
      <c r="AF42" s="421"/>
    </row>
    <row r="43" spans="1:32">
      <c r="A43" s="417" t="s">
        <v>650</v>
      </c>
      <c r="B43" s="417" t="s">
        <v>651</v>
      </c>
      <c r="D43" s="422">
        <v>-2502942</v>
      </c>
      <c r="E43" s="422">
        <v>-5153736</v>
      </c>
      <c r="F43" s="422">
        <v>-7946223</v>
      </c>
      <c r="G43" s="422">
        <v>-10921316</v>
      </c>
      <c r="H43" s="422">
        <v>-4023373</v>
      </c>
      <c r="I43" s="422">
        <v>-7932754</v>
      </c>
      <c r="J43" s="422">
        <v>-12050138</v>
      </c>
      <c r="K43" s="422">
        <v>-17012953</v>
      </c>
      <c r="L43" s="422">
        <v>-4129600</v>
      </c>
      <c r="M43" s="422">
        <v>-8480451</v>
      </c>
      <c r="N43" s="422">
        <v>-13869712</v>
      </c>
      <c r="O43" s="422">
        <v>-19563903</v>
      </c>
      <c r="P43" s="422">
        <v>-4920863</v>
      </c>
      <c r="Q43" s="422">
        <v>-10394897</v>
      </c>
      <c r="R43" s="422">
        <v>-17030615</v>
      </c>
      <c r="S43" s="422">
        <v>-23578031</v>
      </c>
      <c r="T43" s="422">
        <v>-5560778</v>
      </c>
      <c r="U43" s="422">
        <v>-9367815</v>
      </c>
      <c r="W43" s="422">
        <f>L43</f>
        <v>-4129600</v>
      </c>
      <c r="X43" s="422">
        <f>M43-W43</f>
        <v>-4350851</v>
      </c>
      <c r="Y43" s="422">
        <f>N43-M43</f>
        <v>-5389261</v>
      </c>
      <c r="Z43" s="422">
        <f>O43-N43</f>
        <v>-5694191</v>
      </c>
      <c r="AA43" s="422">
        <f>P43</f>
        <v>-4920863</v>
      </c>
      <c r="AB43" s="422">
        <f>Q43-P43</f>
        <v>-5474034</v>
      </c>
      <c r="AC43" s="422">
        <f>R43-Q43</f>
        <v>-6635718</v>
      </c>
      <c r="AD43" s="422">
        <f>S43-R43</f>
        <v>-6547416</v>
      </c>
      <c r="AE43" s="422">
        <f>T43</f>
        <v>-5560778</v>
      </c>
      <c r="AF43" s="422">
        <f>U43-T43</f>
        <v>-3807037</v>
      </c>
    </row>
    <row r="44" spans="1:32">
      <c r="A44" s="417" t="s">
        <v>2498</v>
      </c>
      <c r="B44" s="417" t="s">
        <v>2499</v>
      </c>
      <c r="D44" s="422"/>
      <c r="E44" s="422"/>
      <c r="F44" s="422"/>
      <c r="G44" s="422"/>
      <c r="H44" s="422"/>
      <c r="I44" s="422"/>
      <c r="J44" s="422"/>
      <c r="K44" s="422"/>
      <c r="L44" s="422"/>
      <c r="M44" s="422"/>
      <c r="N44" s="422"/>
      <c r="O44" s="422"/>
      <c r="P44" s="422"/>
      <c r="Q44" s="422"/>
      <c r="R44" s="422"/>
      <c r="S44" s="422"/>
      <c r="T44" s="422"/>
      <c r="U44" s="422">
        <v>-2378105</v>
      </c>
      <c r="W44" s="422"/>
      <c r="X44" s="422"/>
      <c r="Y44" s="422"/>
      <c r="Z44" s="422"/>
      <c r="AA44" s="422"/>
      <c r="AB44" s="422"/>
      <c r="AC44" s="422"/>
      <c r="AD44" s="422"/>
      <c r="AE44" s="422"/>
      <c r="AF44" s="422"/>
    </row>
    <row r="45" spans="1:32">
      <c r="A45" s="417" t="s">
        <v>652</v>
      </c>
      <c r="B45" s="417" t="s">
        <v>653</v>
      </c>
      <c r="D45" s="422">
        <v>-728259</v>
      </c>
      <c r="E45" s="422">
        <v>-1842486</v>
      </c>
      <c r="F45" s="422">
        <v>-3404095</v>
      </c>
      <c r="G45" s="422">
        <v>-5153279</v>
      </c>
      <c r="H45" s="422">
        <v>-2345389</v>
      </c>
      <c r="I45" s="422">
        <v>-4387094</v>
      </c>
      <c r="J45" s="422">
        <v>-6095659</v>
      </c>
      <c r="K45" s="422">
        <v>-8129445</v>
      </c>
      <c r="L45" s="422">
        <v>-1562777</v>
      </c>
      <c r="M45" s="422">
        <v>-3560233</v>
      </c>
      <c r="N45" s="422">
        <v>-5862189</v>
      </c>
      <c r="O45" s="422">
        <v>-8538882</v>
      </c>
      <c r="P45" s="422">
        <v>-2287533</v>
      </c>
      <c r="Q45" s="422">
        <v>-4974642</v>
      </c>
      <c r="R45" s="422">
        <v>-7920791</v>
      </c>
      <c r="S45" s="422">
        <v>-10706360</v>
      </c>
      <c r="T45" s="422">
        <v>-2545304</v>
      </c>
      <c r="U45" s="422">
        <v>-5084581</v>
      </c>
      <c r="W45" s="422">
        <f>L45</f>
        <v>-1562777</v>
      </c>
      <c r="X45" s="422">
        <f>M45-W45</f>
        <v>-1997456</v>
      </c>
      <c r="Y45" s="422">
        <f t="shared" ref="Y45:Z48" si="48">N45-M45</f>
        <v>-2301956</v>
      </c>
      <c r="Z45" s="422">
        <f t="shared" si="48"/>
        <v>-2676693</v>
      </c>
      <c r="AA45" s="422">
        <f>P45</f>
        <v>-2287533</v>
      </c>
      <c r="AB45" s="422">
        <f t="shared" ref="AB45:AD48" si="49">Q45-P45</f>
        <v>-2687109</v>
      </c>
      <c r="AC45" s="422">
        <f t="shared" si="49"/>
        <v>-2946149</v>
      </c>
      <c r="AD45" s="422">
        <f t="shared" si="49"/>
        <v>-2785569</v>
      </c>
      <c r="AE45" s="422">
        <f>T45</f>
        <v>-2545304</v>
      </c>
      <c r="AF45" s="422">
        <f>U45-T45</f>
        <v>-2539277</v>
      </c>
    </row>
    <row r="46" spans="1:32">
      <c r="A46" s="417" t="s">
        <v>654</v>
      </c>
      <c r="B46" s="417" t="s">
        <v>655</v>
      </c>
      <c r="D46" s="422">
        <v>-110182</v>
      </c>
      <c r="E46" s="422">
        <v>-147000</v>
      </c>
      <c r="F46" s="422">
        <v>-118080</v>
      </c>
      <c r="G46" s="422">
        <v>-118080</v>
      </c>
      <c r="H46" s="422">
        <v>0</v>
      </c>
      <c r="I46" s="422">
        <v>0</v>
      </c>
      <c r="J46" s="422">
        <v>0</v>
      </c>
      <c r="K46" s="422">
        <v>0</v>
      </c>
      <c r="L46" s="422">
        <v>0</v>
      </c>
      <c r="M46" s="422">
        <v>0</v>
      </c>
      <c r="N46" s="422">
        <v>0</v>
      </c>
      <c r="O46" s="422">
        <v>0</v>
      </c>
      <c r="P46" s="422">
        <v>0</v>
      </c>
      <c r="Q46" s="422">
        <v>0</v>
      </c>
      <c r="R46" s="422">
        <v>0</v>
      </c>
      <c r="S46" s="422">
        <v>0</v>
      </c>
      <c r="T46" s="422">
        <v>0</v>
      </c>
      <c r="U46" s="422">
        <v>0</v>
      </c>
      <c r="W46" s="422">
        <f>L46</f>
        <v>0</v>
      </c>
      <c r="X46" s="422">
        <f>M46-W46</f>
        <v>0</v>
      </c>
      <c r="Y46" s="422">
        <f t="shared" si="48"/>
        <v>0</v>
      </c>
      <c r="Z46" s="422">
        <f t="shared" si="48"/>
        <v>0</v>
      </c>
      <c r="AA46" s="422">
        <f>P46</f>
        <v>0</v>
      </c>
      <c r="AB46" s="422">
        <f t="shared" si="49"/>
        <v>0</v>
      </c>
      <c r="AC46" s="422">
        <f t="shared" si="49"/>
        <v>0</v>
      </c>
      <c r="AD46" s="422">
        <f t="shared" si="49"/>
        <v>0</v>
      </c>
      <c r="AE46" s="422">
        <f>T46</f>
        <v>0</v>
      </c>
      <c r="AF46" s="422">
        <f>U46-T46</f>
        <v>0</v>
      </c>
    </row>
    <row r="47" spans="1:32">
      <c r="A47" s="417" t="s">
        <v>656</v>
      </c>
      <c r="B47" s="417" t="s">
        <v>657</v>
      </c>
      <c r="D47" s="422">
        <v>10194</v>
      </c>
      <c r="E47" s="422">
        <v>13597</v>
      </c>
      <c r="F47" s="422">
        <v>10923</v>
      </c>
      <c r="G47" s="422">
        <v>10923</v>
      </c>
      <c r="H47" s="422">
        <v>0</v>
      </c>
      <c r="I47" s="422">
        <v>0</v>
      </c>
      <c r="J47" s="422">
        <v>0</v>
      </c>
      <c r="K47" s="422">
        <v>0</v>
      </c>
      <c r="L47" s="422">
        <v>0</v>
      </c>
      <c r="M47" s="422">
        <v>0</v>
      </c>
      <c r="N47" s="422">
        <v>0</v>
      </c>
      <c r="O47" s="422">
        <v>0</v>
      </c>
      <c r="P47" s="422">
        <v>0</v>
      </c>
      <c r="Q47" s="422">
        <v>0</v>
      </c>
      <c r="R47" s="422">
        <v>0</v>
      </c>
      <c r="S47" s="422">
        <v>0</v>
      </c>
      <c r="T47" s="422">
        <v>0</v>
      </c>
      <c r="U47" s="422">
        <v>0</v>
      </c>
      <c r="W47" s="422">
        <f>L47</f>
        <v>0</v>
      </c>
      <c r="X47" s="422">
        <f>M47-W47</f>
        <v>0</v>
      </c>
      <c r="Y47" s="422">
        <f t="shared" si="48"/>
        <v>0</v>
      </c>
      <c r="Z47" s="422">
        <f t="shared" si="48"/>
        <v>0</v>
      </c>
      <c r="AA47" s="422">
        <f>P47</f>
        <v>0</v>
      </c>
      <c r="AB47" s="422">
        <f t="shared" si="49"/>
        <v>0</v>
      </c>
      <c r="AC47" s="422">
        <f t="shared" si="49"/>
        <v>0</v>
      </c>
      <c r="AD47" s="422">
        <f t="shared" si="49"/>
        <v>0</v>
      </c>
      <c r="AE47" s="422">
        <f>T47</f>
        <v>0</v>
      </c>
      <c r="AF47" s="422">
        <f>U47-T47</f>
        <v>0</v>
      </c>
    </row>
    <row r="48" spans="1:32">
      <c r="A48" s="417" t="s">
        <v>658</v>
      </c>
      <c r="B48" s="417" t="s">
        <v>659</v>
      </c>
      <c r="D48" s="422">
        <v>0</v>
      </c>
      <c r="E48" s="422">
        <v>0</v>
      </c>
      <c r="F48" s="422">
        <v>0</v>
      </c>
      <c r="G48" s="422">
        <v>0</v>
      </c>
      <c r="H48" s="422">
        <v>0</v>
      </c>
      <c r="I48" s="422">
        <v>0</v>
      </c>
      <c r="J48" s="422">
        <v>0</v>
      </c>
      <c r="K48" s="422">
        <v>0</v>
      </c>
      <c r="L48" s="422">
        <v>0</v>
      </c>
      <c r="M48" s="422">
        <v>0</v>
      </c>
      <c r="N48" s="422">
        <v>0</v>
      </c>
      <c r="O48" s="422">
        <v>0</v>
      </c>
      <c r="P48" s="422">
        <v>0</v>
      </c>
      <c r="Q48" s="422">
        <v>0</v>
      </c>
      <c r="R48" s="422">
        <v>0</v>
      </c>
      <c r="S48" s="422">
        <v>0</v>
      </c>
      <c r="T48" s="422">
        <v>0</v>
      </c>
      <c r="U48" s="422">
        <v>0</v>
      </c>
      <c r="W48" s="422">
        <f>L48</f>
        <v>0</v>
      </c>
      <c r="X48" s="422">
        <f>M48-W48</f>
        <v>0</v>
      </c>
      <c r="Y48" s="422">
        <f t="shared" si="48"/>
        <v>0</v>
      </c>
      <c r="Z48" s="422">
        <f t="shared" si="48"/>
        <v>0</v>
      </c>
      <c r="AA48" s="422">
        <f>P48</f>
        <v>0</v>
      </c>
      <c r="AB48" s="422">
        <f t="shared" si="49"/>
        <v>0</v>
      </c>
      <c r="AC48" s="422">
        <f t="shared" si="49"/>
        <v>0</v>
      </c>
      <c r="AD48" s="422">
        <f t="shared" si="49"/>
        <v>0</v>
      </c>
      <c r="AE48" s="422">
        <f>T48</f>
        <v>0</v>
      </c>
      <c r="AF48" s="422">
        <f>U48-T48</f>
        <v>0</v>
      </c>
    </row>
    <row r="49" spans="1:32">
      <c r="A49" s="417" t="s">
        <v>660</v>
      </c>
      <c r="B49" s="417" t="s">
        <v>661</v>
      </c>
      <c r="D49" s="422">
        <f t="shared" ref="D49:I49" si="50">SUM(D50:D56)</f>
        <v>-513104</v>
      </c>
      <c r="E49" s="422">
        <f t="shared" si="50"/>
        <v>-1095155</v>
      </c>
      <c r="F49" s="422">
        <f t="shared" si="50"/>
        <v>-1650160</v>
      </c>
      <c r="G49" s="422">
        <f t="shared" si="50"/>
        <v>-2383984</v>
      </c>
      <c r="H49" s="422">
        <f t="shared" si="50"/>
        <v>-1012219</v>
      </c>
      <c r="I49" s="422">
        <f t="shared" si="50"/>
        <v>-1753111</v>
      </c>
      <c r="J49" s="422">
        <f t="shared" ref="J49:T49" si="51">SUM(J50:J56)</f>
        <v>-2728424</v>
      </c>
      <c r="K49" s="422">
        <f t="shared" si="51"/>
        <v>-3700147</v>
      </c>
      <c r="L49" s="422">
        <f t="shared" si="51"/>
        <v>-1074570</v>
      </c>
      <c r="M49" s="422">
        <f t="shared" si="51"/>
        <v>-2059286</v>
      </c>
      <c r="N49" s="422">
        <f t="shared" si="51"/>
        <v>-3273574</v>
      </c>
      <c r="O49" s="422">
        <f t="shared" si="51"/>
        <v>-4206928</v>
      </c>
      <c r="P49" s="422">
        <f t="shared" si="51"/>
        <v>-1030327</v>
      </c>
      <c r="Q49" s="422">
        <f t="shared" si="51"/>
        <v>-2280134</v>
      </c>
      <c r="R49" s="422">
        <f t="shared" si="51"/>
        <v>-3356689</v>
      </c>
      <c r="S49" s="422">
        <f t="shared" si="51"/>
        <v>-4182157</v>
      </c>
      <c r="T49" s="422">
        <f t="shared" si="51"/>
        <v>-1188843</v>
      </c>
      <c r="U49" s="422">
        <f>SUM(U50:U56)</f>
        <v>-2587346</v>
      </c>
      <c r="W49" s="422">
        <f t="shared" ref="W49:AC49" si="52">SUM(W50:W56)</f>
        <v>-1074570</v>
      </c>
      <c r="X49" s="422">
        <f t="shared" si="52"/>
        <v>-984716</v>
      </c>
      <c r="Y49" s="422">
        <f t="shared" si="52"/>
        <v>-1214288</v>
      </c>
      <c r="Z49" s="422">
        <f t="shared" si="52"/>
        <v>-933354</v>
      </c>
      <c r="AA49" s="422">
        <f t="shared" si="52"/>
        <v>-1030327</v>
      </c>
      <c r="AB49" s="422">
        <f t="shared" si="52"/>
        <v>-1249807</v>
      </c>
      <c r="AC49" s="422">
        <f t="shared" si="52"/>
        <v>-1076555</v>
      </c>
      <c r="AD49" s="422">
        <f t="shared" ref="AD49:AE49" si="53">SUM(AD50:AD56)</f>
        <v>-825468</v>
      </c>
      <c r="AE49" s="422">
        <f t="shared" si="53"/>
        <v>-1188843</v>
      </c>
      <c r="AF49" s="422">
        <f>SUM(AF50:AF56)</f>
        <v>-1398503</v>
      </c>
    </row>
    <row r="50" spans="1:32" outlineLevel="1">
      <c r="A50" s="418" t="s">
        <v>662</v>
      </c>
      <c r="B50" s="418" t="s">
        <v>663</v>
      </c>
      <c r="D50" s="423">
        <v>-112193</v>
      </c>
      <c r="E50" s="423">
        <v>-220407</v>
      </c>
      <c r="F50" s="423">
        <v>-305680</v>
      </c>
      <c r="G50" s="423">
        <v>-399075</v>
      </c>
      <c r="H50" s="423">
        <v>-108934</v>
      </c>
      <c r="I50" s="423">
        <v>-167230</v>
      </c>
      <c r="J50" s="423">
        <v>-248256</v>
      </c>
      <c r="K50" s="423">
        <v>-370694</v>
      </c>
      <c r="L50" s="423">
        <v>-123649</v>
      </c>
      <c r="M50" s="423">
        <v>-228578</v>
      </c>
      <c r="N50" s="423">
        <v>-353357</v>
      </c>
      <c r="O50" s="423">
        <v>-498111</v>
      </c>
      <c r="P50" s="423">
        <v>-124522</v>
      </c>
      <c r="Q50" s="423">
        <v>-251089</v>
      </c>
      <c r="R50" s="423">
        <v>-401900</v>
      </c>
      <c r="S50" s="423">
        <v>-538948</v>
      </c>
      <c r="T50" s="423">
        <v>-151371</v>
      </c>
      <c r="U50" s="423">
        <v>-311843</v>
      </c>
      <c r="W50" s="423">
        <f t="shared" ref="W50:W56" si="54">L50</f>
        <v>-123649</v>
      </c>
      <c r="X50" s="423">
        <f t="shared" ref="X50:X56" si="55">M50-W50</f>
        <v>-104929</v>
      </c>
      <c r="Y50" s="423">
        <f t="shared" ref="Y50:Z56" si="56">N50-M50</f>
        <v>-124779</v>
      </c>
      <c r="Z50" s="423">
        <f t="shared" si="56"/>
        <v>-144754</v>
      </c>
      <c r="AA50" s="423">
        <f t="shared" ref="AA50:AA56" si="57">P50</f>
        <v>-124522</v>
      </c>
      <c r="AB50" s="423">
        <f t="shared" ref="AB50:AB56" si="58">Q50-AA50</f>
        <v>-126567</v>
      </c>
      <c r="AC50" s="423">
        <f t="shared" ref="AC50:AD56" si="59">R50-Q50</f>
        <v>-150811</v>
      </c>
      <c r="AD50" s="423">
        <f t="shared" si="59"/>
        <v>-137048</v>
      </c>
      <c r="AE50" s="423">
        <f t="shared" ref="AE50:AE56" si="60">T50</f>
        <v>-151371</v>
      </c>
      <c r="AF50" s="423">
        <f t="shared" ref="AF50:AF56" si="61">U50-T50</f>
        <v>-160472</v>
      </c>
    </row>
    <row r="51" spans="1:32" outlineLevel="1">
      <c r="A51" s="418" t="s">
        <v>664</v>
      </c>
      <c r="B51" s="418" t="s">
        <v>665</v>
      </c>
      <c r="D51" s="423">
        <v>-20049</v>
      </c>
      <c r="E51" s="423">
        <v>-37983</v>
      </c>
      <c r="F51" s="423">
        <v>-60638</v>
      </c>
      <c r="G51" s="423">
        <v>-94222</v>
      </c>
      <c r="H51" s="423">
        <v>-25333</v>
      </c>
      <c r="I51" s="423">
        <v>-48037</v>
      </c>
      <c r="J51" s="423">
        <v>-85672</v>
      </c>
      <c r="K51" s="423">
        <v>-118436</v>
      </c>
      <c r="L51" s="423">
        <v>-28948</v>
      </c>
      <c r="M51" s="423">
        <v>-52794</v>
      </c>
      <c r="N51" s="423">
        <v>-94178</v>
      </c>
      <c r="O51" s="423">
        <v>-137253</v>
      </c>
      <c r="P51" s="423">
        <v>-36193</v>
      </c>
      <c r="Q51" s="423">
        <v>-76743</v>
      </c>
      <c r="R51" s="423">
        <v>-113149</v>
      </c>
      <c r="S51" s="423">
        <v>-145532</v>
      </c>
      <c r="T51" s="423">
        <v>-43403</v>
      </c>
      <c r="U51" s="423">
        <v>-63351</v>
      </c>
      <c r="W51" s="423">
        <f t="shared" si="54"/>
        <v>-28948</v>
      </c>
      <c r="X51" s="423">
        <f t="shared" si="55"/>
        <v>-23846</v>
      </c>
      <c r="Y51" s="423">
        <f t="shared" si="56"/>
        <v>-41384</v>
      </c>
      <c r="Z51" s="423">
        <f t="shared" si="56"/>
        <v>-43075</v>
      </c>
      <c r="AA51" s="423">
        <f t="shared" si="57"/>
        <v>-36193</v>
      </c>
      <c r="AB51" s="423">
        <f t="shared" si="58"/>
        <v>-40550</v>
      </c>
      <c r="AC51" s="423">
        <f t="shared" si="59"/>
        <v>-36406</v>
      </c>
      <c r="AD51" s="423">
        <f t="shared" si="59"/>
        <v>-32383</v>
      </c>
      <c r="AE51" s="423">
        <f t="shared" si="60"/>
        <v>-43403</v>
      </c>
      <c r="AF51" s="423">
        <f t="shared" si="61"/>
        <v>-19948</v>
      </c>
    </row>
    <row r="52" spans="1:32" outlineLevel="1">
      <c r="A52" s="418" t="s">
        <v>666</v>
      </c>
      <c r="B52" s="418" t="s">
        <v>667</v>
      </c>
      <c r="D52" s="423">
        <v>-121484</v>
      </c>
      <c r="E52" s="423">
        <v>-265644</v>
      </c>
      <c r="F52" s="423">
        <v>-369949</v>
      </c>
      <c r="G52" s="423">
        <v>-632566</v>
      </c>
      <c r="H52" s="423">
        <v>-404953</v>
      </c>
      <c r="I52" s="423">
        <v>-644464</v>
      </c>
      <c r="J52" s="423">
        <v>-982058</v>
      </c>
      <c r="K52" s="423">
        <v>-1285382</v>
      </c>
      <c r="L52" s="423">
        <v>-383418</v>
      </c>
      <c r="M52" s="423">
        <v>-698745</v>
      </c>
      <c r="N52" s="423">
        <v>-1116755</v>
      </c>
      <c r="O52" s="423">
        <v>-1243321</v>
      </c>
      <c r="P52" s="423">
        <v>-324806</v>
      </c>
      <c r="Q52" s="423">
        <v>-676378</v>
      </c>
      <c r="R52" s="423">
        <v>-994570</v>
      </c>
      <c r="S52" s="423">
        <v>-1438765</v>
      </c>
      <c r="T52" s="423">
        <v>-325233</v>
      </c>
      <c r="U52" s="423">
        <v>-714389</v>
      </c>
      <c r="W52" s="423">
        <f t="shared" si="54"/>
        <v>-383418</v>
      </c>
      <c r="X52" s="423">
        <f t="shared" si="55"/>
        <v>-315327</v>
      </c>
      <c r="Y52" s="423">
        <f t="shared" si="56"/>
        <v>-418010</v>
      </c>
      <c r="Z52" s="423">
        <f t="shared" si="56"/>
        <v>-126566</v>
      </c>
      <c r="AA52" s="423">
        <f t="shared" si="57"/>
        <v>-324806</v>
      </c>
      <c r="AB52" s="423">
        <f t="shared" si="58"/>
        <v>-351572</v>
      </c>
      <c r="AC52" s="423">
        <f t="shared" si="59"/>
        <v>-318192</v>
      </c>
      <c r="AD52" s="423">
        <f t="shared" si="59"/>
        <v>-444195</v>
      </c>
      <c r="AE52" s="423">
        <f t="shared" si="60"/>
        <v>-325233</v>
      </c>
      <c r="AF52" s="423">
        <f t="shared" si="61"/>
        <v>-389156</v>
      </c>
    </row>
    <row r="53" spans="1:32" outlineLevel="1">
      <c r="A53" s="418" t="s">
        <v>668</v>
      </c>
      <c r="B53" s="418" t="s">
        <v>669</v>
      </c>
      <c r="D53" s="423">
        <v>-208295</v>
      </c>
      <c r="E53" s="423">
        <v>-472223</v>
      </c>
      <c r="F53" s="423">
        <v>-743900</v>
      </c>
      <c r="G53" s="423">
        <v>-1055241</v>
      </c>
      <c r="H53" s="423">
        <v>-389894</v>
      </c>
      <c r="I53" s="423">
        <v>-755380</v>
      </c>
      <c r="J53" s="423">
        <v>-1212233</v>
      </c>
      <c r="K53" s="423">
        <v>-1677607</v>
      </c>
      <c r="L53" s="423">
        <v>-465034</v>
      </c>
      <c r="M53" s="423">
        <v>-936103</v>
      </c>
      <c r="N53" s="423">
        <v>-1419405</v>
      </c>
      <c r="O53" s="423">
        <v>-1918628</v>
      </c>
      <c r="P53" s="423">
        <v>-490519</v>
      </c>
      <c r="Q53" s="423">
        <v>-1138929</v>
      </c>
      <c r="R53" s="423">
        <v>-1649410</v>
      </c>
      <c r="S53" s="423">
        <v>-1810901</v>
      </c>
      <c r="T53" s="423">
        <v>-580396</v>
      </c>
      <c r="U53" s="423">
        <v>-1332165</v>
      </c>
      <c r="W53" s="423">
        <f t="shared" si="54"/>
        <v>-465034</v>
      </c>
      <c r="X53" s="423">
        <f t="shared" si="55"/>
        <v>-471069</v>
      </c>
      <c r="Y53" s="423">
        <f t="shared" si="56"/>
        <v>-483302</v>
      </c>
      <c r="Z53" s="423">
        <f t="shared" si="56"/>
        <v>-499223</v>
      </c>
      <c r="AA53" s="423">
        <f t="shared" si="57"/>
        <v>-490519</v>
      </c>
      <c r="AB53" s="423">
        <f t="shared" si="58"/>
        <v>-648410</v>
      </c>
      <c r="AC53" s="423">
        <f t="shared" si="59"/>
        <v>-510481</v>
      </c>
      <c r="AD53" s="423">
        <f t="shared" si="59"/>
        <v>-161491</v>
      </c>
      <c r="AE53" s="423">
        <f t="shared" si="60"/>
        <v>-580396</v>
      </c>
      <c r="AF53" s="423">
        <f t="shared" si="61"/>
        <v>-751769</v>
      </c>
    </row>
    <row r="54" spans="1:32" outlineLevel="1">
      <c r="A54" s="418" t="s">
        <v>670</v>
      </c>
      <c r="B54" s="418" t="s">
        <v>671</v>
      </c>
      <c r="D54" s="423">
        <v>-33042</v>
      </c>
      <c r="E54" s="423">
        <v>-34194</v>
      </c>
      <c r="F54" s="423">
        <v>-50781</v>
      </c>
      <c r="G54" s="423">
        <v>-38269</v>
      </c>
      <c r="H54" s="423">
        <v>-7576</v>
      </c>
      <c r="I54" s="423">
        <v>-8072</v>
      </c>
      <c r="J54" s="423">
        <v>2313</v>
      </c>
      <c r="K54" s="423">
        <v>-3336</v>
      </c>
      <c r="L54" s="423">
        <v>4966</v>
      </c>
      <c r="M54" s="423">
        <v>9589</v>
      </c>
      <c r="N54" s="423">
        <v>-50658</v>
      </c>
      <c r="O54" s="423">
        <v>-75627</v>
      </c>
      <c r="P54" s="423">
        <v>-12977</v>
      </c>
      <c r="Q54" s="423">
        <v>-53945</v>
      </c>
      <c r="R54" s="423">
        <v>-79432</v>
      </c>
      <c r="S54" s="423">
        <v>-94133</v>
      </c>
      <c r="T54" s="423">
        <v>-37063</v>
      </c>
      <c r="U54" s="423">
        <v>-78872</v>
      </c>
      <c r="W54" s="423">
        <f t="shared" si="54"/>
        <v>4966</v>
      </c>
      <c r="X54" s="423">
        <f t="shared" si="55"/>
        <v>4623</v>
      </c>
      <c r="Y54" s="423">
        <f t="shared" si="56"/>
        <v>-60247</v>
      </c>
      <c r="Z54" s="423">
        <f t="shared" si="56"/>
        <v>-24969</v>
      </c>
      <c r="AA54" s="423">
        <f t="shared" si="57"/>
        <v>-12977</v>
      </c>
      <c r="AB54" s="423">
        <f t="shared" si="58"/>
        <v>-40968</v>
      </c>
      <c r="AC54" s="423">
        <f t="shared" si="59"/>
        <v>-25487</v>
      </c>
      <c r="AD54" s="423">
        <f t="shared" si="59"/>
        <v>-14701</v>
      </c>
      <c r="AE54" s="423">
        <f t="shared" si="60"/>
        <v>-37063</v>
      </c>
      <c r="AF54" s="423">
        <f t="shared" si="61"/>
        <v>-41809</v>
      </c>
    </row>
    <row r="55" spans="1:32" outlineLevel="1">
      <c r="A55" s="418" t="s">
        <v>672</v>
      </c>
      <c r="B55" s="418" t="s">
        <v>673</v>
      </c>
      <c r="D55" s="423">
        <v>-2113</v>
      </c>
      <c r="E55" s="423">
        <v>607</v>
      </c>
      <c r="F55" s="423">
        <v>1164</v>
      </c>
      <c r="G55" s="423">
        <v>478</v>
      </c>
      <c r="H55" s="423">
        <v>-1697</v>
      </c>
      <c r="I55" s="423">
        <v>1219</v>
      </c>
      <c r="J55" s="423">
        <v>-490</v>
      </c>
      <c r="K55" s="423">
        <v>6707</v>
      </c>
      <c r="L55" s="423">
        <v>2140</v>
      </c>
      <c r="M55" s="423">
        <v>2626</v>
      </c>
      <c r="N55" s="423">
        <v>-2913</v>
      </c>
      <c r="O55" s="423">
        <v>-8473</v>
      </c>
      <c r="P55" s="423">
        <v>-4240</v>
      </c>
      <c r="Q55" s="423">
        <v>-7397</v>
      </c>
      <c r="R55" s="423">
        <v>-10804</v>
      </c>
      <c r="S55" s="423">
        <v>-20045</v>
      </c>
      <c r="T55" s="423">
        <v>-4982</v>
      </c>
      <c r="U55" s="423">
        <v>-10175</v>
      </c>
      <c r="W55" s="423">
        <f t="shared" si="54"/>
        <v>2140</v>
      </c>
      <c r="X55" s="423">
        <f t="shared" si="55"/>
        <v>486</v>
      </c>
      <c r="Y55" s="423">
        <f t="shared" si="56"/>
        <v>-5539</v>
      </c>
      <c r="Z55" s="423">
        <f t="shared" si="56"/>
        <v>-5560</v>
      </c>
      <c r="AA55" s="423">
        <f t="shared" si="57"/>
        <v>-4240</v>
      </c>
      <c r="AB55" s="423">
        <f t="shared" si="58"/>
        <v>-3157</v>
      </c>
      <c r="AC55" s="423">
        <f t="shared" si="59"/>
        <v>-3407</v>
      </c>
      <c r="AD55" s="423">
        <f t="shared" si="59"/>
        <v>-9241</v>
      </c>
      <c r="AE55" s="423">
        <f t="shared" si="60"/>
        <v>-4982</v>
      </c>
      <c r="AF55" s="423">
        <f t="shared" si="61"/>
        <v>-5193</v>
      </c>
    </row>
    <row r="56" spans="1:32" outlineLevel="1">
      <c r="A56" s="418" t="s">
        <v>674</v>
      </c>
      <c r="B56" s="418" t="s">
        <v>675</v>
      </c>
      <c r="D56" s="423">
        <v>-15928</v>
      </c>
      <c r="E56" s="423">
        <v>-65311</v>
      </c>
      <c r="F56" s="423">
        <v>-120376</v>
      </c>
      <c r="G56" s="423">
        <v>-165089</v>
      </c>
      <c r="H56" s="423">
        <v>-73832</v>
      </c>
      <c r="I56" s="423">
        <v>-131147</v>
      </c>
      <c r="J56" s="423">
        <v>-202028</v>
      </c>
      <c r="K56" s="423">
        <v>-251399</v>
      </c>
      <c r="L56" s="423">
        <v>-80627</v>
      </c>
      <c r="M56" s="423">
        <v>-155281</v>
      </c>
      <c r="N56" s="423">
        <v>-236308</v>
      </c>
      <c r="O56" s="423">
        <v>-325515</v>
      </c>
      <c r="P56" s="423">
        <v>-37070</v>
      </c>
      <c r="Q56" s="423">
        <v>-75653</v>
      </c>
      <c r="R56" s="423">
        <v>-107424</v>
      </c>
      <c r="S56" s="423">
        <v>-133833</v>
      </c>
      <c r="T56" s="423">
        <v>-46395</v>
      </c>
      <c r="U56" s="423">
        <v>-76551</v>
      </c>
      <c r="W56" s="423">
        <f t="shared" si="54"/>
        <v>-80627</v>
      </c>
      <c r="X56" s="423">
        <f t="shared" si="55"/>
        <v>-74654</v>
      </c>
      <c r="Y56" s="423">
        <f t="shared" si="56"/>
        <v>-81027</v>
      </c>
      <c r="Z56" s="423">
        <f t="shared" si="56"/>
        <v>-89207</v>
      </c>
      <c r="AA56" s="423">
        <f t="shared" si="57"/>
        <v>-37070</v>
      </c>
      <c r="AB56" s="423">
        <f t="shared" si="58"/>
        <v>-38583</v>
      </c>
      <c r="AC56" s="423">
        <f t="shared" si="59"/>
        <v>-31771</v>
      </c>
      <c r="AD56" s="423">
        <f t="shared" si="59"/>
        <v>-26409</v>
      </c>
      <c r="AE56" s="423">
        <f t="shared" si="60"/>
        <v>-46395</v>
      </c>
      <c r="AF56" s="423">
        <f t="shared" si="61"/>
        <v>-30156</v>
      </c>
    </row>
    <row r="57" spans="1:32">
      <c r="A57" s="417"/>
      <c r="B57" s="417"/>
      <c r="D57" s="417"/>
      <c r="E57" s="417"/>
      <c r="F57" s="417"/>
      <c r="G57" s="417"/>
      <c r="H57" s="417"/>
      <c r="I57" s="417"/>
      <c r="J57" s="417"/>
      <c r="K57" s="417"/>
      <c r="L57" s="417"/>
      <c r="M57" s="417"/>
      <c r="N57" s="417"/>
      <c r="O57" s="417"/>
      <c r="P57" s="417"/>
      <c r="Q57" s="417"/>
      <c r="R57" s="417"/>
      <c r="S57" s="417"/>
      <c r="T57" s="417"/>
      <c r="U57" s="417"/>
      <c r="W57" s="417"/>
      <c r="X57" s="417"/>
      <c r="Y57" s="417"/>
      <c r="Z57" s="417"/>
      <c r="AA57" s="417"/>
      <c r="AB57" s="417"/>
      <c r="AC57" s="417"/>
      <c r="AD57" s="417"/>
      <c r="AE57" s="417"/>
      <c r="AF57" s="417"/>
    </row>
    <row r="58" spans="1:32">
      <c r="A58" s="429" t="s">
        <v>676</v>
      </c>
      <c r="B58" s="429" t="s">
        <v>677</v>
      </c>
      <c r="D58" s="420">
        <f t="shared" ref="D58:I58" si="62">D39+D41</f>
        <v>1998896</v>
      </c>
      <c r="E58" s="420">
        <f t="shared" si="62"/>
        <v>4158756</v>
      </c>
      <c r="F58" s="420">
        <f t="shared" si="62"/>
        <v>6107937</v>
      </c>
      <c r="G58" s="420">
        <f t="shared" si="62"/>
        <v>8566771</v>
      </c>
      <c r="H58" s="420">
        <f t="shared" si="62"/>
        <v>2795593</v>
      </c>
      <c r="I58" s="420">
        <f t="shared" si="62"/>
        <v>5558937</v>
      </c>
      <c r="J58" s="420">
        <f t="shared" ref="J58:T58" si="63">J39+J41</f>
        <v>8865348</v>
      </c>
      <c r="K58" s="420">
        <f t="shared" si="63"/>
        <v>12142532</v>
      </c>
      <c r="L58" s="420">
        <f t="shared" si="63"/>
        <v>3131211</v>
      </c>
      <c r="M58" s="420">
        <f t="shared" si="63"/>
        <v>6285356</v>
      </c>
      <c r="N58" s="420">
        <f t="shared" si="63"/>
        <v>9743146</v>
      </c>
      <c r="O58" s="420">
        <f t="shared" si="63"/>
        <v>13056962</v>
      </c>
      <c r="P58" s="420">
        <f t="shared" si="63"/>
        <v>3470370</v>
      </c>
      <c r="Q58" s="420">
        <f t="shared" si="63"/>
        <v>6854747</v>
      </c>
      <c r="R58" s="420">
        <f t="shared" si="63"/>
        <v>10341421</v>
      </c>
      <c r="S58" s="420">
        <f t="shared" si="63"/>
        <v>13607256</v>
      </c>
      <c r="T58" s="741">
        <f t="shared" si="63"/>
        <v>3455015</v>
      </c>
      <c r="U58" s="741">
        <f>U39+U41</f>
        <v>7071027</v>
      </c>
      <c r="W58" s="420">
        <f t="shared" ref="W58:AC58" si="64">W39+W41</f>
        <v>3131211</v>
      </c>
      <c r="X58" s="420">
        <f t="shared" si="64"/>
        <v>3154145</v>
      </c>
      <c r="Y58" s="420">
        <f t="shared" si="64"/>
        <v>3457790</v>
      </c>
      <c r="Z58" s="420">
        <f t="shared" si="64"/>
        <v>3313816</v>
      </c>
      <c r="AA58" s="420">
        <f t="shared" si="64"/>
        <v>3470370</v>
      </c>
      <c r="AB58" s="420">
        <f t="shared" si="64"/>
        <v>3384377</v>
      </c>
      <c r="AC58" s="420">
        <f t="shared" si="64"/>
        <v>3486674</v>
      </c>
      <c r="AD58" s="420">
        <f t="shared" ref="AD58:AE58" si="65">AD39+AD41</f>
        <v>3265835</v>
      </c>
      <c r="AE58" s="420">
        <f t="shared" si="65"/>
        <v>3455015</v>
      </c>
      <c r="AF58" s="741">
        <f>AF39+AF41</f>
        <v>5994117</v>
      </c>
    </row>
    <row r="59" spans="1:32">
      <c r="A59" s="417"/>
      <c r="B59" s="417"/>
      <c r="D59" s="417"/>
      <c r="E59" s="417"/>
      <c r="F59" s="417"/>
      <c r="G59" s="417"/>
      <c r="H59" s="417"/>
      <c r="I59" s="417"/>
      <c r="J59" s="417"/>
      <c r="K59" s="417"/>
      <c r="L59" s="417"/>
      <c r="M59" s="417"/>
      <c r="N59" s="417"/>
      <c r="O59" s="417"/>
      <c r="P59" s="417"/>
      <c r="Q59" s="417"/>
      <c r="R59" s="417"/>
      <c r="S59" s="417"/>
      <c r="T59" s="417"/>
      <c r="U59" s="417"/>
      <c r="W59" s="417"/>
      <c r="X59" s="417"/>
      <c r="Y59" s="417"/>
      <c r="Z59" s="417"/>
      <c r="AA59" s="417"/>
      <c r="AB59" s="417"/>
      <c r="AC59" s="417"/>
      <c r="AD59" s="417"/>
      <c r="AE59" s="417"/>
      <c r="AF59" s="417"/>
    </row>
    <row r="60" spans="1:32">
      <c r="A60" s="416" t="s">
        <v>678</v>
      </c>
      <c r="B60" s="416" t="s">
        <v>679</v>
      </c>
      <c r="D60" s="424">
        <f t="shared" ref="D60:I60" si="66">D62+D68+D69+D78+D79</f>
        <v>-729355</v>
      </c>
      <c r="E60" s="424">
        <f t="shared" si="66"/>
        <v>-1664752</v>
      </c>
      <c r="F60" s="424">
        <f t="shared" si="66"/>
        <v>-2432215</v>
      </c>
      <c r="G60" s="424">
        <f t="shared" si="66"/>
        <v>-3289558</v>
      </c>
      <c r="H60" s="424">
        <f t="shared" si="66"/>
        <v>-921902</v>
      </c>
      <c r="I60" s="424">
        <f t="shared" si="66"/>
        <v>-1883470</v>
      </c>
      <c r="J60" s="424">
        <f t="shared" ref="J60:T60" si="67">J62+J68+J69+J78+J79</f>
        <v>-2988507</v>
      </c>
      <c r="K60" s="424">
        <f t="shared" si="67"/>
        <v>-4495123</v>
      </c>
      <c r="L60" s="424">
        <f t="shared" si="67"/>
        <v>-1143995</v>
      </c>
      <c r="M60" s="424">
        <f t="shared" si="67"/>
        <v>-2359481</v>
      </c>
      <c r="N60" s="424">
        <f t="shared" si="67"/>
        <v>-3276281</v>
      </c>
      <c r="O60" s="424">
        <f t="shared" si="67"/>
        <v>-4420499</v>
      </c>
      <c r="P60" s="424">
        <f t="shared" si="67"/>
        <v>-1070978</v>
      </c>
      <c r="Q60" s="424">
        <f t="shared" si="67"/>
        <v>-1490353</v>
      </c>
      <c r="R60" s="424">
        <f t="shared" si="67"/>
        <v>-2585313</v>
      </c>
      <c r="S60" s="424">
        <f t="shared" si="67"/>
        <v>-5470344</v>
      </c>
      <c r="T60" s="424">
        <f t="shared" si="67"/>
        <v>-1130395</v>
      </c>
      <c r="U60" s="424">
        <f>U62+U68+U69+U78+U79</f>
        <v>-2231989</v>
      </c>
      <c r="W60" s="424">
        <f t="shared" ref="W60:AC60" si="68">W62+W68+W69+W78+W79</f>
        <v>-1143995</v>
      </c>
      <c r="X60" s="424">
        <f t="shared" si="68"/>
        <v>-1215486</v>
      </c>
      <c r="Y60" s="424">
        <f t="shared" si="68"/>
        <v>-916800</v>
      </c>
      <c r="Z60" s="424">
        <f t="shared" si="68"/>
        <v>-1144218</v>
      </c>
      <c r="AA60" s="424">
        <f t="shared" si="68"/>
        <v>-1070978</v>
      </c>
      <c r="AB60" s="424">
        <f t="shared" si="68"/>
        <v>-419375</v>
      </c>
      <c r="AC60" s="424">
        <f t="shared" si="68"/>
        <v>-1094960</v>
      </c>
      <c r="AD60" s="424">
        <f t="shared" ref="AD60:AE60" si="69">AD62+AD68+AD69+AD78+AD79</f>
        <v>-2885031</v>
      </c>
      <c r="AE60" s="424">
        <f t="shared" si="69"/>
        <v>-1130395</v>
      </c>
      <c r="AF60" s="424">
        <f>AF62+AF68+AF69+AF78+AF79</f>
        <v>-1101594</v>
      </c>
    </row>
    <row r="61" spans="1:32">
      <c r="A61" s="416"/>
      <c r="B61" s="416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1"/>
      <c r="S61" s="421"/>
      <c r="T61" s="421"/>
      <c r="U61" s="421"/>
      <c r="W61" s="421"/>
      <c r="X61" s="421"/>
      <c r="Y61" s="421"/>
      <c r="Z61" s="421"/>
      <c r="AA61" s="421"/>
      <c r="AB61" s="421"/>
      <c r="AC61" s="421"/>
      <c r="AD61" s="421"/>
      <c r="AE61" s="421"/>
      <c r="AF61" s="421"/>
    </row>
    <row r="62" spans="1:32">
      <c r="A62" s="419" t="s">
        <v>680</v>
      </c>
      <c r="B62" s="419" t="s">
        <v>681</v>
      </c>
      <c r="D62" s="422">
        <f t="shared" ref="D62:I62" si="70">SUM(D63:D67)</f>
        <v>-174055</v>
      </c>
      <c r="E62" s="422">
        <f t="shared" si="70"/>
        <v>-389406</v>
      </c>
      <c r="F62" s="422">
        <f t="shared" si="70"/>
        <v>-596929</v>
      </c>
      <c r="G62" s="422">
        <f t="shared" si="70"/>
        <v>-789078</v>
      </c>
      <c r="H62" s="422">
        <f t="shared" si="70"/>
        <v>-242005</v>
      </c>
      <c r="I62" s="422">
        <f t="shared" si="70"/>
        <v>-482904</v>
      </c>
      <c r="J62" s="422">
        <f t="shared" ref="J62:T62" si="71">SUM(J63:J67)</f>
        <v>-713887</v>
      </c>
      <c r="K62" s="422">
        <f t="shared" si="71"/>
        <v>-982349</v>
      </c>
      <c r="L62" s="422">
        <f t="shared" si="71"/>
        <v>-255870</v>
      </c>
      <c r="M62" s="422">
        <f t="shared" si="71"/>
        <v>-565917</v>
      </c>
      <c r="N62" s="422">
        <f t="shared" si="71"/>
        <v>-826409</v>
      </c>
      <c r="O62" s="422">
        <f t="shared" si="71"/>
        <v>-1258105</v>
      </c>
      <c r="P62" s="422">
        <f t="shared" si="71"/>
        <v>-275556</v>
      </c>
      <c r="Q62" s="422">
        <f t="shared" si="71"/>
        <v>-565794</v>
      </c>
      <c r="R62" s="422">
        <f t="shared" si="71"/>
        <v>-871768</v>
      </c>
      <c r="S62" s="422">
        <f t="shared" si="71"/>
        <v>-1180990</v>
      </c>
      <c r="T62" s="422">
        <f t="shared" si="71"/>
        <v>-294010</v>
      </c>
      <c r="U62" s="422">
        <f>SUM(U63:U67)</f>
        <v>-600856</v>
      </c>
      <c r="W62" s="422">
        <f t="shared" ref="W62:AC62" si="72">SUM(W63:W67)</f>
        <v>-255870</v>
      </c>
      <c r="X62" s="422">
        <f t="shared" si="72"/>
        <v>-310047</v>
      </c>
      <c r="Y62" s="422">
        <f t="shared" si="72"/>
        <v>-260492</v>
      </c>
      <c r="Z62" s="422">
        <f t="shared" si="72"/>
        <v>-431696</v>
      </c>
      <c r="AA62" s="422">
        <f t="shared" si="72"/>
        <v>-275556</v>
      </c>
      <c r="AB62" s="422">
        <f t="shared" si="72"/>
        <v>-290238</v>
      </c>
      <c r="AC62" s="422">
        <f t="shared" si="72"/>
        <v>-305974</v>
      </c>
      <c r="AD62" s="422">
        <f t="shared" ref="AD62:AE62" si="73">SUM(AD63:AD67)</f>
        <v>-309222</v>
      </c>
      <c r="AE62" s="422">
        <f t="shared" si="73"/>
        <v>-294010</v>
      </c>
      <c r="AF62" s="422">
        <f>SUM(AF63:AF67)</f>
        <v>-306846</v>
      </c>
    </row>
    <row r="63" spans="1:32" outlineLevel="1">
      <c r="A63" s="418" t="s">
        <v>682</v>
      </c>
      <c r="B63" s="418" t="s">
        <v>683</v>
      </c>
      <c r="D63" s="423">
        <v>-53565</v>
      </c>
      <c r="E63" s="423">
        <v>-114495</v>
      </c>
      <c r="F63" s="423">
        <v>-152028</v>
      </c>
      <c r="G63" s="423">
        <v>-186435</v>
      </c>
      <c r="H63" s="423">
        <v>-62773</v>
      </c>
      <c r="I63" s="423">
        <v>-98719</v>
      </c>
      <c r="J63" s="423">
        <v>-136672</v>
      </c>
      <c r="K63" s="423">
        <v>-206147</v>
      </c>
      <c r="L63" s="423">
        <v>-50855</v>
      </c>
      <c r="M63" s="423">
        <v>-117434</v>
      </c>
      <c r="N63" s="423">
        <v>-154540</v>
      </c>
      <c r="O63" s="423">
        <v>-211301</v>
      </c>
      <c r="P63" s="423">
        <v>-51911</v>
      </c>
      <c r="Q63" s="423">
        <v>-103745</v>
      </c>
      <c r="R63" s="423">
        <v>-155403</v>
      </c>
      <c r="S63" s="423">
        <v>-208754</v>
      </c>
      <c r="T63" s="423">
        <v>-55620</v>
      </c>
      <c r="U63" s="423">
        <v>-110740</v>
      </c>
      <c r="W63" s="423">
        <f t="shared" ref="W63:W68" si="74">L63</f>
        <v>-50855</v>
      </c>
      <c r="X63" s="423">
        <f t="shared" ref="X63:X68" si="75">M63-W63</f>
        <v>-66579</v>
      </c>
      <c r="Y63" s="423">
        <f t="shared" ref="Y63:Z68" si="76">N63-M63</f>
        <v>-37106</v>
      </c>
      <c r="Z63" s="423">
        <f t="shared" si="76"/>
        <v>-56761</v>
      </c>
      <c r="AA63" s="423">
        <f t="shared" ref="AA63:AA68" si="77">P63</f>
        <v>-51911</v>
      </c>
      <c r="AB63" s="423">
        <f t="shared" ref="AB63:AB68" si="78">Q63-AA63</f>
        <v>-51834</v>
      </c>
      <c r="AC63" s="423">
        <f t="shared" ref="AC63:AD68" si="79">R63-Q63</f>
        <v>-51658</v>
      </c>
      <c r="AD63" s="423">
        <f t="shared" si="79"/>
        <v>-53351</v>
      </c>
      <c r="AE63" s="423">
        <f t="shared" ref="AE63:AE68" si="80">T63</f>
        <v>-55620</v>
      </c>
      <c r="AF63" s="423">
        <f t="shared" ref="AF63:AF68" si="81">U63-T63</f>
        <v>-55120</v>
      </c>
    </row>
    <row r="64" spans="1:32" outlineLevel="1">
      <c r="A64" s="418" t="s">
        <v>684</v>
      </c>
      <c r="B64" s="418" t="s">
        <v>685</v>
      </c>
      <c r="D64" s="423">
        <v>-6677</v>
      </c>
      <c r="E64" s="423">
        <v>-12626</v>
      </c>
      <c r="F64" s="423">
        <v>-20771</v>
      </c>
      <c r="G64" s="423">
        <v>-30737</v>
      </c>
      <c r="H64" s="423">
        <v>-7292</v>
      </c>
      <c r="I64" s="423">
        <v>-19052</v>
      </c>
      <c r="J64" s="423">
        <v>-30547</v>
      </c>
      <c r="K64" s="423">
        <v>-42687</v>
      </c>
      <c r="L64" s="423">
        <v>-11120</v>
      </c>
      <c r="M64" s="423">
        <v>-30557</v>
      </c>
      <c r="N64" s="423">
        <v>-41471</v>
      </c>
      <c r="O64" s="423">
        <v>-64320</v>
      </c>
      <c r="P64" s="423">
        <v>-7987</v>
      </c>
      <c r="Q64" s="423">
        <v>-16134</v>
      </c>
      <c r="R64" s="423">
        <v>-24362</v>
      </c>
      <c r="S64" s="423">
        <v>-32084</v>
      </c>
      <c r="T64" s="423">
        <v>-11524</v>
      </c>
      <c r="U64" s="423">
        <v>-22896</v>
      </c>
      <c r="W64" s="423">
        <f t="shared" si="74"/>
        <v>-11120</v>
      </c>
      <c r="X64" s="423">
        <f t="shared" si="75"/>
        <v>-19437</v>
      </c>
      <c r="Y64" s="423">
        <f t="shared" si="76"/>
        <v>-10914</v>
      </c>
      <c r="Z64" s="423">
        <f t="shared" si="76"/>
        <v>-22849</v>
      </c>
      <c r="AA64" s="423">
        <f t="shared" si="77"/>
        <v>-7987</v>
      </c>
      <c r="AB64" s="423">
        <f t="shared" si="78"/>
        <v>-8147</v>
      </c>
      <c r="AC64" s="423">
        <f t="shared" si="79"/>
        <v>-8228</v>
      </c>
      <c r="AD64" s="423">
        <f t="shared" si="79"/>
        <v>-7722</v>
      </c>
      <c r="AE64" s="423">
        <f t="shared" si="80"/>
        <v>-11524</v>
      </c>
      <c r="AF64" s="423">
        <f t="shared" si="81"/>
        <v>-11372</v>
      </c>
    </row>
    <row r="65" spans="1:32" outlineLevel="1">
      <c r="A65" s="418" t="s">
        <v>686</v>
      </c>
      <c r="B65" s="418" t="s">
        <v>687</v>
      </c>
      <c r="D65" s="423">
        <v>-110381</v>
      </c>
      <c r="E65" s="423">
        <v>-252529</v>
      </c>
      <c r="F65" s="423">
        <v>-411199</v>
      </c>
      <c r="G65" s="423">
        <v>-545118</v>
      </c>
      <c r="H65" s="423">
        <v>-156565</v>
      </c>
      <c r="I65" s="423">
        <v>-350996</v>
      </c>
      <c r="J65" s="423">
        <v>-528294</v>
      </c>
      <c r="K65" s="423">
        <v>-688232</v>
      </c>
      <c r="L65" s="423">
        <v>-184744</v>
      </c>
      <c r="M65" s="423">
        <v>-399175</v>
      </c>
      <c r="N65" s="423">
        <v>-600251</v>
      </c>
      <c r="O65" s="423">
        <v>-945374</v>
      </c>
      <c r="P65" s="423">
        <v>-209783</v>
      </c>
      <c r="Q65" s="423">
        <v>-435470</v>
      </c>
      <c r="R65" s="423">
        <v>-668812</v>
      </c>
      <c r="S65" s="423">
        <v>-910498</v>
      </c>
      <c r="T65" s="423">
        <v>-225526</v>
      </c>
      <c r="U65" s="423">
        <v>-455762</v>
      </c>
      <c r="W65" s="423">
        <f t="shared" si="74"/>
        <v>-184744</v>
      </c>
      <c r="X65" s="423">
        <f t="shared" si="75"/>
        <v>-214431</v>
      </c>
      <c r="Y65" s="423">
        <f t="shared" si="76"/>
        <v>-201076</v>
      </c>
      <c r="Z65" s="423">
        <f t="shared" si="76"/>
        <v>-345123</v>
      </c>
      <c r="AA65" s="423">
        <f t="shared" si="77"/>
        <v>-209783</v>
      </c>
      <c r="AB65" s="423">
        <f t="shared" si="78"/>
        <v>-225687</v>
      </c>
      <c r="AC65" s="423">
        <f t="shared" si="79"/>
        <v>-233342</v>
      </c>
      <c r="AD65" s="423">
        <f t="shared" si="79"/>
        <v>-241686</v>
      </c>
      <c r="AE65" s="423">
        <f t="shared" si="80"/>
        <v>-225526</v>
      </c>
      <c r="AF65" s="423">
        <f t="shared" si="81"/>
        <v>-230236</v>
      </c>
    </row>
    <row r="66" spans="1:32" outlineLevel="1">
      <c r="A66" s="418" t="s">
        <v>688</v>
      </c>
      <c r="B66" s="418" t="s">
        <v>689</v>
      </c>
      <c r="D66" s="423">
        <v>-2371</v>
      </c>
      <c r="E66" s="423">
        <v>-4495</v>
      </c>
      <c r="F66" s="423">
        <v>-7410</v>
      </c>
      <c r="G66" s="423">
        <v>-10548</v>
      </c>
      <c r="H66" s="423">
        <v>-3249</v>
      </c>
      <c r="I66" s="423">
        <v>-6085</v>
      </c>
      <c r="J66" s="423">
        <v>-9301</v>
      </c>
      <c r="K66" s="423">
        <v>-16501</v>
      </c>
      <c r="L66" s="423">
        <v>-4441</v>
      </c>
      <c r="M66" s="423">
        <v>-9289</v>
      </c>
      <c r="N66" s="423">
        <v>-12253</v>
      </c>
      <c r="O66" s="423">
        <v>-18589</v>
      </c>
      <c r="P66" s="423">
        <v>-3721</v>
      </c>
      <c r="Q66" s="423">
        <v>-7214</v>
      </c>
      <c r="R66" s="423">
        <v>-10779</v>
      </c>
      <c r="S66" s="423">
        <v>-14758</v>
      </c>
      <c r="T66" s="423">
        <v>-3172</v>
      </c>
      <c r="U66" s="423">
        <v>-6257</v>
      </c>
      <c r="W66" s="423">
        <f t="shared" si="74"/>
        <v>-4441</v>
      </c>
      <c r="X66" s="423">
        <f t="shared" si="75"/>
        <v>-4848</v>
      </c>
      <c r="Y66" s="423">
        <f t="shared" si="76"/>
        <v>-2964</v>
      </c>
      <c r="Z66" s="423">
        <f t="shared" si="76"/>
        <v>-6336</v>
      </c>
      <c r="AA66" s="423">
        <f t="shared" si="77"/>
        <v>-3721</v>
      </c>
      <c r="AB66" s="423">
        <f t="shared" si="78"/>
        <v>-3493</v>
      </c>
      <c r="AC66" s="423">
        <f t="shared" si="79"/>
        <v>-3565</v>
      </c>
      <c r="AD66" s="423">
        <f t="shared" si="79"/>
        <v>-3979</v>
      </c>
      <c r="AE66" s="423">
        <f t="shared" si="80"/>
        <v>-3172</v>
      </c>
      <c r="AF66" s="423">
        <f t="shared" si="81"/>
        <v>-3085</v>
      </c>
    </row>
    <row r="67" spans="1:32" outlineLevel="1">
      <c r="A67" s="418" t="s">
        <v>690</v>
      </c>
      <c r="B67" s="418" t="s">
        <v>691</v>
      </c>
      <c r="D67" s="423">
        <v>-1061</v>
      </c>
      <c r="E67" s="423">
        <v>-5261</v>
      </c>
      <c r="F67" s="423">
        <v>-5521</v>
      </c>
      <c r="G67" s="423">
        <v>-16240</v>
      </c>
      <c r="H67" s="423">
        <v>-12126</v>
      </c>
      <c r="I67" s="423">
        <v>-8052</v>
      </c>
      <c r="J67" s="423">
        <v>-9073</v>
      </c>
      <c r="K67" s="423">
        <v>-28782</v>
      </c>
      <c r="L67" s="423">
        <v>-4710</v>
      </c>
      <c r="M67" s="423">
        <v>-9462</v>
      </c>
      <c r="N67" s="423">
        <v>-17894</v>
      </c>
      <c r="O67" s="423">
        <v>-18521</v>
      </c>
      <c r="P67" s="423">
        <v>-2154</v>
      </c>
      <c r="Q67" s="423">
        <v>-3231</v>
      </c>
      <c r="R67" s="423">
        <v>-12412</v>
      </c>
      <c r="S67" s="423">
        <v>-14896</v>
      </c>
      <c r="T67" s="423">
        <v>1832</v>
      </c>
      <c r="U67" s="423">
        <v>-5201</v>
      </c>
      <c r="W67" s="423">
        <f t="shared" si="74"/>
        <v>-4710</v>
      </c>
      <c r="X67" s="423">
        <f t="shared" si="75"/>
        <v>-4752</v>
      </c>
      <c r="Y67" s="423">
        <f t="shared" si="76"/>
        <v>-8432</v>
      </c>
      <c r="Z67" s="423">
        <f t="shared" si="76"/>
        <v>-627</v>
      </c>
      <c r="AA67" s="423">
        <f t="shared" si="77"/>
        <v>-2154</v>
      </c>
      <c r="AB67" s="423">
        <f t="shared" si="78"/>
        <v>-1077</v>
      </c>
      <c r="AC67" s="423">
        <f t="shared" si="79"/>
        <v>-9181</v>
      </c>
      <c r="AD67" s="423">
        <f t="shared" si="79"/>
        <v>-2484</v>
      </c>
      <c r="AE67" s="423">
        <f t="shared" si="80"/>
        <v>1832</v>
      </c>
      <c r="AF67" s="423">
        <f t="shared" si="81"/>
        <v>-7033</v>
      </c>
    </row>
    <row r="68" spans="1:32">
      <c r="A68" s="417" t="s">
        <v>692</v>
      </c>
      <c r="B68" s="417" t="s">
        <v>693</v>
      </c>
      <c r="D68" s="425">
        <v>-125508</v>
      </c>
      <c r="E68" s="425">
        <v>-207329</v>
      </c>
      <c r="F68" s="425">
        <v>-291250</v>
      </c>
      <c r="G68" s="425">
        <v>-264995</v>
      </c>
      <c r="H68" s="425">
        <v>-131090</v>
      </c>
      <c r="I68" s="425">
        <v>-52809</v>
      </c>
      <c r="J68" s="425">
        <v>-185099</v>
      </c>
      <c r="K68" s="425">
        <v>-642522</v>
      </c>
      <c r="L68" s="425">
        <v>-154843</v>
      </c>
      <c r="M68" s="425">
        <v>-292778</v>
      </c>
      <c r="N68" s="425">
        <v>-418599</v>
      </c>
      <c r="O68" s="425">
        <v>-630522</v>
      </c>
      <c r="P68" s="425">
        <v>-191539</v>
      </c>
      <c r="Q68" s="425">
        <v>-390029</v>
      </c>
      <c r="R68" s="425">
        <v>-508828</v>
      </c>
      <c r="S68" s="425">
        <v>-739884</v>
      </c>
      <c r="T68" s="425">
        <v>-247032</v>
      </c>
      <c r="U68" s="756">
        <v>-431948</v>
      </c>
      <c r="W68" s="425">
        <f t="shared" si="74"/>
        <v>-154843</v>
      </c>
      <c r="X68" s="425">
        <f t="shared" si="75"/>
        <v>-137935</v>
      </c>
      <c r="Y68" s="425">
        <f t="shared" si="76"/>
        <v>-125821</v>
      </c>
      <c r="Z68" s="425">
        <f t="shared" si="76"/>
        <v>-211923</v>
      </c>
      <c r="AA68" s="425">
        <f t="shared" si="77"/>
        <v>-191539</v>
      </c>
      <c r="AB68" s="425">
        <f t="shared" si="78"/>
        <v>-198490</v>
      </c>
      <c r="AC68" s="425">
        <f t="shared" si="79"/>
        <v>-118799</v>
      </c>
      <c r="AD68" s="425">
        <f t="shared" si="79"/>
        <v>-231056</v>
      </c>
      <c r="AE68" s="425">
        <f t="shared" si="80"/>
        <v>-247032</v>
      </c>
      <c r="AF68" s="756">
        <f t="shared" si="81"/>
        <v>-184916</v>
      </c>
    </row>
    <row r="69" spans="1:32">
      <c r="A69" s="417" t="s">
        <v>694</v>
      </c>
      <c r="B69" s="417" t="s">
        <v>695</v>
      </c>
      <c r="D69" s="422">
        <f t="shared" ref="D69:I69" si="82">SUM(D70:D77)</f>
        <v>-328011</v>
      </c>
      <c r="E69" s="422">
        <f t="shared" si="82"/>
        <v>-768912</v>
      </c>
      <c r="F69" s="422">
        <f t="shared" si="82"/>
        <v>-1131993</v>
      </c>
      <c r="G69" s="422">
        <f t="shared" si="82"/>
        <v>-1598146</v>
      </c>
      <c r="H69" s="422">
        <f t="shared" si="82"/>
        <v>-535252</v>
      </c>
      <c r="I69" s="422">
        <f t="shared" si="82"/>
        <v>-1113272</v>
      </c>
      <c r="J69" s="422">
        <f t="shared" ref="J69:T69" si="83">SUM(J70:J77)</f>
        <v>-1687049</v>
      </c>
      <c r="K69" s="422">
        <f t="shared" si="83"/>
        <v>-2278845</v>
      </c>
      <c r="L69" s="422">
        <f t="shared" si="83"/>
        <v>-575892</v>
      </c>
      <c r="M69" s="422">
        <f t="shared" si="83"/>
        <v>-1082629</v>
      </c>
      <c r="N69" s="422">
        <f t="shared" si="83"/>
        <v>-1488389</v>
      </c>
      <c r="O69" s="422">
        <f t="shared" si="83"/>
        <v>-2174553</v>
      </c>
      <c r="P69" s="422">
        <f t="shared" si="83"/>
        <v>-633329</v>
      </c>
      <c r="Q69" s="422">
        <f t="shared" si="83"/>
        <v>-855667</v>
      </c>
      <c r="R69" s="422">
        <f t="shared" si="83"/>
        <v>-1499635</v>
      </c>
      <c r="S69" s="422">
        <f t="shared" si="83"/>
        <v>-2542113</v>
      </c>
      <c r="T69" s="422">
        <f t="shared" si="83"/>
        <v>-680194</v>
      </c>
      <c r="U69" s="422">
        <f>SUM(U70:U77)</f>
        <v>-1265298</v>
      </c>
      <c r="W69" s="422">
        <f t="shared" ref="W69:AC69" si="84">SUM(W70:W77)</f>
        <v>-575892</v>
      </c>
      <c r="X69" s="422">
        <f t="shared" si="84"/>
        <v>-506737</v>
      </c>
      <c r="Y69" s="422">
        <f t="shared" si="84"/>
        <v>-405760</v>
      </c>
      <c r="Z69" s="422">
        <f t="shared" si="84"/>
        <v>-686164</v>
      </c>
      <c r="AA69" s="422">
        <f t="shared" si="84"/>
        <v>-633329</v>
      </c>
      <c r="AB69" s="422">
        <f t="shared" si="84"/>
        <v>-222338</v>
      </c>
      <c r="AC69" s="422">
        <f t="shared" si="84"/>
        <v>-643968</v>
      </c>
      <c r="AD69" s="422">
        <f t="shared" ref="AD69:AE69" si="85">SUM(AD70:AD77)</f>
        <v>-1042478</v>
      </c>
      <c r="AE69" s="422">
        <f t="shared" si="85"/>
        <v>-680194</v>
      </c>
      <c r="AF69" s="422">
        <f>SUM(AF70:AF77)</f>
        <v>-585104</v>
      </c>
    </row>
    <row r="70" spans="1:32" outlineLevel="1">
      <c r="A70" s="418" t="s">
        <v>696</v>
      </c>
      <c r="B70" s="418" t="s">
        <v>697</v>
      </c>
      <c r="D70" s="423">
        <v>-88589</v>
      </c>
      <c r="E70" s="423">
        <v>-182276</v>
      </c>
      <c r="F70" s="423">
        <v>-281548</v>
      </c>
      <c r="G70" s="423">
        <v>-435193</v>
      </c>
      <c r="H70" s="423">
        <v>-160046</v>
      </c>
      <c r="I70" s="423">
        <v>-402491</v>
      </c>
      <c r="J70" s="423">
        <v>-600800</v>
      </c>
      <c r="K70" s="423">
        <v>-709100</v>
      </c>
      <c r="L70" s="423">
        <v>-135111</v>
      </c>
      <c r="M70" s="423">
        <v>-276080</v>
      </c>
      <c r="N70" s="423">
        <v>-405277</v>
      </c>
      <c r="O70" s="423">
        <v>-534854</v>
      </c>
      <c r="P70" s="423">
        <v>-155149</v>
      </c>
      <c r="Q70" s="423">
        <v>-309651</v>
      </c>
      <c r="R70" s="423">
        <v>-482735</v>
      </c>
      <c r="S70" s="423">
        <v>-703369</v>
      </c>
      <c r="T70" s="423">
        <v>-209355</v>
      </c>
      <c r="U70" s="423">
        <v>-416723</v>
      </c>
      <c r="W70" s="423">
        <f t="shared" ref="W70:W78" si="86">L70</f>
        <v>-135111</v>
      </c>
      <c r="X70" s="423">
        <f t="shared" ref="X70:X78" si="87">M70-W70</f>
        <v>-140969</v>
      </c>
      <c r="Y70" s="423">
        <f t="shared" ref="Y70:Y78" si="88">N70-M70</f>
        <v>-129197</v>
      </c>
      <c r="Z70" s="423">
        <f t="shared" ref="Z70:Z78" si="89">O70-N70</f>
        <v>-129577</v>
      </c>
      <c r="AA70" s="423">
        <f t="shared" ref="AA70:AA78" si="90">P70</f>
        <v>-155149</v>
      </c>
      <c r="AB70" s="423">
        <f t="shared" ref="AB70:AB78" si="91">Q70-AA70</f>
        <v>-154502</v>
      </c>
      <c r="AC70" s="423">
        <f t="shared" ref="AC70:AC78" si="92">R70-Q70</f>
        <v>-173084</v>
      </c>
      <c r="AD70" s="423">
        <f t="shared" ref="AD70:AD78" si="93">S70-R70</f>
        <v>-220634</v>
      </c>
      <c r="AE70" s="423">
        <f t="shared" ref="AE70:AE78" si="94">T70</f>
        <v>-209355</v>
      </c>
      <c r="AF70" s="423">
        <f t="shared" ref="AF70:AF78" si="95">U70-T70</f>
        <v>-207368</v>
      </c>
    </row>
    <row r="71" spans="1:32" outlineLevel="1">
      <c r="A71" s="418" t="s">
        <v>698</v>
      </c>
      <c r="B71" s="418" t="s">
        <v>699</v>
      </c>
      <c r="D71" s="423">
        <v>-5383</v>
      </c>
      <c r="E71" s="423">
        <v>-9149</v>
      </c>
      <c r="F71" s="423">
        <v>-13672</v>
      </c>
      <c r="G71" s="423">
        <v>-15142</v>
      </c>
      <c r="H71" s="423">
        <v>-13222</v>
      </c>
      <c r="I71" s="423">
        <v>349</v>
      </c>
      <c r="J71" s="423">
        <v>7653</v>
      </c>
      <c r="K71" s="423">
        <v>-22113</v>
      </c>
      <c r="L71" s="423">
        <v>-797</v>
      </c>
      <c r="M71" s="423">
        <v>-3772</v>
      </c>
      <c r="N71" s="423">
        <v>-18758</v>
      </c>
      <c r="O71" s="423">
        <v>-23167</v>
      </c>
      <c r="P71" s="423">
        <v>-6923</v>
      </c>
      <c r="Q71" s="423">
        <v>-12684</v>
      </c>
      <c r="R71" s="423">
        <v>-18611</v>
      </c>
      <c r="S71" s="423">
        <v>-16585</v>
      </c>
      <c r="T71" s="423">
        <v>-4794</v>
      </c>
      <c r="U71" s="423">
        <v>-8409</v>
      </c>
      <c r="W71" s="423">
        <f t="shared" si="86"/>
        <v>-797</v>
      </c>
      <c r="X71" s="423">
        <f t="shared" si="87"/>
        <v>-2975</v>
      </c>
      <c r="Y71" s="423">
        <f t="shared" si="88"/>
        <v>-14986</v>
      </c>
      <c r="Z71" s="423">
        <f t="shared" si="89"/>
        <v>-4409</v>
      </c>
      <c r="AA71" s="423">
        <f t="shared" si="90"/>
        <v>-6923</v>
      </c>
      <c r="AB71" s="423">
        <f t="shared" si="91"/>
        <v>-5761</v>
      </c>
      <c r="AC71" s="423">
        <f t="shared" si="92"/>
        <v>-5927</v>
      </c>
      <c r="AD71" s="423">
        <f t="shared" si="93"/>
        <v>2026</v>
      </c>
      <c r="AE71" s="423">
        <f t="shared" si="94"/>
        <v>-4794</v>
      </c>
      <c r="AF71" s="423">
        <f t="shared" si="95"/>
        <v>-3615</v>
      </c>
    </row>
    <row r="72" spans="1:32" outlineLevel="1">
      <c r="A72" s="418" t="s">
        <v>700</v>
      </c>
      <c r="B72" s="418" t="s">
        <v>701</v>
      </c>
      <c r="D72" s="423">
        <v>-92712</v>
      </c>
      <c r="E72" s="423">
        <v>-205347</v>
      </c>
      <c r="F72" s="423">
        <v>-274418</v>
      </c>
      <c r="G72" s="423">
        <v>-362403</v>
      </c>
      <c r="H72" s="423">
        <v>-98756</v>
      </c>
      <c r="I72" s="423">
        <v>-170173</v>
      </c>
      <c r="J72" s="423">
        <v>-312573</v>
      </c>
      <c r="K72" s="423">
        <v>-619357</v>
      </c>
      <c r="L72" s="423">
        <v>-182495</v>
      </c>
      <c r="M72" s="423">
        <v>-344871</v>
      </c>
      <c r="N72" s="423">
        <v>-343058</v>
      </c>
      <c r="O72" s="423">
        <v>-665878</v>
      </c>
      <c r="P72" s="423">
        <v>-124074</v>
      </c>
      <c r="Q72" s="423">
        <v>-323641</v>
      </c>
      <c r="R72" s="423">
        <v>-514029</v>
      </c>
      <c r="S72" s="423">
        <v>-594072</v>
      </c>
      <c r="T72" s="423">
        <v>-107324</v>
      </c>
      <c r="U72" s="423">
        <v>-171494</v>
      </c>
      <c r="W72" s="423">
        <f t="shared" si="86"/>
        <v>-182495</v>
      </c>
      <c r="X72" s="423">
        <f t="shared" si="87"/>
        <v>-162376</v>
      </c>
      <c r="Y72" s="423">
        <f t="shared" si="88"/>
        <v>1813</v>
      </c>
      <c r="Z72" s="423">
        <f t="shared" si="89"/>
        <v>-322820</v>
      </c>
      <c r="AA72" s="423">
        <f t="shared" si="90"/>
        <v>-124074</v>
      </c>
      <c r="AB72" s="423">
        <f t="shared" si="91"/>
        <v>-199567</v>
      </c>
      <c r="AC72" s="423">
        <f t="shared" si="92"/>
        <v>-190388</v>
      </c>
      <c r="AD72" s="423">
        <f t="shared" si="93"/>
        <v>-80043</v>
      </c>
      <c r="AE72" s="423">
        <f t="shared" si="94"/>
        <v>-107324</v>
      </c>
      <c r="AF72" s="423">
        <f t="shared" si="95"/>
        <v>-64170</v>
      </c>
    </row>
    <row r="73" spans="1:32" outlineLevel="1">
      <c r="A73" s="418" t="s">
        <v>702</v>
      </c>
      <c r="B73" s="418" t="s">
        <v>703</v>
      </c>
      <c r="D73" s="423">
        <v>-301</v>
      </c>
      <c r="E73" s="423">
        <v>-2582</v>
      </c>
      <c r="F73" s="423">
        <v>-4011</v>
      </c>
      <c r="G73" s="423">
        <v>-7720</v>
      </c>
      <c r="H73" s="423">
        <v>1762</v>
      </c>
      <c r="I73" s="423">
        <v>-5729</v>
      </c>
      <c r="J73" s="423">
        <v>-12653</v>
      </c>
      <c r="K73" s="423">
        <v>-15265</v>
      </c>
      <c r="L73" s="423">
        <v>-1979</v>
      </c>
      <c r="M73" s="423">
        <v>-2851</v>
      </c>
      <c r="N73" s="423">
        <v>-5419</v>
      </c>
      <c r="O73" s="423">
        <v>-5937</v>
      </c>
      <c r="P73" s="423">
        <v>-3883</v>
      </c>
      <c r="Q73" s="423">
        <v>-6412</v>
      </c>
      <c r="R73" s="423">
        <v>-9573</v>
      </c>
      <c r="S73" s="423">
        <v>-7826</v>
      </c>
      <c r="T73" s="423">
        <v>-2181</v>
      </c>
      <c r="U73" s="423">
        <v>5586</v>
      </c>
      <c r="W73" s="423">
        <f t="shared" si="86"/>
        <v>-1979</v>
      </c>
      <c r="X73" s="423">
        <f t="shared" si="87"/>
        <v>-872</v>
      </c>
      <c r="Y73" s="423">
        <f t="shared" si="88"/>
        <v>-2568</v>
      </c>
      <c r="Z73" s="423">
        <f t="shared" si="89"/>
        <v>-518</v>
      </c>
      <c r="AA73" s="423">
        <f t="shared" si="90"/>
        <v>-3883</v>
      </c>
      <c r="AB73" s="423">
        <f t="shared" si="91"/>
        <v>-2529</v>
      </c>
      <c r="AC73" s="423">
        <f t="shared" si="92"/>
        <v>-3161</v>
      </c>
      <c r="AD73" s="423">
        <f t="shared" si="93"/>
        <v>1747</v>
      </c>
      <c r="AE73" s="423">
        <f t="shared" si="94"/>
        <v>-2181</v>
      </c>
      <c r="AF73" s="423">
        <f t="shared" si="95"/>
        <v>7767</v>
      </c>
    </row>
    <row r="74" spans="1:32" outlineLevel="1">
      <c r="A74" s="418" t="s">
        <v>704</v>
      </c>
      <c r="B74" s="418" t="s">
        <v>705</v>
      </c>
      <c r="D74" s="423">
        <v>-6017</v>
      </c>
      <c r="E74" s="423">
        <v>-11787</v>
      </c>
      <c r="F74" s="423">
        <v>-697</v>
      </c>
      <c r="G74" s="423">
        <v>-5335</v>
      </c>
      <c r="H74" s="423">
        <v>-22589</v>
      </c>
      <c r="I74" s="423">
        <v>-58849</v>
      </c>
      <c r="J74" s="423">
        <v>-95101</v>
      </c>
      <c r="K74" s="423">
        <v>-101719</v>
      </c>
      <c r="L74" s="423">
        <v>-37734</v>
      </c>
      <c r="M74" s="423">
        <v>-81681</v>
      </c>
      <c r="N74" s="423">
        <v>-112636</v>
      </c>
      <c r="O74" s="423">
        <v>-101673</v>
      </c>
      <c r="P74" s="423">
        <v>-27460</v>
      </c>
      <c r="Q74" s="423">
        <v>-18642</v>
      </c>
      <c r="R74" s="423">
        <v>-42070</v>
      </c>
      <c r="S74" s="423">
        <v>55428</v>
      </c>
      <c r="T74" s="423">
        <v>-51404</v>
      </c>
      <c r="U74" s="423">
        <v>-126641</v>
      </c>
      <c r="W74" s="423">
        <f t="shared" si="86"/>
        <v>-37734</v>
      </c>
      <c r="X74" s="423">
        <f t="shared" si="87"/>
        <v>-43947</v>
      </c>
      <c r="Y74" s="423">
        <f t="shared" si="88"/>
        <v>-30955</v>
      </c>
      <c r="Z74" s="423">
        <f t="shared" si="89"/>
        <v>10963</v>
      </c>
      <c r="AA74" s="423">
        <f t="shared" si="90"/>
        <v>-27460</v>
      </c>
      <c r="AB74" s="423">
        <f t="shared" si="91"/>
        <v>8818</v>
      </c>
      <c r="AC74" s="423">
        <f t="shared" si="92"/>
        <v>-23428</v>
      </c>
      <c r="AD74" s="423">
        <f t="shared" si="93"/>
        <v>97498</v>
      </c>
      <c r="AE74" s="423">
        <f t="shared" si="94"/>
        <v>-51404</v>
      </c>
      <c r="AF74" s="423">
        <f t="shared" si="95"/>
        <v>-75237</v>
      </c>
    </row>
    <row r="75" spans="1:32" outlineLevel="1">
      <c r="A75" s="418" t="s">
        <v>706</v>
      </c>
      <c r="B75" s="418" t="s">
        <v>707</v>
      </c>
      <c r="D75" s="423">
        <v>-21124</v>
      </c>
      <c r="E75" s="423">
        <v>-34568</v>
      </c>
      <c r="F75" s="423">
        <v>-62889</v>
      </c>
      <c r="G75" s="423">
        <v>-102476</v>
      </c>
      <c r="H75" s="423">
        <v>-41152</v>
      </c>
      <c r="I75" s="423">
        <v>-72641</v>
      </c>
      <c r="J75" s="423">
        <v>-95204</v>
      </c>
      <c r="K75" s="423">
        <v>-42091</v>
      </c>
      <c r="L75" s="423">
        <v>-26140</v>
      </c>
      <c r="M75" s="423">
        <v>4991</v>
      </c>
      <c r="N75" s="423">
        <v>-26026</v>
      </c>
      <c r="O75" s="423">
        <v>-4482</v>
      </c>
      <c r="P75" s="423">
        <v>-44885</v>
      </c>
      <c r="Q75" s="423">
        <v>328235</v>
      </c>
      <c r="R75" s="423">
        <v>285591</v>
      </c>
      <c r="S75" s="423">
        <v>52062</v>
      </c>
      <c r="T75" s="423">
        <v>-41022</v>
      </c>
      <c r="U75" s="423">
        <v>-91057</v>
      </c>
      <c r="W75" s="423">
        <f t="shared" si="86"/>
        <v>-26140</v>
      </c>
      <c r="X75" s="423">
        <f t="shared" si="87"/>
        <v>31131</v>
      </c>
      <c r="Y75" s="423">
        <f t="shared" si="88"/>
        <v>-31017</v>
      </c>
      <c r="Z75" s="423">
        <f t="shared" si="89"/>
        <v>21544</v>
      </c>
      <c r="AA75" s="423">
        <f t="shared" si="90"/>
        <v>-44885</v>
      </c>
      <c r="AB75" s="423">
        <f t="shared" si="91"/>
        <v>373120</v>
      </c>
      <c r="AC75" s="423">
        <f t="shared" si="92"/>
        <v>-42644</v>
      </c>
      <c r="AD75" s="423">
        <f t="shared" si="93"/>
        <v>-233529</v>
      </c>
      <c r="AE75" s="423">
        <f t="shared" si="94"/>
        <v>-41022</v>
      </c>
      <c r="AF75" s="423">
        <f t="shared" si="95"/>
        <v>-50035</v>
      </c>
    </row>
    <row r="76" spans="1:32" outlineLevel="1">
      <c r="A76" s="418" t="s">
        <v>708</v>
      </c>
      <c r="B76" s="418" t="s">
        <v>709</v>
      </c>
      <c r="D76" s="423">
        <v>-47365</v>
      </c>
      <c r="E76" s="423">
        <v>-94979</v>
      </c>
      <c r="F76" s="423">
        <v>-122422</v>
      </c>
      <c r="G76" s="423">
        <v>-154475</v>
      </c>
      <c r="H76" s="423">
        <v>-51196</v>
      </c>
      <c r="I76" s="423">
        <v>-117960</v>
      </c>
      <c r="J76" s="423">
        <v>-148766</v>
      </c>
      <c r="K76" s="423">
        <v>-195764</v>
      </c>
      <c r="L76" s="423">
        <v>-47809</v>
      </c>
      <c r="M76" s="423">
        <v>-91867</v>
      </c>
      <c r="N76" s="423">
        <v>-148049</v>
      </c>
      <c r="O76" s="423">
        <v>-266725</v>
      </c>
      <c r="P76" s="423">
        <v>-128287</v>
      </c>
      <c r="Q76" s="423">
        <v>-227533</v>
      </c>
      <c r="R76" s="423">
        <v>-290201</v>
      </c>
      <c r="S76" s="423">
        <v>-943895</v>
      </c>
      <c r="T76" s="423">
        <v>-168616</v>
      </c>
      <c r="U76" s="423">
        <v>-248314</v>
      </c>
      <c r="W76" s="423">
        <f t="shared" si="86"/>
        <v>-47809</v>
      </c>
      <c r="X76" s="423">
        <f t="shared" si="87"/>
        <v>-44058</v>
      </c>
      <c r="Y76" s="423">
        <f t="shared" si="88"/>
        <v>-56182</v>
      </c>
      <c r="Z76" s="423">
        <f t="shared" si="89"/>
        <v>-118676</v>
      </c>
      <c r="AA76" s="423">
        <f t="shared" si="90"/>
        <v>-128287</v>
      </c>
      <c r="AB76" s="423">
        <f t="shared" si="91"/>
        <v>-99246</v>
      </c>
      <c r="AC76" s="423">
        <f t="shared" si="92"/>
        <v>-62668</v>
      </c>
      <c r="AD76" s="423">
        <f t="shared" si="93"/>
        <v>-653694</v>
      </c>
      <c r="AE76" s="423">
        <f t="shared" si="94"/>
        <v>-168616</v>
      </c>
      <c r="AF76" s="423">
        <f t="shared" si="95"/>
        <v>-79698</v>
      </c>
    </row>
    <row r="77" spans="1:32" outlineLevel="1">
      <c r="A77" s="418" t="s">
        <v>710</v>
      </c>
      <c r="B77" s="418" t="s">
        <v>711</v>
      </c>
      <c r="D77" s="423">
        <v>-66520</v>
      </c>
      <c r="E77" s="423">
        <v>-228224</v>
      </c>
      <c r="F77" s="423">
        <v>-372336</v>
      </c>
      <c r="G77" s="423">
        <v>-515402</v>
      </c>
      <c r="H77" s="423">
        <v>-150053</v>
      </c>
      <c r="I77" s="423">
        <v>-285778</v>
      </c>
      <c r="J77" s="423">
        <v>-429605</v>
      </c>
      <c r="K77" s="423">
        <v>-573436</v>
      </c>
      <c r="L77" s="423">
        <v>-143827</v>
      </c>
      <c r="M77" s="423">
        <v>-286498</v>
      </c>
      <c r="N77" s="423">
        <v>-429166</v>
      </c>
      <c r="O77" s="423">
        <v>-571837</v>
      </c>
      <c r="P77" s="423">
        <v>-142668</v>
      </c>
      <c r="Q77" s="423">
        <v>-285339</v>
      </c>
      <c r="R77" s="423">
        <v>-428007</v>
      </c>
      <c r="S77" s="423">
        <v>-383856</v>
      </c>
      <c r="T77" s="423">
        <v>-95498</v>
      </c>
      <c r="U77" s="423">
        <v>-208246</v>
      </c>
      <c r="W77" s="423">
        <f t="shared" si="86"/>
        <v>-143827</v>
      </c>
      <c r="X77" s="423">
        <f t="shared" si="87"/>
        <v>-142671</v>
      </c>
      <c r="Y77" s="423">
        <f t="shared" si="88"/>
        <v>-142668</v>
      </c>
      <c r="Z77" s="423">
        <f t="shared" si="89"/>
        <v>-142671</v>
      </c>
      <c r="AA77" s="423">
        <f t="shared" si="90"/>
        <v>-142668</v>
      </c>
      <c r="AB77" s="423">
        <f t="shared" si="91"/>
        <v>-142671</v>
      </c>
      <c r="AC77" s="423">
        <f t="shared" si="92"/>
        <v>-142668</v>
      </c>
      <c r="AD77" s="423">
        <f t="shared" si="93"/>
        <v>44151</v>
      </c>
      <c r="AE77" s="423">
        <f t="shared" si="94"/>
        <v>-95498</v>
      </c>
      <c r="AF77" s="423">
        <f t="shared" si="95"/>
        <v>-112748</v>
      </c>
    </row>
    <row r="78" spans="1:32">
      <c r="A78" s="417" t="s">
        <v>712</v>
      </c>
      <c r="B78" s="417" t="s">
        <v>713</v>
      </c>
      <c r="D78" s="422">
        <v>0</v>
      </c>
      <c r="E78" s="422">
        <v>0</v>
      </c>
      <c r="F78" s="422">
        <v>0</v>
      </c>
      <c r="G78" s="422">
        <v>0</v>
      </c>
      <c r="H78" s="422">
        <v>0</v>
      </c>
      <c r="I78" s="422">
        <v>0</v>
      </c>
      <c r="J78" s="422">
        <v>0</v>
      </c>
      <c r="K78" s="422"/>
      <c r="L78" s="422"/>
      <c r="M78" s="422">
        <v>0</v>
      </c>
      <c r="N78" s="422">
        <v>2230</v>
      </c>
      <c r="O78" s="422">
        <v>264761</v>
      </c>
      <c r="P78" s="422">
        <v>213691</v>
      </c>
      <c r="Q78" s="422">
        <v>525148</v>
      </c>
      <c r="R78" s="422">
        <v>839697</v>
      </c>
      <c r="S78" s="422">
        <v>1259634</v>
      </c>
      <c r="T78" s="422">
        <v>253732</v>
      </c>
      <c r="U78" s="422">
        <v>483669</v>
      </c>
      <c r="W78" s="422">
        <f t="shared" si="86"/>
        <v>0</v>
      </c>
      <c r="X78" s="422">
        <f t="shared" si="87"/>
        <v>0</v>
      </c>
      <c r="Y78" s="422">
        <f t="shared" si="88"/>
        <v>2230</v>
      </c>
      <c r="Z78" s="422">
        <f t="shared" si="89"/>
        <v>262531</v>
      </c>
      <c r="AA78" s="422">
        <f t="shared" si="90"/>
        <v>213691</v>
      </c>
      <c r="AB78" s="422">
        <f t="shared" si="91"/>
        <v>311457</v>
      </c>
      <c r="AC78" s="422">
        <f t="shared" si="92"/>
        <v>314549</v>
      </c>
      <c r="AD78" s="422">
        <f t="shared" si="93"/>
        <v>419937</v>
      </c>
      <c r="AE78" s="422">
        <f t="shared" si="94"/>
        <v>253732</v>
      </c>
      <c r="AF78" s="422">
        <f t="shared" si="95"/>
        <v>229937</v>
      </c>
    </row>
    <row r="79" spans="1:32">
      <c r="A79" s="417" t="s">
        <v>714</v>
      </c>
      <c r="B79" s="417" t="s">
        <v>715</v>
      </c>
      <c r="D79" s="422">
        <f t="shared" ref="D79:M79" si="96">SUM(D80:D82)</f>
        <v>-101781</v>
      </c>
      <c r="E79" s="422">
        <f t="shared" si="96"/>
        <v>-299105</v>
      </c>
      <c r="F79" s="422">
        <f t="shared" si="96"/>
        <v>-412043</v>
      </c>
      <c r="G79" s="422">
        <f t="shared" si="96"/>
        <v>-637339</v>
      </c>
      <c r="H79" s="422">
        <f t="shared" si="96"/>
        <v>-13555</v>
      </c>
      <c r="I79" s="422">
        <f t="shared" si="96"/>
        <v>-234485</v>
      </c>
      <c r="J79" s="422">
        <f t="shared" si="96"/>
        <v>-402472</v>
      </c>
      <c r="K79" s="422">
        <f t="shared" si="96"/>
        <v>-591407</v>
      </c>
      <c r="L79" s="422">
        <f t="shared" si="96"/>
        <v>-157390</v>
      </c>
      <c r="M79" s="422">
        <f t="shared" si="96"/>
        <v>-418157</v>
      </c>
      <c r="N79" s="422">
        <f t="shared" ref="N79:T79" si="97">SUM(N80:N82)</f>
        <v>-545114</v>
      </c>
      <c r="O79" s="422">
        <f t="shared" si="97"/>
        <v>-622080</v>
      </c>
      <c r="P79" s="422">
        <f t="shared" si="97"/>
        <v>-184245</v>
      </c>
      <c r="Q79" s="422">
        <f t="shared" si="97"/>
        <v>-204011</v>
      </c>
      <c r="R79" s="422">
        <f t="shared" si="97"/>
        <v>-544779</v>
      </c>
      <c r="S79" s="422">
        <f t="shared" si="97"/>
        <v>-2266991</v>
      </c>
      <c r="T79" s="422">
        <f t="shared" si="97"/>
        <v>-162891</v>
      </c>
      <c r="U79" s="422">
        <f>SUM(U80:U82)</f>
        <v>-417556</v>
      </c>
      <c r="W79" s="422">
        <f t="shared" ref="W79:AC79" si="98">SUM(W80:W82)</f>
        <v>-157390</v>
      </c>
      <c r="X79" s="422">
        <f t="shared" si="98"/>
        <v>-260767</v>
      </c>
      <c r="Y79" s="422">
        <f t="shared" si="98"/>
        <v>-126957</v>
      </c>
      <c r="Z79" s="422">
        <f t="shared" si="98"/>
        <v>-76966</v>
      </c>
      <c r="AA79" s="422">
        <f t="shared" si="98"/>
        <v>-184245</v>
      </c>
      <c r="AB79" s="422">
        <f t="shared" si="98"/>
        <v>-19766</v>
      </c>
      <c r="AC79" s="422">
        <f t="shared" si="98"/>
        <v>-340768</v>
      </c>
      <c r="AD79" s="422">
        <f t="shared" ref="AD79:AE79" si="99">SUM(AD80:AD82)</f>
        <v>-1722212</v>
      </c>
      <c r="AE79" s="422">
        <f t="shared" si="99"/>
        <v>-162891</v>
      </c>
      <c r="AF79" s="422">
        <f>SUM(AF80:AF82)</f>
        <v>-254665</v>
      </c>
    </row>
    <row r="80" spans="1:32" outlineLevel="1">
      <c r="A80" s="418" t="s">
        <v>716</v>
      </c>
      <c r="B80" s="418" t="s">
        <v>717</v>
      </c>
      <c r="D80" s="423">
        <v>-13637</v>
      </c>
      <c r="E80" s="423">
        <v>-62675</v>
      </c>
      <c r="F80" s="423">
        <v>-95942</v>
      </c>
      <c r="G80" s="423">
        <v>-104006</v>
      </c>
      <c r="H80" s="423">
        <v>-13440</v>
      </c>
      <c r="I80" s="423">
        <v>-33113</v>
      </c>
      <c r="J80" s="423">
        <v>-62630</v>
      </c>
      <c r="K80" s="423">
        <v>-150098</v>
      </c>
      <c r="L80" s="423">
        <v>-54183</v>
      </c>
      <c r="M80" s="423">
        <v>-59051</v>
      </c>
      <c r="N80" s="423">
        <v>-93206</v>
      </c>
      <c r="O80" s="423">
        <v>-309413</v>
      </c>
      <c r="P80" s="423">
        <v>-22771</v>
      </c>
      <c r="Q80" s="423">
        <v>-50919</v>
      </c>
      <c r="R80" s="423">
        <v>-109284</v>
      </c>
      <c r="S80" s="423">
        <v>-3752608</v>
      </c>
      <c r="T80" s="423">
        <v>-34077</v>
      </c>
      <c r="U80" s="423">
        <v>-65775</v>
      </c>
      <c r="W80" s="423">
        <f>L80</f>
        <v>-54183</v>
      </c>
      <c r="X80" s="423">
        <f>M80-W80</f>
        <v>-4868</v>
      </c>
      <c r="Y80" s="423">
        <f t="shared" ref="Y80:Z82" si="100">N80-M80</f>
        <v>-34155</v>
      </c>
      <c r="Z80" s="423">
        <f t="shared" si="100"/>
        <v>-216207</v>
      </c>
      <c r="AA80" s="423">
        <f>P80</f>
        <v>-22771</v>
      </c>
      <c r="AB80" s="423">
        <f>Q80-AA80</f>
        <v>-28148</v>
      </c>
      <c r="AC80" s="423">
        <f t="shared" ref="AC80:AD82" si="101">R80-Q80</f>
        <v>-58365</v>
      </c>
      <c r="AD80" s="423">
        <f t="shared" si="101"/>
        <v>-3643324</v>
      </c>
      <c r="AE80" s="423">
        <f>T80</f>
        <v>-34077</v>
      </c>
      <c r="AF80" s="423">
        <f>U80-T80</f>
        <v>-31698</v>
      </c>
    </row>
    <row r="81" spans="1:32" outlineLevel="1">
      <c r="A81" s="418" t="s">
        <v>718</v>
      </c>
      <c r="B81" s="418" t="s">
        <v>719</v>
      </c>
      <c r="D81" s="423">
        <v>-88144</v>
      </c>
      <c r="E81" s="423">
        <v>-236430</v>
      </c>
      <c r="F81" s="423">
        <v>-316101</v>
      </c>
      <c r="G81" s="423">
        <v>-533333</v>
      </c>
      <c r="H81" s="423">
        <v>-115</v>
      </c>
      <c r="I81" s="423">
        <v>-201372</v>
      </c>
      <c r="J81" s="423">
        <v>-339842</v>
      </c>
      <c r="K81" s="423">
        <v>-441309</v>
      </c>
      <c r="L81" s="423">
        <v>-103207</v>
      </c>
      <c r="M81" s="423">
        <v>-240853</v>
      </c>
      <c r="N81" s="423">
        <v>-264712</v>
      </c>
      <c r="O81" s="423">
        <v>-39030</v>
      </c>
      <c r="P81" s="423">
        <v>-128682</v>
      </c>
      <c r="Q81" s="423">
        <v>-103082</v>
      </c>
      <c r="R81" s="423">
        <v>-373441</v>
      </c>
      <c r="S81" s="423">
        <v>1552867</v>
      </c>
      <c r="T81" s="423">
        <v>-108608</v>
      </c>
      <c r="U81" s="423">
        <v>-305001</v>
      </c>
      <c r="W81" s="423">
        <f>L81</f>
        <v>-103207</v>
      </c>
      <c r="X81" s="423">
        <f>M81-W81</f>
        <v>-137646</v>
      </c>
      <c r="Y81" s="423">
        <f t="shared" si="100"/>
        <v>-23859</v>
      </c>
      <c r="Z81" s="423">
        <f t="shared" si="100"/>
        <v>225682</v>
      </c>
      <c r="AA81" s="423">
        <f>P81</f>
        <v>-128682</v>
      </c>
      <c r="AB81" s="423">
        <f>Q81-AA81</f>
        <v>25600</v>
      </c>
      <c r="AC81" s="423">
        <f t="shared" si="101"/>
        <v>-270359</v>
      </c>
      <c r="AD81" s="423">
        <f t="shared" si="101"/>
        <v>1926308</v>
      </c>
      <c r="AE81" s="423">
        <f>T81</f>
        <v>-108608</v>
      </c>
      <c r="AF81" s="423">
        <f>U81-T81</f>
        <v>-196393</v>
      </c>
    </row>
    <row r="82" spans="1:32" outlineLevel="1">
      <c r="A82" s="418" t="s">
        <v>720</v>
      </c>
      <c r="B82" s="418" t="s">
        <v>721</v>
      </c>
      <c r="D82" s="423"/>
      <c r="E82" s="423"/>
      <c r="F82" s="423"/>
      <c r="G82" s="423"/>
      <c r="H82" s="423"/>
      <c r="I82" s="423"/>
      <c r="J82" s="423"/>
      <c r="K82" s="423"/>
      <c r="L82" s="423"/>
      <c r="M82" s="423">
        <v>-118253</v>
      </c>
      <c r="N82" s="423">
        <v>-187196</v>
      </c>
      <c r="O82" s="423">
        <v>-273637</v>
      </c>
      <c r="P82" s="423">
        <v>-32792</v>
      </c>
      <c r="Q82" s="423">
        <v>-50010</v>
      </c>
      <c r="R82" s="423">
        <v>-62054</v>
      </c>
      <c r="S82" s="423">
        <v>-67250</v>
      </c>
      <c r="T82" s="423">
        <v>-20206</v>
      </c>
      <c r="U82" s="423">
        <v>-46780</v>
      </c>
      <c r="W82" s="423">
        <f>L82</f>
        <v>0</v>
      </c>
      <c r="X82" s="423">
        <f>M82-W82</f>
        <v>-118253</v>
      </c>
      <c r="Y82" s="423">
        <f t="shared" si="100"/>
        <v>-68943</v>
      </c>
      <c r="Z82" s="423">
        <f t="shared" si="100"/>
        <v>-86441</v>
      </c>
      <c r="AA82" s="423">
        <f>P82</f>
        <v>-32792</v>
      </c>
      <c r="AB82" s="423">
        <f>Q82-AA82</f>
        <v>-17218</v>
      </c>
      <c r="AC82" s="423">
        <f t="shared" si="101"/>
        <v>-12044</v>
      </c>
      <c r="AD82" s="423">
        <f t="shared" si="101"/>
        <v>-5196</v>
      </c>
      <c r="AE82" s="423">
        <f>T82</f>
        <v>-20206</v>
      </c>
      <c r="AF82" s="423">
        <f>U82-T82</f>
        <v>-26574</v>
      </c>
    </row>
    <row r="83" spans="1:32">
      <c r="A83" s="417"/>
      <c r="B83" s="417"/>
      <c r="D83" s="417"/>
      <c r="E83" s="417"/>
      <c r="F83" s="417"/>
      <c r="G83" s="417"/>
      <c r="H83" s="417"/>
      <c r="I83" s="417"/>
      <c r="J83" s="417"/>
      <c r="K83" s="417"/>
      <c r="L83" s="417"/>
      <c r="M83" s="417"/>
      <c r="N83" s="417"/>
      <c r="O83" s="417"/>
      <c r="P83" s="417"/>
      <c r="Q83" s="417"/>
      <c r="R83" s="417"/>
      <c r="S83" s="417"/>
      <c r="T83" s="417"/>
      <c r="U83" s="417"/>
      <c r="W83" s="417"/>
      <c r="X83" s="417"/>
      <c r="Y83" s="417"/>
      <c r="Z83" s="417"/>
      <c r="AA83" s="417"/>
      <c r="AB83" s="417"/>
      <c r="AC83" s="417"/>
      <c r="AD83" s="417"/>
      <c r="AE83" s="417"/>
      <c r="AF83" s="417"/>
    </row>
    <row r="84" spans="1:32">
      <c r="A84" s="429" t="s">
        <v>722</v>
      </c>
      <c r="B84" s="429" t="s">
        <v>722</v>
      </c>
      <c r="D84" s="420">
        <f t="shared" ref="D84:I84" si="102">D86-D76-D53-D77</f>
        <v>1591721</v>
      </c>
      <c r="E84" s="420">
        <f t="shared" si="102"/>
        <v>3289430</v>
      </c>
      <c r="F84" s="420">
        <f t="shared" si="102"/>
        <v>4914380</v>
      </c>
      <c r="G84" s="420">
        <f t="shared" si="102"/>
        <v>7002331</v>
      </c>
      <c r="H84" s="420">
        <f t="shared" si="102"/>
        <v>2464834</v>
      </c>
      <c r="I84" s="420">
        <f t="shared" si="102"/>
        <v>4834585</v>
      </c>
      <c r="J84" s="420">
        <f t="shared" ref="J84:T84" si="103">J86-J76-J53-J77</f>
        <v>7667445</v>
      </c>
      <c r="K84" s="420">
        <f t="shared" si="103"/>
        <v>10094216</v>
      </c>
      <c r="L84" s="420">
        <f t="shared" si="103"/>
        <v>2643886</v>
      </c>
      <c r="M84" s="420">
        <f t="shared" si="103"/>
        <v>5240343</v>
      </c>
      <c r="N84" s="420">
        <f t="shared" si="103"/>
        <v>8463485</v>
      </c>
      <c r="O84" s="420">
        <f t="shared" si="103"/>
        <v>11393653</v>
      </c>
      <c r="P84" s="420">
        <f t="shared" si="103"/>
        <v>3160866</v>
      </c>
      <c r="Q84" s="420">
        <f t="shared" si="103"/>
        <v>7016195</v>
      </c>
      <c r="R84" s="420">
        <f t="shared" si="103"/>
        <v>10123726</v>
      </c>
      <c r="S84" s="420">
        <f t="shared" si="103"/>
        <v>11275564</v>
      </c>
      <c r="T84" s="741">
        <f t="shared" si="103"/>
        <v>3169130</v>
      </c>
      <c r="U84" s="741">
        <f>U86-U76-U53-U77</f>
        <v>6627763</v>
      </c>
      <c r="W84" s="420">
        <f t="shared" ref="W84:AC84" si="104">W86-W76-W53-W77</f>
        <v>2643886</v>
      </c>
      <c r="X84" s="420">
        <f t="shared" si="104"/>
        <v>2596457</v>
      </c>
      <c r="Y84" s="420">
        <f t="shared" si="104"/>
        <v>3223142</v>
      </c>
      <c r="Z84" s="420">
        <f t="shared" si="104"/>
        <v>2930168</v>
      </c>
      <c r="AA84" s="420">
        <f t="shared" si="104"/>
        <v>3160866</v>
      </c>
      <c r="AB84" s="420">
        <f t="shared" si="104"/>
        <v>3855329</v>
      </c>
      <c r="AC84" s="420">
        <f t="shared" si="104"/>
        <v>3107531</v>
      </c>
      <c r="AD84" s="420">
        <f t="shared" ref="AD84:AE84" si="105">AD86-AD76-AD53-AD77</f>
        <v>1151838</v>
      </c>
      <c r="AE84" s="420">
        <f t="shared" si="105"/>
        <v>3169130</v>
      </c>
      <c r="AF84" s="741">
        <f>AF86-AF76-AF53-AF77</f>
        <v>5836738</v>
      </c>
    </row>
    <row r="85" spans="1:32">
      <c r="A85" s="417"/>
      <c r="B85" s="417"/>
      <c r="D85" s="417"/>
      <c r="E85" s="417"/>
      <c r="F85" s="417"/>
      <c r="G85" s="417"/>
      <c r="H85" s="417"/>
      <c r="I85" s="417"/>
      <c r="J85" s="417"/>
      <c r="K85" s="417"/>
      <c r="L85" s="417"/>
      <c r="M85" s="417"/>
      <c r="N85" s="417"/>
      <c r="O85" s="417"/>
      <c r="P85" s="417"/>
      <c r="Q85" s="417"/>
      <c r="R85" s="417"/>
      <c r="S85" s="417"/>
      <c r="T85" s="417"/>
      <c r="U85" s="417"/>
      <c r="W85" s="417"/>
      <c r="X85" s="417"/>
      <c r="Y85" s="417"/>
      <c r="Z85" s="417"/>
      <c r="AA85" s="417"/>
      <c r="AB85" s="417"/>
      <c r="AC85" s="417"/>
      <c r="AD85" s="417"/>
      <c r="AE85" s="417"/>
      <c r="AF85" s="417"/>
    </row>
    <row r="86" spans="1:32">
      <c r="A86" s="429" t="s">
        <v>723</v>
      </c>
      <c r="B86" s="429" t="s">
        <v>724</v>
      </c>
      <c r="D86" s="420">
        <f t="shared" ref="D86:I86" si="106">D58+D60</f>
        <v>1269541</v>
      </c>
      <c r="E86" s="420">
        <f t="shared" si="106"/>
        <v>2494004</v>
      </c>
      <c r="F86" s="420">
        <f t="shared" si="106"/>
        <v>3675722</v>
      </c>
      <c r="G86" s="420">
        <f t="shared" si="106"/>
        <v>5277213</v>
      </c>
      <c r="H86" s="420">
        <f t="shared" si="106"/>
        <v>1873691</v>
      </c>
      <c r="I86" s="420">
        <f t="shared" si="106"/>
        <v>3675467</v>
      </c>
      <c r="J86" s="420">
        <f t="shared" ref="J86:T86" si="107">J58+J60</f>
        <v>5876841</v>
      </c>
      <c r="K86" s="420">
        <f t="shared" si="107"/>
        <v>7647409</v>
      </c>
      <c r="L86" s="420">
        <f t="shared" si="107"/>
        <v>1987216</v>
      </c>
      <c r="M86" s="420">
        <f t="shared" si="107"/>
        <v>3925875</v>
      </c>
      <c r="N86" s="420">
        <f t="shared" si="107"/>
        <v>6466865</v>
      </c>
      <c r="O86" s="420">
        <f t="shared" si="107"/>
        <v>8636463</v>
      </c>
      <c r="P86" s="420">
        <f t="shared" si="107"/>
        <v>2399392</v>
      </c>
      <c r="Q86" s="420">
        <f t="shared" si="107"/>
        <v>5364394</v>
      </c>
      <c r="R86" s="420">
        <f t="shared" si="107"/>
        <v>7756108</v>
      </c>
      <c r="S86" s="420">
        <f t="shared" si="107"/>
        <v>8136912</v>
      </c>
      <c r="T86" s="741">
        <f t="shared" si="107"/>
        <v>2324620</v>
      </c>
      <c r="U86" s="741">
        <f>U58+U60</f>
        <v>4839038</v>
      </c>
      <c r="W86" s="420">
        <f t="shared" ref="W86:AC86" si="108">W58+W60</f>
        <v>1987216</v>
      </c>
      <c r="X86" s="420">
        <f t="shared" si="108"/>
        <v>1938659</v>
      </c>
      <c r="Y86" s="420">
        <f t="shared" si="108"/>
        <v>2540990</v>
      </c>
      <c r="Z86" s="420">
        <f t="shared" si="108"/>
        <v>2169598</v>
      </c>
      <c r="AA86" s="420">
        <f t="shared" si="108"/>
        <v>2399392</v>
      </c>
      <c r="AB86" s="420">
        <f t="shared" si="108"/>
        <v>2965002</v>
      </c>
      <c r="AC86" s="420">
        <f t="shared" si="108"/>
        <v>2391714</v>
      </c>
      <c r="AD86" s="420">
        <f t="shared" ref="AD86:AE86" si="109">AD58+AD60</f>
        <v>380804</v>
      </c>
      <c r="AE86" s="420">
        <f t="shared" si="109"/>
        <v>2324620</v>
      </c>
      <c r="AF86" s="741">
        <f>AF58+AF60</f>
        <v>4892523</v>
      </c>
    </row>
    <row r="87" spans="1:32">
      <c r="A87" s="417"/>
      <c r="B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W87" s="417"/>
      <c r="X87" s="417"/>
      <c r="Y87" s="417"/>
      <c r="Z87" s="417"/>
      <c r="AA87" s="417"/>
      <c r="AB87" s="417"/>
      <c r="AC87" s="417"/>
      <c r="AD87" s="417"/>
      <c r="AE87" s="417"/>
      <c r="AF87" s="417"/>
    </row>
    <row r="88" spans="1:32">
      <c r="A88" s="429" t="s">
        <v>725</v>
      </c>
      <c r="B88" s="429" t="s">
        <v>726</v>
      </c>
      <c r="D88" s="420">
        <f t="shared" ref="D88:I88" si="110">D90+D100</f>
        <v>-360477</v>
      </c>
      <c r="E88" s="420">
        <f t="shared" si="110"/>
        <v>-1461504</v>
      </c>
      <c r="F88" s="420">
        <f t="shared" si="110"/>
        <v>-1906799</v>
      </c>
      <c r="G88" s="420">
        <f t="shared" si="110"/>
        <v>-2584476</v>
      </c>
      <c r="H88" s="420">
        <f t="shared" si="110"/>
        <v>-1500353</v>
      </c>
      <c r="I88" s="420">
        <f t="shared" si="110"/>
        <v>-2598176</v>
      </c>
      <c r="J88" s="420">
        <f t="shared" ref="J88:T88" si="111">J90+J100</f>
        <v>-3586325</v>
      </c>
      <c r="K88" s="420">
        <f t="shared" si="111"/>
        <v>-4612620</v>
      </c>
      <c r="L88" s="420">
        <f t="shared" si="111"/>
        <v>-1231672</v>
      </c>
      <c r="M88" s="420">
        <f t="shared" si="111"/>
        <v>-2219919</v>
      </c>
      <c r="N88" s="420">
        <f t="shared" si="111"/>
        <v>-3409175</v>
      </c>
      <c r="O88" s="420">
        <f t="shared" si="111"/>
        <v>-4740798</v>
      </c>
      <c r="P88" s="420">
        <f t="shared" si="111"/>
        <v>-1454510</v>
      </c>
      <c r="Q88" s="420">
        <f t="shared" si="111"/>
        <v>-2878657</v>
      </c>
      <c r="R88" s="420">
        <f t="shared" si="111"/>
        <v>-4452255</v>
      </c>
      <c r="S88" s="420">
        <f t="shared" si="111"/>
        <v>-5681908</v>
      </c>
      <c r="T88" s="741">
        <f t="shared" si="111"/>
        <v>-1503970</v>
      </c>
      <c r="U88" s="741">
        <f>U90+U100</f>
        <v>-3173560</v>
      </c>
      <c r="W88" s="420">
        <f t="shared" ref="W88:AC88" si="112">W90+W100</f>
        <v>-1231672</v>
      </c>
      <c r="X88" s="420">
        <f t="shared" si="112"/>
        <v>-988247</v>
      </c>
      <c r="Y88" s="420">
        <f t="shared" si="112"/>
        <v>-1189256</v>
      </c>
      <c r="Z88" s="420">
        <f t="shared" si="112"/>
        <v>-1331623</v>
      </c>
      <c r="AA88" s="420">
        <f t="shared" si="112"/>
        <v>-1454510</v>
      </c>
      <c r="AB88" s="420">
        <f t="shared" si="112"/>
        <v>-1424147</v>
      </c>
      <c r="AC88" s="420">
        <f t="shared" si="112"/>
        <v>-1573598</v>
      </c>
      <c r="AD88" s="420">
        <f t="shared" ref="AD88:AE88" si="113">AD90+AD100</f>
        <v>-1229653</v>
      </c>
      <c r="AE88" s="420">
        <f t="shared" si="113"/>
        <v>-1503970</v>
      </c>
      <c r="AF88" s="741">
        <f>AF90+AF100</f>
        <v>-1669590</v>
      </c>
    </row>
    <row r="89" spans="1:32">
      <c r="A89" s="416"/>
      <c r="B89" s="416"/>
      <c r="D89" s="417"/>
      <c r="E89" s="422"/>
      <c r="F89" s="422"/>
      <c r="G89" s="422"/>
      <c r="H89" s="422"/>
      <c r="I89" s="422"/>
      <c r="J89" s="422"/>
      <c r="K89" s="422"/>
      <c r="L89" s="422"/>
      <c r="M89" s="417"/>
      <c r="N89" s="422"/>
      <c r="O89" s="422"/>
      <c r="P89" s="422"/>
      <c r="Q89" s="422"/>
      <c r="R89" s="422"/>
      <c r="S89" s="422"/>
      <c r="T89" s="422"/>
      <c r="U89" s="422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</row>
    <row r="90" spans="1:32">
      <c r="A90" s="417" t="s">
        <v>727</v>
      </c>
      <c r="B90" s="417" t="s">
        <v>728</v>
      </c>
      <c r="D90" s="826">
        <f>SUM(D91:D99)</f>
        <v>1338297</v>
      </c>
      <c r="E90" s="826">
        <f t="shared" ref="E90:I90" si="114">SUM(E91:E99)</f>
        <v>2000496</v>
      </c>
      <c r="F90" s="826">
        <f t="shared" si="114"/>
        <v>2773003</v>
      </c>
      <c r="G90" s="424">
        <f t="shared" si="114"/>
        <v>3498413</v>
      </c>
      <c r="H90" s="424">
        <f t="shared" si="114"/>
        <v>931568</v>
      </c>
      <c r="I90" s="424">
        <f t="shared" si="114"/>
        <v>1907414</v>
      </c>
      <c r="J90" s="424">
        <f t="shared" ref="J90:T90" si="115">SUM(J91:J99)</f>
        <v>2530212</v>
      </c>
      <c r="K90" s="424">
        <f t="shared" si="115"/>
        <v>3395525</v>
      </c>
      <c r="L90" s="424">
        <f t="shared" si="115"/>
        <v>953949</v>
      </c>
      <c r="M90" s="424">
        <f t="shared" si="115"/>
        <v>1966682</v>
      </c>
      <c r="N90" s="424">
        <f t="shared" si="115"/>
        <v>2677570</v>
      </c>
      <c r="O90" s="424">
        <f t="shared" si="115"/>
        <v>4401355</v>
      </c>
      <c r="P90" s="424">
        <f t="shared" si="115"/>
        <v>1784199</v>
      </c>
      <c r="Q90" s="424">
        <f t="shared" si="115"/>
        <v>2965717</v>
      </c>
      <c r="R90" s="424">
        <f t="shared" si="115"/>
        <v>3987834</v>
      </c>
      <c r="S90" s="424">
        <f t="shared" si="115"/>
        <v>4776870</v>
      </c>
      <c r="T90" s="424">
        <f t="shared" si="115"/>
        <v>2482770</v>
      </c>
      <c r="U90" s="424">
        <f>SUM(U91:U99)</f>
        <v>3971263</v>
      </c>
      <c r="W90" s="424">
        <f t="shared" ref="W90:AC90" si="116">SUM(W91:W99)</f>
        <v>953949</v>
      </c>
      <c r="X90" s="424">
        <f t="shared" si="116"/>
        <v>1012733</v>
      </c>
      <c r="Y90" s="424">
        <f t="shared" si="116"/>
        <v>710888</v>
      </c>
      <c r="Z90" s="424">
        <f t="shared" si="116"/>
        <v>1723785</v>
      </c>
      <c r="AA90" s="424">
        <f t="shared" si="116"/>
        <v>1784199</v>
      </c>
      <c r="AB90" s="424">
        <f t="shared" si="116"/>
        <v>1181518</v>
      </c>
      <c r="AC90" s="424">
        <f t="shared" si="116"/>
        <v>1022117</v>
      </c>
      <c r="AD90" s="424">
        <f t="shared" ref="AD90:AE90" si="117">SUM(AD91:AD99)</f>
        <v>789036</v>
      </c>
      <c r="AE90" s="424">
        <f t="shared" si="117"/>
        <v>2482770</v>
      </c>
      <c r="AF90" s="424">
        <f>SUM(AF91:AF99)</f>
        <v>1488493</v>
      </c>
    </row>
    <row r="91" spans="1:32" outlineLevel="1">
      <c r="A91" s="418" t="s">
        <v>729</v>
      </c>
      <c r="B91" s="418" t="s">
        <v>728</v>
      </c>
      <c r="D91" s="423">
        <f>248149</f>
        <v>248149</v>
      </c>
      <c r="E91" s="423">
        <v>517087</v>
      </c>
      <c r="F91" s="423">
        <v>832689</v>
      </c>
      <c r="G91" s="423">
        <v>1120112</v>
      </c>
      <c r="H91" s="423">
        <v>305038</v>
      </c>
      <c r="I91" s="423">
        <v>547003</v>
      </c>
      <c r="J91" s="423">
        <v>810310</v>
      </c>
      <c r="K91" s="423">
        <v>1210334</v>
      </c>
      <c r="L91" s="423">
        <v>281573</v>
      </c>
      <c r="M91" s="423">
        <v>558956</v>
      </c>
      <c r="N91" s="423">
        <v>855555</v>
      </c>
      <c r="O91" s="423">
        <v>1193096</v>
      </c>
      <c r="P91" s="423">
        <v>363820</v>
      </c>
      <c r="Q91" s="423">
        <v>725474</v>
      </c>
      <c r="R91" s="423">
        <v>1202487</v>
      </c>
      <c r="S91" s="423">
        <v>1532738</v>
      </c>
      <c r="T91" s="423">
        <v>379671</v>
      </c>
      <c r="U91" s="423">
        <v>745379</v>
      </c>
      <c r="W91" s="423">
        <f t="shared" ref="W91:W99" si="118">L91</f>
        <v>281573</v>
      </c>
      <c r="X91" s="423">
        <f t="shared" ref="X91:X99" si="119">M91-W91</f>
        <v>277383</v>
      </c>
      <c r="Y91" s="423">
        <f t="shared" ref="Y91:Y99" si="120">N91-M91</f>
        <v>296599</v>
      </c>
      <c r="Z91" s="423">
        <f t="shared" ref="Z91:Z99" si="121">O91-N91</f>
        <v>337541</v>
      </c>
      <c r="AA91" s="423">
        <f t="shared" ref="AA91:AA99" si="122">P91</f>
        <v>363820</v>
      </c>
      <c r="AB91" s="423">
        <f t="shared" ref="AB91:AB99" si="123">Q91-AA91</f>
        <v>361654</v>
      </c>
      <c r="AC91" s="423">
        <f t="shared" ref="AC91:AC99" si="124">R91-Q91</f>
        <v>477013</v>
      </c>
      <c r="AD91" s="423">
        <f t="shared" ref="AD91:AD99" si="125">S91-R91</f>
        <v>330251</v>
      </c>
      <c r="AE91" s="423">
        <f t="shared" ref="AE91:AE99" si="126">T91</f>
        <v>379671</v>
      </c>
      <c r="AF91" s="423">
        <f t="shared" ref="AF91:AF99" si="127">U91-T91</f>
        <v>365708</v>
      </c>
    </row>
    <row r="92" spans="1:32" outlineLevel="1">
      <c r="A92" s="418" t="s">
        <v>730</v>
      </c>
      <c r="B92" s="418" t="s">
        <v>731</v>
      </c>
      <c r="D92" s="423">
        <v>-29026</v>
      </c>
      <c r="E92" s="423">
        <v>-66217</v>
      </c>
      <c r="F92" s="423">
        <v>-106288</v>
      </c>
      <c r="G92" s="423">
        <v>-122771</v>
      </c>
      <c r="H92" s="423">
        <v>-29826</v>
      </c>
      <c r="I92" s="423">
        <v>-58089</v>
      </c>
      <c r="J92" s="423">
        <v>-89849</v>
      </c>
      <c r="K92" s="423">
        <v>-114391</v>
      </c>
      <c r="L92" s="423">
        <v>-40104</v>
      </c>
      <c r="M92" s="423">
        <v>-44295</v>
      </c>
      <c r="N92" s="423">
        <v>-83959</v>
      </c>
      <c r="O92" s="423">
        <v>-117460</v>
      </c>
      <c r="P92" s="423">
        <v>-31721</v>
      </c>
      <c r="Q92" s="423">
        <v>-61424</v>
      </c>
      <c r="R92" s="423">
        <v>-99202</v>
      </c>
      <c r="S92" s="423">
        <v>-139968</v>
      </c>
      <c r="T92" s="423">
        <v>-316765</v>
      </c>
      <c r="U92" s="423">
        <v>-73450</v>
      </c>
      <c r="W92" s="423">
        <f t="shared" si="118"/>
        <v>-40104</v>
      </c>
      <c r="X92" s="423">
        <f t="shared" si="119"/>
        <v>-4191</v>
      </c>
      <c r="Y92" s="423">
        <f t="shared" si="120"/>
        <v>-39664</v>
      </c>
      <c r="Z92" s="423">
        <f t="shared" si="121"/>
        <v>-33501</v>
      </c>
      <c r="AA92" s="423">
        <f t="shared" si="122"/>
        <v>-31721</v>
      </c>
      <c r="AB92" s="423">
        <f t="shared" si="123"/>
        <v>-29703</v>
      </c>
      <c r="AC92" s="423">
        <f t="shared" si="124"/>
        <v>-37778</v>
      </c>
      <c r="AD92" s="423">
        <f t="shared" si="125"/>
        <v>-40766</v>
      </c>
      <c r="AE92" s="423">
        <f t="shared" si="126"/>
        <v>-316765</v>
      </c>
      <c r="AF92" s="423">
        <f t="shared" si="127"/>
        <v>243315</v>
      </c>
    </row>
    <row r="93" spans="1:32" outlineLevel="1">
      <c r="A93" s="418" t="s">
        <v>2561</v>
      </c>
      <c r="B93" s="418" t="s">
        <v>2562</v>
      </c>
      <c r="D93" s="423">
        <v>5349</v>
      </c>
      <c r="E93" s="423">
        <v>218326</v>
      </c>
      <c r="F93" s="423">
        <v>302601</v>
      </c>
      <c r="G93" s="423">
        <v>362125</v>
      </c>
      <c r="H93" s="423">
        <v>189135</v>
      </c>
      <c r="I93" s="423">
        <v>255477</v>
      </c>
      <c r="J93" s="423">
        <v>270531</v>
      </c>
      <c r="K93" s="423">
        <v>330403</v>
      </c>
      <c r="L93" s="423">
        <v>382090</v>
      </c>
      <c r="M93" s="423">
        <v>859624</v>
      </c>
      <c r="N93" s="423">
        <v>833212</v>
      </c>
      <c r="O93" s="423">
        <v>1741908</v>
      </c>
      <c r="P93" s="423">
        <v>534160</v>
      </c>
      <c r="Q93" s="423">
        <v>512393</v>
      </c>
      <c r="R93" s="423">
        <v>314534</v>
      </c>
      <c r="S93" s="423">
        <v>440016</v>
      </c>
      <c r="T93" s="423">
        <v>987666</v>
      </c>
      <c r="U93" s="423">
        <v>952535</v>
      </c>
      <c r="W93" s="423">
        <f t="shared" si="118"/>
        <v>382090</v>
      </c>
      <c r="X93" s="423">
        <f t="shared" si="119"/>
        <v>477534</v>
      </c>
      <c r="Y93" s="423">
        <f t="shared" si="120"/>
        <v>-26412</v>
      </c>
      <c r="Z93" s="423">
        <f t="shared" si="121"/>
        <v>908696</v>
      </c>
      <c r="AA93" s="423">
        <f t="shared" si="122"/>
        <v>534160</v>
      </c>
      <c r="AB93" s="423">
        <f t="shared" si="123"/>
        <v>-21767</v>
      </c>
      <c r="AC93" s="423">
        <f t="shared" si="124"/>
        <v>-197859</v>
      </c>
      <c r="AD93" s="423">
        <f t="shared" si="125"/>
        <v>125482</v>
      </c>
      <c r="AE93" s="423">
        <f t="shared" si="126"/>
        <v>987666</v>
      </c>
      <c r="AF93" s="423">
        <f t="shared" si="127"/>
        <v>-35131</v>
      </c>
    </row>
    <row r="94" spans="1:32" outlineLevel="1">
      <c r="A94" s="418" t="s">
        <v>733</v>
      </c>
      <c r="B94" s="418" t="s">
        <v>734</v>
      </c>
      <c r="D94" s="423">
        <v>161943</v>
      </c>
      <c r="E94" s="423">
        <v>386645</v>
      </c>
      <c r="F94" s="423">
        <v>609627</v>
      </c>
      <c r="G94" s="423">
        <v>730770</v>
      </c>
      <c r="H94" s="423">
        <v>103231</v>
      </c>
      <c r="I94" s="423">
        <v>212260</v>
      </c>
      <c r="J94" s="423">
        <v>308160</v>
      </c>
      <c r="K94" s="423">
        <v>415185</v>
      </c>
      <c r="L94" s="423">
        <v>103093</v>
      </c>
      <c r="M94" s="423">
        <v>220873</v>
      </c>
      <c r="N94" s="423">
        <v>328445</v>
      </c>
      <c r="O94" s="423">
        <v>483484</v>
      </c>
      <c r="P94" s="423">
        <v>119090</v>
      </c>
      <c r="Q94" s="423">
        <v>279649</v>
      </c>
      <c r="R94" s="423">
        <v>399676</v>
      </c>
      <c r="S94" s="423">
        <v>534875</v>
      </c>
      <c r="T94" s="423">
        <v>119753</v>
      </c>
      <c r="U94" s="423">
        <v>267143</v>
      </c>
      <c r="W94" s="423">
        <f t="shared" si="118"/>
        <v>103093</v>
      </c>
      <c r="X94" s="423">
        <f t="shared" si="119"/>
        <v>117780</v>
      </c>
      <c r="Y94" s="423">
        <f t="shared" si="120"/>
        <v>107572</v>
      </c>
      <c r="Z94" s="423">
        <f t="shared" si="121"/>
        <v>155039</v>
      </c>
      <c r="AA94" s="423">
        <f t="shared" si="122"/>
        <v>119090</v>
      </c>
      <c r="AB94" s="423">
        <f t="shared" si="123"/>
        <v>160559</v>
      </c>
      <c r="AC94" s="423">
        <f t="shared" si="124"/>
        <v>120027</v>
      </c>
      <c r="AD94" s="423">
        <f t="shared" si="125"/>
        <v>135199</v>
      </c>
      <c r="AE94" s="423">
        <f t="shared" si="126"/>
        <v>119753</v>
      </c>
      <c r="AF94" s="423">
        <f t="shared" si="127"/>
        <v>147390</v>
      </c>
    </row>
    <row r="95" spans="1:32" outlineLevel="1">
      <c r="A95" s="418" t="s">
        <v>735</v>
      </c>
      <c r="B95" s="418" t="s">
        <v>736</v>
      </c>
      <c r="D95" s="423">
        <v>0</v>
      </c>
      <c r="E95" s="423">
        <v>0</v>
      </c>
      <c r="F95" s="423">
        <v>0</v>
      </c>
      <c r="G95" s="423">
        <v>0</v>
      </c>
      <c r="H95" s="423">
        <v>0</v>
      </c>
      <c r="I95" s="423">
        <v>0</v>
      </c>
      <c r="J95" s="423">
        <v>0</v>
      </c>
      <c r="K95" s="423">
        <v>0</v>
      </c>
      <c r="L95" s="423">
        <v>0</v>
      </c>
      <c r="M95" s="423">
        <v>0</v>
      </c>
      <c r="N95" s="423">
        <v>0</v>
      </c>
      <c r="O95" s="423">
        <v>0</v>
      </c>
      <c r="P95" s="423">
        <v>0</v>
      </c>
      <c r="Q95" s="423">
        <v>0</v>
      </c>
      <c r="R95" s="423">
        <v>0</v>
      </c>
      <c r="S95" s="423">
        <v>0</v>
      </c>
      <c r="T95" s="423">
        <v>0</v>
      </c>
      <c r="U95" s="423">
        <v>0</v>
      </c>
      <c r="W95" s="423">
        <f t="shared" si="118"/>
        <v>0</v>
      </c>
      <c r="X95" s="423">
        <f t="shared" si="119"/>
        <v>0</v>
      </c>
      <c r="Y95" s="423">
        <f t="shared" si="120"/>
        <v>0</v>
      </c>
      <c r="Z95" s="423">
        <f t="shared" si="121"/>
        <v>0</v>
      </c>
      <c r="AA95" s="423">
        <f t="shared" si="122"/>
        <v>0</v>
      </c>
      <c r="AB95" s="423">
        <f t="shared" si="123"/>
        <v>0</v>
      </c>
      <c r="AC95" s="423">
        <f t="shared" si="124"/>
        <v>0</v>
      </c>
      <c r="AD95" s="423">
        <f t="shared" si="125"/>
        <v>0</v>
      </c>
      <c r="AE95" s="423">
        <f t="shared" si="126"/>
        <v>0</v>
      </c>
      <c r="AF95" s="423">
        <f t="shared" si="127"/>
        <v>0</v>
      </c>
    </row>
    <row r="96" spans="1:32" outlineLevel="1">
      <c r="A96" s="418" t="s">
        <v>737</v>
      </c>
      <c r="B96" s="418" t="s">
        <v>738</v>
      </c>
      <c r="D96" s="423">
        <v>0</v>
      </c>
      <c r="E96" s="423">
        <v>0</v>
      </c>
      <c r="F96" s="423">
        <v>0</v>
      </c>
      <c r="G96" s="423">
        <v>0</v>
      </c>
      <c r="H96" s="423">
        <v>0</v>
      </c>
      <c r="I96" s="423">
        <v>0</v>
      </c>
      <c r="J96" s="423">
        <v>0</v>
      </c>
      <c r="K96" s="423">
        <v>0</v>
      </c>
      <c r="L96" s="423">
        <v>0</v>
      </c>
      <c r="M96" s="423">
        <v>0</v>
      </c>
      <c r="N96" s="423">
        <v>0</v>
      </c>
      <c r="O96" s="423">
        <v>0</v>
      </c>
      <c r="P96" s="423">
        <v>0</v>
      </c>
      <c r="Q96" s="423">
        <v>0</v>
      </c>
      <c r="R96" s="423">
        <v>0</v>
      </c>
      <c r="S96" s="423">
        <v>0</v>
      </c>
      <c r="T96" s="423">
        <v>0</v>
      </c>
      <c r="U96" s="423">
        <v>0</v>
      </c>
      <c r="W96" s="423">
        <f t="shared" si="118"/>
        <v>0</v>
      </c>
      <c r="X96" s="423">
        <f t="shared" si="119"/>
        <v>0</v>
      </c>
      <c r="Y96" s="423">
        <f t="shared" si="120"/>
        <v>0</v>
      </c>
      <c r="Z96" s="423">
        <f t="shared" si="121"/>
        <v>0</v>
      </c>
      <c r="AA96" s="423">
        <f t="shared" si="122"/>
        <v>0</v>
      </c>
      <c r="AB96" s="423">
        <f t="shared" si="123"/>
        <v>0</v>
      </c>
      <c r="AC96" s="423">
        <f t="shared" si="124"/>
        <v>0</v>
      </c>
      <c r="AD96" s="423">
        <f t="shared" si="125"/>
        <v>0</v>
      </c>
      <c r="AE96" s="423">
        <f t="shared" si="126"/>
        <v>0</v>
      </c>
      <c r="AF96" s="423">
        <f t="shared" si="127"/>
        <v>0</v>
      </c>
    </row>
    <row r="97" spans="1:32" outlineLevel="1">
      <c r="A97" s="418" t="s">
        <v>739</v>
      </c>
      <c r="B97" s="418" t="s">
        <v>740</v>
      </c>
      <c r="D97" s="423">
        <v>445848</v>
      </c>
      <c r="E97" s="423">
        <v>335845</v>
      </c>
      <c r="F97" s="423">
        <v>524747</v>
      </c>
      <c r="G97" s="423">
        <v>708214</v>
      </c>
      <c r="H97" s="423">
        <v>239268</v>
      </c>
      <c r="I97" s="423">
        <v>497138</v>
      </c>
      <c r="J97" s="423">
        <v>715306</v>
      </c>
      <c r="K97" s="423">
        <v>791915</v>
      </c>
      <c r="L97" s="423">
        <v>170859</v>
      </c>
      <c r="M97" s="423">
        <v>311114</v>
      </c>
      <c r="N97" s="423">
        <v>545349</v>
      </c>
      <c r="O97" s="423">
        <v>922105</v>
      </c>
      <c r="P97" s="423">
        <v>203152</v>
      </c>
      <c r="Q97" s="423">
        <v>376922</v>
      </c>
      <c r="R97" s="423">
        <v>640302</v>
      </c>
      <c r="S97" s="423">
        <v>1131951</v>
      </c>
      <c r="T97" s="423">
        <v>548479</v>
      </c>
      <c r="U97" s="423">
        <v>723410</v>
      </c>
      <c r="W97" s="423">
        <f t="shared" si="118"/>
        <v>170859</v>
      </c>
      <c r="X97" s="423">
        <f t="shared" si="119"/>
        <v>140255</v>
      </c>
      <c r="Y97" s="423">
        <f t="shared" si="120"/>
        <v>234235</v>
      </c>
      <c r="Z97" s="423">
        <f t="shared" si="121"/>
        <v>376756</v>
      </c>
      <c r="AA97" s="423">
        <f t="shared" si="122"/>
        <v>203152</v>
      </c>
      <c r="AB97" s="423">
        <f t="shared" si="123"/>
        <v>173770</v>
      </c>
      <c r="AC97" s="423">
        <f t="shared" si="124"/>
        <v>263380</v>
      </c>
      <c r="AD97" s="423">
        <f t="shared" si="125"/>
        <v>491649</v>
      </c>
      <c r="AE97" s="423">
        <f t="shared" si="126"/>
        <v>548479</v>
      </c>
      <c r="AF97" s="423">
        <f t="shared" si="127"/>
        <v>174931</v>
      </c>
    </row>
    <row r="98" spans="1:32" outlineLevel="1">
      <c r="A98" s="418" t="s">
        <v>741</v>
      </c>
      <c r="B98" s="418" t="s">
        <v>2536</v>
      </c>
      <c r="D98" s="423">
        <v>0</v>
      </c>
      <c r="E98" s="423">
        <v>0</v>
      </c>
      <c r="F98" s="423">
        <v>0</v>
      </c>
      <c r="G98" s="423">
        <v>0</v>
      </c>
      <c r="H98" s="423">
        <v>0</v>
      </c>
      <c r="I98" s="423">
        <v>0</v>
      </c>
      <c r="J98" s="423">
        <v>0</v>
      </c>
      <c r="K98" s="423">
        <v>0</v>
      </c>
      <c r="L98" s="423">
        <v>0</v>
      </c>
      <c r="M98" s="423">
        <v>0</v>
      </c>
      <c r="N98" s="423">
        <v>0</v>
      </c>
      <c r="O98" s="423">
        <v>0</v>
      </c>
      <c r="P98" s="423">
        <v>0</v>
      </c>
      <c r="Q98" s="423">
        <v>228591</v>
      </c>
      <c r="R98" s="423">
        <v>389941</v>
      </c>
      <c r="S98" s="423">
        <v>298344</v>
      </c>
      <c r="T98" s="423">
        <v>373296</v>
      </c>
      <c r="U98" s="423">
        <v>799837</v>
      </c>
      <c r="W98" s="423">
        <f t="shared" si="118"/>
        <v>0</v>
      </c>
      <c r="X98" s="423">
        <f t="shared" si="119"/>
        <v>0</v>
      </c>
      <c r="Y98" s="423">
        <f t="shared" si="120"/>
        <v>0</v>
      </c>
      <c r="Z98" s="423">
        <f t="shared" si="121"/>
        <v>0</v>
      </c>
      <c r="AA98" s="423">
        <f t="shared" si="122"/>
        <v>0</v>
      </c>
      <c r="AB98" s="423">
        <f t="shared" si="123"/>
        <v>228591</v>
      </c>
      <c r="AC98" s="423">
        <f t="shared" si="124"/>
        <v>161350</v>
      </c>
      <c r="AD98" s="423">
        <f t="shared" si="125"/>
        <v>-91597</v>
      </c>
      <c r="AE98" s="423">
        <f t="shared" si="126"/>
        <v>373296</v>
      </c>
      <c r="AF98" s="423">
        <f t="shared" si="127"/>
        <v>426541</v>
      </c>
    </row>
    <row r="99" spans="1:32" outlineLevel="1">
      <c r="A99" s="418" t="s">
        <v>742</v>
      </c>
      <c r="B99" s="418" t="s">
        <v>743</v>
      </c>
      <c r="D99" s="423">
        <v>506034</v>
      </c>
      <c r="E99" s="423">
        <v>608810</v>
      </c>
      <c r="F99" s="423">
        <v>609627</v>
      </c>
      <c r="G99" s="423">
        <v>699963</v>
      </c>
      <c r="H99" s="423">
        <v>124722</v>
      </c>
      <c r="I99" s="423">
        <v>453625</v>
      </c>
      <c r="J99" s="423">
        <v>515754</v>
      </c>
      <c r="K99" s="423">
        <v>762079</v>
      </c>
      <c r="L99" s="423">
        <v>56438</v>
      </c>
      <c r="M99" s="423">
        <v>60410</v>
      </c>
      <c r="N99" s="423">
        <v>198968</v>
      </c>
      <c r="O99" s="423">
        <v>178222</v>
      </c>
      <c r="P99" s="423">
        <v>595698</v>
      </c>
      <c r="Q99" s="423">
        <v>904112</v>
      </c>
      <c r="R99" s="423">
        <v>1140096</v>
      </c>
      <c r="S99" s="423">
        <v>978914</v>
      </c>
      <c r="T99" s="423">
        <v>390670</v>
      </c>
      <c r="U99" s="423">
        <v>556409</v>
      </c>
      <c r="W99" s="423">
        <f t="shared" si="118"/>
        <v>56438</v>
      </c>
      <c r="X99" s="423">
        <f t="shared" si="119"/>
        <v>3972</v>
      </c>
      <c r="Y99" s="423">
        <f t="shared" si="120"/>
        <v>138558</v>
      </c>
      <c r="Z99" s="423">
        <f t="shared" si="121"/>
        <v>-20746</v>
      </c>
      <c r="AA99" s="423">
        <f t="shared" si="122"/>
        <v>595698</v>
      </c>
      <c r="AB99" s="423">
        <f t="shared" si="123"/>
        <v>308414</v>
      </c>
      <c r="AC99" s="423">
        <f t="shared" si="124"/>
        <v>235984</v>
      </c>
      <c r="AD99" s="423">
        <f t="shared" si="125"/>
        <v>-161182</v>
      </c>
      <c r="AE99" s="423">
        <f t="shared" si="126"/>
        <v>390670</v>
      </c>
      <c r="AF99" s="423">
        <f t="shared" si="127"/>
        <v>165739</v>
      </c>
    </row>
    <row r="100" spans="1:32">
      <c r="A100" s="417" t="s">
        <v>744</v>
      </c>
      <c r="B100" s="417" t="s">
        <v>745</v>
      </c>
      <c r="D100" s="422">
        <f t="shared" ref="D100:I100" si="128">SUM(D101:D110)</f>
        <v>-1698774</v>
      </c>
      <c r="E100" s="422">
        <f t="shared" si="128"/>
        <v>-3462000</v>
      </c>
      <c r="F100" s="422">
        <f t="shared" si="128"/>
        <v>-4679802</v>
      </c>
      <c r="G100" s="422">
        <f t="shared" si="128"/>
        <v>-6082889</v>
      </c>
      <c r="H100" s="422">
        <f t="shared" si="128"/>
        <v>-2431921</v>
      </c>
      <c r="I100" s="422">
        <f t="shared" si="128"/>
        <v>-4505590</v>
      </c>
      <c r="J100" s="422">
        <f t="shared" ref="J100:T100" si="129">SUM(J101:J110)</f>
        <v>-6116537</v>
      </c>
      <c r="K100" s="422">
        <f t="shared" si="129"/>
        <v>-8008145</v>
      </c>
      <c r="L100" s="422">
        <f t="shared" si="129"/>
        <v>-2185621</v>
      </c>
      <c r="M100" s="422">
        <f t="shared" si="129"/>
        <v>-4186601</v>
      </c>
      <c r="N100" s="422">
        <f t="shared" si="129"/>
        <v>-6086745</v>
      </c>
      <c r="O100" s="422">
        <f t="shared" si="129"/>
        <v>-9142153</v>
      </c>
      <c r="P100" s="422">
        <f t="shared" si="129"/>
        <v>-3238709</v>
      </c>
      <c r="Q100" s="422">
        <f t="shared" si="129"/>
        <v>-5844374</v>
      </c>
      <c r="R100" s="422">
        <f t="shared" si="129"/>
        <v>-8440089</v>
      </c>
      <c r="S100" s="422">
        <f t="shared" si="129"/>
        <v>-10458778</v>
      </c>
      <c r="T100" s="422">
        <f t="shared" si="129"/>
        <v>-3986740</v>
      </c>
      <c r="U100" s="422">
        <f>SUM(U101:U110)</f>
        <v>-7144823</v>
      </c>
      <c r="W100" s="422">
        <f t="shared" ref="W100:AC100" si="130">SUM(W101:W110)</f>
        <v>-2185621</v>
      </c>
      <c r="X100" s="422">
        <f t="shared" si="130"/>
        <v>-2000980</v>
      </c>
      <c r="Y100" s="422">
        <f t="shared" si="130"/>
        <v>-1900144</v>
      </c>
      <c r="Z100" s="422">
        <f t="shared" si="130"/>
        <v>-3055408</v>
      </c>
      <c r="AA100" s="422">
        <f t="shared" si="130"/>
        <v>-3238709</v>
      </c>
      <c r="AB100" s="422">
        <f t="shared" si="130"/>
        <v>-2605665</v>
      </c>
      <c r="AC100" s="422">
        <f t="shared" si="130"/>
        <v>-2595715</v>
      </c>
      <c r="AD100" s="422">
        <f t="shared" ref="AD100:AE100" si="131">SUM(AD101:AD110)</f>
        <v>-2018689</v>
      </c>
      <c r="AE100" s="422">
        <f t="shared" si="131"/>
        <v>-3986740</v>
      </c>
      <c r="AF100" s="422">
        <f>SUM(AF101:AF110)</f>
        <v>-3158083</v>
      </c>
    </row>
    <row r="101" spans="1:32" outlineLevel="1">
      <c r="A101" s="418" t="s">
        <v>746</v>
      </c>
      <c r="B101" s="418" t="s">
        <v>747</v>
      </c>
      <c r="D101" s="423">
        <v>-554676</v>
      </c>
      <c r="E101" s="423">
        <v>-1583396</v>
      </c>
      <c r="F101" s="423">
        <v>-2248679</v>
      </c>
      <c r="G101" s="423">
        <v>-2914706</v>
      </c>
      <c r="H101" s="423">
        <v>-1143018</v>
      </c>
      <c r="I101" s="423">
        <v>-2302302</v>
      </c>
      <c r="J101" s="423">
        <v>-3483135</v>
      </c>
      <c r="K101" s="423">
        <v>-4507143</v>
      </c>
      <c r="L101" s="423">
        <v>-1070409</v>
      </c>
      <c r="M101" s="423">
        <v>-2380074</v>
      </c>
      <c r="N101" s="423">
        <v>-3580721</v>
      </c>
      <c r="O101" s="423">
        <v>-5578982</v>
      </c>
      <c r="P101" s="423">
        <v>-1188146</v>
      </c>
      <c r="Q101" s="423">
        <v>-2428826</v>
      </c>
      <c r="R101" s="423">
        <v>-3811494</v>
      </c>
      <c r="S101" s="423">
        <v>-4977776</v>
      </c>
      <c r="T101" s="423">
        <v>-1211999</v>
      </c>
      <c r="U101" s="423">
        <v>-2520565</v>
      </c>
      <c r="W101" s="423">
        <f t="shared" ref="W101:W110" si="132">L101</f>
        <v>-1070409</v>
      </c>
      <c r="X101" s="423">
        <f t="shared" ref="X101:X110" si="133">M101-W101</f>
        <v>-1309665</v>
      </c>
      <c r="Y101" s="423">
        <f t="shared" ref="Y101:Y110" si="134">N101-M101</f>
        <v>-1200647</v>
      </c>
      <c r="Z101" s="423">
        <f t="shared" ref="Z101:Z110" si="135">O101-N101</f>
        <v>-1998261</v>
      </c>
      <c r="AA101" s="423">
        <f t="shared" ref="AA101:AA110" si="136">P101</f>
        <v>-1188146</v>
      </c>
      <c r="AB101" s="423">
        <f t="shared" ref="AB101:AB110" si="137">Q101-AA101</f>
        <v>-1240680</v>
      </c>
      <c r="AC101" s="423">
        <f t="shared" ref="AC101:AC110" si="138">R101-Q101</f>
        <v>-1382668</v>
      </c>
      <c r="AD101" s="423">
        <f t="shared" ref="AD101:AD110" si="139">S101-R101</f>
        <v>-1166282</v>
      </c>
      <c r="AE101" s="423">
        <f t="shared" ref="AE101:AE110" si="140">T101</f>
        <v>-1211999</v>
      </c>
      <c r="AF101" s="423">
        <f t="shared" ref="AF101:AF110" si="141">U101-T101</f>
        <v>-1308566</v>
      </c>
    </row>
    <row r="102" spans="1:32" outlineLevel="1">
      <c r="A102" s="418" t="s">
        <v>748</v>
      </c>
      <c r="B102" s="418" t="s">
        <v>749</v>
      </c>
      <c r="D102" s="423">
        <v>-12994</v>
      </c>
      <c r="E102" s="423">
        <v>-25917</v>
      </c>
      <c r="F102" s="423">
        <v>-39073</v>
      </c>
      <c r="G102" s="423">
        <v>-52072</v>
      </c>
      <c r="H102" s="423">
        <v>-12439</v>
      </c>
      <c r="I102" s="423">
        <v>-24618</v>
      </c>
      <c r="J102" s="423">
        <v>-37277</v>
      </c>
      <c r="K102" s="423">
        <v>-49852</v>
      </c>
      <c r="L102" s="423">
        <v>-12437</v>
      </c>
      <c r="M102" s="423">
        <v>-24881</v>
      </c>
      <c r="N102" s="423">
        <v>-37436</v>
      </c>
      <c r="O102" s="423">
        <v>-50112</v>
      </c>
      <c r="P102" s="423">
        <v>-12672</v>
      </c>
      <c r="Q102" s="423">
        <v>-25445</v>
      </c>
      <c r="R102" s="423">
        <v>-38352</v>
      </c>
      <c r="S102" s="423">
        <v>-51265</v>
      </c>
      <c r="T102" s="423">
        <v>-12640</v>
      </c>
      <c r="U102" s="423">
        <v>-25255</v>
      </c>
      <c r="W102" s="423">
        <f t="shared" si="132"/>
        <v>-12437</v>
      </c>
      <c r="X102" s="423">
        <f t="shared" si="133"/>
        <v>-12444</v>
      </c>
      <c r="Y102" s="423">
        <f t="shared" si="134"/>
        <v>-12555</v>
      </c>
      <c r="Z102" s="423">
        <f t="shared" si="135"/>
        <v>-12676</v>
      </c>
      <c r="AA102" s="423">
        <f t="shared" si="136"/>
        <v>-12672</v>
      </c>
      <c r="AB102" s="423">
        <f t="shared" si="137"/>
        <v>-12773</v>
      </c>
      <c r="AC102" s="423">
        <f t="shared" si="138"/>
        <v>-12907</v>
      </c>
      <c r="AD102" s="423">
        <f t="shared" si="139"/>
        <v>-12913</v>
      </c>
      <c r="AE102" s="423">
        <f t="shared" si="140"/>
        <v>-12640</v>
      </c>
      <c r="AF102" s="423">
        <f t="shared" si="141"/>
        <v>-12615</v>
      </c>
    </row>
    <row r="103" spans="1:32" outlineLevel="1">
      <c r="A103" s="418" t="s">
        <v>750</v>
      </c>
      <c r="B103" s="418" t="s">
        <v>751</v>
      </c>
      <c r="D103" s="423">
        <v>-661882</v>
      </c>
      <c r="E103" s="423">
        <v>-1002542</v>
      </c>
      <c r="F103" s="423">
        <v>-1122133</v>
      </c>
      <c r="G103" s="423">
        <v>-1335633</v>
      </c>
      <c r="H103" s="423">
        <v>-518449</v>
      </c>
      <c r="I103" s="423">
        <v>-1115820</v>
      </c>
      <c r="J103" s="423">
        <v>-1207094</v>
      </c>
      <c r="K103" s="423">
        <v>-1604608</v>
      </c>
      <c r="L103" s="423">
        <v>-627891</v>
      </c>
      <c r="M103" s="423">
        <v>-917510</v>
      </c>
      <c r="N103" s="423">
        <v>-1139233</v>
      </c>
      <c r="O103" s="423">
        <v>-1570845</v>
      </c>
      <c r="P103" s="423">
        <v>-1537187</v>
      </c>
      <c r="Q103" s="423">
        <v>-2321837</v>
      </c>
      <c r="R103" s="423">
        <v>-2942309</v>
      </c>
      <c r="S103" s="423">
        <v>-3419643</v>
      </c>
      <c r="T103" s="423">
        <v>-1985292</v>
      </c>
      <c r="U103" s="423">
        <v>-1123763</v>
      </c>
      <c r="W103" s="423">
        <f t="shared" si="132"/>
        <v>-627891</v>
      </c>
      <c r="X103" s="423">
        <f t="shared" si="133"/>
        <v>-289619</v>
      </c>
      <c r="Y103" s="423">
        <f t="shared" si="134"/>
        <v>-221723</v>
      </c>
      <c r="Z103" s="423">
        <f t="shared" si="135"/>
        <v>-431612</v>
      </c>
      <c r="AA103" s="423">
        <f t="shared" si="136"/>
        <v>-1537187</v>
      </c>
      <c r="AB103" s="423">
        <f t="shared" si="137"/>
        <v>-784650</v>
      </c>
      <c r="AC103" s="423">
        <f t="shared" si="138"/>
        <v>-620472</v>
      </c>
      <c r="AD103" s="423">
        <f t="shared" si="139"/>
        <v>-477334</v>
      </c>
      <c r="AE103" s="423">
        <f t="shared" si="140"/>
        <v>-1985292</v>
      </c>
      <c r="AF103" s="423">
        <f t="shared" si="141"/>
        <v>861529</v>
      </c>
    </row>
    <row r="104" spans="1:32" outlineLevel="1">
      <c r="A104" s="418" t="s">
        <v>741</v>
      </c>
      <c r="B104" s="418" t="s">
        <v>2536</v>
      </c>
      <c r="D104" s="423"/>
      <c r="E104" s="423"/>
      <c r="F104" s="423"/>
      <c r="G104" s="423"/>
      <c r="H104" s="423"/>
      <c r="I104" s="423"/>
      <c r="J104" s="423"/>
      <c r="K104" s="423"/>
      <c r="L104" s="423"/>
      <c r="M104" s="423"/>
      <c r="N104" s="423"/>
      <c r="O104" s="423"/>
      <c r="P104" s="423"/>
      <c r="Q104" s="423">
        <v>-101429</v>
      </c>
      <c r="R104" s="423">
        <v>-4615</v>
      </c>
      <c r="S104" s="423">
        <v>-98598</v>
      </c>
      <c r="T104" s="423">
        <v>-351846</v>
      </c>
      <c r="U104" s="423">
        <v>-267571</v>
      </c>
      <c r="W104" s="423">
        <f t="shared" si="132"/>
        <v>0</v>
      </c>
      <c r="X104" s="423">
        <f t="shared" si="133"/>
        <v>0</v>
      </c>
      <c r="Y104" s="423">
        <f t="shared" si="134"/>
        <v>0</v>
      </c>
      <c r="Z104" s="423">
        <f t="shared" si="135"/>
        <v>0</v>
      </c>
      <c r="AA104" s="423">
        <f t="shared" si="136"/>
        <v>0</v>
      </c>
      <c r="AB104" s="423">
        <f t="shared" si="137"/>
        <v>-101429</v>
      </c>
      <c r="AC104" s="423">
        <f t="shared" si="138"/>
        <v>96814</v>
      </c>
      <c r="AD104" s="423">
        <f t="shared" si="139"/>
        <v>-93983</v>
      </c>
      <c r="AE104" s="423">
        <f t="shared" si="140"/>
        <v>-351846</v>
      </c>
      <c r="AF104" s="423">
        <f t="shared" si="141"/>
        <v>84275</v>
      </c>
    </row>
    <row r="105" spans="1:32" outlineLevel="1">
      <c r="A105" s="418" t="s">
        <v>752</v>
      </c>
      <c r="B105" s="418" t="s">
        <v>753</v>
      </c>
      <c r="D105" s="423">
        <v>-2005</v>
      </c>
      <c r="E105" s="423">
        <v>-3420</v>
      </c>
      <c r="F105" s="423">
        <v>-5463</v>
      </c>
      <c r="G105" s="423">
        <v>-6879</v>
      </c>
      <c r="H105" s="423">
        <v>-1984</v>
      </c>
      <c r="I105" s="423">
        <v>-3361</v>
      </c>
      <c r="J105" s="423">
        <v>-5061</v>
      </c>
      <c r="K105" s="423">
        <v>-6738</v>
      </c>
      <c r="L105" s="423">
        <v>-1678</v>
      </c>
      <c r="M105" s="423">
        <v>-3332</v>
      </c>
      <c r="N105" s="423">
        <v>-5022</v>
      </c>
      <c r="O105" s="423">
        <v>-6700</v>
      </c>
      <c r="P105" s="423">
        <v>-1664</v>
      </c>
      <c r="Q105" s="423">
        <v>-3309</v>
      </c>
      <c r="R105" s="423">
        <v>-4980</v>
      </c>
      <c r="S105" s="423">
        <v>-6631</v>
      </c>
      <c r="T105" s="423">
        <v>-1628</v>
      </c>
      <c r="U105" s="423">
        <v>-3259</v>
      </c>
      <c r="W105" s="423">
        <f t="shared" si="132"/>
        <v>-1678</v>
      </c>
      <c r="X105" s="423">
        <f t="shared" si="133"/>
        <v>-1654</v>
      </c>
      <c r="Y105" s="423">
        <f t="shared" si="134"/>
        <v>-1690</v>
      </c>
      <c r="Z105" s="423">
        <f t="shared" si="135"/>
        <v>-1678</v>
      </c>
      <c r="AA105" s="423">
        <f t="shared" si="136"/>
        <v>-1664</v>
      </c>
      <c r="AB105" s="423">
        <f t="shared" si="137"/>
        <v>-1645</v>
      </c>
      <c r="AC105" s="423">
        <f t="shared" si="138"/>
        <v>-1671</v>
      </c>
      <c r="AD105" s="423">
        <f t="shared" si="139"/>
        <v>-1651</v>
      </c>
      <c r="AE105" s="423">
        <f t="shared" si="140"/>
        <v>-1628</v>
      </c>
      <c r="AF105" s="423">
        <f t="shared" si="141"/>
        <v>-1631</v>
      </c>
    </row>
    <row r="106" spans="1:32" outlineLevel="1">
      <c r="A106" s="418" t="s">
        <v>754</v>
      </c>
      <c r="B106" s="418" t="s">
        <v>755</v>
      </c>
      <c r="D106" s="423">
        <v>-58457</v>
      </c>
      <c r="E106" s="423">
        <v>-127911</v>
      </c>
      <c r="F106" s="423">
        <v>-215833</v>
      </c>
      <c r="G106" s="423">
        <v>-264002</v>
      </c>
      <c r="H106" s="423">
        <v>-65692</v>
      </c>
      <c r="I106" s="423">
        <v>-148359</v>
      </c>
      <c r="J106" s="423">
        <v>-200118</v>
      </c>
      <c r="K106" s="423">
        <v>-340748</v>
      </c>
      <c r="L106" s="423">
        <v>-82326</v>
      </c>
      <c r="M106" s="423">
        <v>-152054</v>
      </c>
      <c r="N106" s="423">
        <v>-274550</v>
      </c>
      <c r="O106" s="423">
        <v>-344910</v>
      </c>
      <c r="P106" s="423">
        <v>-79348</v>
      </c>
      <c r="Q106" s="423">
        <v>-172714</v>
      </c>
      <c r="R106" s="423">
        <v>-255013</v>
      </c>
      <c r="S106" s="423">
        <v>-348638</v>
      </c>
      <c r="T106" s="423">
        <v>-99075</v>
      </c>
      <c r="U106" s="423">
        <v>-157279</v>
      </c>
      <c r="W106" s="423">
        <f t="shared" si="132"/>
        <v>-82326</v>
      </c>
      <c r="X106" s="423">
        <f t="shared" si="133"/>
        <v>-69728</v>
      </c>
      <c r="Y106" s="423">
        <f t="shared" si="134"/>
        <v>-122496</v>
      </c>
      <c r="Z106" s="423">
        <f t="shared" si="135"/>
        <v>-70360</v>
      </c>
      <c r="AA106" s="423">
        <f t="shared" si="136"/>
        <v>-79348</v>
      </c>
      <c r="AB106" s="423">
        <f t="shared" si="137"/>
        <v>-93366</v>
      </c>
      <c r="AC106" s="423">
        <f t="shared" si="138"/>
        <v>-82299</v>
      </c>
      <c r="AD106" s="423">
        <f t="shared" si="139"/>
        <v>-93625</v>
      </c>
      <c r="AE106" s="423">
        <f t="shared" si="140"/>
        <v>-99075</v>
      </c>
      <c r="AF106" s="423">
        <f t="shared" si="141"/>
        <v>-58204</v>
      </c>
    </row>
    <row r="107" spans="1:32" outlineLevel="1">
      <c r="A107" s="418" t="s">
        <v>756</v>
      </c>
      <c r="B107" s="418" t="s">
        <v>757</v>
      </c>
      <c r="D107" s="423">
        <v>-4515</v>
      </c>
      <c r="E107" s="423">
        <v>-12312</v>
      </c>
      <c r="F107" s="423">
        <v>-15414</v>
      </c>
      <c r="G107" s="423">
        <v>-26716</v>
      </c>
      <c r="H107" s="423">
        <v>-14761</v>
      </c>
      <c r="I107" s="423">
        <v>-20167</v>
      </c>
      <c r="J107" s="423">
        <v>-29414</v>
      </c>
      <c r="K107" s="423">
        <v>-44344</v>
      </c>
      <c r="L107" s="423">
        <v>-20310</v>
      </c>
      <c r="M107" s="423">
        <v>-31737</v>
      </c>
      <c r="N107" s="423">
        <v>-39499</v>
      </c>
      <c r="O107" s="423">
        <v>-55657</v>
      </c>
      <c r="P107" s="423">
        <v>-5252</v>
      </c>
      <c r="Q107" s="423">
        <v>-51520</v>
      </c>
      <c r="R107" s="423">
        <v>-65800</v>
      </c>
      <c r="S107" s="423">
        <v>-234240</v>
      </c>
      <c r="T107" s="423">
        <v>-32432</v>
      </c>
      <c r="U107" s="423">
        <v>-63255</v>
      </c>
      <c r="W107" s="423">
        <f t="shared" si="132"/>
        <v>-20310</v>
      </c>
      <c r="X107" s="423">
        <f t="shared" si="133"/>
        <v>-11427</v>
      </c>
      <c r="Y107" s="423">
        <f t="shared" si="134"/>
        <v>-7762</v>
      </c>
      <c r="Z107" s="423">
        <f t="shared" si="135"/>
        <v>-16158</v>
      </c>
      <c r="AA107" s="423">
        <f t="shared" si="136"/>
        <v>-5252</v>
      </c>
      <c r="AB107" s="423">
        <f t="shared" si="137"/>
        <v>-46268</v>
      </c>
      <c r="AC107" s="423">
        <f t="shared" si="138"/>
        <v>-14280</v>
      </c>
      <c r="AD107" s="423">
        <f t="shared" si="139"/>
        <v>-168440</v>
      </c>
      <c r="AE107" s="423">
        <f t="shared" si="140"/>
        <v>-32432</v>
      </c>
      <c r="AF107" s="423">
        <f t="shared" si="141"/>
        <v>-30823</v>
      </c>
    </row>
    <row r="108" spans="1:32" outlineLevel="1">
      <c r="A108" s="418" t="s">
        <v>758</v>
      </c>
      <c r="B108" s="418" t="s">
        <v>759</v>
      </c>
      <c r="D108" s="423">
        <v>0</v>
      </c>
      <c r="E108" s="423">
        <v>0</v>
      </c>
      <c r="F108" s="423">
        <v>0</v>
      </c>
      <c r="G108" s="423">
        <v>0</v>
      </c>
      <c r="H108" s="423">
        <v>0</v>
      </c>
      <c r="I108" s="423">
        <v>0</v>
      </c>
      <c r="J108" s="423">
        <v>0</v>
      </c>
      <c r="K108" s="423">
        <v>0</v>
      </c>
      <c r="L108" s="423">
        <v>0</v>
      </c>
      <c r="M108" s="423">
        <v>0</v>
      </c>
      <c r="N108" s="423">
        <v>0</v>
      </c>
      <c r="O108" s="423">
        <v>0</v>
      </c>
      <c r="P108" s="423">
        <v>0</v>
      </c>
      <c r="Q108" s="423">
        <v>0</v>
      </c>
      <c r="R108" s="423">
        <v>0</v>
      </c>
      <c r="S108" s="423">
        <v>0</v>
      </c>
      <c r="T108" s="423">
        <v>0</v>
      </c>
      <c r="U108" s="423">
        <v>-2235747</v>
      </c>
      <c r="W108" s="423">
        <f t="shared" si="132"/>
        <v>0</v>
      </c>
      <c r="X108" s="423">
        <f t="shared" si="133"/>
        <v>0</v>
      </c>
      <c r="Y108" s="423">
        <f t="shared" si="134"/>
        <v>0</v>
      </c>
      <c r="Z108" s="423">
        <f t="shared" si="135"/>
        <v>0</v>
      </c>
      <c r="AA108" s="423">
        <f t="shared" si="136"/>
        <v>0</v>
      </c>
      <c r="AB108" s="423">
        <f t="shared" si="137"/>
        <v>0</v>
      </c>
      <c r="AC108" s="423">
        <f t="shared" si="138"/>
        <v>0</v>
      </c>
      <c r="AD108" s="423">
        <f t="shared" si="139"/>
        <v>0</v>
      </c>
      <c r="AE108" s="423">
        <f t="shared" si="140"/>
        <v>0</v>
      </c>
      <c r="AF108" s="423">
        <f t="shared" si="141"/>
        <v>-2235747</v>
      </c>
    </row>
    <row r="109" spans="1:32" outlineLevel="1">
      <c r="A109" s="418" t="s">
        <v>760</v>
      </c>
      <c r="B109" s="418" t="s">
        <v>761</v>
      </c>
      <c r="D109" s="423">
        <v>-5930</v>
      </c>
      <c r="E109" s="423">
        <v>-11298</v>
      </c>
      <c r="F109" s="423">
        <v>-17369</v>
      </c>
      <c r="G109" s="423">
        <v>-33893</v>
      </c>
      <c r="H109" s="423">
        <v>-7738</v>
      </c>
      <c r="I109" s="423">
        <v>-15392</v>
      </c>
      <c r="J109" s="423">
        <v>-23875</v>
      </c>
      <c r="K109" s="423">
        <v>-31677</v>
      </c>
      <c r="L109" s="423">
        <v>-5003</v>
      </c>
      <c r="M109" s="423">
        <v>-10964</v>
      </c>
      <c r="N109" s="423">
        <v>-15636</v>
      </c>
      <c r="O109" s="423">
        <v>-22005</v>
      </c>
      <c r="P109" s="423">
        <v>-3502</v>
      </c>
      <c r="Q109" s="423">
        <v>-9177</v>
      </c>
      <c r="R109" s="423">
        <v>-8242</v>
      </c>
      <c r="S109" s="423">
        <v>-13001</v>
      </c>
      <c r="T109" s="423">
        <v>-776</v>
      </c>
      <c r="U109" s="423">
        <v>-6695</v>
      </c>
      <c r="W109" s="423">
        <f t="shared" si="132"/>
        <v>-5003</v>
      </c>
      <c r="X109" s="423">
        <f t="shared" si="133"/>
        <v>-5961</v>
      </c>
      <c r="Y109" s="423">
        <f t="shared" si="134"/>
        <v>-4672</v>
      </c>
      <c r="Z109" s="423">
        <f t="shared" si="135"/>
        <v>-6369</v>
      </c>
      <c r="AA109" s="423">
        <f t="shared" si="136"/>
        <v>-3502</v>
      </c>
      <c r="AB109" s="423">
        <f t="shared" si="137"/>
        <v>-5675</v>
      </c>
      <c r="AC109" s="423">
        <f t="shared" si="138"/>
        <v>935</v>
      </c>
      <c r="AD109" s="423">
        <f t="shared" si="139"/>
        <v>-4759</v>
      </c>
      <c r="AE109" s="423">
        <f t="shared" si="140"/>
        <v>-776</v>
      </c>
      <c r="AF109" s="423">
        <f t="shared" si="141"/>
        <v>-5919</v>
      </c>
    </row>
    <row r="110" spans="1:32" outlineLevel="1">
      <c r="A110" s="418" t="s">
        <v>762</v>
      </c>
      <c r="B110" s="418" t="s">
        <v>763</v>
      </c>
      <c r="D110" s="423">
        <v>-398315</v>
      </c>
      <c r="E110" s="423">
        <v>-695204</v>
      </c>
      <c r="F110" s="423">
        <v>-1015838</v>
      </c>
      <c r="G110" s="423">
        <v>-1448988</v>
      </c>
      <c r="H110" s="423">
        <v>-667840</v>
      </c>
      <c r="I110" s="423">
        <v>-875571</v>
      </c>
      <c r="J110" s="423">
        <v>-1130563</v>
      </c>
      <c r="K110" s="423">
        <v>-1423035</v>
      </c>
      <c r="L110" s="423">
        <v>-365567</v>
      </c>
      <c r="M110" s="423">
        <v>-666049</v>
      </c>
      <c r="N110" s="423">
        <v>-994648</v>
      </c>
      <c r="O110" s="423">
        <v>-1512942</v>
      </c>
      <c r="P110" s="423">
        <v>-410938</v>
      </c>
      <c r="Q110" s="423">
        <v>-730117</v>
      </c>
      <c r="R110" s="423">
        <v>-1309284</v>
      </c>
      <c r="S110" s="423">
        <v>-1308986</v>
      </c>
      <c r="T110" s="423">
        <v>-291052</v>
      </c>
      <c r="U110" s="423">
        <v>-741434</v>
      </c>
      <c r="W110" s="423">
        <f t="shared" si="132"/>
        <v>-365567</v>
      </c>
      <c r="X110" s="423">
        <f t="shared" si="133"/>
        <v>-300482</v>
      </c>
      <c r="Y110" s="423">
        <f t="shared" si="134"/>
        <v>-328599</v>
      </c>
      <c r="Z110" s="423">
        <f t="shared" si="135"/>
        <v>-518294</v>
      </c>
      <c r="AA110" s="423">
        <f t="shared" si="136"/>
        <v>-410938</v>
      </c>
      <c r="AB110" s="423">
        <f t="shared" si="137"/>
        <v>-319179</v>
      </c>
      <c r="AC110" s="423">
        <f t="shared" si="138"/>
        <v>-579167</v>
      </c>
      <c r="AD110" s="423">
        <f t="shared" si="139"/>
        <v>298</v>
      </c>
      <c r="AE110" s="423">
        <f t="shared" si="140"/>
        <v>-291052</v>
      </c>
      <c r="AF110" s="423">
        <f t="shared" si="141"/>
        <v>-450382</v>
      </c>
    </row>
    <row r="111" spans="1:32">
      <c r="A111" s="417"/>
      <c r="B111" s="417"/>
      <c r="D111" s="417"/>
      <c r="E111" s="417"/>
      <c r="F111" s="417"/>
      <c r="G111" s="417"/>
      <c r="H111" s="417"/>
      <c r="I111" s="417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W111" s="417"/>
      <c r="X111" s="417"/>
      <c r="Y111" s="417"/>
      <c r="Z111" s="417"/>
      <c r="AA111" s="417"/>
      <c r="AB111" s="417"/>
      <c r="AC111" s="417"/>
      <c r="AD111" s="417"/>
      <c r="AE111" s="417"/>
      <c r="AF111" s="417"/>
    </row>
    <row r="112" spans="1:32">
      <c r="A112" s="429" t="s">
        <v>764</v>
      </c>
      <c r="B112" s="429" t="s">
        <v>765</v>
      </c>
      <c r="D112" s="420">
        <f t="shared" ref="D112:I112" si="142">D86+D88</f>
        <v>909064</v>
      </c>
      <c r="E112" s="420">
        <f t="shared" si="142"/>
        <v>1032500</v>
      </c>
      <c r="F112" s="420">
        <f t="shared" si="142"/>
        <v>1768923</v>
      </c>
      <c r="G112" s="420">
        <f t="shared" si="142"/>
        <v>2692737</v>
      </c>
      <c r="H112" s="420">
        <f t="shared" si="142"/>
        <v>373338</v>
      </c>
      <c r="I112" s="420">
        <f t="shared" si="142"/>
        <v>1077291</v>
      </c>
      <c r="J112" s="420">
        <f t="shared" ref="J112:T112" si="143">J86+J88</f>
        <v>2290516</v>
      </c>
      <c r="K112" s="420">
        <f t="shared" si="143"/>
        <v>3034789</v>
      </c>
      <c r="L112" s="420">
        <f t="shared" si="143"/>
        <v>755544</v>
      </c>
      <c r="M112" s="420">
        <f t="shared" si="143"/>
        <v>1705956</v>
      </c>
      <c r="N112" s="420">
        <f t="shared" si="143"/>
        <v>3057690</v>
      </c>
      <c r="O112" s="420">
        <f t="shared" si="143"/>
        <v>3895665</v>
      </c>
      <c r="P112" s="420">
        <f t="shared" si="143"/>
        <v>944882</v>
      </c>
      <c r="Q112" s="420">
        <f t="shared" si="143"/>
        <v>2485737</v>
      </c>
      <c r="R112" s="420">
        <f t="shared" si="143"/>
        <v>3303853</v>
      </c>
      <c r="S112" s="420">
        <f t="shared" si="143"/>
        <v>2455004</v>
      </c>
      <c r="T112" s="741">
        <f t="shared" si="143"/>
        <v>820650</v>
      </c>
      <c r="U112" s="741">
        <f>U86+U88</f>
        <v>1665478</v>
      </c>
      <c r="W112" s="420">
        <f t="shared" ref="W112:AC112" si="144">W86+W88</f>
        <v>755544</v>
      </c>
      <c r="X112" s="420">
        <f t="shared" si="144"/>
        <v>950412</v>
      </c>
      <c r="Y112" s="420">
        <f t="shared" si="144"/>
        <v>1351734</v>
      </c>
      <c r="Z112" s="420">
        <f t="shared" si="144"/>
        <v>837975</v>
      </c>
      <c r="AA112" s="420">
        <f t="shared" si="144"/>
        <v>944882</v>
      </c>
      <c r="AB112" s="420">
        <f t="shared" si="144"/>
        <v>1540855</v>
      </c>
      <c r="AC112" s="420">
        <f t="shared" si="144"/>
        <v>818116</v>
      </c>
      <c r="AD112" s="420">
        <f t="shared" ref="AD112:AE112" si="145">AD86+AD88</f>
        <v>-848849</v>
      </c>
      <c r="AE112" s="420">
        <f t="shared" si="145"/>
        <v>820650</v>
      </c>
      <c r="AF112" s="741">
        <f>AF86+AF88</f>
        <v>3222933</v>
      </c>
    </row>
    <row r="114" spans="1:32">
      <c r="A114" s="416" t="s">
        <v>766</v>
      </c>
      <c r="B114" s="416" t="s">
        <v>767</v>
      </c>
      <c r="D114" s="424">
        <f t="shared" ref="D114:I114" si="146">SUM(D116:D119)</f>
        <v>-230467</v>
      </c>
      <c r="E114" s="424">
        <f t="shared" si="146"/>
        <v>-418510</v>
      </c>
      <c r="F114" s="424">
        <f t="shared" si="146"/>
        <v>-618274</v>
      </c>
      <c r="G114" s="424">
        <f t="shared" si="146"/>
        <v>-770734</v>
      </c>
      <c r="H114" s="424">
        <f t="shared" si="146"/>
        <v>-85459</v>
      </c>
      <c r="I114" s="424">
        <f t="shared" si="146"/>
        <v>-118762</v>
      </c>
      <c r="J114" s="424">
        <f t="shared" ref="J114:T114" si="147">SUM(J116:J119)</f>
        <v>-404302</v>
      </c>
      <c r="K114" s="424">
        <f t="shared" si="147"/>
        <v>-158505</v>
      </c>
      <c r="L114" s="424">
        <f t="shared" si="147"/>
        <v>-132020</v>
      </c>
      <c r="M114" s="424">
        <f t="shared" si="147"/>
        <v>-431429</v>
      </c>
      <c r="N114" s="424">
        <f t="shared" si="147"/>
        <v>-792689</v>
      </c>
      <c r="O114" s="424">
        <f t="shared" si="147"/>
        <v>-127860</v>
      </c>
      <c r="P114" s="424">
        <f t="shared" si="147"/>
        <v>-238604</v>
      </c>
      <c r="Q114" s="424">
        <f t="shared" si="147"/>
        <v>-489821</v>
      </c>
      <c r="R114" s="424">
        <f t="shared" si="147"/>
        <v>-698132</v>
      </c>
      <c r="S114" s="424">
        <f t="shared" si="147"/>
        <v>-421765</v>
      </c>
      <c r="T114" s="424">
        <f t="shared" si="147"/>
        <v>-213894</v>
      </c>
      <c r="U114" s="424">
        <f>SUM(U116:U119)</f>
        <v>-405715</v>
      </c>
      <c r="W114" s="424">
        <f t="shared" ref="W114:AC114" si="148">SUM(W116:W119)</f>
        <v>-132020</v>
      </c>
      <c r="X114" s="424">
        <f t="shared" si="148"/>
        <v>-299409</v>
      </c>
      <c r="Y114" s="424">
        <f t="shared" si="148"/>
        <v>-361260</v>
      </c>
      <c r="Z114" s="424">
        <f t="shared" si="148"/>
        <v>664829</v>
      </c>
      <c r="AA114" s="424">
        <f t="shared" si="148"/>
        <v>-238604</v>
      </c>
      <c r="AB114" s="424">
        <f t="shared" si="148"/>
        <v>-251217</v>
      </c>
      <c r="AC114" s="424">
        <f t="shared" si="148"/>
        <v>-208311</v>
      </c>
      <c r="AD114" s="424">
        <f t="shared" ref="AD114:AE114" si="149">SUM(AD116:AD119)</f>
        <v>276367</v>
      </c>
      <c r="AE114" s="424">
        <f t="shared" si="149"/>
        <v>-213894</v>
      </c>
      <c r="AF114" s="424">
        <f>SUM(AF116:AF119)</f>
        <v>-191821</v>
      </c>
    </row>
    <row r="115" spans="1:32">
      <c r="P115" s="417"/>
      <c r="Q115" s="417"/>
      <c r="R115" s="417"/>
      <c r="S115" s="417"/>
      <c r="T115" s="417"/>
      <c r="U115" s="417"/>
      <c r="AA115" s="417"/>
      <c r="AB115" s="417"/>
      <c r="AC115" s="417"/>
      <c r="AD115" s="417"/>
      <c r="AE115" s="417"/>
      <c r="AF115" s="417"/>
    </row>
    <row r="116" spans="1:32">
      <c r="A116" s="417" t="s">
        <v>768</v>
      </c>
      <c r="B116" s="417" t="s">
        <v>769</v>
      </c>
      <c r="D116" s="425">
        <v>-87684</v>
      </c>
      <c r="E116" s="425">
        <v>-149736</v>
      </c>
      <c r="F116" s="425">
        <v>-254052</v>
      </c>
      <c r="G116" s="425">
        <v>-356508</v>
      </c>
      <c r="H116" s="425">
        <v>-98588</v>
      </c>
      <c r="I116" s="425">
        <v>-207046</v>
      </c>
      <c r="J116" s="425">
        <v>-317617</v>
      </c>
      <c r="K116" s="425">
        <v>-288255</v>
      </c>
      <c r="L116" s="425">
        <v>-71012</v>
      </c>
      <c r="M116" s="425">
        <v>-145699</v>
      </c>
      <c r="N116" s="425">
        <v>-266677</v>
      </c>
      <c r="O116" s="425">
        <v>-268714</v>
      </c>
      <c r="P116" s="425">
        <v>-72215</v>
      </c>
      <c r="Q116" s="425">
        <v>-188429</v>
      </c>
      <c r="R116" s="425">
        <v>-302884</v>
      </c>
      <c r="S116" s="425">
        <v>-390673</v>
      </c>
      <c r="T116" s="425">
        <v>-80528</v>
      </c>
      <c r="U116" s="756">
        <v>-150322</v>
      </c>
      <c r="W116" s="425">
        <f>L116</f>
        <v>-71012</v>
      </c>
      <c r="X116" s="425">
        <f>M116-W116</f>
        <v>-74687</v>
      </c>
      <c r="Y116" s="425">
        <f t="shared" ref="Y116:Z119" si="150">N116-M116</f>
        <v>-120978</v>
      </c>
      <c r="Z116" s="425">
        <f t="shared" si="150"/>
        <v>-2037</v>
      </c>
      <c r="AA116" s="425">
        <f>P116</f>
        <v>-72215</v>
      </c>
      <c r="AB116" s="425">
        <f>Q116-AA116</f>
        <v>-116214</v>
      </c>
      <c r="AC116" s="425">
        <f t="shared" ref="AC116:AD119" si="151">R116-Q116</f>
        <v>-114455</v>
      </c>
      <c r="AD116" s="425">
        <f t="shared" si="151"/>
        <v>-87789</v>
      </c>
      <c r="AE116" s="425">
        <f>T116</f>
        <v>-80528</v>
      </c>
      <c r="AF116" s="756">
        <f>U116-T116</f>
        <v>-69794</v>
      </c>
    </row>
    <row r="117" spans="1:32">
      <c r="A117" s="417" t="s">
        <v>770</v>
      </c>
      <c r="B117" s="417" t="s">
        <v>771</v>
      </c>
      <c r="D117" s="425">
        <v>-260158</v>
      </c>
      <c r="E117" s="425">
        <v>-435407</v>
      </c>
      <c r="F117" s="425">
        <v>-724203</v>
      </c>
      <c r="G117" s="425">
        <v>-1038100</v>
      </c>
      <c r="H117" s="425">
        <v>-284953</v>
      </c>
      <c r="I117" s="425">
        <v>-597101</v>
      </c>
      <c r="J117" s="425">
        <v>-908320</v>
      </c>
      <c r="K117" s="425">
        <v>-917279</v>
      </c>
      <c r="L117" s="425">
        <v>-215219</v>
      </c>
      <c r="M117" s="425">
        <v>-444346</v>
      </c>
      <c r="N117" s="425">
        <v>-790038</v>
      </c>
      <c r="O117" s="425">
        <v>-900089</v>
      </c>
      <c r="P117" s="425">
        <v>-205917</v>
      </c>
      <c r="Q117" s="425">
        <v>-538149</v>
      </c>
      <c r="R117" s="425">
        <v>-825299</v>
      </c>
      <c r="S117" s="425">
        <v>-1064177</v>
      </c>
      <c r="T117" s="425">
        <v>-228235</v>
      </c>
      <c r="U117" s="756">
        <v>-425089</v>
      </c>
      <c r="W117" s="425">
        <f>L117</f>
        <v>-215219</v>
      </c>
      <c r="X117" s="425">
        <f>M117-W117</f>
        <v>-229127</v>
      </c>
      <c r="Y117" s="425">
        <f t="shared" si="150"/>
        <v>-345692</v>
      </c>
      <c r="Z117" s="425">
        <f t="shared" si="150"/>
        <v>-110051</v>
      </c>
      <c r="AA117" s="425">
        <f>P117</f>
        <v>-205917</v>
      </c>
      <c r="AB117" s="425">
        <f>Q117-AA117</f>
        <v>-332232</v>
      </c>
      <c r="AC117" s="425">
        <f t="shared" si="151"/>
        <v>-287150</v>
      </c>
      <c r="AD117" s="425">
        <f t="shared" si="151"/>
        <v>-238878</v>
      </c>
      <c r="AE117" s="425">
        <f>T117</f>
        <v>-228235</v>
      </c>
      <c r="AF117" s="756">
        <f>U117-T117</f>
        <v>-196854</v>
      </c>
    </row>
    <row r="118" spans="1:32">
      <c r="A118" s="417" t="s">
        <v>772</v>
      </c>
      <c r="B118" s="417" t="s">
        <v>773</v>
      </c>
      <c r="D118" s="425">
        <v>130814</v>
      </c>
      <c r="E118" s="425">
        <v>294475</v>
      </c>
      <c r="F118" s="425">
        <v>481998</v>
      </c>
      <c r="G118" s="425">
        <v>788949</v>
      </c>
      <c r="H118" s="425">
        <v>226845</v>
      </c>
      <c r="I118" s="425">
        <v>438945</v>
      </c>
      <c r="J118" s="425">
        <v>684095</v>
      </c>
      <c r="K118" s="425">
        <v>957177</v>
      </c>
      <c r="L118" s="425">
        <v>175948</v>
      </c>
      <c r="M118" s="425">
        <v>346566</v>
      </c>
      <c r="N118" s="425">
        <v>596745</v>
      </c>
      <c r="O118" s="425">
        <v>960470</v>
      </c>
      <c r="P118" s="425">
        <v>139293</v>
      </c>
      <c r="Q118" s="425">
        <v>340991</v>
      </c>
      <c r="R118" s="425">
        <v>507283</v>
      </c>
      <c r="S118" s="425">
        <v>680863</v>
      </c>
      <c r="T118" s="425">
        <v>156602</v>
      </c>
      <c r="U118" s="756">
        <v>319942</v>
      </c>
      <c r="W118" s="425">
        <f>L118</f>
        <v>175948</v>
      </c>
      <c r="X118" s="425">
        <f>M118-W118</f>
        <v>170618</v>
      </c>
      <c r="Y118" s="425">
        <f t="shared" si="150"/>
        <v>250179</v>
      </c>
      <c r="Z118" s="425">
        <f t="shared" si="150"/>
        <v>363725</v>
      </c>
      <c r="AA118" s="425">
        <f>P118</f>
        <v>139293</v>
      </c>
      <c r="AB118" s="425">
        <f>Q118-AA118</f>
        <v>201698</v>
      </c>
      <c r="AC118" s="425">
        <f t="shared" si="151"/>
        <v>166292</v>
      </c>
      <c r="AD118" s="425">
        <f t="shared" si="151"/>
        <v>173580</v>
      </c>
      <c r="AE118" s="425">
        <f>T118</f>
        <v>156602</v>
      </c>
      <c r="AF118" s="756">
        <f>U118-T118</f>
        <v>163340</v>
      </c>
    </row>
    <row r="119" spans="1:32">
      <c r="A119" s="417" t="s">
        <v>774</v>
      </c>
      <c r="B119" s="417" t="s">
        <v>775</v>
      </c>
      <c r="D119" s="425">
        <v>-13439</v>
      </c>
      <c r="E119" s="425">
        <v>-127842</v>
      </c>
      <c r="F119" s="425">
        <v>-122017</v>
      </c>
      <c r="G119" s="425">
        <v>-165075</v>
      </c>
      <c r="H119" s="425">
        <v>71237</v>
      </c>
      <c r="I119" s="425">
        <v>246440</v>
      </c>
      <c r="J119" s="425">
        <v>137540</v>
      </c>
      <c r="K119" s="425">
        <v>89852</v>
      </c>
      <c r="L119" s="425">
        <v>-21737</v>
      </c>
      <c r="M119" s="425">
        <v>-187950</v>
      </c>
      <c r="N119" s="425">
        <v>-332719</v>
      </c>
      <c r="O119" s="425">
        <v>80473</v>
      </c>
      <c r="P119" s="425">
        <v>-99765</v>
      </c>
      <c r="Q119" s="425">
        <v>-104234</v>
      </c>
      <c r="R119" s="425">
        <v>-77232</v>
      </c>
      <c r="S119" s="425">
        <v>352222</v>
      </c>
      <c r="T119" s="425">
        <v>-61733</v>
      </c>
      <c r="U119" s="756">
        <v>-150246</v>
      </c>
      <c r="W119" s="425">
        <f>L119</f>
        <v>-21737</v>
      </c>
      <c r="X119" s="425">
        <f>M119-W119</f>
        <v>-166213</v>
      </c>
      <c r="Y119" s="425">
        <f t="shared" si="150"/>
        <v>-144769</v>
      </c>
      <c r="Z119" s="425">
        <f t="shared" si="150"/>
        <v>413192</v>
      </c>
      <c r="AA119" s="425">
        <f>P119</f>
        <v>-99765</v>
      </c>
      <c r="AB119" s="425">
        <f>Q119-AA119</f>
        <v>-4469</v>
      </c>
      <c r="AC119" s="425">
        <f t="shared" si="151"/>
        <v>27002</v>
      </c>
      <c r="AD119" s="425">
        <f t="shared" si="151"/>
        <v>429454</v>
      </c>
      <c r="AE119" s="425">
        <f>T119</f>
        <v>-61733</v>
      </c>
      <c r="AF119" s="756">
        <f>U119-T119</f>
        <v>-88513</v>
      </c>
    </row>
    <row r="120" spans="1:32">
      <c r="A120" s="417"/>
      <c r="B120" s="417"/>
      <c r="D120" s="417"/>
      <c r="E120" s="417"/>
      <c r="F120" s="417"/>
      <c r="G120" s="417"/>
      <c r="H120" s="417"/>
      <c r="I120" s="417"/>
      <c r="J120" s="417"/>
      <c r="K120" s="417"/>
      <c r="L120" s="417"/>
      <c r="M120" s="417"/>
      <c r="N120" s="417"/>
      <c r="O120" s="417"/>
      <c r="P120" s="417"/>
      <c r="Q120" s="417"/>
      <c r="R120" s="417"/>
      <c r="S120" s="417"/>
      <c r="T120" s="417"/>
      <c r="U120" s="417"/>
      <c r="W120" s="417"/>
      <c r="X120" s="417"/>
      <c r="Y120" s="417"/>
      <c r="Z120" s="417"/>
      <c r="AA120" s="417"/>
      <c r="AB120" s="417"/>
      <c r="AC120" s="417"/>
      <c r="AD120" s="417"/>
      <c r="AE120" s="417"/>
      <c r="AF120" s="417"/>
    </row>
    <row r="121" spans="1:32" ht="15" thickBot="1">
      <c r="A121" s="430" t="s">
        <v>776</v>
      </c>
      <c r="B121" s="430" t="s">
        <v>777</v>
      </c>
      <c r="D121" s="426">
        <f t="shared" ref="D121:I121" si="152">D112+D114</f>
        <v>678597</v>
      </c>
      <c r="E121" s="426">
        <f t="shared" si="152"/>
        <v>613990</v>
      </c>
      <c r="F121" s="426">
        <f t="shared" si="152"/>
        <v>1150649</v>
      </c>
      <c r="G121" s="426">
        <f t="shared" si="152"/>
        <v>1922003</v>
      </c>
      <c r="H121" s="426">
        <f t="shared" si="152"/>
        <v>287879</v>
      </c>
      <c r="I121" s="426">
        <f t="shared" si="152"/>
        <v>958529</v>
      </c>
      <c r="J121" s="426">
        <f t="shared" ref="J121:T121" si="153">J112+J114</f>
        <v>1886214</v>
      </c>
      <c r="K121" s="426">
        <f t="shared" si="153"/>
        <v>2876284</v>
      </c>
      <c r="L121" s="426">
        <f t="shared" si="153"/>
        <v>623524</v>
      </c>
      <c r="M121" s="426">
        <f t="shared" si="153"/>
        <v>1274527</v>
      </c>
      <c r="N121" s="426">
        <f t="shared" si="153"/>
        <v>2265001</v>
      </c>
      <c r="O121" s="426">
        <f t="shared" si="153"/>
        <v>3767805</v>
      </c>
      <c r="P121" s="426">
        <f t="shared" si="153"/>
        <v>706278</v>
      </c>
      <c r="Q121" s="426">
        <f t="shared" si="153"/>
        <v>1995916</v>
      </c>
      <c r="R121" s="426">
        <f t="shared" si="153"/>
        <v>2605721</v>
      </c>
      <c r="S121" s="426">
        <f t="shared" si="153"/>
        <v>2033239</v>
      </c>
      <c r="T121" s="426">
        <f t="shared" si="153"/>
        <v>606756</v>
      </c>
      <c r="U121" s="426">
        <f>U112+U114</f>
        <v>1259763</v>
      </c>
      <c r="W121" s="426">
        <f t="shared" ref="W121:AC121" si="154">W112+W114</f>
        <v>623524</v>
      </c>
      <c r="X121" s="426">
        <f t="shared" si="154"/>
        <v>651003</v>
      </c>
      <c r="Y121" s="426">
        <f t="shared" si="154"/>
        <v>990474</v>
      </c>
      <c r="Z121" s="426">
        <f t="shared" si="154"/>
        <v>1502804</v>
      </c>
      <c r="AA121" s="426">
        <f t="shared" si="154"/>
        <v>706278</v>
      </c>
      <c r="AB121" s="426">
        <f t="shared" si="154"/>
        <v>1289638</v>
      </c>
      <c r="AC121" s="426">
        <f t="shared" si="154"/>
        <v>609805</v>
      </c>
      <c r="AD121" s="717">
        <f>AD112+AD114</f>
        <v>-572482</v>
      </c>
      <c r="AE121" s="426">
        <f t="shared" ref="AE121" si="155">AE112+AE114</f>
        <v>606756</v>
      </c>
      <c r="AF121" s="426">
        <f>AF112+AF114</f>
        <v>3031112</v>
      </c>
    </row>
    <row r="122" spans="1:32" ht="15" thickTop="1">
      <c r="O122" s="417"/>
      <c r="P122" s="417"/>
      <c r="Q122" s="417"/>
      <c r="R122" s="417"/>
      <c r="S122" s="417"/>
      <c r="T122" s="417"/>
      <c r="U122" s="417"/>
      <c r="Z122" s="417"/>
      <c r="AA122" s="417"/>
      <c r="AB122" s="417"/>
      <c r="AC122" s="417"/>
      <c r="AD122" s="417"/>
      <c r="AE122" s="417"/>
      <c r="AF122" s="417"/>
    </row>
    <row r="123" spans="1:32">
      <c r="A123" s="417" t="s">
        <v>2355</v>
      </c>
      <c r="B123" t="s">
        <v>2537</v>
      </c>
      <c r="O123" s="425"/>
      <c r="P123" s="425"/>
      <c r="Q123" s="425"/>
      <c r="R123" s="425"/>
      <c r="S123" s="425">
        <v>470692</v>
      </c>
      <c r="T123" s="425">
        <v>0</v>
      </c>
      <c r="U123" s="756">
        <v>0</v>
      </c>
      <c r="Z123" s="425"/>
      <c r="AA123" s="425"/>
      <c r="AB123" s="425"/>
      <c r="AC123" s="425"/>
      <c r="AD123" s="425">
        <f>S123-R123</f>
        <v>470692</v>
      </c>
      <c r="AE123" s="425"/>
      <c r="AF123" s="756"/>
    </row>
    <row r="124" spans="1:32">
      <c r="R124" s="425"/>
      <c r="S124" s="425"/>
      <c r="T124" s="425"/>
      <c r="U124" s="756"/>
    </row>
    <row r="125" spans="1:32">
      <c r="A125" s="716" t="s">
        <v>2357</v>
      </c>
      <c r="B125" t="s">
        <v>2538</v>
      </c>
      <c r="Q125" s="102"/>
      <c r="R125" s="425"/>
      <c r="S125" s="425"/>
      <c r="T125" s="425"/>
      <c r="U125" s="756"/>
    </row>
  </sheetData>
  <phoneticPr fontId="30" type="noConversion"/>
  <pageMargins left="0.511811024" right="0.511811024" top="0.78740157499999996" bottom="0.78740157499999996" header="0.31496062000000002" footer="0.31496062000000002"/>
  <pageSetup paperSize="9" orientation="portrait" r:id="rId1"/>
  <ignoredErrors>
    <ignoredError sqref="V79:X79" formula="1"/>
  </ignoredError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2060"/>
  </sheetPr>
  <dimension ref="B4:AF8"/>
  <sheetViews>
    <sheetView showGridLines="0" topLeftCell="D5" zoomScale="90" zoomScaleNormal="90" workbookViewId="0">
      <selection activeCell="U29" sqref="U29"/>
    </sheetView>
  </sheetViews>
  <sheetFormatPr defaultRowHeight="14.4"/>
  <cols>
    <col min="2" max="2" width="1.44140625" customWidth="1"/>
    <col min="8" max="8" width="2" customWidth="1"/>
    <col min="13" max="13" width="2" customWidth="1"/>
    <col min="18" max="18" width="2" customWidth="1"/>
    <col min="23" max="23" width="2" customWidth="1"/>
    <col min="28" max="28" width="2" customWidth="1"/>
  </cols>
  <sheetData>
    <row r="4" spans="2:32" s="2" customFormat="1" ht="32.549999999999997" customHeight="1">
      <c r="B4" s="3" t="s">
        <v>841</v>
      </c>
    </row>
    <row r="8" spans="2:32" ht="30.3" customHeight="1">
      <c r="D8" s="33" t="s">
        <v>30</v>
      </c>
      <c r="E8" s="34"/>
      <c r="F8" s="34"/>
      <c r="G8" s="34"/>
      <c r="I8" s="33" t="s">
        <v>577</v>
      </c>
      <c r="J8" s="34"/>
      <c r="K8" s="34"/>
      <c r="L8" s="34"/>
      <c r="N8" s="33" t="s">
        <v>31</v>
      </c>
      <c r="O8" s="34"/>
      <c r="P8" s="34"/>
      <c r="Q8" s="34"/>
      <c r="S8" s="33" t="s">
        <v>32</v>
      </c>
      <c r="T8" s="34"/>
      <c r="U8" s="34"/>
      <c r="V8" s="34"/>
      <c r="X8" s="33" t="s">
        <v>578</v>
      </c>
      <c r="Y8" s="34"/>
      <c r="Z8" s="34"/>
      <c r="AA8" s="34"/>
      <c r="AC8" s="806" t="s">
        <v>842</v>
      </c>
      <c r="AD8" s="806"/>
      <c r="AE8" s="806"/>
      <c r="AF8" s="806"/>
    </row>
  </sheetData>
  <mergeCells count="1">
    <mergeCell ref="AC8:AF8"/>
  </mergeCells>
  <pageMargins left="0.511811024" right="0.511811024" top="0.78740157499999996" bottom="0.78740157499999996" header="0.31496062000000002" footer="0.31496062000000002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2060"/>
  </sheetPr>
  <dimension ref="B4:AF8"/>
  <sheetViews>
    <sheetView showGridLines="0" topLeftCell="D1" zoomScale="90" zoomScaleNormal="90" workbookViewId="0">
      <selection activeCell="AC8" sqref="AC8:AF8"/>
    </sheetView>
  </sheetViews>
  <sheetFormatPr defaultRowHeight="14.4"/>
  <cols>
    <col min="2" max="2" width="1.44140625" customWidth="1"/>
    <col min="8" max="8" width="2" customWidth="1"/>
    <col min="13" max="13" width="2" customWidth="1"/>
    <col min="18" max="18" width="2" customWidth="1"/>
    <col min="23" max="23" width="2" customWidth="1"/>
    <col min="28" max="28" width="2" customWidth="1"/>
  </cols>
  <sheetData>
    <row r="4" spans="2:32" s="2" customFormat="1" ht="32.549999999999997" customHeight="1">
      <c r="B4" s="3" t="s">
        <v>841</v>
      </c>
    </row>
    <row r="8" spans="2:32" ht="30.3" customHeight="1">
      <c r="D8" s="33" t="s">
        <v>34</v>
      </c>
      <c r="E8" s="34"/>
      <c r="F8" s="34"/>
      <c r="G8" s="34"/>
      <c r="I8" s="33" t="s">
        <v>580</v>
      </c>
      <c r="J8" s="34"/>
      <c r="K8" s="34"/>
      <c r="L8" s="34"/>
      <c r="N8" s="33" t="s">
        <v>35</v>
      </c>
      <c r="O8" s="34"/>
      <c r="P8" s="34"/>
      <c r="Q8" s="34"/>
      <c r="S8" s="33" t="s">
        <v>36</v>
      </c>
      <c r="T8" s="34"/>
      <c r="U8" s="34"/>
      <c r="V8" s="34"/>
      <c r="X8" s="33" t="s">
        <v>843</v>
      </c>
      <c r="Y8" s="34"/>
      <c r="Z8" s="34"/>
      <c r="AA8" s="34"/>
      <c r="AC8" s="806" t="s">
        <v>844</v>
      </c>
      <c r="AD8" s="806"/>
      <c r="AE8" s="806"/>
      <c r="AF8" s="806"/>
    </row>
  </sheetData>
  <mergeCells count="1">
    <mergeCell ref="AC8:AF8"/>
  </mergeCells>
  <pageMargins left="0.511811024" right="0.511811024" top="0.78740157499999996" bottom="0.78740157499999996" header="0.31496062000000002" footer="0.31496062000000002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9" tint="0.79998168889431442"/>
  </sheetPr>
  <dimension ref="A7:BE47"/>
  <sheetViews>
    <sheetView showGridLines="0" topLeftCell="A8" zoomScale="85" zoomScaleNormal="85" workbookViewId="0">
      <pane xSplit="2" ySplit="1" topLeftCell="C9" activePane="bottomRight" state="frozen"/>
      <selection activeCell="A8" sqref="A8"/>
      <selection pane="topRight" activeCell="C8" sqref="C8"/>
      <selection pane="bottomLeft" activeCell="A9" sqref="A9"/>
      <selection pane="bottomRight" activeCell="A10" sqref="A10"/>
    </sheetView>
  </sheetViews>
  <sheetFormatPr defaultColWidth="9.21875" defaultRowHeight="14.4" outlineLevelCol="1"/>
  <cols>
    <col min="1" max="1" width="44.44140625" style="35" bestFit="1" customWidth="1"/>
    <col min="2" max="2" width="44.44140625" style="35" customWidth="1"/>
    <col min="3" max="3" width="0.5546875" style="35" customWidth="1"/>
    <col min="4" max="39" width="9.21875" style="35" customWidth="1" outlineLevel="1"/>
    <col min="40" max="52" width="9.21875" style="35"/>
    <col min="53" max="53" width="9.21875" style="35" customWidth="1"/>
    <col min="54" max="16384" width="9.21875" style="35"/>
  </cols>
  <sheetData>
    <row r="7" spans="1:57">
      <c r="A7" s="38" t="s">
        <v>845</v>
      </c>
      <c r="B7" s="38" t="s">
        <v>845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ht="15" thickBot="1">
      <c r="A8" s="448" t="s">
        <v>846</v>
      </c>
      <c r="B8" s="448" t="s">
        <v>847</v>
      </c>
      <c r="D8" s="449" t="s">
        <v>39</v>
      </c>
      <c r="E8" s="467" t="s">
        <v>40</v>
      </c>
      <c r="F8" s="449" t="s">
        <v>41</v>
      </c>
      <c r="G8" s="467" t="s">
        <v>42</v>
      </c>
      <c r="H8" s="449" t="s">
        <v>43</v>
      </c>
      <c r="I8" s="467" t="s">
        <v>44</v>
      </c>
      <c r="J8" s="449" t="s">
        <v>45</v>
      </c>
      <c r="K8" s="467" t="s">
        <v>46</v>
      </c>
      <c r="L8" s="449" t="s">
        <v>47</v>
      </c>
      <c r="M8" s="467" t="s">
        <v>48</v>
      </c>
      <c r="N8" s="449" t="s">
        <v>49</v>
      </c>
      <c r="O8" s="467" t="s">
        <v>50</v>
      </c>
      <c r="P8" s="449" t="s">
        <v>51</v>
      </c>
      <c r="Q8" s="467" t="s">
        <v>52</v>
      </c>
      <c r="R8" s="449" t="s">
        <v>53</v>
      </c>
      <c r="S8" s="467" t="s">
        <v>54</v>
      </c>
      <c r="T8" s="449" t="s">
        <v>55</v>
      </c>
      <c r="U8" s="467" t="s">
        <v>56</v>
      </c>
      <c r="V8" s="449" t="s">
        <v>57</v>
      </c>
      <c r="W8" s="467" t="s">
        <v>58</v>
      </c>
      <c r="X8" s="449" t="s">
        <v>59</v>
      </c>
      <c r="Y8" s="449" t="s">
        <v>60</v>
      </c>
      <c r="Z8" s="449" t="s">
        <v>61</v>
      </c>
      <c r="AA8" s="449" t="s">
        <v>62</v>
      </c>
      <c r="AB8" s="449" t="s">
        <v>63</v>
      </c>
      <c r="AC8" s="449" t="s">
        <v>64</v>
      </c>
      <c r="AD8" s="450" t="s">
        <v>65</v>
      </c>
      <c r="AE8" s="449" t="s">
        <v>66</v>
      </c>
      <c r="AF8" s="449" t="s">
        <v>67</v>
      </c>
      <c r="AG8" s="449" t="s">
        <v>68</v>
      </c>
      <c r="AH8" s="450" t="s">
        <v>69</v>
      </c>
      <c r="AI8" s="450" t="s">
        <v>70</v>
      </c>
      <c r="AJ8" s="450" t="s">
        <v>71</v>
      </c>
      <c r="AK8" s="450" t="s">
        <v>72</v>
      </c>
      <c r="AL8" s="450" t="s">
        <v>73</v>
      </c>
      <c r="AM8" s="450" t="s">
        <v>74</v>
      </c>
      <c r="AN8" s="450" t="s">
        <v>75</v>
      </c>
      <c r="AO8" s="450" t="s">
        <v>76</v>
      </c>
      <c r="AP8" s="450" t="s">
        <v>77</v>
      </c>
      <c r="AQ8" s="450" t="s">
        <v>78</v>
      </c>
      <c r="AR8" s="450" t="s">
        <v>79</v>
      </c>
      <c r="AS8" s="450" t="s">
        <v>80</v>
      </c>
      <c r="AT8" s="460" t="s">
        <v>81</v>
      </c>
      <c r="AU8" s="460" t="s">
        <v>82</v>
      </c>
      <c r="AV8" s="460" t="s">
        <v>83</v>
      </c>
      <c r="AW8" s="460" t="s">
        <v>84</v>
      </c>
      <c r="AX8" s="460" t="s">
        <v>85</v>
      </c>
      <c r="AY8" s="460" t="s">
        <v>86</v>
      </c>
      <c r="AZ8" s="460" t="s">
        <v>87</v>
      </c>
      <c r="BA8" s="460" t="s">
        <v>88</v>
      </c>
      <c r="BB8" s="460" t="s">
        <v>2074</v>
      </c>
      <c r="BC8" s="460" t="s">
        <v>2127</v>
      </c>
      <c r="BD8" s="460" t="s">
        <v>2360</v>
      </c>
      <c r="BE8" s="460" t="s">
        <v>2494</v>
      </c>
    </row>
    <row r="9" spans="1:57" ht="15" thickBot="1">
      <c r="A9" s="118" t="s">
        <v>596</v>
      </c>
      <c r="B9" s="118" t="s">
        <v>848</v>
      </c>
      <c r="D9" s="287">
        <f>SUM(D10:D16)</f>
        <v>626424</v>
      </c>
      <c r="E9" s="287">
        <f t="shared" ref="E9:AS9" si="0">SUM(E10:E16)</f>
        <v>614416.38441000006</v>
      </c>
      <c r="F9" s="287">
        <f t="shared" si="0"/>
        <v>614963.54881000018</v>
      </c>
      <c r="G9" s="287">
        <f t="shared" si="0"/>
        <v>686408.18412000011</v>
      </c>
      <c r="H9" s="287">
        <f t="shared" si="0"/>
        <v>631615.85896999994</v>
      </c>
      <c r="I9" s="287">
        <f t="shared" si="0"/>
        <v>653889.14103000017</v>
      </c>
      <c r="J9" s="287">
        <f t="shared" si="0"/>
        <v>719264.91234000027</v>
      </c>
      <c r="K9" s="287">
        <f t="shared" si="0"/>
        <v>1167281.7308800002</v>
      </c>
      <c r="L9" s="287">
        <f t="shared" si="0"/>
        <v>860737</v>
      </c>
      <c r="M9" s="287">
        <f t="shared" si="0"/>
        <v>854470</v>
      </c>
      <c r="N9" s="287">
        <f t="shared" si="0"/>
        <v>950320.11650999868</v>
      </c>
      <c r="O9" s="287">
        <f t="shared" si="0"/>
        <v>1084277.4538300021</v>
      </c>
      <c r="P9" s="287">
        <f t="shared" si="0"/>
        <v>986234.24057000014</v>
      </c>
      <c r="Q9" s="287">
        <f t="shared" si="0"/>
        <v>961594.61793000018</v>
      </c>
      <c r="R9" s="287">
        <f t="shared" si="0"/>
        <v>1057758.4452800001</v>
      </c>
      <c r="S9" s="287">
        <f t="shared" si="0"/>
        <v>1190313.4544399998</v>
      </c>
      <c r="T9" s="287">
        <f t="shared" si="0"/>
        <v>942072.01203999983</v>
      </c>
      <c r="U9" s="287">
        <f t="shared" si="0"/>
        <v>1127189</v>
      </c>
      <c r="V9" s="287">
        <f t="shared" si="0"/>
        <v>1254887</v>
      </c>
      <c r="W9" s="287">
        <f t="shared" si="0"/>
        <v>1357997.7</v>
      </c>
      <c r="X9" s="287">
        <f t="shared" si="0"/>
        <v>1230896</v>
      </c>
      <c r="Y9" s="287">
        <f t="shared" si="0"/>
        <v>1263506</v>
      </c>
      <c r="Z9" s="287">
        <f t="shared" si="0"/>
        <v>1400057</v>
      </c>
      <c r="AA9" s="287">
        <f t="shared" si="0"/>
        <v>1376435</v>
      </c>
      <c r="AB9" s="287">
        <f t="shared" si="0"/>
        <v>1241693</v>
      </c>
      <c r="AC9" s="287">
        <f t="shared" si="0"/>
        <v>1280973</v>
      </c>
      <c r="AD9" s="287">
        <f t="shared" si="0"/>
        <v>1319076</v>
      </c>
      <c r="AE9" s="287">
        <f t="shared" si="0"/>
        <v>1439049</v>
      </c>
      <c r="AF9" s="287">
        <f t="shared" si="0"/>
        <v>1245076</v>
      </c>
      <c r="AG9" s="287">
        <f t="shared" si="0"/>
        <v>1090881</v>
      </c>
      <c r="AH9" s="287">
        <f t="shared" si="0"/>
        <v>1397686</v>
      </c>
      <c r="AI9" s="287">
        <f t="shared" si="0"/>
        <v>1732527</v>
      </c>
      <c r="AJ9" s="287">
        <f t="shared" si="0"/>
        <v>1460485</v>
      </c>
      <c r="AK9" s="287">
        <f t="shared" si="0"/>
        <v>1386391</v>
      </c>
      <c r="AL9" s="287">
        <f t="shared" si="0"/>
        <v>1992140</v>
      </c>
      <c r="AM9" s="287">
        <f t="shared" si="0"/>
        <v>2243562</v>
      </c>
      <c r="AN9" s="287">
        <f t="shared" si="0"/>
        <v>1512745</v>
      </c>
      <c r="AO9" s="287">
        <f t="shared" si="0"/>
        <v>1621748</v>
      </c>
      <c r="AP9" s="287">
        <f t="shared" si="0"/>
        <v>1613586</v>
      </c>
      <c r="AQ9" s="287">
        <f t="shared" si="0"/>
        <v>1882683</v>
      </c>
      <c r="AR9" s="287">
        <f t="shared" si="0"/>
        <v>1638410.0000000002</v>
      </c>
      <c r="AS9" s="287">
        <f t="shared" si="0"/>
        <v>1747926</v>
      </c>
      <c r="AT9" s="287">
        <f t="shared" ref="AT9:BA9" si="1">SUM(AT10:AT16)</f>
        <v>1973674.753</v>
      </c>
      <c r="AU9" s="287">
        <f t="shared" si="1"/>
        <v>2183563.0350000001</v>
      </c>
      <c r="AV9" s="287">
        <f t="shared" si="1"/>
        <v>1877206.0109999999</v>
      </c>
      <c r="AW9" s="287">
        <f t="shared" si="1"/>
        <v>2063230.7969999998</v>
      </c>
      <c r="AX9" s="287">
        <f t="shared" si="1"/>
        <v>2271278.1760000004</v>
      </c>
      <c r="AY9" s="555">
        <f t="shared" si="1"/>
        <v>2339864.1170000001</v>
      </c>
      <c r="AZ9" s="555">
        <f t="shared" si="1"/>
        <v>2060311.6810000001</v>
      </c>
      <c r="BA9" s="555">
        <f t="shared" si="1"/>
        <v>2304877.875</v>
      </c>
      <c r="BB9" s="555">
        <f t="shared" ref="BB9:BD9" si="2">SUM(BB10:BB16)</f>
        <v>2495096.1330000004</v>
      </c>
      <c r="BC9" s="555">
        <f t="shared" si="2"/>
        <v>2843271.1710000001</v>
      </c>
      <c r="BD9" s="555">
        <f t="shared" si="2"/>
        <v>2474375.4589999998</v>
      </c>
      <c r="BE9" s="766">
        <f>SUM(BE10:BE16)</f>
        <v>2802892.2120000003</v>
      </c>
    </row>
    <row r="10" spans="1:57">
      <c r="A10" s="115" t="s">
        <v>849</v>
      </c>
      <c r="B10" s="115" t="s">
        <v>850</v>
      </c>
      <c r="D10" s="288">
        <v>513324</v>
      </c>
      <c r="E10" s="288">
        <v>520291.55387000006</v>
      </c>
      <c r="F10" s="288">
        <v>542021.40479000018</v>
      </c>
      <c r="G10" s="288">
        <v>525454.14749000012</v>
      </c>
      <c r="H10" s="288">
        <v>498499.73233999993</v>
      </c>
      <c r="I10" s="288">
        <v>533353.26766000013</v>
      </c>
      <c r="J10" s="288">
        <v>595438.19998000027</v>
      </c>
      <c r="K10" s="288">
        <v>1052143.52654</v>
      </c>
      <c r="L10" s="288">
        <v>745712</v>
      </c>
      <c r="M10" s="288">
        <v>759988</v>
      </c>
      <c r="N10" s="288">
        <v>834572.69127999875</v>
      </c>
      <c r="O10" s="288">
        <v>905084.34483000217</v>
      </c>
      <c r="P10" s="288">
        <v>809833.71102000005</v>
      </c>
      <c r="Q10" s="288">
        <v>791536.27199000027</v>
      </c>
      <c r="R10" s="288">
        <v>867531.94495000003</v>
      </c>
      <c r="S10" s="288">
        <v>1020093.6375899999</v>
      </c>
      <c r="T10" s="288">
        <v>803735.63104999973</v>
      </c>
      <c r="U10" s="288">
        <v>1013159</v>
      </c>
      <c r="V10" s="288">
        <v>1092028</v>
      </c>
      <c r="W10" s="288">
        <v>1202577</v>
      </c>
      <c r="X10" s="288">
        <v>969173</v>
      </c>
      <c r="Y10" s="288">
        <v>1109352</v>
      </c>
      <c r="Z10" s="288">
        <v>1236208</v>
      </c>
      <c r="AA10" s="288">
        <v>1191253</v>
      </c>
      <c r="AB10" s="288">
        <v>1116485</v>
      </c>
      <c r="AC10" s="288">
        <v>1135586</v>
      </c>
      <c r="AD10" s="289">
        <v>1179604</v>
      </c>
      <c r="AE10" s="289">
        <v>1232358</v>
      </c>
      <c r="AF10" s="289">
        <v>1064497</v>
      </c>
      <c r="AG10" s="289">
        <v>916742</v>
      </c>
      <c r="AH10" s="289">
        <v>1232779</v>
      </c>
      <c r="AI10" s="289">
        <v>1436738</v>
      </c>
      <c r="AJ10" s="289">
        <v>1210335</v>
      </c>
      <c r="AK10" s="289">
        <v>1245504</v>
      </c>
      <c r="AL10" s="289">
        <v>1668696</v>
      </c>
      <c r="AM10" s="289">
        <v>1669884</v>
      </c>
      <c r="AN10" s="289">
        <v>1177051</v>
      </c>
      <c r="AO10" s="289">
        <v>1241905</v>
      </c>
      <c r="AP10" s="289">
        <v>1317627</v>
      </c>
      <c r="AQ10" s="290">
        <v>1437171</v>
      </c>
      <c r="AR10" s="290">
        <v>1336610</v>
      </c>
      <c r="AS10" s="290">
        <v>1425721</v>
      </c>
      <c r="AT10" s="291">
        <v>1538121.929</v>
      </c>
      <c r="AU10" s="291">
        <v>1648222.16</v>
      </c>
      <c r="AV10" s="291">
        <v>1495093.09</v>
      </c>
      <c r="AW10" s="291">
        <v>1635280.4950000001</v>
      </c>
      <c r="AX10" s="291">
        <v>1785866.575</v>
      </c>
      <c r="AY10" s="291">
        <v>1867204.8759999999</v>
      </c>
      <c r="AZ10" s="291">
        <v>1540568.423</v>
      </c>
      <c r="BA10" s="291">
        <v>1763859.9140000001</v>
      </c>
      <c r="BB10" s="291">
        <v>2078689.6850000001</v>
      </c>
      <c r="BC10" s="291">
        <v>2307641.6839999999</v>
      </c>
      <c r="BD10" s="291">
        <v>1888878.925</v>
      </c>
      <c r="BE10" s="291">
        <v>2286775.7450000001</v>
      </c>
    </row>
    <row r="11" spans="1:57">
      <c r="A11" s="115" t="s">
        <v>602</v>
      </c>
      <c r="B11" s="115" t="s">
        <v>603</v>
      </c>
      <c r="D11" s="288">
        <v>24776</v>
      </c>
      <c r="E11" s="288">
        <v>24094.197650000002</v>
      </c>
      <c r="F11" s="288">
        <v>5970.2228000000032</v>
      </c>
      <c r="G11" s="288">
        <v>6887.0060599999852</v>
      </c>
      <c r="H11" s="288">
        <v>27152.44586</v>
      </c>
      <c r="I11" s="288">
        <v>2788.5541400000002</v>
      </c>
      <c r="J11" s="288">
        <v>315.84540999999808</v>
      </c>
      <c r="K11" s="288">
        <v>9008.0691699999916</v>
      </c>
      <c r="L11" s="288">
        <v>4851</v>
      </c>
      <c r="M11" s="288">
        <v>739</v>
      </c>
      <c r="N11" s="288">
        <v>2269.5153899999996</v>
      </c>
      <c r="O11" s="288">
        <v>3201.5187399999986</v>
      </c>
      <c r="P11" s="288">
        <v>16712.394390000001</v>
      </c>
      <c r="Q11" s="288">
        <v>15102.483209999999</v>
      </c>
      <c r="R11" s="288">
        <v>15191.030709999999</v>
      </c>
      <c r="S11" s="288">
        <v>3228.981270000007</v>
      </c>
      <c r="T11" s="288">
        <v>8278.9912899999999</v>
      </c>
      <c r="U11" s="288">
        <v>1560</v>
      </c>
      <c r="V11" s="288">
        <v>906</v>
      </c>
      <c r="W11" s="288">
        <v>5318</v>
      </c>
      <c r="X11" s="288">
        <v>168323</v>
      </c>
      <c r="Y11" s="288">
        <v>14636</v>
      </c>
      <c r="Z11" s="288">
        <v>22692</v>
      </c>
      <c r="AA11" s="288">
        <v>5529</v>
      </c>
      <c r="AB11" s="288">
        <v>4732</v>
      </c>
      <c r="AC11" s="288">
        <v>1857</v>
      </c>
      <c r="AD11" s="289">
        <v>8288</v>
      </c>
      <c r="AE11" s="289">
        <v>1199</v>
      </c>
      <c r="AF11" s="289">
        <v>19736</v>
      </c>
      <c r="AG11" s="289">
        <v>5955</v>
      </c>
      <c r="AH11" s="289">
        <v>1597</v>
      </c>
      <c r="AI11" s="289">
        <v>3732</v>
      </c>
      <c r="AJ11" s="289">
        <v>6762</v>
      </c>
      <c r="AK11" s="289">
        <v>14011</v>
      </c>
      <c r="AL11" s="289">
        <v>25809</v>
      </c>
      <c r="AM11" s="289">
        <v>70294</v>
      </c>
      <c r="AN11" s="289">
        <v>12542</v>
      </c>
      <c r="AO11" s="289">
        <v>2250</v>
      </c>
      <c r="AP11" s="289">
        <v>867</v>
      </c>
      <c r="AQ11" s="290">
        <v>6753</v>
      </c>
      <c r="AR11" s="290">
        <v>5126</v>
      </c>
      <c r="AS11" s="290">
        <v>343</v>
      </c>
      <c r="AT11" s="291">
        <v>2400.2739999999999</v>
      </c>
      <c r="AU11" s="291">
        <v>135.86099999999999</v>
      </c>
      <c r="AV11" s="291">
        <v>459.85899999999998</v>
      </c>
      <c r="AW11" s="291">
        <v>4438.6790000000001</v>
      </c>
      <c r="AX11" s="291">
        <v>32975.716</v>
      </c>
      <c r="AY11" s="291">
        <v>4148.2160000000003</v>
      </c>
      <c r="AZ11" s="291">
        <v>11745.296</v>
      </c>
      <c r="BA11" s="291">
        <v>10461.986999999999</v>
      </c>
      <c r="BB11" s="291">
        <v>9971.9279999999999</v>
      </c>
      <c r="BC11" s="291">
        <v>37761.188999999998</v>
      </c>
      <c r="BD11" s="291">
        <v>56314.76</v>
      </c>
      <c r="BE11" s="291">
        <v>-24372.644</v>
      </c>
    </row>
    <row r="12" spans="1:57">
      <c r="A12" s="115" t="s">
        <v>606</v>
      </c>
      <c r="B12" s="115" t="s">
        <v>851</v>
      </c>
      <c r="D12" s="288">
        <v>80938</v>
      </c>
      <c r="E12" s="288">
        <v>62592.461889999977</v>
      </c>
      <c r="F12" s="288">
        <v>59043.72431000002</v>
      </c>
      <c r="G12" s="288">
        <v>105336.87851000001</v>
      </c>
      <c r="H12" s="288">
        <v>85467.940920000008</v>
      </c>
      <c r="I12" s="288">
        <v>98297.059079999992</v>
      </c>
      <c r="J12" s="288">
        <v>105419.87208</v>
      </c>
      <c r="K12" s="288">
        <v>93173.212040000013</v>
      </c>
      <c r="L12" s="288">
        <v>90366</v>
      </c>
      <c r="M12" s="288">
        <v>71758</v>
      </c>
      <c r="N12" s="288">
        <v>99409.160029999999</v>
      </c>
      <c r="O12" s="288">
        <v>162865.06043000007</v>
      </c>
      <c r="P12" s="288">
        <v>153997.04321</v>
      </c>
      <c r="Q12" s="288">
        <v>141808.5624</v>
      </c>
      <c r="R12" s="288">
        <v>165701.63649999999</v>
      </c>
      <c r="S12" s="288">
        <v>146269.27710000004</v>
      </c>
      <c r="T12" s="288">
        <v>139625.28456</v>
      </c>
      <c r="U12" s="288">
        <v>87943</v>
      </c>
      <c r="V12" s="288">
        <v>89243</v>
      </c>
      <c r="W12" s="288">
        <v>110192.7</v>
      </c>
      <c r="X12" s="288">
        <v>70310</v>
      </c>
      <c r="Y12" s="288">
        <v>101767</v>
      </c>
      <c r="Z12" s="288">
        <v>94687</v>
      </c>
      <c r="AA12" s="288">
        <v>111509</v>
      </c>
      <c r="AB12" s="288">
        <v>79932</v>
      </c>
      <c r="AC12" s="288">
        <v>100988</v>
      </c>
      <c r="AD12" s="289">
        <v>93306</v>
      </c>
      <c r="AE12" s="289">
        <v>135157</v>
      </c>
      <c r="AF12" s="289">
        <v>134536</v>
      </c>
      <c r="AG12" s="289">
        <v>130240</v>
      </c>
      <c r="AH12" s="289">
        <v>108255</v>
      </c>
      <c r="AI12" s="289">
        <v>187713</v>
      </c>
      <c r="AJ12" s="289">
        <v>136841</v>
      </c>
      <c r="AK12" s="292">
        <v>72451</v>
      </c>
      <c r="AL12" s="292">
        <v>159568</v>
      </c>
      <c r="AM12" s="292">
        <v>175159</v>
      </c>
      <c r="AN12" s="292">
        <v>140638</v>
      </c>
      <c r="AO12" s="292">
        <v>242771</v>
      </c>
      <c r="AP12" s="289">
        <v>285898</v>
      </c>
      <c r="AQ12" s="290">
        <v>283332</v>
      </c>
      <c r="AR12" s="290">
        <v>197896</v>
      </c>
      <c r="AS12" s="290">
        <v>232172</v>
      </c>
      <c r="AT12" s="291">
        <v>323577.005</v>
      </c>
      <c r="AU12" s="291">
        <v>290898.36099999998</v>
      </c>
      <c r="AV12" s="291">
        <v>220141.641</v>
      </c>
      <c r="AW12" s="291">
        <v>290485.43099999998</v>
      </c>
      <c r="AX12" s="291">
        <v>300290.13199999998</v>
      </c>
      <c r="AY12" s="291">
        <v>334952.91100000002</v>
      </c>
      <c r="AZ12" s="291">
        <v>306597.84399999998</v>
      </c>
      <c r="BA12" s="291">
        <v>303293.23700000002</v>
      </c>
      <c r="BB12" s="291">
        <v>337529.58299999998</v>
      </c>
      <c r="BC12" s="291">
        <v>292456.24800000002</v>
      </c>
      <c r="BD12" s="291">
        <v>273083.67800000001</v>
      </c>
      <c r="BE12" s="291">
        <v>330495.413</v>
      </c>
    </row>
    <row r="13" spans="1:57">
      <c r="A13" s="115" t="s">
        <v>852</v>
      </c>
      <c r="B13" s="115" t="s">
        <v>853</v>
      </c>
      <c r="D13" s="288"/>
      <c r="E13" s="288"/>
      <c r="F13" s="288"/>
      <c r="G13" s="288"/>
      <c r="H13" s="288"/>
      <c r="I13" s="288"/>
      <c r="J13" s="288"/>
      <c r="K13" s="288"/>
      <c r="L13" s="288"/>
      <c r="M13" s="288"/>
      <c r="N13" s="288"/>
      <c r="O13" s="288"/>
      <c r="P13" s="288"/>
      <c r="Q13" s="288"/>
      <c r="R13" s="288"/>
      <c r="S13" s="288"/>
      <c r="T13" s="288"/>
      <c r="U13" s="288"/>
      <c r="V13" s="288"/>
      <c r="W13" s="288"/>
      <c r="X13" s="288"/>
      <c r="Y13" s="288"/>
      <c r="Z13" s="288"/>
      <c r="AA13" s="288"/>
      <c r="AB13" s="288"/>
      <c r="AC13" s="288"/>
      <c r="AD13" s="289"/>
      <c r="AE13" s="289"/>
      <c r="AF13" s="289"/>
      <c r="AG13" s="289"/>
      <c r="AH13" s="289"/>
      <c r="AI13" s="289"/>
      <c r="AJ13" s="289"/>
      <c r="AK13" s="292"/>
      <c r="AL13" s="292"/>
      <c r="AM13" s="292"/>
      <c r="AN13" s="292"/>
      <c r="AO13" s="292"/>
      <c r="AP13" s="289"/>
      <c r="AQ13" s="290"/>
      <c r="AR13" s="290">
        <v>24594.969240000002</v>
      </c>
      <c r="AS13" s="290">
        <v>10490.028640000008</v>
      </c>
      <c r="AT13" s="291">
        <v>16149.192079999999</v>
      </c>
      <c r="AU13" s="291">
        <v>111310.40107000001</v>
      </c>
      <c r="AV13" s="291">
        <v>60700.060320000004</v>
      </c>
      <c r="AW13" s="291">
        <v>26377.418539999995</v>
      </c>
      <c r="AX13" s="291">
        <v>31914.152239999985</v>
      </c>
      <c r="AY13" s="291">
        <v>45058.65512000001</v>
      </c>
      <c r="AZ13" s="291">
        <v>100926.68603</v>
      </c>
      <c r="BA13" s="291">
        <v>115128.81391999999</v>
      </c>
      <c r="BB13" s="291">
        <v>-64445.56269999998</v>
      </c>
      <c r="BC13" s="291">
        <v>27626.17113000001</v>
      </c>
      <c r="BD13" s="291">
        <v>108722.86077</v>
      </c>
      <c r="BE13" s="291">
        <v>69418.392900000006</v>
      </c>
    </row>
    <row r="14" spans="1:57">
      <c r="A14" s="115" t="s">
        <v>854</v>
      </c>
      <c r="B14" s="115" t="s">
        <v>855</v>
      </c>
      <c r="D14" s="288"/>
      <c r="E14" s="288"/>
      <c r="F14" s="288"/>
      <c r="G14" s="288"/>
      <c r="H14" s="288"/>
      <c r="I14" s="288"/>
      <c r="J14" s="288"/>
      <c r="K14" s="288"/>
      <c r="L14" s="288"/>
      <c r="M14" s="288"/>
      <c r="N14" s="288"/>
      <c r="O14" s="288"/>
      <c r="P14" s="288"/>
      <c r="Q14" s="288"/>
      <c r="R14" s="288"/>
      <c r="S14" s="288"/>
      <c r="T14" s="288"/>
      <c r="U14" s="288"/>
      <c r="V14" s="288"/>
      <c r="W14" s="288"/>
      <c r="X14" s="288"/>
      <c r="Y14" s="288"/>
      <c r="Z14" s="288"/>
      <c r="AA14" s="288"/>
      <c r="AB14" s="288"/>
      <c r="AC14" s="288"/>
      <c r="AD14" s="289"/>
      <c r="AE14" s="289"/>
      <c r="AF14" s="289"/>
      <c r="AG14" s="289"/>
      <c r="AH14" s="289"/>
      <c r="AI14" s="289"/>
      <c r="AJ14" s="289"/>
      <c r="AK14" s="292"/>
      <c r="AL14" s="292"/>
      <c r="AM14" s="292"/>
      <c r="AN14" s="292"/>
      <c r="AO14" s="292"/>
      <c r="AP14" s="289"/>
      <c r="AQ14" s="290"/>
      <c r="AR14" s="290">
        <v>11741.617919999999</v>
      </c>
      <c r="AS14" s="290">
        <v>12136.95601</v>
      </c>
      <c r="AT14" s="291">
        <v>13328.294079999998</v>
      </c>
      <c r="AU14" s="291">
        <v>15693.899170000002</v>
      </c>
      <c r="AV14" s="291">
        <v>15526.76857</v>
      </c>
      <c r="AW14" s="291">
        <v>15796.528620000003</v>
      </c>
      <c r="AX14" s="291">
        <v>16727.741819999996</v>
      </c>
      <c r="AY14" s="291">
        <v>17846.711500000001</v>
      </c>
      <c r="AZ14" s="291">
        <v>15909.90496</v>
      </c>
      <c r="BA14" s="291">
        <v>15175.260489999997</v>
      </c>
      <c r="BB14" s="291">
        <v>17356.913189999999</v>
      </c>
      <c r="BC14" s="291">
        <v>21024.610959999995</v>
      </c>
      <c r="BD14" s="291">
        <v>19604.916700000002</v>
      </c>
      <c r="BE14" s="291">
        <v>17451.995040000005</v>
      </c>
    </row>
    <row r="15" spans="1:57">
      <c r="A15" s="115" t="s">
        <v>856</v>
      </c>
      <c r="B15" s="115" t="s">
        <v>857</v>
      </c>
      <c r="D15" s="288"/>
      <c r="E15" s="288"/>
      <c r="F15" s="288"/>
      <c r="G15" s="288"/>
      <c r="H15" s="288"/>
      <c r="I15" s="288"/>
      <c r="J15" s="288"/>
      <c r="K15" s="288"/>
      <c r="L15" s="288"/>
      <c r="M15" s="288"/>
      <c r="N15" s="288"/>
      <c r="O15" s="288"/>
      <c r="P15" s="288"/>
      <c r="Q15" s="288"/>
      <c r="R15" s="288"/>
      <c r="S15" s="288"/>
      <c r="T15" s="288"/>
      <c r="U15" s="288"/>
      <c r="V15" s="288"/>
      <c r="W15" s="288"/>
      <c r="X15" s="288"/>
      <c r="Y15" s="288"/>
      <c r="Z15" s="288"/>
      <c r="AA15" s="288"/>
      <c r="AB15" s="288"/>
      <c r="AC15" s="288"/>
      <c r="AD15" s="289"/>
      <c r="AE15" s="289"/>
      <c r="AF15" s="289"/>
      <c r="AG15" s="289"/>
      <c r="AH15" s="289"/>
      <c r="AI15" s="289"/>
      <c r="AJ15" s="289"/>
      <c r="AK15" s="292"/>
      <c r="AL15" s="292"/>
      <c r="AM15" s="292"/>
      <c r="AN15" s="292"/>
      <c r="AO15" s="292"/>
      <c r="AP15" s="289"/>
      <c r="AQ15" s="290"/>
      <c r="AR15" s="290">
        <v>8640.1454699999995</v>
      </c>
      <c r="AS15" s="290">
        <v>11130.52889</v>
      </c>
      <c r="AT15" s="291">
        <v>17737.998740000003</v>
      </c>
      <c r="AU15" s="291">
        <v>13792.645399999998</v>
      </c>
      <c r="AV15" s="291">
        <v>14234.111929999999</v>
      </c>
      <c r="AW15" s="291">
        <v>14642.386149999998</v>
      </c>
      <c r="AX15" s="291">
        <v>15268.67167</v>
      </c>
      <c r="AY15" s="291">
        <v>13549.278189999997</v>
      </c>
      <c r="AZ15" s="291">
        <v>13379.13645</v>
      </c>
      <c r="BA15" s="291">
        <v>13615.433859999999</v>
      </c>
      <c r="BB15" s="291">
        <v>14776.500820000001</v>
      </c>
      <c r="BC15" s="291">
        <v>17338.776449999994</v>
      </c>
      <c r="BD15" s="291">
        <v>14204.45912</v>
      </c>
      <c r="BE15" s="291">
        <v>14667.487810000001</v>
      </c>
    </row>
    <row r="16" spans="1:57" ht="15" thickBot="1">
      <c r="A16" s="115" t="s">
        <v>614</v>
      </c>
      <c r="B16" s="115" t="s">
        <v>615</v>
      </c>
      <c r="D16" s="288">
        <v>7386</v>
      </c>
      <c r="E16" s="288">
        <v>7438.1710000000003</v>
      </c>
      <c r="F16" s="288">
        <v>7928.1969100000042</v>
      </c>
      <c r="G16" s="288">
        <v>48730.152059999993</v>
      </c>
      <c r="H16" s="288">
        <v>20495.739850000002</v>
      </c>
      <c r="I16" s="288">
        <v>19450.260149999998</v>
      </c>
      <c r="J16" s="288">
        <v>18090.994870000002</v>
      </c>
      <c r="K16" s="288">
        <v>12956.923129999996</v>
      </c>
      <c r="L16" s="288">
        <v>19808</v>
      </c>
      <c r="M16" s="288">
        <v>21985</v>
      </c>
      <c r="N16" s="288">
        <v>14068.749810000001</v>
      </c>
      <c r="O16" s="288">
        <v>13126.529829999992</v>
      </c>
      <c r="P16" s="288">
        <v>5691.09195</v>
      </c>
      <c r="Q16" s="288">
        <v>13147.300330000002</v>
      </c>
      <c r="R16" s="288">
        <v>9333.8331199999993</v>
      </c>
      <c r="S16" s="288">
        <v>20721.558479999985</v>
      </c>
      <c r="T16" s="288">
        <v>-9567.8948600000022</v>
      </c>
      <c r="U16" s="288">
        <v>24527</v>
      </c>
      <c r="V16" s="288">
        <v>72710</v>
      </c>
      <c r="W16" s="288">
        <v>39910</v>
      </c>
      <c r="X16" s="288">
        <v>23090</v>
      </c>
      <c r="Y16" s="288">
        <v>37751</v>
      </c>
      <c r="Z16" s="288">
        <v>46470</v>
      </c>
      <c r="AA16" s="288">
        <v>68144</v>
      </c>
      <c r="AB16" s="288">
        <v>40544</v>
      </c>
      <c r="AC16" s="288">
        <v>42542</v>
      </c>
      <c r="AD16" s="289">
        <v>37878</v>
      </c>
      <c r="AE16" s="289">
        <v>70335</v>
      </c>
      <c r="AF16" s="289">
        <v>26307</v>
      </c>
      <c r="AG16" s="289">
        <v>37944</v>
      </c>
      <c r="AH16" s="289">
        <v>55055</v>
      </c>
      <c r="AI16" s="289">
        <v>104344</v>
      </c>
      <c r="AJ16" s="289">
        <v>106547</v>
      </c>
      <c r="AK16" s="292">
        <v>54425</v>
      </c>
      <c r="AL16" s="292">
        <v>138067</v>
      </c>
      <c r="AM16" s="292">
        <v>328225</v>
      </c>
      <c r="AN16" s="292">
        <v>182514</v>
      </c>
      <c r="AO16" s="292">
        <v>134822</v>
      </c>
      <c r="AP16" s="289">
        <v>9194</v>
      </c>
      <c r="AQ16" s="290">
        <v>155427</v>
      </c>
      <c r="AR16" s="290">
        <f>98778-SUM(AR13:AR15)</f>
        <v>53801.267370000001</v>
      </c>
      <c r="AS16" s="290">
        <f>89690-SUM(AS13:AS15)</f>
        <v>55932.486459999993</v>
      </c>
      <c r="AT16" s="291">
        <f>109575.545-SUM(AT13:AT15)</f>
        <v>62360.060100000002</v>
      </c>
      <c r="AU16" s="291">
        <f>244306.653-SUM(AU13:AU15)</f>
        <v>103509.70735999997</v>
      </c>
      <c r="AV16" s="291">
        <f>161511.421-SUM(AV13:AV15)</f>
        <v>71050.480179999999</v>
      </c>
      <c r="AW16" s="291">
        <f>133026.192-SUM(AW13:AW15)</f>
        <v>76209.858690000023</v>
      </c>
      <c r="AX16" s="291">
        <f>152145.753-SUM(AX13:AX15)</f>
        <v>88235.187270000024</v>
      </c>
      <c r="AY16" s="291">
        <v>57103.469189999989</v>
      </c>
      <c r="AZ16" s="291">
        <v>71184.390559999985</v>
      </c>
      <c r="BA16" s="291">
        <v>83343.228730000003</v>
      </c>
      <c r="BB16" s="291">
        <v>101217.08568999998</v>
      </c>
      <c r="BC16" s="291">
        <v>139422.49145999999</v>
      </c>
      <c r="BD16" s="291">
        <v>113565.85941</v>
      </c>
      <c r="BE16" s="291">
        <v>108455.82224999998</v>
      </c>
    </row>
    <row r="17" spans="1:57" ht="15" thickBot="1">
      <c r="A17" s="118" t="s">
        <v>858</v>
      </c>
      <c r="B17" s="118" t="s">
        <v>859</v>
      </c>
      <c r="D17" s="287">
        <v>-137470</v>
      </c>
      <c r="E17" s="287">
        <v>-140099.10317999998</v>
      </c>
      <c r="F17" s="287">
        <v>-145201.19839000009</v>
      </c>
      <c r="G17" s="287">
        <v>-150668.22579</v>
      </c>
      <c r="H17" s="287">
        <v>-141494.45685000002</v>
      </c>
      <c r="I17" s="287">
        <v>-142747.54314999998</v>
      </c>
      <c r="J17" s="287">
        <v>-174318.47358999995</v>
      </c>
      <c r="K17" s="287">
        <v>-229272.90873000008</v>
      </c>
      <c r="L17" s="287">
        <v>-205186</v>
      </c>
      <c r="M17" s="287">
        <v>-227379</v>
      </c>
      <c r="N17" s="287">
        <v>-273021.06302000012</v>
      </c>
      <c r="O17" s="287">
        <v>-303413.10375999985</v>
      </c>
      <c r="P17" s="287">
        <v>-276080.64013999992</v>
      </c>
      <c r="Q17" s="287">
        <v>-261632.34419000006</v>
      </c>
      <c r="R17" s="287">
        <v>-255607.46419999999</v>
      </c>
      <c r="S17" s="287">
        <v>-331313.70226999989</v>
      </c>
      <c r="T17" s="287">
        <v>-261192.31418999998</v>
      </c>
      <c r="U17" s="287">
        <v>-297290</v>
      </c>
      <c r="V17" s="287">
        <v>-357309</v>
      </c>
      <c r="W17" s="287">
        <v>-395518</v>
      </c>
      <c r="X17" s="287">
        <v>-324320</v>
      </c>
      <c r="Y17" s="287">
        <v>-383689</v>
      </c>
      <c r="Z17" s="287">
        <v>-410211</v>
      </c>
      <c r="AA17" s="287">
        <v>-355902</v>
      </c>
      <c r="AB17" s="287">
        <v>-370719</v>
      </c>
      <c r="AC17" s="287">
        <v>-363294</v>
      </c>
      <c r="AD17" s="293">
        <v>-388895</v>
      </c>
      <c r="AE17" s="293">
        <v>-364325</v>
      </c>
      <c r="AF17" s="293">
        <v>-332671</v>
      </c>
      <c r="AG17" s="293">
        <v>-260844</v>
      </c>
      <c r="AH17" s="293">
        <v>-383365</v>
      </c>
      <c r="AI17" s="293">
        <v>-382298</v>
      </c>
      <c r="AJ17" s="293">
        <v>-349837</v>
      </c>
      <c r="AK17" s="294">
        <v>-395062</v>
      </c>
      <c r="AL17" s="294">
        <v>-404525</v>
      </c>
      <c r="AM17" s="294">
        <v>-543511</v>
      </c>
      <c r="AN17" s="294">
        <v>-466451</v>
      </c>
      <c r="AO17" s="294">
        <v>-496070</v>
      </c>
      <c r="AP17" s="294">
        <v>-405231</v>
      </c>
      <c r="AQ17" s="294">
        <v>-420294</v>
      </c>
      <c r="AR17" s="294">
        <v>-395546</v>
      </c>
      <c r="AS17" s="294">
        <v>-438693</v>
      </c>
      <c r="AT17" s="295">
        <v>-498663.81800000003</v>
      </c>
      <c r="AU17" s="295">
        <v>-541318.79299999995</v>
      </c>
      <c r="AV17" s="295">
        <v>-526512.67200000002</v>
      </c>
      <c r="AW17" s="295">
        <v>-582523.18500000006</v>
      </c>
      <c r="AX17" s="295">
        <v>-596142.34299999999</v>
      </c>
      <c r="AY17" s="295">
        <v>-634328.83700000006</v>
      </c>
      <c r="AZ17" s="295">
        <v>-528048.68999999994</v>
      </c>
      <c r="BA17" s="295">
        <v>-619073.55700000003</v>
      </c>
      <c r="BB17" s="295">
        <v>-718540.84900000005</v>
      </c>
      <c r="BC17" s="295">
        <v>-860972.83100000001</v>
      </c>
      <c r="BD17" s="295">
        <v>-737276.23100000003</v>
      </c>
      <c r="BE17" s="295">
        <v>-809014.277</v>
      </c>
    </row>
    <row r="18" spans="1:57" ht="15" thickBot="1">
      <c r="A18" s="118" t="s">
        <v>646</v>
      </c>
      <c r="B18" s="118" t="s">
        <v>860</v>
      </c>
      <c r="D18" s="287">
        <f t="shared" ref="D18:AS18" si="3">D9+D17</f>
        <v>488954</v>
      </c>
      <c r="E18" s="287">
        <f t="shared" si="3"/>
        <v>474317.28123000008</v>
      </c>
      <c r="F18" s="287">
        <f t="shared" si="3"/>
        <v>469762.35042000009</v>
      </c>
      <c r="G18" s="287">
        <f t="shared" si="3"/>
        <v>535739.95833000005</v>
      </c>
      <c r="H18" s="287">
        <f t="shared" si="3"/>
        <v>490121.40211999993</v>
      </c>
      <c r="I18" s="287">
        <f t="shared" si="3"/>
        <v>511141.59788000019</v>
      </c>
      <c r="J18" s="287">
        <f t="shared" si="3"/>
        <v>544946.43875000032</v>
      </c>
      <c r="K18" s="287">
        <f t="shared" si="3"/>
        <v>938008.82215000014</v>
      </c>
      <c r="L18" s="287">
        <f t="shared" si="3"/>
        <v>655551</v>
      </c>
      <c r="M18" s="287">
        <f t="shared" si="3"/>
        <v>627091</v>
      </c>
      <c r="N18" s="287">
        <f t="shared" si="3"/>
        <v>677299.05348999857</v>
      </c>
      <c r="O18" s="287">
        <f t="shared" si="3"/>
        <v>780864.35007000226</v>
      </c>
      <c r="P18" s="287">
        <f t="shared" si="3"/>
        <v>710153.60043000022</v>
      </c>
      <c r="Q18" s="287">
        <f t="shared" si="3"/>
        <v>699962.27374000009</v>
      </c>
      <c r="R18" s="287">
        <f t="shared" si="3"/>
        <v>802150.98108000006</v>
      </c>
      <c r="S18" s="287">
        <f t="shared" si="3"/>
        <v>858999.75216999988</v>
      </c>
      <c r="T18" s="287">
        <f t="shared" si="3"/>
        <v>680879.69784999988</v>
      </c>
      <c r="U18" s="287">
        <f t="shared" si="3"/>
        <v>829899</v>
      </c>
      <c r="V18" s="287">
        <f t="shared" si="3"/>
        <v>897578</v>
      </c>
      <c r="W18" s="287">
        <f t="shared" si="3"/>
        <v>962479.7</v>
      </c>
      <c r="X18" s="287">
        <f t="shared" si="3"/>
        <v>906576</v>
      </c>
      <c r="Y18" s="287">
        <f t="shared" si="3"/>
        <v>879817</v>
      </c>
      <c r="Z18" s="287">
        <f t="shared" si="3"/>
        <v>989846</v>
      </c>
      <c r="AA18" s="287">
        <f t="shared" si="3"/>
        <v>1020533</v>
      </c>
      <c r="AB18" s="287">
        <f t="shared" si="3"/>
        <v>870974</v>
      </c>
      <c r="AC18" s="287">
        <f t="shared" si="3"/>
        <v>917679</v>
      </c>
      <c r="AD18" s="287">
        <f t="shared" si="3"/>
        <v>930181</v>
      </c>
      <c r="AE18" s="287">
        <f t="shared" si="3"/>
        <v>1074724</v>
      </c>
      <c r="AF18" s="287">
        <f t="shared" si="3"/>
        <v>912405</v>
      </c>
      <c r="AG18" s="287">
        <f t="shared" si="3"/>
        <v>830037</v>
      </c>
      <c r="AH18" s="287">
        <f t="shared" si="3"/>
        <v>1014321</v>
      </c>
      <c r="AI18" s="287">
        <f t="shared" si="3"/>
        <v>1350229</v>
      </c>
      <c r="AJ18" s="287">
        <f t="shared" si="3"/>
        <v>1110648</v>
      </c>
      <c r="AK18" s="287">
        <f t="shared" si="3"/>
        <v>991329</v>
      </c>
      <c r="AL18" s="287">
        <f t="shared" si="3"/>
        <v>1587615</v>
      </c>
      <c r="AM18" s="287">
        <f t="shared" si="3"/>
        <v>1700051</v>
      </c>
      <c r="AN18" s="287">
        <f t="shared" si="3"/>
        <v>1046294</v>
      </c>
      <c r="AO18" s="287">
        <f t="shared" si="3"/>
        <v>1125678</v>
      </c>
      <c r="AP18" s="287">
        <f t="shared" si="3"/>
        <v>1208355</v>
      </c>
      <c r="AQ18" s="287">
        <f t="shared" si="3"/>
        <v>1462389</v>
      </c>
      <c r="AR18" s="287">
        <f t="shared" si="3"/>
        <v>1242864.0000000002</v>
      </c>
      <c r="AS18" s="287">
        <f t="shared" si="3"/>
        <v>1309233</v>
      </c>
      <c r="AT18" s="287">
        <f t="shared" ref="AT18:AY18" si="4">AT9+AT17</f>
        <v>1475010.9350000001</v>
      </c>
      <c r="AU18" s="287">
        <f t="shared" si="4"/>
        <v>1642244.2420000001</v>
      </c>
      <c r="AV18" s="287">
        <f t="shared" si="4"/>
        <v>1350693.3389999999</v>
      </c>
      <c r="AW18" s="287">
        <f t="shared" si="4"/>
        <v>1480707.6119999997</v>
      </c>
      <c r="AX18" s="287">
        <f t="shared" si="4"/>
        <v>1675135.8330000006</v>
      </c>
      <c r="AY18" s="287">
        <f t="shared" si="4"/>
        <v>1705535.28</v>
      </c>
      <c r="AZ18" s="287">
        <f t="shared" ref="AZ18:BE18" si="5">AZ9+AZ17</f>
        <v>1532262.9910000002</v>
      </c>
      <c r="BA18" s="287">
        <f t="shared" si="5"/>
        <v>1685804.318</v>
      </c>
      <c r="BB18" s="287">
        <f t="shared" si="5"/>
        <v>1776555.2840000005</v>
      </c>
      <c r="BC18" s="287">
        <f t="shared" si="5"/>
        <v>1982298.34</v>
      </c>
      <c r="BD18" s="287">
        <f t="shared" si="5"/>
        <v>1737099.2279999997</v>
      </c>
      <c r="BE18" s="287">
        <f t="shared" si="5"/>
        <v>1993877.9350000003</v>
      </c>
    </row>
    <row r="19" spans="1:57" ht="15" thickBot="1">
      <c r="A19" s="118" t="s">
        <v>861</v>
      </c>
      <c r="B19" s="118" t="s">
        <v>862</v>
      </c>
      <c r="D19" s="287">
        <f t="shared" ref="D19:AS19" si="6">SUM(D20:D23)</f>
        <v>-299244</v>
      </c>
      <c r="E19" s="287">
        <f t="shared" si="6"/>
        <v>-256354</v>
      </c>
      <c r="F19" s="287">
        <f t="shared" si="6"/>
        <v>-184589.96658999985</v>
      </c>
      <c r="G19" s="287">
        <f t="shared" si="6"/>
        <v>-304387.6041</v>
      </c>
      <c r="H19" s="287">
        <f t="shared" si="6"/>
        <v>-324336.06970999995</v>
      </c>
      <c r="I19" s="287">
        <f t="shared" si="6"/>
        <v>-393708.93029000005</v>
      </c>
      <c r="J19" s="287">
        <f t="shared" si="6"/>
        <v>-279342.62115000002</v>
      </c>
      <c r="K19" s="287">
        <f t="shared" si="6"/>
        <v>-448617.54712000035</v>
      </c>
      <c r="L19" s="287">
        <f t="shared" si="6"/>
        <v>-436202</v>
      </c>
      <c r="M19" s="287">
        <f t="shared" si="6"/>
        <v>-427907.17559</v>
      </c>
      <c r="N19" s="287">
        <f t="shared" si="6"/>
        <v>-368353.75429999997</v>
      </c>
      <c r="O19" s="287">
        <f t="shared" si="6"/>
        <v>-489160.93742999987</v>
      </c>
      <c r="P19" s="287">
        <f t="shared" si="6"/>
        <v>-515812.63443000003</v>
      </c>
      <c r="Q19" s="287">
        <f t="shared" si="6"/>
        <v>-435614.88501000003</v>
      </c>
      <c r="R19" s="287">
        <f t="shared" si="6"/>
        <v>-442435.41047</v>
      </c>
      <c r="S19" s="287">
        <f t="shared" si="6"/>
        <v>-518821.05398999993</v>
      </c>
      <c r="T19" s="287">
        <f t="shared" si="6"/>
        <v>-436540.28456</v>
      </c>
      <c r="U19" s="287">
        <f t="shared" si="6"/>
        <v>-518169</v>
      </c>
      <c r="V19" s="287">
        <f t="shared" si="6"/>
        <v>-504556</v>
      </c>
      <c r="W19" s="287">
        <f t="shared" si="6"/>
        <v>-585529.30000000005</v>
      </c>
      <c r="X19" s="287">
        <f t="shared" si="6"/>
        <v>-596958</v>
      </c>
      <c r="Y19" s="287">
        <f t="shared" si="6"/>
        <v>-535506</v>
      </c>
      <c r="Z19" s="287">
        <f t="shared" si="6"/>
        <v>-626849</v>
      </c>
      <c r="AA19" s="287">
        <f t="shared" si="6"/>
        <v>-518730</v>
      </c>
      <c r="AB19" s="287">
        <f t="shared" si="6"/>
        <v>-512119</v>
      </c>
      <c r="AC19" s="287">
        <f t="shared" si="6"/>
        <v>-502705</v>
      </c>
      <c r="AD19" s="287">
        <f t="shared" si="6"/>
        <v>-539123</v>
      </c>
      <c r="AE19" s="287">
        <f t="shared" si="6"/>
        <v>-618878</v>
      </c>
      <c r="AF19" s="287">
        <f t="shared" si="6"/>
        <v>-543255</v>
      </c>
      <c r="AG19" s="287">
        <f t="shared" si="6"/>
        <v>-467825</v>
      </c>
      <c r="AH19" s="287">
        <f t="shared" si="6"/>
        <v>-556082</v>
      </c>
      <c r="AI19" s="287">
        <f t="shared" si="6"/>
        <v>-1108342</v>
      </c>
      <c r="AJ19" s="287">
        <f t="shared" si="6"/>
        <v>-735862</v>
      </c>
      <c r="AK19" s="287">
        <f t="shared" si="6"/>
        <v>-555898</v>
      </c>
      <c r="AL19" s="287">
        <f t="shared" si="6"/>
        <v>-1090613</v>
      </c>
      <c r="AM19" s="287">
        <f t="shared" si="6"/>
        <v>-902455</v>
      </c>
      <c r="AN19" s="287">
        <f t="shared" si="6"/>
        <v>-609624</v>
      </c>
      <c r="AO19" s="287">
        <f t="shared" si="6"/>
        <v>-722699</v>
      </c>
      <c r="AP19" s="287">
        <f t="shared" si="6"/>
        <v>-800073</v>
      </c>
      <c r="AQ19" s="287">
        <f t="shared" si="6"/>
        <v>-842935</v>
      </c>
      <c r="AR19" s="287">
        <f t="shared" si="6"/>
        <v>-749432</v>
      </c>
      <c r="AS19" s="287">
        <f t="shared" si="6"/>
        <v>-794685</v>
      </c>
      <c r="AT19" s="287">
        <f t="shared" ref="AT19:AY19" si="7">SUM(AT20:AT23)</f>
        <v>-932488.005</v>
      </c>
      <c r="AU19" s="287">
        <f t="shared" si="7"/>
        <v>-964625.36100000003</v>
      </c>
      <c r="AV19" s="287">
        <f t="shared" si="7"/>
        <v>-792987.64100000006</v>
      </c>
      <c r="AW19" s="287">
        <f t="shared" si="7"/>
        <v>-920299.43099999998</v>
      </c>
      <c r="AX19" s="287">
        <f t="shared" si="7"/>
        <v>-1070027.132</v>
      </c>
      <c r="AY19" s="287">
        <f t="shared" si="7"/>
        <v>-1107008.9110000001</v>
      </c>
      <c r="AZ19" s="287">
        <f t="shared" ref="AZ19:BE19" si="8">SUM(AZ20:AZ23)</f>
        <v>-932005.84400000004</v>
      </c>
      <c r="BA19" s="287">
        <f t="shared" si="8"/>
        <v>-997004.23699999996</v>
      </c>
      <c r="BB19" s="287">
        <f t="shared" si="8"/>
        <v>-1180651.5830000001</v>
      </c>
      <c r="BC19" s="287">
        <f t="shared" si="8"/>
        <v>-1187394.2480000001</v>
      </c>
      <c r="BD19" s="287">
        <f t="shared" si="8"/>
        <v>-953145.67800000007</v>
      </c>
      <c r="BE19" s="287">
        <f t="shared" si="8"/>
        <v>-1219290.862</v>
      </c>
    </row>
    <row r="20" spans="1:57">
      <c r="A20" s="115" t="s">
        <v>863</v>
      </c>
      <c r="B20" s="115" t="s">
        <v>864</v>
      </c>
      <c r="D20" s="288">
        <v>-207101</v>
      </c>
      <c r="E20" s="288">
        <v>-183069</v>
      </c>
      <c r="F20" s="288">
        <v>-112334.78253999987</v>
      </c>
      <c r="G20" s="288">
        <v>-188271.77510999999</v>
      </c>
      <c r="H20" s="288">
        <v>-227433.34256999992</v>
      </c>
      <c r="I20" s="288">
        <v>-283621.65743000008</v>
      </c>
      <c r="J20" s="288">
        <v>-156601.64410999999</v>
      </c>
      <c r="K20" s="288">
        <v>-445804.1306200003</v>
      </c>
      <c r="L20" s="288">
        <v>-330531</v>
      </c>
      <c r="M20" s="288">
        <v>-336265</v>
      </c>
      <c r="N20" s="288">
        <v>-245102</v>
      </c>
      <c r="O20" s="288">
        <v>-307326.24317999976</v>
      </c>
      <c r="P20" s="288">
        <v>-328939</v>
      </c>
      <c r="Q20" s="288">
        <v>-279119</v>
      </c>
      <c r="R20" s="288">
        <v>-256109</v>
      </c>
      <c r="S20" s="288">
        <v>-351043.75544999994</v>
      </c>
      <c r="T20" s="288">
        <v>-275017</v>
      </c>
      <c r="U20" s="288">
        <v>-408983</v>
      </c>
      <c r="V20" s="288">
        <v>-372928</v>
      </c>
      <c r="W20" s="288">
        <v>-420992</v>
      </c>
      <c r="X20" s="288">
        <v>-462504</v>
      </c>
      <c r="Y20" s="288">
        <v>-369247</v>
      </c>
      <c r="Z20" s="288">
        <v>-483138</v>
      </c>
      <c r="AA20" s="288">
        <v>-356519</v>
      </c>
      <c r="AB20" s="288">
        <v>-379411</v>
      </c>
      <c r="AC20" s="288">
        <v>-348618</v>
      </c>
      <c r="AD20" s="288">
        <v>-386929</v>
      </c>
      <c r="AE20" s="288">
        <v>-430377</v>
      </c>
      <c r="AF20" s="288">
        <v>-343604</v>
      </c>
      <c r="AG20" s="288">
        <v>-280544</v>
      </c>
      <c r="AH20" s="288">
        <v>-355391</v>
      </c>
      <c r="AI20" s="288">
        <v>-826785</v>
      </c>
      <c r="AJ20" s="288">
        <v>-501959</v>
      </c>
      <c r="AK20" s="288">
        <v>-383728</v>
      </c>
      <c r="AL20" s="288">
        <v>-841448</v>
      </c>
      <c r="AM20" s="288">
        <v>-637473</v>
      </c>
      <c r="AN20" s="288">
        <v>-463813</v>
      </c>
      <c r="AO20" s="288">
        <v>-475078</v>
      </c>
      <c r="AP20" s="288">
        <v>-508782</v>
      </c>
      <c r="AQ20" s="288">
        <v>-445113</v>
      </c>
      <c r="AR20" s="288">
        <v>-433580</v>
      </c>
      <c r="AS20" s="288">
        <v>-444303</v>
      </c>
      <c r="AT20" s="288">
        <v>-484708</v>
      </c>
      <c r="AU20" s="288">
        <v>-547089</v>
      </c>
      <c r="AV20" s="288">
        <v>-442115</v>
      </c>
      <c r="AW20" s="288">
        <v>-499110</v>
      </c>
      <c r="AX20" s="288">
        <v>-642090</v>
      </c>
      <c r="AY20" s="288">
        <v>-640728</v>
      </c>
      <c r="AZ20" s="288">
        <v>-490787</v>
      </c>
      <c r="BA20" s="288">
        <v>-557836</v>
      </c>
      <c r="BB20" s="288">
        <v>-714899</v>
      </c>
      <c r="BC20" s="288">
        <v>-763973</v>
      </c>
      <c r="BD20" s="288">
        <v>-540055</v>
      </c>
      <c r="BE20" s="288">
        <v>-745555.51800000004</v>
      </c>
    </row>
    <row r="21" spans="1:57">
      <c r="A21" s="115" t="s">
        <v>865</v>
      </c>
      <c r="B21" s="115" t="s">
        <v>866</v>
      </c>
      <c r="D21" s="288">
        <v>-11205</v>
      </c>
      <c r="E21" s="288">
        <v>-10693</v>
      </c>
      <c r="F21" s="288">
        <v>-13210.99785</v>
      </c>
      <c r="G21" s="288">
        <v>-10778.950480000007</v>
      </c>
      <c r="H21" s="288">
        <v>-11434.78622</v>
      </c>
      <c r="I21" s="288">
        <v>-11790.21378</v>
      </c>
      <c r="J21" s="288">
        <v>-17321.104960000004</v>
      </c>
      <c r="K21" s="288">
        <v>25505.795539999992</v>
      </c>
      <c r="L21" s="288">
        <v>-15305</v>
      </c>
      <c r="M21" s="288">
        <v>-19884.488669999992</v>
      </c>
      <c r="N21" s="288">
        <v>-22839.414990000005</v>
      </c>
      <c r="O21" s="288">
        <v>-17959.946020000003</v>
      </c>
      <c r="P21" s="288">
        <v>-31866.903420000002</v>
      </c>
      <c r="Q21" s="288">
        <v>-14687.322610000003</v>
      </c>
      <c r="R21" s="288">
        <v>-20624.773969999995</v>
      </c>
      <c r="S21" s="288">
        <v>-21508.021439999997</v>
      </c>
      <c r="T21" s="288">
        <v>-21898</v>
      </c>
      <c r="U21" s="288">
        <v>-21243</v>
      </c>
      <c r="V21" s="288">
        <v>-42384</v>
      </c>
      <c r="W21" s="288">
        <v>-54344</v>
      </c>
      <c r="X21" s="288">
        <v>-64144</v>
      </c>
      <c r="Y21" s="288">
        <v>-64492</v>
      </c>
      <c r="Z21" s="288">
        <v>-49025</v>
      </c>
      <c r="AA21" s="288">
        <v>-50701</v>
      </c>
      <c r="AB21" s="288">
        <v>-52776</v>
      </c>
      <c r="AC21" s="288">
        <v>-53099</v>
      </c>
      <c r="AD21" s="288">
        <v>-58889</v>
      </c>
      <c r="AE21" s="288">
        <v>-53344</v>
      </c>
      <c r="AF21" s="288">
        <v>-65116</v>
      </c>
      <c r="AG21" s="288">
        <v>-57041</v>
      </c>
      <c r="AH21" s="288">
        <v>-92435</v>
      </c>
      <c r="AI21" s="288">
        <v>-93844</v>
      </c>
      <c r="AJ21" s="288">
        <v>-97062</v>
      </c>
      <c r="AK21" s="288">
        <v>-99719</v>
      </c>
      <c r="AL21" s="288">
        <v>-89597</v>
      </c>
      <c r="AM21" s="288">
        <v>-89823</v>
      </c>
      <c r="AN21" s="288">
        <v>-5173</v>
      </c>
      <c r="AO21" s="288">
        <v>-4850</v>
      </c>
      <c r="AP21" s="288">
        <v>-5393</v>
      </c>
      <c r="AQ21" s="288">
        <v>-114490</v>
      </c>
      <c r="AR21" s="288">
        <v>-117956</v>
      </c>
      <c r="AS21" s="288">
        <v>-118210</v>
      </c>
      <c r="AT21" s="288">
        <v>-124203</v>
      </c>
      <c r="AU21" s="288">
        <v>-126638</v>
      </c>
      <c r="AV21" s="288">
        <v>-130731</v>
      </c>
      <c r="AW21" s="288">
        <v>-130704</v>
      </c>
      <c r="AX21" s="288">
        <v>-127647</v>
      </c>
      <c r="AY21" s="288">
        <v>-131328</v>
      </c>
      <c r="AZ21" s="288">
        <v>-134621</v>
      </c>
      <c r="BA21" s="288">
        <v>-135875</v>
      </c>
      <c r="BB21" s="288">
        <v>-128223</v>
      </c>
      <c r="BC21" s="288">
        <v>-130965</v>
      </c>
      <c r="BD21" s="288">
        <v>-140007</v>
      </c>
      <c r="BE21" s="288">
        <v>-143239.93100000001</v>
      </c>
    </row>
    <row r="22" spans="1:57">
      <c r="A22" s="115" t="s">
        <v>867</v>
      </c>
      <c r="B22" s="115" t="s">
        <v>868</v>
      </c>
      <c r="D22" s="288">
        <v>-80938</v>
      </c>
      <c r="E22" s="288">
        <v>-62592</v>
      </c>
      <c r="F22" s="288">
        <v>-59044.186199999996</v>
      </c>
      <c r="G22" s="288">
        <v>-105336.87851000001</v>
      </c>
      <c r="H22" s="288">
        <v>-85467.940920000008</v>
      </c>
      <c r="I22" s="288">
        <v>-98297.059079999992</v>
      </c>
      <c r="J22" s="288">
        <v>-105419.87208</v>
      </c>
      <c r="K22" s="288">
        <v>-93173.212040000013</v>
      </c>
      <c r="L22" s="288">
        <v>-90366</v>
      </c>
      <c r="M22" s="288">
        <v>-71757.686919999978</v>
      </c>
      <c r="N22" s="288">
        <v>-99409.160029999999</v>
      </c>
      <c r="O22" s="288">
        <v>-162865.06043000007</v>
      </c>
      <c r="P22" s="288">
        <v>-153997.04321</v>
      </c>
      <c r="Q22" s="288">
        <v>-141808.5624</v>
      </c>
      <c r="R22" s="288">
        <v>-165701.63649999999</v>
      </c>
      <c r="S22" s="288">
        <v>-146269.27710000004</v>
      </c>
      <c r="T22" s="288">
        <v>-139625.28456</v>
      </c>
      <c r="U22" s="288">
        <v>-87943</v>
      </c>
      <c r="V22" s="288">
        <v>-89244</v>
      </c>
      <c r="W22" s="288">
        <v>-110193.3</v>
      </c>
      <c r="X22" s="288">
        <v>-70310</v>
      </c>
      <c r="Y22" s="288">
        <v>-101767</v>
      </c>
      <c r="Z22" s="288">
        <v>-94686</v>
      </c>
      <c r="AA22" s="288">
        <v>-111510</v>
      </c>
      <c r="AB22" s="288">
        <v>-79932</v>
      </c>
      <c r="AC22" s="288">
        <v>-100988</v>
      </c>
      <c r="AD22" s="288">
        <v>-93305</v>
      </c>
      <c r="AE22" s="288">
        <v>-135157</v>
      </c>
      <c r="AF22" s="288">
        <v>-134535</v>
      </c>
      <c r="AG22" s="288">
        <v>-130240</v>
      </c>
      <c r="AH22" s="288">
        <v>-108256</v>
      </c>
      <c r="AI22" s="288">
        <v>-187713</v>
      </c>
      <c r="AJ22" s="288">
        <v>-136841</v>
      </c>
      <c r="AK22" s="288">
        <v>-72451</v>
      </c>
      <c r="AL22" s="288">
        <v>-159568</v>
      </c>
      <c r="AM22" s="288">
        <v>-175159</v>
      </c>
      <c r="AN22" s="288">
        <v>-140638</v>
      </c>
      <c r="AO22" s="288">
        <v>-242771</v>
      </c>
      <c r="AP22" s="288">
        <v>-285898</v>
      </c>
      <c r="AQ22" s="288">
        <v>-283332</v>
      </c>
      <c r="AR22" s="288">
        <v>-197896</v>
      </c>
      <c r="AS22" s="288">
        <v>-232172</v>
      </c>
      <c r="AT22" s="288">
        <v>-323577.005</v>
      </c>
      <c r="AU22" s="288">
        <v>-290898.36099999998</v>
      </c>
      <c r="AV22" s="288">
        <v>-220141.641</v>
      </c>
      <c r="AW22" s="288">
        <v>-290485.43099999998</v>
      </c>
      <c r="AX22" s="288">
        <v>-300290.13199999998</v>
      </c>
      <c r="AY22" s="288">
        <v>-334952.91100000002</v>
      </c>
      <c r="AZ22" s="288">
        <v>-306597.84399999998</v>
      </c>
      <c r="BA22" s="288">
        <v>-303293.23700000002</v>
      </c>
      <c r="BB22" s="288">
        <v>-337529.58299999998</v>
      </c>
      <c r="BC22" s="288">
        <v>-292456.24800000002</v>
      </c>
      <c r="BD22" s="288">
        <v>-273083.67800000001</v>
      </c>
      <c r="BE22" s="288">
        <v>-330495.413</v>
      </c>
    </row>
    <row r="23" spans="1:57" ht="15" thickBot="1">
      <c r="A23" s="115" t="s">
        <v>869</v>
      </c>
      <c r="B23" s="115" t="s">
        <v>870</v>
      </c>
      <c r="D23" s="298"/>
      <c r="E23" s="298"/>
      <c r="F23" s="298"/>
      <c r="G23" s="298"/>
      <c r="H23" s="298"/>
      <c r="I23" s="298"/>
      <c r="J23" s="298"/>
      <c r="K23" s="298">
        <v>64854</v>
      </c>
      <c r="L23" s="298"/>
      <c r="M23" s="298"/>
      <c r="N23" s="298">
        <v>-1003.1792799999996</v>
      </c>
      <c r="O23" s="298">
        <v>-1009.6878000000006</v>
      </c>
      <c r="P23" s="298">
        <v>-1009.6878</v>
      </c>
      <c r="Q23" s="298">
        <v>0</v>
      </c>
      <c r="R23" s="298">
        <v>0</v>
      </c>
      <c r="S23" s="298">
        <v>0</v>
      </c>
      <c r="T23" s="298"/>
      <c r="U23" s="298">
        <v>0</v>
      </c>
      <c r="V23" s="298">
        <v>0</v>
      </c>
      <c r="W23" s="298">
        <v>0</v>
      </c>
      <c r="X23" s="298"/>
      <c r="Y23" s="298"/>
      <c r="Z23" s="298"/>
      <c r="AA23" s="298"/>
      <c r="AB23" s="298">
        <v>0</v>
      </c>
      <c r="AC23" s="298">
        <v>0</v>
      </c>
      <c r="AD23" s="299">
        <v>0</v>
      </c>
      <c r="AE23" s="289">
        <v>0</v>
      </c>
      <c r="AF23" s="289">
        <v>0</v>
      </c>
      <c r="AG23" s="289"/>
      <c r="AH23" s="289"/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/>
      <c r="AO23" s="289"/>
      <c r="AP23" s="289"/>
      <c r="AQ23" s="290"/>
      <c r="AR23" s="290"/>
      <c r="AS23" s="290"/>
      <c r="AT23" s="291"/>
      <c r="AU23" s="291"/>
      <c r="AV23" s="291"/>
      <c r="AW23" s="291"/>
      <c r="AX23" s="291"/>
      <c r="AY23" s="291"/>
      <c r="AZ23" s="291"/>
      <c r="BA23" s="291"/>
      <c r="BB23" s="291"/>
      <c r="BC23" s="291"/>
      <c r="BD23" s="291"/>
      <c r="BE23" s="291"/>
    </row>
    <row r="24" spans="1:57" ht="15" thickBot="1">
      <c r="A24" s="118" t="s">
        <v>871</v>
      </c>
      <c r="B24" s="118" t="s">
        <v>872</v>
      </c>
      <c r="D24" s="287">
        <f t="shared" ref="D24:AS24" si="9">D18+D19</f>
        <v>189710</v>
      </c>
      <c r="E24" s="287">
        <f t="shared" si="9"/>
        <v>217963.28123000008</v>
      </c>
      <c r="F24" s="287">
        <f t="shared" si="9"/>
        <v>285172.38383000024</v>
      </c>
      <c r="G24" s="287">
        <f t="shared" si="9"/>
        <v>231352.35423000006</v>
      </c>
      <c r="H24" s="287">
        <f t="shared" si="9"/>
        <v>165785.33240999997</v>
      </c>
      <c r="I24" s="287">
        <f t="shared" si="9"/>
        <v>117432.66759000014</v>
      </c>
      <c r="J24" s="287">
        <f t="shared" si="9"/>
        <v>265603.8176000003</v>
      </c>
      <c r="K24" s="287">
        <f t="shared" si="9"/>
        <v>489391.27502999979</v>
      </c>
      <c r="L24" s="287">
        <f t="shared" si="9"/>
        <v>219349</v>
      </c>
      <c r="M24" s="287">
        <f t="shared" si="9"/>
        <v>199183.82441</v>
      </c>
      <c r="N24" s="287">
        <f t="shared" si="9"/>
        <v>308945.29918999859</v>
      </c>
      <c r="O24" s="287">
        <f t="shared" si="9"/>
        <v>291703.41264000238</v>
      </c>
      <c r="P24" s="287">
        <f t="shared" si="9"/>
        <v>194340.96600000019</v>
      </c>
      <c r="Q24" s="287">
        <f t="shared" si="9"/>
        <v>264347.38873000006</v>
      </c>
      <c r="R24" s="287">
        <f t="shared" si="9"/>
        <v>359715.57061000005</v>
      </c>
      <c r="S24" s="287">
        <f t="shared" si="9"/>
        <v>340178.69817999995</v>
      </c>
      <c r="T24" s="287">
        <f t="shared" si="9"/>
        <v>244339.41328999988</v>
      </c>
      <c r="U24" s="287">
        <f t="shared" si="9"/>
        <v>311730</v>
      </c>
      <c r="V24" s="287">
        <f t="shared" si="9"/>
        <v>393022</v>
      </c>
      <c r="W24" s="287">
        <f t="shared" si="9"/>
        <v>376950.39999999991</v>
      </c>
      <c r="X24" s="287">
        <f t="shared" si="9"/>
        <v>309618</v>
      </c>
      <c r="Y24" s="287">
        <f t="shared" si="9"/>
        <v>344311</v>
      </c>
      <c r="Z24" s="287">
        <f t="shared" si="9"/>
        <v>362997</v>
      </c>
      <c r="AA24" s="287">
        <f t="shared" si="9"/>
        <v>501803</v>
      </c>
      <c r="AB24" s="287">
        <f t="shared" si="9"/>
        <v>358855</v>
      </c>
      <c r="AC24" s="287">
        <f t="shared" si="9"/>
        <v>414974</v>
      </c>
      <c r="AD24" s="287">
        <f t="shared" si="9"/>
        <v>391058</v>
      </c>
      <c r="AE24" s="287">
        <f t="shared" si="9"/>
        <v>455846</v>
      </c>
      <c r="AF24" s="287">
        <f t="shared" si="9"/>
        <v>369150</v>
      </c>
      <c r="AG24" s="287">
        <f t="shared" si="9"/>
        <v>362212</v>
      </c>
      <c r="AH24" s="287">
        <f t="shared" si="9"/>
        <v>458239</v>
      </c>
      <c r="AI24" s="287">
        <f t="shared" si="9"/>
        <v>241887</v>
      </c>
      <c r="AJ24" s="287">
        <f t="shared" si="9"/>
        <v>374786</v>
      </c>
      <c r="AK24" s="287">
        <f t="shared" si="9"/>
        <v>435431</v>
      </c>
      <c r="AL24" s="287">
        <f t="shared" si="9"/>
        <v>497002</v>
      </c>
      <c r="AM24" s="287">
        <f t="shared" si="9"/>
        <v>797596</v>
      </c>
      <c r="AN24" s="287">
        <f t="shared" si="9"/>
        <v>436670</v>
      </c>
      <c r="AO24" s="287">
        <f t="shared" si="9"/>
        <v>402979</v>
      </c>
      <c r="AP24" s="287">
        <f t="shared" si="9"/>
        <v>408282</v>
      </c>
      <c r="AQ24" s="287">
        <f t="shared" si="9"/>
        <v>619454</v>
      </c>
      <c r="AR24" s="287">
        <f t="shared" si="9"/>
        <v>493432.00000000023</v>
      </c>
      <c r="AS24" s="287">
        <f t="shared" si="9"/>
        <v>514548</v>
      </c>
      <c r="AT24" s="287">
        <f t="shared" ref="AT24:AY24" si="10">AT18+AT19</f>
        <v>542522.93000000005</v>
      </c>
      <c r="AU24" s="287">
        <f t="shared" si="10"/>
        <v>677618.88100000005</v>
      </c>
      <c r="AV24" s="287">
        <f t="shared" si="10"/>
        <v>557705.69799999986</v>
      </c>
      <c r="AW24" s="287">
        <f t="shared" si="10"/>
        <v>560408.18099999975</v>
      </c>
      <c r="AX24" s="287">
        <f t="shared" si="10"/>
        <v>605108.70100000058</v>
      </c>
      <c r="AY24" s="287">
        <f t="shared" si="10"/>
        <v>598526.36899999995</v>
      </c>
      <c r="AZ24" s="287">
        <f t="shared" ref="AZ24:BE24" si="11">AZ18+AZ19</f>
        <v>600257.14700000011</v>
      </c>
      <c r="BA24" s="287">
        <f t="shared" si="11"/>
        <v>688800.08100000001</v>
      </c>
      <c r="BB24" s="287">
        <f t="shared" si="11"/>
        <v>595903.70100000035</v>
      </c>
      <c r="BC24" s="287">
        <f t="shared" si="11"/>
        <v>794904.09199999995</v>
      </c>
      <c r="BD24" s="287">
        <f t="shared" si="11"/>
        <v>783953.54999999958</v>
      </c>
      <c r="BE24" s="287">
        <f t="shared" si="11"/>
        <v>774587.07300000032</v>
      </c>
    </row>
    <row r="25" spans="1:57" ht="15" thickBot="1">
      <c r="A25" s="118" t="s">
        <v>873</v>
      </c>
      <c r="B25" s="118" t="s">
        <v>874</v>
      </c>
      <c r="D25" s="287">
        <f t="shared" ref="D25:AS25" si="12">SUM(D26:D35)</f>
        <v>-118827</v>
      </c>
      <c r="E25" s="287">
        <f t="shared" si="12"/>
        <v>-101515</v>
      </c>
      <c r="F25" s="287">
        <f t="shared" si="12"/>
        <v>-116993.08495999996</v>
      </c>
      <c r="G25" s="287">
        <f t="shared" si="12"/>
        <v>-127755.34806999999</v>
      </c>
      <c r="H25" s="287">
        <f t="shared" si="12"/>
        <v>-91242.08259999998</v>
      </c>
      <c r="I25" s="287">
        <f t="shared" si="12"/>
        <v>-102885.91739999999</v>
      </c>
      <c r="J25" s="287">
        <f t="shared" si="12"/>
        <v>-98378.061969999995</v>
      </c>
      <c r="K25" s="287">
        <f t="shared" si="12"/>
        <v>-129927.74609000006</v>
      </c>
      <c r="L25" s="287">
        <f t="shared" si="12"/>
        <v>-105662.45723000001</v>
      </c>
      <c r="M25" s="287">
        <f t="shared" si="12"/>
        <v>-98048.662709999946</v>
      </c>
      <c r="N25" s="287">
        <f t="shared" si="12"/>
        <v>-110640.55699999999</v>
      </c>
      <c r="O25" s="287">
        <f t="shared" si="12"/>
        <v>-154850.25174000009</v>
      </c>
      <c r="P25" s="287">
        <f t="shared" si="12"/>
        <v>-116374.97566000003</v>
      </c>
      <c r="Q25" s="287">
        <f t="shared" si="12"/>
        <v>-120263.96012</v>
      </c>
      <c r="R25" s="287">
        <f t="shared" si="12"/>
        <v>-133798.12986999998</v>
      </c>
      <c r="S25" s="287">
        <f t="shared" si="12"/>
        <v>-186309.43487</v>
      </c>
      <c r="T25" s="287">
        <f t="shared" si="12"/>
        <v>-149696.69298999998</v>
      </c>
      <c r="U25" s="287">
        <f t="shared" si="12"/>
        <v>-113570</v>
      </c>
      <c r="V25" s="287">
        <f t="shared" si="12"/>
        <v>-126558</v>
      </c>
      <c r="W25" s="287">
        <f t="shared" si="12"/>
        <v>-151126.35012999998</v>
      </c>
      <c r="X25" s="287">
        <f t="shared" si="12"/>
        <v>-148491</v>
      </c>
      <c r="Y25" s="287">
        <f t="shared" si="12"/>
        <v>-149763</v>
      </c>
      <c r="Z25" s="287">
        <f t="shared" si="12"/>
        <v>-117870</v>
      </c>
      <c r="AA25" s="287">
        <f t="shared" si="12"/>
        <v>-148455</v>
      </c>
      <c r="AB25" s="287">
        <f t="shared" si="12"/>
        <v>-150039</v>
      </c>
      <c r="AC25" s="287">
        <f t="shared" si="12"/>
        <v>-152140</v>
      </c>
      <c r="AD25" s="287">
        <f t="shared" si="12"/>
        <v>-164413</v>
      </c>
      <c r="AE25" s="287">
        <f t="shared" si="12"/>
        <v>-170904</v>
      </c>
      <c r="AF25" s="287">
        <f t="shared" si="12"/>
        <v>-139544</v>
      </c>
      <c r="AG25" s="287">
        <f t="shared" si="12"/>
        <v>-167481</v>
      </c>
      <c r="AH25" s="287">
        <f t="shared" si="12"/>
        <v>-171289</v>
      </c>
      <c r="AI25" s="287">
        <f t="shared" si="12"/>
        <v>-175666</v>
      </c>
      <c r="AJ25" s="287">
        <f t="shared" si="12"/>
        <v>-145866</v>
      </c>
      <c r="AK25" s="287">
        <f t="shared" si="12"/>
        <v>-139442</v>
      </c>
      <c r="AL25" s="287">
        <f t="shared" si="12"/>
        <v>-152136</v>
      </c>
      <c r="AM25" s="287">
        <f t="shared" si="12"/>
        <v>-201850</v>
      </c>
      <c r="AN25" s="287">
        <f t="shared" si="12"/>
        <v>-202440</v>
      </c>
      <c r="AO25" s="287">
        <f t="shared" si="12"/>
        <v>-215523</v>
      </c>
      <c r="AP25" s="287">
        <f t="shared" si="12"/>
        <v>-188701</v>
      </c>
      <c r="AQ25" s="287">
        <f t="shared" si="12"/>
        <v>-80985</v>
      </c>
      <c r="AR25" s="287">
        <f t="shared" si="12"/>
        <v>-235302</v>
      </c>
      <c r="AS25" s="287">
        <f t="shared" si="12"/>
        <v>-214174</v>
      </c>
      <c r="AT25" s="287">
        <f t="shared" ref="AT25:AY25" si="13">SUM(AT26:AT35)</f>
        <v>-222625.514</v>
      </c>
      <c r="AU25" s="287">
        <f t="shared" si="13"/>
        <v>-347844.29799999995</v>
      </c>
      <c r="AV25" s="287">
        <f t="shared" si="13"/>
        <v>-233004.28299999997</v>
      </c>
      <c r="AW25" s="287">
        <f t="shared" si="13"/>
        <v>-244216.82900000003</v>
      </c>
      <c r="AX25" s="287">
        <f t="shared" si="13"/>
        <v>-233847.80100000004</v>
      </c>
      <c r="AY25" s="287">
        <f t="shared" si="13"/>
        <v>-268667.86000000004</v>
      </c>
      <c r="AZ25" s="287">
        <f t="shared" ref="AZ25:BE25" si="14">SUM(AZ26:AZ35)</f>
        <v>-233219.51010999997</v>
      </c>
      <c r="BA25" s="287">
        <f t="shared" si="14"/>
        <v>-181256.97266</v>
      </c>
      <c r="BB25" s="287">
        <f t="shared" si="14"/>
        <v>-275965.31141000002</v>
      </c>
      <c r="BC25" s="287">
        <f t="shared" si="14"/>
        <v>-329677.53160000005</v>
      </c>
      <c r="BD25" s="287">
        <f t="shared" si="14"/>
        <v>-257779.95952000003</v>
      </c>
      <c r="BE25" s="287">
        <f t="shared" si="14"/>
        <v>-257404.36427000002</v>
      </c>
    </row>
    <row r="26" spans="1:57">
      <c r="A26" s="115" t="s">
        <v>875</v>
      </c>
      <c r="B26" s="115" t="s">
        <v>876</v>
      </c>
      <c r="D26" s="288">
        <v>-22339</v>
      </c>
      <c r="E26" s="288">
        <v>-21797</v>
      </c>
      <c r="F26" s="288">
        <v>-23342.783800000005</v>
      </c>
      <c r="G26" s="288">
        <v>-30510.823649999977</v>
      </c>
      <c r="H26" s="288">
        <v>-23667.50995</v>
      </c>
      <c r="I26" s="288">
        <v>-23638.49005</v>
      </c>
      <c r="J26" s="288">
        <v>-23491.287279999975</v>
      </c>
      <c r="K26" s="288">
        <v>-26011.195260000095</v>
      </c>
      <c r="L26" s="288">
        <v>-25402.941879999998</v>
      </c>
      <c r="M26" s="288">
        <v>-24893.064429999991</v>
      </c>
      <c r="N26" s="288">
        <v>-26284.700710000012</v>
      </c>
      <c r="O26" s="288">
        <v>-30761.917729999986</v>
      </c>
      <c r="P26" s="288">
        <v>-29126.086100000008</v>
      </c>
      <c r="Q26" s="288">
        <v>-28327.835269999992</v>
      </c>
      <c r="R26" s="288">
        <v>-26258.337759999995</v>
      </c>
      <c r="S26" s="288">
        <v>-35070.594250000009</v>
      </c>
      <c r="T26" s="288">
        <v>-28587.317339999987</v>
      </c>
      <c r="U26" s="288">
        <v>-28072</v>
      </c>
      <c r="V26" s="288">
        <v>-27589</v>
      </c>
      <c r="W26" s="288">
        <v>-27920.637489999979</v>
      </c>
      <c r="X26" s="288">
        <v>-29775</v>
      </c>
      <c r="Y26" s="288">
        <v>-27902</v>
      </c>
      <c r="Z26" s="288">
        <v>-27200</v>
      </c>
      <c r="AA26" s="288">
        <v>-22069</v>
      </c>
      <c r="AB26" s="288">
        <v>-30530</v>
      </c>
      <c r="AC26" s="288">
        <v>-31238</v>
      </c>
      <c r="AD26" s="289">
        <v>-32523</v>
      </c>
      <c r="AE26" s="289">
        <v>-30609</v>
      </c>
      <c r="AF26" s="289">
        <v>-31631</v>
      </c>
      <c r="AG26" s="289">
        <v>-30498</v>
      </c>
      <c r="AH26" s="289">
        <v>-30430</v>
      </c>
      <c r="AI26" s="289">
        <v>-54314</v>
      </c>
      <c r="AJ26" s="289">
        <v>-36273</v>
      </c>
      <c r="AK26" s="289">
        <v>-41585</v>
      </c>
      <c r="AL26" s="289">
        <v>-35481</v>
      </c>
      <c r="AM26" s="289">
        <v>-46425</v>
      </c>
      <c r="AN26" s="289">
        <v>-28870</v>
      </c>
      <c r="AO26" s="289">
        <v>-44615</v>
      </c>
      <c r="AP26" s="289">
        <v>-38819</v>
      </c>
      <c r="AQ26" s="290">
        <v>-41102</v>
      </c>
      <c r="AR26" s="290">
        <v>-47089</v>
      </c>
      <c r="AS26" s="290">
        <v>-48117</v>
      </c>
      <c r="AT26" s="291">
        <v>-54536.79</v>
      </c>
      <c r="AU26" s="291">
        <v>-44683.502</v>
      </c>
      <c r="AV26" s="291">
        <v>-44697.635999999999</v>
      </c>
      <c r="AW26" s="291">
        <v>-58964.220999999998</v>
      </c>
      <c r="AX26" s="291">
        <v>-44625.966999999997</v>
      </c>
      <c r="AY26" s="291">
        <v>-62242.042999999998</v>
      </c>
      <c r="AZ26" s="291">
        <v>-63684.938999999998</v>
      </c>
      <c r="BA26" s="291">
        <v>-44475.328000000001</v>
      </c>
      <c r="BB26" s="291">
        <v>-62245.332000000002</v>
      </c>
      <c r="BC26" s="291">
        <v>-74275.063999999998</v>
      </c>
      <c r="BD26" s="291">
        <v>-56769.453000000001</v>
      </c>
      <c r="BE26" s="291">
        <v>-49548.807999999997</v>
      </c>
    </row>
    <row r="27" spans="1:57">
      <c r="A27" s="115" t="s">
        <v>877</v>
      </c>
      <c r="B27" s="115" t="s">
        <v>877</v>
      </c>
      <c r="D27" s="288">
        <v>-1773</v>
      </c>
      <c r="E27" s="288">
        <v>-1447</v>
      </c>
      <c r="F27" s="288">
        <v>-3096.9437000000089</v>
      </c>
      <c r="G27" s="288">
        <v>-10099.68149999999</v>
      </c>
      <c r="H27" s="288">
        <v>-3319.9168200000008</v>
      </c>
      <c r="I27" s="288">
        <v>-3041.0831799999992</v>
      </c>
      <c r="J27" s="288">
        <v>-1689.8555399999987</v>
      </c>
      <c r="K27" s="288">
        <v>-4404.5413200000075</v>
      </c>
      <c r="L27" s="288">
        <v>-3155.5558000000001</v>
      </c>
      <c r="M27" s="288">
        <v>-1803.1039099999998</v>
      </c>
      <c r="N27" s="288">
        <v>-3994.2679399999997</v>
      </c>
      <c r="O27" s="288">
        <v>-3127.5439399999996</v>
      </c>
      <c r="P27" s="288">
        <v>-1577.86761</v>
      </c>
      <c r="Q27" s="288">
        <v>-1718.8589799999997</v>
      </c>
      <c r="R27" s="288">
        <v>-749.06453000000022</v>
      </c>
      <c r="S27" s="288">
        <v>-634.52695000000017</v>
      </c>
      <c r="T27" s="288">
        <v>-3598.7363799999998</v>
      </c>
      <c r="U27" s="288">
        <v>-2180</v>
      </c>
      <c r="V27" s="288">
        <v>-2563</v>
      </c>
      <c r="W27" s="288">
        <v>-6675</v>
      </c>
      <c r="X27" s="288">
        <v>-2110</v>
      </c>
      <c r="Y27" s="288">
        <v>-2608</v>
      </c>
      <c r="Z27" s="288">
        <v>-3119</v>
      </c>
      <c r="AA27" s="288">
        <v>-15249</v>
      </c>
      <c r="AB27" s="288">
        <v>-2016</v>
      </c>
      <c r="AC27" s="288">
        <v>-3983</v>
      </c>
      <c r="AD27" s="289">
        <v>-3987</v>
      </c>
      <c r="AE27" s="289">
        <v>-2554</v>
      </c>
      <c r="AF27" s="289">
        <v>-2429</v>
      </c>
      <c r="AG27" s="289">
        <v>-2393</v>
      </c>
      <c r="AH27" s="289">
        <v>-8591</v>
      </c>
      <c r="AI27" s="289">
        <v>-12179</v>
      </c>
      <c r="AJ27" s="289">
        <v>-5272</v>
      </c>
      <c r="AK27" s="289">
        <v>132</v>
      </c>
      <c r="AL27" s="289">
        <v>-3721</v>
      </c>
      <c r="AM27" s="289">
        <v>-5913</v>
      </c>
      <c r="AN27" s="289">
        <v>-5078</v>
      </c>
      <c r="AO27" s="289">
        <v>-4313</v>
      </c>
      <c r="AP27" s="289">
        <v>-6211</v>
      </c>
      <c r="AQ27" s="290">
        <v>-3672</v>
      </c>
      <c r="AR27" s="290">
        <v>-4677</v>
      </c>
      <c r="AS27" s="290">
        <v>-4876</v>
      </c>
      <c r="AT27" s="291">
        <v>-3124.971</v>
      </c>
      <c r="AU27" s="291">
        <v>-11367.259</v>
      </c>
      <c r="AV27" s="291">
        <v>-4539.8829999999998</v>
      </c>
      <c r="AW27" s="291">
        <v>-5763.1090000000004</v>
      </c>
      <c r="AX27" s="291">
        <v>-7537.8450000000003</v>
      </c>
      <c r="AY27" s="291">
        <v>-7540.84</v>
      </c>
      <c r="AZ27" s="291">
        <v>-4903.5649999999996</v>
      </c>
      <c r="BA27" s="291">
        <v>-5095.97</v>
      </c>
      <c r="BB27" s="291">
        <v>-5437.1390000000001</v>
      </c>
      <c r="BC27" s="291">
        <v>-5518.8310000000001</v>
      </c>
      <c r="BD27" s="291">
        <v>-6164.9989999999998</v>
      </c>
      <c r="BE27" s="291">
        <v>-8335.2880000000005</v>
      </c>
    </row>
    <row r="28" spans="1:57">
      <c r="A28" s="115" t="s">
        <v>878</v>
      </c>
      <c r="B28" s="115" t="s">
        <v>879</v>
      </c>
      <c r="D28" s="288">
        <v>-55426</v>
      </c>
      <c r="E28" s="288">
        <v>-53615</v>
      </c>
      <c r="F28" s="288">
        <v>-65447.560059999931</v>
      </c>
      <c r="G28" s="288">
        <v>-58611.621570000076</v>
      </c>
      <c r="H28" s="288">
        <v>-52152.801899999999</v>
      </c>
      <c r="I28" s="288">
        <v>-52522.198100000001</v>
      </c>
      <c r="J28" s="288">
        <v>-54882.911450000014</v>
      </c>
      <c r="K28" s="288">
        <v>-61086.640189999976</v>
      </c>
      <c r="L28" s="288">
        <v>-54311.539060000003</v>
      </c>
      <c r="M28" s="288">
        <v>-53885.452569999958</v>
      </c>
      <c r="N28" s="288">
        <v>-55875.633739999961</v>
      </c>
      <c r="O28" s="288">
        <v>-86791.016160000087</v>
      </c>
      <c r="P28" s="288">
        <v>-57097.830810000007</v>
      </c>
      <c r="Q28" s="288">
        <v>-58982.305059999999</v>
      </c>
      <c r="R28" s="288">
        <v>-66503.563939999993</v>
      </c>
      <c r="S28" s="288">
        <v>-104679.06632999997</v>
      </c>
      <c r="T28" s="288">
        <v>-71101.010909999997</v>
      </c>
      <c r="U28" s="288">
        <v>-62596</v>
      </c>
      <c r="V28" s="288">
        <v>-65642</v>
      </c>
      <c r="W28" s="288">
        <v>-68725</v>
      </c>
      <c r="X28" s="288">
        <v>-74164</v>
      </c>
      <c r="Y28" s="288">
        <v>-74163</v>
      </c>
      <c r="Z28" s="288">
        <v>-71638</v>
      </c>
      <c r="AA28" s="288">
        <v>-70786</v>
      </c>
      <c r="AB28" s="288">
        <v>-78776</v>
      </c>
      <c r="AC28" s="288">
        <v>-75965</v>
      </c>
      <c r="AD28" s="289">
        <v>-83860</v>
      </c>
      <c r="AE28" s="289">
        <v>-97935</v>
      </c>
      <c r="AF28" s="289">
        <v>-79762</v>
      </c>
      <c r="AG28" s="289">
        <v>-88918</v>
      </c>
      <c r="AH28" s="289">
        <v>-111724</v>
      </c>
      <c r="AI28" s="289">
        <v>-111049</v>
      </c>
      <c r="AJ28" s="289">
        <v>-83360</v>
      </c>
      <c r="AK28" s="289">
        <v>-77017</v>
      </c>
      <c r="AL28" s="289">
        <v>-85305</v>
      </c>
      <c r="AM28" s="289">
        <v>-93601</v>
      </c>
      <c r="AN28" s="289">
        <v>-85732</v>
      </c>
      <c r="AO28" s="289">
        <v>-100936</v>
      </c>
      <c r="AP28" s="289">
        <v>-85980</v>
      </c>
      <c r="AQ28" s="290">
        <v>-60173</v>
      </c>
      <c r="AR28" s="290">
        <v>-93165</v>
      </c>
      <c r="AS28" s="290">
        <v>-119544</v>
      </c>
      <c r="AT28" s="291">
        <v>-103227.32799999999</v>
      </c>
      <c r="AU28" s="291">
        <v>-130851.45299999999</v>
      </c>
      <c r="AV28" s="291">
        <v>-123698.613</v>
      </c>
      <c r="AW28" s="291">
        <v>-114989.694</v>
      </c>
      <c r="AX28" s="291">
        <v>-116728.924</v>
      </c>
      <c r="AY28" s="291">
        <v>-107828.951</v>
      </c>
      <c r="AZ28" s="291">
        <v>-104996.03599999999</v>
      </c>
      <c r="BA28" s="291">
        <v>-106530.985</v>
      </c>
      <c r="BB28" s="291">
        <v>-113272.189</v>
      </c>
      <c r="BC28" s="291">
        <v>-118493.08</v>
      </c>
      <c r="BD28" s="291">
        <v>-112733.798</v>
      </c>
      <c r="BE28" s="291">
        <v>-108986.045</v>
      </c>
    </row>
    <row r="29" spans="1:57">
      <c r="A29" s="115" t="s">
        <v>880</v>
      </c>
      <c r="B29" s="115" t="s">
        <v>881</v>
      </c>
      <c r="D29" s="288">
        <v>-17785</v>
      </c>
      <c r="E29" s="288">
        <v>-14382</v>
      </c>
      <c r="F29" s="288">
        <v>-15901.481900000028</v>
      </c>
      <c r="G29" s="288">
        <v>-11332.536849999946</v>
      </c>
      <c r="H29" s="288">
        <v>-5744.8809900000015</v>
      </c>
      <c r="I29" s="288">
        <v>-12797.304569999997</v>
      </c>
      <c r="J29" s="288">
        <v>-8320.6144699999968</v>
      </c>
      <c r="K29" s="288">
        <v>-21134.058219999988</v>
      </c>
      <c r="L29" s="288">
        <v>-9534.0817099999986</v>
      </c>
      <c r="M29" s="288">
        <v>-7176.1695700000018</v>
      </c>
      <c r="N29" s="288">
        <v>-7596.1238599999997</v>
      </c>
      <c r="O29" s="288">
        <v>-20480.809129999998</v>
      </c>
      <c r="P29" s="288">
        <v>-14255.162160000009</v>
      </c>
      <c r="Q29" s="288">
        <v>-23205.540080000013</v>
      </c>
      <c r="R29" s="288">
        <v>-25116.089929999973</v>
      </c>
      <c r="S29" s="288">
        <v>-21443.833699999977</v>
      </c>
      <c r="T29" s="288">
        <v>-35198.354300000006</v>
      </c>
      <c r="U29" s="288">
        <v>-3716</v>
      </c>
      <c r="V29" s="288">
        <v>-19493</v>
      </c>
      <c r="W29" s="288">
        <v>-22845</v>
      </c>
      <c r="X29" s="288">
        <v>-32292</v>
      </c>
      <c r="Y29" s="288">
        <v>-36649</v>
      </c>
      <c r="Z29" s="288">
        <v>-7394</v>
      </c>
      <c r="AA29" s="288">
        <v>-32382</v>
      </c>
      <c r="AB29" s="288">
        <v>-33180</v>
      </c>
      <c r="AC29" s="288">
        <v>-25465</v>
      </c>
      <c r="AD29" s="289">
        <v>-9695</v>
      </c>
      <c r="AE29" s="289">
        <v>-45217</v>
      </c>
      <c r="AF29" s="289">
        <v>-21746.000000000004</v>
      </c>
      <c r="AG29" s="289">
        <v>-39941</v>
      </c>
      <c r="AH29" s="289">
        <v>-16444</v>
      </c>
      <c r="AI29" s="289">
        <v>7800</v>
      </c>
      <c r="AJ29" s="289">
        <v>-19673</v>
      </c>
      <c r="AK29" s="289">
        <v>-16487</v>
      </c>
      <c r="AL29" s="289">
        <v>-25440</v>
      </c>
      <c r="AM29" s="289">
        <v>-25692</v>
      </c>
      <c r="AN29" s="289">
        <v>-31233</v>
      </c>
      <c r="AO29" s="289">
        <v>-25330</v>
      </c>
      <c r="AP29" s="289">
        <v>-26484</v>
      </c>
      <c r="AQ29" s="290">
        <v>26585</v>
      </c>
      <c r="AR29" s="290">
        <f>-31377-AR30</f>
        <v>-26510.38754</v>
      </c>
      <c r="AS29" s="290">
        <f>-28067-AS30</f>
        <v>-24315.343289999997</v>
      </c>
      <c r="AT29" s="291">
        <f>-27313.641-AT30</f>
        <v>-23108.705320000005</v>
      </c>
      <c r="AU29" s="291">
        <f>-112403.144-AU30</f>
        <v>-99874.251640000002</v>
      </c>
      <c r="AV29" s="291">
        <f>-37721.394-AV30</f>
        <v>-33539.067929999997</v>
      </c>
      <c r="AW29" s="291">
        <f>-32112.084-AW30</f>
        <v>-28266.202579999997</v>
      </c>
      <c r="AX29" s="291">
        <f>-36165.388-AX30</f>
        <v>-31753.979220000001</v>
      </c>
      <c r="AY29" s="291">
        <v>-81678.922449999998</v>
      </c>
      <c r="AZ29" s="291">
        <v>-29507.971450000001</v>
      </c>
      <c r="BA29" s="291">
        <v>-20916.721979999991</v>
      </c>
      <c r="BB29" s="291">
        <v>-32496.480330000006</v>
      </c>
      <c r="BC29" s="291">
        <v>-48226.715530000001</v>
      </c>
      <c r="BD29" s="291">
        <v>-51749.376890000007</v>
      </c>
      <c r="BE29" s="291">
        <v>-58556.982249999994</v>
      </c>
    </row>
    <row r="30" spans="1:57">
      <c r="A30" s="115" t="s">
        <v>882</v>
      </c>
      <c r="B30" s="115" t="s">
        <v>883</v>
      </c>
      <c r="D30" s="288"/>
      <c r="E30" s="288"/>
      <c r="F30" s="288"/>
      <c r="G30" s="288"/>
      <c r="H30" s="288"/>
      <c r="I30" s="288"/>
      <c r="J30" s="288"/>
      <c r="K30" s="288"/>
      <c r="L30" s="288"/>
      <c r="M30" s="288"/>
      <c r="N30" s="288"/>
      <c r="O30" s="288"/>
      <c r="P30" s="288"/>
      <c r="Q30" s="288"/>
      <c r="R30" s="288"/>
      <c r="S30" s="288"/>
      <c r="T30" s="288"/>
      <c r="U30" s="288"/>
      <c r="V30" s="288"/>
      <c r="W30" s="288"/>
      <c r="X30" s="288"/>
      <c r="Y30" s="288"/>
      <c r="Z30" s="288"/>
      <c r="AA30" s="288"/>
      <c r="AB30" s="288"/>
      <c r="AC30" s="288"/>
      <c r="AD30" s="289"/>
      <c r="AE30" s="289"/>
      <c r="AF30" s="289"/>
      <c r="AG30" s="289"/>
      <c r="AH30" s="289"/>
      <c r="AI30" s="289"/>
      <c r="AJ30" s="289"/>
      <c r="AK30" s="289"/>
      <c r="AL30" s="289"/>
      <c r="AM30" s="289"/>
      <c r="AN30" s="289"/>
      <c r="AO30" s="289"/>
      <c r="AP30" s="289"/>
      <c r="AQ30" s="290"/>
      <c r="AR30" s="290">
        <v>-4866.6124599999994</v>
      </c>
      <c r="AS30" s="290">
        <v>-3751.6567100000011</v>
      </c>
      <c r="AT30" s="291">
        <v>-4204.9356799999941</v>
      </c>
      <c r="AU30" s="291">
        <v>-12528.892360000005</v>
      </c>
      <c r="AV30" s="291">
        <v>-4182.3260700000001</v>
      </c>
      <c r="AW30" s="291">
        <v>-3845.8814200000011</v>
      </c>
      <c r="AX30" s="291">
        <v>-4411.4087799999979</v>
      </c>
      <c r="AY30" s="291">
        <v>-1855.1265500000036</v>
      </c>
      <c r="AZ30" s="291">
        <v>-3364.6006599999992</v>
      </c>
      <c r="BA30" s="291">
        <v>-3884.8836799999999</v>
      </c>
      <c r="BB30" s="291">
        <v>-6648.5400799999998</v>
      </c>
      <c r="BC30" s="291">
        <v>-35850.928070000009</v>
      </c>
      <c r="BD30" s="291">
        <v>-5832.3096299999988</v>
      </c>
      <c r="BE30" s="291">
        <v>-4966.7180199999984</v>
      </c>
    </row>
    <row r="31" spans="1:57">
      <c r="A31" s="115" t="s">
        <v>95</v>
      </c>
      <c r="B31" s="115" t="s">
        <v>884</v>
      </c>
      <c r="D31" s="288">
        <v>-5067</v>
      </c>
      <c r="E31" s="288">
        <v>-5274</v>
      </c>
      <c r="F31" s="288">
        <v>-5090.3155000000006</v>
      </c>
      <c r="G31" s="288">
        <v>-8167.6844999999994</v>
      </c>
      <c r="H31" s="288">
        <v>-4469.9729399999796</v>
      </c>
      <c r="I31" s="288">
        <v>-4735.8415000000005</v>
      </c>
      <c r="J31" s="288">
        <v>-5305.3932299999997</v>
      </c>
      <c r="K31" s="288">
        <v>-4755.2833799999989</v>
      </c>
      <c r="L31" s="288">
        <v>-8697.33878</v>
      </c>
      <c r="M31" s="288">
        <v>-7036.8722300000009</v>
      </c>
      <c r="N31" s="288">
        <v>-6189.1158999999971</v>
      </c>
      <c r="O31" s="288">
        <v>-4641.3381300000001</v>
      </c>
      <c r="P31" s="288">
        <v>-7217.5887400000011</v>
      </c>
      <c r="Q31" s="288">
        <v>-4300.4007700000002</v>
      </c>
      <c r="R31" s="288">
        <v>-4391.3890599999968</v>
      </c>
      <c r="S31" s="288">
        <v>-4895.4560799999999</v>
      </c>
      <c r="T31" s="288">
        <v>-7501.7936100000015</v>
      </c>
      <c r="U31" s="288">
        <v>-6261</v>
      </c>
      <c r="V31" s="288">
        <v>-5702</v>
      </c>
      <c r="W31" s="288">
        <v>-653</v>
      </c>
      <c r="X31" s="288">
        <v>-2986</v>
      </c>
      <c r="Y31" s="288">
        <v>-3644</v>
      </c>
      <c r="Z31" s="288">
        <v>-4964</v>
      </c>
      <c r="AA31" s="288">
        <v>-4205</v>
      </c>
      <c r="AB31" s="288">
        <v>-3455</v>
      </c>
      <c r="AC31" s="288">
        <v>-12421</v>
      </c>
      <c r="AD31" s="289">
        <v>-4446</v>
      </c>
      <c r="AE31" s="289">
        <v>1095</v>
      </c>
      <c r="AF31" s="289">
        <v>-2911</v>
      </c>
      <c r="AG31" s="289">
        <v>-5406</v>
      </c>
      <c r="AH31" s="289">
        <v>-4050</v>
      </c>
      <c r="AI31" s="289">
        <v>-5082</v>
      </c>
      <c r="AJ31" s="289">
        <v>-2143</v>
      </c>
      <c r="AK31" s="289">
        <v>-3344</v>
      </c>
      <c r="AL31" s="289">
        <v>-1216</v>
      </c>
      <c r="AM31" s="289">
        <v>-8222</v>
      </c>
      <c r="AN31" s="289">
        <v>-3466</v>
      </c>
      <c r="AO31" s="289">
        <v>-3069</v>
      </c>
      <c r="AP31" s="289">
        <v>-24485</v>
      </c>
      <c r="AQ31" s="290">
        <v>-4626</v>
      </c>
      <c r="AR31" s="290">
        <v>-6829</v>
      </c>
      <c r="AS31" s="290">
        <v>-4057</v>
      </c>
      <c r="AT31" s="291">
        <v>-3717.8249999999998</v>
      </c>
      <c r="AU31" s="291">
        <v>-10228.311</v>
      </c>
      <c r="AV31" s="291">
        <v>-5560.0389999999998</v>
      </c>
      <c r="AW31" s="291">
        <v>-7132.5540000000001</v>
      </c>
      <c r="AX31" s="291">
        <v>-9818.0969999999998</v>
      </c>
      <c r="AY31" s="291">
        <v>-13687.598</v>
      </c>
      <c r="AZ31" s="291">
        <v>-8699.8649999999998</v>
      </c>
      <c r="BA31" s="291">
        <v>-10326.834000000001</v>
      </c>
      <c r="BB31" s="291">
        <v>-33379.489000000001</v>
      </c>
      <c r="BC31" s="291">
        <v>-12434.687</v>
      </c>
      <c r="BD31" s="291">
        <v>-9901.1489999999994</v>
      </c>
      <c r="BE31" s="291">
        <v>-7444.6409999999996</v>
      </c>
    </row>
    <row r="32" spans="1:57">
      <c r="A32" s="115" t="s">
        <v>885</v>
      </c>
      <c r="B32" s="115" t="s">
        <v>886</v>
      </c>
      <c r="D32" s="288"/>
      <c r="E32" s="288"/>
      <c r="F32" s="288"/>
      <c r="G32" s="288"/>
      <c r="H32" s="288"/>
      <c r="I32" s="288"/>
      <c r="J32" s="288"/>
      <c r="K32" s="288"/>
      <c r="L32" s="288"/>
      <c r="M32" s="288"/>
      <c r="N32" s="288"/>
      <c r="O32" s="288"/>
      <c r="P32" s="288"/>
      <c r="Q32" s="288"/>
      <c r="R32" s="288"/>
      <c r="S32" s="288"/>
      <c r="T32" s="288"/>
      <c r="U32" s="288"/>
      <c r="V32" s="288"/>
      <c r="W32" s="288"/>
      <c r="X32" s="288"/>
      <c r="Y32" s="288"/>
      <c r="Z32" s="288"/>
      <c r="AA32" s="288"/>
      <c r="AB32" s="288"/>
      <c r="AC32" s="288"/>
      <c r="AD32" s="289"/>
      <c r="AE32" s="289"/>
      <c r="AF32" s="289"/>
      <c r="AG32" s="289"/>
      <c r="AH32" s="289"/>
      <c r="AI32" s="289"/>
      <c r="AJ32" s="289"/>
      <c r="AK32" s="289"/>
      <c r="AL32" s="289"/>
      <c r="AM32" s="289"/>
      <c r="AN32" s="289"/>
      <c r="AO32" s="289"/>
      <c r="AP32" s="289"/>
      <c r="AQ32" s="290"/>
      <c r="AR32" s="290"/>
      <c r="AS32" s="290"/>
      <c r="AT32" s="291"/>
      <c r="AU32" s="291"/>
      <c r="AV32" s="291"/>
      <c r="AW32" s="291"/>
      <c r="AX32" s="291"/>
      <c r="AY32" s="291"/>
      <c r="AZ32" s="291"/>
      <c r="BA32" s="291"/>
      <c r="BB32" s="291"/>
      <c r="BC32" s="291"/>
      <c r="BD32" s="291"/>
      <c r="BE32" s="291"/>
    </row>
    <row r="33" spans="1:57">
      <c r="A33" s="115" t="s">
        <v>887</v>
      </c>
      <c r="B33" s="115" t="s">
        <v>888</v>
      </c>
      <c r="D33" s="288"/>
      <c r="E33" s="288"/>
      <c r="F33" s="288"/>
      <c r="G33" s="288"/>
      <c r="H33" s="288"/>
      <c r="I33" s="288"/>
      <c r="J33" s="288"/>
      <c r="K33" s="288"/>
      <c r="L33" s="288"/>
      <c r="M33" s="288"/>
      <c r="N33" s="288"/>
      <c r="O33" s="288"/>
      <c r="P33" s="288"/>
      <c r="Q33" s="288"/>
      <c r="R33" s="288"/>
      <c r="S33" s="288"/>
      <c r="T33" s="288"/>
      <c r="U33" s="288"/>
      <c r="V33" s="288"/>
      <c r="W33" s="288"/>
      <c r="X33" s="288"/>
      <c r="Y33" s="288"/>
      <c r="Z33" s="288"/>
      <c r="AA33" s="288"/>
      <c r="AB33" s="288"/>
      <c r="AC33" s="288"/>
      <c r="AD33" s="289"/>
      <c r="AE33" s="289"/>
      <c r="AF33" s="289"/>
      <c r="AG33" s="289"/>
      <c r="AH33" s="289"/>
      <c r="AI33" s="289"/>
      <c r="AJ33" s="289"/>
      <c r="AK33" s="289"/>
      <c r="AL33" s="289"/>
      <c r="AM33" s="289"/>
      <c r="AN33" s="289"/>
      <c r="AO33" s="289"/>
      <c r="AP33" s="289"/>
      <c r="AQ33" s="290"/>
      <c r="AR33" s="290"/>
      <c r="AS33" s="290"/>
      <c r="AT33" s="291"/>
      <c r="AU33" s="291"/>
      <c r="AV33" s="291"/>
      <c r="AW33" s="291"/>
      <c r="AX33" s="291"/>
      <c r="AY33" s="291"/>
      <c r="AZ33" s="291">
        <v>12863.357</v>
      </c>
      <c r="BA33" s="291">
        <v>-12388.313</v>
      </c>
      <c r="BB33" s="291">
        <v>-1014.263</v>
      </c>
      <c r="BC33" s="291">
        <v>-765.72699999999998</v>
      </c>
      <c r="BD33" s="291">
        <v>-245.69800000000001</v>
      </c>
      <c r="BE33" s="291">
        <v>-256.73599999999999</v>
      </c>
    </row>
    <row r="34" spans="1:57">
      <c r="A34" s="115" t="s">
        <v>889</v>
      </c>
      <c r="B34" s="115" t="s">
        <v>890</v>
      </c>
      <c r="D34" s="288"/>
      <c r="E34" s="288"/>
      <c r="F34" s="288"/>
      <c r="G34" s="288"/>
      <c r="H34" s="288"/>
      <c r="I34" s="288"/>
      <c r="J34" s="288"/>
      <c r="K34" s="288"/>
      <c r="L34" s="288"/>
      <c r="M34" s="288"/>
      <c r="N34" s="288"/>
      <c r="O34" s="288"/>
      <c r="P34" s="288"/>
      <c r="Q34" s="288"/>
      <c r="R34" s="288"/>
      <c r="S34" s="288"/>
      <c r="T34" s="288"/>
      <c r="U34" s="288"/>
      <c r="V34" s="288"/>
      <c r="W34" s="288"/>
      <c r="X34" s="288"/>
      <c r="Y34" s="288"/>
      <c r="Z34" s="288"/>
      <c r="AA34" s="288"/>
      <c r="AB34" s="288"/>
      <c r="AC34" s="288"/>
      <c r="AD34" s="289"/>
      <c r="AE34" s="289"/>
      <c r="AF34" s="289"/>
      <c r="AG34" s="289"/>
      <c r="AH34" s="289"/>
      <c r="AI34" s="289"/>
      <c r="AJ34" s="289"/>
      <c r="AK34" s="289"/>
      <c r="AL34" s="289"/>
      <c r="AM34" s="289"/>
      <c r="AN34" s="289"/>
      <c r="AO34" s="289"/>
      <c r="AP34" s="289"/>
      <c r="AQ34" s="290"/>
      <c r="AR34" s="290"/>
      <c r="AS34" s="290"/>
      <c r="AT34" s="291"/>
      <c r="AU34" s="291"/>
      <c r="AV34" s="291"/>
      <c r="AW34" s="291"/>
      <c r="AX34" s="291"/>
      <c r="AY34" s="291"/>
      <c r="AZ34" s="291"/>
      <c r="BA34" s="291"/>
      <c r="BB34" s="291"/>
      <c r="BC34" s="291"/>
      <c r="BD34" s="291"/>
      <c r="BE34" s="291"/>
    </row>
    <row r="35" spans="1:57">
      <c r="A35" s="115" t="s">
        <v>891</v>
      </c>
      <c r="B35" s="115" t="s">
        <v>892</v>
      </c>
      <c r="D35" s="288">
        <v>-16437</v>
      </c>
      <c r="E35" s="288">
        <v>-5000</v>
      </c>
      <c r="F35" s="288">
        <v>-4114</v>
      </c>
      <c r="G35" s="288">
        <v>-9033</v>
      </c>
      <c r="H35" s="288">
        <v>-1887</v>
      </c>
      <c r="I35" s="288">
        <v>-6151</v>
      </c>
      <c r="J35" s="288">
        <v>-4688</v>
      </c>
      <c r="K35" s="288">
        <v>-12536.027720000004</v>
      </c>
      <c r="L35" s="288">
        <v>-4561</v>
      </c>
      <c r="M35" s="288">
        <v>-3254</v>
      </c>
      <c r="N35" s="288">
        <v>-10700.71485</v>
      </c>
      <c r="O35" s="288">
        <v>-9047.6266500000056</v>
      </c>
      <c r="P35" s="288">
        <v>-7100.4402399999999</v>
      </c>
      <c r="Q35" s="288">
        <v>-3729.0199600000005</v>
      </c>
      <c r="R35" s="288">
        <v>-10779.684650000003</v>
      </c>
      <c r="S35" s="288">
        <v>-19585.957560000006</v>
      </c>
      <c r="T35" s="288">
        <v>-3709.4804500000005</v>
      </c>
      <c r="U35" s="288">
        <v>-10745</v>
      </c>
      <c r="V35" s="288">
        <v>-5569</v>
      </c>
      <c r="W35" s="288">
        <v>-24307.712639999998</v>
      </c>
      <c r="X35" s="288">
        <v>-7164</v>
      </c>
      <c r="Y35" s="288">
        <v>-4797</v>
      </c>
      <c r="Z35" s="288">
        <v>-3555</v>
      </c>
      <c r="AA35" s="288">
        <v>-3764</v>
      </c>
      <c r="AB35" s="288">
        <v>-2082</v>
      </c>
      <c r="AC35" s="288">
        <v>-3068</v>
      </c>
      <c r="AD35" s="289">
        <v>-29902</v>
      </c>
      <c r="AE35" s="289">
        <v>4316</v>
      </c>
      <c r="AF35" s="289">
        <v>-1065</v>
      </c>
      <c r="AG35" s="289">
        <v>-325</v>
      </c>
      <c r="AH35" s="289">
        <v>-50</v>
      </c>
      <c r="AI35" s="289">
        <v>-842</v>
      </c>
      <c r="AJ35" s="289">
        <v>855</v>
      </c>
      <c r="AK35" s="289">
        <v>-1141</v>
      </c>
      <c r="AL35" s="289">
        <v>-973</v>
      </c>
      <c r="AM35" s="289">
        <v>-21997</v>
      </c>
      <c r="AN35" s="289">
        <v>-48061</v>
      </c>
      <c r="AO35" s="289">
        <v>-37260</v>
      </c>
      <c r="AP35" s="289">
        <v>-6722</v>
      </c>
      <c r="AQ35" s="290">
        <v>2003</v>
      </c>
      <c r="AR35" s="290">
        <v>-52165</v>
      </c>
      <c r="AS35" s="290">
        <v>-9513</v>
      </c>
      <c r="AT35" s="291">
        <v>-30704.958999999999</v>
      </c>
      <c r="AU35" s="291">
        <v>-38310.629000000001</v>
      </c>
      <c r="AV35" s="291">
        <v>-16786.718000000001</v>
      </c>
      <c r="AW35" s="291">
        <v>-25255.167000000001</v>
      </c>
      <c r="AX35" s="291">
        <v>-18971.580000000002</v>
      </c>
      <c r="AY35" s="291">
        <v>6165.6210000000001</v>
      </c>
      <c r="AZ35" s="291">
        <v>-30925.89</v>
      </c>
      <c r="BA35" s="291">
        <v>22362.062999999998</v>
      </c>
      <c r="BB35" s="291">
        <v>-21471.879000000001</v>
      </c>
      <c r="BC35" s="291">
        <v>-34112.499000000003</v>
      </c>
      <c r="BD35" s="291">
        <v>-14383.175999999999</v>
      </c>
      <c r="BE35" s="291">
        <v>-19309.146000000001</v>
      </c>
    </row>
    <row r="36" spans="1:57">
      <c r="A36" s="455" t="s">
        <v>722</v>
      </c>
      <c r="B36" s="455" t="s">
        <v>722</v>
      </c>
      <c r="D36" s="461">
        <f t="shared" ref="D36:AS36" si="15">D18+D19+D25</f>
        <v>70883</v>
      </c>
      <c r="E36" s="461">
        <f t="shared" si="15"/>
        <v>116448.28123000008</v>
      </c>
      <c r="F36" s="461">
        <f t="shared" si="15"/>
        <v>168179.29887000029</v>
      </c>
      <c r="G36" s="461">
        <f t="shared" si="15"/>
        <v>103597.00616000006</v>
      </c>
      <c r="H36" s="461">
        <f t="shared" si="15"/>
        <v>74543.249809999994</v>
      </c>
      <c r="I36" s="461">
        <f t="shared" si="15"/>
        <v>14546.750190000152</v>
      </c>
      <c r="J36" s="461">
        <f t="shared" si="15"/>
        <v>167225.75563000032</v>
      </c>
      <c r="K36" s="461">
        <f t="shared" si="15"/>
        <v>359463.52893999976</v>
      </c>
      <c r="L36" s="461">
        <f t="shared" si="15"/>
        <v>113686.54276999999</v>
      </c>
      <c r="M36" s="461">
        <f t="shared" si="15"/>
        <v>101135.16170000006</v>
      </c>
      <c r="N36" s="461">
        <f t="shared" si="15"/>
        <v>198304.74218999862</v>
      </c>
      <c r="O36" s="461">
        <f t="shared" si="15"/>
        <v>136853.16090000229</v>
      </c>
      <c r="P36" s="461">
        <f t="shared" si="15"/>
        <v>77965.990340000164</v>
      </c>
      <c r="Q36" s="461">
        <f t="shared" si="15"/>
        <v>144083.42861000006</v>
      </c>
      <c r="R36" s="461">
        <f t="shared" si="15"/>
        <v>225917.44074000008</v>
      </c>
      <c r="S36" s="461">
        <f t="shared" si="15"/>
        <v>153869.26330999995</v>
      </c>
      <c r="T36" s="461">
        <f t="shared" si="15"/>
        <v>94642.720299999899</v>
      </c>
      <c r="U36" s="461">
        <f t="shared" si="15"/>
        <v>198160</v>
      </c>
      <c r="V36" s="461">
        <f t="shared" si="15"/>
        <v>266464</v>
      </c>
      <c r="W36" s="461">
        <f t="shared" si="15"/>
        <v>225824.04986999993</v>
      </c>
      <c r="X36" s="461">
        <f t="shared" si="15"/>
        <v>161127</v>
      </c>
      <c r="Y36" s="461">
        <f t="shared" si="15"/>
        <v>194548</v>
      </c>
      <c r="Z36" s="461">
        <f t="shared" si="15"/>
        <v>245127</v>
      </c>
      <c r="AA36" s="461">
        <f t="shared" si="15"/>
        <v>353348</v>
      </c>
      <c r="AB36" s="461">
        <f t="shared" si="15"/>
        <v>208816</v>
      </c>
      <c r="AC36" s="461">
        <f t="shared" si="15"/>
        <v>262834</v>
      </c>
      <c r="AD36" s="461">
        <f t="shared" si="15"/>
        <v>226645</v>
      </c>
      <c r="AE36" s="461">
        <f t="shared" si="15"/>
        <v>284942</v>
      </c>
      <c r="AF36" s="461">
        <f t="shared" si="15"/>
        <v>229606</v>
      </c>
      <c r="AG36" s="461">
        <f t="shared" si="15"/>
        <v>194731</v>
      </c>
      <c r="AH36" s="461">
        <f t="shared" si="15"/>
        <v>286950</v>
      </c>
      <c r="AI36" s="461">
        <f t="shared" si="15"/>
        <v>66221</v>
      </c>
      <c r="AJ36" s="461">
        <f t="shared" si="15"/>
        <v>228920</v>
      </c>
      <c r="AK36" s="461">
        <f t="shared" si="15"/>
        <v>295989</v>
      </c>
      <c r="AL36" s="461">
        <f t="shared" si="15"/>
        <v>344866</v>
      </c>
      <c r="AM36" s="461">
        <f t="shared" si="15"/>
        <v>595746</v>
      </c>
      <c r="AN36" s="461">
        <f t="shared" si="15"/>
        <v>234230</v>
      </c>
      <c r="AO36" s="461">
        <f t="shared" si="15"/>
        <v>187456</v>
      </c>
      <c r="AP36" s="461">
        <f t="shared" si="15"/>
        <v>219581</v>
      </c>
      <c r="AQ36" s="461">
        <f t="shared" si="15"/>
        <v>538469</v>
      </c>
      <c r="AR36" s="461">
        <f t="shared" si="15"/>
        <v>258130.00000000023</v>
      </c>
      <c r="AS36" s="461">
        <f t="shared" si="15"/>
        <v>300374</v>
      </c>
      <c r="AT36" s="461">
        <f t="shared" ref="AT36:BA36" si="16">AT18+AT19+AT25</f>
        <v>319897.41600000008</v>
      </c>
      <c r="AU36" s="461">
        <f t="shared" si="16"/>
        <v>329774.5830000001</v>
      </c>
      <c r="AV36" s="461">
        <f t="shared" si="16"/>
        <v>324701.41499999992</v>
      </c>
      <c r="AW36" s="461">
        <f t="shared" si="16"/>
        <v>316191.35199999972</v>
      </c>
      <c r="AX36" s="461">
        <f t="shared" si="16"/>
        <v>371260.90000000055</v>
      </c>
      <c r="AY36" s="461">
        <f t="shared" si="16"/>
        <v>329858.5089999999</v>
      </c>
      <c r="AZ36" s="461">
        <f t="shared" si="16"/>
        <v>367037.63689000014</v>
      </c>
      <c r="BA36" s="461">
        <f t="shared" si="16"/>
        <v>507543.10834000004</v>
      </c>
      <c r="BB36" s="461">
        <f t="shared" ref="BB36:BD36" si="17">BB18+BB19+BB25</f>
        <v>319938.38959000033</v>
      </c>
      <c r="BC36" s="461">
        <f t="shared" si="17"/>
        <v>465226.5603999999</v>
      </c>
      <c r="BD36" s="461">
        <f t="shared" si="17"/>
        <v>526173.59047999955</v>
      </c>
      <c r="BE36" s="461">
        <f>BE18+BE19+BE25</f>
        <v>517182.7087300003</v>
      </c>
    </row>
    <row r="37" spans="1:57" ht="15" thickBot="1">
      <c r="A37" s="115" t="s">
        <v>893</v>
      </c>
      <c r="B37" s="115" t="s">
        <v>894</v>
      </c>
      <c r="D37" s="288">
        <v>-22669</v>
      </c>
      <c r="E37" s="288">
        <v>-26072</v>
      </c>
      <c r="F37" s="288">
        <v>-31798.745699999999</v>
      </c>
      <c r="G37" s="288">
        <v>-29174.089900000021</v>
      </c>
      <c r="H37" s="288">
        <v>-29917.190419999999</v>
      </c>
      <c r="I37" s="288">
        <v>-30526.809580000001</v>
      </c>
      <c r="J37" s="288">
        <v>-30933.04571999998</v>
      </c>
      <c r="K37" s="288">
        <v>-30391.668840000013</v>
      </c>
      <c r="L37" s="288">
        <v>-30992.056799999998</v>
      </c>
      <c r="M37" s="288">
        <v>-31125.228160000006</v>
      </c>
      <c r="N37" s="288">
        <v>-32066.886929999979</v>
      </c>
      <c r="O37" s="288">
        <v>-32864.329920000033</v>
      </c>
      <c r="P37" s="288">
        <v>-33743.273390000002</v>
      </c>
      <c r="Q37" s="288">
        <v>-34717.168469999997</v>
      </c>
      <c r="R37" s="288">
        <v>-36816.449590000004</v>
      </c>
      <c r="S37" s="288">
        <v>-38350.81914</v>
      </c>
      <c r="T37" s="288">
        <v>-40847.335009999995</v>
      </c>
      <c r="U37" s="288">
        <v>-42803</v>
      </c>
      <c r="V37" s="288">
        <v>-42398</v>
      </c>
      <c r="W37" s="288">
        <v>-42516</v>
      </c>
      <c r="X37" s="288">
        <v>-43043</v>
      </c>
      <c r="Y37" s="288">
        <v>-40500</v>
      </c>
      <c r="Z37" s="288">
        <v>-43720</v>
      </c>
      <c r="AA37" s="288">
        <v>-44426</v>
      </c>
      <c r="AB37" s="288">
        <v>-44957</v>
      </c>
      <c r="AC37" s="288">
        <v>-45623</v>
      </c>
      <c r="AD37" s="289">
        <v>-45469</v>
      </c>
      <c r="AE37" s="289">
        <v>-47742</v>
      </c>
      <c r="AF37" s="289">
        <v>-47240</v>
      </c>
      <c r="AG37" s="289">
        <v>-46604</v>
      </c>
      <c r="AH37" s="289">
        <v>-47991</v>
      </c>
      <c r="AI37" s="289">
        <v>-48632</v>
      </c>
      <c r="AJ37" s="289">
        <v>-53288</v>
      </c>
      <c r="AK37" s="289">
        <v>-53277</v>
      </c>
      <c r="AL37" s="289">
        <v>-53687</v>
      </c>
      <c r="AM37" s="289">
        <v>-62309</v>
      </c>
      <c r="AN37" s="289">
        <v>-55792</v>
      </c>
      <c r="AO37" s="289">
        <v>-56117</v>
      </c>
      <c r="AP37" s="289">
        <v>-56798</v>
      </c>
      <c r="AQ37" s="290">
        <v>-61615</v>
      </c>
      <c r="AR37" s="290">
        <v>-60576</v>
      </c>
      <c r="AS37" s="290">
        <v>-57595</v>
      </c>
      <c r="AT37" s="291">
        <v>-62471.908000000003</v>
      </c>
      <c r="AU37" s="291">
        <v>-71274.297000000006</v>
      </c>
      <c r="AV37" s="291">
        <v>-69652.099000000002</v>
      </c>
      <c r="AW37" s="291">
        <v>-71988.197</v>
      </c>
      <c r="AX37" s="291">
        <v>-70283.222999999998</v>
      </c>
      <c r="AY37" s="291">
        <v>-95041.392000000007</v>
      </c>
      <c r="AZ37" s="291">
        <v>-96558.962</v>
      </c>
      <c r="BA37" s="291">
        <v>-90644.063999999998</v>
      </c>
      <c r="BB37" s="291">
        <v>-102312.397</v>
      </c>
      <c r="BC37" s="291">
        <v>-101326.019</v>
      </c>
      <c r="BD37" s="291">
        <v>-99995.618000000002</v>
      </c>
      <c r="BE37" s="291">
        <v>-103143.912</v>
      </c>
    </row>
    <row r="38" spans="1:57" ht="15" thickBot="1">
      <c r="A38" s="118" t="s">
        <v>895</v>
      </c>
      <c r="B38" s="118" t="s">
        <v>896</v>
      </c>
      <c r="D38" s="287">
        <f>SUM(D36:D37)</f>
        <v>48214</v>
      </c>
      <c r="E38" s="287">
        <f t="shared" ref="E38:AS38" si="18">SUM(E36:E37)</f>
        <v>90376.281230000081</v>
      </c>
      <c r="F38" s="287">
        <f t="shared" si="18"/>
        <v>136380.55317000029</v>
      </c>
      <c r="G38" s="287">
        <f t="shared" si="18"/>
        <v>74422.916260000042</v>
      </c>
      <c r="H38" s="287">
        <f t="shared" si="18"/>
        <v>44626.059389999995</v>
      </c>
      <c r="I38" s="287">
        <f t="shared" si="18"/>
        <v>-15980.059389999849</v>
      </c>
      <c r="J38" s="287">
        <f t="shared" si="18"/>
        <v>136292.70991000033</v>
      </c>
      <c r="K38" s="287">
        <f t="shared" si="18"/>
        <v>329071.86009999976</v>
      </c>
      <c r="L38" s="287">
        <f t="shared" si="18"/>
        <v>82694.48596999998</v>
      </c>
      <c r="M38" s="287">
        <f t="shared" si="18"/>
        <v>70009.933540000056</v>
      </c>
      <c r="N38" s="287">
        <f t="shared" si="18"/>
        <v>166237.85525999864</v>
      </c>
      <c r="O38" s="287">
        <f t="shared" si="18"/>
        <v>103988.83098000225</v>
      </c>
      <c r="P38" s="287">
        <f t="shared" si="18"/>
        <v>44222.716950000162</v>
      </c>
      <c r="Q38" s="287">
        <f t="shared" si="18"/>
        <v>109366.26014000006</v>
      </c>
      <c r="R38" s="287">
        <f t="shared" si="18"/>
        <v>189100.99115000007</v>
      </c>
      <c r="S38" s="287">
        <f t="shared" si="18"/>
        <v>115518.44416999994</v>
      </c>
      <c r="T38" s="287">
        <f t="shared" si="18"/>
        <v>53795.385289999904</v>
      </c>
      <c r="U38" s="287">
        <f t="shared" si="18"/>
        <v>155357</v>
      </c>
      <c r="V38" s="287">
        <f t="shared" si="18"/>
        <v>224066</v>
      </c>
      <c r="W38" s="287">
        <f t="shared" si="18"/>
        <v>183308.04986999993</v>
      </c>
      <c r="X38" s="287">
        <f t="shared" si="18"/>
        <v>118084</v>
      </c>
      <c r="Y38" s="287">
        <f t="shared" si="18"/>
        <v>154048</v>
      </c>
      <c r="Z38" s="287">
        <f t="shared" si="18"/>
        <v>201407</v>
      </c>
      <c r="AA38" s="287">
        <f t="shared" si="18"/>
        <v>308922</v>
      </c>
      <c r="AB38" s="287">
        <f t="shared" si="18"/>
        <v>163859</v>
      </c>
      <c r="AC38" s="287">
        <f t="shared" si="18"/>
        <v>217211</v>
      </c>
      <c r="AD38" s="287">
        <f t="shared" si="18"/>
        <v>181176</v>
      </c>
      <c r="AE38" s="287">
        <f t="shared" si="18"/>
        <v>237200</v>
      </c>
      <c r="AF38" s="287">
        <f t="shared" si="18"/>
        <v>182366</v>
      </c>
      <c r="AG38" s="287">
        <f t="shared" si="18"/>
        <v>148127</v>
      </c>
      <c r="AH38" s="287">
        <f t="shared" si="18"/>
        <v>238959</v>
      </c>
      <c r="AI38" s="287">
        <f t="shared" si="18"/>
        <v>17589</v>
      </c>
      <c r="AJ38" s="287">
        <f t="shared" si="18"/>
        <v>175632</v>
      </c>
      <c r="AK38" s="287">
        <f t="shared" si="18"/>
        <v>242712</v>
      </c>
      <c r="AL38" s="287">
        <f t="shared" si="18"/>
        <v>291179</v>
      </c>
      <c r="AM38" s="287">
        <f t="shared" si="18"/>
        <v>533437</v>
      </c>
      <c r="AN38" s="287">
        <f t="shared" si="18"/>
        <v>178438</v>
      </c>
      <c r="AO38" s="287">
        <f t="shared" si="18"/>
        <v>131339</v>
      </c>
      <c r="AP38" s="287">
        <f t="shared" si="18"/>
        <v>162783</v>
      </c>
      <c r="AQ38" s="287">
        <f t="shared" si="18"/>
        <v>476854</v>
      </c>
      <c r="AR38" s="287">
        <f t="shared" si="18"/>
        <v>197554.00000000023</v>
      </c>
      <c r="AS38" s="287">
        <f t="shared" si="18"/>
        <v>242779</v>
      </c>
      <c r="AT38" s="287">
        <f t="shared" ref="AT38:AY38" si="19">SUM(AT36:AT37)</f>
        <v>257425.50800000009</v>
      </c>
      <c r="AU38" s="287">
        <f t="shared" si="19"/>
        <v>258500.28600000008</v>
      </c>
      <c r="AV38" s="287">
        <f t="shared" si="19"/>
        <v>255049.31599999993</v>
      </c>
      <c r="AW38" s="287">
        <f t="shared" si="19"/>
        <v>244203.15499999974</v>
      </c>
      <c r="AX38" s="287">
        <f t="shared" si="19"/>
        <v>300977.67700000055</v>
      </c>
      <c r="AY38" s="287">
        <f t="shared" si="19"/>
        <v>234817.11699999991</v>
      </c>
      <c r="AZ38" s="287">
        <f t="shared" ref="AZ38:BE38" si="20">SUM(AZ36:AZ37)</f>
        <v>270478.67489000014</v>
      </c>
      <c r="BA38" s="287">
        <f t="shared" si="20"/>
        <v>416899.04434000002</v>
      </c>
      <c r="BB38" s="287">
        <f t="shared" si="20"/>
        <v>217625.99259000033</v>
      </c>
      <c r="BC38" s="287">
        <f t="shared" si="20"/>
        <v>363900.54139999987</v>
      </c>
      <c r="BD38" s="287">
        <f t="shared" si="20"/>
        <v>426177.97247999953</v>
      </c>
      <c r="BE38" s="287">
        <f t="shared" si="20"/>
        <v>414038.79673000029</v>
      </c>
    </row>
    <row r="39" spans="1:57" ht="15" thickBot="1">
      <c r="A39" s="118" t="s">
        <v>725</v>
      </c>
      <c r="B39" s="118" t="s">
        <v>897</v>
      </c>
      <c r="D39" s="300">
        <f>SUM(D40:D41)</f>
        <v>-18211.854940000005</v>
      </c>
      <c r="E39" s="300">
        <f t="shared" ref="E39:AS39" si="21">SUM(E40:E41)</f>
        <v>-18650.770120000001</v>
      </c>
      <c r="F39" s="300">
        <f t="shared" si="21"/>
        <v>-39178.374939999994</v>
      </c>
      <c r="G39" s="300">
        <f t="shared" si="21"/>
        <v>-31866.495669999989</v>
      </c>
      <c r="H39" s="300">
        <f t="shared" si="21"/>
        <v>-17452.059389999995</v>
      </c>
      <c r="I39" s="300">
        <f t="shared" si="21"/>
        <v>-15162.940610000005</v>
      </c>
      <c r="J39" s="300">
        <f t="shared" si="21"/>
        <v>-30901.846819999962</v>
      </c>
      <c r="K39" s="300">
        <f t="shared" si="21"/>
        <v>-29988.389330000035</v>
      </c>
      <c r="L39" s="300">
        <f t="shared" si="21"/>
        <v>-23003</v>
      </c>
      <c r="M39" s="300">
        <f t="shared" si="21"/>
        <v>4507</v>
      </c>
      <c r="N39" s="300">
        <f t="shared" si="21"/>
        <v>-6117.6607900001691</v>
      </c>
      <c r="O39" s="300">
        <f t="shared" si="21"/>
        <v>44796.693980000156</v>
      </c>
      <c r="P39" s="300">
        <f t="shared" si="21"/>
        <v>19430.372239999997</v>
      </c>
      <c r="Q39" s="300">
        <f t="shared" si="21"/>
        <v>15242.782919999969</v>
      </c>
      <c r="R39" s="300">
        <f t="shared" si="21"/>
        <v>10420.635799999989</v>
      </c>
      <c r="S39" s="300">
        <f t="shared" si="21"/>
        <v>-13889.206259999992</v>
      </c>
      <c r="T39" s="300">
        <f t="shared" si="21"/>
        <v>-15541.344730000004</v>
      </c>
      <c r="U39" s="300">
        <f t="shared" si="21"/>
        <v>-12071</v>
      </c>
      <c r="V39" s="300">
        <f t="shared" si="21"/>
        <v>4338</v>
      </c>
      <c r="W39" s="300">
        <f t="shared" si="21"/>
        <v>-1693</v>
      </c>
      <c r="X39" s="300">
        <f t="shared" si="21"/>
        <v>-14873</v>
      </c>
      <c r="Y39" s="300">
        <f t="shared" si="21"/>
        <v>-15305</v>
      </c>
      <c r="Z39" s="300">
        <f t="shared" si="21"/>
        <v>-10574</v>
      </c>
      <c r="AA39" s="300">
        <f t="shared" si="21"/>
        <v>71567</v>
      </c>
      <c r="AB39" s="300">
        <f t="shared" si="21"/>
        <v>-8221</v>
      </c>
      <c r="AC39" s="300">
        <f t="shared" si="21"/>
        <v>-10624</v>
      </c>
      <c r="AD39" s="300">
        <f t="shared" si="21"/>
        <v>656</v>
      </c>
      <c r="AE39" s="300">
        <f t="shared" si="21"/>
        <v>3224</v>
      </c>
      <c r="AF39" s="300">
        <f t="shared" si="21"/>
        <v>-16393</v>
      </c>
      <c r="AG39" s="300">
        <f t="shared" si="21"/>
        <v>3809</v>
      </c>
      <c r="AH39" s="300">
        <f t="shared" si="21"/>
        <v>-9606</v>
      </c>
      <c r="AI39" s="300">
        <f t="shared" si="21"/>
        <v>-20022</v>
      </c>
      <c r="AJ39" s="300">
        <f t="shared" si="21"/>
        <v>-27005</v>
      </c>
      <c r="AK39" s="300">
        <f t="shared" si="21"/>
        <v>-10746</v>
      </c>
      <c r="AL39" s="300">
        <f t="shared" si="21"/>
        <v>-19916</v>
      </c>
      <c r="AM39" s="300">
        <f t="shared" si="21"/>
        <v>-29306</v>
      </c>
      <c r="AN39" s="300">
        <f t="shared" si="21"/>
        <v>-16502</v>
      </c>
      <c r="AO39" s="300">
        <f t="shared" si="21"/>
        <v>-132999</v>
      </c>
      <c r="AP39" s="300">
        <f t="shared" si="21"/>
        <v>-52475</v>
      </c>
      <c r="AQ39" s="300">
        <f t="shared" si="21"/>
        <v>-7240</v>
      </c>
      <c r="AR39" s="300">
        <f t="shared" si="21"/>
        <v>-45487</v>
      </c>
      <c r="AS39" s="300">
        <f t="shared" si="21"/>
        <v>-45160</v>
      </c>
      <c r="AT39" s="300">
        <f t="shared" ref="AT39:AY39" si="22">SUM(AT40:AT41)</f>
        <v>-16716.156000000003</v>
      </c>
      <c r="AU39" s="300">
        <f t="shared" si="22"/>
        <v>-29889.614000000001</v>
      </c>
      <c r="AV39" s="300">
        <f t="shared" si="22"/>
        <v>-62018.052999999985</v>
      </c>
      <c r="AW39" s="300">
        <f t="shared" si="22"/>
        <v>-58759.452000000005</v>
      </c>
      <c r="AX39" s="300">
        <f t="shared" si="22"/>
        <v>-56096.964999999997</v>
      </c>
      <c r="AY39" s="300">
        <f t="shared" si="22"/>
        <v>-42433.056000000011</v>
      </c>
      <c r="AZ39" s="300">
        <f t="shared" ref="AZ39:BE39" si="23">SUM(AZ40:AZ41)</f>
        <v>-92995.964999999967</v>
      </c>
      <c r="BA39" s="300">
        <f t="shared" si="23"/>
        <v>-101135.33500000002</v>
      </c>
      <c r="BB39" s="300">
        <f t="shared" si="23"/>
        <v>-70750.122000000003</v>
      </c>
      <c r="BC39" s="300">
        <f t="shared" si="23"/>
        <v>-125667.40199999999</v>
      </c>
      <c r="BD39" s="300">
        <f t="shared" si="23"/>
        <v>-97315.527000000031</v>
      </c>
      <c r="BE39" s="300">
        <f t="shared" si="23"/>
        <v>-113853.08699999998</v>
      </c>
    </row>
    <row r="40" spans="1:57">
      <c r="A40" s="115" t="s">
        <v>727</v>
      </c>
      <c r="B40" s="115" t="s">
        <v>898</v>
      </c>
      <c r="D40" s="288">
        <v>31807</v>
      </c>
      <c r="E40" s="288">
        <v>27991.800000000003</v>
      </c>
      <c r="F40" s="288">
        <v>36904.199999999997</v>
      </c>
      <c r="G40" s="288">
        <v>34321.504330000011</v>
      </c>
      <c r="H40" s="288">
        <v>40661.580569999998</v>
      </c>
      <c r="I40" s="288">
        <v>38475.419430000002</v>
      </c>
      <c r="J40" s="288">
        <v>36450.92065</v>
      </c>
      <c r="K40" s="288">
        <v>268727.87357</v>
      </c>
      <c r="L40" s="288">
        <v>105378</v>
      </c>
      <c r="M40" s="288">
        <v>84076</v>
      </c>
      <c r="N40" s="288">
        <v>143230.36141999994</v>
      </c>
      <c r="O40" s="288">
        <v>133895.14516000001</v>
      </c>
      <c r="P40" s="288">
        <v>90623.914919999996</v>
      </c>
      <c r="Q40" s="288">
        <v>154814.23532000004</v>
      </c>
      <c r="R40" s="288">
        <v>81234.575330000007</v>
      </c>
      <c r="S40" s="288">
        <v>61181.272270000001</v>
      </c>
      <c r="T40" s="288">
        <v>58751.783490000009</v>
      </c>
      <c r="U40" s="288">
        <v>51485</v>
      </c>
      <c r="V40" s="288">
        <v>80233</v>
      </c>
      <c r="W40" s="288">
        <v>60471</v>
      </c>
      <c r="X40" s="288">
        <v>54563</v>
      </c>
      <c r="Y40" s="288">
        <v>55295</v>
      </c>
      <c r="Z40" s="288">
        <v>51587</v>
      </c>
      <c r="AA40" s="288">
        <v>154588</v>
      </c>
      <c r="AB40" s="288">
        <v>48913</v>
      </c>
      <c r="AC40" s="288">
        <v>52231</v>
      </c>
      <c r="AD40" s="289">
        <v>52416</v>
      </c>
      <c r="AE40" s="289">
        <v>49277</v>
      </c>
      <c r="AF40" s="289">
        <v>39609</v>
      </c>
      <c r="AG40" s="292">
        <v>30295</v>
      </c>
      <c r="AH40" s="292">
        <v>35428</v>
      </c>
      <c r="AI40" s="292">
        <v>46343</v>
      </c>
      <c r="AJ40" s="292">
        <v>63314</v>
      </c>
      <c r="AK40" s="292">
        <v>41303</v>
      </c>
      <c r="AL40" s="292">
        <v>33214</v>
      </c>
      <c r="AM40" s="292">
        <v>66105</v>
      </c>
      <c r="AN40" s="292">
        <v>125366</v>
      </c>
      <c r="AO40" s="292">
        <v>59625</v>
      </c>
      <c r="AP40" s="292">
        <v>79165</v>
      </c>
      <c r="AQ40" s="296">
        <v>85041</v>
      </c>
      <c r="AR40" s="296">
        <v>93580</v>
      </c>
      <c r="AS40" s="296">
        <v>104059</v>
      </c>
      <c r="AT40" s="297">
        <v>93595.925000000003</v>
      </c>
      <c r="AU40" s="297">
        <v>132800.52600000001</v>
      </c>
      <c r="AV40" s="297">
        <v>141169.11600000001</v>
      </c>
      <c r="AW40" s="297">
        <v>112493.04700000001</v>
      </c>
      <c r="AX40" s="297">
        <v>66584.05</v>
      </c>
      <c r="AY40" s="297">
        <v>211007.27</v>
      </c>
      <c r="AZ40" s="297">
        <v>224742.30900000001</v>
      </c>
      <c r="BA40" s="297">
        <v>173755.77299999999</v>
      </c>
      <c r="BB40" s="297">
        <v>71022.258000000002</v>
      </c>
      <c r="BC40" s="297">
        <v>17412.686000000002</v>
      </c>
      <c r="BD40" s="297">
        <v>218698.20499999999</v>
      </c>
      <c r="BE40" s="297">
        <v>103929.96</v>
      </c>
    </row>
    <row r="41" spans="1:57" ht="15" thickBot="1">
      <c r="A41" s="115" t="s">
        <v>744</v>
      </c>
      <c r="B41" s="115" t="s">
        <v>745</v>
      </c>
      <c r="D41" s="288">
        <v>-50018.854940000005</v>
      </c>
      <c r="E41" s="288">
        <v>-46642.570120000004</v>
      </c>
      <c r="F41" s="288">
        <v>-76082.574939999991</v>
      </c>
      <c r="G41" s="288">
        <v>-66188</v>
      </c>
      <c r="H41" s="288">
        <v>-58113.639959999993</v>
      </c>
      <c r="I41" s="288">
        <v>-53638.360040000007</v>
      </c>
      <c r="J41" s="288">
        <v>-67352.767469999962</v>
      </c>
      <c r="K41" s="288">
        <v>-298716.26290000003</v>
      </c>
      <c r="L41" s="288">
        <v>-128381</v>
      </c>
      <c r="M41" s="288">
        <v>-79569</v>
      </c>
      <c r="N41" s="288">
        <v>-149348.02221000011</v>
      </c>
      <c r="O41" s="288">
        <v>-89098.451179999858</v>
      </c>
      <c r="P41" s="288">
        <v>-71193.542679999999</v>
      </c>
      <c r="Q41" s="288">
        <v>-139571.45240000007</v>
      </c>
      <c r="R41" s="288">
        <v>-70813.939530000018</v>
      </c>
      <c r="S41" s="288">
        <v>-75070.478529999993</v>
      </c>
      <c r="T41" s="288">
        <v>-74293.128220000013</v>
      </c>
      <c r="U41" s="288">
        <v>-63556</v>
      </c>
      <c r="V41" s="288">
        <v>-75895</v>
      </c>
      <c r="W41" s="288">
        <v>-62164</v>
      </c>
      <c r="X41" s="288">
        <v>-69436</v>
      </c>
      <c r="Y41" s="288">
        <v>-70600</v>
      </c>
      <c r="Z41" s="288">
        <v>-62161</v>
      </c>
      <c r="AA41" s="288">
        <v>-83021</v>
      </c>
      <c r="AB41" s="288">
        <v>-57134</v>
      </c>
      <c r="AC41" s="288">
        <v>-62855</v>
      </c>
      <c r="AD41" s="289">
        <v>-51760</v>
      </c>
      <c r="AE41" s="289">
        <v>-46053</v>
      </c>
      <c r="AF41" s="289">
        <v>-56002</v>
      </c>
      <c r="AG41" s="292">
        <v>-26486</v>
      </c>
      <c r="AH41" s="292">
        <v>-45034</v>
      </c>
      <c r="AI41" s="292">
        <v>-66365</v>
      </c>
      <c r="AJ41" s="292">
        <v>-90319</v>
      </c>
      <c r="AK41" s="292">
        <v>-52049</v>
      </c>
      <c r="AL41" s="292">
        <v>-53130</v>
      </c>
      <c r="AM41" s="292">
        <v>-95411</v>
      </c>
      <c r="AN41" s="292">
        <v>-141868</v>
      </c>
      <c r="AO41" s="292">
        <v>-192624</v>
      </c>
      <c r="AP41" s="292">
        <v>-131640</v>
      </c>
      <c r="AQ41" s="296">
        <v>-92281</v>
      </c>
      <c r="AR41" s="296">
        <v>-139067</v>
      </c>
      <c r="AS41" s="296">
        <v>-149219</v>
      </c>
      <c r="AT41" s="297">
        <v>-110312.08100000001</v>
      </c>
      <c r="AU41" s="297">
        <v>-162690.14000000001</v>
      </c>
      <c r="AV41" s="297">
        <v>-203187.16899999999</v>
      </c>
      <c r="AW41" s="297">
        <v>-171252.49900000001</v>
      </c>
      <c r="AX41" s="297">
        <v>-122681.015</v>
      </c>
      <c r="AY41" s="297">
        <v>-253440.326</v>
      </c>
      <c r="AZ41" s="297">
        <v>-317738.27399999998</v>
      </c>
      <c r="BA41" s="297">
        <v>-274891.10800000001</v>
      </c>
      <c r="BB41" s="297">
        <v>-141772.38</v>
      </c>
      <c r="BC41" s="297">
        <v>-143080.08799999999</v>
      </c>
      <c r="BD41" s="297">
        <v>-316013.73200000002</v>
      </c>
      <c r="BE41" s="297">
        <v>-217783.04699999999</v>
      </c>
    </row>
    <row r="42" spans="1:57" ht="15" thickBot="1">
      <c r="A42" s="118" t="s">
        <v>899</v>
      </c>
      <c r="B42" s="118" t="s">
        <v>724</v>
      </c>
      <c r="D42" s="287">
        <f t="shared" ref="D42:AS42" si="24">SUM(D38:D39)</f>
        <v>30002.145059999995</v>
      </c>
      <c r="E42" s="287">
        <f t="shared" si="24"/>
        <v>71725.511110000079</v>
      </c>
      <c r="F42" s="287">
        <f t="shared" si="24"/>
        <v>97202.178230000296</v>
      </c>
      <c r="G42" s="287">
        <f t="shared" si="24"/>
        <v>42556.420590000052</v>
      </c>
      <c r="H42" s="287">
        <f t="shared" si="24"/>
        <v>27174</v>
      </c>
      <c r="I42" s="287">
        <f t="shared" si="24"/>
        <v>-31142.999999999854</v>
      </c>
      <c r="J42" s="287">
        <f t="shared" si="24"/>
        <v>105390.86309000036</v>
      </c>
      <c r="K42" s="287">
        <f t="shared" si="24"/>
        <v>299083.47076999972</v>
      </c>
      <c r="L42" s="287">
        <f t="shared" si="24"/>
        <v>59691.48596999998</v>
      </c>
      <c r="M42" s="287">
        <f t="shared" si="24"/>
        <v>74516.933540000056</v>
      </c>
      <c r="N42" s="287">
        <f t="shared" si="24"/>
        <v>160120.19446999847</v>
      </c>
      <c r="O42" s="287">
        <f t="shared" si="24"/>
        <v>148785.5249600024</v>
      </c>
      <c r="P42" s="287">
        <f t="shared" si="24"/>
        <v>63653.089190000159</v>
      </c>
      <c r="Q42" s="287">
        <f t="shared" si="24"/>
        <v>124609.04306000003</v>
      </c>
      <c r="R42" s="287">
        <f t="shared" si="24"/>
        <v>199521.62695000006</v>
      </c>
      <c r="S42" s="287">
        <f t="shared" si="24"/>
        <v>101629.23790999995</v>
      </c>
      <c r="T42" s="287">
        <f t="shared" si="24"/>
        <v>38254.040559999899</v>
      </c>
      <c r="U42" s="287">
        <f t="shared" si="24"/>
        <v>143286</v>
      </c>
      <c r="V42" s="287">
        <f t="shared" si="24"/>
        <v>228404</v>
      </c>
      <c r="W42" s="287">
        <f t="shared" si="24"/>
        <v>181615.04986999993</v>
      </c>
      <c r="X42" s="287">
        <f t="shared" si="24"/>
        <v>103211</v>
      </c>
      <c r="Y42" s="287">
        <f t="shared" si="24"/>
        <v>138743</v>
      </c>
      <c r="Z42" s="287">
        <f t="shared" si="24"/>
        <v>190833</v>
      </c>
      <c r="AA42" s="287">
        <f t="shared" si="24"/>
        <v>380489</v>
      </c>
      <c r="AB42" s="287">
        <f t="shared" si="24"/>
        <v>155638</v>
      </c>
      <c r="AC42" s="287">
        <f t="shared" si="24"/>
        <v>206587</v>
      </c>
      <c r="AD42" s="287">
        <f t="shared" si="24"/>
        <v>181832</v>
      </c>
      <c r="AE42" s="287">
        <f t="shared" si="24"/>
        <v>240424</v>
      </c>
      <c r="AF42" s="287">
        <f t="shared" si="24"/>
        <v>165973</v>
      </c>
      <c r="AG42" s="287">
        <f t="shared" si="24"/>
        <v>151936</v>
      </c>
      <c r="AH42" s="287">
        <f t="shared" si="24"/>
        <v>229353</v>
      </c>
      <c r="AI42" s="287">
        <f t="shared" si="24"/>
        <v>-2433</v>
      </c>
      <c r="AJ42" s="287">
        <f t="shared" si="24"/>
        <v>148627</v>
      </c>
      <c r="AK42" s="287">
        <f t="shared" si="24"/>
        <v>231966</v>
      </c>
      <c r="AL42" s="287">
        <f t="shared" si="24"/>
        <v>271263</v>
      </c>
      <c r="AM42" s="287">
        <f t="shared" si="24"/>
        <v>504131</v>
      </c>
      <c r="AN42" s="287">
        <f t="shared" si="24"/>
        <v>161936</v>
      </c>
      <c r="AO42" s="287">
        <f t="shared" si="24"/>
        <v>-1660</v>
      </c>
      <c r="AP42" s="287">
        <f t="shared" si="24"/>
        <v>110308</v>
      </c>
      <c r="AQ42" s="287">
        <f t="shared" si="24"/>
        <v>469614</v>
      </c>
      <c r="AR42" s="287">
        <f t="shared" si="24"/>
        <v>152067.00000000023</v>
      </c>
      <c r="AS42" s="287">
        <f t="shared" si="24"/>
        <v>197619</v>
      </c>
      <c r="AT42" s="287">
        <f t="shared" ref="AT42:BA42" si="25">SUM(AT38:AT39)</f>
        <v>240709.35200000007</v>
      </c>
      <c r="AU42" s="287">
        <f t="shared" si="25"/>
        <v>228610.67200000008</v>
      </c>
      <c r="AV42" s="287">
        <f t="shared" si="25"/>
        <v>193031.26299999995</v>
      </c>
      <c r="AW42" s="287">
        <f t="shared" si="25"/>
        <v>185443.70299999975</v>
      </c>
      <c r="AX42" s="287">
        <f t="shared" si="25"/>
        <v>244880.71200000055</v>
      </c>
      <c r="AY42" s="287">
        <f t="shared" si="25"/>
        <v>192384.0609999999</v>
      </c>
      <c r="AZ42" s="287">
        <f t="shared" si="25"/>
        <v>177482.70989000017</v>
      </c>
      <c r="BA42" s="287">
        <f t="shared" si="25"/>
        <v>315763.70934</v>
      </c>
      <c r="BB42" s="287">
        <f t="shared" ref="BB42:BD42" si="26">SUM(BB38:BB39)</f>
        <v>146875.87059000033</v>
      </c>
      <c r="BC42" s="287">
        <f t="shared" si="26"/>
        <v>238233.13939999987</v>
      </c>
      <c r="BD42" s="287">
        <f t="shared" si="26"/>
        <v>328862.44547999953</v>
      </c>
      <c r="BE42" s="287">
        <f>SUM(BE38:BE39)</f>
        <v>300185.70973000029</v>
      </c>
    </row>
    <row r="43" spans="1:57">
      <c r="A43" s="115" t="s">
        <v>768</v>
      </c>
      <c r="B43" s="115" t="s">
        <v>769</v>
      </c>
      <c r="D43" s="288">
        <v>-727</v>
      </c>
      <c r="E43" s="288">
        <v>-10949.01849</v>
      </c>
      <c r="F43" s="288">
        <v>2792.0184900000004</v>
      </c>
      <c r="G43" s="288">
        <v>-5276</v>
      </c>
      <c r="H43" s="288">
        <v>-8531</v>
      </c>
      <c r="I43" s="288">
        <v>4227</v>
      </c>
      <c r="J43" s="288">
        <v>-13948.08684</v>
      </c>
      <c r="K43" s="288">
        <v>-20824.730080000005</v>
      </c>
      <c r="L43" s="288">
        <v>-3547</v>
      </c>
      <c r="M43" s="288">
        <v>-7635.733119999999</v>
      </c>
      <c r="N43" s="288">
        <v>-5989.1582099999996</v>
      </c>
      <c r="O43" s="288">
        <v>-14796.244830000003</v>
      </c>
      <c r="P43" s="288">
        <v>-7307.72156</v>
      </c>
      <c r="Q43" s="288">
        <v>-14075.58632</v>
      </c>
      <c r="R43" s="288">
        <v>-14703.26273</v>
      </c>
      <c r="S43" s="288">
        <v>-4357.4177199999986</v>
      </c>
      <c r="T43" s="288">
        <v>-9121.3269799999998</v>
      </c>
      <c r="U43" s="288">
        <v>-9519</v>
      </c>
      <c r="V43" s="288">
        <v>-19022</v>
      </c>
      <c r="W43" s="288">
        <v>-20029</v>
      </c>
      <c r="X43" s="288">
        <v>-9143</v>
      </c>
      <c r="Y43" s="288">
        <v>-12982</v>
      </c>
      <c r="Z43" s="288">
        <v>-15621</v>
      </c>
      <c r="AA43" s="288">
        <v>-35516</v>
      </c>
      <c r="AB43" s="288">
        <v>-12793</v>
      </c>
      <c r="AC43" s="288">
        <v>-17683</v>
      </c>
      <c r="AD43" s="289">
        <v>-16427</v>
      </c>
      <c r="AE43" s="289">
        <v>-20439</v>
      </c>
      <c r="AF43" s="289">
        <v>-15957</v>
      </c>
      <c r="AG43" s="292">
        <v>-14243</v>
      </c>
      <c r="AH43" s="292">
        <v>-18968</v>
      </c>
      <c r="AI43" s="292">
        <v>-25276</v>
      </c>
      <c r="AJ43" s="292">
        <v>-14904</v>
      </c>
      <c r="AK43" s="292">
        <v>-25389</v>
      </c>
      <c r="AL43" s="292">
        <v>-16190</v>
      </c>
      <c r="AM43" s="292">
        <v>-3878</v>
      </c>
      <c r="AN43" s="292">
        <v>-11934</v>
      </c>
      <c r="AO43" s="292">
        <v>0</v>
      </c>
      <c r="AP43" s="292">
        <v>-10198</v>
      </c>
      <c r="AQ43" s="296">
        <v>-29190</v>
      </c>
      <c r="AR43" s="296">
        <v>-8430</v>
      </c>
      <c r="AS43" s="296">
        <v>-20420</v>
      </c>
      <c r="AT43" s="297">
        <v>-18214.61</v>
      </c>
      <c r="AU43" s="297">
        <v>14445.191999999999</v>
      </c>
      <c r="AV43" s="297">
        <v>-6984.5630000000001</v>
      </c>
      <c r="AW43" s="297">
        <v>-7800.5110000000004</v>
      </c>
      <c r="AX43" s="297">
        <v>-19215.963</v>
      </c>
      <c r="AY43" s="297">
        <v>-1494.482</v>
      </c>
      <c r="AZ43" s="297">
        <v>-6532.6369999999997</v>
      </c>
      <c r="BA43" s="297">
        <v>-29722.516</v>
      </c>
      <c r="BB43" s="297">
        <v>-21212.649000000001</v>
      </c>
      <c r="BC43" s="297">
        <v>-27392.877</v>
      </c>
      <c r="BD43" s="297">
        <v>-24290.84</v>
      </c>
      <c r="BE43" s="297">
        <v>-17785.510999999999</v>
      </c>
    </row>
    <row r="44" spans="1:57">
      <c r="A44" s="115" t="s">
        <v>770</v>
      </c>
      <c r="B44" s="115" t="s">
        <v>771</v>
      </c>
      <c r="D44" s="288">
        <v>-1966</v>
      </c>
      <c r="E44" s="288">
        <v>-29500.54696</v>
      </c>
      <c r="F44" s="288">
        <v>7471.5469599999997</v>
      </c>
      <c r="G44" s="288">
        <v>-9229</v>
      </c>
      <c r="H44" s="288">
        <v>-11580</v>
      </c>
      <c r="I44" s="288">
        <v>-78</v>
      </c>
      <c r="J44" s="288">
        <v>-32543.61537</v>
      </c>
      <c r="K44" s="288">
        <v>-25648.06151</v>
      </c>
      <c r="L44" s="288">
        <v>-9611</v>
      </c>
      <c r="M44" s="288">
        <v>-20536.208760000001</v>
      </c>
      <c r="N44" s="288">
        <v>-16264.17067</v>
      </c>
      <c r="O44" s="288">
        <v>-24608.941819999993</v>
      </c>
      <c r="P44" s="288">
        <v>-13244.736929999999</v>
      </c>
      <c r="Q44" s="288">
        <v>-19218.429059999999</v>
      </c>
      <c r="R44" s="288">
        <v>-25053.904169999998</v>
      </c>
      <c r="S44" s="288">
        <v>-18191.762260000007</v>
      </c>
      <c r="T44" s="288">
        <v>-11512.129199999999</v>
      </c>
      <c r="U44" s="288">
        <v>-20375</v>
      </c>
      <c r="V44" s="288">
        <v>-32842</v>
      </c>
      <c r="W44" s="288">
        <v>-32029</v>
      </c>
      <c r="X44" s="288">
        <v>-17733</v>
      </c>
      <c r="Y44" s="288">
        <v>-20965</v>
      </c>
      <c r="Z44" s="288">
        <v>-28903</v>
      </c>
      <c r="AA44" s="288">
        <v>-66768</v>
      </c>
      <c r="AB44" s="288">
        <v>-23554</v>
      </c>
      <c r="AC44" s="288">
        <v>-33995</v>
      </c>
      <c r="AD44" s="289">
        <v>-35350</v>
      </c>
      <c r="AE44" s="289">
        <v>-43067</v>
      </c>
      <c r="AF44" s="289">
        <v>-37057</v>
      </c>
      <c r="AG44" s="289">
        <v>-44898</v>
      </c>
      <c r="AH44" s="289">
        <v>-58057</v>
      </c>
      <c r="AI44" s="289">
        <v>-76743</v>
      </c>
      <c r="AJ44" s="289">
        <v>-50592</v>
      </c>
      <c r="AK44" s="289">
        <v>-75281</v>
      </c>
      <c r="AL44" s="289">
        <v>-51362</v>
      </c>
      <c r="AM44" s="289">
        <v>-19858</v>
      </c>
      <c r="AN44" s="289">
        <v>-38334</v>
      </c>
      <c r="AO44" s="289">
        <v>0</v>
      </c>
      <c r="AP44" s="292">
        <v>-29011</v>
      </c>
      <c r="AQ44" s="296">
        <v>-98842</v>
      </c>
      <c r="AR44" s="296">
        <v>-29472</v>
      </c>
      <c r="AS44" s="296">
        <v>-62844</v>
      </c>
      <c r="AT44" s="297">
        <v>-56917.595999999998</v>
      </c>
      <c r="AU44" s="297">
        <v>10362.227000000001</v>
      </c>
      <c r="AV44" s="297">
        <v>-24413.936000000002</v>
      </c>
      <c r="AW44" s="297">
        <v>-27129.073</v>
      </c>
      <c r="AX44" s="297">
        <v>-58865.116999999998</v>
      </c>
      <c r="AY44" s="297">
        <v>-18956.474999999999</v>
      </c>
      <c r="AZ44" s="297">
        <v>-23737.496999999999</v>
      </c>
      <c r="BA44" s="297">
        <v>-90838.64</v>
      </c>
      <c r="BB44" s="297">
        <v>-64261.561000000002</v>
      </c>
      <c r="BC44" s="297">
        <v>-79334.251000000004</v>
      </c>
      <c r="BD44" s="297">
        <v>-72359.934999999998</v>
      </c>
      <c r="BE44" s="297">
        <v>-53861.254999999997</v>
      </c>
    </row>
    <row r="45" spans="1:57">
      <c r="A45" s="115" t="s">
        <v>900</v>
      </c>
      <c r="B45" s="115" t="s">
        <v>901</v>
      </c>
      <c r="D45" s="288">
        <v>-10891</v>
      </c>
      <c r="E45" s="288">
        <v>18790.8639</v>
      </c>
      <c r="F45" s="288">
        <v>-43035.863899999997</v>
      </c>
      <c r="G45" s="288">
        <v>179</v>
      </c>
      <c r="H45" s="288">
        <v>11030</v>
      </c>
      <c r="I45" s="288">
        <v>6228</v>
      </c>
      <c r="J45" s="288">
        <v>10579.347850000002</v>
      </c>
      <c r="K45" s="288">
        <v>-54581.189530000003</v>
      </c>
      <c r="L45" s="288">
        <v>-12530</v>
      </c>
      <c r="M45" s="288">
        <v>-3959.4448200000006</v>
      </c>
      <c r="N45" s="288">
        <v>-20303.336639999998</v>
      </c>
      <c r="O45" s="288">
        <v>-10550.412669999998</v>
      </c>
      <c r="P45" s="288">
        <v>-12235.779309999998</v>
      </c>
      <c r="Q45" s="288">
        <v>-13971.265069999999</v>
      </c>
      <c r="R45" s="288">
        <v>-12140.635629999995</v>
      </c>
      <c r="S45" s="288">
        <v>-10827.055450000007</v>
      </c>
      <c r="T45" s="288">
        <v>7434.0502800000004</v>
      </c>
      <c r="U45" s="288">
        <v>-19401</v>
      </c>
      <c r="V45" s="288">
        <v>-25591</v>
      </c>
      <c r="W45" s="288">
        <v>-6693</v>
      </c>
      <c r="X45" s="288">
        <v>-8987</v>
      </c>
      <c r="Y45" s="288">
        <v>-14554</v>
      </c>
      <c r="Z45" s="288">
        <v>-17389</v>
      </c>
      <c r="AA45" s="288">
        <v>-24719</v>
      </c>
      <c r="AB45" s="288">
        <v>-16255</v>
      </c>
      <c r="AC45" s="288">
        <v>-16374</v>
      </c>
      <c r="AD45" s="289">
        <v>-11461</v>
      </c>
      <c r="AE45" s="289">
        <v>-15834</v>
      </c>
      <c r="AF45" s="289">
        <v>-3275</v>
      </c>
      <c r="AG45" s="289">
        <v>7623</v>
      </c>
      <c r="AH45" s="289">
        <v>-737</v>
      </c>
      <c r="AI45" s="289">
        <v>-9472</v>
      </c>
      <c r="AJ45" s="289">
        <v>-20880</v>
      </c>
      <c r="AK45" s="292">
        <v>24451</v>
      </c>
      <c r="AL45" s="292">
        <v>-26304</v>
      </c>
      <c r="AM45" s="292">
        <v>-76998</v>
      </c>
      <c r="AN45" s="292">
        <v>-4259</v>
      </c>
      <c r="AO45" s="292">
        <v>-174</v>
      </c>
      <c r="AP45" s="292">
        <v>-5615</v>
      </c>
      <c r="AQ45" s="296">
        <v>-30013</v>
      </c>
      <c r="AR45" s="296">
        <v>-14190</v>
      </c>
      <c r="AS45" s="296">
        <v>14687</v>
      </c>
      <c r="AT45" s="297">
        <v>-7121.0789999999997</v>
      </c>
      <c r="AU45" s="297">
        <v>-45756.873</v>
      </c>
      <c r="AV45" s="297">
        <v>-30818.718000000001</v>
      </c>
      <c r="AW45" s="297">
        <v>-25648.276999999998</v>
      </c>
      <c r="AX45" s="297">
        <v>-4398.18</v>
      </c>
      <c r="AY45" s="297">
        <v>-38537.023000000001</v>
      </c>
      <c r="AZ45" s="297">
        <v>-28762.376</v>
      </c>
      <c r="BA45" s="297">
        <v>11098.447</v>
      </c>
      <c r="BB45" s="297">
        <v>37531.696000000004</v>
      </c>
      <c r="BC45" s="297">
        <v>34140.639999999999</v>
      </c>
      <c r="BD45" s="297">
        <v>-15042.468999999999</v>
      </c>
      <c r="BE45" s="297">
        <v>-29714.276000000002</v>
      </c>
    </row>
    <row r="46" spans="1:57" ht="15" thickBot="1">
      <c r="A46" s="115" t="s">
        <v>772</v>
      </c>
      <c r="B46" s="115" t="s">
        <v>902</v>
      </c>
      <c r="D46" s="288">
        <v>1966</v>
      </c>
      <c r="E46" s="288">
        <v>29500.54696</v>
      </c>
      <c r="F46" s="288">
        <v>-7593.5469599999997</v>
      </c>
      <c r="G46" s="288">
        <v>9228</v>
      </c>
      <c r="H46" s="288">
        <v>11580</v>
      </c>
      <c r="I46" s="288">
        <v>78</v>
      </c>
      <c r="J46" s="288">
        <v>32543.61537</v>
      </c>
      <c r="K46" s="288">
        <v>25648.06151</v>
      </c>
      <c r="L46" s="288">
        <v>9611</v>
      </c>
      <c r="M46" s="288">
        <v>20536.208760000001</v>
      </c>
      <c r="N46" s="288">
        <v>16264.17067</v>
      </c>
      <c r="O46" s="288">
        <v>24608.941819999993</v>
      </c>
      <c r="P46" s="288">
        <v>13244.736929999999</v>
      </c>
      <c r="Q46" s="288">
        <v>19218.429059999999</v>
      </c>
      <c r="R46" s="288">
        <v>25053.904169999998</v>
      </c>
      <c r="S46" s="288">
        <v>18191.762260000007</v>
      </c>
      <c r="T46" s="288">
        <v>11512.129199999999</v>
      </c>
      <c r="U46" s="288">
        <v>20375</v>
      </c>
      <c r="V46" s="288">
        <v>32842</v>
      </c>
      <c r="W46" s="288">
        <v>32029</v>
      </c>
      <c r="X46" s="288">
        <v>17733</v>
      </c>
      <c r="Y46" s="288">
        <v>20965</v>
      </c>
      <c r="Z46" s="288">
        <v>28903</v>
      </c>
      <c r="AA46" s="288">
        <v>64759</v>
      </c>
      <c r="AB46" s="288">
        <v>23554</v>
      </c>
      <c r="AC46" s="288">
        <v>31914</v>
      </c>
      <c r="AD46" s="289">
        <v>35125</v>
      </c>
      <c r="AE46" s="289">
        <v>35232</v>
      </c>
      <c r="AF46" s="289">
        <v>29289</v>
      </c>
      <c r="AG46" s="289">
        <v>29060</v>
      </c>
      <c r="AH46" s="289">
        <v>41464</v>
      </c>
      <c r="AI46" s="289">
        <v>44256</v>
      </c>
      <c r="AJ46" s="289">
        <v>34332</v>
      </c>
      <c r="AK46" s="289">
        <v>41019</v>
      </c>
      <c r="AL46" s="289">
        <v>37788</v>
      </c>
      <c r="AM46" s="289">
        <v>31481</v>
      </c>
      <c r="AN46" s="289">
        <v>25688</v>
      </c>
      <c r="AO46" s="289">
        <v>31924</v>
      </c>
      <c r="AP46" s="292">
        <v>27465</v>
      </c>
      <c r="AQ46" s="296">
        <v>80442</v>
      </c>
      <c r="AR46" s="296">
        <v>61691</v>
      </c>
      <c r="AS46" s="296">
        <v>40271</v>
      </c>
      <c r="AT46" s="297">
        <v>44177.292000000001</v>
      </c>
      <c r="AU46" s="297">
        <v>36117.682000000001</v>
      </c>
      <c r="AV46" s="297">
        <v>24413.936000000002</v>
      </c>
      <c r="AW46" s="297">
        <v>25762.698</v>
      </c>
      <c r="AX46" s="297">
        <v>48282.231</v>
      </c>
      <c r="AY46" s="297">
        <v>91397.582999999999</v>
      </c>
      <c r="AZ46" s="297">
        <v>23737.496999999999</v>
      </c>
      <c r="BA46" s="297">
        <v>69756.297999999995</v>
      </c>
      <c r="BB46" s="297">
        <v>5398.1729999999998</v>
      </c>
      <c r="BC46" s="297">
        <v>63456.432999999997</v>
      </c>
      <c r="BD46" s="297">
        <v>55142.339</v>
      </c>
      <c r="BE46" s="297">
        <v>52467.311999999998</v>
      </c>
    </row>
    <row r="47" spans="1:57" ht="15" thickBot="1">
      <c r="A47" s="118" t="s">
        <v>903</v>
      </c>
      <c r="B47" s="118" t="s">
        <v>777</v>
      </c>
      <c r="D47" s="287">
        <f>SUM(D42:D46)</f>
        <v>18384.145059999995</v>
      </c>
      <c r="E47" s="287">
        <f t="shared" ref="E47:AS47" si="27">SUM(E42:E46)</f>
        <v>79567.356520000088</v>
      </c>
      <c r="F47" s="287">
        <f t="shared" si="27"/>
        <v>56836.332820000309</v>
      </c>
      <c r="G47" s="287">
        <f t="shared" si="27"/>
        <v>37458.420590000052</v>
      </c>
      <c r="H47" s="287">
        <f t="shared" si="27"/>
        <v>29673</v>
      </c>
      <c r="I47" s="287">
        <f t="shared" si="27"/>
        <v>-20687.999999999854</v>
      </c>
      <c r="J47" s="287">
        <f t="shared" si="27"/>
        <v>102022.12410000036</v>
      </c>
      <c r="K47" s="287">
        <f t="shared" si="27"/>
        <v>223677.55115999971</v>
      </c>
      <c r="L47" s="287">
        <f t="shared" si="27"/>
        <v>43614.48596999998</v>
      </c>
      <c r="M47" s="287">
        <f t="shared" si="27"/>
        <v>62921.755600000055</v>
      </c>
      <c r="N47" s="287">
        <f t="shared" si="27"/>
        <v>133827.69961999849</v>
      </c>
      <c r="O47" s="287">
        <f t="shared" si="27"/>
        <v>123438.86746000238</v>
      </c>
      <c r="P47" s="287">
        <f t="shared" si="27"/>
        <v>44109.588320000163</v>
      </c>
      <c r="Q47" s="287">
        <f t="shared" si="27"/>
        <v>96562.191670000029</v>
      </c>
      <c r="R47" s="287">
        <f t="shared" si="27"/>
        <v>172677.72859000007</v>
      </c>
      <c r="S47" s="287">
        <f t="shared" si="27"/>
        <v>86444.764739999941</v>
      </c>
      <c r="T47" s="287">
        <f t="shared" si="27"/>
        <v>36566.763859999905</v>
      </c>
      <c r="U47" s="287">
        <f t="shared" si="27"/>
        <v>114366</v>
      </c>
      <c r="V47" s="287">
        <f t="shared" si="27"/>
        <v>183791</v>
      </c>
      <c r="W47" s="287">
        <f t="shared" si="27"/>
        <v>154893.04986999993</v>
      </c>
      <c r="X47" s="287">
        <f t="shared" si="27"/>
        <v>85081</v>
      </c>
      <c r="Y47" s="287">
        <f t="shared" si="27"/>
        <v>111207</v>
      </c>
      <c r="Z47" s="287">
        <f t="shared" si="27"/>
        <v>157823</v>
      </c>
      <c r="AA47" s="287">
        <f t="shared" si="27"/>
        <v>318245</v>
      </c>
      <c r="AB47" s="287">
        <f t="shared" si="27"/>
        <v>126590</v>
      </c>
      <c r="AC47" s="287">
        <f t="shared" si="27"/>
        <v>170449</v>
      </c>
      <c r="AD47" s="287">
        <f t="shared" si="27"/>
        <v>153719</v>
      </c>
      <c r="AE47" s="287">
        <f t="shared" si="27"/>
        <v>196316</v>
      </c>
      <c r="AF47" s="287">
        <f t="shared" si="27"/>
        <v>138973</v>
      </c>
      <c r="AG47" s="287">
        <f t="shared" si="27"/>
        <v>129478</v>
      </c>
      <c r="AH47" s="287">
        <f t="shared" si="27"/>
        <v>193055</v>
      </c>
      <c r="AI47" s="287">
        <f t="shared" si="27"/>
        <v>-69668</v>
      </c>
      <c r="AJ47" s="287">
        <f t="shared" si="27"/>
        <v>96583</v>
      </c>
      <c r="AK47" s="287">
        <f t="shared" si="27"/>
        <v>196766</v>
      </c>
      <c r="AL47" s="287">
        <f t="shared" si="27"/>
        <v>215195</v>
      </c>
      <c r="AM47" s="287">
        <f t="shared" si="27"/>
        <v>434878</v>
      </c>
      <c r="AN47" s="287">
        <f t="shared" si="27"/>
        <v>133097</v>
      </c>
      <c r="AO47" s="287">
        <f t="shared" si="27"/>
        <v>30090</v>
      </c>
      <c r="AP47" s="287">
        <f t="shared" si="27"/>
        <v>92949</v>
      </c>
      <c r="AQ47" s="287">
        <f t="shared" si="27"/>
        <v>392011</v>
      </c>
      <c r="AR47" s="287">
        <f t="shared" si="27"/>
        <v>161666.00000000023</v>
      </c>
      <c r="AS47" s="287">
        <f t="shared" si="27"/>
        <v>169313</v>
      </c>
      <c r="AT47" s="287">
        <f t="shared" ref="AT47:BA47" si="28">SUM(AT42:AT46)</f>
        <v>202633.35900000011</v>
      </c>
      <c r="AU47" s="287">
        <f t="shared" si="28"/>
        <v>243778.90000000011</v>
      </c>
      <c r="AV47" s="287">
        <f t="shared" si="28"/>
        <v>155227.98199999996</v>
      </c>
      <c r="AW47" s="287">
        <f t="shared" si="28"/>
        <v>150628.53999999975</v>
      </c>
      <c r="AX47" s="287">
        <f t="shared" si="28"/>
        <v>210683.68300000057</v>
      </c>
      <c r="AY47" s="287">
        <f t="shared" si="28"/>
        <v>224793.66399999987</v>
      </c>
      <c r="AZ47" s="287">
        <f t="shared" si="28"/>
        <v>142187.69689000017</v>
      </c>
      <c r="BA47" s="287">
        <f t="shared" si="28"/>
        <v>276057.29833999998</v>
      </c>
      <c r="BB47" s="287">
        <f t="shared" ref="BB47:BD47" si="29">SUM(BB42:BB46)</f>
        <v>104331.52959000033</v>
      </c>
      <c r="BC47" s="287">
        <f t="shared" si="29"/>
        <v>229103.08439999985</v>
      </c>
      <c r="BD47" s="287">
        <f t="shared" si="29"/>
        <v>272311.5404799995</v>
      </c>
      <c r="BE47" s="287">
        <f>SUM(BE42:BE46)</f>
        <v>251291.97973000028</v>
      </c>
    </row>
  </sheetData>
  <pageMargins left="0.511811024" right="0.511811024" top="0.78740157499999996" bottom="0.78740157499999996" header="0.31496062000000002" footer="0.31496062000000002"/>
  <ignoredErrors>
    <ignoredError sqref="AN9:AX9" formulaRange="1"/>
  </ignoredErrors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9" tint="0.79998168889431442"/>
  </sheetPr>
  <dimension ref="A7:BE47"/>
  <sheetViews>
    <sheetView zoomScaleNormal="100" workbookViewId="0">
      <pane xSplit="2" topLeftCell="AS1" activePane="topRight" state="frozen"/>
      <selection pane="topRight" activeCell="AN20" sqref="AN20"/>
    </sheetView>
  </sheetViews>
  <sheetFormatPr defaultColWidth="9.21875" defaultRowHeight="14.4" outlineLevelCol="1"/>
  <cols>
    <col min="1" max="1" width="44.44140625" style="35" bestFit="1" customWidth="1"/>
    <col min="2" max="2" width="44.44140625" style="35" customWidth="1"/>
    <col min="3" max="3" width="0.5546875" style="35" customWidth="1"/>
    <col min="4" max="4" width="11.21875" style="35" hidden="1" customWidth="1" outlineLevel="1"/>
    <col min="5" max="5" width="12.21875" style="35" hidden="1" customWidth="1" outlineLevel="1"/>
    <col min="6" max="6" width="11.21875" style="35" hidden="1" customWidth="1" outlineLevel="1"/>
    <col min="7" max="7" width="12.21875" style="35" hidden="1" customWidth="1" outlineLevel="1"/>
    <col min="8" max="8" width="11.21875" style="35" hidden="1" customWidth="1" outlineLevel="1"/>
    <col min="9" max="11" width="12.21875" style="35" hidden="1" customWidth="1" outlineLevel="1"/>
    <col min="12" max="12" width="11.21875" style="35" hidden="1" customWidth="1" outlineLevel="1"/>
    <col min="13" max="13" width="12.21875" style="35" hidden="1" customWidth="1" outlineLevel="1"/>
    <col min="14" max="14" width="10.21875" style="35" hidden="1" customWidth="1" outlineLevel="1"/>
    <col min="15" max="15" width="11.21875" style="35" hidden="1" customWidth="1" outlineLevel="1"/>
    <col min="16" max="29" width="9.21875" style="35" hidden="1" customWidth="1" outlineLevel="1"/>
    <col min="30" max="39" width="9.5546875" style="35" hidden="1" customWidth="1" outlineLevel="1"/>
    <col min="40" max="40" width="9.5546875" style="35" bestFit="1" customWidth="1" collapsed="1"/>
    <col min="41" max="52" width="9.5546875" style="35" bestFit="1" customWidth="1"/>
    <col min="53" max="53" width="9.21875" style="35"/>
    <col min="54" max="57" width="9.5546875" style="35" bestFit="1" customWidth="1"/>
    <col min="58" max="16384" width="9.21875" style="35"/>
  </cols>
  <sheetData>
    <row r="7" spans="1:57">
      <c r="A7" s="38" t="s">
        <v>904</v>
      </c>
      <c r="B7" s="38" t="s">
        <v>904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ht="15" thickBot="1">
      <c r="A8" s="448" t="s">
        <v>846</v>
      </c>
      <c r="B8" s="448" t="s">
        <v>847</v>
      </c>
      <c r="C8" s="112"/>
      <c r="D8" s="449" t="s">
        <v>39</v>
      </c>
      <c r="E8" s="449" t="s">
        <v>40</v>
      </c>
      <c r="F8" s="449" t="s">
        <v>41</v>
      </c>
      <c r="G8" s="449" t="s">
        <v>42</v>
      </c>
      <c r="H8" s="449" t="s">
        <v>43</v>
      </c>
      <c r="I8" s="449" t="s">
        <v>44</v>
      </c>
      <c r="J8" s="449" t="s">
        <v>45</v>
      </c>
      <c r="K8" s="449" t="s">
        <v>46</v>
      </c>
      <c r="L8" s="449" t="s">
        <v>47</v>
      </c>
      <c r="M8" s="449" t="s">
        <v>48</v>
      </c>
      <c r="N8" s="449" t="s">
        <v>49</v>
      </c>
      <c r="O8" s="449" t="s">
        <v>50</v>
      </c>
      <c r="P8" s="449" t="s">
        <v>51</v>
      </c>
      <c r="Q8" s="449" t="s">
        <v>52</v>
      </c>
      <c r="R8" s="449" t="s">
        <v>53</v>
      </c>
      <c r="S8" s="449" t="s">
        <v>54</v>
      </c>
      <c r="T8" s="449" t="s">
        <v>55</v>
      </c>
      <c r="U8" s="449" t="s">
        <v>56</v>
      </c>
      <c r="V8" s="449" t="s">
        <v>57</v>
      </c>
      <c r="W8" s="449" t="s">
        <v>58</v>
      </c>
      <c r="X8" s="449" t="s">
        <v>59</v>
      </c>
      <c r="Y8" s="449" t="s">
        <v>60</v>
      </c>
      <c r="Z8" s="449" t="s">
        <v>61</v>
      </c>
      <c r="AA8" s="449" t="s">
        <v>62</v>
      </c>
      <c r="AB8" s="449" t="s">
        <v>63</v>
      </c>
      <c r="AC8" s="449" t="s">
        <v>64</v>
      </c>
      <c r="AD8" s="450" t="s">
        <v>65</v>
      </c>
      <c r="AE8" s="450" t="s">
        <v>66</v>
      </c>
      <c r="AF8" s="450" t="s">
        <v>67</v>
      </c>
      <c r="AG8" s="450" t="s">
        <v>68</v>
      </c>
      <c r="AH8" s="450" t="s">
        <v>69</v>
      </c>
      <c r="AI8" s="450" t="s">
        <v>70</v>
      </c>
      <c r="AJ8" s="450" t="s">
        <v>71</v>
      </c>
      <c r="AK8" s="450" t="s">
        <v>72</v>
      </c>
      <c r="AL8" s="450" t="s">
        <v>73</v>
      </c>
      <c r="AM8" s="450" t="s">
        <v>74</v>
      </c>
      <c r="AN8" s="450" t="s">
        <v>75</v>
      </c>
      <c r="AO8" s="450" t="s">
        <v>76</v>
      </c>
      <c r="AP8" s="450" t="s">
        <v>77</v>
      </c>
      <c r="AQ8" s="450" t="s">
        <v>78</v>
      </c>
      <c r="AR8" s="450" t="s">
        <v>79</v>
      </c>
      <c r="AS8" s="450" t="s">
        <v>80</v>
      </c>
      <c r="AT8" s="460" t="s">
        <v>81</v>
      </c>
      <c r="AU8" s="460" t="s">
        <v>82</v>
      </c>
      <c r="AV8" s="460" t="s">
        <v>83</v>
      </c>
      <c r="AW8" s="460" t="s">
        <v>84</v>
      </c>
      <c r="AX8" s="460" t="s">
        <v>85</v>
      </c>
      <c r="AY8" s="460" t="s">
        <v>86</v>
      </c>
      <c r="AZ8" s="460" t="s">
        <v>87</v>
      </c>
      <c r="BA8" s="460" t="s">
        <v>88</v>
      </c>
      <c r="BB8" s="460" t="s">
        <v>2074</v>
      </c>
      <c r="BC8" s="460" t="s">
        <v>2127</v>
      </c>
      <c r="BD8" s="460" t="s">
        <v>2360</v>
      </c>
      <c r="BE8" s="460" t="s">
        <v>2494</v>
      </c>
    </row>
    <row r="9" spans="1:57" ht="15" thickBot="1">
      <c r="A9" s="118" t="s">
        <v>596</v>
      </c>
      <c r="B9" s="118" t="s">
        <v>848</v>
      </c>
      <c r="C9" s="115"/>
      <c r="D9" s="287">
        <f t="shared" ref="D9:AS9" si="0">SUM(D10:D16)</f>
        <v>737835.0316000001</v>
      </c>
      <c r="E9" s="287">
        <f t="shared" si="0"/>
        <v>778821.28131000011</v>
      </c>
      <c r="F9" s="287">
        <f t="shared" si="0"/>
        <v>887400.01796999958</v>
      </c>
      <c r="G9" s="287">
        <f t="shared" si="0"/>
        <v>998616.80032000085</v>
      </c>
      <c r="H9" s="287">
        <f t="shared" si="0"/>
        <v>955961.67186000035</v>
      </c>
      <c r="I9" s="287">
        <f t="shared" si="0"/>
        <v>1067022.8706999996</v>
      </c>
      <c r="J9" s="287">
        <f t="shared" si="0"/>
        <v>1398660.7319500004</v>
      </c>
      <c r="K9" s="287">
        <f t="shared" si="0"/>
        <v>1821904.0955299991</v>
      </c>
      <c r="L9" s="287">
        <f t="shared" si="0"/>
        <v>1376259.4992800003</v>
      </c>
      <c r="M9" s="287">
        <f t="shared" si="0"/>
        <v>1453164.2323400001</v>
      </c>
      <c r="N9" s="287">
        <f t="shared" si="0"/>
        <v>1676587.2142199993</v>
      </c>
      <c r="O9" s="287">
        <f t="shared" si="0"/>
        <v>1617133.4973599927</v>
      </c>
      <c r="P9" s="287">
        <f t="shared" si="0"/>
        <v>1443099.79315</v>
      </c>
      <c r="Q9" s="287">
        <f t="shared" si="0"/>
        <v>1501119.4424200011</v>
      </c>
      <c r="R9" s="287">
        <f t="shared" si="0"/>
        <v>1687895.0060699994</v>
      </c>
      <c r="S9" s="287">
        <f t="shared" si="0"/>
        <v>1963121.7770900002</v>
      </c>
      <c r="T9" s="287">
        <f t="shared" si="0"/>
        <v>1474852.7886899996</v>
      </c>
      <c r="U9" s="287">
        <f t="shared" si="0"/>
        <v>1758275.2905099995</v>
      </c>
      <c r="V9" s="287">
        <f t="shared" si="0"/>
        <v>1994086</v>
      </c>
      <c r="W9" s="287">
        <f t="shared" si="0"/>
        <v>2102405</v>
      </c>
      <c r="X9" s="287">
        <f t="shared" si="0"/>
        <v>1753198</v>
      </c>
      <c r="Y9" s="287">
        <f t="shared" si="0"/>
        <v>1856683.7679199993</v>
      </c>
      <c r="Z9" s="287">
        <f t="shared" si="0"/>
        <v>2097705.19606</v>
      </c>
      <c r="AA9" s="287">
        <f t="shared" si="0"/>
        <v>1991519.0395799999</v>
      </c>
      <c r="AB9" s="287">
        <f t="shared" si="0"/>
        <v>1850157.4807299995</v>
      </c>
      <c r="AC9" s="287">
        <f t="shared" si="0"/>
        <v>1797003.6431700005</v>
      </c>
      <c r="AD9" s="287">
        <f t="shared" si="0"/>
        <v>2130290</v>
      </c>
      <c r="AE9" s="287">
        <f t="shared" si="0"/>
        <v>2375007</v>
      </c>
      <c r="AF9" s="287">
        <f t="shared" si="0"/>
        <v>1850304</v>
      </c>
      <c r="AG9" s="287">
        <f t="shared" si="0"/>
        <v>1585421</v>
      </c>
      <c r="AH9" s="287">
        <f t="shared" si="0"/>
        <v>2103658</v>
      </c>
      <c r="AI9" s="287">
        <f t="shared" si="0"/>
        <v>2472608</v>
      </c>
      <c r="AJ9" s="287">
        <f t="shared" si="0"/>
        <v>2083404</v>
      </c>
      <c r="AK9" s="287">
        <f t="shared" si="0"/>
        <v>2093924</v>
      </c>
      <c r="AL9" s="287">
        <f t="shared" si="0"/>
        <v>3186243</v>
      </c>
      <c r="AM9" s="287">
        <f t="shared" si="0"/>
        <v>3395027</v>
      </c>
      <c r="AN9" s="287">
        <f t="shared" si="0"/>
        <v>2620387</v>
      </c>
      <c r="AO9" s="287">
        <f t="shared" si="0"/>
        <v>2868206</v>
      </c>
      <c r="AP9" s="287">
        <f t="shared" si="0"/>
        <v>2702007</v>
      </c>
      <c r="AQ9" s="287">
        <f t="shared" si="0"/>
        <v>3071195</v>
      </c>
      <c r="AR9" s="287">
        <f t="shared" si="0"/>
        <v>2970012</v>
      </c>
      <c r="AS9" s="287">
        <f t="shared" si="0"/>
        <v>3062304</v>
      </c>
      <c r="AT9" s="287">
        <f t="shared" ref="AT9:AZ9" si="1">SUM(AT10:AT16)</f>
        <v>3587257.0819999995</v>
      </c>
      <c r="AU9" s="287">
        <f t="shared" si="1"/>
        <v>3703048.9940000004</v>
      </c>
      <c r="AV9" s="287">
        <f t="shared" si="1"/>
        <v>3209287.8759999997</v>
      </c>
      <c r="AW9" s="287">
        <f t="shared" si="1"/>
        <v>3410702.5479999995</v>
      </c>
      <c r="AX9" s="287">
        <f t="shared" si="1"/>
        <v>3798695.0890000002</v>
      </c>
      <c r="AY9" s="287">
        <f t="shared" si="1"/>
        <v>3884085.5819999999</v>
      </c>
      <c r="AZ9" s="287">
        <f t="shared" si="1"/>
        <v>3416120.9409999996</v>
      </c>
      <c r="BA9" s="287">
        <f>SUM(BA10:BA16)</f>
        <v>3889471.3049999997</v>
      </c>
      <c r="BB9" s="287">
        <f>SUM(BB10:BB16)</f>
        <v>4118371.1609999998</v>
      </c>
      <c r="BC9" s="287">
        <f>SUM(BC10:BC16)</f>
        <v>4356678.7759999996</v>
      </c>
      <c r="BD9" s="287">
        <f>SUM(BD10:BD16)</f>
        <v>3873145.892</v>
      </c>
      <c r="BE9" s="287">
        <f>SUM(BE10:BE16)</f>
        <v>4209503.8160000006</v>
      </c>
    </row>
    <row r="10" spans="1:57">
      <c r="A10" s="115" t="s">
        <v>849</v>
      </c>
      <c r="B10" s="115" t="s">
        <v>850</v>
      </c>
      <c r="C10" s="115"/>
      <c r="D10" s="288">
        <v>643614.66236000007</v>
      </c>
      <c r="E10" s="288">
        <v>640363.46860000014</v>
      </c>
      <c r="F10" s="288">
        <v>749576.08449999965</v>
      </c>
      <c r="G10" s="288">
        <v>826768.0740100008</v>
      </c>
      <c r="H10" s="288">
        <v>790217.37908000033</v>
      </c>
      <c r="I10" s="288">
        <v>861984.21748999984</v>
      </c>
      <c r="J10" s="288">
        <v>1021280.0737100004</v>
      </c>
      <c r="K10" s="288">
        <v>1627328.5173199992</v>
      </c>
      <c r="L10" s="288">
        <v>1182097.2433200004</v>
      </c>
      <c r="M10" s="288">
        <v>1298427</v>
      </c>
      <c r="N10" s="288">
        <v>1366335.568269999</v>
      </c>
      <c r="O10" s="288">
        <v>1537435.078249993</v>
      </c>
      <c r="P10" s="288">
        <v>1248583.77575</v>
      </c>
      <c r="Q10" s="288">
        <v>1237497.0002000011</v>
      </c>
      <c r="R10" s="288">
        <v>1408059.7287699995</v>
      </c>
      <c r="S10" s="288">
        <v>1626336.6168500003</v>
      </c>
      <c r="T10" s="288">
        <v>1209520.5522299996</v>
      </c>
      <c r="U10" s="288">
        <v>1495423.1860099996</v>
      </c>
      <c r="V10" s="288">
        <v>1727271</v>
      </c>
      <c r="W10" s="288">
        <v>1732674</v>
      </c>
      <c r="X10" s="288">
        <v>1298474</v>
      </c>
      <c r="Y10" s="288">
        <v>1548718.3337399994</v>
      </c>
      <c r="Z10" s="288">
        <v>1744126.9170599999</v>
      </c>
      <c r="AA10" s="288">
        <v>1634617.9949199997</v>
      </c>
      <c r="AB10" s="288">
        <v>1534382.3431599995</v>
      </c>
      <c r="AC10" s="288">
        <v>1513492.9954600004</v>
      </c>
      <c r="AD10" s="289">
        <v>1777397</v>
      </c>
      <c r="AE10" s="289">
        <v>1862017</v>
      </c>
      <c r="AF10" s="289">
        <v>1580838</v>
      </c>
      <c r="AG10" s="289">
        <v>1350840</v>
      </c>
      <c r="AH10" s="289">
        <v>1844593</v>
      </c>
      <c r="AI10" s="289">
        <v>1966503</v>
      </c>
      <c r="AJ10" s="289">
        <v>1763736</v>
      </c>
      <c r="AK10" s="289">
        <v>1716106</v>
      </c>
      <c r="AL10" s="289">
        <v>2442030</v>
      </c>
      <c r="AM10" s="289">
        <v>2654050</v>
      </c>
      <c r="AN10" s="289">
        <v>1994754</v>
      </c>
      <c r="AO10" s="289">
        <v>2142547</v>
      </c>
      <c r="AP10" s="289">
        <v>2210386</v>
      </c>
      <c r="AQ10" s="289">
        <v>2304221</v>
      </c>
      <c r="AR10" s="289">
        <v>2196070</v>
      </c>
      <c r="AS10" s="289">
        <v>2336089</v>
      </c>
      <c r="AT10" s="302">
        <v>2522416.2289999998</v>
      </c>
      <c r="AU10" s="302">
        <v>2618573.7680000002</v>
      </c>
      <c r="AV10" s="302">
        <v>2380406.0159999998</v>
      </c>
      <c r="AW10" s="302">
        <v>2505097.9589999998</v>
      </c>
      <c r="AX10" s="302">
        <v>2825763.29</v>
      </c>
      <c r="AY10" s="302">
        <v>2766800.9909999999</v>
      </c>
      <c r="AZ10" s="302">
        <v>2313653.1460000002</v>
      </c>
      <c r="BA10" s="291">
        <v>2696146.926</v>
      </c>
      <c r="BB10" s="302">
        <v>2817036.301</v>
      </c>
      <c r="BC10" s="302">
        <v>3012114.7949999999</v>
      </c>
      <c r="BD10" s="302">
        <v>2541870.61</v>
      </c>
      <c r="BE10" s="302">
        <v>3133973.3990000002</v>
      </c>
    </row>
    <row r="11" spans="1:57">
      <c r="A11" s="115" t="s">
        <v>602</v>
      </c>
      <c r="B11" s="115" t="s">
        <v>603</v>
      </c>
      <c r="C11" s="115"/>
      <c r="D11" s="288">
        <v>0</v>
      </c>
      <c r="E11" s="288">
        <v>55082.11767</v>
      </c>
      <c r="F11" s="288">
        <v>14866.145670000002</v>
      </c>
      <c r="G11" s="288">
        <v>16876.485409999998</v>
      </c>
      <c r="H11" s="288">
        <v>27156.769850000001</v>
      </c>
      <c r="I11" s="288">
        <v>8668.4246700000022</v>
      </c>
      <c r="J11" s="288">
        <v>15438.547709999993</v>
      </c>
      <c r="K11" s="288">
        <v>-11641.896849999994</v>
      </c>
      <c r="L11" s="288">
        <v>8720.9460299999992</v>
      </c>
      <c r="M11" s="288">
        <v>1091.0873100000006</v>
      </c>
      <c r="N11" s="288">
        <v>149757.93368000002</v>
      </c>
      <c r="O11" s="288">
        <v>-131583.95649000001</v>
      </c>
      <c r="P11" s="288">
        <v>37063.224170000001</v>
      </c>
      <c r="Q11" s="288">
        <v>49237.452680000002</v>
      </c>
      <c r="R11" s="288">
        <v>47312.54929000001</v>
      </c>
      <c r="S11" s="288">
        <v>56511.367499999986</v>
      </c>
      <c r="T11" s="288">
        <v>13838.978580000001</v>
      </c>
      <c r="U11" s="288">
        <v>2410.3433799999993</v>
      </c>
      <c r="V11" s="288">
        <v>9944</v>
      </c>
      <c r="W11" s="288">
        <v>22808</v>
      </c>
      <c r="X11" s="288">
        <v>218788</v>
      </c>
      <c r="Y11" s="288">
        <v>33721.918990000013</v>
      </c>
      <c r="Z11" s="288">
        <v>59236.028969999978</v>
      </c>
      <c r="AA11" s="288">
        <v>21376.096500000043</v>
      </c>
      <c r="AB11" s="288">
        <v>19556.677359999998</v>
      </c>
      <c r="AC11" s="288">
        <v>11539.999460000001</v>
      </c>
      <c r="AD11" s="289">
        <v>56243</v>
      </c>
      <c r="AE11" s="289">
        <v>61376</v>
      </c>
      <c r="AF11" s="289">
        <v>18721</v>
      </c>
      <c r="AG11" s="289">
        <v>8119</v>
      </c>
      <c r="AH11" s="289">
        <v>-1837</v>
      </c>
      <c r="AI11" s="289">
        <v>94094</v>
      </c>
      <c r="AJ11" s="289">
        <v>6801</v>
      </c>
      <c r="AK11" s="289">
        <v>9288</v>
      </c>
      <c r="AL11" s="289">
        <v>158336</v>
      </c>
      <c r="AM11" s="289">
        <v>131470</v>
      </c>
      <c r="AN11" s="289">
        <v>15422</v>
      </c>
      <c r="AO11" s="289">
        <v>9791</v>
      </c>
      <c r="AP11" s="289">
        <v>1184</v>
      </c>
      <c r="AQ11" s="289">
        <v>7432</v>
      </c>
      <c r="AR11" s="289">
        <v>12636</v>
      </c>
      <c r="AS11" s="289">
        <v>3437</v>
      </c>
      <c r="AT11" s="302">
        <v>6918.0450000000001</v>
      </c>
      <c r="AU11" s="302">
        <v>179.84399999999999</v>
      </c>
      <c r="AV11" s="302">
        <v>753.24900000000002</v>
      </c>
      <c r="AW11" s="302">
        <v>8502.1440000000002</v>
      </c>
      <c r="AX11" s="302">
        <v>40666.824000000001</v>
      </c>
      <c r="AY11" s="302">
        <v>5108.2730000000001</v>
      </c>
      <c r="AZ11" s="302">
        <v>18006.151000000002</v>
      </c>
      <c r="BA11" s="291">
        <v>46363.538999999997</v>
      </c>
      <c r="BB11" s="302">
        <v>8478.9930000000004</v>
      </c>
      <c r="BC11" s="302">
        <v>17530.724999999999</v>
      </c>
      <c r="BD11" s="302">
        <v>66291.986999999994</v>
      </c>
      <c r="BE11" s="302">
        <v>-38843.423999999999</v>
      </c>
    </row>
    <row r="12" spans="1:57">
      <c r="A12" s="115" t="s">
        <v>606</v>
      </c>
      <c r="B12" s="115" t="s">
        <v>851</v>
      </c>
      <c r="C12" s="115"/>
      <c r="D12" s="288">
        <v>88051.515949999986</v>
      </c>
      <c r="E12" s="288">
        <v>76835.267430000022</v>
      </c>
      <c r="F12" s="288">
        <v>117304.14954999993</v>
      </c>
      <c r="G12" s="288">
        <v>144462.90856000013</v>
      </c>
      <c r="H12" s="288">
        <v>124861.26031999999</v>
      </c>
      <c r="I12" s="288">
        <v>181174.9455</v>
      </c>
      <c r="J12" s="288">
        <v>307998.86126000015</v>
      </c>
      <c r="K12" s="288">
        <v>244520.81526999999</v>
      </c>
      <c r="L12" s="288">
        <v>179949.73270999998</v>
      </c>
      <c r="M12" s="288">
        <v>144460.55298999994</v>
      </c>
      <c r="N12" s="288">
        <v>152046.51736000009</v>
      </c>
      <c r="O12" s="288">
        <v>186927.51971999984</v>
      </c>
      <c r="P12" s="288">
        <v>142749.01282</v>
      </c>
      <c r="Q12" s="288">
        <v>207437.23362000001</v>
      </c>
      <c r="R12" s="288">
        <v>213709.16243</v>
      </c>
      <c r="S12" s="288">
        <v>245943.62796000004</v>
      </c>
      <c r="T12" s="288">
        <v>200228.92356</v>
      </c>
      <c r="U12" s="288">
        <v>212287.28170999998</v>
      </c>
      <c r="V12" s="288">
        <v>188962</v>
      </c>
      <c r="W12" s="288">
        <v>263623</v>
      </c>
      <c r="X12" s="288">
        <v>166777</v>
      </c>
      <c r="Y12" s="288">
        <v>203449.31559999997</v>
      </c>
      <c r="Z12" s="288">
        <v>191528.80671000003</v>
      </c>
      <c r="AA12" s="288">
        <v>248126.25462999998</v>
      </c>
      <c r="AB12" s="288">
        <v>193715</v>
      </c>
      <c r="AC12" s="288">
        <v>160780.81066999995</v>
      </c>
      <c r="AD12" s="289">
        <v>203397</v>
      </c>
      <c r="AE12" s="289">
        <v>215139</v>
      </c>
      <c r="AF12" s="289">
        <v>148450</v>
      </c>
      <c r="AG12" s="289">
        <v>165630</v>
      </c>
      <c r="AH12" s="289">
        <v>158004</v>
      </c>
      <c r="AI12" s="289">
        <v>208669</v>
      </c>
      <c r="AJ12" s="289">
        <v>186005</v>
      </c>
      <c r="AK12" s="289">
        <v>223051</v>
      </c>
      <c r="AL12" s="289">
        <v>342498</v>
      </c>
      <c r="AM12" s="289">
        <v>389791</v>
      </c>
      <c r="AN12" s="289">
        <v>334357</v>
      </c>
      <c r="AO12" s="289">
        <v>440645</v>
      </c>
      <c r="AP12" s="289">
        <v>497348</v>
      </c>
      <c r="AQ12" s="289">
        <v>564048</v>
      </c>
      <c r="AR12" s="289">
        <v>614464</v>
      </c>
      <c r="AS12" s="289">
        <v>477697</v>
      </c>
      <c r="AT12" s="302">
        <v>603922.06900000002</v>
      </c>
      <c r="AU12" s="302">
        <v>773379.52599999995</v>
      </c>
      <c r="AV12" s="302">
        <v>520676.67700000003</v>
      </c>
      <c r="AW12" s="302">
        <v>563300.90700000001</v>
      </c>
      <c r="AX12" s="302">
        <v>691353.46400000004</v>
      </c>
      <c r="AY12" s="302">
        <v>828969.01599999995</v>
      </c>
      <c r="AZ12" s="302">
        <v>719798.78599999996</v>
      </c>
      <c r="BA12" s="291">
        <v>856164.571</v>
      </c>
      <c r="BB12" s="302">
        <v>920173.19</v>
      </c>
      <c r="BC12" s="302">
        <v>972457.94799999997</v>
      </c>
      <c r="BD12" s="302">
        <v>786701.08</v>
      </c>
      <c r="BE12" s="302">
        <v>716052.77599999995</v>
      </c>
    </row>
    <row r="13" spans="1:57">
      <c r="A13" s="115" t="s">
        <v>852</v>
      </c>
      <c r="B13" s="115" t="s">
        <v>853</v>
      </c>
      <c r="C13" s="115"/>
      <c r="D13" s="288"/>
      <c r="E13" s="288"/>
      <c r="F13" s="288"/>
      <c r="G13" s="288"/>
      <c r="H13" s="288"/>
      <c r="I13" s="288"/>
      <c r="J13" s="288"/>
      <c r="K13" s="288"/>
      <c r="L13" s="288"/>
      <c r="M13" s="288"/>
      <c r="N13" s="288"/>
      <c r="O13" s="288"/>
      <c r="P13" s="288"/>
      <c r="Q13" s="288"/>
      <c r="R13" s="288"/>
      <c r="S13" s="288"/>
      <c r="T13" s="288"/>
      <c r="U13" s="288"/>
      <c r="V13" s="288"/>
      <c r="W13" s="288"/>
      <c r="X13" s="288"/>
      <c r="Y13" s="288"/>
      <c r="Z13" s="288"/>
      <c r="AA13" s="288"/>
      <c r="AB13" s="288"/>
      <c r="AC13" s="288"/>
      <c r="AD13" s="289"/>
      <c r="AE13" s="289"/>
      <c r="AF13" s="289"/>
      <c r="AG13" s="289"/>
      <c r="AH13" s="289"/>
      <c r="AI13" s="289"/>
      <c r="AJ13" s="289"/>
      <c r="AK13" s="289"/>
      <c r="AL13" s="289"/>
      <c r="AM13" s="289"/>
      <c r="AN13" s="289"/>
      <c r="AO13" s="289"/>
      <c r="AP13" s="289"/>
      <c r="AQ13" s="289"/>
      <c r="AR13" s="289">
        <v>-28603.40699000001</v>
      </c>
      <c r="AS13" s="289">
        <v>82859.296699999992</v>
      </c>
      <c r="AT13" s="302">
        <v>259078.97680000003</v>
      </c>
      <c r="AU13" s="302">
        <v>64072.268199999955</v>
      </c>
      <c r="AV13" s="302">
        <v>100832.17585999999</v>
      </c>
      <c r="AW13" s="302">
        <v>108586.37893000001</v>
      </c>
      <c r="AX13" s="302">
        <v>-350.64313000001755</v>
      </c>
      <c r="AY13" s="302">
        <v>94848.462300000028</v>
      </c>
      <c r="AZ13" s="302">
        <v>151953.87767000002</v>
      </c>
      <c r="BA13" s="291">
        <v>57081.760909999975</v>
      </c>
      <c r="BB13" s="302">
        <v>76809.886990000028</v>
      </c>
      <c r="BC13" s="302">
        <v>47247.531900000009</v>
      </c>
      <c r="BD13" s="302">
        <v>178241.94897</v>
      </c>
      <c r="BE13" s="302">
        <v>140202.06556999998</v>
      </c>
    </row>
    <row r="14" spans="1:57">
      <c r="A14" s="115" t="s">
        <v>854</v>
      </c>
      <c r="B14" s="115" t="s">
        <v>855</v>
      </c>
      <c r="C14" s="115"/>
      <c r="D14" s="288"/>
      <c r="E14" s="288"/>
      <c r="F14" s="288"/>
      <c r="G14" s="288"/>
      <c r="H14" s="288"/>
      <c r="I14" s="288"/>
      <c r="J14" s="288"/>
      <c r="K14" s="288"/>
      <c r="L14" s="288"/>
      <c r="M14" s="288"/>
      <c r="N14" s="288"/>
      <c r="O14" s="288"/>
      <c r="P14" s="288"/>
      <c r="Q14" s="288"/>
      <c r="R14" s="288"/>
      <c r="S14" s="288"/>
      <c r="T14" s="288"/>
      <c r="U14" s="288"/>
      <c r="V14" s="288"/>
      <c r="W14" s="288"/>
      <c r="X14" s="288"/>
      <c r="Y14" s="288"/>
      <c r="Z14" s="288"/>
      <c r="AA14" s="288"/>
      <c r="AB14" s="288"/>
      <c r="AC14" s="288"/>
      <c r="AD14" s="289"/>
      <c r="AE14" s="289"/>
      <c r="AF14" s="289"/>
      <c r="AG14" s="289"/>
      <c r="AH14" s="289"/>
      <c r="AI14" s="289"/>
      <c r="AJ14" s="289"/>
      <c r="AK14" s="289"/>
      <c r="AL14" s="289"/>
      <c r="AM14" s="289"/>
      <c r="AN14" s="289"/>
      <c r="AO14" s="289"/>
      <c r="AP14" s="289"/>
      <c r="AQ14" s="289"/>
      <c r="AR14" s="289">
        <v>18782.333480000001</v>
      </c>
      <c r="AS14" s="289">
        <v>19034.265459999995</v>
      </c>
      <c r="AT14" s="302">
        <v>21878.982180000003</v>
      </c>
      <c r="AU14" s="302">
        <v>26669.59953000001</v>
      </c>
      <c r="AV14" s="302">
        <v>23960.276549999999</v>
      </c>
      <c r="AW14" s="302">
        <v>23702.6643</v>
      </c>
      <c r="AX14" s="302">
        <v>26248.532859999992</v>
      </c>
      <c r="AY14" s="302">
        <v>29582.594240000009</v>
      </c>
      <c r="AZ14" s="302">
        <v>23791.36865</v>
      </c>
      <c r="BA14" s="291">
        <v>22175.509090000003</v>
      </c>
      <c r="BB14" s="302">
        <v>25202.125490000002</v>
      </c>
      <c r="BC14" s="302">
        <v>27679.576950000002</v>
      </c>
      <c r="BD14" s="302">
        <v>24567.657889999999</v>
      </c>
      <c r="BE14" s="302">
        <v>23027.01957</v>
      </c>
    </row>
    <row r="15" spans="1:57">
      <c r="A15" s="115" t="s">
        <v>856</v>
      </c>
      <c r="B15" s="115" t="s">
        <v>857</v>
      </c>
      <c r="C15" s="115"/>
      <c r="D15" s="288"/>
      <c r="E15" s="288"/>
      <c r="F15" s="288"/>
      <c r="G15" s="288"/>
      <c r="H15" s="288"/>
      <c r="I15" s="288"/>
      <c r="J15" s="288"/>
      <c r="K15" s="288"/>
      <c r="L15" s="288"/>
      <c r="M15" s="288"/>
      <c r="N15" s="288"/>
      <c r="O15" s="288"/>
      <c r="P15" s="288"/>
      <c r="Q15" s="288"/>
      <c r="R15" s="288"/>
      <c r="S15" s="288"/>
      <c r="T15" s="288"/>
      <c r="U15" s="288"/>
      <c r="V15" s="288"/>
      <c r="W15" s="288"/>
      <c r="X15" s="288"/>
      <c r="Y15" s="288"/>
      <c r="Z15" s="288"/>
      <c r="AA15" s="288"/>
      <c r="AB15" s="288"/>
      <c r="AC15" s="288"/>
      <c r="AD15" s="289"/>
      <c r="AE15" s="289"/>
      <c r="AF15" s="289"/>
      <c r="AG15" s="289"/>
      <c r="AH15" s="289"/>
      <c r="AI15" s="289"/>
      <c r="AJ15" s="289"/>
      <c r="AK15" s="289"/>
      <c r="AL15" s="289"/>
      <c r="AM15" s="289"/>
      <c r="AN15" s="289"/>
      <c r="AO15" s="289"/>
      <c r="AP15" s="289"/>
      <c r="AQ15" s="289"/>
      <c r="AR15" s="289">
        <v>17373.521369999999</v>
      </c>
      <c r="AS15" s="289">
        <v>22969.713940000005</v>
      </c>
      <c r="AT15" s="302">
        <v>20621.161809999998</v>
      </c>
      <c r="AU15" s="302">
        <v>18703.573180000014</v>
      </c>
      <c r="AV15" s="302">
        <v>21159.136129999999</v>
      </c>
      <c r="AW15" s="302">
        <v>21256.749359999998</v>
      </c>
      <c r="AX15" s="302">
        <v>23641.96889</v>
      </c>
      <c r="AY15" s="302">
        <v>17464.683220000003</v>
      </c>
      <c r="AZ15" s="302">
        <v>20084.747099999997</v>
      </c>
      <c r="BA15" s="291">
        <v>21138.416340000003</v>
      </c>
      <c r="BB15" s="302">
        <v>21728.825150000001</v>
      </c>
      <c r="BC15" s="302">
        <v>22171.952329999989</v>
      </c>
      <c r="BD15" s="302">
        <v>26665.216369999995</v>
      </c>
      <c r="BE15" s="302">
        <v>20869.707270000003</v>
      </c>
    </row>
    <row r="16" spans="1:57" ht="15" thickBot="1">
      <c r="A16" s="115" t="s">
        <v>614</v>
      </c>
      <c r="B16" s="115" t="s">
        <v>615</v>
      </c>
      <c r="C16" s="115"/>
      <c r="D16" s="288">
        <v>6168.8532899999991</v>
      </c>
      <c r="E16" s="288">
        <v>6540.4276099999997</v>
      </c>
      <c r="F16" s="288">
        <v>5653.63825</v>
      </c>
      <c r="G16" s="288">
        <v>10509.332340000004</v>
      </c>
      <c r="H16" s="288">
        <v>13726.262610000003</v>
      </c>
      <c r="I16" s="288">
        <v>15195.283039999998</v>
      </c>
      <c r="J16" s="288">
        <v>53943.249269999978</v>
      </c>
      <c r="K16" s="288">
        <v>-38303.340209999988</v>
      </c>
      <c r="L16" s="288">
        <v>5491.5772200000001</v>
      </c>
      <c r="M16" s="288">
        <v>9185.5920400000032</v>
      </c>
      <c r="N16" s="288">
        <v>8447.1949100000002</v>
      </c>
      <c r="O16" s="288">
        <v>24354.855879999996</v>
      </c>
      <c r="P16" s="288">
        <v>14703.780409999999</v>
      </c>
      <c r="Q16" s="288">
        <v>6947.7559199999996</v>
      </c>
      <c r="R16" s="288">
        <v>18813.565580000002</v>
      </c>
      <c r="S16" s="288">
        <v>34330.164779999985</v>
      </c>
      <c r="T16" s="288">
        <v>51264.334320000002</v>
      </c>
      <c r="U16" s="288">
        <v>48154.47941</v>
      </c>
      <c r="V16" s="288">
        <v>67909</v>
      </c>
      <c r="W16" s="288">
        <v>83300</v>
      </c>
      <c r="X16" s="288">
        <v>69159</v>
      </c>
      <c r="Y16" s="288">
        <v>70794.199590000004</v>
      </c>
      <c r="Z16" s="288">
        <v>102813.44332000001</v>
      </c>
      <c r="AA16" s="288">
        <v>87398.693530000004</v>
      </c>
      <c r="AB16" s="288">
        <v>102503.46020999999</v>
      </c>
      <c r="AC16" s="288">
        <v>111189.83758000002</v>
      </c>
      <c r="AD16" s="289">
        <v>93253</v>
      </c>
      <c r="AE16" s="289">
        <v>236475</v>
      </c>
      <c r="AF16" s="289">
        <v>102295</v>
      </c>
      <c r="AG16" s="289">
        <v>60832</v>
      </c>
      <c r="AH16" s="289">
        <v>102898</v>
      </c>
      <c r="AI16" s="289">
        <v>203342</v>
      </c>
      <c r="AJ16" s="289">
        <v>126862</v>
      </c>
      <c r="AK16" s="292">
        <v>145479</v>
      </c>
      <c r="AL16" s="292">
        <v>243379</v>
      </c>
      <c r="AM16" s="292">
        <v>219716</v>
      </c>
      <c r="AN16" s="292">
        <v>275854</v>
      </c>
      <c r="AO16" s="292">
        <v>275223</v>
      </c>
      <c r="AP16" s="289">
        <v>-6911</v>
      </c>
      <c r="AQ16" s="289">
        <v>195494</v>
      </c>
      <c r="AR16" s="289">
        <f>146842-SUM(AR13:AR15)</f>
        <v>139289.55214000001</v>
      </c>
      <c r="AS16" s="289">
        <f>245081-SUM(AS13:AS15)</f>
        <v>120217.72390000001</v>
      </c>
      <c r="AT16" s="302">
        <f>454000.739-SUM(AT13:AT15)</f>
        <v>152421.61820999993</v>
      </c>
      <c r="AU16" s="302">
        <f>310915.856-SUM(AU13:AU15)</f>
        <v>201470.41509000005</v>
      </c>
      <c r="AV16" s="302">
        <f>307451.934-SUM(AV13:AV15)</f>
        <v>161500.34546000004</v>
      </c>
      <c r="AW16" s="302">
        <f>333801.538-SUM(AW13:AW15)</f>
        <v>180255.74541</v>
      </c>
      <c r="AX16" s="302">
        <f>240911.511-SUM(AX13:AX15)</f>
        <v>191371.65238000004</v>
      </c>
      <c r="AY16" s="302">
        <v>141311.56224</v>
      </c>
      <c r="AZ16" s="302">
        <v>168832.86457999999</v>
      </c>
      <c r="BA16" s="291">
        <v>190400.58265999999</v>
      </c>
      <c r="BB16" s="302">
        <v>248941.83937</v>
      </c>
      <c r="BC16" s="302">
        <v>257476.24682</v>
      </c>
      <c r="BD16" s="302">
        <v>248807.39177000005</v>
      </c>
      <c r="BE16" s="302">
        <v>214222.27259000001</v>
      </c>
    </row>
    <row r="17" spans="1:57" ht="15" thickBot="1">
      <c r="A17" s="118" t="s">
        <v>858</v>
      </c>
      <c r="B17" s="118" t="s">
        <v>859</v>
      </c>
      <c r="C17" s="115"/>
      <c r="D17" s="287">
        <v>-207726.94117000001</v>
      </c>
      <c r="E17" s="287">
        <v>-211738.34410000002</v>
      </c>
      <c r="F17" s="287">
        <v>-224751.47791000002</v>
      </c>
      <c r="G17" s="287">
        <v>-263463.09181999991</v>
      </c>
      <c r="H17" s="287">
        <v>-251067.95547999998</v>
      </c>
      <c r="I17" s="287">
        <v>-267792.30737000005</v>
      </c>
      <c r="J17" s="287">
        <v>-329727.48155999993</v>
      </c>
      <c r="K17" s="287">
        <v>-407783.79608000006</v>
      </c>
      <c r="L17" s="287">
        <v>-391296.20848000003</v>
      </c>
      <c r="M17" s="287">
        <v>-432818.05002999975</v>
      </c>
      <c r="N17" s="287">
        <v>-536593.74840999988</v>
      </c>
      <c r="O17" s="287">
        <v>-575123.89897000056</v>
      </c>
      <c r="P17" s="287">
        <v>-474405.36329000001</v>
      </c>
      <c r="Q17" s="287">
        <v>-499100.96230000001</v>
      </c>
      <c r="R17" s="287">
        <v>-529584.30004999996</v>
      </c>
      <c r="S17" s="287">
        <v>-563937.73337999999</v>
      </c>
      <c r="T17" s="287">
        <v>-459422.8050900001</v>
      </c>
      <c r="U17" s="287">
        <v>-511204.56771999999</v>
      </c>
      <c r="V17" s="287">
        <v>-586565.19999999995</v>
      </c>
      <c r="W17" s="287">
        <v>-621452</v>
      </c>
      <c r="X17" s="287">
        <v>-499400</v>
      </c>
      <c r="Y17" s="287">
        <v>-585430</v>
      </c>
      <c r="Z17" s="287">
        <v>-613898</v>
      </c>
      <c r="AA17" s="287">
        <v>-508843</v>
      </c>
      <c r="AB17" s="287">
        <v>-568055</v>
      </c>
      <c r="AC17" s="287">
        <v>-622225</v>
      </c>
      <c r="AD17" s="293">
        <v>-670063</v>
      </c>
      <c r="AE17" s="293">
        <v>-696775</v>
      </c>
      <c r="AF17" s="293">
        <v>-565918</v>
      </c>
      <c r="AG17" s="293">
        <v>-421013</v>
      </c>
      <c r="AH17" s="293">
        <v>-566125</v>
      </c>
      <c r="AI17" s="293">
        <v>-584086</v>
      </c>
      <c r="AJ17" s="293">
        <v>-548704.13422999985</v>
      </c>
      <c r="AK17" s="294">
        <v>-528297</v>
      </c>
      <c r="AL17" s="294">
        <v>-735852</v>
      </c>
      <c r="AM17" s="294">
        <v>-811694</v>
      </c>
      <c r="AN17" s="294">
        <v>-749683</v>
      </c>
      <c r="AO17" s="294">
        <v>-726404</v>
      </c>
      <c r="AP17" s="294">
        <v>-641340</v>
      </c>
      <c r="AQ17" s="294">
        <v>-631148</v>
      </c>
      <c r="AR17" s="294">
        <v>-636024</v>
      </c>
      <c r="AS17" s="294">
        <v>-652375</v>
      </c>
      <c r="AT17" s="295">
        <v>-808149.179</v>
      </c>
      <c r="AU17" s="295">
        <v>-847728.29200000002</v>
      </c>
      <c r="AV17" s="295">
        <v>-814858.99300000002</v>
      </c>
      <c r="AW17" s="295">
        <v>-833821.55599999998</v>
      </c>
      <c r="AX17" s="295">
        <v>-893646.01300000004</v>
      </c>
      <c r="AY17" s="295">
        <v>-898547.56400000001</v>
      </c>
      <c r="AZ17" s="295">
        <v>-721157.48499999999</v>
      </c>
      <c r="BA17" s="295">
        <v>-876641.223</v>
      </c>
      <c r="BB17" s="295">
        <v>-909096.96499999997</v>
      </c>
      <c r="BC17" s="295">
        <v>-1050000.388</v>
      </c>
      <c r="BD17" s="295">
        <v>-859740.01199999999</v>
      </c>
      <c r="BE17" s="295">
        <v>-969127.97</v>
      </c>
    </row>
    <row r="18" spans="1:57" ht="15" thickBot="1">
      <c r="A18" s="118" t="s">
        <v>646</v>
      </c>
      <c r="B18" s="118" t="s">
        <v>860</v>
      </c>
      <c r="C18" s="116"/>
      <c r="D18" s="300">
        <f t="shared" ref="D18:AC18" si="2">D9+D17</f>
        <v>530108.0904300001</v>
      </c>
      <c r="E18" s="300">
        <f t="shared" si="2"/>
        <v>567082.93721000012</v>
      </c>
      <c r="F18" s="300">
        <f t="shared" si="2"/>
        <v>662648.54005999956</v>
      </c>
      <c r="G18" s="300">
        <f t="shared" si="2"/>
        <v>735153.70850000088</v>
      </c>
      <c r="H18" s="300">
        <f t="shared" si="2"/>
        <v>704893.71638000035</v>
      </c>
      <c r="I18" s="300">
        <f t="shared" si="2"/>
        <v>799230.56332999957</v>
      </c>
      <c r="J18" s="300">
        <f t="shared" si="2"/>
        <v>1068933.2503900004</v>
      </c>
      <c r="K18" s="300">
        <f t="shared" si="2"/>
        <v>1414120.2994499991</v>
      </c>
      <c r="L18" s="300">
        <f t="shared" si="2"/>
        <v>984963.29080000031</v>
      </c>
      <c r="M18" s="300">
        <f t="shared" si="2"/>
        <v>1020346.1823100003</v>
      </c>
      <c r="N18" s="300">
        <f t="shared" si="2"/>
        <v>1139993.4658099995</v>
      </c>
      <c r="O18" s="300">
        <f t="shared" si="2"/>
        <v>1042009.5983899921</v>
      </c>
      <c r="P18" s="300">
        <f t="shared" si="2"/>
        <v>968694.42986000003</v>
      </c>
      <c r="Q18" s="300">
        <f t="shared" si="2"/>
        <v>1002018.4801200011</v>
      </c>
      <c r="R18" s="300">
        <f t="shared" si="2"/>
        <v>1158310.7060199995</v>
      </c>
      <c r="S18" s="300">
        <f t="shared" si="2"/>
        <v>1399184.0437100003</v>
      </c>
      <c r="T18" s="300">
        <f t="shared" si="2"/>
        <v>1015429.9835999995</v>
      </c>
      <c r="U18" s="300">
        <f t="shared" si="2"/>
        <v>1247070.7227899996</v>
      </c>
      <c r="V18" s="300">
        <f t="shared" si="2"/>
        <v>1407520.8</v>
      </c>
      <c r="W18" s="300">
        <f t="shared" si="2"/>
        <v>1480953</v>
      </c>
      <c r="X18" s="300">
        <f t="shared" si="2"/>
        <v>1253798</v>
      </c>
      <c r="Y18" s="300">
        <f t="shared" si="2"/>
        <v>1271253.7679199993</v>
      </c>
      <c r="Z18" s="300">
        <f t="shared" si="2"/>
        <v>1483807.19606</v>
      </c>
      <c r="AA18" s="300">
        <f t="shared" si="2"/>
        <v>1482676.0395799999</v>
      </c>
      <c r="AB18" s="300">
        <f t="shared" si="2"/>
        <v>1282102.4807299995</v>
      </c>
      <c r="AC18" s="300">
        <f t="shared" si="2"/>
        <v>1174778.6431700005</v>
      </c>
      <c r="AD18" s="303">
        <v>1460227</v>
      </c>
      <c r="AE18" s="303">
        <v>1678232</v>
      </c>
      <c r="AF18" s="303">
        <v>1284386</v>
      </c>
      <c r="AG18" s="303">
        <v>1164408</v>
      </c>
      <c r="AH18" s="303">
        <v>1537533</v>
      </c>
      <c r="AI18" s="303">
        <v>1888522</v>
      </c>
      <c r="AJ18" s="303">
        <v>1534699.86577</v>
      </c>
      <c r="AK18" s="304">
        <v>1565627</v>
      </c>
      <c r="AL18" s="304">
        <v>2450391</v>
      </c>
      <c r="AM18" s="304">
        <v>2568799</v>
      </c>
      <c r="AN18" s="304">
        <v>1870704</v>
      </c>
      <c r="AO18" s="300">
        <f t="shared" ref="AO18:AT18" si="3">AO9+AO17</f>
        <v>2141802</v>
      </c>
      <c r="AP18" s="300">
        <f t="shared" si="3"/>
        <v>2060667</v>
      </c>
      <c r="AQ18" s="300">
        <f t="shared" si="3"/>
        <v>2440047</v>
      </c>
      <c r="AR18" s="300">
        <f t="shared" si="3"/>
        <v>2333988</v>
      </c>
      <c r="AS18" s="300">
        <f t="shared" si="3"/>
        <v>2409929</v>
      </c>
      <c r="AT18" s="300">
        <f t="shared" si="3"/>
        <v>2779107.9029999995</v>
      </c>
      <c r="AU18" s="300">
        <f t="shared" ref="AU18:BA18" si="4">AU9+AU17</f>
        <v>2855320.7020000005</v>
      </c>
      <c r="AV18" s="300">
        <f t="shared" si="4"/>
        <v>2394428.8829999994</v>
      </c>
      <c r="AW18" s="300">
        <f t="shared" si="4"/>
        <v>2576880.9919999996</v>
      </c>
      <c r="AX18" s="300">
        <f t="shared" si="4"/>
        <v>2905049.0760000004</v>
      </c>
      <c r="AY18" s="300">
        <f t="shared" si="4"/>
        <v>2985538.0180000002</v>
      </c>
      <c r="AZ18" s="300">
        <f t="shared" si="4"/>
        <v>2694963.4559999998</v>
      </c>
      <c r="BA18" s="287">
        <f t="shared" si="4"/>
        <v>3012830.0819999995</v>
      </c>
      <c r="BB18" s="300">
        <f t="shared" ref="BB18:BD18" si="5">BB9+BB17</f>
        <v>3209274.196</v>
      </c>
      <c r="BC18" s="300">
        <f t="shared" si="5"/>
        <v>3306678.3879999993</v>
      </c>
      <c r="BD18" s="300">
        <f t="shared" si="5"/>
        <v>3013405.88</v>
      </c>
      <c r="BE18" s="300">
        <f>BE9+BE17</f>
        <v>3240375.8460000008</v>
      </c>
    </row>
    <row r="19" spans="1:57" ht="15" thickBot="1">
      <c r="A19" s="118" t="s">
        <v>861</v>
      </c>
      <c r="B19" s="118" t="s">
        <v>862</v>
      </c>
      <c r="C19" s="116"/>
      <c r="D19" s="300">
        <f>SUM(D20:D22)</f>
        <v>-419549.51594999997</v>
      </c>
      <c r="E19" s="300">
        <f t="shared" ref="E19:AC19" si="6">SUM(E20:E22)</f>
        <v>-503626.86268000002</v>
      </c>
      <c r="F19" s="300">
        <f t="shared" si="6"/>
        <v>-679363.25752999994</v>
      </c>
      <c r="G19" s="300">
        <f t="shared" si="6"/>
        <v>-231802.79617000013</v>
      </c>
      <c r="H19" s="300">
        <f t="shared" si="6"/>
        <v>-504867.42969999992</v>
      </c>
      <c r="I19" s="300">
        <f t="shared" si="6"/>
        <v>-756869.71080000023</v>
      </c>
      <c r="J19" s="300">
        <f t="shared" si="6"/>
        <v>-1344871.3766100002</v>
      </c>
      <c r="K19" s="300">
        <f t="shared" si="6"/>
        <v>-911027.52445000003</v>
      </c>
      <c r="L19" s="300">
        <f t="shared" si="6"/>
        <v>-744023.34544000006</v>
      </c>
      <c r="M19" s="300">
        <f t="shared" si="6"/>
        <v>-750400.84801000007</v>
      </c>
      <c r="N19" s="300">
        <f t="shared" si="6"/>
        <v>-786280.07165999978</v>
      </c>
      <c r="O19" s="300">
        <f t="shared" si="6"/>
        <v>-585375.84661999973</v>
      </c>
      <c r="P19" s="300">
        <f t="shared" si="6"/>
        <v>-683055.39113999996</v>
      </c>
      <c r="Q19" s="300">
        <f t="shared" si="6"/>
        <v>-686244.62390000001</v>
      </c>
      <c r="R19" s="300">
        <f t="shared" si="6"/>
        <v>-742894.39382999996</v>
      </c>
      <c r="S19" s="300">
        <f t="shared" si="6"/>
        <v>-867662.62796000007</v>
      </c>
      <c r="T19" s="300">
        <f t="shared" si="6"/>
        <v>-651715.04867000005</v>
      </c>
      <c r="U19" s="300">
        <f t="shared" si="6"/>
        <v>-853277.17443000013</v>
      </c>
      <c r="V19" s="300">
        <f t="shared" si="6"/>
        <v>-865401.98216999997</v>
      </c>
      <c r="W19" s="300">
        <f t="shared" si="6"/>
        <v>-953590</v>
      </c>
      <c r="X19" s="300">
        <f t="shared" si="6"/>
        <v>-912538.8</v>
      </c>
      <c r="Y19" s="300">
        <f t="shared" si="6"/>
        <v>-859340.38951000001</v>
      </c>
      <c r="Z19" s="300">
        <f t="shared" si="6"/>
        <v>-989103.44178999995</v>
      </c>
      <c r="AA19" s="300">
        <f t="shared" si="6"/>
        <v>-864666.99235999992</v>
      </c>
      <c r="AB19" s="300">
        <f t="shared" si="6"/>
        <v>-900038.42368999997</v>
      </c>
      <c r="AC19" s="300">
        <f t="shared" si="6"/>
        <v>-795349.29779999994</v>
      </c>
      <c r="AD19" s="303">
        <v>-901918</v>
      </c>
      <c r="AE19" s="303">
        <v>-974094</v>
      </c>
      <c r="AF19" s="303">
        <v>-770507.00000000012</v>
      </c>
      <c r="AG19" s="303">
        <v>-682187</v>
      </c>
      <c r="AH19" s="303">
        <v>-842473</v>
      </c>
      <c r="AI19" s="303">
        <v>-1176824</v>
      </c>
      <c r="AJ19" s="303">
        <v>-956927</v>
      </c>
      <c r="AK19" s="305">
        <v>-945010</v>
      </c>
      <c r="AL19" s="305">
        <v>-1636183</v>
      </c>
      <c r="AM19" s="305">
        <v>-1666115</v>
      </c>
      <c r="AN19" s="305">
        <v>-1069869</v>
      </c>
      <c r="AO19" s="300">
        <f t="shared" ref="AO19:AT19" si="7">SUM(AO20:AO22)</f>
        <v>-1173638</v>
      </c>
      <c r="AP19" s="300">
        <f t="shared" si="7"/>
        <v>-1301458</v>
      </c>
      <c r="AQ19" s="300">
        <f t="shared" si="7"/>
        <v>-1409877</v>
      </c>
      <c r="AR19" s="300">
        <f t="shared" si="7"/>
        <v>-1467770</v>
      </c>
      <c r="AS19" s="300">
        <f t="shared" si="7"/>
        <v>-1350144</v>
      </c>
      <c r="AT19" s="300">
        <f t="shared" si="7"/>
        <v>-1499196.0690000001</v>
      </c>
      <c r="AU19" s="300">
        <f t="shared" ref="AU19:AZ19" si="8">SUM(AU20:AU22)</f>
        <v>-1779720.5260000001</v>
      </c>
      <c r="AV19" s="300">
        <f t="shared" si="8"/>
        <v>-1387317.6770000001</v>
      </c>
      <c r="AW19" s="300">
        <f t="shared" si="8"/>
        <v>-1509441.9070000001</v>
      </c>
      <c r="AX19" s="300">
        <f t="shared" si="8"/>
        <v>-1859644.4640000002</v>
      </c>
      <c r="AY19" s="300">
        <f t="shared" si="8"/>
        <v>-1966823.0159999998</v>
      </c>
      <c r="AZ19" s="300">
        <f t="shared" si="8"/>
        <v>-1657120.7859999998</v>
      </c>
      <c r="BA19" s="287">
        <f>SUM(BA20:BA23)</f>
        <v>-1896728.571</v>
      </c>
      <c r="BB19" s="300">
        <f>SUM(BB20:BB23)</f>
        <v>-2137087.19</v>
      </c>
      <c r="BC19" s="300">
        <f>SUM(BC20:BC23)</f>
        <v>-2177037.9479999999</v>
      </c>
      <c r="BD19" s="300">
        <f>SUM(BD20:BD23)</f>
        <v>-1832717.08</v>
      </c>
      <c r="BE19" s="300">
        <f>SUM(BE20:BE23)</f>
        <v>-2018138.7760000001</v>
      </c>
    </row>
    <row r="20" spans="1:57">
      <c r="A20" s="115" t="s">
        <v>863</v>
      </c>
      <c r="B20" s="115" t="s">
        <v>864</v>
      </c>
      <c r="C20" s="116"/>
      <c r="D20" s="292">
        <v>-311486</v>
      </c>
      <c r="E20" s="292">
        <v>-412577.20562000002</v>
      </c>
      <c r="F20" s="292">
        <v>-543766.79437999998</v>
      </c>
      <c r="G20" s="292">
        <v>-70062</v>
      </c>
      <c r="H20" s="292">
        <v>-360826.75384999992</v>
      </c>
      <c r="I20" s="292">
        <v>-556604.87256000016</v>
      </c>
      <c r="J20" s="292">
        <v>-1007072.37359</v>
      </c>
      <c r="K20" s="292">
        <v>-701345</v>
      </c>
      <c r="L20" s="292">
        <v>-539373.61273000005</v>
      </c>
      <c r="M20" s="292">
        <v>-574632.29502000019</v>
      </c>
      <c r="N20" s="292">
        <v>-603145.55429999973</v>
      </c>
      <c r="O20" s="292">
        <v>-362794.32689999987</v>
      </c>
      <c r="P20" s="292">
        <v>-490593.41399000003</v>
      </c>
      <c r="Q20" s="292">
        <v>-451539.86718</v>
      </c>
      <c r="R20" s="292">
        <v>-491907.71882999991</v>
      </c>
      <c r="S20" s="292">
        <v>-583125</v>
      </c>
      <c r="T20" s="292">
        <v>-413695.39920000004</v>
      </c>
      <c r="U20" s="292">
        <v>-601212.78470000008</v>
      </c>
      <c r="V20" s="292">
        <v>-585519.81609999994</v>
      </c>
      <c r="W20" s="292">
        <v>-606444</v>
      </c>
      <c r="X20" s="292">
        <v>-651674.4</v>
      </c>
      <c r="Y20" s="292">
        <v>-559917.90127000003</v>
      </c>
      <c r="Z20" s="292">
        <v>-711722.98225999996</v>
      </c>
      <c r="AA20" s="292">
        <v>-530726.59700999991</v>
      </c>
      <c r="AB20" s="292">
        <v>-615039.78522999992</v>
      </c>
      <c r="AC20" s="292">
        <v>-542192.99216999998</v>
      </c>
      <c r="AD20" s="292">
        <v>-598071</v>
      </c>
      <c r="AE20" s="292">
        <v>-659268</v>
      </c>
      <c r="AF20" s="292">
        <v>-509110</v>
      </c>
      <c r="AG20" s="292">
        <v>-417435</v>
      </c>
      <c r="AH20" s="292">
        <v>-519695</v>
      </c>
      <c r="AI20" s="292">
        <v>-782591</v>
      </c>
      <c r="AJ20" s="292">
        <v>-583829</v>
      </c>
      <c r="AK20" s="292">
        <v>-534597</v>
      </c>
      <c r="AL20" s="292">
        <v>-1131589</v>
      </c>
      <c r="AM20" s="292">
        <v>-1114048</v>
      </c>
      <c r="AN20" s="292">
        <v>-728245</v>
      </c>
      <c r="AO20" s="292">
        <v>-399011</v>
      </c>
      <c r="AP20" s="292">
        <v>-606385</v>
      </c>
      <c r="AQ20" s="292">
        <v>-635920</v>
      </c>
      <c r="AR20" s="292">
        <v>-648283</v>
      </c>
      <c r="AS20" s="292">
        <v>-655504</v>
      </c>
      <c r="AT20" s="306">
        <v>-674021</v>
      </c>
      <c r="AU20" s="306">
        <v>-783483</v>
      </c>
      <c r="AV20" s="306">
        <v>-635414</v>
      </c>
      <c r="AW20" s="306">
        <v>-715802</v>
      </c>
      <c r="AX20" s="306">
        <v>-958477</v>
      </c>
      <c r="AY20" s="306">
        <v>-922990</v>
      </c>
      <c r="AZ20" s="306">
        <v>-715980</v>
      </c>
      <c r="BA20" s="297">
        <v>-812950</v>
      </c>
      <c r="BB20" s="306">
        <v>-975509</v>
      </c>
      <c r="BC20" s="306">
        <v>-961204</v>
      </c>
      <c r="BD20" s="306">
        <v>-809151</v>
      </c>
      <c r="BE20" s="306">
        <v>-1057524</v>
      </c>
    </row>
    <row r="21" spans="1:57">
      <c r="A21" s="115" t="s">
        <v>865</v>
      </c>
      <c r="B21" s="115" t="s">
        <v>866</v>
      </c>
      <c r="C21" s="116"/>
      <c r="D21" s="292">
        <v>-20012</v>
      </c>
      <c r="E21" s="292">
        <v>-14214.38963</v>
      </c>
      <c r="F21" s="292">
        <v>-18292.313600000001</v>
      </c>
      <c r="G21" s="292">
        <v>-17277.887609999998</v>
      </c>
      <c r="H21" s="292">
        <v>-19179.415530000002</v>
      </c>
      <c r="I21" s="292">
        <v>-19089.892740000003</v>
      </c>
      <c r="J21" s="292">
        <v>-29800.141759999999</v>
      </c>
      <c r="K21" s="292">
        <v>34838.290820000009</v>
      </c>
      <c r="L21" s="292">
        <v>-24700</v>
      </c>
      <c r="M21" s="292">
        <v>-31308</v>
      </c>
      <c r="N21" s="292">
        <v>-31088</v>
      </c>
      <c r="O21" s="292">
        <v>-35654</v>
      </c>
      <c r="P21" s="292">
        <v>-49712.964330000003</v>
      </c>
      <c r="Q21" s="292">
        <v>-27267.523099999999</v>
      </c>
      <c r="R21" s="292">
        <v>-37277.512570000006</v>
      </c>
      <c r="S21" s="292">
        <v>-38593.999999999985</v>
      </c>
      <c r="T21" s="292">
        <v>-37790.725909999994</v>
      </c>
      <c r="U21" s="292">
        <v>-39777.108020000014</v>
      </c>
      <c r="V21" s="292">
        <v>-90920.166069999992</v>
      </c>
      <c r="W21" s="292">
        <v>-83523.000000000015</v>
      </c>
      <c r="X21" s="292">
        <v>-94087.4</v>
      </c>
      <c r="Y21" s="292">
        <v>-95973.172640000004</v>
      </c>
      <c r="Z21" s="292">
        <v>-85851.652820000003</v>
      </c>
      <c r="AA21" s="292">
        <v>-85814.14072000001</v>
      </c>
      <c r="AB21" s="292">
        <v>-91283.638460000002</v>
      </c>
      <c r="AC21" s="292">
        <v>-92378.305629999988</v>
      </c>
      <c r="AD21" s="292">
        <v>-100449</v>
      </c>
      <c r="AE21" s="292">
        <v>-99687</v>
      </c>
      <c r="AF21" s="292">
        <v>-112947</v>
      </c>
      <c r="AG21" s="292">
        <v>-99122</v>
      </c>
      <c r="AH21" s="292">
        <v>-164775</v>
      </c>
      <c r="AI21" s="292">
        <v>-185565</v>
      </c>
      <c r="AJ21" s="292">
        <v>-187093</v>
      </c>
      <c r="AK21" s="292">
        <v>-187362</v>
      </c>
      <c r="AL21" s="292">
        <v>-162096</v>
      </c>
      <c r="AM21" s="292">
        <v>-162276</v>
      </c>
      <c r="AN21" s="292">
        <v>-7266</v>
      </c>
      <c r="AO21" s="292">
        <v>-333982</v>
      </c>
      <c r="AP21" s="292">
        <v>-197725</v>
      </c>
      <c r="AQ21" s="292">
        <v>-209909</v>
      </c>
      <c r="AR21" s="292">
        <v>-205023</v>
      </c>
      <c r="AS21" s="292">
        <v>-216943</v>
      </c>
      <c r="AT21" s="306">
        <v>-221253</v>
      </c>
      <c r="AU21" s="306">
        <v>-222858</v>
      </c>
      <c r="AV21" s="306">
        <v>-231227</v>
      </c>
      <c r="AW21" s="306">
        <v>-230339</v>
      </c>
      <c r="AX21" s="306">
        <v>-209814</v>
      </c>
      <c r="AY21" s="306">
        <v>-214864</v>
      </c>
      <c r="AZ21" s="306">
        <v>-221342</v>
      </c>
      <c r="BA21" s="297">
        <v>-227614</v>
      </c>
      <c r="BB21" s="306">
        <v>-241405</v>
      </c>
      <c r="BC21" s="306">
        <v>-243376</v>
      </c>
      <c r="BD21" s="306">
        <v>-236865</v>
      </c>
      <c r="BE21" s="306">
        <v>-244562</v>
      </c>
    </row>
    <row r="22" spans="1:57">
      <c r="A22" s="115" t="s">
        <v>867</v>
      </c>
      <c r="B22" s="115" t="s">
        <v>868</v>
      </c>
      <c r="C22" s="116"/>
      <c r="D22" s="292">
        <v>-88051.515949999986</v>
      </c>
      <c r="E22" s="292">
        <v>-76835.267430000022</v>
      </c>
      <c r="F22" s="292">
        <v>-117304.14954999993</v>
      </c>
      <c r="G22" s="292">
        <v>-144462.90856000013</v>
      </c>
      <c r="H22" s="292">
        <v>-124861.26031999999</v>
      </c>
      <c r="I22" s="292">
        <v>-181174.9455</v>
      </c>
      <c r="J22" s="292">
        <v>-307998.86126000015</v>
      </c>
      <c r="K22" s="292">
        <v>-244520.81526999999</v>
      </c>
      <c r="L22" s="292">
        <v>-179949.73270999998</v>
      </c>
      <c r="M22" s="292">
        <v>-144460.55298999994</v>
      </c>
      <c r="N22" s="292">
        <v>-152046.51736000009</v>
      </c>
      <c r="O22" s="292">
        <v>-186927.51971999984</v>
      </c>
      <c r="P22" s="292">
        <v>-142749.01282</v>
      </c>
      <c r="Q22" s="292">
        <v>-207437.23362000001</v>
      </c>
      <c r="R22" s="292">
        <v>-213709.16243</v>
      </c>
      <c r="S22" s="292">
        <v>-245943.62796000004</v>
      </c>
      <c r="T22" s="292">
        <v>-200228.92356</v>
      </c>
      <c r="U22" s="292">
        <v>-212287.28170999998</v>
      </c>
      <c r="V22" s="292">
        <v>-188962</v>
      </c>
      <c r="W22" s="292">
        <v>-263623</v>
      </c>
      <c r="X22" s="292">
        <v>-166777</v>
      </c>
      <c r="Y22" s="292">
        <v>-203449.31559999997</v>
      </c>
      <c r="Z22" s="292">
        <v>-191528.80671000003</v>
      </c>
      <c r="AA22" s="292">
        <v>-248126.25462999998</v>
      </c>
      <c r="AB22" s="292">
        <v>-193715</v>
      </c>
      <c r="AC22" s="292">
        <v>-160778</v>
      </c>
      <c r="AD22" s="292">
        <v>-203397</v>
      </c>
      <c r="AE22" s="292">
        <v>-215139</v>
      </c>
      <c r="AF22" s="292">
        <v>-148450</v>
      </c>
      <c r="AG22" s="292">
        <v>-165630</v>
      </c>
      <c r="AH22" s="292">
        <v>-158004</v>
      </c>
      <c r="AI22" s="292">
        <v>-208668</v>
      </c>
      <c r="AJ22" s="292">
        <v>-186005</v>
      </c>
      <c r="AK22" s="292">
        <v>-223051</v>
      </c>
      <c r="AL22" s="292">
        <v>-342498</v>
      </c>
      <c r="AM22" s="292">
        <v>-389790</v>
      </c>
      <c r="AN22" s="292">
        <v>-334357</v>
      </c>
      <c r="AO22" s="292">
        <v>-440645</v>
      </c>
      <c r="AP22" s="292">
        <v>-497348</v>
      </c>
      <c r="AQ22" s="292">
        <v>-564048</v>
      </c>
      <c r="AR22" s="292">
        <v>-614464</v>
      </c>
      <c r="AS22" s="292">
        <v>-477697</v>
      </c>
      <c r="AT22" s="306">
        <v>-603922.06900000002</v>
      </c>
      <c r="AU22" s="306">
        <v>-773379.52599999995</v>
      </c>
      <c r="AV22" s="306">
        <v>-520676.67700000003</v>
      </c>
      <c r="AW22" s="306">
        <v>-563300.90700000001</v>
      </c>
      <c r="AX22" s="306">
        <v>-691353.46400000004</v>
      </c>
      <c r="AY22" s="306">
        <v>-828969.01599999995</v>
      </c>
      <c r="AZ22" s="306">
        <v>-719798.78599999996</v>
      </c>
      <c r="BA22" s="297">
        <v>-856164.571</v>
      </c>
      <c r="BB22" s="306">
        <v>-920173.19</v>
      </c>
      <c r="BC22" s="306">
        <v>-972457.94799999997</v>
      </c>
      <c r="BD22" s="306">
        <v>-786701.08</v>
      </c>
      <c r="BE22" s="306">
        <v>-716052.77599999995</v>
      </c>
    </row>
    <row r="23" spans="1:57" ht="15" thickBot="1">
      <c r="A23" s="115" t="s">
        <v>869</v>
      </c>
      <c r="B23" s="115" t="s">
        <v>870</v>
      </c>
      <c r="C23" s="116"/>
      <c r="D23" s="288"/>
      <c r="E23" s="288"/>
      <c r="F23" s="288"/>
      <c r="G23" s="288"/>
      <c r="H23" s="288"/>
      <c r="I23" s="288"/>
      <c r="J23" s="288"/>
      <c r="K23" s="288"/>
      <c r="L23" s="288"/>
      <c r="M23" s="288"/>
      <c r="N23" s="288"/>
      <c r="O23" s="288"/>
      <c r="P23" s="288"/>
      <c r="Q23" s="288"/>
      <c r="R23" s="288"/>
      <c r="S23" s="288"/>
      <c r="T23" s="288"/>
      <c r="U23" s="288"/>
      <c r="V23" s="288"/>
      <c r="W23" s="288"/>
      <c r="X23" s="288"/>
      <c r="Y23" s="288"/>
      <c r="Z23" s="288"/>
      <c r="AA23" s="288"/>
      <c r="AB23" s="288"/>
      <c r="AC23" s="288"/>
      <c r="AD23" s="289"/>
      <c r="AE23" s="289"/>
      <c r="AF23" s="289"/>
      <c r="AG23" s="289"/>
      <c r="AH23" s="289"/>
      <c r="AI23" s="289"/>
      <c r="AJ23" s="289"/>
      <c r="AK23" s="292"/>
      <c r="AL23" s="292"/>
      <c r="AM23" s="292"/>
      <c r="AN23" s="292"/>
      <c r="AO23" s="292"/>
      <c r="AP23" s="292"/>
      <c r="AQ23" s="292"/>
      <c r="AR23" s="292"/>
      <c r="AS23" s="292"/>
      <c r="AT23" s="306"/>
      <c r="AU23" s="306"/>
      <c r="AV23" s="306"/>
      <c r="AW23" s="306"/>
      <c r="AX23" s="306"/>
      <c r="AY23" s="306"/>
      <c r="AZ23" s="306"/>
      <c r="BA23" s="291"/>
      <c r="BB23" s="306"/>
      <c r="BC23" s="306"/>
      <c r="BD23" s="306"/>
      <c r="BE23" s="306"/>
    </row>
    <row r="24" spans="1:57" ht="15" thickBot="1">
      <c r="A24" s="118" t="s">
        <v>871</v>
      </c>
      <c r="B24" s="118" t="s">
        <v>872</v>
      </c>
      <c r="C24" s="116"/>
      <c r="D24" s="287">
        <f t="shared" ref="D24:P24" si="9">D18+D19</f>
        <v>110558.57448000013</v>
      </c>
      <c r="E24" s="287">
        <f t="shared" si="9"/>
        <v>63456.0745300001</v>
      </c>
      <c r="F24" s="287">
        <f t="shared" si="9"/>
        <v>-16714.717470000382</v>
      </c>
      <c r="G24" s="287">
        <f t="shared" si="9"/>
        <v>503350.91233000078</v>
      </c>
      <c r="H24" s="287">
        <f t="shared" si="9"/>
        <v>200026.28668000043</v>
      </c>
      <c r="I24" s="287">
        <f t="shared" si="9"/>
        <v>42360.852529999334</v>
      </c>
      <c r="J24" s="287">
        <f t="shared" si="9"/>
        <v>-275938.12621999974</v>
      </c>
      <c r="K24" s="287">
        <f t="shared" si="9"/>
        <v>503092.77499999909</v>
      </c>
      <c r="L24" s="287">
        <f t="shared" si="9"/>
        <v>240939.94536000025</v>
      </c>
      <c r="M24" s="287">
        <f t="shared" si="9"/>
        <v>269945.33430000022</v>
      </c>
      <c r="N24" s="287">
        <f t="shared" si="9"/>
        <v>353713.39414999972</v>
      </c>
      <c r="O24" s="287">
        <f t="shared" si="9"/>
        <v>456633.75176999241</v>
      </c>
      <c r="P24" s="287">
        <f t="shared" si="9"/>
        <v>285639.03872000007</v>
      </c>
      <c r="Q24" s="287">
        <f>Q18+Q19</f>
        <v>315773.85622000112</v>
      </c>
      <c r="R24" s="287">
        <f t="shared" ref="R24:AC24" si="10">R18+R19</f>
        <v>415416.3121899995</v>
      </c>
      <c r="S24" s="287">
        <f t="shared" si="10"/>
        <v>531521.41575000028</v>
      </c>
      <c r="T24" s="287">
        <f t="shared" si="10"/>
        <v>363714.93492999941</v>
      </c>
      <c r="U24" s="287">
        <f t="shared" si="10"/>
        <v>393793.54835999943</v>
      </c>
      <c r="V24" s="287">
        <f t="shared" si="10"/>
        <v>542118.81783000007</v>
      </c>
      <c r="W24" s="287">
        <f t="shared" si="10"/>
        <v>527363</v>
      </c>
      <c r="X24" s="287">
        <f t="shared" si="10"/>
        <v>341259.19999999995</v>
      </c>
      <c r="Y24" s="287">
        <f t="shared" si="10"/>
        <v>411913.37840999931</v>
      </c>
      <c r="Z24" s="287">
        <f t="shared" si="10"/>
        <v>494703.75427000003</v>
      </c>
      <c r="AA24" s="287">
        <f t="shared" si="10"/>
        <v>618009.04721999995</v>
      </c>
      <c r="AB24" s="287">
        <f t="shared" si="10"/>
        <v>382064.05703999952</v>
      </c>
      <c r="AC24" s="287">
        <f t="shared" si="10"/>
        <v>379429.34537000058</v>
      </c>
      <c r="AD24" s="293">
        <v>558309</v>
      </c>
      <c r="AE24" s="293">
        <v>704138</v>
      </c>
      <c r="AF24" s="293">
        <v>513878.99999999988</v>
      </c>
      <c r="AG24" s="293">
        <v>482221</v>
      </c>
      <c r="AH24" s="293">
        <v>695060</v>
      </c>
      <c r="AI24" s="293">
        <v>711698</v>
      </c>
      <c r="AJ24" s="293">
        <v>577772.86577000003</v>
      </c>
      <c r="AK24" s="294">
        <v>620617</v>
      </c>
      <c r="AL24" s="294">
        <v>814208</v>
      </c>
      <c r="AM24" s="294">
        <v>902684</v>
      </c>
      <c r="AN24" s="294">
        <v>800835</v>
      </c>
      <c r="AO24" s="287">
        <f t="shared" ref="AO24:AT24" si="11">AO18+AO19</f>
        <v>968164</v>
      </c>
      <c r="AP24" s="287">
        <f t="shared" si="11"/>
        <v>759209</v>
      </c>
      <c r="AQ24" s="287">
        <f t="shared" si="11"/>
        <v>1030170</v>
      </c>
      <c r="AR24" s="287">
        <f t="shared" si="11"/>
        <v>866218</v>
      </c>
      <c r="AS24" s="287">
        <f t="shared" si="11"/>
        <v>1059785</v>
      </c>
      <c r="AT24" s="287">
        <f t="shared" si="11"/>
        <v>1279911.8339999993</v>
      </c>
      <c r="AU24" s="287">
        <f t="shared" ref="AU24:BA24" si="12">AU18+AU19</f>
        <v>1075600.1760000004</v>
      </c>
      <c r="AV24" s="287">
        <f t="shared" si="12"/>
        <v>1007111.2059999993</v>
      </c>
      <c r="AW24" s="287">
        <f t="shared" si="12"/>
        <v>1067439.0849999995</v>
      </c>
      <c r="AX24" s="287">
        <f t="shared" si="12"/>
        <v>1045404.6120000002</v>
      </c>
      <c r="AY24" s="287">
        <f t="shared" si="12"/>
        <v>1018715.0020000003</v>
      </c>
      <c r="AZ24" s="287">
        <f t="shared" si="12"/>
        <v>1037842.6699999999</v>
      </c>
      <c r="BA24" s="287">
        <f t="shared" si="12"/>
        <v>1116101.5109999995</v>
      </c>
      <c r="BB24" s="287">
        <f t="shared" ref="BB24:BD24" si="13">BB18+BB19</f>
        <v>1072187.0060000001</v>
      </c>
      <c r="BC24" s="287">
        <f t="shared" si="13"/>
        <v>1129640.4399999995</v>
      </c>
      <c r="BD24" s="287">
        <f t="shared" si="13"/>
        <v>1180688.7999999998</v>
      </c>
      <c r="BE24" s="287">
        <f>BE18+BE19</f>
        <v>1222237.0700000008</v>
      </c>
    </row>
    <row r="25" spans="1:57" ht="15" thickBot="1">
      <c r="A25" s="118" t="s">
        <v>873</v>
      </c>
      <c r="B25" s="118" t="s">
        <v>874</v>
      </c>
      <c r="C25" s="116"/>
      <c r="D25" s="287">
        <f>SUM(D26:D35)</f>
        <v>-128658.37661000004</v>
      </c>
      <c r="E25" s="287">
        <f t="shared" ref="E25:AC25" si="14">SUM(E26:E35)</f>
        <v>-122752.23995999995</v>
      </c>
      <c r="F25" s="287">
        <f t="shared" si="14"/>
        <v>-166285.98936999991</v>
      </c>
      <c r="G25" s="287">
        <f t="shared" si="14"/>
        <v>-154351.93518</v>
      </c>
      <c r="H25" s="287">
        <f t="shared" si="14"/>
        <v>-159229.31050999995</v>
      </c>
      <c r="I25" s="287">
        <f t="shared" si="14"/>
        <v>-141128.33766000005</v>
      </c>
      <c r="J25" s="287">
        <f t="shared" si="14"/>
        <v>-148484.21539</v>
      </c>
      <c r="K25" s="287">
        <f t="shared" si="14"/>
        <v>-230924.87460999982</v>
      </c>
      <c r="L25" s="287">
        <f t="shared" si="14"/>
        <v>-139854.06372000003</v>
      </c>
      <c r="M25" s="287">
        <f t="shared" si="14"/>
        <v>-202296.39451999994</v>
      </c>
      <c r="N25" s="287">
        <f t="shared" si="14"/>
        <v>-182219.45259999996</v>
      </c>
      <c r="O25" s="287">
        <f t="shared" si="14"/>
        <v>-326605.49509000051</v>
      </c>
      <c r="P25" s="287">
        <f t="shared" si="14"/>
        <v>-192885.92964000005</v>
      </c>
      <c r="Q25" s="287">
        <f t="shared" si="14"/>
        <v>-150111.17846000008</v>
      </c>
      <c r="R25" s="287">
        <f t="shared" si="14"/>
        <v>-189617.08134</v>
      </c>
      <c r="S25" s="287">
        <f t="shared" si="14"/>
        <v>-263238.21045000001</v>
      </c>
      <c r="T25" s="287">
        <f t="shared" si="14"/>
        <v>-247000.53056000001</v>
      </c>
      <c r="U25" s="287">
        <f t="shared" si="14"/>
        <v>-210852.79805999997</v>
      </c>
      <c r="V25" s="287">
        <f t="shared" si="14"/>
        <v>-238997.2</v>
      </c>
      <c r="W25" s="287">
        <f t="shared" si="14"/>
        <v>-189412.80000000002</v>
      </c>
      <c r="X25" s="287">
        <f t="shared" si="14"/>
        <v>-221629.69999999998</v>
      </c>
      <c r="Y25" s="287">
        <f t="shared" si="14"/>
        <v>-219909.05077000003</v>
      </c>
      <c r="Z25" s="287">
        <f t="shared" si="14"/>
        <v>-196928.8622</v>
      </c>
      <c r="AA25" s="287">
        <f t="shared" si="14"/>
        <v>-179471.22866000005</v>
      </c>
      <c r="AB25" s="287">
        <f t="shared" si="14"/>
        <v>-245765.79060999997</v>
      </c>
      <c r="AC25" s="287">
        <f t="shared" si="14"/>
        <v>-194656.50264999989</v>
      </c>
      <c r="AD25" s="293">
        <v>-220774</v>
      </c>
      <c r="AE25" s="293">
        <v>-314247</v>
      </c>
      <c r="AF25" s="293">
        <v>-190429</v>
      </c>
      <c r="AG25" s="293">
        <v>-255997</v>
      </c>
      <c r="AH25" s="293">
        <v>-195063</v>
      </c>
      <c r="AI25" s="293">
        <v>-280459</v>
      </c>
      <c r="AJ25" s="293">
        <v>-230682.69235000003</v>
      </c>
      <c r="AK25" s="294">
        <v>-219008</v>
      </c>
      <c r="AL25" s="294">
        <v>-148442</v>
      </c>
      <c r="AM25" s="294">
        <v>-305910</v>
      </c>
      <c r="AN25" s="294">
        <v>-242113</v>
      </c>
      <c r="AO25" s="287">
        <f t="shared" ref="AO25:AT25" si="15">SUM(AO26:AO35)</f>
        <v>-288046</v>
      </c>
      <c r="AP25" s="287">
        <f t="shared" si="15"/>
        <v>-251332</v>
      </c>
      <c r="AQ25" s="287">
        <f t="shared" si="15"/>
        <v>-377875</v>
      </c>
      <c r="AR25" s="287">
        <f t="shared" si="15"/>
        <v>-174783</v>
      </c>
      <c r="AS25" s="287">
        <f t="shared" si="15"/>
        <v>-215878</v>
      </c>
      <c r="AT25" s="287">
        <f t="shared" si="15"/>
        <v>-287502.69099999999</v>
      </c>
      <c r="AU25" s="287">
        <f t="shared" ref="AU25:BA25" si="16">SUM(AU26:AU35)</f>
        <v>-279826.30900000001</v>
      </c>
      <c r="AV25" s="287">
        <f t="shared" si="16"/>
        <v>-269907.80900000001</v>
      </c>
      <c r="AW25" s="287">
        <f t="shared" si="16"/>
        <v>-283460.06200000003</v>
      </c>
      <c r="AX25" s="287">
        <f t="shared" si="16"/>
        <v>-247478.19200000001</v>
      </c>
      <c r="AY25" s="287">
        <f t="shared" si="16"/>
        <v>-381342.00700000004</v>
      </c>
      <c r="AZ25" s="287">
        <f t="shared" si="16"/>
        <v>-292264.18997000001</v>
      </c>
      <c r="BA25" s="287">
        <f t="shared" si="16"/>
        <v>-340427.03694000002</v>
      </c>
      <c r="BB25" s="287">
        <f t="shared" ref="BB25:BD25" si="17">SUM(BB26:BB35)</f>
        <v>-420112.39861000003</v>
      </c>
      <c r="BC25" s="287">
        <f t="shared" si="17"/>
        <v>-353967.04589999991</v>
      </c>
      <c r="BD25" s="287">
        <f t="shared" si="17"/>
        <v>-379757.10639999999</v>
      </c>
      <c r="BE25" s="287">
        <f>SUM(BE26:BE35)</f>
        <v>-369895.58267000003</v>
      </c>
    </row>
    <row r="26" spans="1:57">
      <c r="A26" s="115" t="s">
        <v>875</v>
      </c>
      <c r="B26" s="115" t="s">
        <v>876</v>
      </c>
      <c r="C26" s="116"/>
      <c r="D26" s="288">
        <v>-34817.255770000003</v>
      </c>
      <c r="E26" s="288">
        <v>-33583.572919999977</v>
      </c>
      <c r="F26" s="288">
        <v>-29106.686359999985</v>
      </c>
      <c r="G26" s="288">
        <v>-43451.664970000027</v>
      </c>
      <c r="H26" s="288">
        <v>-38152.255749999989</v>
      </c>
      <c r="I26" s="288">
        <v>-39112.317339999965</v>
      </c>
      <c r="J26" s="288">
        <v>-38659.374280000106</v>
      </c>
      <c r="K26" s="288">
        <v>-41866.93276999989</v>
      </c>
      <c r="L26" s="288">
        <v>-39011.86020000001</v>
      </c>
      <c r="M26" s="288">
        <v>-34060.698419999964</v>
      </c>
      <c r="N26" s="288">
        <v>-31995.413380000056</v>
      </c>
      <c r="O26" s="288">
        <v>-53661.724850000115</v>
      </c>
      <c r="P26" s="288">
        <v>-35241.758160000019</v>
      </c>
      <c r="Q26" s="288">
        <v>-34969.808659999988</v>
      </c>
      <c r="R26" s="288">
        <v>-27133.964349999995</v>
      </c>
      <c r="S26" s="288">
        <v>-33849.49733999998</v>
      </c>
      <c r="T26" s="288">
        <v>-31490.112169999964</v>
      </c>
      <c r="U26" s="288">
        <v>-31977.793789999996</v>
      </c>
      <c r="V26" s="288">
        <v>-31114</v>
      </c>
      <c r="W26" s="288">
        <v>-37912</v>
      </c>
      <c r="X26" s="288">
        <v>-34222</v>
      </c>
      <c r="Y26" s="288">
        <v>-33489.698540000012</v>
      </c>
      <c r="Z26" s="288">
        <v>-37449.320539999986</v>
      </c>
      <c r="AA26" s="288">
        <v>-38311.474230000007</v>
      </c>
      <c r="AB26" s="288">
        <v>-34063.505649999992</v>
      </c>
      <c r="AC26" s="288">
        <v>-31771.451890000011</v>
      </c>
      <c r="AD26" s="289">
        <v>-31473</v>
      </c>
      <c r="AE26" s="289">
        <v>-32885</v>
      </c>
      <c r="AF26" s="289">
        <v>-34389</v>
      </c>
      <c r="AG26" s="289">
        <v>-33812</v>
      </c>
      <c r="AH26" s="289">
        <v>-36132</v>
      </c>
      <c r="AI26" s="289">
        <v>-51736</v>
      </c>
      <c r="AJ26" s="289">
        <v>-54891</v>
      </c>
      <c r="AK26" s="289">
        <v>-43631</v>
      </c>
      <c r="AL26" s="289">
        <v>-38335</v>
      </c>
      <c r="AM26" s="289">
        <v>-38039</v>
      </c>
      <c r="AN26" s="289">
        <v>-40719</v>
      </c>
      <c r="AO26" s="289">
        <v>-43433</v>
      </c>
      <c r="AP26" s="289">
        <v>-43578</v>
      </c>
      <c r="AQ26" s="289">
        <v>-50234</v>
      </c>
      <c r="AR26" s="289">
        <v>-47910</v>
      </c>
      <c r="AS26" s="289">
        <v>-45058</v>
      </c>
      <c r="AT26" s="302">
        <v>-41614.502999999997</v>
      </c>
      <c r="AU26" s="302">
        <v>-58500.302000000003</v>
      </c>
      <c r="AV26" s="302">
        <v>-47842.468999999997</v>
      </c>
      <c r="AW26" s="302">
        <v>-48999.993999999999</v>
      </c>
      <c r="AX26" s="302">
        <v>-39287.103999999999</v>
      </c>
      <c r="AY26" s="302">
        <v>-52834.599000000002</v>
      </c>
      <c r="AZ26" s="302">
        <v>-52217.41</v>
      </c>
      <c r="BA26" s="291">
        <v>-56938.368000000002</v>
      </c>
      <c r="BB26" s="302">
        <v>-57758.004000000001</v>
      </c>
      <c r="BC26" s="302">
        <v>-68678.145999999993</v>
      </c>
      <c r="BD26" s="302">
        <v>-64909.472000000002</v>
      </c>
      <c r="BE26" s="302">
        <v>-62054.644</v>
      </c>
    </row>
    <row r="27" spans="1:57">
      <c r="A27" s="115" t="s">
        <v>877</v>
      </c>
      <c r="B27" s="115" t="s">
        <v>877</v>
      </c>
      <c r="C27" s="116"/>
      <c r="D27" s="288">
        <v>-3026.4941599999997</v>
      </c>
      <c r="E27" s="288">
        <v>-2221.0408499999976</v>
      </c>
      <c r="F27" s="288">
        <v>-3571.8356800000033</v>
      </c>
      <c r="G27" s="288">
        <v>-6317.1461100000033</v>
      </c>
      <c r="H27" s="288">
        <v>-4679.3890399999973</v>
      </c>
      <c r="I27" s="288">
        <v>-5770.5611900000031</v>
      </c>
      <c r="J27" s="288">
        <v>-3416.8399500000028</v>
      </c>
      <c r="K27" s="288">
        <v>-966.64258999999424</v>
      </c>
      <c r="L27" s="288">
        <v>-706.46651999999972</v>
      </c>
      <c r="M27" s="288">
        <v>-2236.1983000000014</v>
      </c>
      <c r="N27" s="288">
        <v>-1667.7134100000017</v>
      </c>
      <c r="O27" s="288">
        <v>-8584.8456900000019</v>
      </c>
      <c r="P27" s="288">
        <v>-1642.9930499999994</v>
      </c>
      <c r="Q27" s="288">
        <v>22.173270000000599</v>
      </c>
      <c r="R27" s="288">
        <v>-71.342150000000174</v>
      </c>
      <c r="S27" s="288">
        <v>-4614.7179400000005</v>
      </c>
      <c r="T27" s="288">
        <v>-616.53707999999949</v>
      </c>
      <c r="U27" s="288">
        <v>-4030.4853800000001</v>
      </c>
      <c r="V27" s="288">
        <v>-1810</v>
      </c>
      <c r="W27" s="288">
        <v>-1978</v>
      </c>
      <c r="X27" s="288">
        <v>-2408</v>
      </c>
      <c r="Y27" s="288">
        <v>-3976.8454199999992</v>
      </c>
      <c r="Z27" s="288">
        <v>-5355.5485399999998</v>
      </c>
      <c r="AA27" s="288">
        <v>-174.83368999999988</v>
      </c>
      <c r="AB27" s="288">
        <v>-2062.24296</v>
      </c>
      <c r="AC27" s="288">
        <v>-1758.4424199999996</v>
      </c>
      <c r="AD27" s="289">
        <v>-2555</v>
      </c>
      <c r="AE27" s="289">
        <v>-514</v>
      </c>
      <c r="AF27" s="289">
        <v>-2204</v>
      </c>
      <c r="AG27" s="289">
        <v>-1427</v>
      </c>
      <c r="AH27" s="289">
        <v>-2253</v>
      </c>
      <c r="AI27" s="289">
        <v>-16681</v>
      </c>
      <c r="AJ27" s="289">
        <v>-5748</v>
      </c>
      <c r="AK27" s="289">
        <v>-7246</v>
      </c>
      <c r="AL27" s="289">
        <v>-5063</v>
      </c>
      <c r="AM27" s="289">
        <v>-8536</v>
      </c>
      <c r="AN27" s="289">
        <v>-6272</v>
      </c>
      <c r="AO27" s="289">
        <v>-7258</v>
      </c>
      <c r="AP27" s="289">
        <v>-7225</v>
      </c>
      <c r="AQ27" s="289">
        <v>-9389</v>
      </c>
      <c r="AR27" s="289">
        <v>-6563</v>
      </c>
      <c r="AS27" s="289">
        <v>-2976</v>
      </c>
      <c r="AT27" s="302">
        <v>-2749.65</v>
      </c>
      <c r="AU27" s="302">
        <v>-15147.346</v>
      </c>
      <c r="AV27" s="302">
        <v>-4975.9459999999999</v>
      </c>
      <c r="AW27" s="302">
        <v>-3772.4720000000002</v>
      </c>
      <c r="AX27" s="302">
        <v>-11233.948</v>
      </c>
      <c r="AY27" s="302">
        <v>-9673.6589999999997</v>
      </c>
      <c r="AZ27" s="302">
        <v>-9022.84</v>
      </c>
      <c r="BA27" s="291">
        <v>-6799.7550000000001</v>
      </c>
      <c r="BB27" s="302">
        <v>-7228.2259999999997</v>
      </c>
      <c r="BC27" s="302">
        <v>-4839.1719999999996</v>
      </c>
      <c r="BD27" s="302">
        <v>-9721.2139999999999</v>
      </c>
      <c r="BE27" s="302">
        <v>-8657.625</v>
      </c>
    </row>
    <row r="28" spans="1:57">
      <c r="A28" s="115" t="s">
        <v>878</v>
      </c>
      <c r="B28" s="115" t="s">
        <v>879</v>
      </c>
      <c r="C28" s="116"/>
      <c r="D28" s="288">
        <v>-67142.27469000002</v>
      </c>
      <c r="E28" s="288">
        <v>-73112.582029999947</v>
      </c>
      <c r="F28" s="288">
        <v>-89747.354999999938</v>
      </c>
      <c r="G28" s="288">
        <v>-97921</v>
      </c>
      <c r="H28" s="288">
        <v>-73723.75469999999</v>
      </c>
      <c r="I28" s="288">
        <v>-85344.883640000073</v>
      </c>
      <c r="J28" s="288">
        <v>-81761.532729999817</v>
      </c>
      <c r="K28" s="288">
        <v>-108828.84033999991</v>
      </c>
      <c r="L28" s="288">
        <v>-78320.539030000029</v>
      </c>
      <c r="M28" s="288">
        <v>-80800.348039999895</v>
      </c>
      <c r="N28" s="288">
        <v>-77027.118039999958</v>
      </c>
      <c r="O28" s="288">
        <v>-119899.14853000033</v>
      </c>
      <c r="P28" s="288">
        <v>-96146.446690000026</v>
      </c>
      <c r="Q28" s="288">
        <v>-88095.386560000101</v>
      </c>
      <c r="R28" s="288">
        <v>-105221</v>
      </c>
      <c r="S28" s="288">
        <v>-112584.25408999996</v>
      </c>
      <c r="T28" s="288">
        <v>-92504.00758000002</v>
      </c>
      <c r="U28" s="288">
        <v>-84541.790469999964</v>
      </c>
      <c r="V28" s="288">
        <v>-107212</v>
      </c>
      <c r="W28" s="288">
        <v>-96856</v>
      </c>
      <c r="X28" s="288">
        <v>-82341</v>
      </c>
      <c r="Y28" s="288">
        <v>-88800.051520000008</v>
      </c>
      <c r="Z28" s="288">
        <v>-82923.459659999979</v>
      </c>
      <c r="AA28" s="288">
        <v>-128485.45204000002</v>
      </c>
      <c r="AB28" s="288">
        <v>-81792.068180000002</v>
      </c>
      <c r="AC28" s="288">
        <v>-84169.554299999945</v>
      </c>
      <c r="AD28" s="289">
        <v>-90824</v>
      </c>
      <c r="AE28" s="289">
        <v>-97380</v>
      </c>
      <c r="AF28" s="289">
        <v>-79237</v>
      </c>
      <c r="AG28" s="289">
        <v>-87268</v>
      </c>
      <c r="AH28" s="289">
        <v>-88103</v>
      </c>
      <c r="AI28" s="289">
        <v>-86192</v>
      </c>
      <c r="AJ28" s="289">
        <v>-99257</v>
      </c>
      <c r="AK28" s="289">
        <v>-101604</v>
      </c>
      <c r="AL28" s="289">
        <v>-106264</v>
      </c>
      <c r="AM28" s="289">
        <v>-119254</v>
      </c>
      <c r="AN28" s="289">
        <v>-106138</v>
      </c>
      <c r="AO28" s="289">
        <v>-123623</v>
      </c>
      <c r="AP28" s="289">
        <v>-120518</v>
      </c>
      <c r="AQ28" s="289">
        <v>-152863</v>
      </c>
      <c r="AR28" s="289">
        <v>-101179</v>
      </c>
      <c r="AS28" s="289">
        <v>-77721</v>
      </c>
      <c r="AT28" s="302">
        <v>-124691.321</v>
      </c>
      <c r="AU28" s="302">
        <v>-126101.952</v>
      </c>
      <c r="AV28" s="302">
        <v>-111799.31600000001</v>
      </c>
      <c r="AW28" s="302">
        <v>-120082.266</v>
      </c>
      <c r="AX28" s="302">
        <v>-118017.436</v>
      </c>
      <c r="AY28" s="302">
        <v>-122539.02800000001</v>
      </c>
      <c r="AZ28" s="302">
        <v>-118474.88400000001</v>
      </c>
      <c r="BA28" s="291">
        <v>-150987.489</v>
      </c>
      <c r="BB28" s="302">
        <v>-148592.052</v>
      </c>
      <c r="BC28" s="302">
        <v>-150910.323</v>
      </c>
      <c r="BD28" s="302">
        <v>-124424.114</v>
      </c>
      <c r="BE28" s="302">
        <v>-143500.72200000001</v>
      </c>
    </row>
    <row r="29" spans="1:57">
      <c r="A29" s="115" t="s">
        <v>880</v>
      </c>
      <c r="B29" s="115" t="s">
        <v>881</v>
      </c>
      <c r="C29" s="116"/>
      <c r="D29" s="288">
        <v>-21402.250450000018</v>
      </c>
      <c r="E29" s="288">
        <v>-18888.716490000032</v>
      </c>
      <c r="F29" s="288">
        <v>-7174.8392499999936</v>
      </c>
      <c r="G29" s="288">
        <v>10588.759209999995</v>
      </c>
      <c r="H29" s="288">
        <v>-20458.857370000002</v>
      </c>
      <c r="I29" s="288">
        <v>-12143.50447</v>
      </c>
      <c r="J29" s="288">
        <v>-13529.536799999994</v>
      </c>
      <c r="K29" s="288">
        <v>-21792.250029999992</v>
      </c>
      <c r="L29" s="288">
        <v>-23088</v>
      </c>
      <c r="M29" s="288">
        <v>-23428.468800000017</v>
      </c>
      <c r="N29" s="288">
        <v>-26910.204669999977</v>
      </c>
      <c r="O29" s="288">
        <v>-47366.265610000031</v>
      </c>
      <c r="P29" s="288">
        <v>-37083.651190000004</v>
      </c>
      <c r="Q29" s="288">
        <v>-17326.975889999987</v>
      </c>
      <c r="R29" s="288">
        <v>-40716.403190000012</v>
      </c>
      <c r="S29" s="288">
        <v>-128515.71961999999</v>
      </c>
      <c r="T29" s="288">
        <v>-92170.150269999998</v>
      </c>
      <c r="U29" s="288">
        <v>-60445.683980000016</v>
      </c>
      <c r="V29" s="288">
        <v>-39723.699999999997</v>
      </c>
      <c r="W29" s="288">
        <v>-42783</v>
      </c>
      <c r="X29" s="288">
        <v>-64775</v>
      </c>
      <c r="Y29" s="288">
        <v>-52695.662449999989</v>
      </c>
      <c r="Z29" s="288">
        <v>-28644.450660000017</v>
      </c>
      <c r="AA29" s="288">
        <v>20521.496890000031</v>
      </c>
      <c r="AB29" s="288">
        <v>-15036.38127</v>
      </c>
      <c r="AC29" s="288">
        <v>-50015.064679999967</v>
      </c>
      <c r="AD29" s="289">
        <v>-42122</v>
      </c>
      <c r="AE29" s="289">
        <v>-81197</v>
      </c>
      <c r="AF29" s="289">
        <v>-30584.999999999996</v>
      </c>
      <c r="AG29" s="289">
        <v>-99783</v>
      </c>
      <c r="AH29" s="289">
        <v>-27861</v>
      </c>
      <c r="AI29" s="289">
        <v>-75054</v>
      </c>
      <c r="AJ29" s="289">
        <v>-37428.218369999995</v>
      </c>
      <c r="AK29" s="289">
        <v>-38856</v>
      </c>
      <c r="AL29" s="289">
        <v>-49719</v>
      </c>
      <c r="AM29" s="289">
        <v>-46774</v>
      </c>
      <c r="AN29" s="289">
        <v>-49390</v>
      </c>
      <c r="AO29" s="289">
        <v>-37124</v>
      </c>
      <c r="AP29" s="289">
        <v>-55200</v>
      </c>
      <c r="AQ29" s="289">
        <v>26658</v>
      </c>
      <c r="AR29" s="289">
        <f>-37491-AR30</f>
        <v>-31861.038329999999</v>
      </c>
      <c r="AS29" s="289">
        <f>-46541-AS30</f>
        <v>-40684.981950000001</v>
      </c>
      <c r="AT29" s="302">
        <f>-63199.679-AT30</f>
        <v>-62032.381339999993</v>
      </c>
      <c r="AU29" s="302">
        <f>-47380.657-AU30</f>
        <v>-46608.045300000005</v>
      </c>
      <c r="AV29" s="302">
        <f>-71897.043-AV30</f>
        <v>-66965.248140000011</v>
      </c>
      <c r="AW29" s="302">
        <f>-61938.002-AW30</f>
        <v>-59242.24697</v>
      </c>
      <c r="AX29" s="302">
        <f>-69433.258-AX30</f>
        <v>-67082.319060000009</v>
      </c>
      <c r="AY29" s="302">
        <v>-110251.59339000001</v>
      </c>
      <c r="AZ29" s="302">
        <v>-59471.425280000018</v>
      </c>
      <c r="BA29" s="291">
        <v>-73709.514880000002</v>
      </c>
      <c r="BB29" s="302">
        <v>-71117.071980000008</v>
      </c>
      <c r="BC29" s="302">
        <v>-45844.369799999949</v>
      </c>
      <c r="BD29" s="302">
        <v>-86134.666399999987</v>
      </c>
      <c r="BE29" s="302">
        <v>-76103.602690000014</v>
      </c>
    </row>
    <row r="30" spans="1:57">
      <c r="A30" s="115" t="s">
        <v>882</v>
      </c>
      <c r="B30" s="115" t="s">
        <v>883</v>
      </c>
      <c r="C30" s="116"/>
      <c r="D30" s="288"/>
      <c r="E30" s="288"/>
      <c r="F30" s="288"/>
      <c r="G30" s="288"/>
      <c r="H30" s="288"/>
      <c r="I30" s="288"/>
      <c r="J30" s="288"/>
      <c r="K30" s="288"/>
      <c r="L30" s="288"/>
      <c r="M30" s="288"/>
      <c r="N30" s="288"/>
      <c r="O30" s="288"/>
      <c r="P30" s="288"/>
      <c r="Q30" s="288"/>
      <c r="R30" s="288"/>
      <c r="S30" s="288"/>
      <c r="T30" s="288"/>
      <c r="U30" s="288"/>
      <c r="V30" s="288"/>
      <c r="W30" s="288"/>
      <c r="X30" s="288"/>
      <c r="Y30" s="288"/>
      <c r="Z30" s="288"/>
      <c r="AA30" s="288"/>
      <c r="AB30" s="288"/>
      <c r="AC30" s="288"/>
      <c r="AD30" s="289"/>
      <c r="AE30" s="289"/>
      <c r="AF30" s="289"/>
      <c r="AG30" s="289"/>
      <c r="AH30" s="289"/>
      <c r="AI30" s="289"/>
      <c r="AJ30" s="289"/>
      <c r="AK30" s="289"/>
      <c r="AL30" s="289"/>
      <c r="AM30" s="289"/>
      <c r="AN30" s="289"/>
      <c r="AO30" s="289"/>
      <c r="AP30" s="289"/>
      <c r="AQ30" s="289"/>
      <c r="AR30" s="289">
        <v>-5629.9616700000006</v>
      </c>
      <c r="AS30" s="289">
        <v>-5856.0180499999988</v>
      </c>
      <c r="AT30" s="302">
        <v>-1167.2976600000015</v>
      </c>
      <c r="AU30" s="302">
        <v>-772.6116999999964</v>
      </c>
      <c r="AV30" s="302">
        <v>-4931.79486</v>
      </c>
      <c r="AW30" s="302">
        <v>-2695.7550300000012</v>
      </c>
      <c r="AX30" s="302">
        <v>-2350.9389399999995</v>
      </c>
      <c r="AY30" s="302">
        <v>-3410.4836100000011</v>
      </c>
      <c r="AZ30" s="302">
        <v>-4893.0056900000009</v>
      </c>
      <c r="BA30" s="291">
        <v>-3426.4450600000009</v>
      </c>
      <c r="BB30" s="302">
        <v>-4997.4706299999953</v>
      </c>
      <c r="BC30" s="302">
        <v>-30743.869099999996</v>
      </c>
      <c r="BD30" s="302">
        <v>-9007.8109999999997</v>
      </c>
      <c r="BE30" s="302">
        <v>-2900.2239799999993</v>
      </c>
    </row>
    <row r="31" spans="1:57">
      <c r="A31" s="115" t="s">
        <v>95</v>
      </c>
      <c r="B31" s="115" t="s">
        <v>884</v>
      </c>
      <c r="C31" s="116"/>
      <c r="D31" s="288">
        <v>-5935</v>
      </c>
      <c r="E31" s="288">
        <v>-3477</v>
      </c>
      <c r="F31" s="288">
        <v>-33313.365130000006</v>
      </c>
      <c r="G31" s="288">
        <v>-9818.1055899999974</v>
      </c>
      <c r="H31" s="288">
        <v>-9481.6015599999919</v>
      </c>
      <c r="I31" s="288">
        <v>-8168.0507599999983</v>
      </c>
      <c r="J31" s="288">
        <v>-10318.174340000018</v>
      </c>
      <c r="K31" s="288">
        <v>-11627.408369999986</v>
      </c>
      <c r="L31" s="288">
        <v>18805.798760000001</v>
      </c>
      <c r="M31" s="288">
        <v>-24380.17455</v>
      </c>
      <c r="N31" s="288">
        <v>-15773.590109999996</v>
      </c>
      <c r="O31" s="288">
        <v>-35040.443719999996</v>
      </c>
      <c r="P31" s="288">
        <v>-586.00541999999803</v>
      </c>
      <c r="Q31" s="288">
        <v>-11257.993200000001</v>
      </c>
      <c r="R31" s="288">
        <v>-8540.3312400000032</v>
      </c>
      <c r="S31" s="288">
        <v>19441.084899999983</v>
      </c>
      <c r="T31" s="288">
        <v>-22808.607550000004</v>
      </c>
      <c r="U31" s="288">
        <v>-9189.6462199999969</v>
      </c>
      <c r="V31" s="288">
        <v>-9276.5</v>
      </c>
      <c r="W31" s="288">
        <v>20708</v>
      </c>
      <c r="X31" s="288">
        <v>-5702</v>
      </c>
      <c r="Y31" s="288">
        <v>-3714</v>
      </c>
      <c r="Z31" s="288">
        <v>-6268.9964199999977</v>
      </c>
      <c r="AA31" s="288">
        <v>-5881.7676599999986</v>
      </c>
      <c r="AB31" s="288">
        <v>-6200.6347300000016</v>
      </c>
      <c r="AC31" s="288">
        <v>-2837.5704199999982</v>
      </c>
      <c r="AD31" s="289">
        <v>-5746</v>
      </c>
      <c r="AE31" s="289">
        <v>-13308</v>
      </c>
      <c r="AF31" s="289">
        <v>-36037</v>
      </c>
      <c r="AG31" s="289">
        <v>-8382</v>
      </c>
      <c r="AH31" s="289">
        <v>-5619</v>
      </c>
      <c r="AI31" s="289">
        <v>-3557</v>
      </c>
      <c r="AJ31" s="289">
        <v>114.52601999999955</v>
      </c>
      <c r="AK31" s="289">
        <v>-1709</v>
      </c>
      <c r="AL31" s="289">
        <v>-6600</v>
      </c>
      <c r="AM31" s="289">
        <v>-21642</v>
      </c>
      <c r="AN31" s="289">
        <v>-3143</v>
      </c>
      <c r="AO31" s="289">
        <v>-4955</v>
      </c>
      <c r="AP31" s="289">
        <v>-4593</v>
      </c>
      <c r="AQ31" s="289">
        <v>-8040</v>
      </c>
      <c r="AR31" s="289">
        <v>-4998</v>
      </c>
      <c r="AS31" s="289">
        <v>-2303</v>
      </c>
      <c r="AT31" s="302">
        <v>-122.002</v>
      </c>
      <c r="AU31" s="302">
        <v>-8371.6319999999996</v>
      </c>
      <c r="AV31" s="302">
        <v>-6576.3789999999999</v>
      </c>
      <c r="AW31" s="302">
        <v>-3772.085</v>
      </c>
      <c r="AX31" s="302">
        <v>-10017.700000000001</v>
      </c>
      <c r="AY31" s="302">
        <v>-40983.226000000002</v>
      </c>
      <c r="AZ31" s="302">
        <v>-8237.3389999999999</v>
      </c>
      <c r="BA31" s="291">
        <v>-6489.0519999999997</v>
      </c>
      <c r="BB31" s="302">
        <v>-9502.1450000000004</v>
      </c>
      <c r="BC31" s="302">
        <v>-8179.0649999999996</v>
      </c>
      <c r="BD31" s="302">
        <v>-10803.922</v>
      </c>
      <c r="BE31" s="302">
        <v>-14220.69</v>
      </c>
    </row>
    <row r="32" spans="1:57">
      <c r="A32" s="115" t="s">
        <v>885</v>
      </c>
      <c r="B32" s="115" t="s">
        <v>886</v>
      </c>
      <c r="C32" s="116"/>
      <c r="D32" s="288"/>
      <c r="E32" s="288"/>
      <c r="F32" s="288"/>
      <c r="G32" s="288"/>
      <c r="H32" s="288"/>
      <c r="I32" s="288"/>
      <c r="J32" s="288"/>
      <c r="K32" s="288"/>
      <c r="L32" s="288"/>
      <c r="M32" s="288"/>
      <c r="N32" s="288"/>
      <c r="O32" s="288"/>
      <c r="P32" s="288">
        <v>0</v>
      </c>
      <c r="Q32" s="288">
        <v>0</v>
      </c>
      <c r="R32" s="288">
        <v>0</v>
      </c>
      <c r="S32" s="288">
        <v>0</v>
      </c>
      <c r="T32" s="288">
        <v>-74209.911769999992</v>
      </c>
      <c r="U32" s="288">
        <v>-115906.38757000001</v>
      </c>
      <c r="V32" s="288">
        <v>-120298</v>
      </c>
      <c r="W32" s="288">
        <v>-126751.4</v>
      </c>
      <c r="X32" s="288">
        <v>-124183.3</v>
      </c>
      <c r="Y32" s="288">
        <v>-129845.45475000002</v>
      </c>
      <c r="Z32" s="288">
        <v>-137334.82364999998</v>
      </c>
      <c r="AA32" s="288">
        <v>-156495.90257000001</v>
      </c>
      <c r="AB32" s="288">
        <v>-100177.11417</v>
      </c>
      <c r="AC32" s="288">
        <v>-105966.53614999999</v>
      </c>
      <c r="AD32" s="289">
        <v>-110787</v>
      </c>
      <c r="AE32" s="289">
        <v>-1251</v>
      </c>
      <c r="AF32" s="289">
        <v>0</v>
      </c>
      <c r="AG32" s="289">
        <v>0</v>
      </c>
      <c r="AH32" s="289">
        <v>-119286</v>
      </c>
      <c r="AI32" s="289">
        <v>-115406</v>
      </c>
      <c r="AJ32" s="289">
        <v>-102473</v>
      </c>
      <c r="AK32" s="289">
        <v>0</v>
      </c>
      <c r="AL32" s="289">
        <v>-133314</v>
      </c>
      <c r="AM32" s="289">
        <v>-143261</v>
      </c>
      <c r="AN32" s="289">
        <v>-136849</v>
      </c>
      <c r="AO32" s="289">
        <v>-149063</v>
      </c>
      <c r="AP32" s="289">
        <v>-178722</v>
      </c>
      <c r="AQ32" s="289">
        <v>-177267</v>
      </c>
      <c r="AR32" s="289">
        <v>-150780</v>
      </c>
      <c r="AS32" s="289"/>
      <c r="AT32" s="302"/>
      <c r="AU32" s="302"/>
      <c r="AV32" s="302"/>
      <c r="AW32" s="302"/>
      <c r="AX32" s="302"/>
      <c r="AY32" s="302"/>
      <c r="AZ32" s="302"/>
      <c r="BA32" s="291"/>
      <c r="BB32" s="302"/>
      <c r="BC32" s="302"/>
      <c r="BD32" s="302"/>
      <c r="BE32" s="302"/>
    </row>
    <row r="33" spans="1:57">
      <c r="A33" s="115" t="s">
        <v>887</v>
      </c>
      <c r="B33" s="115" t="s">
        <v>888</v>
      </c>
      <c r="C33" s="116"/>
      <c r="D33" s="288">
        <v>64422.271059999999</v>
      </c>
      <c r="E33" s="288">
        <v>80841.517189999999</v>
      </c>
      <c r="F33" s="288">
        <v>82771.578379999992</v>
      </c>
      <c r="G33" s="288">
        <v>80816.498600000021</v>
      </c>
      <c r="H33" s="288">
        <v>73953.261989999999</v>
      </c>
      <c r="I33" s="288">
        <v>61675.921660000015</v>
      </c>
      <c r="J33" s="288">
        <v>80346.189309999972</v>
      </c>
      <c r="K33" s="288">
        <v>82492.691459999973</v>
      </c>
      <c r="L33" s="288">
        <v>77168.39718</v>
      </c>
      <c r="M33" s="288">
        <v>69550.504629999996</v>
      </c>
      <c r="N33" s="288">
        <v>72250.864539999995</v>
      </c>
      <c r="O33" s="288">
        <v>82181.459530000007</v>
      </c>
      <c r="P33" s="288">
        <v>69847.556219999999</v>
      </c>
      <c r="Q33" s="288">
        <v>97642.982799999998</v>
      </c>
      <c r="R33" s="288">
        <v>69975</v>
      </c>
      <c r="S33" s="288">
        <v>72945.893639999966</v>
      </c>
      <c r="T33" s="288">
        <v>97942.626250000001</v>
      </c>
      <c r="U33" s="288">
        <v>100762.66158000001</v>
      </c>
      <c r="V33" s="288">
        <v>85925</v>
      </c>
      <c r="W33" s="288">
        <v>117659</v>
      </c>
      <c r="X33" s="288">
        <v>97796.6</v>
      </c>
      <c r="Y33" s="288">
        <v>104003.66191000001</v>
      </c>
      <c r="Z33" s="288">
        <v>110046.77168000001</v>
      </c>
      <c r="AA33" s="288">
        <v>134561.29387999998</v>
      </c>
      <c r="AB33" s="288">
        <v>71545.974019999994</v>
      </c>
      <c r="AC33" s="288">
        <v>83679.428260000001</v>
      </c>
      <c r="AD33" s="289">
        <v>76719</v>
      </c>
      <c r="AE33" s="289">
        <v>-30042</v>
      </c>
      <c r="AF33" s="289">
        <v>0</v>
      </c>
      <c r="AG33" s="289">
        <v>-28975</v>
      </c>
      <c r="AH33" s="289">
        <v>83543</v>
      </c>
      <c r="AI33" s="289">
        <v>89946</v>
      </c>
      <c r="AJ33" s="289">
        <v>81382</v>
      </c>
      <c r="AK33" s="289">
        <v>-26026</v>
      </c>
      <c r="AL33" s="289">
        <v>190480</v>
      </c>
      <c r="AM33" s="289">
        <v>114784</v>
      </c>
      <c r="AN33" s="289">
        <v>139450</v>
      </c>
      <c r="AO33" s="289">
        <v>151219</v>
      </c>
      <c r="AP33" s="289">
        <v>181629</v>
      </c>
      <c r="AQ33" s="289">
        <v>185534</v>
      </c>
      <c r="AR33" s="289">
        <v>146011</v>
      </c>
      <c r="AS33" s="289">
        <v>-7693</v>
      </c>
      <c r="AT33" s="302">
        <v>-1456.037</v>
      </c>
      <c r="AU33" s="302">
        <v>-18272.892</v>
      </c>
      <c r="AV33" s="302">
        <v>-13031.239</v>
      </c>
      <c r="AW33" s="302">
        <v>-14641.038</v>
      </c>
      <c r="AX33" s="302">
        <v>-15745.607</v>
      </c>
      <c r="AY33" s="302">
        <v>-14911.473</v>
      </c>
      <c r="AZ33" s="302">
        <v>-22456.539000000001</v>
      </c>
      <c r="BA33" s="291">
        <v>-24952.845000000001</v>
      </c>
      <c r="BB33" s="302">
        <v>-24290.227999999999</v>
      </c>
      <c r="BC33" s="302">
        <v>-5143.8590000000004</v>
      </c>
      <c r="BD33" s="302">
        <v>-31571.169000000002</v>
      </c>
      <c r="BE33" s="302">
        <v>-34899.57</v>
      </c>
    </row>
    <row r="34" spans="1:57">
      <c r="A34" s="115" t="s">
        <v>889</v>
      </c>
      <c r="B34" s="115" t="s">
        <v>890</v>
      </c>
      <c r="C34" s="116"/>
      <c r="D34" s="288">
        <v>-60009.129300000008</v>
      </c>
      <c r="E34" s="288">
        <v>-66424.476009999998</v>
      </c>
      <c r="F34" s="288">
        <v>-77173.717789999966</v>
      </c>
      <c r="G34" s="288">
        <v>-79853.141730000018</v>
      </c>
      <c r="H34" s="288">
        <v>-80832.86292</v>
      </c>
      <c r="I34" s="288">
        <v>-45275.187209999996</v>
      </c>
      <c r="J34" s="288">
        <v>-69226.133069999996</v>
      </c>
      <c r="K34" s="288">
        <v>-74134.141890000043</v>
      </c>
      <c r="L34" s="288">
        <v>-71362.587579999992</v>
      </c>
      <c r="M34" s="288">
        <v>-65097.853400000022</v>
      </c>
      <c r="N34" s="288">
        <v>-71533.298929999975</v>
      </c>
      <c r="O34" s="288">
        <v>-72996.646460000004</v>
      </c>
      <c r="P34" s="288">
        <v>-88426.169249999992</v>
      </c>
      <c r="Q34" s="288">
        <v>-86117.596690000006</v>
      </c>
      <c r="R34" s="288">
        <v>-72295</v>
      </c>
      <c r="S34" s="288">
        <v>-66487</v>
      </c>
      <c r="T34" s="288">
        <v>-30395.121470000002</v>
      </c>
      <c r="U34" s="288">
        <v>-2056.8265799999999</v>
      </c>
      <c r="V34" s="288">
        <v>-2960</v>
      </c>
      <c r="W34" s="288">
        <v>-6307.4</v>
      </c>
      <c r="X34" s="288">
        <v>-2272</v>
      </c>
      <c r="Y34" s="288">
        <v>-2704</v>
      </c>
      <c r="Z34" s="288">
        <v>-2348.6610400000004</v>
      </c>
      <c r="AA34" s="288">
        <v>3667.3737500000002</v>
      </c>
      <c r="AB34" s="288">
        <v>127.67474</v>
      </c>
      <c r="AC34" s="288">
        <v>131.57362000000001</v>
      </c>
      <c r="AD34" s="289">
        <v>129</v>
      </c>
      <c r="AE34" s="289">
        <v>0</v>
      </c>
      <c r="AF34" s="289">
        <v>0</v>
      </c>
      <c r="AG34" s="289">
        <v>0</v>
      </c>
      <c r="AH34" s="289">
        <v>176</v>
      </c>
      <c r="AI34" s="289">
        <v>201</v>
      </c>
      <c r="AJ34" s="289">
        <v>131</v>
      </c>
      <c r="AK34" s="289">
        <v>0</v>
      </c>
      <c r="AL34" s="289">
        <v>193</v>
      </c>
      <c r="AM34" s="289">
        <v>186</v>
      </c>
      <c r="AN34" s="289">
        <v>270</v>
      </c>
      <c r="AO34" s="289">
        <v>365</v>
      </c>
      <c r="AP34" s="289">
        <v>476</v>
      </c>
      <c r="AQ34" s="289">
        <v>589</v>
      </c>
      <c r="AR34" s="289">
        <v>0</v>
      </c>
      <c r="AS34" s="289"/>
      <c r="AT34" s="302"/>
      <c r="AU34" s="302"/>
      <c r="AV34" s="302"/>
      <c r="AW34" s="302"/>
      <c r="AX34" s="302"/>
      <c r="AY34" s="302"/>
      <c r="AZ34" s="302"/>
      <c r="BA34" s="291"/>
      <c r="BB34" s="302"/>
      <c r="BC34" s="302"/>
      <c r="BD34" s="302"/>
      <c r="BE34" s="302"/>
    </row>
    <row r="35" spans="1:57">
      <c r="A35" s="115" t="s">
        <v>891</v>
      </c>
      <c r="B35" s="115" t="s">
        <v>892</v>
      </c>
      <c r="C35" s="115"/>
      <c r="D35" s="288">
        <v>-748.24330000000009</v>
      </c>
      <c r="E35" s="288">
        <v>-5886.3688500000007</v>
      </c>
      <c r="F35" s="288">
        <v>-8969.7685400000009</v>
      </c>
      <c r="G35" s="288">
        <v>-8396.1345899999997</v>
      </c>
      <c r="H35" s="288">
        <v>-5853.8511599999993</v>
      </c>
      <c r="I35" s="288">
        <v>-6989.7547099999992</v>
      </c>
      <c r="J35" s="288">
        <v>-11918.813530000005</v>
      </c>
      <c r="K35" s="288">
        <v>-54201.350079999997</v>
      </c>
      <c r="L35" s="288">
        <v>-23338.806329999999</v>
      </c>
      <c r="M35" s="288">
        <v>-41843.157640000019</v>
      </c>
      <c r="N35" s="288">
        <v>-29562.978600000009</v>
      </c>
      <c r="O35" s="288">
        <v>-71237.879759999967</v>
      </c>
      <c r="P35" s="288">
        <v>-3606.4621000000002</v>
      </c>
      <c r="Q35" s="288">
        <v>-10008.57353</v>
      </c>
      <c r="R35" s="288">
        <v>-5614.0404100000005</v>
      </c>
      <c r="S35" s="288">
        <v>-9574</v>
      </c>
      <c r="T35" s="288">
        <v>-748.70891999999992</v>
      </c>
      <c r="U35" s="288">
        <v>-3466.8456499999993</v>
      </c>
      <c r="V35" s="288">
        <v>-12528</v>
      </c>
      <c r="W35" s="288">
        <v>-15192</v>
      </c>
      <c r="X35" s="288">
        <v>-3523</v>
      </c>
      <c r="Y35" s="288">
        <v>-8687</v>
      </c>
      <c r="Z35" s="288">
        <v>-6650.3733700000003</v>
      </c>
      <c r="AA35" s="288">
        <v>-8871.9629899999982</v>
      </c>
      <c r="AB35" s="288">
        <v>-78107.492409999992</v>
      </c>
      <c r="AC35" s="288">
        <v>-1948.8846699999879</v>
      </c>
      <c r="AD35" s="289">
        <v>-14115</v>
      </c>
      <c r="AE35" s="289">
        <v>-57670</v>
      </c>
      <c r="AF35" s="289">
        <v>-7977</v>
      </c>
      <c r="AG35" s="289">
        <v>3650</v>
      </c>
      <c r="AH35" s="289">
        <v>472</v>
      </c>
      <c r="AI35" s="289">
        <v>-21980</v>
      </c>
      <c r="AJ35" s="289">
        <v>-12513</v>
      </c>
      <c r="AK35" s="289">
        <v>64</v>
      </c>
      <c r="AL35" s="289">
        <v>180</v>
      </c>
      <c r="AM35" s="289">
        <v>-57908</v>
      </c>
      <c r="AN35" s="289">
        <v>-39322</v>
      </c>
      <c r="AO35" s="289">
        <v>-74174</v>
      </c>
      <c r="AP35" s="289">
        <v>-23601</v>
      </c>
      <c r="AQ35" s="289">
        <v>-192863</v>
      </c>
      <c r="AR35" s="289">
        <v>28127</v>
      </c>
      <c r="AS35" s="289">
        <v>-33586</v>
      </c>
      <c r="AT35" s="302">
        <v>-53669.499000000003</v>
      </c>
      <c r="AU35" s="302">
        <v>-6051.5280000000002</v>
      </c>
      <c r="AV35" s="302">
        <v>-13785.416999999999</v>
      </c>
      <c r="AW35" s="302">
        <v>-30254.205000000002</v>
      </c>
      <c r="AX35" s="302">
        <v>16256.861000000001</v>
      </c>
      <c r="AY35" s="302">
        <v>-26737.945</v>
      </c>
      <c r="AZ35" s="302">
        <v>-17490.746999999999</v>
      </c>
      <c r="BA35" s="291">
        <v>-17123.567999999999</v>
      </c>
      <c r="BB35" s="302">
        <v>-96627.201000000001</v>
      </c>
      <c r="BC35" s="302">
        <v>-39628.241999999998</v>
      </c>
      <c r="BD35" s="302">
        <v>-43184.737999999998</v>
      </c>
      <c r="BE35" s="302">
        <v>-27558.505000000001</v>
      </c>
    </row>
    <row r="36" spans="1:57">
      <c r="A36" s="458" t="s">
        <v>722</v>
      </c>
      <c r="B36" s="458" t="s">
        <v>722</v>
      </c>
      <c r="C36" s="307"/>
      <c r="D36" s="465">
        <f t="shared" ref="D36:AS36" si="18">D18+D19+D25</f>
        <v>-18099.802129999909</v>
      </c>
      <c r="E36" s="465">
        <f t="shared" si="18"/>
        <v>-59296.165429999848</v>
      </c>
      <c r="F36" s="465">
        <f t="shared" si="18"/>
        <v>-183000.70684000029</v>
      </c>
      <c r="G36" s="465">
        <f t="shared" si="18"/>
        <v>348998.97715000075</v>
      </c>
      <c r="H36" s="465">
        <f t="shared" si="18"/>
        <v>40796.976170000475</v>
      </c>
      <c r="I36" s="465">
        <f t="shared" si="18"/>
        <v>-98767.485130000714</v>
      </c>
      <c r="J36" s="465">
        <f t="shared" si="18"/>
        <v>-424422.34160999977</v>
      </c>
      <c r="K36" s="465">
        <f t="shared" si="18"/>
        <v>272167.90038999927</v>
      </c>
      <c r="L36" s="465">
        <f t="shared" si="18"/>
        <v>101085.88164000021</v>
      </c>
      <c r="M36" s="465">
        <f t="shared" si="18"/>
        <v>67648.939780000277</v>
      </c>
      <c r="N36" s="465">
        <f t="shared" si="18"/>
        <v>171493.94154999976</v>
      </c>
      <c r="O36" s="465">
        <f t="shared" si="18"/>
        <v>130028.2566799919</v>
      </c>
      <c r="P36" s="465">
        <f t="shared" si="18"/>
        <v>92753.109080000024</v>
      </c>
      <c r="Q36" s="465">
        <f t="shared" si="18"/>
        <v>165662.67776000104</v>
      </c>
      <c r="R36" s="465">
        <f t="shared" si="18"/>
        <v>225799.2308499995</v>
      </c>
      <c r="S36" s="465">
        <f t="shared" si="18"/>
        <v>268283.20530000026</v>
      </c>
      <c r="T36" s="465">
        <f t="shared" si="18"/>
        <v>116714.40436999939</v>
      </c>
      <c r="U36" s="465">
        <f t="shared" si="18"/>
        <v>182940.75029999946</v>
      </c>
      <c r="V36" s="465">
        <f t="shared" si="18"/>
        <v>303121.61783000006</v>
      </c>
      <c r="W36" s="465">
        <f t="shared" si="18"/>
        <v>337950.19999999995</v>
      </c>
      <c r="X36" s="465">
        <f t="shared" si="18"/>
        <v>119629.49999999997</v>
      </c>
      <c r="Y36" s="465">
        <f t="shared" si="18"/>
        <v>192004.32763999928</v>
      </c>
      <c r="Z36" s="465">
        <f t="shared" si="18"/>
        <v>297774.89207000006</v>
      </c>
      <c r="AA36" s="465">
        <f t="shared" si="18"/>
        <v>438537.81855999993</v>
      </c>
      <c r="AB36" s="465">
        <f t="shared" si="18"/>
        <v>136298.26642999955</v>
      </c>
      <c r="AC36" s="465">
        <f t="shared" si="18"/>
        <v>184772.84272000068</v>
      </c>
      <c r="AD36" s="465">
        <f t="shared" si="18"/>
        <v>337535</v>
      </c>
      <c r="AE36" s="465">
        <f t="shared" si="18"/>
        <v>389891</v>
      </c>
      <c r="AF36" s="465">
        <f t="shared" si="18"/>
        <v>323449.99999999988</v>
      </c>
      <c r="AG36" s="465">
        <f t="shared" si="18"/>
        <v>226224</v>
      </c>
      <c r="AH36" s="465">
        <f t="shared" si="18"/>
        <v>499997</v>
      </c>
      <c r="AI36" s="465">
        <f t="shared" si="18"/>
        <v>431239</v>
      </c>
      <c r="AJ36" s="465">
        <f t="shared" si="18"/>
        <v>347090.17342000001</v>
      </c>
      <c r="AK36" s="465">
        <f t="shared" si="18"/>
        <v>401609</v>
      </c>
      <c r="AL36" s="465">
        <f t="shared" si="18"/>
        <v>665766</v>
      </c>
      <c r="AM36" s="465">
        <f t="shared" si="18"/>
        <v>596774</v>
      </c>
      <c r="AN36" s="465">
        <f t="shared" si="18"/>
        <v>558722</v>
      </c>
      <c r="AO36" s="465">
        <f t="shared" si="18"/>
        <v>680118</v>
      </c>
      <c r="AP36" s="465">
        <f t="shared" si="18"/>
        <v>507877</v>
      </c>
      <c r="AQ36" s="465">
        <f t="shared" si="18"/>
        <v>652295</v>
      </c>
      <c r="AR36" s="465">
        <f t="shared" si="18"/>
        <v>691435</v>
      </c>
      <c r="AS36" s="465">
        <f t="shared" si="18"/>
        <v>843907</v>
      </c>
      <c r="AT36" s="466">
        <f t="shared" ref="AT36:BA36" si="19">AT18+AT19+AT25</f>
        <v>992409.14299999934</v>
      </c>
      <c r="AU36" s="466">
        <f t="shared" si="19"/>
        <v>795773.86700000043</v>
      </c>
      <c r="AV36" s="466">
        <f t="shared" si="19"/>
        <v>737203.3969999993</v>
      </c>
      <c r="AW36" s="466">
        <f t="shared" si="19"/>
        <v>783979.02299999946</v>
      </c>
      <c r="AX36" s="466">
        <f t="shared" si="19"/>
        <v>797926.42000000016</v>
      </c>
      <c r="AY36" s="466">
        <f t="shared" si="19"/>
        <v>637372.99500000034</v>
      </c>
      <c r="AZ36" s="466">
        <f t="shared" si="19"/>
        <v>745578.48002999998</v>
      </c>
      <c r="BA36" s="461">
        <f t="shared" si="19"/>
        <v>775674.47405999945</v>
      </c>
      <c r="BB36" s="466">
        <f t="shared" ref="BB36:BD36" si="20">BB18+BB19+BB25</f>
        <v>652074.60739000002</v>
      </c>
      <c r="BC36" s="466">
        <f t="shared" si="20"/>
        <v>775673.39409999957</v>
      </c>
      <c r="BD36" s="466">
        <f t="shared" si="20"/>
        <v>800931.69359999988</v>
      </c>
      <c r="BE36" s="466">
        <f>BE18+BE19+BE25</f>
        <v>852341.48733000073</v>
      </c>
    </row>
    <row r="37" spans="1:57" ht="15" thickBot="1">
      <c r="A37" s="115" t="s">
        <v>893</v>
      </c>
      <c r="B37" s="115" t="s">
        <v>894</v>
      </c>
      <c r="C37" s="115"/>
      <c r="D37" s="288">
        <v>-31150.374359999994</v>
      </c>
      <c r="E37" s="288">
        <v>-32181.438809999996</v>
      </c>
      <c r="F37" s="288">
        <v>-40381.733350000017</v>
      </c>
      <c r="G37" s="288">
        <v>-35892.271269999983</v>
      </c>
      <c r="H37" s="288">
        <v>-36580.159070000009</v>
      </c>
      <c r="I37" s="288">
        <v>-42917.743680000007</v>
      </c>
      <c r="J37" s="288">
        <v>-54449.164379999995</v>
      </c>
      <c r="K37" s="288">
        <v>-37105.181320000011</v>
      </c>
      <c r="L37" s="288">
        <v>-214.61177000000222</v>
      </c>
      <c r="M37" s="288">
        <v>-47953.004530000006</v>
      </c>
      <c r="N37" s="288">
        <v>-48452.161079999998</v>
      </c>
      <c r="O37" s="288">
        <v>-88494.638129999978</v>
      </c>
      <c r="P37" s="288">
        <v>-52645.274429999998</v>
      </c>
      <c r="Q37" s="288">
        <v>-44721.908069999998</v>
      </c>
      <c r="R37" s="288">
        <v>-51141</v>
      </c>
      <c r="S37" s="288">
        <v>-49894</v>
      </c>
      <c r="T37" s="288">
        <v>-52013.062829999988</v>
      </c>
      <c r="U37" s="288">
        <v>-52784.297949999993</v>
      </c>
      <c r="V37" s="288">
        <v>-53949</v>
      </c>
      <c r="W37" s="288">
        <v>-51957</v>
      </c>
      <c r="X37" s="288">
        <v>-57824</v>
      </c>
      <c r="Y37" s="288">
        <v>-58342</v>
      </c>
      <c r="Z37" s="288">
        <v>-71265.924559999985</v>
      </c>
      <c r="AA37" s="288">
        <v>-62531.030320000005</v>
      </c>
      <c r="AB37" s="288">
        <v>-61021.807829999998</v>
      </c>
      <c r="AC37" s="288">
        <v>-72013.011079999997</v>
      </c>
      <c r="AD37" s="289">
        <v>-72622</v>
      </c>
      <c r="AE37" s="289">
        <v>-101307</v>
      </c>
      <c r="AF37" s="289">
        <v>-70970</v>
      </c>
      <c r="AG37" s="289">
        <v>-78269</v>
      </c>
      <c r="AH37" s="289">
        <v>-79887</v>
      </c>
      <c r="AI37" s="289">
        <v>-82917</v>
      </c>
      <c r="AJ37" s="289">
        <v>-71751</v>
      </c>
      <c r="AK37" s="289">
        <v>-94693</v>
      </c>
      <c r="AL37" s="289">
        <v>-86289</v>
      </c>
      <c r="AM37" s="289">
        <v>-112564</v>
      </c>
      <c r="AN37" s="289">
        <v>-86746</v>
      </c>
      <c r="AO37" s="289">
        <v>-94388</v>
      </c>
      <c r="AP37" s="289">
        <v>-93835</v>
      </c>
      <c r="AQ37" s="289">
        <v>-105436</v>
      </c>
      <c r="AR37" s="289">
        <v>-114894</v>
      </c>
      <c r="AS37" s="289">
        <v>-104683</v>
      </c>
      <c r="AT37" s="302">
        <v>-103781.427</v>
      </c>
      <c r="AU37" s="302">
        <v>-115713.18399999999</v>
      </c>
      <c r="AV37" s="302">
        <v>-115490.053</v>
      </c>
      <c r="AW37" s="302">
        <v>-120647.68399999999</v>
      </c>
      <c r="AX37" s="302">
        <v>-66617.275999999998</v>
      </c>
      <c r="AY37" s="302">
        <v>-122145.401</v>
      </c>
      <c r="AZ37" s="302">
        <v>-111879.164</v>
      </c>
      <c r="BA37" s="291">
        <v>-222846.62700000001</v>
      </c>
      <c r="BB37" s="302">
        <v>-72864.157999999996</v>
      </c>
      <c r="BC37" s="302">
        <v>-206311.65</v>
      </c>
      <c r="BD37" s="302">
        <v>-167488.70600000001</v>
      </c>
      <c r="BE37" s="302">
        <v>-174132.054</v>
      </c>
    </row>
    <row r="38" spans="1:57" ht="15" thickBot="1">
      <c r="A38" s="118" t="s">
        <v>895</v>
      </c>
      <c r="B38" s="118" t="s">
        <v>896</v>
      </c>
      <c r="C38" s="115"/>
      <c r="D38" s="287">
        <f t="shared" ref="D38:Z38" si="21">SUM(D36:D37)</f>
        <v>-49250.176489999903</v>
      </c>
      <c r="E38" s="287">
        <f t="shared" si="21"/>
        <v>-91477.604239999841</v>
      </c>
      <c r="F38" s="287">
        <f t="shared" si="21"/>
        <v>-223382.44019000031</v>
      </c>
      <c r="G38" s="287">
        <f t="shared" si="21"/>
        <v>313106.70588000078</v>
      </c>
      <c r="H38" s="287">
        <f t="shared" si="21"/>
        <v>4216.8171000004659</v>
      </c>
      <c r="I38" s="287">
        <f t="shared" si="21"/>
        <v>-141685.22881000073</v>
      </c>
      <c r="J38" s="287">
        <f t="shared" si="21"/>
        <v>-478871.50598999974</v>
      </c>
      <c r="K38" s="287">
        <f t="shared" si="21"/>
        <v>235062.71906999926</v>
      </c>
      <c r="L38" s="287">
        <f t="shared" si="21"/>
        <v>100871.26987000021</v>
      </c>
      <c r="M38" s="287">
        <f t="shared" si="21"/>
        <v>19695.935250000271</v>
      </c>
      <c r="N38" s="287">
        <f t="shared" si="21"/>
        <v>123041.78046999977</v>
      </c>
      <c r="O38" s="287">
        <f t="shared" si="21"/>
        <v>41533.618549991923</v>
      </c>
      <c r="P38" s="287">
        <f t="shared" si="21"/>
        <v>40107.834650000026</v>
      </c>
      <c r="Q38" s="287">
        <f t="shared" si="21"/>
        <v>120940.76969000103</v>
      </c>
      <c r="R38" s="287">
        <f t="shared" si="21"/>
        <v>174658.2308499995</v>
      </c>
      <c r="S38" s="287">
        <f t="shared" si="21"/>
        <v>218389.20530000026</v>
      </c>
      <c r="T38" s="287">
        <f t="shared" si="21"/>
        <v>64701.341539999405</v>
      </c>
      <c r="U38" s="287">
        <f t="shared" si="21"/>
        <v>130156.45234999947</v>
      </c>
      <c r="V38" s="287">
        <f t="shared" si="21"/>
        <v>249172.61783000006</v>
      </c>
      <c r="W38" s="287">
        <f t="shared" si="21"/>
        <v>285993.19999999995</v>
      </c>
      <c r="X38" s="287">
        <f t="shared" si="21"/>
        <v>61805.499999999971</v>
      </c>
      <c r="Y38" s="287">
        <f t="shared" si="21"/>
        <v>133662.32763999928</v>
      </c>
      <c r="Z38" s="287">
        <f t="shared" si="21"/>
        <v>226508.96751000007</v>
      </c>
      <c r="AA38" s="287">
        <f>SUM(AA36:AA37)</f>
        <v>376006.78823999991</v>
      </c>
      <c r="AB38" s="287">
        <f>SUM(AB36:AB37)</f>
        <v>75276.458599999547</v>
      </c>
      <c r="AC38" s="287">
        <f>SUM(AC36:AC37)</f>
        <v>112759.83164000069</v>
      </c>
      <c r="AD38" s="293">
        <v>264913</v>
      </c>
      <c r="AE38" s="293">
        <v>288584</v>
      </c>
      <c r="AF38" s="293">
        <v>252479.99999999994</v>
      </c>
      <c r="AG38" s="293">
        <v>147955</v>
      </c>
      <c r="AH38" s="293">
        <v>420109</v>
      </c>
      <c r="AI38" s="293">
        <v>348321</v>
      </c>
      <c r="AJ38" s="293">
        <v>275339.17342000001</v>
      </c>
      <c r="AK38" s="293">
        <v>306916</v>
      </c>
      <c r="AL38" s="293">
        <v>579477</v>
      </c>
      <c r="AM38" s="293">
        <v>484210</v>
      </c>
      <c r="AN38" s="293">
        <v>471976</v>
      </c>
      <c r="AO38" s="287">
        <f t="shared" ref="AO38:AT38" si="22">SUM(AO36:AO37)</f>
        <v>585730</v>
      </c>
      <c r="AP38" s="287">
        <f t="shared" si="22"/>
        <v>414042</v>
      </c>
      <c r="AQ38" s="287">
        <f t="shared" si="22"/>
        <v>546859</v>
      </c>
      <c r="AR38" s="287">
        <f t="shared" si="22"/>
        <v>576541</v>
      </c>
      <c r="AS38" s="287">
        <f t="shared" si="22"/>
        <v>739224</v>
      </c>
      <c r="AT38" s="287">
        <f t="shared" si="22"/>
        <v>888627.71599999932</v>
      </c>
      <c r="AU38" s="287">
        <f t="shared" ref="AU38:BA38" si="23">SUM(AU36:AU37)</f>
        <v>680060.68300000043</v>
      </c>
      <c r="AV38" s="287">
        <f t="shared" si="23"/>
        <v>621713.34399999934</v>
      </c>
      <c r="AW38" s="287">
        <f t="shared" si="23"/>
        <v>663331.33899999945</v>
      </c>
      <c r="AX38" s="287">
        <f t="shared" si="23"/>
        <v>731309.1440000002</v>
      </c>
      <c r="AY38" s="287">
        <f t="shared" si="23"/>
        <v>515227.59400000033</v>
      </c>
      <c r="AZ38" s="287">
        <f t="shared" si="23"/>
        <v>633699.31602999999</v>
      </c>
      <c r="BA38" s="287">
        <f t="shared" si="23"/>
        <v>552827.84705999948</v>
      </c>
      <c r="BB38" s="287">
        <f t="shared" ref="BB38:BD38" si="24">SUM(BB36:BB37)</f>
        <v>579210.44938999997</v>
      </c>
      <c r="BC38" s="287">
        <f t="shared" si="24"/>
        <v>569361.74409999955</v>
      </c>
      <c r="BD38" s="287">
        <f t="shared" si="24"/>
        <v>633442.98759999988</v>
      </c>
      <c r="BE38" s="287">
        <f>SUM(BE36:BE37)</f>
        <v>678209.43333000073</v>
      </c>
    </row>
    <row r="39" spans="1:57" ht="15" thickBot="1">
      <c r="A39" s="121" t="s">
        <v>725</v>
      </c>
      <c r="B39" s="121" t="s">
        <v>897</v>
      </c>
      <c r="C39" s="115"/>
      <c r="D39" s="300">
        <f>SUM(D40:D41)</f>
        <v>-14128.696479999999</v>
      </c>
      <c r="E39" s="300">
        <f t="shared" ref="E39:N39" si="25">SUM(E40:E41)</f>
        <v>-71100.757640000011</v>
      </c>
      <c r="F39" s="300">
        <f t="shared" si="25"/>
        <v>-43252.478670000077</v>
      </c>
      <c r="G39" s="300">
        <f t="shared" si="25"/>
        <v>-60049.737849999947</v>
      </c>
      <c r="H39" s="300">
        <f t="shared" si="25"/>
        <v>-26038.176930000016</v>
      </c>
      <c r="I39" s="300">
        <f t="shared" si="25"/>
        <v>-63506.165870000128</v>
      </c>
      <c r="J39" s="300">
        <f t="shared" si="25"/>
        <v>-40536.831719999638</v>
      </c>
      <c r="K39" s="300">
        <f t="shared" si="25"/>
        <v>-73712.797180000285</v>
      </c>
      <c r="L39" s="300">
        <f t="shared" si="25"/>
        <v>-62716.888289999973</v>
      </c>
      <c r="M39" s="300">
        <f t="shared" si="25"/>
        <v>578042.8136699996</v>
      </c>
      <c r="N39" s="300">
        <f t="shared" si="25"/>
        <v>-91125.799569999217</v>
      </c>
      <c r="O39" s="300">
        <f>SUM(O40:O41)</f>
        <v>-106929.20554000068</v>
      </c>
      <c r="P39" s="300">
        <f t="shared" ref="P39:AC39" si="26">SUM(P40:P41)</f>
        <v>22945</v>
      </c>
      <c r="Q39" s="300">
        <f t="shared" si="26"/>
        <v>-5273.2262599999958</v>
      </c>
      <c r="R39" s="300">
        <f t="shared" si="26"/>
        <v>-70452.497499999983</v>
      </c>
      <c r="S39" s="300">
        <f t="shared" si="26"/>
        <v>-79837.257939999981</v>
      </c>
      <c r="T39" s="300">
        <f t="shared" si="26"/>
        <v>-44319.851169999951</v>
      </c>
      <c r="U39" s="300">
        <f t="shared" si="26"/>
        <v>-73008.505140000052</v>
      </c>
      <c r="V39" s="300">
        <f t="shared" si="26"/>
        <v>-37565</v>
      </c>
      <c r="W39" s="300">
        <f t="shared" si="26"/>
        <v>-52401</v>
      </c>
      <c r="X39" s="300">
        <f t="shared" si="26"/>
        <v>-62062</v>
      </c>
      <c r="Y39" s="300">
        <f t="shared" si="26"/>
        <v>-69306.772880000062</v>
      </c>
      <c r="Z39" s="300">
        <f t="shared" si="26"/>
        <v>-63104.380920000025</v>
      </c>
      <c r="AA39" s="300">
        <f t="shared" si="26"/>
        <v>-40968.00391999993</v>
      </c>
      <c r="AB39" s="300">
        <f t="shared" si="26"/>
        <v>-5736.0919700000086</v>
      </c>
      <c r="AC39" s="300">
        <f t="shared" si="26"/>
        <v>-48207.559399999998</v>
      </c>
      <c r="AD39" s="303">
        <v>-41951</v>
      </c>
      <c r="AE39" s="303">
        <v>-50941</v>
      </c>
      <c r="AF39" s="303">
        <v>-56385.999999999971</v>
      </c>
      <c r="AG39" s="303">
        <v>-26809</v>
      </c>
      <c r="AH39" s="303">
        <v>-65512</v>
      </c>
      <c r="AI39" s="303">
        <v>-55360</v>
      </c>
      <c r="AJ39" s="303">
        <v>-104154</v>
      </c>
      <c r="AK39" s="303">
        <v>-46342</v>
      </c>
      <c r="AL39" s="303">
        <v>-102065</v>
      </c>
      <c r="AM39" s="303">
        <v>-94219</v>
      </c>
      <c r="AN39" s="303">
        <v>-90043</v>
      </c>
      <c r="AO39" s="300">
        <f t="shared" ref="AO39:AT39" si="27">AO40+AO41</f>
        <v>-110210</v>
      </c>
      <c r="AP39" s="300">
        <f t="shared" si="27"/>
        <v>-13515</v>
      </c>
      <c r="AQ39" s="300">
        <f t="shared" si="27"/>
        <v>-69133</v>
      </c>
      <c r="AR39" s="300">
        <f t="shared" si="27"/>
        <v>-103296</v>
      </c>
      <c r="AS39" s="300">
        <f t="shared" si="27"/>
        <v>-109763</v>
      </c>
      <c r="AT39" s="300">
        <f t="shared" si="27"/>
        <v>-40634.119999999995</v>
      </c>
      <c r="AU39" s="300">
        <f t="shared" ref="AU39:AZ39" si="28">AU40+AU41</f>
        <v>-77691.156000000017</v>
      </c>
      <c r="AV39" s="300">
        <f t="shared" si="28"/>
        <v>-97115.512999999992</v>
      </c>
      <c r="AW39" s="300">
        <f t="shared" si="28"/>
        <v>-77973.808999999979</v>
      </c>
      <c r="AX39" s="300">
        <f t="shared" si="28"/>
        <v>-72338.613000000012</v>
      </c>
      <c r="AY39" s="300">
        <f t="shared" si="28"/>
        <v>-90027.082999999984</v>
      </c>
      <c r="AZ39" s="300">
        <f t="shared" si="28"/>
        <v>-147246.12099999998</v>
      </c>
      <c r="BA39" s="300">
        <f>SUM(BA40:BA41)</f>
        <v>-127875.33199999999</v>
      </c>
      <c r="BB39" s="300">
        <f>SUM(BB40:BB41)</f>
        <v>-125926.31600000002</v>
      </c>
      <c r="BC39" s="300">
        <f>SUM(BC40:BC41)</f>
        <v>-129390.29200000002</v>
      </c>
      <c r="BD39" s="300">
        <f>SUM(BD40:BD41)</f>
        <v>-175888.79299999995</v>
      </c>
      <c r="BE39" s="300">
        <f>SUM(BE40:BE41)</f>
        <v>-207960.68099999992</v>
      </c>
    </row>
    <row r="40" spans="1:57">
      <c r="A40" s="115" t="s">
        <v>727</v>
      </c>
      <c r="B40" s="115" t="s">
        <v>898</v>
      </c>
      <c r="C40" s="115"/>
      <c r="D40" s="288">
        <v>51894.94647000001</v>
      </c>
      <c r="E40" s="288">
        <v>40571.160889999985</v>
      </c>
      <c r="F40" s="288">
        <v>61996.41845999995</v>
      </c>
      <c r="G40" s="288">
        <v>114859.82284000004</v>
      </c>
      <c r="H40" s="288">
        <v>133992.10060000001</v>
      </c>
      <c r="I40" s="288">
        <v>57676.493979999897</v>
      </c>
      <c r="J40" s="288">
        <v>186678.29216000013</v>
      </c>
      <c r="K40" s="288">
        <v>218307.61736999999</v>
      </c>
      <c r="L40" s="288">
        <v>280919.28619000001</v>
      </c>
      <c r="M40" s="288">
        <v>691954.62032999995</v>
      </c>
      <c r="N40" s="288">
        <v>671478.90337000007</v>
      </c>
      <c r="O40" s="288">
        <v>-79638.646170000313</v>
      </c>
      <c r="P40" s="288">
        <v>204084</v>
      </c>
      <c r="Q40" s="288">
        <v>159272.91652</v>
      </c>
      <c r="R40" s="288">
        <v>22589.630030000018</v>
      </c>
      <c r="S40" s="288">
        <v>165546.68828</v>
      </c>
      <c r="T40" s="288">
        <v>79570.305909999995</v>
      </c>
      <c r="U40" s="288">
        <v>50408.528659999989</v>
      </c>
      <c r="V40" s="288">
        <v>62999</v>
      </c>
      <c r="W40" s="288">
        <v>74983</v>
      </c>
      <c r="X40" s="288">
        <v>55982</v>
      </c>
      <c r="Y40" s="288">
        <v>282085.92217000003</v>
      </c>
      <c r="Z40" s="288">
        <v>-249534.80517000004</v>
      </c>
      <c r="AA40" s="288">
        <v>676435.69723000005</v>
      </c>
      <c r="AB40" s="288">
        <v>168455.24921000001</v>
      </c>
      <c r="AC40" s="288">
        <v>37376.66906</v>
      </c>
      <c r="AD40" s="289">
        <v>135310</v>
      </c>
      <c r="AE40" s="289">
        <v>78333</v>
      </c>
      <c r="AF40" s="289">
        <v>318177</v>
      </c>
      <c r="AG40" s="289">
        <v>114133</v>
      </c>
      <c r="AH40" s="289">
        <v>102592</v>
      </c>
      <c r="AI40" s="289">
        <v>-27685</v>
      </c>
      <c r="AJ40" s="289">
        <v>192134</v>
      </c>
      <c r="AK40" s="289">
        <v>89768</v>
      </c>
      <c r="AL40" s="289">
        <v>136316</v>
      </c>
      <c r="AM40" s="289">
        <v>158048</v>
      </c>
      <c r="AN40" s="289">
        <v>264289</v>
      </c>
      <c r="AO40" s="289">
        <v>230685</v>
      </c>
      <c r="AP40" s="289">
        <v>174819</v>
      </c>
      <c r="AQ40" s="289">
        <v>180486</v>
      </c>
      <c r="AR40" s="289">
        <v>147080</v>
      </c>
      <c r="AS40" s="289">
        <v>270474</v>
      </c>
      <c r="AT40" s="302">
        <v>72374.535000000003</v>
      </c>
      <c r="AU40" s="302">
        <v>167697.36199999999</v>
      </c>
      <c r="AV40" s="302">
        <v>106942.02</v>
      </c>
      <c r="AW40" s="302">
        <v>236125.644</v>
      </c>
      <c r="AX40" s="302">
        <v>111835.375</v>
      </c>
      <c r="AY40" s="302">
        <v>348426.50300000003</v>
      </c>
      <c r="AZ40" s="302">
        <v>265761.17200000002</v>
      </c>
      <c r="BA40" s="297">
        <v>273654.424</v>
      </c>
      <c r="BB40" s="302">
        <v>180832.4</v>
      </c>
      <c r="BC40" s="302">
        <v>222671.245</v>
      </c>
      <c r="BD40" s="302">
        <v>310629.05200000003</v>
      </c>
      <c r="BE40" s="302">
        <v>326606.85700000002</v>
      </c>
    </row>
    <row r="41" spans="1:57" ht="15" thickBot="1">
      <c r="A41" s="115" t="s">
        <v>744</v>
      </c>
      <c r="B41" s="115" t="s">
        <v>745</v>
      </c>
      <c r="C41" s="115"/>
      <c r="D41" s="288">
        <v>-66023.642950000009</v>
      </c>
      <c r="E41" s="288">
        <v>-111671.91853</v>
      </c>
      <c r="F41" s="288">
        <v>-105248.89713000003</v>
      </c>
      <c r="G41" s="288">
        <v>-174909.56068999998</v>
      </c>
      <c r="H41" s="288">
        <v>-160030.27753000002</v>
      </c>
      <c r="I41" s="288">
        <v>-121182.65985000003</v>
      </c>
      <c r="J41" s="288">
        <v>-227215.12387999977</v>
      </c>
      <c r="K41" s="288">
        <v>-292020.41455000028</v>
      </c>
      <c r="L41" s="288">
        <v>-343636.17447999999</v>
      </c>
      <c r="M41" s="288">
        <v>-113911.80666000032</v>
      </c>
      <c r="N41" s="288">
        <v>-762604.70293999929</v>
      </c>
      <c r="O41" s="288">
        <v>-27290.559370000363</v>
      </c>
      <c r="P41" s="288">
        <v>-181139</v>
      </c>
      <c r="Q41" s="288">
        <v>-164546.14277999999</v>
      </c>
      <c r="R41" s="288">
        <v>-93042.127529999998</v>
      </c>
      <c r="S41" s="288">
        <v>-245383.94621999998</v>
      </c>
      <c r="T41" s="288">
        <v>-123890.15707999995</v>
      </c>
      <c r="U41" s="288">
        <v>-123417.03380000003</v>
      </c>
      <c r="V41" s="288">
        <v>-100564</v>
      </c>
      <c r="W41" s="288">
        <v>-127384</v>
      </c>
      <c r="X41" s="288">
        <v>-118044</v>
      </c>
      <c r="Y41" s="288">
        <v>-351392.6950500001</v>
      </c>
      <c r="Z41" s="288">
        <v>186430.42425000001</v>
      </c>
      <c r="AA41" s="288">
        <v>-717403.70114999998</v>
      </c>
      <c r="AB41" s="288">
        <v>-174191.34118000002</v>
      </c>
      <c r="AC41" s="288">
        <v>-85584.228459999998</v>
      </c>
      <c r="AD41" s="289">
        <v>-177261</v>
      </c>
      <c r="AE41" s="289">
        <v>-129274</v>
      </c>
      <c r="AF41" s="289">
        <v>-374563</v>
      </c>
      <c r="AG41" s="289">
        <v>-140942</v>
      </c>
      <c r="AH41" s="289">
        <v>-168104</v>
      </c>
      <c r="AI41" s="289">
        <v>-27675</v>
      </c>
      <c r="AJ41" s="289">
        <v>-296288</v>
      </c>
      <c r="AK41" s="289">
        <v>-136110</v>
      </c>
      <c r="AL41" s="289">
        <v>-238381</v>
      </c>
      <c r="AM41" s="289">
        <v>-252267</v>
      </c>
      <c r="AN41" s="289">
        <v>-354332</v>
      </c>
      <c r="AO41" s="289">
        <v>-340895</v>
      </c>
      <c r="AP41" s="289">
        <v>-188334</v>
      </c>
      <c r="AQ41" s="289">
        <v>-249619</v>
      </c>
      <c r="AR41" s="289">
        <v>-250376</v>
      </c>
      <c r="AS41" s="289">
        <v>-380237</v>
      </c>
      <c r="AT41" s="302">
        <v>-113008.655</v>
      </c>
      <c r="AU41" s="302">
        <v>-245388.51800000001</v>
      </c>
      <c r="AV41" s="302">
        <v>-204057.533</v>
      </c>
      <c r="AW41" s="302">
        <v>-314099.45299999998</v>
      </c>
      <c r="AX41" s="302">
        <v>-184173.98800000001</v>
      </c>
      <c r="AY41" s="302">
        <v>-438453.58600000001</v>
      </c>
      <c r="AZ41" s="302">
        <v>-413007.29300000001</v>
      </c>
      <c r="BA41" s="297">
        <v>-401529.75599999999</v>
      </c>
      <c r="BB41" s="302">
        <v>-306758.71600000001</v>
      </c>
      <c r="BC41" s="302">
        <v>-352061.53700000001</v>
      </c>
      <c r="BD41" s="302">
        <v>-486517.84499999997</v>
      </c>
      <c r="BE41" s="302">
        <v>-534567.53799999994</v>
      </c>
    </row>
    <row r="42" spans="1:57" ht="15" thickBot="1">
      <c r="A42" s="118" t="s">
        <v>905</v>
      </c>
      <c r="B42" s="118" t="s">
        <v>724</v>
      </c>
      <c r="C42" s="115"/>
      <c r="D42" s="287">
        <f>D38+D39</f>
        <v>-63378.872969999902</v>
      </c>
      <c r="E42" s="287">
        <f t="shared" ref="E42:AC42" si="29">E38+E39</f>
        <v>-162578.36187999987</v>
      </c>
      <c r="F42" s="287">
        <f t="shared" si="29"/>
        <v>-266634.91886000038</v>
      </c>
      <c r="G42" s="287">
        <f t="shared" si="29"/>
        <v>253056.96803000083</v>
      </c>
      <c r="H42" s="287">
        <f t="shared" si="29"/>
        <v>-21821.35982999955</v>
      </c>
      <c r="I42" s="287">
        <f t="shared" si="29"/>
        <v>-205191.39468000084</v>
      </c>
      <c r="J42" s="287">
        <f t="shared" si="29"/>
        <v>-519408.33770999941</v>
      </c>
      <c r="K42" s="287">
        <f t="shared" si="29"/>
        <v>161349.92188999898</v>
      </c>
      <c r="L42" s="287">
        <f t="shared" si="29"/>
        <v>38154.381580000234</v>
      </c>
      <c r="M42" s="287">
        <f t="shared" si="29"/>
        <v>597738.74891999993</v>
      </c>
      <c r="N42" s="287">
        <f t="shared" si="29"/>
        <v>31915.980900000548</v>
      </c>
      <c r="O42" s="287">
        <f t="shared" si="29"/>
        <v>-65395.586990008756</v>
      </c>
      <c r="P42" s="287">
        <f t="shared" si="29"/>
        <v>63052.834650000026</v>
      </c>
      <c r="Q42" s="287">
        <f t="shared" si="29"/>
        <v>115667.54343000104</v>
      </c>
      <c r="R42" s="287">
        <f t="shared" si="29"/>
        <v>104205.73334999951</v>
      </c>
      <c r="S42" s="287">
        <f t="shared" si="29"/>
        <v>138551.94736000028</v>
      </c>
      <c r="T42" s="287">
        <f t="shared" si="29"/>
        <v>20381.490369999454</v>
      </c>
      <c r="U42" s="287">
        <f t="shared" si="29"/>
        <v>57147.947209999416</v>
      </c>
      <c r="V42" s="287">
        <f t="shared" si="29"/>
        <v>211607.61783000006</v>
      </c>
      <c r="W42" s="287">
        <f t="shared" si="29"/>
        <v>233592.19999999995</v>
      </c>
      <c r="X42" s="287">
        <f t="shared" si="29"/>
        <v>-256.5000000000291</v>
      </c>
      <c r="Y42" s="287">
        <f t="shared" si="29"/>
        <v>64355.554759999213</v>
      </c>
      <c r="Z42" s="287">
        <f t="shared" si="29"/>
        <v>163404.58659000005</v>
      </c>
      <c r="AA42" s="287">
        <f t="shared" si="29"/>
        <v>335038.78431999998</v>
      </c>
      <c r="AB42" s="287">
        <f t="shared" si="29"/>
        <v>69540.366629999538</v>
      </c>
      <c r="AC42" s="287">
        <f t="shared" si="29"/>
        <v>64552.27224000069</v>
      </c>
      <c r="AD42" s="293">
        <v>222962</v>
      </c>
      <c r="AE42" s="293">
        <v>237643</v>
      </c>
      <c r="AF42" s="293">
        <v>196093.99999999997</v>
      </c>
      <c r="AG42" s="293">
        <v>121146</v>
      </c>
      <c r="AH42" s="293">
        <v>354597</v>
      </c>
      <c r="AI42" s="293">
        <v>292961</v>
      </c>
      <c r="AJ42" s="293">
        <v>171186.17342000001</v>
      </c>
      <c r="AK42" s="293">
        <v>260574</v>
      </c>
      <c r="AL42" s="293">
        <v>477412</v>
      </c>
      <c r="AM42" s="293">
        <v>389991</v>
      </c>
      <c r="AN42" s="293">
        <v>381933</v>
      </c>
      <c r="AO42" s="287">
        <f t="shared" ref="AO42:AU42" si="30">AO38+AO39</f>
        <v>475520</v>
      </c>
      <c r="AP42" s="287">
        <f t="shared" si="30"/>
        <v>400527</v>
      </c>
      <c r="AQ42" s="287">
        <f t="shared" si="30"/>
        <v>477726</v>
      </c>
      <c r="AR42" s="287">
        <f t="shared" si="30"/>
        <v>473245</v>
      </c>
      <c r="AS42" s="287">
        <f t="shared" si="30"/>
        <v>629461</v>
      </c>
      <c r="AT42" s="287">
        <f t="shared" si="30"/>
        <v>847993.59599999932</v>
      </c>
      <c r="AU42" s="287">
        <f t="shared" si="30"/>
        <v>602369.52700000047</v>
      </c>
      <c r="AV42" s="287">
        <f>AV38+AV39</f>
        <v>524597.83099999931</v>
      </c>
      <c r="AW42" s="287">
        <f>AW38+AW39</f>
        <v>585357.52999999945</v>
      </c>
      <c r="AX42" s="287">
        <f>AX38+AX39</f>
        <v>658970.53100000019</v>
      </c>
      <c r="AY42" s="287">
        <f>AY38+AY39</f>
        <v>425200.51100000035</v>
      </c>
      <c r="AZ42" s="287">
        <f>AZ38+AZ39</f>
        <v>486453.19503</v>
      </c>
      <c r="BA42" s="287">
        <f>SUM(BA38:BA39)</f>
        <v>424952.51505999948</v>
      </c>
      <c r="BB42" s="287">
        <f>SUM(BB38:BB39)</f>
        <v>453284.13338999997</v>
      </c>
      <c r="BC42" s="287">
        <f>SUM(BC38:BC39)</f>
        <v>439971.45209999953</v>
      </c>
      <c r="BD42" s="287">
        <f>SUM(BD38:BD39)</f>
        <v>457554.19459999993</v>
      </c>
      <c r="BE42" s="287">
        <f>SUM(BE38:BE39)</f>
        <v>470248.7523300008</v>
      </c>
    </row>
    <row r="43" spans="1:57">
      <c r="A43" s="115" t="s">
        <v>768</v>
      </c>
      <c r="B43" s="115" t="s">
        <v>769</v>
      </c>
      <c r="C43" s="115"/>
      <c r="D43" s="288">
        <v>0</v>
      </c>
      <c r="E43" s="288"/>
      <c r="F43" s="288">
        <v>0</v>
      </c>
      <c r="G43" s="288">
        <v>0</v>
      </c>
      <c r="H43" s="288">
        <v>-2368.6992300000002</v>
      </c>
      <c r="I43" s="288">
        <v>2368.6992300000002</v>
      </c>
      <c r="J43" s="288">
        <v>8453.0959000000003</v>
      </c>
      <c r="K43" s="288">
        <v>120655.71192999999</v>
      </c>
      <c r="L43" s="288">
        <v>-840.97987000000001</v>
      </c>
      <c r="M43" s="288">
        <v>-45170.367539999999</v>
      </c>
      <c r="N43" s="288">
        <v>-4586.2858300000044</v>
      </c>
      <c r="O43" s="288">
        <v>18639.783690000004</v>
      </c>
      <c r="P43" s="288">
        <v>-401.23434999999995</v>
      </c>
      <c r="Q43" s="288">
        <v>-7489.9948999999997</v>
      </c>
      <c r="R43" s="288">
        <v>-7649.7729399999998</v>
      </c>
      <c r="S43" s="288">
        <v>-15927.796619999999</v>
      </c>
      <c r="T43" s="288">
        <v>-6915.6922699999996</v>
      </c>
      <c r="U43" s="288">
        <v>5175.1941299999999</v>
      </c>
      <c r="V43" s="288">
        <v>-13970</v>
      </c>
      <c r="W43" s="288">
        <v>-12637</v>
      </c>
      <c r="X43" s="288">
        <v>-2082</v>
      </c>
      <c r="Y43" s="288">
        <v>-1990.2077099999999</v>
      </c>
      <c r="Z43" s="288">
        <v>-6400.3147500000014</v>
      </c>
      <c r="AA43" s="288">
        <v>-23624.027519999996</v>
      </c>
      <c r="AB43" s="288">
        <v>-3550.38049</v>
      </c>
      <c r="AC43" s="288">
        <v>366.06508000000008</v>
      </c>
      <c r="AD43" s="289">
        <v>-12761</v>
      </c>
      <c r="AE43" s="289">
        <v>-24388</v>
      </c>
      <c r="AF43" s="289">
        <v>0</v>
      </c>
      <c r="AG43" s="289">
        <v>-7056</v>
      </c>
      <c r="AH43" s="289">
        <v>-17729</v>
      </c>
      <c r="AI43" s="289">
        <v>-23122</v>
      </c>
      <c r="AJ43" s="289">
        <v>-3501</v>
      </c>
      <c r="AK43" s="289">
        <v>-26980</v>
      </c>
      <c r="AL43" s="289">
        <v>-35693</v>
      </c>
      <c r="AM43" s="289">
        <v>-25218</v>
      </c>
      <c r="AN43" s="289">
        <v>-44200</v>
      </c>
      <c r="AO43" s="289">
        <v>-31207</v>
      </c>
      <c r="AP43" s="289">
        <v>-53882</v>
      </c>
      <c r="AQ43" s="289">
        <v>-41045</v>
      </c>
      <c r="AR43" s="289">
        <v>-49808</v>
      </c>
      <c r="AS43" s="289">
        <v>-60623</v>
      </c>
      <c r="AT43" s="302">
        <v>-50975.510999999999</v>
      </c>
      <c r="AU43" s="302">
        <v>18090.597000000002</v>
      </c>
      <c r="AV43" s="302">
        <v>-37599.226000000002</v>
      </c>
      <c r="AW43" s="302">
        <v>-31656.304</v>
      </c>
      <c r="AX43" s="302">
        <v>-58065.091</v>
      </c>
      <c r="AY43" s="302">
        <v>-16601.948</v>
      </c>
      <c r="AZ43" s="302">
        <v>-25561.120999999999</v>
      </c>
      <c r="BA43" s="297">
        <v>-37135.197999999997</v>
      </c>
      <c r="BB43" s="302">
        <v>-43804.425999999999</v>
      </c>
      <c r="BC43" s="302">
        <v>-48402.957999999999</v>
      </c>
      <c r="BD43" s="302">
        <v>-28716.842000000001</v>
      </c>
      <c r="BE43" s="302">
        <v>-28370.302</v>
      </c>
    </row>
    <row r="44" spans="1:57">
      <c r="A44" s="115" t="s">
        <v>770</v>
      </c>
      <c r="B44" s="115" t="s">
        <v>771</v>
      </c>
      <c r="C44" s="115"/>
      <c r="D44" s="288">
        <v>6772.5655399999996</v>
      </c>
      <c r="E44" s="288">
        <v>1585</v>
      </c>
      <c r="F44" s="288">
        <v>31004.325810000002</v>
      </c>
      <c r="G44" s="288">
        <v>-28610.376230000002</v>
      </c>
      <c r="H44" s="288">
        <v>-6573.7200800000001</v>
      </c>
      <c r="I44" s="288">
        <v>6573.7200800000001</v>
      </c>
      <c r="J44" s="288">
        <v>23480.821949999998</v>
      </c>
      <c r="K44" s="288">
        <v>1.0000003385357559E-5</v>
      </c>
      <c r="L44" s="288">
        <v>-3251.1284000000001</v>
      </c>
      <c r="M44" s="288">
        <v>-135571.96908000001</v>
      </c>
      <c r="N44" s="288">
        <v>-7926.6251699999957</v>
      </c>
      <c r="O44" s="288">
        <v>49676.47073999999</v>
      </c>
      <c r="P44" s="288">
        <v>0</v>
      </c>
      <c r="Q44" s="288">
        <v>-18070.494869999999</v>
      </c>
      <c r="R44" s="288">
        <v>-21711.0412</v>
      </c>
      <c r="S44" s="288">
        <v>-18712.8979</v>
      </c>
      <c r="T44" s="288">
        <v>-1043.0300199999999</v>
      </c>
      <c r="U44" s="288">
        <v>-5611.1566300000004</v>
      </c>
      <c r="V44" s="288">
        <v>-34359</v>
      </c>
      <c r="W44" s="288">
        <v>-33403</v>
      </c>
      <c r="X44" s="288">
        <v>0</v>
      </c>
      <c r="Y44" s="288">
        <v>-5922.8987400000005</v>
      </c>
      <c r="Z44" s="288">
        <v>-23197.512220000001</v>
      </c>
      <c r="AA44" s="288">
        <v>-50829.198999999993</v>
      </c>
      <c r="AB44" s="288">
        <v>-9604.3759200000004</v>
      </c>
      <c r="AC44" s="288">
        <v>1021.3029499999992</v>
      </c>
      <c r="AD44" s="289">
        <v>-34541</v>
      </c>
      <c r="AE44" s="289">
        <v>-33859</v>
      </c>
      <c r="AF44" s="289">
        <v>0</v>
      </c>
      <c r="AG44" s="289">
        <v>-21199</v>
      </c>
      <c r="AH44" s="289">
        <v>-50790</v>
      </c>
      <c r="AI44" s="289">
        <v>-44588</v>
      </c>
      <c r="AJ44" s="289">
        <v>-11816</v>
      </c>
      <c r="AK44" s="289">
        <v>-76625</v>
      </c>
      <c r="AL44" s="289">
        <v>-71250</v>
      </c>
      <c r="AM44" s="289">
        <v>-66779</v>
      </c>
      <c r="AN44" s="289">
        <v>-125980</v>
      </c>
      <c r="AO44" s="289">
        <v>-88322</v>
      </c>
      <c r="AP44" s="289">
        <v>-154552</v>
      </c>
      <c r="AQ44" s="289">
        <v>-120454</v>
      </c>
      <c r="AR44" s="289">
        <v>-142848</v>
      </c>
      <c r="AS44" s="289">
        <v>-171995</v>
      </c>
      <c r="AT44" s="302">
        <v>-146469.64499999999</v>
      </c>
      <c r="AU44" s="302">
        <v>26939.062000000002</v>
      </c>
      <c r="AV44" s="302">
        <v>-107417.21400000001</v>
      </c>
      <c r="AW44" s="302">
        <v>-91060.472999999998</v>
      </c>
      <c r="AX44" s="302">
        <v>-164804.215</v>
      </c>
      <c r="AY44" s="302">
        <v>-79338.354000000007</v>
      </c>
      <c r="AZ44" s="302">
        <v>-74381.807000000001</v>
      </c>
      <c r="BA44" s="297">
        <v>-107629.92200000001</v>
      </c>
      <c r="BB44" s="302">
        <v>-89923.567999999999</v>
      </c>
      <c r="BC44" s="302">
        <v>-136276.503</v>
      </c>
      <c r="BD44" s="302">
        <v>-82455.819000000003</v>
      </c>
      <c r="BE44" s="302">
        <v>-81143.304000000004</v>
      </c>
    </row>
    <row r="45" spans="1:57">
      <c r="A45" s="115" t="s">
        <v>900</v>
      </c>
      <c r="B45" s="115" t="s">
        <v>901</v>
      </c>
      <c r="C45" s="115"/>
      <c r="D45" s="288"/>
      <c r="E45" s="288"/>
      <c r="F45" s="288"/>
      <c r="G45" s="288"/>
      <c r="H45" s="288"/>
      <c r="I45" s="288"/>
      <c r="J45" s="288"/>
      <c r="K45" s="288"/>
      <c r="L45" s="288"/>
      <c r="M45" s="288"/>
      <c r="N45" s="288"/>
      <c r="O45" s="288"/>
      <c r="P45" s="288">
        <v>-19505.681390000002</v>
      </c>
      <c r="Q45" s="288">
        <v>-11999.99532</v>
      </c>
      <c r="R45" s="288">
        <v>-2779.4774300000017</v>
      </c>
      <c r="S45" s="288">
        <v>-4169.8937899999992</v>
      </c>
      <c r="T45" s="288">
        <v>3396.93075</v>
      </c>
      <c r="U45" s="288">
        <v>-22388.194909999998</v>
      </c>
      <c r="V45" s="288">
        <v>-6812</v>
      </c>
      <c r="W45" s="288">
        <v>144953</v>
      </c>
      <c r="X45" s="288">
        <v>2771</v>
      </c>
      <c r="Y45" s="288">
        <v>-13169.650889999999</v>
      </c>
      <c r="Z45" s="288">
        <v>-23223.496520000001</v>
      </c>
      <c r="AA45" s="288">
        <v>-39433.468829999998</v>
      </c>
      <c r="AB45" s="288">
        <v>-14841.012540000002</v>
      </c>
      <c r="AC45" s="288">
        <v>-13672.65011</v>
      </c>
      <c r="AD45" s="289">
        <v>-37569</v>
      </c>
      <c r="AE45" s="289">
        <v>-18851</v>
      </c>
      <c r="AF45" s="289">
        <v>-86871</v>
      </c>
      <c r="AG45" s="289">
        <v>-14533</v>
      </c>
      <c r="AH45" s="289">
        <v>-56153</v>
      </c>
      <c r="AI45" s="289">
        <v>-30270</v>
      </c>
      <c r="AJ45" s="289">
        <v>-43664</v>
      </c>
      <c r="AK45" s="289">
        <v>14473</v>
      </c>
      <c r="AL45" s="289">
        <v>-54620</v>
      </c>
      <c r="AM45" s="289">
        <v>-40953</v>
      </c>
      <c r="AN45" s="289">
        <v>40426</v>
      </c>
      <c r="AO45" s="289">
        <v>-42358</v>
      </c>
      <c r="AP45" s="289">
        <v>69869</v>
      </c>
      <c r="AQ45" s="289">
        <v>19363</v>
      </c>
      <c r="AR45" s="289">
        <v>34554</v>
      </c>
      <c r="AS45" s="289">
        <v>19211</v>
      </c>
      <c r="AT45" s="302">
        <v>-90904.820999999996</v>
      </c>
      <c r="AU45" s="302">
        <v>-185658.929</v>
      </c>
      <c r="AV45" s="302">
        <v>-33033.052000000003</v>
      </c>
      <c r="AW45" s="302">
        <v>-71424.945000000007</v>
      </c>
      <c r="AX45" s="302">
        <v>2653.9279999999999</v>
      </c>
      <c r="AY45" s="302">
        <v>-30126.462</v>
      </c>
      <c r="AZ45" s="302">
        <v>-65165.213000000003</v>
      </c>
      <c r="BA45" s="297">
        <v>-724.04100000000005</v>
      </c>
      <c r="BB45" s="302">
        <v>-16440.585999999999</v>
      </c>
      <c r="BC45" s="302">
        <v>29790.596000000001</v>
      </c>
      <c r="BD45" s="302">
        <v>-43922.076000000001</v>
      </c>
      <c r="BE45" s="302">
        <v>-49212.24</v>
      </c>
    </row>
    <row r="46" spans="1:57" ht="15" thickBot="1">
      <c r="A46" s="115" t="s">
        <v>772</v>
      </c>
      <c r="B46" s="115" t="s">
        <v>902</v>
      </c>
      <c r="C46" s="115"/>
      <c r="D46" s="288"/>
      <c r="E46" s="288"/>
      <c r="F46" s="288"/>
      <c r="G46" s="288"/>
      <c r="H46" s="288"/>
      <c r="I46" s="288"/>
      <c r="J46" s="288"/>
      <c r="K46" s="288"/>
      <c r="L46" s="288">
        <v>3251.1284000000001</v>
      </c>
      <c r="M46" s="288">
        <v>35188.16072</v>
      </c>
      <c r="N46" s="288">
        <v>-16466.377429999997</v>
      </c>
      <c r="O46" s="288">
        <v>30055.364169999997</v>
      </c>
      <c r="P46" s="288">
        <v>0</v>
      </c>
      <c r="Q46" s="288">
        <v>18070.314869999998</v>
      </c>
      <c r="R46" s="288">
        <v>21711.0412</v>
      </c>
      <c r="S46" s="288">
        <v>18712.8979</v>
      </c>
      <c r="T46" s="288">
        <v>1043.0300199999999</v>
      </c>
      <c r="U46" s="288">
        <v>5611.1566300000004</v>
      </c>
      <c r="V46" s="288">
        <v>34359</v>
      </c>
      <c r="W46" s="288">
        <v>33403</v>
      </c>
      <c r="X46" s="288">
        <v>0</v>
      </c>
      <c r="Y46" s="288">
        <v>5922.8987400000005</v>
      </c>
      <c r="Z46" s="288">
        <v>23197.512220000001</v>
      </c>
      <c r="AA46" s="288">
        <v>50829.198999999993</v>
      </c>
      <c r="AB46" s="288">
        <v>9604.3759100000007</v>
      </c>
      <c r="AC46" s="288">
        <v>-4056.5884500000002</v>
      </c>
      <c r="AD46" s="289">
        <v>41260</v>
      </c>
      <c r="AE46" s="289">
        <v>29862</v>
      </c>
      <c r="AF46" s="289">
        <v>0</v>
      </c>
      <c r="AG46" s="289">
        <v>20826</v>
      </c>
      <c r="AH46" s="289">
        <v>50790</v>
      </c>
      <c r="AI46" s="289">
        <v>34441</v>
      </c>
      <c r="AJ46" s="289">
        <v>11816</v>
      </c>
      <c r="AK46" s="289">
        <v>38281</v>
      </c>
      <c r="AL46" s="289">
        <v>60831</v>
      </c>
      <c r="AM46" s="289">
        <v>58082</v>
      </c>
      <c r="AN46" s="289">
        <v>62623</v>
      </c>
      <c r="AO46" s="289">
        <v>71620</v>
      </c>
      <c r="AP46" s="289">
        <v>106154</v>
      </c>
      <c r="AQ46" s="289">
        <v>152636</v>
      </c>
      <c r="AR46" s="289">
        <v>109829</v>
      </c>
      <c r="AS46" s="289">
        <v>103202</v>
      </c>
      <c r="AT46" s="302">
        <v>118010.174</v>
      </c>
      <c r="AU46" s="302">
        <v>142189.003</v>
      </c>
      <c r="AV46" s="302">
        <v>83487.887000000002</v>
      </c>
      <c r="AW46" s="302">
        <v>92638.347999999998</v>
      </c>
      <c r="AX46" s="302">
        <v>117701.85</v>
      </c>
      <c r="AY46" s="302">
        <v>206592.24799999999</v>
      </c>
      <c r="AZ46" s="302">
        <v>71798.743000000002</v>
      </c>
      <c r="BA46" s="297">
        <v>81216.251000000004</v>
      </c>
      <c r="BB46" s="302">
        <v>85569.767999999996</v>
      </c>
      <c r="BC46" s="302">
        <v>125062.323</v>
      </c>
      <c r="BD46" s="302">
        <v>81955.819000000003</v>
      </c>
      <c r="BE46" s="302">
        <v>74875.313999999998</v>
      </c>
    </row>
    <row r="47" spans="1:57" ht="15" thickBot="1">
      <c r="A47" s="118" t="s">
        <v>903</v>
      </c>
      <c r="B47" s="118" t="s">
        <v>777</v>
      </c>
      <c r="C47" s="115"/>
      <c r="D47" s="308">
        <f>SUM(D42:D46)</f>
        <v>-56606.307429999899</v>
      </c>
      <c r="E47" s="308">
        <f t="shared" ref="E47:AA47" si="31">SUM(E42:E46)</f>
        <v>-160993.36187999987</v>
      </c>
      <c r="F47" s="308">
        <f t="shared" si="31"/>
        <v>-235630.59305000037</v>
      </c>
      <c r="G47" s="308">
        <f t="shared" si="31"/>
        <v>224446.59180000084</v>
      </c>
      <c r="H47" s="308">
        <f t="shared" si="31"/>
        <v>-30763.779139999548</v>
      </c>
      <c r="I47" s="308">
        <f t="shared" si="31"/>
        <v>-196248.97537000084</v>
      </c>
      <c r="J47" s="308">
        <f t="shared" si="31"/>
        <v>-487474.41985999938</v>
      </c>
      <c r="K47" s="308">
        <f t="shared" si="31"/>
        <v>282005.63382999896</v>
      </c>
      <c r="L47" s="308">
        <f t="shared" si="31"/>
        <v>37313.401710000231</v>
      </c>
      <c r="M47" s="308">
        <f t="shared" si="31"/>
        <v>452184.57301999989</v>
      </c>
      <c r="N47" s="308">
        <f t="shared" si="31"/>
        <v>2936.6924700005511</v>
      </c>
      <c r="O47" s="308">
        <f t="shared" si="31"/>
        <v>32976.031609991231</v>
      </c>
      <c r="P47" s="308">
        <f t="shared" si="31"/>
        <v>43145.918910000022</v>
      </c>
      <c r="Q47" s="308">
        <f t="shared" si="31"/>
        <v>96177.373210001038</v>
      </c>
      <c r="R47" s="308">
        <f t="shared" si="31"/>
        <v>93776.482979999535</v>
      </c>
      <c r="S47" s="308">
        <f t="shared" si="31"/>
        <v>118454.25695000029</v>
      </c>
      <c r="T47" s="308">
        <f t="shared" si="31"/>
        <v>16862.728849999454</v>
      </c>
      <c r="U47" s="308">
        <f t="shared" si="31"/>
        <v>39934.946429999422</v>
      </c>
      <c r="V47" s="308">
        <f t="shared" si="31"/>
        <v>190825.61783000006</v>
      </c>
      <c r="W47" s="308">
        <f t="shared" si="31"/>
        <v>365908.19999999995</v>
      </c>
      <c r="X47" s="308">
        <f t="shared" si="31"/>
        <v>432.4999999999709</v>
      </c>
      <c r="Y47" s="308">
        <f t="shared" si="31"/>
        <v>49195.696159999206</v>
      </c>
      <c r="Z47" s="308">
        <f t="shared" si="31"/>
        <v>133780.77532000004</v>
      </c>
      <c r="AA47" s="308">
        <f t="shared" si="31"/>
        <v>271981.28796999995</v>
      </c>
      <c r="AB47" s="308">
        <f>SUM(AB42:AB46)+1</f>
        <v>51149.973589999543</v>
      </c>
      <c r="AC47" s="308">
        <f>SUM(AC42:AC46)+1</f>
        <v>48211.401710000682</v>
      </c>
      <c r="AD47" s="309">
        <v>179351</v>
      </c>
      <c r="AE47" s="309">
        <v>190407</v>
      </c>
      <c r="AF47" s="309">
        <v>109222.99999999997</v>
      </c>
      <c r="AG47" s="309">
        <v>99184</v>
      </c>
      <c r="AH47" s="309">
        <v>280715</v>
      </c>
      <c r="AI47" s="309">
        <v>229422</v>
      </c>
      <c r="AJ47" s="309">
        <v>124021.17342000001</v>
      </c>
      <c r="AK47" s="309">
        <v>209723</v>
      </c>
      <c r="AL47" s="309">
        <v>376680</v>
      </c>
      <c r="AM47" s="309">
        <v>315123</v>
      </c>
      <c r="AN47" s="309">
        <v>314802</v>
      </c>
      <c r="AO47" s="310">
        <f t="shared" ref="AO47:AU47" si="32">SUM(AO42:AO46)</f>
        <v>385253</v>
      </c>
      <c r="AP47" s="310">
        <f t="shared" si="32"/>
        <v>368116</v>
      </c>
      <c r="AQ47" s="310">
        <f t="shared" si="32"/>
        <v>488226</v>
      </c>
      <c r="AR47" s="310">
        <f t="shared" si="32"/>
        <v>424972</v>
      </c>
      <c r="AS47" s="310">
        <f t="shared" si="32"/>
        <v>519256</v>
      </c>
      <c r="AT47" s="310">
        <f t="shared" si="32"/>
        <v>677653.79299999925</v>
      </c>
      <c r="AU47" s="310">
        <f t="shared" si="32"/>
        <v>603929.26000000047</v>
      </c>
      <c r="AV47" s="310">
        <f t="shared" ref="AV47:BA47" si="33">SUM(AV42:AV46)</f>
        <v>430036.22599999921</v>
      </c>
      <c r="AW47" s="310">
        <f t="shared" si="33"/>
        <v>483854.15599999944</v>
      </c>
      <c r="AX47" s="310">
        <f t="shared" si="33"/>
        <v>556457.00300000026</v>
      </c>
      <c r="AY47" s="310">
        <f t="shared" si="33"/>
        <v>505725.99500000034</v>
      </c>
      <c r="AZ47" s="310">
        <f t="shared" si="33"/>
        <v>393143.79703000002</v>
      </c>
      <c r="BA47" s="287">
        <f t="shared" si="33"/>
        <v>360679.60505999945</v>
      </c>
      <c r="BB47" s="310">
        <f t="shared" ref="BB47:BD47" si="34">SUM(BB42:BB46)</f>
        <v>388685.32139</v>
      </c>
      <c r="BC47" s="310">
        <f t="shared" si="34"/>
        <v>410144.91009999951</v>
      </c>
      <c r="BD47" s="310">
        <f t="shared" si="34"/>
        <v>384415.27659999992</v>
      </c>
      <c r="BE47" s="310">
        <f>SUM(BE42:BE46)</f>
        <v>386398.2203300008</v>
      </c>
    </row>
  </sheetData>
  <pageMargins left="0.511811024" right="0.511811024" top="0.78740157499999996" bottom="0.78740157499999996" header="0.31496062000000002" footer="0.31496062000000002"/>
  <ignoredErrors>
    <ignoredError sqref="AN9:AW9" formulaRange="1"/>
  </ignoredErrors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9" tint="0.79998168889431442"/>
  </sheetPr>
  <dimension ref="A7:AC47"/>
  <sheetViews>
    <sheetView zoomScaleNormal="100" workbookViewId="0">
      <pane xSplit="2" topLeftCell="C1" activePane="topRight" state="frozen"/>
      <selection pane="topRight" activeCell="L20" sqref="L20"/>
    </sheetView>
  </sheetViews>
  <sheetFormatPr defaultColWidth="9.21875" defaultRowHeight="14.4" outlineLevelCol="1"/>
  <cols>
    <col min="1" max="1" width="44.44140625" style="35" bestFit="1" customWidth="1"/>
    <col min="2" max="2" width="44.44140625" style="35" customWidth="1"/>
    <col min="3" max="3" width="0.5546875" style="35" customWidth="1"/>
    <col min="4" max="11" width="9.21875" style="35" hidden="1" customWidth="1" outlineLevel="1"/>
    <col min="12" max="12" width="9.21875" style="35" collapsed="1"/>
    <col min="13" max="16384" width="9.21875" style="35"/>
  </cols>
  <sheetData>
    <row r="7" spans="1:29">
      <c r="A7" s="38" t="s">
        <v>906</v>
      </c>
      <c r="B7" s="38" t="s">
        <v>906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</row>
    <row r="8" spans="1:29" ht="15" thickBot="1">
      <c r="A8" s="448" t="s">
        <v>846</v>
      </c>
      <c r="B8" s="448" t="s">
        <v>847</v>
      </c>
      <c r="C8" s="112"/>
      <c r="D8" s="450" t="s">
        <v>67</v>
      </c>
      <c r="E8" s="450" t="s">
        <v>68</v>
      </c>
      <c r="F8" s="450" t="s">
        <v>69</v>
      </c>
      <c r="G8" s="450" t="s">
        <v>70</v>
      </c>
      <c r="H8" s="450" t="s">
        <v>71</v>
      </c>
      <c r="I8" s="450" t="s">
        <v>72</v>
      </c>
      <c r="J8" s="450" t="s">
        <v>73</v>
      </c>
      <c r="K8" s="450" t="s">
        <v>74</v>
      </c>
      <c r="L8" s="450" t="s">
        <v>75</v>
      </c>
      <c r="M8" s="450" t="s">
        <v>76</v>
      </c>
      <c r="N8" s="450" t="s">
        <v>77</v>
      </c>
      <c r="O8" s="450" t="s">
        <v>78</v>
      </c>
      <c r="P8" s="450" t="s">
        <v>79</v>
      </c>
      <c r="Q8" s="450" t="s">
        <v>80</v>
      </c>
      <c r="R8" s="460" t="s">
        <v>81</v>
      </c>
      <c r="S8" s="460" t="s">
        <v>82</v>
      </c>
      <c r="T8" s="460" t="s">
        <v>83</v>
      </c>
      <c r="U8" s="460" t="s">
        <v>84</v>
      </c>
      <c r="V8" s="460" t="s">
        <v>85</v>
      </c>
      <c r="W8" s="460" t="s">
        <v>86</v>
      </c>
      <c r="X8" s="460" t="s">
        <v>87</v>
      </c>
      <c r="Y8" s="460" t="s">
        <v>88</v>
      </c>
      <c r="Z8" s="460" t="s">
        <v>2074</v>
      </c>
      <c r="AA8" s="460" t="s">
        <v>2127</v>
      </c>
      <c r="AB8" s="460" t="s">
        <v>2360</v>
      </c>
      <c r="AC8" s="460" t="s">
        <v>2494</v>
      </c>
    </row>
    <row r="9" spans="1:29" ht="15" thickBot="1">
      <c r="A9" s="118" t="s">
        <v>596</v>
      </c>
      <c r="B9" s="118" t="s">
        <v>848</v>
      </c>
      <c r="C9" s="115"/>
      <c r="D9" s="128">
        <v>757648</v>
      </c>
      <c r="E9" s="128">
        <v>667211</v>
      </c>
      <c r="F9" s="128">
        <v>655660.31936000008</v>
      </c>
      <c r="G9" s="128">
        <v>1407466.8676800001</v>
      </c>
      <c r="H9" s="128">
        <v>816654.69327000016</v>
      </c>
      <c r="I9" s="128">
        <v>845731</v>
      </c>
      <c r="J9" s="128">
        <v>1198005</v>
      </c>
      <c r="K9" s="128">
        <v>1314997</v>
      </c>
      <c r="L9" s="128">
        <v>890407</v>
      </c>
      <c r="M9" s="119">
        <f t="shared" ref="M9:S9" si="0">SUM(M10:M16)</f>
        <v>992763</v>
      </c>
      <c r="N9" s="119">
        <f t="shared" si="0"/>
        <v>1051901</v>
      </c>
      <c r="O9" s="119">
        <f t="shared" si="0"/>
        <v>1083786</v>
      </c>
      <c r="P9" s="119">
        <f t="shared" si="0"/>
        <v>1038321</v>
      </c>
      <c r="Q9" s="119">
        <f t="shared" si="0"/>
        <v>1232597</v>
      </c>
      <c r="R9" s="119">
        <f t="shared" si="0"/>
        <v>1103009.4709999999</v>
      </c>
      <c r="S9" s="119">
        <f t="shared" si="0"/>
        <v>1384020.4549999998</v>
      </c>
      <c r="T9" s="119">
        <f t="shared" ref="T9:Y9" si="1">SUM(T10:T16)</f>
        <v>1138172.0310000002</v>
      </c>
      <c r="U9" s="119">
        <f t="shared" si="1"/>
        <v>1247640.0960000001</v>
      </c>
      <c r="V9" s="119">
        <f t="shared" si="1"/>
        <v>1337069.5270000002</v>
      </c>
      <c r="W9" s="119">
        <f t="shared" si="1"/>
        <v>1387693.1410000001</v>
      </c>
      <c r="X9" s="119">
        <f t="shared" si="1"/>
        <v>1193373.0970000001</v>
      </c>
      <c r="Y9" s="119">
        <f t="shared" si="1"/>
        <v>1362997.7949999999</v>
      </c>
      <c r="Z9" s="119">
        <f t="shared" ref="Z9:AB9" si="2">SUM(Z10:Z16)</f>
        <v>1609716.8359999997</v>
      </c>
      <c r="AA9" s="119">
        <f t="shared" si="2"/>
        <v>1815922.0499999998</v>
      </c>
      <c r="AB9" s="119">
        <f t="shared" si="2"/>
        <v>1458223.2769999998</v>
      </c>
      <c r="AC9" s="119">
        <f>SUM(AC10:AC16)</f>
        <v>1573986.2209999999</v>
      </c>
    </row>
    <row r="10" spans="1:29">
      <c r="A10" s="115" t="s">
        <v>849</v>
      </c>
      <c r="B10" s="115" t="s">
        <v>850</v>
      </c>
      <c r="C10" s="115"/>
      <c r="D10" s="127">
        <v>622379</v>
      </c>
      <c r="E10" s="127">
        <v>543829</v>
      </c>
      <c r="F10" s="127">
        <v>528548.17563000019</v>
      </c>
      <c r="G10" s="127">
        <v>812966.95654000004</v>
      </c>
      <c r="H10" s="127">
        <v>685818.80774000008</v>
      </c>
      <c r="I10" s="127">
        <v>709060</v>
      </c>
      <c r="J10" s="127">
        <v>983749</v>
      </c>
      <c r="K10" s="127">
        <v>1023631</v>
      </c>
      <c r="L10" s="127">
        <v>723232</v>
      </c>
      <c r="M10" s="127">
        <v>731784</v>
      </c>
      <c r="N10" s="127">
        <v>780104</v>
      </c>
      <c r="O10" s="127">
        <v>791776</v>
      </c>
      <c r="P10" s="127">
        <v>797387</v>
      </c>
      <c r="Q10" s="127">
        <v>875834</v>
      </c>
      <c r="R10" s="312">
        <v>882574.20600000001</v>
      </c>
      <c r="S10" s="312">
        <v>1030033.553</v>
      </c>
      <c r="T10" s="312">
        <v>928910.01</v>
      </c>
      <c r="U10" s="312">
        <v>970595.26899999997</v>
      </c>
      <c r="V10" s="312">
        <v>1038216.8810000001</v>
      </c>
      <c r="W10" s="312">
        <v>1129018.368</v>
      </c>
      <c r="X10" s="312">
        <v>924534.10100000002</v>
      </c>
      <c r="Y10" s="312">
        <v>1049589.966</v>
      </c>
      <c r="Z10" s="312">
        <v>1239828.2279999999</v>
      </c>
      <c r="AA10" s="312">
        <v>1474508.5179999999</v>
      </c>
      <c r="AB10" s="312">
        <v>1090472.075</v>
      </c>
      <c r="AC10" s="312">
        <v>1270518.827</v>
      </c>
    </row>
    <row r="11" spans="1:29">
      <c r="A11" s="115" t="s">
        <v>602</v>
      </c>
      <c r="B11" s="115" t="s">
        <v>603</v>
      </c>
      <c r="C11" s="115"/>
      <c r="D11" s="127">
        <v>37581</v>
      </c>
      <c r="E11" s="127">
        <v>10370</v>
      </c>
      <c r="F11" s="127">
        <v>19928.778419999999</v>
      </c>
      <c r="G11" s="127">
        <v>31221.718079999995</v>
      </c>
      <c r="H11" s="127">
        <v>17093.12341</v>
      </c>
      <c r="I11" s="127">
        <v>34537</v>
      </c>
      <c r="J11" s="127">
        <v>36576</v>
      </c>
      <c r="K11" s="127">
        <v>88589</v>
      </c>
      <c r="L11" s="127">
        <v>5957</v>
      </c>
      <c r="M11" s="127">
        <v>11096</v>
      </c>
      <c r="N11" s="127">
        <v>5849</v>
      </c>
      <c r="O11" s="127">
        <v>4794</v>
      </c>
      <c r="P11" s="127">
        <v>11032</v>
      </c>
      <c r="Q11" s="127">
        <v>8433</v>
      </c>
      <c r="R11" s="312">
        <v>7654.3339999999998</v>
      </c>
      <c r="S11" s="312">
        <v>4896.491</v>
      </c>
      <c r="T11" s="312">
        <v>4549.857</v>
      </c>
      <c r="U11" s="312">
        <v>2853.1959999999999</v>
      </c>
      <c r="V11" s="312">
        <v>18147.187000000002</v>
      </c>
      <c r="W11" s="312">
        <v>-2048.7910000000002</v>
      </c>
      <c r="X11" s="312">
        <v>6409.0420000000004</v>
      </c>
      <c r="Y11" s="312">
        <v>15241.196</v>
      </c>
      <c r="Z11" s="312">
        <v>24627.031999999999</v>
      </c>
      <c r="AA11" s="312">
        <v>4206.1260000000002</v>
      </c>
      <c r="AB11" s="312">
        <v>27879.352999999999</v>
      </c>
      <c r="AC11" s="312">
        <v>-29488.877</v>
      </c>
    </row>
    <row r="12" spans="1:29">
      <c r="A12" s="115" t="s">
        <v>606</v>
      </c>
      <c r="B12" s="115" t="s">
        <v>851</v>
      </c>
      <c r="C12" s="115"/>
      <c r="D12" s="127">
        <v>78681</v>
      </c>
      <c r="E12" s="127">
        <v>96145</v>
      </c>
      <c r="F12" s="127">
        <v>86033.299830000018</v>
      </c>
      <c r="G12" s="127">
        <v>142478.89074999999</v>
      </c>
      <c r="H12" s="127">
        <v>85233.308959999995</v>
      </c>
      <c r="I12" s="127">
        <v>73352</v>
      </c>
      <c r="J12" s="127">
        <v>130164</v>
      </c>
      <c r="K12" s="127">
        <v>149206</v>
      </c>
      <c r="L12" s="127">
        <v>90999</v>
      </c>
      <c r="M12" s="127">
        <v>157058</v>
      </c>
      <c r="N12" s="127">
        <v>233255</v>
      </c>
      <c r="O12" s="127">
        <v>250996</v>
      </c>
      <c r="P12" s="127">
        <v>179768</v>
      </c>
      <c r="Q12" s="127">
        <v>275011</v>
      </c>
      <c r="R12" s="312">
        <v>150423.709</v>
      </c>
      <c r="S12" s="312">
        <v>220897.73199999999</v>
      </c>
      <c r="T12" s="312">
        <v>132093.35800000001</v>
      </c>
      <c r="U12" s="312">
        <v>196572.717</v>
      </c>
      <c r="V12" s="312">
        <v>191425.76199999999</v>
      </c>
      <c r="W12" s="312">
        <v>205729.05900000001</v>
      </c>
      <c r="X12" s="312">
        <v>190499.14600000001</v>
      </c>
      <c r="Y12" s="312">
        <v>224038.73300000001</v>
      </c>
      <c r="Z12" s="312">
        <v>257508.91899999999</v>
      </c>
      <c r="AA12" s="312">
        <v>245004.514</v>
      </c>
      <c r="AB12" s="312">
        <v>231236.55799999999</v>
      </c>
      <c r="AC12" s="312">
        <v>238960.29199999999</v>
      </c>
    </row>
    <row r="13" spans="1:29">
      <c r="A13" s="115" t="s">
        <v>852</v>
      </c>
      <c r="B13" s="115" t="s">
        <v>853</v>
      </c>
      <c r="C13" s="115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>
        <v>2218.9566099999997</v>
      </c>
      <c r="Q13" s="127">
        <v>897.19037000000014</v>
      </c>
      <c r="R13" s="312">
        <v>1307.2918000000002</v>
      </c>
      <c r="S13" s="312">
        <v>14633.24179</v>
      </c>
      <c r="T13" s="312">
        <v>2588.0476099999996</v>
      </c>
      <c r="U13" s="312">
        <v>2157.2339600000005</v>
      </c>
      <c r="V13" s="312">
        <v>210.9442999999998</v>
      </c>
      <c r="W13" s="312">
        <v>3297.9492400000004</v>
      </c>
      <c r="X13" s="312">
        <v>5517.9756500000003</v>
      </c>
      <c r="Y13" s="312">
        <v>2826.0989899999995</v>
      </c>
      <c r="Z13" s="312">
        <v>3774.18012</v>
      </c>
      <c r="AA13" s="312">
        <v>453.85439000000059</v>
      </c>
      <c r="AB13" s="312">
        <v>5560.0307400000002</v>
      </c>
      <c r="AC13" s="312">
        <v>7443.08133</v>
      </c>
    </row>
    <row r="14" spans="1:29">
      <c r="A14" s="115" t="s">
        <v>854</v>
      </c>
      <c r="B14" s="115" t="s">
        <v>855</v>
      </c>
      <c r="C14" s="115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>
        <v>6766.0985300000002</v>
      </c>
      <c r="Q14" s="127">
        <v>7520.4328700000005</v>
      </c>
      <c r="R14" s="312">
        <v>8337.6414099999984</v>
      </c>
      <c r="S14" s="312">
        <v>9345.348</v>
      </c>
      <c r="T14" s="312">
        <v>9479.7849000000006</v>
      </c>
      <c r="U14" s="312">
        <v>9279.5722800000003</v>
      </c>
      <c r="V14" s="312">
        <v>9806.2899200000011</v>
      </c>
      <c r="W14" s="312">
        <v>10937.440170000002</v>
      </c>
      <c r="X14" s="312">
        <v>9774.3349800000015</v>
      </c>
      <c r="Y14" s="312">
        <v>8870.0252499999988</v>
      </c>
      <c r="Z14" s="312">
        <v>10436.749390000001</v>
      </c>
      <c r="AA14" s="312">
        <v>11083.385650000002</v>
      </c>
      <c r="AB14" s="312">
        <v>10516.09261</v>
      </c>
      <c r="AC14" s="312">
        <v>10276.776580000002</v>
      </c>
    </row>
    <row r="15" spans="1:29">
      <c r="A15" s="115" t="s">
        <v>856</v>
      </c>
      <c r="B15" s="115" t="s">
        <v>857</v>
      </c>
      <c r="C15" s="115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>
        <v>5765.4974499999998</v>
      </c>
      <c r="Q15" s="127">
        <v>9617.4183999999987</v>
      </c>
      <c r="R15" s="312">
        <v>5813.38249</v>
      </c>
      <c r="S15" s="312">
        <v>8837.483110000001</v>
      </c>
      <c r="T15" s="312">
        <v>7213.8520799999997</v>
      </c>
      <c r="U15" s="312">
        <v>9312.1607900000017</v>
      </c>
      <c r="V15" s="312">
        <v>8740.8756200000007</v>
      </c>
      <c r="W15" s="312">
        <v>6509.2683799999995</v>
      </c>
      <c r="X15" s="312">
        <v>7790.4749800000009</v>
      </c>
      <c r="Y15" s="312">
        <v>7882.6691099999989</v>
      </c>
      <c r="Z15" s="312">
        <v>7557.7156199999999</v>
      </c>
      <c r="AA15" s="312">
        <v>6791.9592899999998</v>
      </c>
      <c r="AB15" s="312">
        <v>6969.4009900000001</v>
      </c>
      <c r="AC15" s="312">
        <v>6929.429509999999</v>
      </c>
    </row>
    <row r="16" spans="1:29" ht="15" thickBot="1">
      <c r="A16" s="115" t="s">
        <v>614</v>
      </c>
      <c r="B16" s="115" t="s">
        <v>615</v>
      </c>
      <c r="C16" s="115"/>
      <c r="D16" s="127">
        <v>19007</v>
      </c>
      <c r="E16" s="127">
        <v>16867</v>
      </c>
      <c r="F16" s="127">
        <v>21150.06547999991</v>
      </c>
      <c r="G16" s="127">
        <v>420799.30231000006</v>
      </c>
      <c r="H16" s="127">
        <v>28509.453160000001</v>
      </c>
      <c r="I16" s="127">
        <v>28782</v>
      </c>
      <c r="J16" s="127">
        <v>47516</v>
      </c>
      <c r="K16" s="127">
        <v>53571</v>
      </c>
      <c r="L16" s="127">
        <v>70219</v>
      </c>
      <c r="M16" s="127">
        <v>92825</v>
      </c>
      <c r="N16" s="127">
        <v>32693</v>
      </c>
      <c r="O16" s="127">
        <v>36220</v>
      </c>
      <c r="P16" s="127">
        <f>50134-SUM(P13:P15)</f>
        <v>35383.447410000001</v>
      </c>
      <c r="Q16" s="127">
        <f>73319-SUM(Q13:Q15)</f>
        <v>55283.958360000004</v>
      </c>
      <c r="R16" s="312">
        <f>62357.222-SUM(R13:R15)</f>
        <v>46898.906300000002</v>
      </c>
      <c r="S16" s="312">
        <f>128192.679-SUM(S13:S15)</f>
        <v>95376.606100000005</v>
      </c>
      <c r="T16" s="312">
        <f>72618.806-SUM(T13:T15)</f>
        <v>53337.121409999992</v>
      </c>
      <c r="U16" s="312">
        <f>77618.914-SUM(U13:U15)</f>
        <v>56869.946970000005</v>
      </c>
      <c r="V16" s="312">
        <f>89279.697-SUM(V13:V15)</f>
        <v>70521.587159999995</v>
      </c>
      <c r="W16" s="312">
        <v>34249.847210000007</v>
      </c>
      <c r="X16" s="312">
        <v>48848.022389999998</v>
      </c>
      <c r="Y16" s="312">
        <v>54549.106650000002</v>
      </c>
      <c r="Z16" s="312">
        <v>65984.011870000002</v>
      </c>
      <c r="AA16" s="312">
        <v>73873.692670000004</v>
      </c>
      <c r="AB16" s="312">
        <v>85589.766659999994</v>
      </c>
      <c r="AC16" s="312">
        <v>69346.691580000013</v>
      </c>
    </row>
    <row r="17" spans="1:29" ht="15" thickBot="1">
      <c r="A17" s="118" t="s">
        <v>858</v>
      </c>
      <c r="B17" s="118" t="s">
        <v>859</v>
      </c>
      <c r="C17" s="115"/>
      <c r="D17" s="128">
        <v>-230202</v>
      </c>
      <c r="E17" s="128">
        <v>-181468</v>
      </c>
      <c r="F17" s="128">
        <v>-212736.98024999999</v>
      </c>
      <c r="G17" s="128">
        <v>-280092.51579999999</v>
      </c>
      <c r="H17" s="128">
        <v>-231926.74813999995</v>
      </c>
      <c r="I17" s="128">
        <v>-228324</v>
      </c>
      <c r="J17" s="128">
        <v>-299161</v>
      </c>
      <c r="K17" s="128">
        <v>-321548</v>
      </c>
      <c r="L17" s="128">
        <v>-302491</v>
      </c>
      <c r="M17" s="313">
        <v>-278513</v>
      </c>
      <c r="N17" s="313">
        <v>-254516</v>
      </c>
      <c r="O17" s="313">
        <v>-239526</v>
      </c>
      <c r="P17" s="313">
        <v>-259237</v>
      </c>
      <c r="Q17" s="313">
        <v>-326235</v>
      </c>
      <c r="R17" s="313">
        <v>-327674.08500000002</v>
      </c>
      <c r="S17" s="313">
        <v>-385975.12400000001</v>
      </c>
      <c r="T17" s="313">
        <v>-339706.10800000001</v>
      </c>
      <c r="U17" s="313">
        <v>-355258.57400000002</v>
      </c>
      <c r="V17" s="313">
        <v>-361066.63</v>
      </c>
      <c r="W17" s="313">
        <v>-374952.022</v>
      </c>
      <c r="X17" s="313">
        <v>-314705.13</v>
      </c>
      <c r="Y17" s="313">
        <v>-352223.79499999998</v>
      </c>
      <c r="Z17" s="313">
        <v>-457296.886</v>
      </c>
      <c r="AA17" s="313">
        <v>-443251.05</v>
      </c>
      <c r="AB17" s="313">
        <v>-429592.55</v>
      </c>
      <c r="AC17" s="313">
        <v>-483550.141</v>
      </c>
    </row>
    <row r="18" spans="1:29" ht="15" thickBot="1">
      <c r="A18" s="118" t="s">
        <v>646</v>
      </c>
      <c r="B18" s="118" t="s">
        <v>860</v>
      </c>
      <c r="C18" s="116"/>
      <c r="D18" s="128">
        <f>D9+D17</f>
        <v>527446</v>
      </c>
      <c r="E18" s="128">
        <f t="shared" ref="E18:Q18" si="3">E9+E17</f>
        <v>485743</v>
      </c>
      <c r="F18" s="128">
        <f t="shared" si="3"/>
        <v>442923.33911000006</v>
      </c>
      <c r="G18" s="128">
        <f t="shared" si="3"/>
        <v>1127374.3518800002</v>
      </c>
      <c r="H18" s="128">
        <f t="shared" si="3"/>
        <v>584727.94513000024</v>
      </c>
      <c r="I18" s="128">
        <f t="shared" si="3"/>
        <v>617407</v>
      </c>
      <c r="J18" s="128">
        <f t="shared" si="3"/>
        <v>898844</v>
      </c>
      <c r="K18" s="128">
        <f t="shared" si="3"/>
        <v>993449</v>
      </c>
      <c r="L18" s="128">
        <f t="shared" si="3"/>
        <v>587916</v>
      </c>
      <c r="M18" s="128">
        <f t="shared" si="3"/>
        <v>714250</v>
      </c>
      <c r="N18" s="128">
        <f t="shared" si="3"/>
        <v>797385</v>
      </c>
      <c r="O18" s="128">
        <f t="shared" si="3"/>
        <v>844260</v>
      </c>
      <c r="P18" s="128">
        <f t="shared" si="3"/>
        <v>779084</v>
      </c>
      <c r="Q18" s="128">
        <f t="shared" si="3"/>
        <v>906362</v>
      </c>
      <c r="R18" s="314">
        <f t="shared" ref="R18:Y18" si="4">R9+R17</f>
        <v>775335.38599999994</v>
      </c>
      <c r="S18" s="314">
        <f t="shared" si="4"/>
        <v>998045.33099999977</v>
      </c>
      <c r="T18" s="314">
        <f t="shared" si="4"/>
        <v>798465.92300000018</v>
      </c>
      <c r="U18" s="314">
        <f t="shared" si="4"/>
        <v>892381.52200000011</v>
      </c>
      <c r="V18" s="314">
        <f t="shared" si="4"/>
        <v>976002.89700000023</v>
      </c>
      <c r="W18" s="314">
        <f t="shared" si="4"/>
        <v>1012741.1190000001</v>
      </c>
      <c r="X18" s="314">
        <f t="shared" si="4"/>
        <v>878667.96700000006</v>
      </c>
      <c r="Y18" s="314">
        <f t="shared" si="4"/>
        <v>1010774</v>
      </c>
      <c r="Z18" s="314">
        <f t="shared" ref="Z18:AB18" si="5">Z9+Z17</f>
        <v>1152419.9499999997</v>
      </c>
      <c r="AA18" s="314">
        <f t="shared" si="5"/>
        <v>1372670.9999999998</v>
      </c>
      <c r="AB18" s="314">
        <f t="shared" si="5"/>
        <v>1028630.7269999997</v>
      </c>
      <c r="AC18" s="314">
        <f>AC9+AC17</f>
        <v>1090436.0799999998</v>
      </c>
    </row>
    <row r="19" spans="1:29" ht="15" thickBot="1">
      <c r="A19" s="118" t="s">
        <v>861</v>
      </c>
      <c r="B19" s="118" t="s">
        <v>862</v>
      </c>
      <c r="C19" s="116"/>
      <c r="D19" s="128">
        <f>SUM(D20:D23)</f>
        <v>-358002</v>
      </c>
      <c r="E19" s="128">
        <f t="shared" ref="E19:Q19" si="6">SUM(E20:E23)</f>
        <v>-329779</v>
      </c>
      <c r="F19" s="128">
        <f t="shared" si="6"/>
        <v>-399688.82084</v>
      </c>
      <c r="G19" s="128">
        <f t="shared" si="6"/>
        <v>-543525.36973999999</v>
      </c>
      <c r="H19" s="128">
        <f t="shared" si="6"/>
        <v>-373009.30895999999</v>
      </c>
      <c r="I19" s="128">
        <f t="shared" si="6"/>
        <v>-389009</v>
      </c>
      <c r="J19" s="128">
        <f t="shared" si="6"/>
        <v>-658240</v>
      </c>
      <c r="K19" s="128">
        <f t="shared" si="6"/>
        <v>-696928</v>
      </c>
      <c r="L19" s="128">
        <f t="shared" si="6"/>
        <v>-360184</v>
      </c>
      <c r="M19" s="128">
        <f t="shared" si="6"/>
        <v>-459479</v>
      </c>
      <c r="N19" s="128">
        <f t="shared" si="6"/>
        <v>-551912</v>
      </c>
      <c r="O19" s="128">
        <f t="shared" si="6"/>
        <v>-569141</v>
      </c>
      <c r="P19" s="128">
        <f t="shared" si="6"/>
        <v>-512397</v>
      </c>
      <c r="Q19" s="128">
        <f t="shared" si="6"/>
        <v>-596067</v>
      </c>
      <c r="R19" s="314">
        <f t="shared" ref="R19:W19" si="7">SUM(R20:R23)</f>
        <v>-488637.70900000003</v>
      </c>
      <c r="S19" s="314">
        <f t="shared" si="7"/>
        <v>-636238.73199999996</v>
      </c>
      <c r="T19" s="314">
        <f t="shared" si="7"/>
        <v>-465768.35800000001</v>
      </c>
      <c r="U19" s="314">
        <f t="shared" si="7"/>
        <v>-557327.71699999995</v>
      </c>
      <c r="V19" s="314">
        <f t="shared" si="7"/>
        <v>-600001.76199999999</v>
      </c>
      <c r="W19" s="314">
        <f t="shared" si="7"/>
        <v>-651150.05900000001</v>
      </c>
      <c r="X19" s="314">
        <f t="shared" ref="X19:AC19" si="8">SUM(X20:X23)</f>
        <v>-540229.14599999995</v>
      </c>
      <c r="Y19" s="314">
        <f t="shared" si="8"/>
        <v>-615877.88599999994</v>
      </c>
      <c r="Z19" s="314">
        <f t="shared" si="8"/>
        <v>-729676.91899999999</v>
      </c>
      <c r="AA19" s="314">
        <f t="shared" si="8"/>
        <v>-731320.36100000003</v>
      </c>
      <c r="AB19" s="314">
        <f t="shared" si="8"/>
        <v>-618016.55799999996</v>
      </c>
      <c r="AC19" s="314">
        <f t="shared" si="8"/>
        <v>-658618.29200000002</v>
      </c>
    </row>
    <row r="20" spans="1:29">
      <c r="A20" s="115" t="s">
        <v>863</v>
      </c>
      <c r="B20" s="115" t="s">
        <v>864</v>
      </c>
      <c r="C20" s="116"/>
      <c r="D20" s="127">
        <v>-238489</v>
      </c>
      <c r="E20" s="127">
        <v>-197194</v>
      </c>
      <c r="F20" s="127">
        <v>-246068.48750999998</v>
      </c>
      <c r="G20" s="127">
        <v>-340404.51248999999</v>
      </c>
      <c r="H20" s="127">
        <v>-221904</v>
      </c>
      <c r="I20" s="127">
        <v>-245466</v>
      </c>
      <c r="J20" s="127">
        <v>-480361</v>
      </c>
      <c r="K20" s="127">
        <v>-477775</v>
      </c>
      <c r="L20" s="127">
        <v>-267873</v>
      </c>
      <c r="M20" s="127">
        <v>-301320</v>
      </c>
      <c r="N20" s="127">
        <v>-241295</v>
      </c>
      <c r="O20" s="127">
        <v>-241355</v>
      </c>
      <c r="P20" s="127">
        <v>-254292</v>
      </c>
      <c r="Q20" s="127">
        <v>-242537</v>
      </c>
      <c r="R20" s="312">
        <v>-255354</v>
      </c>
      <c r="S20" s="312">
        <v>-332208</v>
      </c>
      <c r="T20" s="312">
        <v>-242599</v>
      </c>
      <c r="U20" s="312">
        <v>-270059</v>
      </c>
      <c r="V20" s="312">
        <v>-333988</v>
      </c>
      <c r="W20" s="312">
        <v>-371886</v>
      </c>
      <c r="X20" s="312">
        <v>-268262</v>
      </c>
      <c r="Y20" s="312">
        <v>-309730</v>
      </c>
      <c r="Z20" s="312">
        <v>-390690</v>
      </c>
      <c r="AA20" s="312">
        <v>-403568</v>
      </c>
      <c r="AB20" s="312">
        <v>-301294</v>
      </c>
      <c r="AC20" s="312">
        <v>-336456</v>
      </c>
    </row>
    <row r="21" spans="1:29">
      <c r="A21" s="115" t="s">
        <v>865</v>
      </c>
      <c r="B21" s="115" t="s">
        <v>866</v>
      </c>
      <c r="C21" s="116"/>
      <c r="D21" s="127">
        <v>-40831</v>
      </c>
      <c r="E21" s="127">
        <v>-36439</v>
      </c>
      <c r="F21" s="127">
        <v>-67587.033500000005</v>
      </c>
      <c r="G21" s="127">
        <v>-60641.96649999998</v>
      </c>
      <c r="H21" s="127">
        <v>-65872</v>
      </c>
      <c r="I21" s="127">
        <v>-70191</v>
      </c>
      <c r="J21" s="127">
        <v>-47715</v>
      </c>
      <c r="K21" s="127">
        <v>-69947</v>
      </c>
      <c r="L21" s="127">
        <v>-1312</v>
      </c>
      <c r="M21" s="127">
        <v>-1101</v>
      </c>
      <c r="N21" s="127">
        <v>-77362</v>
      </c>
      <c r="O21" s="127">
        <v>-76790</v>
      </c>
      <c r="P21" s="127">
        <v>-78337</v>
      </c>
      <c r="Q21" s="127">
        <v>-78519</v>
      </c>
      <c r="R21" s="312">
        <v>-82860</v>
      </c>
      <c r="S21" s="312">
        <v>-83133</v>
      </c>
      <c r="T21" s="312">
        <v>-91076</v>
      </c>
      <c r="U21" s="312">
        <v>-90696</v>
      </c>
      <c r="V21" s="312">
        <v>-74588</v>
      </c>
      <c r="W21" s="312">
        <v>-73535</v>
      </c>
      <c r="X21" s="312">
        <v>-81468</v>
      </c>
      <c r="Y21" s="312">
        <v>-82110</v>
      </c>
      <c r="Z21" s="312">
        <v>-81478</v>
      </c>
      <c r="AA21" s="312">
        <v>-82747</v>
      </c>
      <c r="AB21" s="312">
        <v>-85486</v>
      </c>
      <c r="AC21" s="312">
        <v>-83202</v>
      </c>
    </row>
    <row r="22" spans="1:29">
      <c r="A22" s="115" t="s">
        <v>867</v>
      </c>
      <c r="B22" s="115" t="s">
        <v>868</v>
      </c>
      <c r="C22" s="116"/>
      <c r="D22" s="127">
        <v>-78682</v>
      </c>
      <c r="E22" s="127">
        <v>-96146</v>
      </c>
      <c r="F22" s="127">
        <v>-86033.299830000018</v>
      </c>
      <c r="G22" s="127">
        <v>-142478.89074999999</v>
      </c>
      <c r="H22" s="127">
        <v>-85233.308959999995</v>
      </c>
      <c r="I22" s="127">
        <v>-73352</v>
      </c>
      <c r="J22" s="127">
        <v>-130164</v>
      </c>
      <c r="K22" s="127">
        <v>-149206</v>
      </c>
      <c r="L22" s="127">
        <v>-90999</v>
      </c>
      <c r="M22" s="127">
        <v>-157058</v>
      </c>
      <c r="N22" s="127">
        <v>-233255</v>
      </c>
      <c r="O22" s="127">
        <v>-250996</v>
      </c>
      <c r="P22" s="127">
        <v>-179768</v>
      </c>
      <c r="Q22" s="127">
        <v>-275011</v>
      </c>
      <c r="R22" s="312">
        <v>-150423.709</v>
      </c>
      <c r="S22" s="312">
        <v>-220897.73199999999</v>
      </c>
      <c r="T22" s="312">
        <v>-132093.35800000001</v>
      </c>
      <c r="U22" s="312">
        <v>-196572.717</v>
      </c>
      <c r="V22" s="312">
        <v>-191425.76199999999</v>
      </c>
      <c r="W22" s="312">
        <v>-205729.05900000001</v>
      </c>
      <c r="X22" s="312">
        <v>-190499.14600000001</v>
      </c>
      <c r="Y22" s="312">
        <v>-224037.886</v>
      </c>
      <c r="Z22" s="312">
        <v>-257508.91899999999</v>
      </c>
      <c r="AA22" s="312">
        <v>-245005.361</v>
      </c>
      <c r="AB22" s="312">
        <v>-231236.55799999999</v>
      </c>
      <c r="AC22" s="312">
        <v>-238960.29199999999</v>
      </c>
    </row>
    <row r="23" spans="1:29" ht="15" thickBot="1">
      <c r="A23" s="115" t="s">
        <v>869</v>
      </c>
      <c r="B23" s="115" t="s">
        <v>907</v>
      </c>
      <c r="C23" s="116"/>
      <c r="D23" s="315">
        <v>0</v>
      </c>
      <c r="E23" s="315"/>
      <c r="F23" s="315"/>
      <c r="G23" s="315"/>
      <c r="H23" s="315"/>
      <c r="I23" s="315"/>
      <c r="J23" s="315"/>
      <c r="K23" s="315"/>
      <c r="L23" s="315"/>
      <c r="M23" s="315"/>
      <c r="N23" s="315"/>
      <c r="O23" s="315"/>
      <c r="P23" s="315"/>
      <c r="Q23" s="315"/>
      <c r="R23" s="316"/>
      <c r="S23" s="316"/>
      <c r="T23" s="316"/>
      <c r="U23" s="316"/>
      <c r="V23" s="316"/>
      <c r="W23" s="316"/>
      <c r="X23" s="316"/>
      <c r="Y23" s="316"/>
      <c r="Z23" s="316"/>
      <c r="AA23" s="316"/>
      <c r="AB23" s="316"/>
      <c r="AC23" s="316"/>
    </row>
    <row r="24" spans="1:29" ht="15" thickBot="1">
      <c r="A24" s="118" t="s">
        <v>871</v>
      </c>
      <c r="B24" s="118" t="s">
        <v>872</v>
      </c>
      <c r="C24" s="116"/>
      <c r="D24" s="128">
        <f>D18+D19</f>
        <v>169444</v>
      </c>
      <c r="E24" s="128">
        <f t="shared" ref="E24:Q24" si="9">E18+E19</f>
        <v>155964</v>
      </c>
      <c r="F24" s="128">
        <f t="shared" si="9"/>
        <v>43234.518270000059</v>
      </c>
      <c r="G24" s="128">
        <f t="shared" si="9"/>
        <v>583848.98214000021</v>
      </c>
      <c r="H24" s="128">
        <f t="shared" si="9"/>
        <v>211718.63617000025</v>
      </c>
      <c r="I24" s="128">
        <f t="shared" si="9"/>
        <v>228398</v>
      </c>
      <c r="J24" s="128">
        <f t="shared" si="9"/>
        <v>240604</v>
      </c>
      <c r="K24" s="128">
        <f t="shared" si="9"/>
        <v>296521</v>
      </c>
      <c r="L24" s="128">
        <f t="shared" si="9"/>
        <v>227732</v>
      </c>
      <c r="M24" s="128">
        <f t="shared" si="9"/>
        <v>254771</v>
      </c>
      <c r="N24" s="128">
        <f t="shared" si="9"/>
        <v>245473</v>
      </c>
      <c r="O24" s="128">
        <f t="shared" si="9"/>
        <v>275119</v>
      </c>
      <c r="P24" s="128">
        <f t="shared" si="9"/>
        <v>266687</v>
      </c>
      <c r="Q24" s="128">
        <f t="shared" si="9"/>
        <v>310295</v>
      </c>
      <c r="R24" s="314">
        <f t="shared" ref="R24:W24" si="10">R18+R19</f>
        <v>286697.67699999991</v>
      </c>
      <c r="S24" s="314">
        <f t="shared" si="10"/>
        <v>361806.59899999981</v>
      </c>
      <c r="T24" s="314">
        <f t="shared" si="10"/>
        <v>332697.56500000018</v>
      </c>
      <c r="U24" s="314">
        <f t="shared" si="10"/>
        <v>335053.80500000017</v>
      </c>
      <c r="V24" s="314">
        <f t="shared" si="10"/>
        <v>376001.13500000024</v>
      </c>
      <c r="W24" s="314">
        <f t="shared" si="10"/>
        <v>361591.06000000006</v>
      </c>
      <c r="X24" s="314">
        <f t="shared" ref="X24:AC24" si="11">X18+X19</f>
        <v>338438.82100000011</v>
      </c>
      <c r="Y24" s="314">
        <f t="shared" si="11"/>
        <v>394896.11400000006</v>
      </c>
      <c r="Z24" s="314">
        <f t="shared" si="11"/>
        <v>422743.03099999973</v>
      </c>
      <c r="AA24" s="314">
        <f t="shared" si="11"/>
        <v>641350.63899999973</v>
      </c>
      <c r="AB24" s="314">
        <f t="shared" si="11"/>
        <v>410614.16899999976</v>
      </c>
      <c r="AC24" s="314">
        <f t="shared" si="11"/>
        <v>431817.78799999983</v>
      </c>
    </row>
    <row r="25" spans="1:29" ht="15" thickBot="1">
      <c r="A25" s="118" t="s">
        <v>873</v>
      </c>
      <c r="B25" s="118" t="s">
        <v>874</v>
      </c>
      <c r="C25" s="116"/>
      <c r="D25" s="128">
        <f>SUM(D26:D35)</f>
        <v>-84735</v>
      </c>
      <c r="E25" s="128">
        <f t="shared" ref="E25:Q25" si="12">SUM(E26:E35)</f>
        <v>-85862</v>
      </c>
      <c r="F25" s="128">
        <f t="shared" si="12"/>
        <v>-48267.139770000023</v>
      </c>
      <c r="G25" s="128">
        <f t="shared" si="12"/>
        <v>116382.61177000003</v>
      </c>
      <c r="H25" s="128">
        <f t="shared" si="12"/>
        <v>-82808.313840000032</v>
      </c>
      <c r="I25" s="128">
        <f t="shared" si="12"/>
        <v>-73145</v>
      </c>
      <c r="J25" s="128">
        <f t="shared" si="12"/>
        <v>-82333</v>
      </c>
      <c r="K25" s="128">
        <f t="shared" si="12"/>
        <v>31943</v>
      </c>
      <c r="L25" s="128">
        <f t="shared" si="12"/>
        <v>-97789</v>
      </c>
      <c r="M25" s="128">
        <f t="shared" si="12"/>
        <v>-131560</v>
      </c>
      <c r="N25" s="128">
        <f t="shared" si="12"/>
        <v>-97977</v>
      </c>
      <c r="O25" s="128">
        <f t="shared" si="12"/>
        <v>-152655</v>
      </c>
      <c r="P25" s="128">
        <f t="shared" si="12"/>
        <v>-117313</v>
      </c>
      <c r="Q25" s="128">
        <f t="shared" si="12"/>
        <v>-99336</v>
      </c>
      <c r="R25" s="314">
        <f t="shared" ref="R25:W25" si="13">SUM(R26:R35)</f>
        <v>-106295.50599999999</v>
      </c>
      <c r="S25" s="314">
        <f t="shared" si="13"/>
        <v>-122519.54100000001</v>
      </c>
      <c r="T25" s="314">
        <f t="shared" si="13"/>
        <v>-129618.70300000001</v>
      </c>
      <c r="U25" s="314">
        <f t="shared" si="13"/>
        <v>-116280.91</v>
      </c>
      <c r="V25" s="314">
        <f t="shared" si="13"/>
        <v>-128382.463</v>
      </c>
      <c r="W25" s="314">
        <f t="shared" si="13"/>
        <v>-181438.45299999998</v>
      </c>
      <c r="X25" s="314">
        <f t="shared" ref="X25:AC25" si="14">SUM(X26:X35)</f>
        <v>-130382.20891000002</v>
      </c>
      <c r="Y25" s="314">
        <f t="shared" si="14"/>
        <v>-126027.01128999999</v>
      </c>
      <c r="Z25" s="314">
        <f t="shared" si="14"/>
        <v>-129533.59350000002</v>
      </c>
      <c r="AA25" s="314">
        <f t="shared" si="14"/>
        <v>-189515.00516</v>
      </c>
      <c r="AB25" s="314">
        <f t="shared" si="14"/>
        <v>-161448.55869999997</v>
      </c>
      <c r="AC25" s="314">
        <f t="shared" si="14"/>
        <v>-140112.97311999998</v>
      </c>
    </row>
    <row r="26" spans="1:29">
      <c r="A26" s="115" t="s">
        <v>875</v>
      </c>
      <c r="B26" s="115" t="s">
        <v>876</v>
      </c>
      <c r="C26" s="116"/>
      <c r="D26" s="127">
        <v>-22099</v>
      </c>
      <c r="E26" s="127">
        <v>-16215</v>
      </c>
      <c r="F26" s="127">
        <v>-17441.666250000002</v>
      </c>
      <c r="G26" s="127">
        <v>-23486.863399999995</v>
      </c>
      <c r="H26" s="127">
        <v>-19264.449370000006</v>
      </c>
      <c r="I26" s="127">
        <v>-20971</v>
      </c>
      <c r="J26" s="127">
        <v>-18287</v>
      </c>
      <c r="K26" s="127">
        <v>-26730</v>
      </c>
      <c r="L26" s="127">
        <v>-20790</v>
      </c>
      <c r="M26" s="127">
        <v>-19836</v>
      </c>
      <c r="N26" s="127">
        <v>-18918</v>
      </c>
      <c r="O26" s="127">
        <v>-27362</v>
      </c>
      <c r="P26" s="127">
        <v>-21002</v>
      </c>
      <c r="Q26" s="127">
        <v>-26005</v>
      </c>
      <c r="R26" s="312">
        <v>-26372.278999999999</v>
      </c>
      <c r="S26" s="312">
        <v>-21781.154999999999</v>
      </c>
      <c r="T26" s="312">
        <v>-16599.655999999999</v>
      </c>
      <c r="U26" s="312">
        <v>-21539.103999999999</v>
      </c>
      <c r="V26" s="312">
        <v>-22742.475999999999</v>
      </c>
      <c r="W26" s="312">
        <v>-23320.381000000001</v>
      </c>
      <c r="X26" s="312">
        <v>-15825.050999999999</v>
      </c>
      <c r="Y26" s="312">
        <v>-25096.37</v>
      </c>
      <c r="Z26" s="312">
        <v>-22788.78</v>
      </c>
      <c r="AA26" s="312">
        <v>-31120.059000000001</v>
      </c>
      <c r="AB26" s="312">
        <v>-34789.661999999997</v>
      </c>
      <c r="AC26" s="312">
        <v>-34742.745999999999</v>
      </c>
    </row>
    <row r="27" spans="1:29">
      <c r="A27" s="115" t="s">
        <v>877</v>
      </c>
      <c r="B27" s="115" t="s">
        <v>877</v>
      </c>
      <c r="C27" s="116"/>
      <c r="D27" s="127">
        <v>-1147</v>
      </c>
      <c r="E27" s="127">
        <v>-769</v>
      </c>
      <c r="F27" s="127">
        <v>-1445.48669</v>
      </c>
      <c r="G27" s="127">
        <v>-1221.8397600000008</v>
      </c>
      <c r="H27" s="127">
        <v>-1200.5161400000002</v>
      </c>
      <c r="I27" s="127">
        <v>-1080</v>
      </c>
      <c r="J27" s="127">
        <v>-1119</v>
      </c>
      <c r="K27" s="127">
        <v>-6851</v>
      </c>
      <c r="L27" s="127">
        <v>-3636</v>
      </c>
      <c r="M27" s="127">
        <v>-3204</v>
      </c>
      <c r="N27" s="127">
        <v>-4557</v>
      </c>
      <c r="O27" s="127">
        <v>-4707</v>
      </c>
      <c r="P27" s="127">
        <v>-2491</v>
      </c>
      <c r="Q27" s="127">
        <v>-3313</v>
      </c>
      <c r="R27" s="312">
        <v>-1750.5350000000001</v>
      </c>
      <c r="S27" s="312">
        <v>-5308.9440000000004</v>
      </c>
      <c r="T27" s="312">
        <v>-2155.7379999999998</v>
      </c>
      <c r="U27" s="312">
        <v>-1976.944</v>
      </c>
      <c r="V27" s="312">
        <v>-4736.866</v>
      </c>
      <c r="W27" s="312">
        <v>-3579.41</v>
      </c>
      <c r="X27" s="312">
        <v>-3246.7809999999999</v>
      </c>
      <c r="Y27" s="312">
        <v>-2165.9119999999998</v>
      </c>
      <c r="Z27" s="312">
        <v>-3048.9839999999999</v>
      </c>
      <c r="AA27" s="312">
        <v>-2723.5230000000001</v>
      </c>
      <c r="AB27" s="312">
        <v>-3964.6660000000002</v>
      </c>
      <c r="AC27" s="312">
        <v>-4185.7849999999999</v>
      </c>
    </row>
    <row r="28" spans="1:29">
      <c r="A28" s="115" t="s">
        <v>878</v>
      </c>
      <c r="B28" s="115" t="s">
        <v>879</v>
      </c>
      <c r="C28" s="317"/>
      <c r="D28" s="127">
        <v>-39392</v>
      </c>
      <c r="E28" s="127">
        <v>-39328</v>
      </c>
      <c r="F28" s="127">
        <v>-37576.353559999989</v>
      </c>
      <c r="G28" s="127">
        <v>-46490.665720000005</v>
      </c>
      <c r="H28" s="127">
        <v>-48270.400170000023</v>
      </c>
      <c r="I28" s="127">
        <v>-48467</v>
      </c>
      <c r="J28" s="127">
        <v>-51260</v>
      </c>
      <c r="K28" s="127">
        <v>-63292</v>
      </c>
      <c r="L28" s="127">
        <v>-56857</v>
      </c>
      <c r="M28" s="127">
        <v>-61855</v>
      </c>
      <c r="N28" s="127">
        <v>-55602</v>
      </c>
      <c r="O28" s="127">
        <v>-72531</v>
      </c>
      <c r="P28" s="127">
        <v>-55653</v>
      </c>
      <c r="Q28" s="127">
        <v>-46894</v>
      </c>
      <c r="R28" s="312">
        <v>-56392.178</v>
      </c>
      <c r="S28" s="312">
        <v>-72605.02</v>
      </c>
      <c r="T28" s="312">
        <v>-71904.98</v>
      </c>
      <c r="U28" s="312">
        <v>-66198.767000000007</v>
      </c>
      <c r="V28" s="312">
        <v>-69754.656000000003</v>
      </c>
      <c r="W28" s="312">
        <v>-70248.773000000001</v>
      </c>
      <c r="X28" s="312">
        <v>-71082.062000000005</v>
      </c>
      <c r="Y28" s="312">
        <v>-69230.180999999997</v>
      </c>
      <c r="Z28" s="312">
        <v>-68544.290999999997</v>
      </c>
      <c r="AA28" s="312">
        <v>-87552.990999999995</v>
      </c>
      <c r="AB28" s="312">
        <v>-69914.429999999993</v>
      </c>
      <c r="AC28" s="312">
        <v>-63881.762000000002</v>
      </c>
    </row>
    <row r="29" spans="1:29">
      <c r="A29" s="115" t="s">
        <v>880</v>
      </c>
      <c r="B29" s="115" t="s">
        <v>881</v>
      </c>
      <c r="C29" s="116"/>
      <c r="D29" s="127">
        <v>-21698</v>
      </c>
      <c r="E29" s="127">
        <v>-24761</v>
      </c>
      <c r="F29" s="127">
        <v>9435.1906499999695</v>
      </c>
      <c r="G29" s="127">
        <v>27729.415180000029</v>
      </c>
      <c r="H29" s="127">
        <v>-10375.064949999996</v>
      </c>
      <c r="I29" s="127">
        <v>-2633</v>
      </c>
      <c r="J29" s="127">
        <v>-9488</v>
      </c>
      <c r="K29" s="127">
        <v>147363</v>
      </c>
      <c r="L29" s="127">
        <v>-13184</v>
      </c>
      <c r="M29" s="127">
        <v>-9981</v>
      </c>
      <c r="N29" s="127">
        <v>-13479</v>
      </c>
      <c r="O29" s="127">
        <v>-41011</v>
      </c>
      <c r="P29" s="127">
        <f>-20542-P30</f>
        <v>-18888.70926</v>
      </c>
      <c r="Q29" s="127">
        <f>-20048-Q30</f>
        <v>-18861.422880000002</v>
      </c>
      <c r="R29" s="312">
        <f>-13261.738-R30</f>
        <v>-13758.974949999998</v>
      </c>
      <c r="S29" s="312">
        <f>-23432.255-S30</f>
        <v>-19080.66891</v>
      </c>
      <c r="T29" s="312">
        <f>-22921.847-T30</f>
        <v>-21821.02706</v>
      </c>
      <c r="U29" s="312">
        <f>-19417.113-U30</f>
        <v>-17550.752950000002</v>
      </c>
      <c r="V29" s="312">
        <f>-21228.195-V30</f>
        <v>-19292.105630000002</v>
      </c>
      <c r="W29" s="312">
        <v>-71384.421750000009</v>
      </c>
      <c r="X29" s="312">
        <v>-26670.634910000004</v>
      </c>
      <c r="Y29" s="312">
        <v>-17023.889770000002</v>
      </c>
      <c r="Z29" s="312">
        <v>-19120.421340000012</v>
      </c>
      <c r="AA29" s="312">
        <v>-28379.446149999996</v>
      </c>
      <c r="AB29" s="312">
        <v>-26656.328659999996</v>
      </c>
      <c r="AC29" s="312">
        <v>-29507.496419999989</v>
      </c>
    </row>
    <row r="30" spans="1:29">
      <c r="A30" s="115" t="s">
        <v>882</v>
      </c>
      <c r="B30" s="115" t="s">
        <v>883</v>
      </c>
      <c r="C30" s="116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>
        <v>-1653.2907400000004</v>
      </c>
      <c r="Q30" s="127">
        <v>-1186.5771199999997</v>
      </c>
      <c r="R30" s="312">
        <v>497.23694999999924</v>
      </c>
      <c r="S30" s="312">
        <v>-4351.5860900000007</v>
      </c>
      <c r="T30" s="312">
        <v>-1100.8199400000001</v>
      </c>
      <c r="U30" s="312">
        <v>-1866.3600500000009</v>
      </c>
      <c r="V30" s="312">
        <v>-1936.0893699999995</v>
      </c>
      <c r="W30" s="312">
        <v>-3217.6202499999995</v>
      </c>
      <c r="X30" s="312">
        <v>-1686.4389999999999</v>
      </c>
      <c r="Y30" s="312">
        <v>-1829.32852</v>
      </c>
      <c r="Z30" s="312">
        <v>-1948.1871599999995</v>
      </c>
      <c r="AA30" s="312">
        <v>-12319.10901</v>
      </c>
      <c r="AB30" s="312">
        <v>-832.35904000000005</v>
      </c>
      <c r="AC30" s="312">
        <v>-2324.5097000000001</v>
      </c>
    </row>
    <row r="31" spans="1:29">
      <c r="A31" s="115" t="s">
        <v>95</v>
      </c>
      <c r="B31" s="115" t="s">
        <v>884</v>
      </c>
      <c r="C31" s="116"/>
      <c r="D31" s="127">
        <v>-2129</v>
      </c>
      <c r="E31" s="127">
        <v>-1391</v>
      </c>
      <c r="F31" s="127">
        <v>-1499.1161500000003</v>
      </c>
      <c r="G31" s="127">
        <v>84.26237999999951</v>
      </c>
      <c r="H31" s="127">
        <v>-2068.4086499999999</v>
      </c>
      <c r="I31" s="127">
        <v>-1273</v>
      </c>
      <c r="J31" s="127">
        <v>-2222</v>
      </c>
      <c r="K31" s="127">
        <v>-1430</v>
      </c>
      <c r="L31" s="127">
        <v>-1730</v>
      </c>
      <c r="M31" s="127">
        <v>-1989</v>
      </c>
      <c r="N31" s="127">
        <v>-2682</v>
      </c>
      <c r="O31" s="127">
        <v>-2987</v>
      </c>
      <c r="P31" s="127">
        <v>-1750</v>
      </c>
      <c r="Q31" s="127">
        <v>9496</v>
      </c>
      <c r="R31" s="312">
        <v>-2150.2710000000002</v>
      </c>
      <c r="S31" s="312">
        <v>-5554.09</v>
      </c>
      <c r="T31" s="312">
        <v>-2506.5529999999999</v>
      </c>
      <c r="U31" s="312">
        <v>-2347.88</v>
      </c>
      <c r="V31" s="312">
        <v>-7154.5389999999998</v>
      </c>
      <c r="W31" s="312">
        <v>-1297.7619999999999</v>
      </c>
      <c r="X31" s="312">
        <v>-3659.4780000000001</v>
      </c>
      <c r="Y31" s="312">
        <v>-6393.9759999999997</v>
      </c>
      <c r="Z31" s="312">
        <v>-3236.7170000000001</v>
      </c>
      <c r="AA31" s="312">
        <v>-4193.4870000000001</v>
      </c>
      <c r="AB31" s="312">
        <v>-6010.4139999999998</v>
      </c>
      <c r="AC31" s="312">
        <v>-6315.3729999999996</v>
      </c>
    </row>
    <row r="32" spans="1:29">
      <c r="A32" s="115" t="s">
        <v>885</v>
      </c>
      <c r="B32" s="115" t="s">
        <v>886</v>
      </c>
      <c r="C32" s="116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312"/>
      <c r="S32" s="312"/>
      <c r="T32" s="312"/>
      <c r="U32" s="312"/>
      <c r="V32" s="312"/>
      <c r="W32" s="312"/>
      <c r="X32" s="312"/>
      <c r="Y32" s="312"/>
      <c r="Z32" s="312"/>
      <c r="AA32" s="312"/>
      <c r="AB32" s="312"/>
      <c r="AC32" s="312"/>
    </row>
    <row r="33" spans="1:29">
      <c r="A33" s="115" t="s">
        <v>887</v>
      </c>
      <c r="B33" s="115" t="s">
        <v>888</v>
      </c>
      <c r="C33" s="116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312"/>
      <c r="S33" s="312"/>
      <c r="T33" s="312"/>
      <c r="U33" s="312"/>
      <c r="V33" s="312"/>
      <c r="W33" s="312"/>
      <c r="X33" s="312"/>
      <c r="Y33" s="312"/>
      <c r="Z33" s="312"/>
      <c r="AA33" s="312"/>
      <c r="AB33" s="312"/>
      <c r="AC33" s="312"/>
    </row>
    <row r="34" spans="1:29">
      <c r="A34" s="115" t="s">
        <v>889</v>
      </c>
      <c r="B34" s="115" t="s">
        <v>890</v>
      </c>
      <c r="C34" s="116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312"/>
      <c r="S34" s="312"/>
      <c r="T34" s="312"/>
      <c r="U34" s="312"/>
      <c r="V34" s="312"/>
      <c r="W34" s="312"/>
      <c r="X34" s="312"/>
      <c r="Y34" s="312"/>
      <c r="Z34" s="312"/>
      <c r="AA34" s="312"/>
      <c r="AB34" s="312"/>
      <c r="AC34" s="312"/>
    </row>
    <row r="35" spans="1:29">
      <c r="A35" s="115" t="s">
        <v>891</v>
      </c>
      <c r="B35" s="115" t="s">
        <v>892</v>
      </c>
      <c r="C35" s="115"/>
      <c r="D35" s="127">
        <v>1730</v>
      </c>
      <c r="E35" s="127">
        <v>-3398</v>
      </c>
      <c r="F35" s="127">
        <v>260.29223000000053</v>
      </c>
      <c r="G35" s="127">
        <v>159768.30309</v>
      </c>
      <c r="H35" s="127">
        <v>-1629.4745600000001</v>
      </c>
      <c r="I35" s="127">
        <v>1279</v>
      </c>
      <c r="J35" s="127">
        <v>43</v>
      </c>
      <c r="K35" s="127">
        <v>-17117</v>
      </c>
      <c r="L35" s="127">
        <v>-1592</v>
      </c>
      <c r="M35" s="127">
        <v>-34695</v>
      </c>
      <c r="N35" s="127">
        <v>-2739</v>
      </c>
      <c r="O35" s="127">
        <v>-4057</v>
      </c>
      <c r="P35" s="127">
        <v>-15875</v>
      </c>
      <c r="Q35" s="127">
        <v>-12572</v>
      </c>
      <c r="R35" s="312">
        <v>-6368.5050000000001</v>
      </c>
      <c r="S35" s="312">
        <v>6161.9229999999998</v>
      </c>
      <c r="T35" s="312">
        <v>-13529.929</v>
      </c>
      <c r="U35" s="312">
        <v>-4801.1019999999999</v>
      </c>
      <c r="V35" s="312">
        <v>-2765.7310000000002</v>
      </c>
      <c r="W35" s="312">
        <v>-8390.0849999999991</v>
      </c>
      <c r="X35" s="312">
        <v>-8211.7630000000008</v>
      </c>
      <c r="Y35" s="312">
        <v>-4287.3540000000003</v>
      </c>
      <c r="Z35" s="312">
        <v>-10846.213</v>
      </c>
      <c r="AA35" s="312">
        <v>-23226.39</v>
      </c>
      <c r="AB35" s="312">
        <v>-19280.699000000001</v>
      </c>
      <c r="AC35" s="312">
        <v>844.69899999999996</v>
      </c>
    </row>
    <row r="36" spans="1:29">
      <c r="A36" s="455" t="s">
        <v>722</v>
      </c>
      <c r="B36" s="455" t="s">
        <v>722</v>
      </c>
      <c r="C36" s="307"/>
      <c r="D36" s="452">
        <f>D24+D25</f>
        <v>84709</v>
      </c>
      <c r="E36" s="452">
        <f t="shared" ref="E36:Q36" si="15">E24+E25</f>
        <v>70102</v>
      </c>
      <c r="F36" s="452">
        <f t="shared" si="15"/>
        <v>-5032.6214999999647</v>
      </c>
      <c r="G36" s="452">
        <f t="shared" si="15"/>
        <v>700231.59391000029</v>
      </c>
      <c r="H36" s="452">
        <f t="shared" si="15"/>
        <v>128910.32233000021</v>
      </c>
      <c r="I36" s="452">
        <f t="shared" si="15"/>
        <v>155253</v>
      </c>
      <c r="J36" s="452">
        <f t="shared" si="15"/>
        <v>158271</v>
      </c>
      <c r="K36" s="452">
        <f t="shared" si="15"/>
        <v>328464</v>
      </c>
      <c r="L36" s="452">
        <f t="shared" si="15"/>
        <v>129943</v>
      </c>
      <c r="M36" s="452">
        <f t="shared" si="15"/>
        <v>123211</v>
      </c>
      <c r="N36" s="452">
        <f t="shared" si="15"/>
        <v>147496</v>
      </c>
      <c r="O36" s="452">
        <f t="shared" si="15"/>
        <v>122464</v>
      </c>
      <c r="P36" s="452">
        <f t="shared" si="15"/>
        <v>149374</v>
      </c>
      <c r="Q36" s="452">
        <f t="shared" si="15"/>
        <v>210959</v>
      </c>
      <c r="R36" s="464">
        <f t="shared" ref="R36:X36" si="16">R24+R25</f>
        <v>180402.17099999991</v>
      </c>
      <c r="S36" s="464">
        <f t="shared" si="16"/>
        <v>239287.05799999979</v>
      </c>
      <c r="T36" s="464">
        <f t="shared" si="16"/>
        <v>203078.86200000017</v>
      </c>
      <c r="U36" s="464">
        <f t="shared" si="16"/>
        <v>218772.89500000016</v>
      </c>
      <c r="V36" s="464">
        <f t="shared" si="16"/>
        <v>247618.67200000025</v>
      </c>
      <c r="W36" s="464">
        <f t="shared" si="16"/>
        <v>180152.60700000008</v>
      </c>
      <c r="X36" s="464">
        <f t="shared" si="16"/>
        <v>208056.6120900001</v>
      </c>
      <c r="Y36" s="464">
        <f>Y18+Y19+Y25</f>
        <v>268869.10271000006</v>
      </c>
      <c r="Z36" s="464">
        <f>Z18+Z19+Z25</f>
        <v>293209.43749999971</v>
      </c>
      <c r="AA36" s="464">
        <f>AA18+AA19+AA25</f>
        <v>451835.63383999973</v>
      </c>
      <c r="AB36" s="464">
        <f>AB18+AB19+AB25</f>
        <v>249165.6102999998</v>
      </c>
      <c r="AC36" s="464">
        <f>AC18+AC19+AC25</f>
        <v>291704.81487999985</v>
      </c>
    </row>
    <row r="37" spans="1:29" ht="15" thickBot="1">
      <c r="A37" s="115" t="s">
        <v>893</v>
      </c>
      <c r="B37" s="115" t="s">
        <v>894</v>
      </c>
      <c r="C37" s="115"/>
      <c r="D37" s="127">
        <v>-22227</v>
      </c>
      <c r="E37" s="127">
        <v>-22656</v>
      </c>
      <c r="F37" s="127">
        <v>-21027.334939999997</v>
      </c>
      <c r="G37" s="127">
        <v>-79515.336040000009</v>
      </c>
      <c r="H37" s="127">
        <v>-22071.18519</v>
      </c>
      <c r="I37" s="127">
        <v>-23542</v>
      </c>
      <c r="J37" s="127">
        <v>35423</v>
      </c>
      <c r="K37" s="127">
        <v>-25423</v>
      </c>
      <c r="L37" s="127">
        <v>-22647</v>
      </c>
      <c r="M37" s="127">
        <v>-26968</v>
      </c>
      <c r="N37" s="127">
        <v>-26402</v>
      </c>
      <c r="O37" s="127">
        <v>-34908</v>
      </c>
      <c r="P37" s="127">
        <v>-22432</v>
      </c>
      <c r="Q37" s="127">
        <v>-36272</v>
      </c>
      <c r="R37" s="312">
        <v>-36706.370000000003</v>
      </c>
      <c r="S37" s="312">
        <v>-38066.555</v>
      </c>
      <c r="T37" s="312">
        <v>-38085.997000000003</v>
      </c>
      <c r="U37" s="312">
        <v>-41217.720999999998</v>
      </c>
      <c r="V37" s="312">
        <v>-40757.019</v>
      </c>
      <c r="W37" s="312">
        <v>-42765.83</v>
      </c>
      <c r="X37" s="312">
        <v>-48617.82</v>
      </c>
      <c r="Y37" s="312">
        <v>-45841.209000000003</v>
      </c>
      <c r="Z37" s="312">
        <v>-47990.055</v>
      </c>
      <c r="AA37" s="312">
        <v>-60734.355000000003</v>
      </c>
      <c r="AB37" s="312">
        <v>-54381.05</v>
      </c>
      <c r="AC37" s="312">
        <v>-57567.572</v>
      </c>
    </row>
    <row r="38" spans="1:29" ht="15" thickBot="1">
      <c r="A38" s="118" t="s">
        <v>895</v>
      </c>
      <c r="B38" s="118" t="s">
        <v>896</v>
      </c>
      <c r="C38" s="115"/>
      <c r="D38" s="128">
        <v>62481.999999999942</v>
      </c>
      <c r="E38" s="128">
        <v>47447</v>
      </c>
      <c r="F38" s="128">
        <v>-26059.956439999962</v>
      </c>
      <c r="G38" s="128">
        <v>620713.49872000038</v>
      </c>
      <c r="H38" s="128">
        <v>106839.43503000026</v>
      </c>
      <c r="I38" s="128">
        <v>131711</v>
      </c>
      <c r="J38" s="128">
        <v>193694</v>
      </c>
      <c r="K38" s="128">
        <v>303040</v>
      </c>
      <c r="L38" s="128">
        <v>107296</v>
      </c>
      <c r="M38" s="119">
        <f t="shared" ref="M38:R38" si="17">SUM(M36:M37)</f>
        <v>96243</v>
      </c>
      <c r="N38" s="119">
        <f t="shared" si="17"/>
        <v>121094</v>
      </c>
      <c r="O38" s="119">
        <f t="shared" si="17"/>
        <v>87556</v>
      </c>
      <c r="P38" s="119">
        <f t="shared" si="17"/>
        <v>126942</v>
      </c>
      <c r="Q38" s="119">
        <f t="shared" si="17"/>
        <v>174687</v>
      </c>
      <c r="R38" s="119">
        <f t="shared" si="17"/>
        <v>143695.80099999992</v>
      </c>
      <c r="S38" s="119">
        <f t="shared" ref="S38:Y38" si="18">SUM(S36:S37)</f>
        <v>201220.50299999979</v>
      </c>
      <c r="T38" s="119">
        <f t="shared" si="18"/>
        <v>164992.86500000017</v>
      </c>
      <c r="U38" s="119">
        <f t="shared" si="18"/>
        <v>177555.17400000017</v>
      </c>
      <c r="V38" s="119">
        <f t="shared" si="18"/>
        <v>206861.65300000025</v>
      </c>
      <c r="W38" s="119">
        <f t="shared" si="18"/>
        <v>137386.77700000006</v>
      </c>
      <c r="X38" s="119">
        <f t="shared" si="18"/>
        <v>159438.79209000009</v>
      </c>
      <c r="Y38" s="119">
        <f t="shared" si="18"/>
        <v>223027.89371000006</v>
      </c>
      <c r="Z38" s="119">
        <f t="shared" ref="Z38:AB38" si="19">SUM(Z36:Z37)</f>
        <v>245219.38249999972</v>
      </c>
      <c r="AA38" s="119">
        <f t="shared" si="19"/>
        <v>391101.27883999975</v>
      </c>
      <c r="AB38" s="119">
        <f t="shared" si="19"/>
        <v>194784.56029999978</v>
      </c>
      <c r="AC38" s="119">
        <f>SUM(AC36:AC37)</f>
        <v>234137.24287999986</v>
      </c>
    </row>
    <row r="39" spans="1:29" ht="15" thickBot="1">
      <c r="A39" s="118" t="s">
        <v>725</v>
      </c>
      <c r="B39" s="118" t="s">
        <v>897</v>
      </c>
      <c r="C39" s="115"/>
      <c r="D39" s="318">
        <v>-36940.999999999985</v>
      </c>
      <c r="E39" s="318">
        <v>-27497</v>
      </c>
      <c r="F39" s="318">
        <v>-3476.2896099999925</v>
      </c>
      <c r="G39" s="318">
        <v>12779.505839999987</v>
      </c>
      <c r="H39" s="318">
        <v>-16594.275810000006</v>
      </c>
      <c r="I39" s="318">
        <v>-16182</v>
      </c>
      <c r="J39" s="318">
        <v>-24520</v>
      </c>
      <c r="K39" s="318">
        <v>-46950</v>
      </c>
      <c r="L39" s="318">
        <v>-36488</v>
      </c>
      <c r="M39" s="319">
        <f t="shared" ref="M39:R39" si="20">M40+M41</f>
        <v>-64616</v>
      </c>
      <c r="N39" s="319">
        <f t="shared" si="20"/>
        <v>-32234</v>
      </c>
      <c r="O39" s="319">
        <f t="shared" si="20"/>
        <v>-24247</v>
      </c>
      <c r="P39" s="319">
        <f t="shared" si="20"/>
        <v>-94133</v>
      </c>
      <c r="Q39" s="319">
        <f t="shared" si="20"/>
        <v>-87608</v>
      </c>
      <c r="R39" s="319">
        <f t="shared" si="20"/>
        <v>-69128.52</v>
      </c>
      <c r="S39" s="319">
        <f t="shared" ref="S39:X39" si="21">S40+S41</f>
        <v>-101887.352</v>
      </c>
      <c r="T39" s="319">
        <f t="shared" si="21"/>
        <v>-90055.517999999996</v>
      </c>
      <c r="U39" s="319">
        <f t="shared" si="21"/>
        <v>-78208.902999999991</v>
      </c>
      <c r="V39" s="319">
        <f t="shared" si="21"/>
        <v>-78338.991999999984</v>
      </c>
      <c r="W39" s="319">
        <f t="shared" si="21"/>
        <v>-68387.170000000013</v>
      </c>
      <c r="X39" s="319">
        <f t="shared" si="21"/>
        <v>-105956.829</v>
      </c>
      <c r="Y39" s="319">
        <f>SUM(Y40:Y41)</f>
        <v>-86207.972999999998</v>
      </c>
      <c r="Z39" s="319">
        <f>SUM(Z40:Z41)</f>
        <v>-112200.71899999998</v>
      </c>
      <c r="AA39" s="319">
        <f>SUM(AA40:AA41)</f>
        <v>-95057.926999999967</v>
      </c>
      <c r="AB39" s="319">
        <f>SUM(AB40:AB41)</f>
        <v>-96427.322999999975</v>
      </c>
      <c r="AC39" s="319">
        <f>SUM(AC40:AC41)</f>
        <v>-98355.41</v>
      </c>
    </row>
    <row r="40" spans="1:29">
      <c r="A40" s="115" t="s">
        <v>727</v>
      </c>
      <c r="B40" s="115" t="s">
        <v>898</v>
      </c>
      <c r="C40" s="115"/>
      <c r="D40" s="127">
        <v>122854</v>
      </c>
      <c r="E40" s="127">
        <v>52584</v>
      </c>
      <c r="F40" s="127">
        <v>53727.691850000003</v>
      </c>
      <c r="G40" s="127">
        <v>7376.4172299999955</v>
      </c>
      <c r="H40" s="127">
        <v>93568.579899999997</v>
      </c>
      <c r="I40" s="127">
        <v>58389</v>
      </c>
      <c r="J40" s="127">
        <v>145826</v>
      </c>
      <c r="K40" s="127">
        <v>65218</v>
      </c>
      <c r="L40" s="127">
        <v>226126</v>
      </c>
      <c r="M40" s="127">
        <v>172375</v>
      </c>
      <c r="N40" s="127">
        <v>71253</v>
      </c>
      <c r="O40" s="127">
        <v>95734</v>
      </c>
      <c r="P40" s="127">
        <v>127592</v>
      </c>
      <c r="Q40" s="127">
        <v>128461</v>
      </c>
      <c r="R40" s="312">
        <v>99520.966</v>
      </c>
      <c r="S40" s="312">
        <v>71668.153000000006</v>
      </c>
      <c r="T40" s="312">
        <v>106781.001</v>
      </c>
      <c r="U40" s="312">
        <v>101811.726</v>
      </c>
      <c r="V40" s="312">
        <v>55772.224000000002</v>
      </c>
      <c r="W40" s="312">
        <v>193646.76699999999</v>
      </c>
      <c r="X40" s="312">
        <v>204959.59099999999</v>
      </c>
      <c r="Y40" s="312">
        <v>111688.94899999999</v>
      </c>
      <c r="Z40" s="312">
        <v>45689.355000000003</v>
      </c>
      <c r="AA40" s="312">
        <v>270091.32400000002</v>
      </c>
      <c r="AB40" s="312">
        <v>293610.30900000001</v>
      </c>
      <c r="AC40" s="312">
        <v>109682.644</v>
      </c>
    </row>
    <row r="41" spans="1:29" ht="15" thickBot="1">
      <c r="A41" s="115" t="s">
        <v>744</v>
      </c>
      <c r="B41" s="115" t="s">
        <v>745</v>
      </c>
      <c r="C41" s="115"/>
      <c r="D41" s="127">
        <v>-159795</v>
      </c>
      <c r="E41" s="127">
        <v>-80081</v>
      </c>
      <c r="F41" s="127">
        <v>-57203.981459999995</v>
      </c>
      <c r="G41" s="127">
        <v>5403.0886099999925</v>
      </c>
      <c r="H41" s="127">
        <v>-110162.85571</v>
      </c>
      <c r="I41" s="127">
        <v>-74571</v>
      </c>
      <c r="J41" s="127">
        <v>-170346</v>
      </c>
      <c r="K41" s="127">
        <v>-112168</v>
      </c>
      <c r="L41" s="127">
        <v>-262614</v>
      </c>
      <c r="M41" s="127">
        <v>-236991</v>
      </c>
      <c r="N41" s="127">
        <v>-103487</v>
      </c>
      <c r="O41" s="127">
        <v>-119981</v>
      </c>
      <c r="P41" s="127">
        <v>-221725</v>
      </c>
      <c r="Q41" s="127">
        <v>-216069</v>
      </c>
      <c r="R41" s="312">
        <v>-168649.486</v>
      </c>
      <c r="S41" s="312">
        <v>-173555.505</v>
      </c>
      <c r="T41" s="312">
        <v>-196836.519</v>
      </c>
      <c r="U41" s="312">
        <v>-180020.62899999999</v>
      </c>
      <c r="V41" s="312">
        <v>-134111.21599999999</v>
      </c>
      <c r="W41" s="312">
        <v>-262033.93700000001</v>
      </c>
      <c r="X41" s="312">
        <v>-310916.42</v>
      </c>
      <c r="Y41" s="312">
        <v>-197896.92199999999</v>
      </c>
      <c r="Z41" s="312">
        <v>-157890.07399999999</v>
      </c>
      <c r="AA41" s="312">
        <v>-365149.25099999999</v>
      </c>
      <c r="AB41" s="312">
        <v>-390037.63199999998</v>
      </c>
      <c r="AC41" s="312">
        <v>-208038.054</v>
      </c>
    </row>
    <row r="42" spans="1:29" ht="15" thickBot="1">
      <c r="A42" s="118" t="s">
        <v>899</v>
      </c>
      <c r="B42" s="118" t="s">
        <v>724</v>
      </c>
      <c r="C42" s="115"/>
      <c r="D42" s="128">
        <v>25540.999999999953</v>
      </c>
      <c r="E42" s="128">
        <v>19950</v>
      </c>
      <c r="F42" s="128">
        <v>-29536.246049999954</v>
      </c>
      <c r="G42" s="128">
        <v>633493.00456000038</v>
      </c>
      <c r="H42" s="128">
        <v>90244.159220000249</v>
      </c>
      <c r="I42" s="128">
        <v>115529</v>
      </c>
      <c r="J42" s="128">
        <v>169174</v>
      </c>
      <c r="K42" s="128">
        <v>256090</v>
      </c>
      <c r="L42" s="128">
        <v>70808</v>
      </c>
      <c r="M42" s="119">
        <f t="shared" ref="M42:S42" si="22">M38+M39</f>
        <v>31627</v>
      </c>
      <c r="N42" s="119">
        <f t="shared" si="22"/>
        <v>88860</v>
      </c>
      <c r="O42" s="119">
        <f t="shared" si="22"/>
        <v>63309</v>
      </c>
      <c r="P42" s="119">
        <f t="shared" si="22"/>
        <v>32809</v>
      </c>
      <c r="Q42" s="119">
        <f t="shared" si="22"/>
        <v>87079</v>
      </c>
      <c r="R42" s="119">
        <f t="shared" si="22"/>
        <v>74567.280999999915</v>
      </c>
      <c r="S42" s="119">
        <f t="shared" si="22"/>
        <v>99333.150999999794</v>
      </c>
      <c r="T42" s="119">
        <f>T38+T39</f>
        <v>74937.347000000169</v>
      </c>
      <c r="U42" s="119">
        <f>U38+U39</f>
        <v>99346.271000000183</v>
      </c>
      <c r="V42" s="119">
        <f>V38+V39</f>
        <v>128522.66100000027</v>
      </c>
      <c r="W42" s="119">
        <f>W38+W39</f>
        <v>68999.607000000047</v>
      </c>
      <c r="X42" s="119">
        <f>X38+X39</f>
        <v>53481.963090000092</v>
      </c>
      <c r="Y42" s="119">
        <f>SUM(Y38:Y39)</f>
        <v>136819.92071000006</v>
      </c>
      <c r="Z42" s="119">
        <f>SUM(Z38:Z39)</f>
        <v>133018.66349999973</v>
      </c>
      <c r="AA42" s="119">
        <f>SUM(AA38:AA39)</f>
        <v>296043.35183999978</v>
      </c>
      <c r="AB42" s="119">
        <f>SUM(AB38:AB39)</f>
        <v>98357.237299999804</v>
      </c>
      <c r="AC42" s="119">
        <f>SUM(AC38:AC39)</f>
        <v>135781.83287999986</v>
      </c>
    </row>
    <row r="43" spans="1:29">
      <c r="A43" s="115" t="s">
        <v>768</v>
      </c>
      <c r="B43" s="115" t="s">
        <v>769</v>
      </c>
      <c r="C43" s="115"/>
      <c r="D43" s="127">
        <v>0</v>
      </c>
      <c r="E43" s="127"/>
      <c r="F43" s="127"/>
      <c r="G43" s="127">
        <v>-27655.668160000001</v>
      </c>
      <c r="H43" s="127">
        <v>-2178.4914399999998</v>
      </c>
      <c r="I43" s="127">
        <v>-9553</v>
      </c>
      <c r="J43" s="127">
        <v>-5589</v>
      </c>
      <c r="K43" s="127">
        <v>301</v>
      </c>
      <c r="L43" s="127">
        <v>-10609</v>
      </c>
      <c r="M43" s="127">
        <v>-2739</v>
      </c>
      <c r="N43" s="127">
        <v>-5344</v>
      </c>
      <c r="O43" s="127">
        <v>-3857</v>
      </c>
      <c r="P43" s="127">
        <v>-4491</v>
      </c>
      <c r="Q43" s="127">
        <v>-6640</v>
      </c>
      <c r="R43" s="312">
        <v>-4866.9930000000004</v>
      </c>
      <c r="S43" s="312">
        <v>-3075.3389999999999</v>
      </c>
      <c r="T43" s="312">
        <v>-4784.9080000000004</v>
      </c>
      <c r="U43" s="312">
        <v>740.55100000000004</v>
      </c>
      <c r="V43" s="312">
        <v>-9602.9940000000006</v>
      </c>
      <c r="W43" s="312">
        <v>2676.9879999999998</v>
      </c>
      <c r="X43" s="312">
        <v>-13203.915000000001</v>
      </c>
      <c r="Y43" s="312">
        <v>-4902.4570000000003</v>
      </c>
      <c r="Z43" s="312">
        <v>-9969.9619999999995</v>
      </c>
      <c r="AA43" s="312">
        <v>-30478.74</v>
      </c>
      <c r="AB43" s="312">
        <v>-5539.5720000000001</v>
      </c>
      <c r="AC43" s="312">
        <v>-6509.7740000000003</v>
      </c>
    </row>
    <row r="44" spans="1:29">
      <c r="A44" s="115" t="s">
        <v>770</v>
      </c>
      <c r="B44" s="115" t="s">
        <v>771</v>
      </c>
      <c r="C44" s="115"/>
      <c r="D44" s="127">
        <v>0</v>
      </c>
      <c r="E44" s="127"/>
      <c r="F44" s="127"/>
      <c r="G44" s="127">
        <v>-98495.396209999992</v>
      </c>
      <c r="H44" s="127">
        <v>-8493.0087199999998</v>
      </c>
      <c r="I44" s="127">
        <v>-26715</v>
      </c>
      <c r="J44" s="127">
        <v>-22107</v>
      </c>
      <c r="K44" s="127">
        <v>670</v>
      </c>
      <c r="L44" s="127">
        <v>-29620</v>
      </c>
      <c r="M44" s="127">
        <v>-7575</v>
      </c>
      <c r="N44" s="127">
        <v>-15209</v>
      </c>
      <c r="O44" s="127">
        <v>-11148</v>
      </c>
      <c r="P44" s="127">
        <v>-12586</v>
      </c>
      <c r="Q44" s="127">
        <v>-18636</v>
      </c>
      <c r="R44" s="312">
        <v>-13701.191999999999</v>
      </c>
      <c r="S44" s="312">
        <v>-14208.566000000001</v>
      </c>
      <c r="T44" s="312">
        <v>-15678.723</v>
      </c>
      <c r="U44" s="312">
        <v>-576.75300000000004</v>
      </c>
      <c r="V44" s="312">
        <v>-21612.444</v>
      </c>
      <c r="W44" s="312">
        <v>-39292.137999999999</v>
      </c>
      <c r="X44" s="312">
        <v>-36639.061999999998</v>
      </c>
      <c r="Y44" s="312">
        <v>-13562.960999999999</v>
      </c>
      <c r="Z44" s="312">
        <v>-26764.149000000001</v>
      </c>
      <c r="AA44" s="312">
        <v>-84428.198000000004</v>
      </c>
      <c r="AB44" s="312">
        <v>-15410.644</v>
      </c>
      <c r="AC44" s="312">
        <v>-17874.028999999999</v>
      </c>
    </row>
    <row r="45" spans="1:29">
      <c r="A45" s="115" t="s">
        <v>900</v>
      </c>
      <c r="B45" s="115" t="s">
        <v>901</v>
      </c>
      <c r="C45" s="115"/>
      <c r="D45" s="127">
        <v>0</v>
      </c>
      <c r="E45" s="127"/>
      <c r="F45" s="127"/>
      <c r="G45" s="127">
        <v>-2395.76073</v>
      </c>
      <c r="H45" s="127">
        <v>-19876.762139999999</v>
      </c>
      <c r="I45" s="127">
        <v>13076</v>
      </c>
      <c r="J45" s="127">
        <v>487885</v>
      </c>
      <c r="K45" s="127">
        <v>-83093</v>
      </c>
      <c r="L45" s="127">
        <v>24070</v>
      </c>
      <c r="M45" s="127">
        <v>-9039</v>
      </c>
      <c r="N45" s="127">
        <v>-10603</v>
      </c>
      <c r="O45" s="127">
        <v>268</v>
      </c>
      <c r="P45" s="127">
        <v>4639</v>
      </c>
      <c r="Q45" s="127">
        <v>-4953</v>
      </c>
      <c r="R45" s="312">
        <v>-7200.9589999999998</v>
      </c>
      <c r="S45" s="312">
        <v>-11271.21</v>
      </c>
      <c r="T45" s="312">
        <v>-5336.0259999999998</v>
      </c>
      <c r="U45" s="312">
        <v>-34069.89</v>
      </c>
      <c r="V45" s="312">
        <v>-13135.901</v>
      </c>
      <c r="W45" s="312">
        <v>57228.13</v>
      </c>
      <c r="X45" s="312">
        <v>31447.806</v>
      </c>
      <c r="Y45" s="312">
        <v>-28640.034</v>
      </c>
      <c r="Z45" s="312">
        <v>-8904.7340000000004</v>
      </c>
      <c r="AA45" s="312">
        <v>14339.950999999999</v>
      </c>
      <c r="AB45" s="312">
        <v>-52200.387999999999</v>
      </c>
      <c r="AC45" s="312">
        <v>-21935.312000000002</v>
      </c>
    </row>
    <row r="46" spans="1:29" ht="15" thickBot="1">
      <c r="A46" s="115" t="s">
        <v>772</v>
      </c>
      <c r="B46" s="115" t="s">
        <v>902</v>
      </c>
      <c r="C46" s="115"/>
      <c r="D46" s="127">
        <v>0</v>
      </c>
      <c r="E46" s="127"/>
      <c r="F46" s="127"/>
      <c r="G46" s="127">
        <v>98495.396209999992</v>
      </c>
      <c r="H46" s="127">
        <v>8493.0087199999998</v>
      </c>
      <c r="I46" s="127">
        <v>20220</v>
      </c>
      <c r="J46" s="127">
        <v>22107</v>
      </c>
      <c r="K46" s="127">
        <v>2877</v>
      </c>
      <c r="L46" s="127">
        <v>12873</v>
      </c>
      <c r="M46" s="127">
        <v>7485</v>
      </c>
      <c r="N46" s="127">
        <v>14071</v>
      </c>
      <c r="O46" s="127">
        <v>17630</v>
      </c>
      <c r="P46" s="127">
        <v>8602</v>
      </c>
      <c r="Q46" s="127">
        <v>16705</v>
      </c>
      <c r="R46" s="312">
        <v>13087.92</v>
      </c>
      <c r="S46" s="312">
        <v>19577.245999999999</v>
      </c>
      <c r="T46" s="312">
        <v>15678.723</v>
      </c>
      <c r="U46" s="312">
        <v>576.75300000000004</v>
      </c>
      <c r="V46" s="312">
        <v>21537.026000000002</v>
      </c>
      <c r="W46" s="312">
        <v>37934.027999999998</v>
      </c>
      <c r="X46" s="312">
        <v>11774.662</v>
      </c>
      <c r="Y46" s="312">
        <v>6123.1090000000004</v>
      </c>
      <c r="Z46" s="312">
        <v>10651.778</v>
      </c>
      <c r="AA46" s="312">
        <v>79057.506999999998</v>
      </c>
      <c r="AB46" s="312">
        <v>7839.3119999999999</v>
      </c>
      <c r="AC46" s="312">
        <v>21979.914000000001</v>
      </c>
    </row>
    <row r="47" spans="1:29" ht="15" thickBot="1">
      <c r="A47" s="118" t="s">
        <v>903</v>
      </c>
      <c r="B47" s="118" t="s">
        <v>777</v>
      </c>
      <c r="C47" s="115"/>
      <c r="D47" s="320">
        <v>25540.999999999953</v>
      </c>
      <c r="E47" s="320">
        <v>19950</v>
      </c>
      <c r="F47" s="320">
        <v>-29536.246049999954</v>
      </c>
      <c r="G47" s="320">
        <v>603441.5756700004</v>
      </c>
      <c r="H47" s="320">
        <v>68188.905640000259</v>
      </c>
      <c r="I47" s="320">
        <v>112557</v>
      </c>
      <c r="J47" s="320">
        <v>651470</v>
      </c>
      <c r="K47" s="320">
        <v>176845</v>
      </c>
      <c r="L47" s="320">
        <v>67522</v>
      </c>
      <c r="M47" s="321">
        <f t="shared" ref="M47:S47" si="23">SUM(M42:M46)</f>
        <v>19759</v>
      </c>
      <c r="N47" s="321">
        <f t="shared" si="23"/>
        <v>71775</v>
      </c>
      <c r="O47" s="321">
        <f t="shared" si="23"/>
        <v>66202</v>
      </c>
      <c r="P47" s="321">
        <f t="shared" si="23"/>
        <v>28973</v>
      </c>
      <c r="Q47" s="321">
        <f t="shared" si="23"/>
        <v>73555</v>
      </c>
      <c r="R47" s="321">
        <f t="shared" si="23"/>
        <v>61886.056999999913</v>
      </c>
      <c r="S47" s="321">
        <f t="shared" si="23"/>
        <v>90355.281999999788</v>
      </c>
      <c r="T47" s="321">
        <f t="shared" ref="T47:Y47" si="24">SUM(T42:T46)</f>
        <v>64816.413000000175</v>
      </c>
      <c r="U47" s="321">
        <f t="shared" si="24"/>
        <v>66016.93200000019</v>
      </c>
      <c r="V47" s="321">
        <f t="shared" si="24"/>
        <v>105708.34800000026</v>
      </c>
      <c r="W47" s="321">
        <f t="shared" si="24"/>
        <v>127546.61500000005</v>
      </c>
      <c r="X47" s="321">
        <f t="shared" si="24"/>
        <v>46861.454090000087</v>
      </c>
      <c r="Y47" s="321">
        <f t="shared" si="24"/>
        <v>95837.577710000071</v>
      </c>
      <c r="Z47" s="321">
        <f t="shared" ref="Z47:AB47" si="25">SUM(Z42:Z46)</f>
        <v>98031.596499999738</v>
      </c>
      <c r="AA47" s="321">
        <f t="shared" si="25"/>
        <v>274533.8718399998</v>
      </c>
      <c r="AB47" s="321">
        <f t="shared" si="25"/>
        <v>33045.945299999803</v>
      </c>
      <c r="AC47" s="321">
        <f>SUM(AC42:AC46)</f>
        <v>111442.63187999986</v>
      </c>
    </row>
  </sheetData>
  <pageMargins left="0.511811024" right="0.511811024" top="0.78740157499999996" bottom="0.78740157499999996" header="0.31496062000000002" footer="0.31496062000000002"/>
  <ignoredErrors>
    <ignoredError sqref="L9:U9" formulaRange="1"/>
  </ignoredErrors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9" tint="0.79998168889431442"/>
  </sheetPr>
  <dimension ref="A7:AK47"/>
  <sheetViews>
    <sheetView zoomScale="70" zoomScaleNormal="70" workbookViewId="0">
      <pane xSplit="2" topLeftCell="S1" activePane="topRight" state="frozen"/>
      <selection pane="topRight" activeCell="S20" sqref="D20:S22"/>
    </sheetView>
  </sheetViews>
  <sheetFormatPr defaultColWidth="9.21875" defaultRowHeight="14.4" outlineLevelCol="1"/>
  <cols>
    <col min="1" max="2" width="44.44140625" style="35" customWidth="1"/>
    <col min="3" max="3" width="0.5546875" style="35" hidden="1" customWidth="1" outlineLevel="1"/>
    <col min="4" max="9" width="9.21875" style="35" hidden="1" customWidth="1" outlineLevel="1"/>
    <col min="10" max="18" width="9.5546875" style="35" hidden="1" customWidth="1" outlineLevel="1"/>
    <col min="19" max="19" width="9.5546875" style="35" bestFit="1" customWidth="1" collapsed="1"/>
    <col min="20" max="23" width="9.5546875" style="35" bestFit="1" customWidth="1"/>
    <col min="24" max="29" width="9.5546875" style="35" customWidth="1"/>
    <col min="30" max="16384" width="9.21875" style="35"/>
  </cols>
  <sheetData>
    <row r="7" spans="1:37">
      <c r="A7" s="38" t="s">
        <v>908</v>
      </c>
      <c r="B7" s="38" t="s">
        <v>908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</row>
    <row r="8" spans="1:37" ht="15" thickBot="1">
      <c r="A8" s="448" t="s">
        <v>846</v>
      </c>
      <c r="B8" s="448" t="s">
        <v>847</v>
      </c>
      <c r="D8" s="450" t="s">
        <v>59</v>
      </c>
      <c r="E8" s="450" t="s">
        <v>60</v>
      </c>
      <c r="F8" s="450" t="s">
        <v>61</v>
      </c>
      <c r="G8" s="450" t="s">
        <v>62</v>
      </c>
      <c r="H8" s="450" t="s">
        <v>63</v>
      </c>
      <c r="I8" s="450" t="s">
        <v>64</v>
      </c>
      <c r="J8" s="450" t="s">
        <v>65</v>
      </c>
      <c r="K8" s="450" t="s">
        <v>66</v>
      </c>
      <c r="L8" s="450" t="s">
        <v>67</v>
      </c>
      <c r="M8" s="450" t="s">
        <v>68</v>
      </c>
      <c r="N8" s="450" t="s">
        <v>69</v>
      </c>
      <c r="O8" s="450" t="s">
        <v>70</v>
      </c>
      <c r="P8" s="450" t="s">
        <v>71</v>
      </c>
      <c r="Q8" s="450" t="s">
        <v>72</v>
      </c>
      <c r="R8" s="450" t="s">
        <v>73</v>
      </c>
      <c r="S8" s="450" t="s">
        <v>74</v>
      </c>
      <c r="T8" s="450" t="s">
        <v>75</v>
      </c>
      <c r="U8" s="450" t="s">
        <v>76</v>
      </c>
      <c r="V8" s="450" t="s">
        <v>77</v>
      </c>
      <c r="W8" s="450" t="s">
        <v>78</v>
      </c>
      <c r="X8" s="450" t="s">
        <v>79</v>
      </c>
      <c r="Y8" s="450" t="s">
        <v>80</v>
      </c>
      <c r="Z8" s="460" t="s">
        <v>81</v>
      </c>
      <c r="AA8" s="460" t="s">
        <v>82</v>
      </c>
      <c r="AB8" s="460" t="s">
        <v>83</v>
      </c>
      <c r="AC8" s="460" t="s">
        <v>84</v>
      </c>
      <c r="AD8" s="460" t="s">
        <v>85</v>
      </c>
      <c r="AE8" s="460" t="s">
        <v>86</v>
      </c>
      <c r="AF8" s="460" t="s">
        <v>87</v>
      </c>
      <c r="AG8" s="460" t="s">
        <v>88</v>
      </c>
      <c r="AH8" s="460" t="s">
        <v>2074</v>
      </c>
      <c r="AI8" s="460" t="s">
        <v>2127</v>
      </c>
      <c r="AJ8" s="460" t="s">
        <v>2360</v>
      </c>
      <c r="AK8" s="460" t="s">
        <v>2494</v>
      </c>
    </row>
    <row r="9" spans="1:37" ht="15" thickBot="1">
      <c r="A9" s="118" t="s">
        <v>596</v>
      </c>
      <c r="B9" s="118" t="s">
        <v>848</v>
      </c>
      <c r="D9" s="128">
        <v>658504.35782999895</v>
      </c>
      <c r="E9" s="128">
        <v>1194048.8258400003</v>
      </c>
      <c r="F9" s="128">
        <v>483702.55047000002</v>
      </c>
      <c r="G9" s="128">
        <v>648928.2197299999</v>
      </c>
      <c r="H9" s="128">
        <v>989363.23823000002</v>
      </c>
      <c r="I9" s="128">
        <v>464584</v>
      </c>
      <c r="J9" s="128">
        <v>651564.87428999913</v>
      </c>
      <c r="K9" s="128">
        <v>839076.42932000011</v>
      </c>
      <c r="L9" s="128">
        <v>677030</v>
      </c>
      <c r="M9" s="128">
        <v>597654</v>
      </c>
      <c r="N9" s="128">
        <v>695476.29278999998</v>
      </c>
      <c r="O9" s="128">
        <v>882601.28911999974</v>
      </c>
      <c r="P9" s="128">
        <v>801305.63902</v>
      </c>
      <c r="Q9" s="128">
        <v>889387</v>
      </c>
      <c r="R9" s="128">
        <v>979603</v>
      </c>
      <c r="S9" s="128">
        <v>1152906</v>
      </c>
      <c r="T9" s="128">
        <v>912420</v>
      </c>
      <c r="U9" s="119">
        <f t="shared" ref="U9:AA9" si="0">SUM(U10:U16)</f>
        <v>952571</v>
      </c>
      <c r="V9" s="119">
        <f t="shared" si="0"/>
        <v>852853</v>
      </c>
      <c r="W9" s="119">
        <f t="shared" si="0"/>
        <v>984204</v>
      </c>
      <c r="X9" s="119">
        <f t="shared" si="0"/>
        <v>965315</v>
      </c>
      <c r="Y9" s="119">
        <f t="shared" si="0"/>
        <v>1016584</v>
      </c>
      <c r="Z9" s="119">
        <f t="shared" si="0"/>
        <v>1079422.6300000001</v>
      </c>
      <c r="AA9" s="119">
        <f t="shared" si="0"/>
        <v>1233286.7950000002</v>
      </c>
      <c r="AB9" s="119">
        <f t="shared" ref="AB9:AG9" si="1">SUM(AB10:AB16)</f>
        <v>1068098.9069999999</v>
      </c>
      <c r="AC9" s="119">
        <f t="shared" si="1"/>
        <v>1077693.1809999999</v>
      </c>
      <c r="AD9" s="119">
        <f t="shared" si="1"/>
        <v>1154880.8099999998</v>
      </c>
      <c r="AE9" s="119">
        <f t="shared" si="1"/>
        <v>1108717.6860000002</v>
      </c>
      <c r="AF9" s="119">
        <f t="shared" si="1"/>
        <v>1102941.216</v>
      </c>
      <c r="AG9" s="119">
        <f t="shared" si="1"/>
        <v>1206584.9080000001</v>
      </c>
      <c r="AH9" s="119">
        <f t="shared" ref="AH9:AJ9" si="2">SUM(AH10:AH16)</f>
        <v>1150940.108</v>
      </c>
      <c r="AI9" s="119">
        <f t="shared" si="2"/>
        <v>1237592.0530000003</v>
      </c>
      <c r="AJ9" s="119">
        <f t="shared" si="2"/>
        <v>1277234.9600000002</v>
      </c>
      <c r="AK9" s="119">
        <f>SUM(AK10:AK16)</f>
        <v>1348337.233</v>
      </c>
    </row>
    <row r="10" spans="1:37">
      <c r="A10" s="115" t="s">
        <v>849</v>
      </c>
      <c r="B10" s="115" t="s">
        <v>850</v>
      </c>
      <c r="D10" s="127">
        <v>605768.423669999</v>
      </c>
      <c r="E10" s="127">
        <v>1130371.2183900001</v>
      </c>
      <c r="F10" s="127">
        <v>395036.00101999997</v>
      </c>
      <c r="G10" s="127">
        <v>574280.57511999994</v>
      </c>
      <c r="H10" s="127">
        <v>994324.48768000002</v>
      </c>
      <c r="I10" s="127">
        <v>241757</v>
      </c>
      <c r="J10" s="127">
        <v>484588.5172499991</v>
      </c>
      <c r="K10" s="127">
        <v>713697.48256999999</v>
      </c>
      <c r="L10" s="127">
        <v>610328</v>
      </c>
      <c r="M10" s="127">
        <v>523778</v>
      </c>
      <c r="N10" s="127">
        <v>629074.17027999996</v>
      </c>
      <c r="O10" s="127">
        <v>718179.45228999993</v>
      </c>
      <c r="P10" s="127">
        <v>710148.23576000007</v>
      </c>
      <c r="Q10" s="127">
        <v>733069</v>
      </c>
      <c r="R10" s="127">
        <v>759578</v>
      </c>
      <c r="S10" s="127">
        <v>944395</v>
      </c>
      <c r="T10" s="127">
        <v>770238</v>
      </c>
      <c r="U10" s="127">
        <v>762688</v>
      </c>
      <c r="V10" s="127">
        <v>667352</v>
      </c>
      <c r="W10" s="127">
        <v>773358</v>
      </c>
      <c r="X10" s="127">
        <v>777512</v>
      </c>
      <c r="Y10" s="127">
        <v>773463</v>
      </c>
      <c r="Z10" s="312">
        <v>814701.29</v>
      </c>
      <c r="AA10" s="312">
        <v>888316.57299999997</v>
      </c>
      <c r="AB10" s="312">
        <v>867868.86499999999</v>
      </c>
      <c r="AC10" s="312">
        <v>856200.22499999998</v>
      </c>
      <c r="AD10" s="312">
        <v>872228.87</v>
      </c>
      <c r="AE10" s="312">
        <v>877724.929</v>
      </c>
      <c r="AF10" s="312">
        <v>835685.84400000004</v>
      </c>
      <c r="AG10" s="312">
        <v>908635.82299999997</v>
      </c>
      <c r="AH10" s="312">
        <v>837017.57900000003</v>
      </c>
      <c r="AI10" s="312">
        <v>937084.53300000005</v>
      </c>
      <c r="AJ10" s="312">
        <v>970307.14199999999</v>
      </c>
      <c r="AK10" s="312">
        <v>1077035.9010000001</v>
      </c>
    </row>
    <row r="11" spans="1:37">
      <c r="A11" s="115" t="s">
        <v>602</v>
      </c>
      <c r="B11" s="115" t="s">
        <v>603</v>
      </c>
      <c r="D11" s="127">
        <v>22630.013510000001</v>
      </c>
      <c r="E11" s="127">
        <v>25294.715330000003</v>
      </c>
      <c r="F11" s="127">
        <v>64660.715029999999</v>
      </c>
      <c r="G11" s="127">
        <v>3102.7981299999951</v>
      </c>
      <c r="H11" s="127">
        <v>-861.60133000000019</v>
      </c>
      <c r="I11" s="127">
        <v>1245</v>
      </c>
      <c r="J11" s="127">
        <v>32291.673749999994</v>
      </c>
      <c r="K11" s="127">
        <v>11301.527160000005</v>
      </c>
      <c r="L11" s="127">
        <v>2283</v>
      </c>
      <c r="M11" s="127">
        <v>3146</v>
      </c>
      <c r="N11" s="127">
        <v>12421.68218</v>
      </c>
      <c r="O11" s="127">
        <v>5284.8238499999989</v>
      </c>
      <c r="P11" s="127">
        <v>2728.1345500000002</v>
      </c>
      <c r="Q11" s="127">
        <v>24387</v>
      </c>
      <c r="R11" s="127">
        <v>78418</v>
      </c>
      <c r="S11" s="127">
        <v>52354</v>
      </c>
      <c r="T11" s="127">
        <v>13455</v>
      </c>
      <c r="U11" s="127">
        <v>15871</v>
      </c>
      <c r="V11" s="127">
        <v>28246</v>
      </c>
      <c r="W11" s="127">
        <v>19283</v>
      </c>
      <c r="X11" s="127">
        <v>4076</v>
      </c>
      <c r="Y11" s="127">
        <v>4988</v>
      </c>
      <c r="Z11" s="312">
        <v>16118.569</v>
      </c>
      <c r="AA11" s="312">
        <v>10577.299000000001</v>
      </c>
      <c r="AB11" s="312">
        <v>2455.0100000000002</v>
      </c>
      <c r="AC11" s="312">
        <v>4626.835</v>
      </c>
      <c r="AD11" s="312">
        <v>35435.249000000003</v>
      </c>
      <c r="AE11" s="312">
        <v>28173.361000000001</v>
      </c>
      <c r="AF11" s="312">
        <v>8138.0810000000001</v>
      </c>
      <c r="AG11" s="312">
        <v>24580.923999999999</v>
      </c>
      <c r="AH11" s="312">
        <v>52124.082999999999</v>
      </c>
      <c r="AI11" s="312">
        <v>37413.336000000003</v>
      </c>
      <c r="AJ11" s="312">
        <v>17198.654999999999</v>
      </c>
      <c r="AK11" s="312">
        <v>-1367.412</v>
      </c>
    </row>
    <row r="12" spans="1:37">
      <c r="A12" s="115" t="s">
        <v>606</v>
      </c>
      <c r="B12" s="115" t="s">
        <v>851</v>
      </c>
      <c r="D12" s="127">
        <v>17311.015910000002</v>
      </c>
      <c r="E12" s="127">
        <v>29989.639629999998</v>
      </c>
      <c r="F12" s="127">
        <v>23352.921350000001</v>
      </c>
      <c r="G12" s="127">
        <v>56074.082629999997</v>
      </c>
      <c r="H12" s="127">
        <v>-8189.204099999999</v>
      </c>
      <c r="I12" s="127">
        <v>18702</v>
      </c>
      <c r="J12" s="127">
        <v>74437.803520000001</v>
      </c>
      <c r="K12" s="127">
        <v>86162.329489999989</v>
      </c>
      <c r="L12" s="127">
        <v>34374</v>
      </c>
      <c r="M12" s="127">
        <v>44709</v>
      </c>
      <c r="N12" s="127">
        <v>17550.876029999999</v>
      </c>
      <c r="O12" s="127">
        <v>101661.91868999998</v>
      </c>
      <c r="P12" s="127">
        <v>49428.803540000001</v>
      </c>
      <c r="Q12" s="127">
        <v>58661</v>
      </c>
      <c r="R12" s="127">
        <v>83179</v>
      </c>
      <c r="S12" s="127">
        <v>103102</v>
      </c>
      <c r="T12" s="127">
        <v>70196</v>
      </c>
      <c r="U12" s="127">
        <v>104488</v>
      </c>
      <c r="V12" s="127">
        <v>109945</v>
      </c>
      <c r="W12" s="127">
        <v>141485</v>
      </c>
      <c r="X12" s="127">
        <v>120198</v>
      </c>
      <c r="Y12" s="127">
        <v>168203</v>
      </c>
      <c r="Z12" s="312">
        <v>165968.27799999999</v>
      </c>
      <c r="AA12" s="312">
        <v>216637.40400000001</v>
      </c>
      <c r="AB12" s="312">
        <v>99137.346999999994</v>
      </c>
      <c r="AC12" s="312">
        <v>131567.91399999999</v>
      </c>
      <c r="AD12" s="312">
        <v>150193.47</v>
      </c>
      <c r="AE12" s="312">
        <v>127475.001</v>
      </c>
      <c r="AF12" s="312">
        <v>159905.11499999999</v>
      </c>
      <c r="AG12" s="312">
        <v>178632.98499999999</v>
      </c>
      <c r="AH12" s="312">
        <v>162408.38399999999</v>
      </c>
      <c r="AI12" s="312">
        <v>158689.26500000001</v>
      </c>
      <c r="AJ12" s="312">
        <v>168672.98</v>
      </c>
      <c r="AK12" s="312">
        <v>187843.981</v>
      </c>
    </row>
    <row r="13" spans="1:37">
      <c r="A13" s="115" t="s">
        <v>852</v>
      </c>
      <c r="B13" s="115" t="s">
        <v>853</v>
      </c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>
        <v>2386.6603799999998</v>
      </c>
      <c r="Y13" s="127">
        <v>849.79164999999989</v>
      </c>
      <c r="Z13" s="312">
        <v>952.27114000000017</v>
      </c>
      <c r="AA13" s="312">
        <v>1859.9770800000001</v>
      </c>
      <c r="AB13" s="312">
        <v>3533.2567600000002</v>
      </c>
      <c r="AC13" s="312">
        <v>-4161.0384600000007</v>
      </c>
      <c r="AD13" s="312">
        <v>1513.8794</v>
      </c>
      <c r="AE13" s="312">
        <v>2625.8766900000005</v>
      </c>
      <c r="AF13" s="312">
        <v>4878.5028200000006</v>
      </c>
      <c r="AG13" s="312">
        <v>2268.6436599999997</v>
      </c>
      <c r="AH13" s="312">
        <v>1700.8234100000002</v>
      </c>
      <c r="AI13" s="312">
        <v>1373.0714599999992</v>
      </c>
      <c r="AJ13" s="312">
        <v>4387.9659099999999</v>
      </c>
      <c r="AK13" s="312">
        <v>6264.1441400000012</v>
      </c>
    </row>
    <row r="14" spans="1:37">
      <c r="A14" s="115" t="s">
        <v>854</v>
      </c>
      <c r="B14" s="115" t="s">
        <v>855</v>
      </c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>
        <v>5991.3263099999995</v>
      </c>
      <c r="Y14" s="127">
        <v>6190.4606000000003</v>
      </c>
      <c r="Z14" s="312">
        <v>6096.0565699999997</v>
      </c>
      <c r="AA14" s="312">
        <v>7149.8400300000012</v>
      </c>
      <c r="AB14" s="312">
        <v>7730.5875400000004</v>
      </c>
      <c r="AC14" s="312">
        <v>8337.5267499999991</v>
      </c>
      <c r="AD14" s="312">
        <v>7409.0728500000014</v>
      </c>
      <c r="AE14" s="312">
        <v>7876.3355000000001</v>
      </c>
      <c r="AF14" s="312">
        <v>7684.0588700000008</v>
      </c>
      <c r="AG14" s="312">
        <v>8189.5004700000009</v>
      </c>
      <c r="AH14" s="312">
        <v>7050.3978000000006</v>
      </c>
      <c r="AI14" s="312">
        <v>6942.1250099999979</v>
      </c>
      <c r="AJ14" s="312">
        <v>7904.7813800000004</v>
      </c>
      <c r="AK14" s="312">
        <v>7605.733760000001</v>
      </c>
    </row>
    <row r="15" spans="1:37">
      <c r="A15" s="115" t="s">
        <v>856</v>
      </c>
      <c r="B15" s="115" t="s">
        <v>857</v>
      </c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>
        <v>5439.0387999999994</v>
      </c>
      <c r="Y15" s="127">
        <v>6662.9802</v>
      </c>
      <c r="Z15" s="312">
        <v>6160.2596999999996</v>
      </c>
      <c r="AA15" s="312">
        <v>7018.7930199999992</v>
      </c>
      <c r="AB15" s="312">
        <v>5612.4305099999992</v>
      </c>
      <c r="AC15" s="312">
        <v>6438.2875500000009</v>
      </c>
      <c r="AD15" s="312">
        <v>7349.6944599999997</v>
      </c>
      <c r="AE15" s="312">
        <v>4996.38843</v>
      </c>
      <c r="AF15" s="312">
        <v>5934.3999600000006</v>
      </c>
      <c r="AG15" s="312">
        <v>5871.5118699999994</v>
      </c>
      <c r="AH15" s="312">
        <v>5876.7364600000019</v>
      </c>
      <c r="AI15" s="312">
        <v>5774.5226400000001</v>
      </c>
      <c r="AJ15" s="312">
        <v>5968.3118400000003</v>
      </c>
      <c r="AK15" s="312">
        <v>6120.936709999999</v>
      </c>
    </row>
    <row r="16" spans="1:37" ht="15" thickBot="1">
      <c r="A16" s="115" t="s">
        <v>614</v>
      </c>
      <c r="B16" s="115" t="s">
        <v>615</v>
      </c>
      <c r="D16" s="127">
        <v>12794.904739999998</v>
      </c>
      <c r="E16" s="127">
        <v>8393.2524899999989</v>
      </c>
      <c r="F16" s="127">
        <v>652.91307000000211</v>
      </c>
      <c r="G16" s="127">
        <v>15470.763849999998</v>
      </c>
      <c r="H16" s="127">
        <v>4089.5559799999992</v>
      </c>
      <c r="I16" s="127">
        <v>202880</v>
      </c>
      <c r="J16" s="127">
        <v>60246.879769999992</v>
      </c>
      <c r="K16" s="127">
        <v>27916.120100000036</v>
      </c>
      <c r="L16" s="127">
        <v>30045</v>
      </c>
      <c r="M16" s="127">
        <v>26021</v>
      </c>
      <c r="N16" s="127">
        <v>36429.564299999955</v>
      </c>
      <c r="O16" s="127">
        <v>57475.094289999834</v>
      </c>
      <c r="P16" s="127">
        <v>39000.465169999996</v>
      </c>
      <c r="Q16" s="127">
        <v>73270</v>
      </c>
      <c r="R16" s="127">
        <v>58428</v>
      </c>
      <c r="S16" s="127">
        <v>53055</v>
      </c>
      <c r="T16" s="127">
        <v>58531</v>
      </c>
      <c r="U16" s="127">
        <v>69524</v>
      </c>
      <c r="V16" s="127">
        <v>47310</v>
      </c>
      <c r="W16" s="127">
        <v>50078</v>
      </c>
      <c r="X16" s="127">
        <f>63529-SUM(X13:X15)</f>
        <v>49711.97451</v>
      </c>
      <c r="Y16" s="127">
        <f>69930-SUM(Y13:Y15)</f>
        <v>56226.767550000004</v>
      </c>
      <c r="Z16" s="312">
        <f>82634.493-SUM(Z13:Z15)</f>
        <v>69425.905590000009</v>
      </c>
      <c r="AA16" s="312">
        <f>117755.519-SUM(AA13:AA15)</f>
        <v>101726.90887</v>
      </c>
      <c r="AB16" s="312">
        <f>98637.685-SUM(AB13:AB15)</f>
        <v>81761.410189999995</v>
      </c>
      <c r="AC16" s="312">
        <f>85298.207-SUM(AC13:AC15)</f>
        <v>74683.431159999993</v>
      </c>
      <c r="AD16" s="312">
        <f>97023.221-SUM(AD13:AD15)</f>
        <v>80750.574290000004</v>
      </c>
      <c r="AE16" s="312">
        <v>59845.794380000007</v>
      </c>
      <c r="AF16" s="312">
        <v>80715.214349999995</v>
      </c>
      <c r="AG16" s="312">
        <v>78405.52</v>
      </c>
      <c r="AH16" s="312">
        <v>84762.104330000002</v>
      </c>
      <c r="AI16" s="312">
        <v>90315.199889999989</v>
      </c>
      <c r="AJ16" s="312">
        <v>102795.12387000001</v>
      </c>
      <c r="AK16" s="312">
        <v>64833.948390000005</v>
      </c>
    </row>
    <row r="17" spans="1:37" ht="15" thickBot="1">
      <c r="A17" s="118" t="s">
        <v>858</v>
      </c>
      <c r="B17" s="118" t="s">
        <v>859</v>
      </c>
      <c r="D17" s="128">
        <v>-210301.68807999993</v>
      </c>
      <c r="E17" s="128">
        <v>-268008.81332000002</v>
      </c>
      <c r="F17" s="128">
        <v>-200739.51961999995</v>
      </c>
      <c r="G17" s="128">
        <v>-255259.57867000005</v>
      </c>
      <c r="H17" s="128">
        <v>-263931.00686999998</v>
      </c>
      <c r="I17" s="128">
        <v>-116540</v>
      </c>
      <c r="J17" s="128">
        <v>-201461.49237000011</v>
      </c>
      <c r="K17" s="128">
        <v>-194988.50759000005</v>
      </c>
      <c r="L17" s="128">
        <v>-218149</v>
      </c>
      <c r="M17" s="128">
        <v>-178340</v>
      </c>
      <c r="N17" s="128">
        <v>-155935.12738999998</v>
      </c>
      <c r="O17" s="128">
        <v>-177405.69899</v>
      </c>
      <c r="P17" s="128">
        <v>-231437.65985</v>
      </c>
      <c r="Q17" s="128">
        <v>-254917</v>
      </c>
      <c r="R17" s="128">
        <v>-260256</v>
      </c>
      <c r="S17" s="128">
        <v>-320251</v>
      </c>
      <c r="T17" s="128">
        <v>-330329</v>
      </c>
      <c r="U17" s="128">
        <v>-330690</v>
      </c>
      <c r="V17" s="128">
        <v>-229641</v>
      </c>
      <c r="W17" s="128">
        <v>-255069</v>
      </c>
      <c r="X17" s="128">
        <v>-262443</v>
      </c>
      <c r="Y17" s="128">
        <v>-301266</v>
      </c>
      <c r="Z17" s="314">
        <v>-306565.54300000001</v>
      </c>
      <c r="AA17" s="314">
        <v>-361359.56300000002</v>
      </c>
      <c r="AB17" s="314">
        <v>-346690.89199999999</v>
      </c>
      <c r="AC17" s="314">
        <v>-342542.55200000003</v>
      </c>
      <c r="AD17" s="314">
        <v>-320488.74900000001</v>
      </c>
      <c r="AE17" s="314">
        <v>-289933.68099999998</v>
      </c>
      <c r="AF17" s="314">
        <v>-290087.15100000001</v>
      </c>
      <c r="AG17" s="314">
        <v>-308886.522</v>
      </c>
      <c r="AH17" s="314">
        <v>-301083.93</v>
      </c>
      <c r="AI17" s="314">
        <v>-336039.3</v>
      </c>
      <c r="AJ17" s="314">
        <v>-341496.076</v>
      </c>
      <c r="AK17" s="314">
        <v>-352744.16600000003</v>
      </c>
    </row>
    <row r="18" spans="1:37" ht="15" thickBot="1">
      <c r="A18" s="118" t="s">
        <v>646</v>
      </c>
      <c r="B18" s="118" t="s">
        <v>860</v>
      </c>
      <c r="D18" s="318">
        <v>448202.66974999901</v>
      </c>
      <c r="E18" s="318">
        <v>926040.01252000034</v>
      </c>
      <c r="F18" s="318">
        <v>282963.0308500001</v>
      </c>
      <c r="G18" s="318">
        <v>393668.64105999982</v>
      </c>
      <c r="H18" s="318">
        <v>725432.23136000009</v>
      </c>
      <c r="I18" s="318">
        <v>348044</v>
      </c>
      <c r="J18" s="318">
        <v>450103.38191999902</v>
      </c>
      <c r="K18" s="318">
        <v>644087.92173000006</v>
      </c>
      <c r="L18" s="318">
        <v>458881</v>
      </c>
      <c r="M18" s="318">
        <v>419314</v>
      </c>
      <c r="N18" s="318">
        <v>539541.16540000006</v>
      </c>
      <c r="O18" s="318">
        <v>705194.59012999968</v>
      </c>
      <c r="P18" s="318">
        <v>569866.97916999995</v>
      </c>
      <c r="Q18" s="318">
        <v>634470</v>
      </c>
      <c r="R18" s="318">
        <v>719347</v>
      </c>
      <c r="S18" s="318">
        <v>832655</v>
      </c>
      <c r="T18" s="318">
        <v>582091</v>
      </c>
      <c r="U18" s="319">
        <f t="shared" ref="U18:AA18" si="3">U9+U17</f>
        <v>621881</v>
      </c>
      <c r="V18" s="319">
        <f t="shared" si="3"/>
        <v>623212</v>
      </c>
      <c r="W18" s="319">
        <f t="shared" si="3"/>
        <v>729135</v>
      </c>
      <c r="X18" s="319">
        <f t="shared" si="3"/>
        <v>702872</v>
      </c>
      <c r="Y18" s="319">
        <f t="shared" si="3"/>
        <v>715318</v>
      </c>
      <c r="Z18" s="319">
        <f t="shared" si="3"/>
        <v>772857.08700000006</v>
      </c>
      <c r="AA18" s="319">
        <f t="shared" si="3"/>
        <v>871927.23200000008</v>
      </c>
      <c r="AB18" s="319">
        <f t="shared" ref="AB18:AG18" si="4">AB9+AB17</f>
        <v>721408.0149999999</v>
      </c>
      <c r="AC18" s="319">
        <f t="shared" si="4"/>
        <v>735150.62899999984</v>
      </c>
      <c r="AD18" s="319">
        <f t="shared" si="4"/>
        <v>834392.06099999975</v>
      </c>
      <c r="AE18" s="319">
        <f t="shared" si="4"/>
        <v>818784.00500000024</v>
      </c>
      <c r="AF18" s="319">
        <f t="shared" si="4"/>
        <v>812854.06499999994</v>
      </c>
      <c r="AG18" s="319">
        <f t="shared" si="4"/>
        <v>897698.38600000006</v>
      </c>
      <c r="AH18" s="319">
        <f t="shared" ref="AH18:AJ18" si="5">AH9+AH17</f>
        <v>849856.17800000007</v>
      </c>
      <c r="AI18" s="319">
        <f t="shared" si="5"/>
        <v>901552.75300000026</v>
      </c>
      <c r="AJ18" s="319">
        <f t="shared" si="5"/>
        <v>935738.88400000019</v>
      </c>
      <c r="AK18" s="319">
        <f>AK9+AK17</f>
        <v>995593.06700000004</v>
      </c>
    </row>
    <row r="19" spans="1:37" ht="15" thickBot="1">
      <c r="A19" s="118" t="s">
        <v>861</v>
      </c>
      <c r="B19" s="118" t="s">
        <v>862</v>
      </c>
      <c r="D19" s="318">
        <v>-294409.83071000001</v>
      </c>
      <c r="E19" s="318">
        <v>-306031.92553000001</v>
      </c>
      <c r="F19" s="318">
        <v>-352299.40831999999</v>
      </c>
      <c r="G19" s="318">
        <v>-310198.50001000002</v>
      </c>
      <c r="H19" s="318">
        <v>-287860.17107000004</v>
      </c>
      <c r="I19" s="318">
        <v>-280268</v>
      </c>
      <c r="J19" s="318">
        <v>-338425.2980699999</v>
      </c>
      <c r="K19" s="318">
        <v>-356341.99190000002</v>
      </c>
      <c r="L19" s="318">
        <v>-319113</v>
      </c>
      <c r="M19" s="318">
        <v>-288822</v>
      </c>
      <c r="N19" s="318">
        <v>-297750.31149999989</v>
      </c>
      <c r="O19" s="318">
        <v>-466896.54903999995</v>
      </c>
      <c r="P19" s="318">
        <v>-389117.65203999996</v>
      </c>
      <c r="Q19" s="318">
        <v>-374284</v>
      </c>
      <c r="R19" s="318">
        <v>-537486</v>
      </c>
      <c r="S19" s="318">
        <v>-609607</v>
      </c>
      <c r="T19" s="318">
        <v>-389868</v>
      </c>
      <c r="U19" s="319">
        <f t="shared" ref="U19:AA19" si="6">SUM(U20:U22)</f>
        <v>-409885</v>
      </c>
      <c r="V19" s="319">
        <f t="shared" si="6"/>
        <v>-423579</v>
      </c>
      <c r="W19" s="319">
        <f t="shared" si="6"/>
        <v>-480736</v>
      </c>
      <c r="X19" s="319">
        <f t="shared" si="6"/>
        <v>-454789</v>
      </c>
      <c r="Y19" s="319">
        <f t="shared" si="6"/>
        <v>-498493</v>
      </c>
      <c r="Z19" s="319">
        <f t="shared" si="6"/>
        <v>-499906.27799999999</v>
      </c>
      <c r="AA19" s="319">
        <f t="shared" si="6"/>
        <v>-597223.40399999998</v>
      </c>
      <c r="AB19" s="319">
        <f>SUM(AB20:AB22)</f>
        <v>-425788.34700000001</v>
      </c>
      <c r="AC19" s="319">
        <f>SUM(AC20:AC22)</f>
        <v>-459239.91399999999</v>
      </c>
      <c r="AD19" s="319">
        <f>SUM(AD20:AD22)</f>
        <v>-555960.47</v>
      </c>
      <c r="AE19" s="319">
        <f>SUM(AE20:AE22)</f>
        <v>-569404.00100000005</v>
      </c>
      <c r="AF19" s="319">
        <f>SUM(AF20:AF22)</f>
        <v>-529535.11499999999</v>
      </c>
      <c r="AG19" s="319">
        <f>SUM(AG20:AG23)</f>
        <v>-552486.98499999999</v>
      </c>
      <c r="AH19" s="319">
        <f>SUM(AH20:AH23)</f>
        <v>-577902.38399999996</v>
      </c>
      <c r="AI19" s="319">
        <f>SUM(AI20:AI23)</f>
        <v>-572238.26500000001</v>
      </c>
      <c r="AJ19" s="319">
        <f>SUM(AJ20:AJ23)</f>
        <v>-583325.98</v>
      </c>
      <c r="AK19" s="319">
        <f>SUM(AK20:AK23)</f>
        <v>-656721.98100000003</v>
      </c>
    </row>
    <row r="20" spans="1:37">
      <c r="A20" s="115" t="s">
        <v>863</v>
      </c>
      <c r="B20" s="115" t="s">
        <v>864</v>
      </c>
      <c r="D20" s="127">
        <v>-235131.75207999998</v>
      </c>
      <c r="E20" s="127">
        <f>-467128-D20</f>
        <v>-231996.24792000002</v>
      </c>
      <c r="F20" s="127">
        <f>-772808-E20-D20</f>
        <v>-305680</v>
      </c>
      <c r="G20" s="127">
        <f>-997664-F20-E20-D20</f>
        <v>-224856.00000000003</v>
      </c>
      <c r="H20" s="127">
        <v>-260189.50255</v>
      </c>
      <c r="I20" s="127">
        <f>-498819-H20</f>
        <v>-238629.49745</v>
      </c>
      <c r="J20" s="127">
        <v>-221142.02098999987</v>
      </c>
      <c r="K20" s="127">
        <f>-937323-J20-I20-H20</f>
        <v>-217361.9790100001</v>
      </c>
      <c r="L20" s="127">
        <v>-227248</v>
      </c>
      <c r="M20" s="127">
        <v>-192972</v>
      </c>
      <c r="N20" s="127">
        <v>-198624.30350999991</v>
      </c>
      <c r="O20" s="127">
        <v>-283795.00646</v>
      </c>
      <c r="P20" s="127">
        <v>-263377</v>
      </c>
      <c r="Q20" s="127">
        <v>-238298</v>
      </c>
      <c r="R20" s="127">
        <v>-389055</v>
      </c>
      <c r="S20" s="127">
        <v>-438750</v>
      </c>
      <c r="T20" s="127">
        <v>-317202</v>
      </c>
      <c r="U20" s="127">
        <v>-236771</v>
      </c>
      <c r="V20" s="127">
        <v>-234308</v>
      </c>
      <c r="W20" s="127">
        <v>-193178</v>
      </c>
      <c r="X20" s="127">
        <v>-256259</v>
      </c>
      <c r="Y20" s="127">
        <v>-250989</v>
      </c>
      <c r="Z20" s="312">
        <v>-248746</v>
      </c>
      <c r="AA20" s="312">
        <v>-295995</v>
      </c>
      <c r="AB20" s="312">
        <v>-238400</v>
      </c>
      <c r="AC20" s="312">
        <v>-238054</v>
      </c>
      <c r="AD20" s="312">
        <v>-325104</v>
      </c>
      <c r="AE20" s="312">
        <v>-360979</v>
      </c>
      <c r="AF20" s="312">
        <v>-285709</v>
      </c>
      <c r="AG20" s="312">
        <v>-292391</v>
      </c>
      <c r="AH20" s="312">
        <v>-324471</v>
      </c>
      <c r="AI20" s="312">
        <v>-322693</v>
      </c>
      <c r="AJ20" s="312">
        <v>-323706</v>
      </c>
      <c r="AK20" s="312">
        <v>-377428</v>
      </c>
    </row>
    <row r="21" spans="1:37">
      <c r="A21" s="115" t="s">
        <v>865</v>
      </c>
      <c r="B21" s="115" t="s">
        <v>866</v>
      </c>
      <c r="D21" s="127">
        <v>-41967.062720000002</v>
      </c>
      <c r="E21" s="127">
        <f>-84276-D21</f>
        <v>-42308.937279999998</v>
      </c>
      <c r="F21" s="127">
        <f>-109280-E21-D21</f>
        <v>-25004</v>
      </c>
      <c r="G21" s="127">
        <f>-138549-F21-E21-D21</f>
        <v>-29269</v>
      </c>
      <c r="H21" s="127">
        <v>-35859.872619999995</v>
      </c>
      <c r="I21" s="127">
        <f>-58796-H21</f>
        <v>-22936.127380000005</v>
      </c>
      <c r="J21" s="127">
        <v>-42845.473559999999</v>
      </c>
      <c r="K21" s="127">
        <f>-154459-J21-I21-H21</f>
        <v>-52817.526440000001</v>
      </c>
      <c r="L21" s="127">
        <v>-57491</v>
      </c>
      <c r="M21" s="127">
        <v>-51141</v>
      </c>
      <c r="N21" s="127">
        <v>-81575.131960000013</v>
      </c>
      <c r="O21" s="127">
        <v>-81440</v>
      </c>
      <c r="P21" s="127">
        <v>-76312.450900000011</v>
      </c>
      <c r="Q21" s="127">
        <v>-77325</v>
      </c>
      <c r="R21" s="127">
        <v>-65252</v>
      </c>
      <c r="S21" s="127">
        <v>-67755</v>
      </c>
      <c r="T21" s="127">
        <v>-2470</v>
      </c>
      <c r="U21" s="127">
        <v>-68626</v>
      </c>
      <c r="V21" s="127">
        <v>-79326</v>
      </c>
      <c r="W21" s="127">
        <v>-146073</v>
      </c>
      <c r="X21" s="127">
        <v>-78332</v>
      </c>
      <c r="Y21" s="127">
        <v>-79301</v>
      </c>
      <c r="Z21" s="312">
        <v>-85192</v>
      </c>
      <c r="AA21" s="312">
        <v>-84591</v>
      </c>
      <c r="AB21" s="312">
        <v>-88251</v>
      </c>
      <c r="AC21" s="312">
        <v>-89618</v>
      </c>
      <c r="AD21" s="312">
        <v>-80663</v>
      </c>
      <c r="AE21" s="312">
        <v>-80950</v>
      </c>
      <c r="AF21" s="312">
        <v>-83921</v>
      </c>
      <c r="AG21" s="312">
        <v>-81463</v>
      </c>
      <c r="AH21" s="312">
        <v>-91023</v>
      </c>
      <c r="AI21" s="312">
        <v>-90856</v>
      </c>
      <c r="AJ21" s="312">
        <v>-90947</v>
      </c>
      <c r="AK21" s="312">
        <v>-91450</v>
      </c>
    </row>
    <row r="22" spans="1:37">
      <c r="A22" s="115" t="s">
        <v>867</v>
      </c>
      <c r="B22" s="115" t="s">
        <v>868</v>
      </c>
      <c r="D22" s="127">
        <v>-17311.015910000002</v>
      </c>
      <c r="E22" s="127">
        <v>-29989.639629999998</v>
      </c>
      <c r="F22" s="127">
        <v>-23352.921350000001</v>
      </c>
      <c r="G22" s="127">
        <v>-56074.082629999997</v>
      </c>
      <c r="H22" s="127">
        <v>8189.204099999999</v>
      </c>
      <c r="I22" s="127">
        <v>-18702</v>
      </c>
      <c r="J22" s="127">
        <v>-74437.803520000001</v>
      </c>
      <c r="K22" s="127">
        <v>-86162.329489999989</v>
      </c>
      <c r="L22" s="127">
        <v>-34374</v>
      </c>
      <c r="M22" s="127">
        <v>-44709</v>
      </c>
      <c r="N22" s="127">
        <v>-17550.876029999999</v>
      </c>
      <c r="O22" s="127">
        <v>-101661.91868999998</v>
      </c>
      <c r="P22" s="127">
        <v>-49428.803540000001</v>
      </c>
      <c r="Q22" s="127">
        <v>-58661</v>
      </c>
      <c r="R22" s="127">
        <v>-83179</v>
      </c>
      <c r="S22" s="127">
        <v>-103102</v>
      </c>
      <c r="T22" s="127">
        <v>-70196</v>
      </c>
      <c r="U22" s="127">
        <v>-104488</v>
      </c>
      <c r="V22" s="127">
        <v>-109945</v>
      </c>
      <c r="W22" s="127">
        <v>-141485</v>
      </c>
      <c r="X22" s="127">
        <v>-120198</v>
      </c>
      <c r="Y22" s="127">
        <v>-168203</v>
      </c>
      <c r="Z22" s="312">
        <v>-165968.27799999999</v>
      </c>
      <c r="AA22" s="312">
        <v>-216637.40400000001</v>
      </c>
      <c r="AB22" s="312">
        <v>-99137.346999999994</v>
      </c>
      <c r="AC22" s="312">
        <v>-131567.91399999999</v>
      </c>
      <c r="AD22" s="312">
        <v>-150193.47</v>
      </c>
      <c r="AE22" s="312">
        <v>-127475.001</v>
      </c>
      <c r="AF22" s="312">
        <v>-159905.11499999999</v>
      </c>
      <c r="AG22" s="312">
        <v>-178632.98499999999</v>
      </c>
      <c r="AH22" s="312">
        <v>-162408.38399999999</v>
      </c>
      <c r="AI22" s="312">
        <v>-158689.26500000001</v>
      </c>
      <c r="AJ22" s="312">
        <v>-168672.98</v>
      </c>
      <c r="AK22" s="312">
        <v>-187843.981</v>
      </c>
    </row>
    <row r="23" spans="1:37" ht="15" thickBot="1">
      <c r="A23" s="115" t="s">
        <v>869</v>
      </c>
      <c r="B23" s="115" t="s">
        <v>907</v>
      </c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312"/>
      <c r="AA23" s="312"/>
      <c r="AB23" s="312"/>
      <c r="AC23" s="312"/>
      <c r="AD23" s="312"/>
      <c r="AE23" s="312"/>
      <c r="AF23" s="312"/>
      <c r="AG23" s="312"/>
      <c r="AH23" s="312"/>
      <c r="AI23" s="312"/>
      <c r="AJ23" s="312"/>
      <c r="AK23" s="312"/>
    </row>
    <row r="24" spans="1:37" ht="15" thickBot="1">
      <c r="A24" s="118" t="s">
        <v>871</v>
      </c>
      <c r="B24" s="118" t="s">
        <v>872</v>
      </c>
      <c r="D24" s="128">
        <v>153792.839039999</v>
      </c>
      <c r="E24" s="128">
        <v>620008.08699000033</v>
      </c>
      <c r="F24" s="128">
        <v>-69336.37746999989</v>
      </c>
      <c r="G24" s="128">
        <v>83470.141049999802</v>
      </c>
      <c r="H24" s="128">
        <v>437572.06029000005</v>
      </c>
      <c r="I24" s="128">
        <v>67775</v>
      </c>
      <c r="J24" s="128">
        <v>111678.08384999912</v>
      </c>
      <c r="K24" s="128">
        <v>287745.92983000004</v>
      </c>
      <c r="L24" s="128">
        <v>139768</v>
      </c>
      <c r="M24" s="128">
        <v>130492</v>
      </c>
      <c r="N24" s="128">
        <v>241790.85390000016</v>
      </c>
      <c r="O24" s="128">
        <v>238298.04108999972</v>
      </c>
      <c r="P24" s="128">
        <v>180749.32712999999</v>
      </c>
      <c r="Q24" s="128">
        <v>260186</v>
      </c>
      <c r="R24" s="128">
        <v>181861</v>
      </c>
      <c r="S24" s="128">
        <v>223048</v>
      </c>
      <c r="T24" s="128">
        <v>192223</v>
      </c>
      <c r="U24" s="119">
        <f t="shared" ref="U24:Z24" si="7">U18+U19</f>
        <v>211996</v>
      </c>
      <c r="V24" s="119">
        <f t="shared" si="7"/>
        <v>199633</v>
      </c>
      <c r="W24" s="119">
        <f t="shared" si="7"/>
        <v>248399</v>
      </c>
      <c r="X24" s="119">
        <f t="shared" si="7"/>
        <v>248083</v>
      </c>
      <c r="Y24" s="119">
        <f t="shared" si="7"/>
        <v>216825</v>
      </c>
      <c r="Z24" s="119">
        <f t="shared" si="7"/>
        <v>272950.80900000007</v>
      </c>
      <c r="AA24" s="119">
        <f t="shared" ref="AA24:AG24" si="8">AA18+AA19</f>
        <v>274703.8280000001</v>
      </c>
      <c r="AB24" s="119">
        <f t="shared" si="8"/>
        <v>295619.66799999989</v>
      </c>
      <c r="AC24" s="119">
        <f t="shared" si="8"/>
        <v>275910.71499999985</v>
      </c>
      <c r="AD24" s="119">
        <f t="shared" si="8"/>
        <v>278431.59099999978</v>
      </c>
      <c r="AE24" s="119">
        <f t="shared" si="8"/>
        <v>249380.00400000019</v>
      </c>
      <c r="AF24" s="119">
        <f t="shared" si="8"/>
        <v>283318.94999999995</v>
      </c>
      <c r="AG24" s="119">
        <f t="shared" si="8"/>
        <v>345211.40100000007</v>
      </c>
      <c r="AH24" s="119">
        <f t="shared" ref="AH24:AJ24" si="9">AH18+AH19</f>
        <v>271953.79400000011</v>
      </c>
      <c r="AI24" s="119">
        <f t="shared" si="9"/>
        <v>329314.48800000024</v>
      </c>
      <c r="AJ24" s="119">
        <f t="shared" si="9"/>
        <v>352412.90400000021</v>
      </c>
      <c r="AK24" s="119">
        <f>AK18+AK19</f>
        <v>338871.08600000001</v>
      </c>
    </row>
    <row r="25" spans="1:37" ht="15" thickBot="1">
      <c r="A25" s="118" t="s">
        <v>873</v>
      </c>
      <c r="B25" s="118" t="s">
        <v>874</v>
      </c>
      <c r="D25" s="128">
        <v>-142300.5467699999</v>
      </c>
      <c r="E25" s="128">
        <v>-115458.84178000005</v>
      </c>
      <c r="F25" s="128">
        <v>-137740.50758000009</v>
      </c>
      <c r="G25" s="128">
        <v>-168574.73372999975</v>
      </c>
      <c r="H25" s="128">
        <v>-159642.56565000035</v>
      </c>
      <c r="I25" s="128">
        <v>-6588</v>
      </c>
      <c r="J25" s="128">
        <v>-44546.03733000029</v>
      </c>
      <c r="K25" s="128">
        <v>-108864.41686999967</v>
      </c>
      <c r="L25" s="128">
        <v>-70218</v>
      </c>
      <c r="M25" s="128">
        <v>-69471</v>
      </c>
      <c r="N25" s="128">
        <v>-87188.052989999996</v>
      </c>
      <c r="O25" s="128">
        <v>4098.8225000000011</v>
      </c>
      <c r="P25" s="128">
        <v>-80439.881170000008</v>
      </c>
      <c r="Q25" s="128">
        <v>-72239</v>
      </c>
      <c r="R25" s="128">
        <v>-40910</v>
      </c>
      <c r="S25" s="128">
        <v>31436</v>
      </c>
      <c r="T25" s="128">
        <v>-83016</v>
      </c>
      <c r="U25" s="119">
        <f t="shared" ref="U25:Z25" si="10">SUM(U26:U35)</f>
        <v>-74468</v>
      </c>
      <c r="V25" s="119">
        <f t="shared" si="10"/>
        <v>-95536</v>
      </c>
      <c r="W25" s="119">
        <f t="shared" si="10"/>
        <v>-121034</v>
      </c>
      <c r="X25" s="119">
        <f t="shared" si="10"/>
        <v>-89343</v>
      </c>
      <c r="Y25" s="119">
        <f t="shared" si="10"/>
        <v>-64122</v>
      </c>
      <c r="Z25" s="119">
        <f t="shared" si="10"/>
        <v>-84962.979999999981</v>
      </c>
      <c r="AA25" s="119">
        <f t="shared" ref="AA25:AG25" si="11">SUM(AA26:AA35)</f>
        <v>-97382.544999999998</v>
      </c>
      <c r="AB25" s="119">
        <f t="shared" si="11"/>
        <v>-93094.927000000011</v>
      </c>
      <c r="AC25" s="119">
        <f t="shared" si="11"/>
        <v>-75601.962999999989</v>
      </c>
      <c r="AD25" s="119">
        <f t="shared" si="11"/>
        <v>-82411.590999999986</v>
      </c>
      <c r="AE25" s="119">
        <f t="shared" si="11"/>
        <v>-178829.981</v>
      </c>
      <c r="AF25" s="119">
        <f t="shared" si="11"/>
        <v>-100974.61553000001</v>
      </c>
      <c r="AG25" s="119">
        <f t="shared" si="11"/>
        <v>-103653.29110999999</v>
      </c>
      <c r="AH25" s="119">
        <f t="shared" ref="AH25:AJ25" si="12">SUM(AH26:AH35)</f>
        <v>-107312.43</v>
      </c>
      <c r="AI25" s="119">
        <f t="shared" si="12"/>
        <v>-152417.52923000001</v>
      </c>
      <c r="AJ25" s="119">
        <f t="shared" si="12"/>
        <v>-91040.776850000009</v>
      </c>
      <c r="AK25" s="119">
        <f>SUM(AK26:AK35)</f>
        <v>-88556.872719999999</v>
      </c>
    </row>
    <row r="26" spans="1:37">
      <c r="A26" s="115" t="s">
        <v>875</v>
      </c>
      <c r="B26" s="115" t="s">
        <v>876</v>
      </c>
      <c r="D26" s="127">
        <v>-42326.036389999994</v>
      </c>
      <c r="E26" s="127">
        <v>-43954.471440000008</v>
      </c>
      <c r="F26" s="127">
        <v>-51787.666909999978</v>
      </c>
      <c r="G26" s="127">
        <v>-55777.083260000014</v>
      </c>
      <c r="H26" s="127">
        <v>-49265.583720000039</v>
      </c>
      <c r="I26" s="127">
        <v>-82381.229979999989</v>
      </c>
      <c r="J26" s="127">
        <v>-6841.895620000083</v>
      </c>
      <c r="K26" s="127">
        <v>-22548.413969999936</v>
      </c>
      <c r="L26" s="127">
        <v>-19607</v>
      </c>
      <c r="M26" s="127">
        <v>-11825</v>
      </c>
      <c r="N26" s="127">
        <v>-21232.335259999996</v>
      </c>
      <c r="O26" s="127">
        <v>-23983.571100000001</v>
      </c>
      <c r="P26" s="127">
        <v>-19965.651689999995</v>
      </c>
      <c r="Q26" s="127">
        <v>-18099</v>
      </c>
      <c r="R26" s="127">
        <v>-17889</v>
      </c>
      <c r="S26" s="127">
        <v>-22714</v>
      </c>
      <c r="T26" s="127">
        <v>-17582</v>
      </c>
      <c r="U26" s="127">
        <v>-16816</v>
      </c>
      <c r="V26" s="127">
        <v>-18552</v>
      </c>
      <c r="W26" s="127">
        <v>-22189</v>
      </c>
      <c r="X26" s="127">
        <v>-19209</v>
      </c>
      <c r="Y26" s="127">
        <v>-20738</v>
      </c>
      <c r="Z26" s="312">
        <v>-20981.951000000001</v>
      </c>
      <c r="AA26" s="312">
        <v>-12142.64</v>
      </c>
      <c r="AB26" s="312">
        <v>-14787.045</v>
      </c>
      <c r="AC26" s="312">
        <v>-19614.664000000001</v>
      </c>
      <c r="AD26" s="312">
        <v>-23893.808000000001</v>
      </c>
      <c r="AE26" s="312">
        <v>-31223.932000000001</v>
      </c>
      <c r="AF26" s="312">
        <v>-26391.983</v>
      </c>
      <c r="AG26" s="312">
        <v>-25250.416000000001</v>
      </c>
      <c r="AH26" s="312">
        <v>-35968.86</v>
      </c>
      <c r="AI26" s="312">
        <v>-37389.915000000001</v>
      </c>
      <c r="AJ26" s="312">
        <v>-36309.633999999998</v>
      </c>
      <c r="AK26" s="312">
        <v>-37370.563000000002</v>
      </c>
    </row>
    <row r="27" spans="1:37">
      <c r="A27" s="115" t="s">
        <v>877</v>
      </c>
      <c r="B27" s="115" t="s">
        <v>877</v>
      </c>
      <c r="D27" s="127">
        <v>-536.97892999999999</v>
      </c>
      <c r="E27" s="127">
        <v>-838.26003999999989</v>
      </c>
      <c r="F27" s="127">
        <v>-645.72046999999998</v>
      </c>
      <c r="G27" s="127">
        <v>-683.86412000000007</v>
      </c>
      <c r="H27" s="127">
        <v>-704.36478999999986</v>
      </c>
      <c r="I27" s="127">
        <v>10.334530000000028</v>
      </c>
      <c r="J27" s="127">
        <v>-1167.5816800000002</v>
      </c>
      <c r="K27" s="127">
        <v>-1850.9565899999993</v>
      </c>
      <c r="L27" s="127">
        <v>-947</v>
      </c>
      <c r="M27" s="127">
        <v>-821</v>
      </c>
      <c r="N27" s="127">
        <v>-1236.43842</v>
      </c>
      <c r="O27" s="127">
        <v>-1026.4361800000001</v>
      </c>
      <c r="P27" s="127">
        <v>-2222.7870099999996</v>
      </c>
      <c r="Q27" s="127">
        <v>-1787</v>
      </c>
      <c r="R27" s="127">
        <v>-1328</v>
      </c>
      <c r="S27" s="127">
        <v>-2098</v>
      </c>
      <c r="T27" s="127">
        <v>-4802</v>
      </c>
      <c r="U27" s="127">
        <v>-2295</v>
      </c>
      <c r="V27" s="127">
        <v>-2343</v>
      </c>
      <c r="W27" s="127">
        <v>-3574</v>
      </c>
      <c r="X27" s="127">
        <v>-2399</v>
      </c>
      <c r="Y27" s="127">
        <v>-1695</v>
      </c>
      <c r="Z27" s="312">
        <v>-1752.7329999999999</v>
      </c>
      <c r="AA27" s="312">
        <v>-3958.5169999999998</v>
      </c>
      <c r="AB27" s="312">
        <v>-2373.2089999999998</v>
      </c>
      <c r="AC27" s="312">
        <v>-4540.0919999999996</v>
      </c>
      <c r="AD27" s="312">
        <v>-6687.1009999999997</v>
      </c>
      <c r="AE27" s="312">
        <v>-9424.9709999999995</v>
      </c>
      <c r="AF27" s="312">
        <v>-4872.3739999999998</v>
      </c>
      <c r="AG27" s="312">
        <v>-4604.8270000000002</v>
      </c>
      <c r="AH27" s="312">
        <v>-4178.1940000000004</v>
      </c>
      <c r="AI27" s="312">
        <v>-4572.9979999999996</v>
      </c>
      <c r="AJ27" s="312">
        <v>-4401.7160000000003</v>
      </c>
      <c r="AK27" s="312">
        <v>-3661.0140000000001</v>
      </c>
    </row>
    <row r="28" spans="1:37">
      <c r="A28" s="115" t="s">
        <v>878</v>
      </c>
      <c r="B28" s="115" t="s">
        <v>879</v>
      </c>
      <c r="D28" s="127">
        <v>-21339.462799999994</v>
      </c>
      <c r="E28" s="127">
        <v>-38905.595620000007</v>
      </c>
      <c r="F28" s="127">
        <v>-36500.729639999998</v>
      </c>
      <c r="G28" s="127">
        <v>-40177.430109999987</v>
      </c>
      <c r="H28" s="127">
        <v>-25829.474700000002</v>
      </c>
      <c r="I28" s="127">
        <v>-26337.930380000002</v>
      </c>
      <c r="J28" s="127">
        <v>-28249.578950000039</v>
      </c>
      <c r="K28" s="127">
        <v>-34658.943459999951</v>
      </c>
      <c r="L28" s="127">
        <v>-30040</v>
      </c>
      <c r="M28" s="127">
        <v>-31524</v>
      </c>
      <c r="N28" s="127">
        <v>-31685.647340000003</v>
      </c>
      <c r="O28" s="127">
        <v>-34559.777969999996</v>
      </c>
      <c r="P28" s="127">
        <v>-37055.132120000009</v>
      </c>
      <c r="Q28" s="127">
        <v>-37300</v>
      </c>
      <c r="R28" s="127">
        <v>-38261</v>
      </c>
      <c r="S28" s="127">
        <v>-48185</v>
      </c>
      <c r="T28" s="127">
        <v>-40170</v>
      </c>
      <c r="U28" s="127">
        <v>-42851</v>
      </c>
      <c r="V28" s="127">
        <v>-41957</v>
      </c>
      <c r="W28" s="127">
        <v>-74863</v>
      </c>
      <c r="X28" s="127">
        <v>-43261</v>
      </c>
      <c r="Y28" s="127">
        <v>-38245</v>
      </c>
      <c r="Z28" s="312">
        <v>-46209.572</v>
      </c>
      <c r="AA28" s="312">
        <v>-48520.411</v>
      </c>
      <c r="AB28" s="312">
        <v>-52032.506000000001</v>
      </c>
      <c r="AC28" s="312">
        <v>-47636.860999999997</v>
      </c>
      <c r="AD28" s="312">
        <v>-49437.716</v>
      </c>
      <c r="AE28" s="312">
        <v>-65536.278000000006</v>
      </c>
      <c r="AF28" s="312">
        <v>-40491.656000000003</v>
      </c>
      <c r="AG28" s="312">
        <v>-44866.995999999999</v>
      </c>
      <c r="AH28" s="312">
        <v>-42504.326000000001</v>
      </c>
      <c r="AI28" s="312">
        <v>-50534.845999999998</v>
      </c>
      <c r="AJ28" s="312">
        <v>-38929.644</v>
      </c>
      <c r="AK28" s="312">
        <v>-39403.033000000003</v>
      </c>
    </row>
    <row r="29" spans="1:37">
      <c r="A29" s="115" t="s">
        <v>880</v>
      </c>
      <c r="B29" s="115" t="s">
        <v>881</v>
      </c>
      <c r="D29" s="127">
        <v>-71299.602249999953</v>
      </c>
      <c r="E29" s="127">
        <v>-26636.986970000024</v>
      </c>
      <c r="F29" s="127">
        <v>-40576.941660000135</v>
      </c>
      <c r="G29" s="127">
        <v>-55760.396509999729</v>
      </c>
      <c r="H29" s="127">
        <v>-79630.101320000307</v>
      </c>
      <c r="I29" s="127">
        <v>57828</v>
      </c>
      <c r="J29" s="127">
        <v>-7614.2407500001573</v>
      </c>
      <c r="K29" s="127">
        <v>-47522.586969999786</v>
      </c>
      <c r="L29" s="127">
        <v>-17890</v>
      </c>
      <c r="M29" s="127">
        <v>-21914</v>
      </c>
      <c r="N29" s="127">
        <v>-10519.94378</v>
      </c>
      <c r="O29" s="127">
        <v>56624.225960000003</v>
      </c>
      <c r="P29" s="127">
        <v>-15023.319889999999</v>
      </c>
      <c r="Q29" s="127">
        <v>-12720</v>
      </c>
      <c r="R29" s="127">
        <v>17065</v>
      </c>
      <c r="S29" s="127">
        <v>111278</v>
      </c>
      <c r="T29" s="127">
        <v>-18165</v>
      </c>
      <c r="U29" s="127">
        <v>-7589</v>
      </c>
      <c r="V29" s="127">
        <v>-17819</v>
      </c>
      <c r="W29" s="127">
        <v>-16656</v>
      </c>
      <c r="X29" s="127">
        <f>-14656-X30</f>
        <v>-12595.433279999999</v>
      </c>
      <c r="Y29" s="127">
        <f>-5963-Y30</f>
        <v>-3147.8964499999997</v>
      </c>
      <c r="Z29" s="312">
        <f>-11462.093-Z30</f>
        <v>-9526.8554699999986</v>
      </c>
      <c r="AA29" s="312">
        <f>-12262.663-AA30</f>
        <v>-9998.2573600000051</v>
      </c>
      <c r="AB29" s="312">
        <f>-16001.381-AB30</f>
        <v>-13017.950079999999</v>
      </c>
      <c r="AC29" s="312">
        <f>-9864.513-AC30</f>
        <v>-6614.7254000000021</v>
      </c>
      <c r="AD29" s="312">
        <f>6424.188-AD30</f>
        <v>10390.186970000002</v>
      </c>
      <c r="AE29" s="312">
        <v>-41728.513180000009</v>
      </c>
      <c r="AF29" s="312">
        <v>-17232.135780000001</v>
      </c>
      <c r="AG29" s="312">
        <v>-11920.454239999999</v>
      </c>
      <c r="AH29" s="312">
        <v>4687.9967900000001</v>
      </c>
      <c r="AI29" s="312">
        <v>-28881.159230000005</v>
      </c>
      <c r="AJ29" s="312">
        <v>-5183.550009999999</v>
      </c>
      <c r="AK29" s="312">
        <v>-1807.5078799999972</v>
      </c>
    </row>
    <row r="30" spans="1:37">
      <c r="A30" s="115" t="s">
        <v>882</v>
      </c>
      <c r="B30" s="115" t="s">
        <v>883</v>
      </c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>
        <v>-2060.5667200000003</v>
      </c>
      <c r="Y30" s="127">
        <v>-2815.1035500000003</v>
      </c>
      <c r="Z30" s="312">
        <v>-1935.2375300000022</v>
      </c>
      <c r="AA30" s="312">
        <v>-2264.4056399999954</v>
      </c>
      <c r="AB30" s="312">
        <v>-2983.4309199999998</v>
      </c>
      <c r="AC30" s="312">
        <v>-3249.7875999999987</v>
      </c>
      <c r="AD30" s="312">
        <v>-3965.9989700000015</v>
      </c>
      <c r="AE30" s="312">
        <v>-2485.8038199999964</v>
      </c>
      <c r="AF30" s="312">
        <v>-3338.367749999999</v>
      </c>
      <c r="AG30" s="312">
        <v>-3428.4718699999985</v>
      </c>
      <c r="AH30" s="312">
        <v>-8141.313790000002</v>
      </c>
      <c r="AI30" s="312">
        <v>-4394.6289999999944</v>
      </c>
      <c r="AJ30" s="312">
        <v>6647.707159999999</v>
      </c>
      <c r="AK30" s="312">
        <v>-107.8838399999991</v>
      </c>
    </row>
    <row r="31" spans="1:37">
      <c r="A31" s="115" t="s">
        <v>95</v>
      </c>
      <c r="B31" s="115" t="s">
        <v>884</v>
      </c>
      <c r="D31" s="127">
        <v>-5686.313659999998</v>
      </c>
      <c r="E31" s="127">
        <v>-3166.5923800000005</v>
      </c>
      <c r="F31" s="127">
        <v>-10509.707059999999</v>
      </c>
      <c r="G31" s="127">
        <v>-15886.61191</v>
      </c>
      <c r="H31" s="127">
        <v>-4213.041119999999</v>
      </c>
      <c r="I31" s="127">
        <v>44300</v>
      </c>
      <c r="J31" s="127">
        <v>198.02544999999373</v>
      </c>
      <c r="K31" s="127">
        <v>-5269.9086899999893</v>
      </c>
      <c r="L31" s="127">
        <v>-1757</v>
      </c>
      <c r="M31" s="127">
        <v>-3381</v>
      </c>
      <c r="N31" s="127">
        <v>-260.93634000000009</v>
      </c>
      <c r="O31" s="127">
        <v>11637.740019999997</v>
      </c>
      <c r="P31" s="127">
        <v>-1054.2181600000001</v>
      </c>
      <c r="Q31" s="127">
        <v>-622</v>
      </c>
      <c r="R31" s="127">
        <v>-920</v>
      </c>
      <c r="S31" s="127">
        <v>-3343</v>
      </c>
      <c r="T31" s="127">
        <v>-1950</v>
      </c>
      <c r="U31" s="127">
        <v>-817</v>
      </c>
      <c r="V31" s="127">
        <v>-1339</v>
      </c>
      <c r="W31" s="127">
        <v>-1990</v>
      </c>
      <c r="X31" s="127">
        <v>-1041</v>
      </c>
      <c r="Y31" s="127">
        <v>-348</v>
      </c>
      <c r="Z31" s="312">
        <v>-313.61200000000002</v>
      </c>
      <c r="AA31" s="312">
        <v>-6648.933</v>
      </c>
      <c r="AB31" s="312">
        <v>-1817.0239999999999</v>
      </c>
      <c r="AC31" s="312">
        <v>-1811.0419999999999</v>
      </c>
      <c r="AD31" s="312">
        <v>-4304.0789999999997</v>
      </c>
      <c r="AE31" s="312">
        <v>-15633.346</v>
      </c>
      <c r="AF31" s="312">
        <v>-2806.9989999999998</v>
      </c>
      <c r="AG31" s="312">
        <v>-4433.1260000000002</v>
      </c>
      <c r="AH31" s="312">
        <v>2406.2080000000001</v>
      </c>
      <c r="AI31" s="312">
        <v>-16100.159</v>
      </c>
      <c r="AJ31" s="312">
        <v>-4051.21</v>
      </c>
      <c r="AK31" s="312">
        <v>-3841.221</v>
      </c>
    </row>
    <row r="32" spans="1:37">
      <c r="A32" s="115" t="s">
        <v>885</v>
      </c>
      <c r="B32" s="115" t="s">
        <v>886</v>
      </c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312"/>
      <c r="AA32" s="312"/>
      <c r="AB32" s="312"/>
      <c r="AC32" s="312"/>
      <c r="AD32" s="312"/>
      <c r="AE32" s="312"/>
      <c r="AF32" s="312"/>
      <c r="AG32" s="312"/>
      <c r="AH32" s="312"/>
      <c r="AI32" s="312"/>
      <c r="AJ32" s="312"/>
      <c r="AK32" s="312"/>
    </row>
    <row r="33" spans="1:37">
      <c r="A33" s="115" t="s">
        <v>887</v>
      </c>
      <c r="B33" s="115" t="s">
        <v>888</v>
      </c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312"/>
      <c r="AA33" s="312"/>
      <c r="AB33" s="312"/>
      <c r="AC33" s="312"/>
      <c r="AD33" s="312"/>
      <c r="AE33" s="312"/>
      <c r="AF33" s="312"/>
      <c r="AG33" s="312"/>
      <c r="AH33" s="312"/>
      <c r="AI33" s="312"/>
      <c r="AJ33" s="312"/>
      <c r="AK33" s="312"/>
    </row>
    <row r="34" spans="1:37">
      <c r="A34" s="115" t="s">
        <v>889</v>
      </c>
      <c r="B34" s="115" t="s">
        <v>890</v>
      </c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312"/>
      <c r="AA34" s="312"/>
      <c r="AB34" s="312"/>
      <c r="AC34" s="312"/>
      <c r="AD34" s="312"/>
      <c r="AE34" s="312"/>
      <c r="AF34" s="312"/>
      <c r="AG34" s="312"/>
      <c r="AH34" s="312"/>
      <c r="AI34" s="312"/>
      <c r="AJ34" s="312"/>
      <c r="AK34" s="312"/>
    </row>
    <row r="35" spans="1:37">
      <c r="A35" s="115" t="s">
        <v>891</v>
      </c>
      <c r="B35" s="115" t="s">
        <v>892</v>
      </c>
      <c r="D35" s="127">
        <v>-1112.1527400000002</v>
      </c>
      <c r="E35" s="127">
        <v>-1956.93533</v>
      </c>
      <c r="F35" s="127">
        <v>2280.2581600000003</v>
      </c>
      <c r="G35" s="127">
        <v>-289.34781999999996</v>
      </c>
      <c r="H35" s="127"/>
      <c r="I35" s="127"/>
      <c r="J35" s="127">
        <v>-870.76578000000006</v>
      </c>
      <c r="K35" s="127">
        <v>2986.3928099999994</v>
      </c>
      <c r="L35" s="127">
        <v>23</v>
      </c>
      <c r="M35" s="127">
        <v>-6</v>
      </c>
      <c r="N35" s="127">
        <v>-22252.751850000001</v>
      </c>
      <c r="O35" s="127">
        <v>-4593.3582299999989</v>
      </c>
      <c r="P35" s="127">
        <v>-5118.7722999999996</v>
      </c>
      <c r="Q35" s="127">
        <v>-1711</v>
      </c>
      <c r="R35" s="127">
        <v>423</v>
      </c>
      <c r="S35" s="127">
        <v>-3502</v>
      </c>
      <c r="T35" s="127">
        <v>-347</v>
      </c>
      <c r="U35" s="127">
        <v>-4100</v>
      </c>
      <c r="V35" s="127">
        <v>-13526</v>
      </c>
      <c r="W35" s="127">
        <v>-1762</v>
      </c>
      <c r="X35" s="127">
        <v>-8777</v>
      </c>
      <c r="Y35" s="127">
        <v>2867</v>
      </c>
      <c r="Z35" s="312">
        <v>-4243.0190000000002</v>
      </c>
      <c r="AA35" s="312">
        <v>-13849.380999999999</v>
      </c>
      <c r="AB35" s="312">
        <v>-6083.7619999999997</v>
      </c>
      <c r="AC35" s="312">
        <v>7865.2089999999998</v>
      </c>
      <c r="AD35" s="312">
        <v>-4513.0749999999998</v>
      </c>
      <c r="AE35" s="312">
        <v>-12797.137000000001</v>
      </c>
      <c r="AF35" s="312">
        <v>-5841.1</v>
      </c>
      <c r="AG35" s="312">
        <v>-9149</v>
      </c>
      <c r="AH35" s="312">
        <v>-23613.940999999999</v>
      </c>
      <c r="AI35" s="312">
        <v>-10543.823</v>
      </c>
      <c r="AJ35" s="312">
        <v>-8812.73</v>
      </c>
      <c r="AK35" s="312">
        <v>-2365.65</v>
      </c>
    </row>
    <row r="36" spans="1:37">
      <c r="A36" s="455" t="s">
        <v>722</v>
      </c>
      <c r="B36" s="455" t="s">
        <v>722</v>
      </c>
      <c r="D36" s="452">
        <v>11492.292269999103</v>
      </c>
      <c r="E36" s="452">
        <v>504549.24521000031</v>
      </c>
      <c r="F36" s="452">
        <v>-207076.88504999998</v>
      </c>
      <c r="G36" s="452">
        <v>-85104.592679999943</v>
      </c>
      <c r="H36" s="452">
        <v>277929.4946399997</v>
      </c>
      <c r="I36" s="452">
        <v>61118</v>
      </c>
      <c r="J36" s="452">
        <v>67132.046519998839</v>
      </c>
      <c r="K36" s="452">
        <v>178881.51296000031</v>
      </c>
      <c r="L36" s="452">
        <v>69549.999999999971</v>
      </c>
      <c r="M36" s="452">
        <v>61021</v>
      </c>
      <c r="N36" s="452">
        <v>154602.80091000017</v>
      </c>
      <c r="O36" s="452">
        <v>242396.86358999973</v>
      </c>
      <c r="P36" s="452">
        <v>100309.44595999998</v>
      </c>
      <c r="Q36" s="452">
        <v>187947</v>
      </c>
      <c r="R36" s="452">
        <v>140951</v>
      </c>
      <c r="S36" s="452">
        <v>254484</v>
      </c>
      <c r="T36" s="452">
        <v>109207</v>
      </c>
      <c r="U36" s="462">
        <f t="shared" ref="U36:AA36" si="13">U18+U19+U25</f>
        <v>137528</v>
      </c>
      <c r="V36" s="462">
        <f t="shared" si="13"/>
        <v>104097</v>
      </c>
      <c r="W36" s="462">
        <f t="shared" si="13"/>
        <v>127365</v>
      </c>
      <c r="X36" s="462">
        <f t="shared" si="13"/>
        <v>158740</v>
      </c>
      <c r="Y36" s="462">
        <f t="shared" si="13"/>
        <v>152703</v>
      </c>
      <c r="Z36" s="463">
        <f t="shared" si="13"/>
        <v>187987.82900000009</v>
      </c>
      <c r="AA36" s="463">
        <f t="shared" si="13"/>
        <v>177321.28300000011</v>
      </c>
      <c r="AB36" s="463">
        <f t="shared" ref="AB36:AG36" si="14">AB18+AB19+AB25</f>
        <v>202524.74099999986</v>
      </c>
      <c r="AC36" s="463">
        <f t="shared" si="14"/>
        <v>200308.75199999986</v>
      </c>
      <c r="AD36" s="463">
        <f t="shared" si="14"/>
        <v>196019.9999999998</v>
      </c>
      <c r="AE36" s="463">
        <f t="shared" si="14"/>
        <v>70550.02300000019</v>
      </c>
      <c r="AF36" s="463">
        <f t="shared" si="14"/>
        <v>182344.33446999994</v>
      </c>
      <c r="AG36" s="463">
        <f t="shared" si="14"/>
        <v>241558.10989000008</v>
      </c>
      <c r="AH36" s="463">
        <f t="shared" ref="AH36:AJ36" si="15">AH18+AH19+AH25</f>
        <v>164641.36400000012</v>
      </c>
      <c r="AI36" s="463">
        <f t="shared" si="15"/>
        <v>176896.95877000023</v>
      </c>
      <c r="AJ36" s="463">
        <f t="shared" si="15"/>
        <v>261372.12715000019</v>
      </c>
      <c r="AK36" s="463">
        <f>AK18+AK19+AK25</f>
        <v>250314.21328000003</v>
      </c>
    </row>
    <row r="37" spans="1:37" ht="15" thickBot="1">
      <c r="A37" s="115" t="s">
        <v>893</v>
      </c>
      <c r="B37" s="115" t="s">
        <v>894</v>
      </c>
      <c r="D37" s="127">
        <v>-11682.0026</v>
      </c>
      <c r="E37" s="127">
        <v>-11899.209639999997</v>
      </c>
      <c r="F37" s="127">
        <v>-12082.478210000001</v>
      </c>
      <c r="G37" s="127">
        <v>-12305.633469999997</v>
      </c>
      <c r="H37" s="127">
        <v>-12380.893869999998</v>
      </c>
      <c r="I37" s="127">
        <v>-11184</v>
      </c>
      <c r="J37" s="127">
        <v>-12577.533130000007</v>
      </c>
      <c r="K37" s="127">
        <v>-15858.80631</v>
      </c>
      <c r="L37" s="127">
        <v>-19095</v>
      </c>
      <c r="M37" s="127">
        <v>-15434</v>
      </c>
      <c r="N37" s="127">
        <v>-12339.795990000002</v>
      </c>
      <c r="O37" s="127">
        <v>-16317.357709999991</v>
      </c>
      <c r="P37" s="127">
        <v>-16456.390609999999</v>
      </c>
      <c r="Q37" s="127">
        <v>-17511</v>
      </c>
      <c r="R37" s="127">
        <v>-18342</v>
      </c>
      <c r="S37" s="127">
        <v>-19469</v>
      </c>
      <c r="T37" s="127">
        <v>-19019</v>
      </c>
      <c r="U37" s="127">
        <v>-19583</v>
      </c>
      <c r="V37" s="127">
        <v>-19962</v>
      </c>
      <c r="W37" s="127">
        <v>-24673</v>
      </c>
      <c r="X37" s="127">
        <v>-9557</v>
      </c>
      <c r="Y37" s="127">
        <v>-21899</v>
      </c>
      <c r="Z37" s="312">
        <v>-23638.81</v>
      </c>
      <c r="AA37" s="312">
        <v>-58624.065000000002</v>
      </c>
      <c r="AB37" s="312">
        <v>-31557.291000000001</v>
      </c>
      <c r="AC37" s="312">
        <v>-31163.523000000001</v>
      </c>
      <c r="AD37" s="312">
        <v>-32193.134999999998</v>
      </c>
      <c r="AE37" s="312">
        <v>-35946.552000000003</v>
      </c>
      <c r="AF37" s="312">
        <v>-36269.881999999998</v>
      </c>
      <c r="AG37" s="312">
        <v>-35136.955999999998</v>
      </c>
      <c r="AH37" s="312">
        <v>-36452.856</v>
      </c>
      <c r="AI37" s="312">
        <v>-45824.565000000002</v>
      </c>
      <c r="AJ37" s="312">
        <v>-39668.248</v>
      </c>
      <c r="AK37" s="312">
        <v>-45611.561999999998</v>
      </c>
    </row>
    <row r="38" spans="1:37" ht="15" thickBot="1">
      <c r="A38" s="118" t="s">
        <v>895</v>
      </c>
      <c r="B38" s="118" t="s">
        <v>896</v>
      </c>
      <c r="D38" s="128">
        <v>-189.71033000089665</v>
      </c>
      <c r="E38" s="128">
        <v>492650.0355700003</v>
      </c>
      <c r="F38" s="128">
        <v>-219159.36325999998</v>
      </c>
      <c r="G38" s="128">
        <v>-97410.226149999944</v>
      </c>
      <c r="H38" s="128">
        <v>265548.60076999973</v>
      </c>
      <c r="I38" s="128">
        <v>50004</v>
      </c>
      <c r="J38" s="128">
        <v>54554.513389998829</v>
      </c>
      <c r="K38" s="128">
        <v>163022.70665000036</v>
      </c>
      <c r="L38" s="128">
        <v>50454.999999999971</v>
      </c>
      <c r="M38" s="128">
        <v>45587</v>
      </c>
      <c r="N38" s="128">
        <v>142263.00492000015</v>
      </c>
      <c r="O38" s="128">
        <v>226079.50587999975</v>
      </c>
      <c r="P38" s="128">
        <v>83853.055349999981</v>
      </c>
      <c r="Q38" s="128">
        <v>170436</v>
      </c>
      <c r="R38" s="128">
        <v>122609</v>
      </c>
      <c r="S38" s="128">
        <v>235015</v>
      </c>
      <c r="T38" s="128">
        <v>90188</v>
      </c>
      <c r="U38" s="119">
        <f t="shared" ref="U38:Z38" si="16">SUM(U36:U37)</f>
        <v>117945</v>
      </c>
      <c r="V38" s="119">
        <f t="shared" si="16"/>
        <v>84135</v>
      </c>
      <c r="W38" s="119">
        <f t="shared" si="16"/>
        <v>102692</v>
      </c>
      <c r="X38" s="119">
        <f t="shared" si="16"/>
        <v>149183</v>
      </c>
      <c r="Y38" s="119">
        <f t="shared" si="16"/>
        <v>130804</v>
      </c>
      <c r="Z38" s="119">
        <f t="shared" si="16"/>
        <v>164349.01900000009</v>
      </c>
      <c r="AA38" s="119">
        <f t="shared" ref="AA38:AG38" si="17">SUM(AA36:AA37)</f>
        <v>118697.21800000011</v>
      </c>
      <c r="AB38" s="119">
        <f t="shared" si="17"/>
        <v>170967.44999999987</v>
      </c>
      <c r="AC38" s="119">
        <f t="shared" si="17"/>
        <v>169145.22899999988</v>
      </c>
      <c r="AD38" s="119">
        <f t="shared" si="17"/>
        <v>163826.86499999979</v>
      </c>
      <c r="AE38" s="119">
        <f t="shared" si="17"/>
        <v>34603.471000000187</v>
      </c>
      <c r="AF38" s="119">
        <f t="shared" si="17"/>
        <v>146074.45246999996</v>
      </c>
      <c r="AG38" s="119">
        <f t="shared" si="17"/>
        <v>206421.15389000007</v>
      </c>
      <c r="AH38" s="119">
        <f t="shared" ref="AH38:AJ38" si="18">SUM(AH36:AH37)</f>
        <v>128188.50800000012</v>
      </c>
      <c r="AI38" s="119">
        <f t="shared" si="18"/>
        <v>131072.39377000023</v>
      </c>
      <c r="AJ38" s="119">
        <f t="shared" si="18"/>
        <v>221703.8791500002</v>
      </c>
      <c r="AK38" s="119">
        <f>SUM(AK36:AK37)</f>
        <v>204702.65128000002</v>
      </c>
    </row>
    <row r="39" spans="1:37" ht="15" thickBot="1">
      <c r="A39" s="118" t="s">
        <v>725</v>
      </c>
      <c r="B39" s="118" t="s">
        <v>897</v>
      </c>
      <c r="D39" s="318">
        <v>-21811.578169999972</v>
      </c>
      <c r="E39" s="318">
        <v>16770.984799999998</v>
      </c>
      <c r="F39" s="318">
        <v>-26784.094129999998</v>
      </c>
      <c r="G39" s="318">
        <v>-20850.216300000015</v>
      </c>
      <c r="H39" s="318">
        <v>-40190.493019999994</v>
      </c>
      <c r="I39" s="318">
        <v>-4137</v>
      </c>
      <c r="J39" s="318">
        <v>-12200.839469999992</v>
      </c>
      <c r="K39" s="318">
        <v>-165365.06757999992</v>
      </c>
      <c r="L39" s="318">
        <v>-17919.000000000004</v>
      </c>
      <c r="M39" s="318">
        <v>-9004</v>
      </c>
      <c r="N39" s="318">
        <v>-4485.1860799999922</v>
      </c>
      <c r="O39" s="318">
        <v>20634.120440000021</v>
      </c>
      <c r="P39" s="318">
        <v>-14144.049780000016</v>
      </c>
      <c r="Q39" s="318">
        <v>15907</v>
      </c>
      <c r="R39" s="318">
        <v>18210</v>
      </c>
      <c r="S39" s="318">
        <v>31184</v>
      </c>
      <c r="T39" s="318">
        <v>2148</v>
      </c>
      <c r="U39" s="319">
        <f t="shared" ref="U39:Z39" si="19">U40+U41</f>
        <v>5669</v>
      </c>
      <c r="V39" s="319">
        <f t="shared" si="19"/>
        <v>5262</v>
      </c>
      <c r="W39" s="319">
        <f t="shared" si="19"/>
        <v>-18924</v>
      </c>
      <c r="X39" s="319">
        <f t="shared" si="19"/>
        <v>-45067</v>
      </c>
      <c r="Y39" s="319">
        <f t="shared" si="19"/>
        <v>-37203</v>
      </c>
      <c r="Z39" s="319">
        <f t="shared" si="19"/>
        <v>-22636.495000000003</v>
      </c>
      <c r="AA39" s="319">
        <f t="shared" ref="AA39:AF39" si="20">AA40+AA41</f>
        <v>-46033.415000000008</v>
      </c>
      <c r="AB39" s="319">
        <f t="shared" si="20"/>
        <v>-48693.11</v>
      </c>
      <c r="AC39" s="319">
        <f t="shared" si="20"/>
        <v>-38924.851999999999</v>
      </c>
      <c r="AD39" s="319">
        <f t="shared" si="20"/>
        <v>-41655.816999999995</v>
      </c>
      <c r="AE39" s="319">
        <f t="shared" si="20"/>
        <v>-42126.883000000002</v>
      </c>
      <c r="AF39" s="319">
        <f t="shared" si="20"/>
        <v>-62137.837999999989</v>
      </c>
      <c r="AG39" s="319">
        <f>SUM(AG40:AG41)</f>
        <v>-66292.918000000005</v>
      </c>
      <c r="AH39" s="319">
        <f>SUM(AH40:AH41)</f>
        <v>-58123.420999999988</v>
      </c>
      <c r="AI39" s="319">
        <f>SUM(AI40:AI41)</f>
        <v>-71034.347000000009</v>
      </c>
      <c r="AJ39" s="319">
        <f>SUM(AJ40:AJ41)</f>
        <v>-55290.603000000003</v>
      </c>
      <c r="AK39" s="319">
        <f>SUM(AK40:AK41)</f>
        <v>-87021.796000000002</v>
      </c>
    </row>
    <row r="40" spans="1:37">
      <c r="A40" s="115" t="s">
        <v>727</v>
      </c>
      <c r="B40" s="115" t="s">
        <v>898</v>
      </c>
      <c r="D40" s="127">
        <v>38764.879970000024</v>
      </c>
      <c r="E40" s="127">
        <v>72186.52373999999</v>
      </c>
      <c r="F40" s="127">
        <v>35082.207600000009</v>
      </c>
      <c r="G40" s="127">
        <v>43237.20459999999</v>
      </c>
      <c r="H40" s="127">
        <v>32577.104760000002</v>
      </c>
      <c r="I40" s="127">
        <v>31755</v>
      </c>
      <c r="J40" s="127">
        <v>42300.533710000003</v>
      </c>
      <c r="K40" s="127">
        <v>717494.02504999994</v>
      </c>
      <c r="L40" s="127">
        <v>46927</v>
      </c>
      <c r="M40" s="127">
        <v>42850</v>
      </c>
      <c r="N40" s="127">
        <v>52002.427150000003</v>
      </c>
      <c r="O40" s="127">
        <v>54282.460920000005</v>
      </c>
      <c r="P40" s="127">
        <v>56218.150979999991</v>
      </c>
      <c r="Q40" s="127">
        <v>34434</v>
      </c>
      <c r="R40" s="127">
        <v>47402</v>
      </c>
      <c r="S40" s="127">
        <v>77676</v>
      </c>
      <c r="T40" s="127">
        <v>58418</v>
      </c>
      <c r="U40" s="127">
        <v>75911</v>
      </c>
      <c r="V40" s="127">
        <v>53810</v>
      </c>
      <c r="W40" s="127">
        <v>54126</v>
      </c>
      <c r="X40" s="127">
        <v>45785</v>
      </c>
      <c r="Y40" s="127">
        <v>46235</v>
      </c>
      <c r="Z40" s="312">
        <v>16246.71</v>
      </c>
      <c r="AA40" s="312">
        <v>53477.34</v>
      </c>
      <c r="AB40" s="312">
        <v>64630.991999999998</v>
      </c>
      <c r="AC40" s="312">
        <v>84851.6</v>
      </c>
      <c r="AD40" s="312">
        <v>21137.346000000001</v>
      </c>
      <c r="AE40" s="312">
        <v>187250.68100000001</v>
      </c>
      <c r="AF40" s="312">
        <v>231933.674</v>
      </c>
      <c r="AG40" s="312">
        <v>125485.99400000001</v>
      </c>
      <c r="AH40" s="312">
        <v>106952.349</v>
      </c>
      <c r="AI40" s="312">
        <v>-589.20600000000002</v>
      </c>
      <c r="AJ40" s="312">
        <v>297879.978</v>
      </c>
      <c r="AK40" s="312">
        <v>121551.34299999999</v>
      </c>
    </row>
    <row r="41" spans="1:37" ht="15" thickBot="1">
      <c r="A41" s="115" t="s">
        <v>744</v>
      </c>
      <c r="B41" s="115" t="s">
        <v>745</v>
      </c>
      <c r="D41" s="127">
        <v>-60576.458139999995</v>
      </c>
      <c r="E41" s="127">
        <v>-55415.538939999991</v>
      </c>
      <c r="F41" s="127">
        <v>-61866.301730000007</v>
      </c>
      <c r="G41" s="127">
        <v>-64087.420900000005</v>
      </c>
      <c r="H41" s="127">
        <v>-72767.597779999996</v>
      </c>
      <c r="I41" s="127">
        <v>-35892</v>
      </c>
      <c r="J41" s="127">
        <v>-54501.373179999995</v>
      </c>
      <c r="K41" s="127">
        <v>-882859.09262999985</v>
      </c>
      <c r="L41" s="127">
        <v>-64846</v>
      </c>
      <c r="M41" s="127">
        <v>-51854</v>
      </c>
      <c r="N41" s="127">
        <v>-56487.613229999995</v>
      </c>
      <c r="O41" s="127">
        <v>-33648.340479999984</v>
      </c>
      <c r="P41" s="127">
        <v>-70362.200760000007</v>
      </c>
      <c r="Q41" s="127">
        <v>-18527</v>
      </c>
      <c r="R41" s="127">
        <v>-29192</v>
      </c>
      <c r="S41" s="127">
        <v>-46492</v>
      </c>
      <c r="T41" s="127">
        <v>-56270</v>
      </c>
      <c r="U41" s="127">
        <v>-70242</v>
      </c>
      <c r="V41" s="127">
        <v>-48548</v>
      </c>
      <c r="W41" s="127">
        <v>-73050</v>
      </c>
      <c r="X41" s="127">
        <v>-90852</v>
      </c>
      <c r="Y41" s="127">
        <v>-83438</v>
      </c>
      <c r="Z41" s="312">
        <v>-38883.205000000002</v>
      </c>
      <c r="AA41" s="312">
        <v>-99510.755000000005</v>
      </c>
      <c r="AB41" s="312">
        <v>-113324.102</v>
      </c>
      <c r="AC41" s="312">
        <v>-123776.452</v>
      </c>
      <c r="AD41" s="312">
        <v>-62793.163</v>
      </c>
      <c r="AE41" s="312">
        <v>-229377.56400000001</v>
      </c>
      <c r="AF41" s="312">
        <v>-294071.51199999999</v>
      </c>
      <c r="AG41" s="312">
        <v>-191778.91200000001</v>
      </c>
      <c r="AH41" s="312">
        <v>-165075.76999999999</v>
      </c>
      <c r="AI41" s="312">
        <v>-70445.141000000003</v>
      </c>
      <c r="AJ41" s="312">
        <v>-353170.58100000001</v>
      </c>
      <c r="AK41" s="312">
        <v>-208573.139</v>
      </c>
    </row>
    <row r="42" spans="1:37" ht="15" thickBot="1">
      <c r="A42" s="118" t="s">
        <v>899</v>
      </c>
      <c r="B42" s="118" t="s">
        <v>724</v>
      </c>
      <c r="D42" s="128">
        <v>-22001.288500000868</v>
      </c>
      <c r="E42" s="128">
        <v>509421.02037000027</v>
      </c>
      <c r="F42" s="128">
        <v>-245943.45739</v>
      </c>
      <c r="G42" s="128">
        <v>-118260.44244999996</v>
      </c>
      <c r="H42" s="128">
        <v>225358.10774999973</v>
      </c>
      <c r="I42" s="128">
        <v>45867</v>
      </c>
      <c r="J42" s="128">
        <v>42353.673919998837</v>
      </c>
      <c r="K42" s="128">
        <v>-2341.9050299995579</v>
      </c>
      <c r="L42" s="128">
        <v>32535.999999999967</v>
      </c>
      <c r="M42" s="128">
        <v>36583</v>
      </c>
      <c r="N42" s="128">
        <v>137777.81884000017</v>
      </c>
      <c r="O42" s="128">
        <v>246713.62631999978</v>
      </c>
      <c r="P42" s="128">
        <v>69709.005569999965</v>
      </c>
      <c r="Q42" s="128">
        <v>186343</v>
      </c>
      <c r="R42" s="128">
        <v>140819</v>
      </c>
      <c r="S42" s="128">
        <v>266199</v>
      </c>
      <c r="T42" s="128">
        <v>92336</v>
      </c>
      <c r="U42" s="119">
        <f t="shared" ref="U42:AA42" si="21">U38+U39</f>
        <v>123614</v>
      </c>
      <c r="V42" s="119">
        <f t="shared" si="21"/>
        <v>89397</v>
      </c>
      <c r="W42" s="119">
        <f t="shared" si="21"/>
        <v>83768</v>
      </c>
      <c r="X42" s="119">
        <f t="shared" si="21"/>
        <v>104116</v>
      </c>
      <c r="Y42" s="119">
        <f t="shared" si="21"/>
        <v>93601</v>
      </c>
      <c r="Z42" s="119">
        <f t="shared" si="21"/>
        <v>141712.52400000009</v>
      </c>
      <c r="AA42" s="119">
        <f t="shared" si="21"/>
        <v>72663.803000000102</v>
      </c>
      <c r="AB42" s="119">
        <f>AB38+AB39</f>
        <v>122274.33999999987</v>
      </c>
      <c r="AC42" s="119">
        <f>AC38+AC39</f>
        <v>130220.37699999988</v>
      </c>
      <c r="AD42" s="119">
        <f>AD38+AD39</f>
        <v>122171.04799999979</v>
      </c>
      <c r="AE42" s="119">
        <f>AE38+AE39</f>
        <v>-7523.4119999998147</v>
      </c>
      <c r="AF42" s="119">
        <f>AF38+AF39</f>
        <v>83936.614469999971</v>
      </c>
      <c r="AG42" s="119">
        <f>SUM(AG38:AG39)</f>
        <v>140128.23589000007</v>
      </c>
      <c r="AH42" s="119">
        <f>SUM(AH38:AH39)</f>
        <v>70065.087000000131</v>
      </c>
      <c r="AI42" s="119">
        <f>SUM(AI38:AI39)</f>
        <v>60038.046770000219</v>
      </c>
      <c r="AJ42" s="119">
        <f>SUM(AJ38:AJ39)</f>
        <v>166413.27615000019</v>
      </c>
      <c r="AK42" s="119">
        <f>SUM(AK38:AK39)</f>
        <v>117680.85528000002</v>
      </c>
    </row>
    <row r="43" spans="1:37">
      <c r="A43" s="115" t="s">
        <v>768</v>
      </c>
      <c r="B43" s="115" t="s">
        <v>769</v>
      </c>
      <c r="D43" s="127"/>
      <c r="E43" s="127">
        <v>0</v>
      </c>
      <c r="F43" s="127">
        <v>0</v>
      </c>
      <c r="G43" s="127"/>
      <c r="H43" s="127"/>
      <c r="I43" s="127">
        <v>0</v>
      </c>
      <c r="J43" s="127">
        <v>0</v>
      </c>
      <c r="K43" s="127">
        <v>-22301.772280000001</v>
      </c>
      <c r="L43" s="127">
        <v>-79</v>
      </c>
      <c r="M43" s="127">
        <v>-10662</v>
      </c>
      <c r="N43" s="127">
        <v>-3971.9713400000001</v>
      </c>
      <c r="O43" s="127">
        <v>-7824.950710000001</v>
      </c>
      <c r="P43" s="127">
        <v>-4796.7722599999997</v>
      </c>
      <c r="Q43" s="127">
        <v>-11314</v>
      </c>
      <c r="R43" s="127">
        <v>-6193</v>
      </c>
      <c r="S43" s="127">
        <v>-6396</v>
      </c>
      <c r="T43" s="127">
        <v>-3209</v>
      </c>
      <c r="U43" s="127">
        <v>-7128</v>
      </c>
      <c r="V43" s="127">
        <v>-5839</v>
      </c>
      <c r="W43" s="127">
        <v>-7701</v>
      </c>
      <c r="X43" s="127">
        <v>-6750</v>
      </c>
      <c r="Y43" s="127">
        <v>-6135</v>
      </c>
      <c r="Z43" s="312">
        <v>-7960.6689999999999</v>
      </c>
      <c r="AA43" s="312">
        <v>1703.6</v>
      </c>
      <c r="AB43" s="312">
        <v>-6804.9989999999998</v>
      </c>
      <c r="AC43" s="312">
        <v>-2951.0410000000002</v>
      </c>
      <c r="AD43" s="312">
        <v>-7104.3969999999999</v>
      </c>
      <c r="AE43" s="312">
        <v>8312.6790000000001</v>
      </c>
      <c r="AF43" s="312">
        <v>-5614.5839999999998</v>
      </c>
      <c r="AG43" s="312">
        <v>-13364.64</v>
      </c>
      <c r="AH43" s="312">
        <v>-8759.4179999999997</v>
      </c>
      <c r="AI43" s="312">
        <v>-5306.5069999999996</v>
      </c>
      <c r="AJ43" s="312">
        <v>-7348.7849999999999</v>
      </c>
      <c r="AK43" s="312">
        <v>-6400.69</v>
      </c>
    </row>
    <row r="44" spans="1:37">
      <c r="A44" s="115" t="s">
        <v>770</v>
      </c>
      <c r="B44" s="115" t="s">
        <v>771</v>
      </c>
      <c r="D44" s="127"/>
      <c r="E44" s="127">
        <v>0</v>
      </c>
      <c r="F44" s="127">
        <v>0</v>
      </c>
      <c r="G44" s="127"/>
      <c r="H44" s="127"/>
      <c r="I44" s="127">
        <v>0</v>
      </c>
      <c r="J44" s="127">
        <v>0</v>
      </c>
      <c r="K44" s="127">
        <v>-60811.495940000001</v>
      </c>
      <c r="L44" s="127">
        <v>-271</v>
      </c>
      <c r="M44" s="127">
        <v>-29016</v>
      </c>
      <c r="N44" s="127">
        <v>-10771.029649999999</v>
      </c>
      <c r="O44" s="127">
        <v>-35082.030719999995</v>
      </c>
      <c r="P44" s="127">
        <v>-13080.975829999999</v>
      </c>
      <c r="Q44" s="127">
        <v>-31203</v>
      </c>
      <c r="R44" s="127">
        <v>-17307</v>
      </c>
      <c r="S44" s="127">
        <v>-25492</v>
      </c>
      <c r="T44" s="127">
        <v>-12800</v>
      </c>
      <c r="U44" s="127">
        <v>-15816</v>
      </c>
      <c r="V44" s="127">
        <v>-16321</v>
      </c>
      <c r="W44" s="127">
        <v>-20307</v>
      </c>
      <c r="X44" s="127">
        <v>-18787</v>
      </c>
      <c r="Y44" s="127">
        <v>-17038</v>
      </c>
      <c r="Z44" s="312">
        <v>-22234.962</v>
      </c>
      <c r="AA44" s="312">
        <v>-13300.486999999999</v>
      </c>
      <c r="AB44" s="312">
        <v>-23700.425999999999</v>
      </c>
      <c r="AC44" s="312">
        <v>-14738.357</v>
      </c>
      <c r="AD44" s="312">
        <v>-27577.9</v>
      </c>
      <c r="AE44" s="312">
        <v>13146.055</v>
      </c>
      <c r="AF44" s="312">
        <v>-15528.165000000001</v>
      </c>
      <c r="AG44" s="312">
        <v>-36372.273999999998</v>
      </c>
      <c r="AH44" s="312">
        <v>-23536.44</v>
      </c>
      <c r="AI44" s="312">
        <v>-14293.3</v>
      </c>
      <c r="AJ44" s="312">
        <v>-20301.379000000001</v>
      </c>
      <c r="AK44" s="312">
        <v>-17545.692999999999</v>
      </c>
    </row>
    <row r="45" spans="1:37">
      <c r="A45" s="115" t="s">
        <v>900</v>
      </c>
      <c r="B45" s="115" t="s">
        <v>901</v>
      </c>
      <c r="D45" s="127">
        <v>-31586.212879999977</v>
      </c>
      <c r="E45" s="127">
        <v>-217882.31937000001</v>
      </c>
      <c r="F45" s="127">
        <v>58596.314700000017</v>
      </c>
      <c r="G45" s="127">
        <v>88799.960539999985</v>
      </c>
      <c r="H45" s="127">
        <v>-143011.82816</v>
      </c>
      <c r="I45" s="127">
        <v>-34881.313620000001</v>
      </c>
      <c r="J45" s="127">
        <v>-3535.7184000000125</v>
      </c>
      <c r="K45" s="127">
        <v>246073.04938000001</v>
      </c>
      <c r="L45" s="127">
        <v>0</v>
      </c>
      <c r="M45" s="127">
        <v>34839</v>
      </c>
      <c r="N45" s="127"/>
      <c r="O45" s="127">
        <v>0</v>
      </c>
      <c r="P45" s="127"/>
      <c r="Q45" s="127">
        <v>0</v>
      </c>
      <c r="R45" s="127">
        <v>602113</v>
      </c>
      <c r="S45" s="127">
        <v>-58091</v>
      </c>
      <c r="T45" s="127">
        <v>-15528</v>
      </c>
      <c r="U45" s="127">
        <v>-19265</v>
      </c>
      <c r="V45" s="127">
        <v>-7770</v>
      </c>
      <c r="W45" s="127">
        <v>525</v>
      </c>
      <c r="X45" s="127">
        <v>-9706</v>
      </c>
      <c r="Y45" s="127">
        <v>-8794</v>
      </c>
      <c r="Z45" s="312">
        <v>-17778.062999999998</v>
      </c>
      <c r="AA45" s="312">
        <v>12834.403</v>
      </c>
      <c r="AB45" s="312">
        <v>-9831.5959999999995</v>
      </c>
      <c r="AC45" s="312">
        <v>-26846.648000000001</v>
      </c>
      <c r="AD45" s="312">
        <v>-14986.356</v>
      </c>
      <c r="AE45" s="312">
        <v>44.375999999999998</v>
      </c>
      <c r="AF45" s="312">
        <v>-6928.1580000000004</v>
      </c>
      <c r="AG45" s="312">
        <v>2460.8910000000001</v>
      </c>
      <c r="AH45" s="312">
        <v>9037.8220000000001</v>
      </c>
      <c r="AI45" s="312">
        <v>-191.411</v>
      </c>
      <c r="AJ45" s="312">
        <v>-30699.530999999999</v>
      </c>
      <c r="AK45" s="312">
        <v>-51654.540999999997</v>
      </c>
    </row>
    <row r="46" spans="1:37" ht="15" thickBot="1">
      <c r="A46" s="115" t="s">
        <v>772</v>
      </c>
      <c r="B46" s="115" t="s">
        <v>902</v>
      </c>
      <c r="D46" s="127"/>
      <c r="E46" s="127">
        <v>0</v>
      </c>
      <c r="F46" s="127">
        <v>0</v>
      </c>
      <c r="G46" s="127"/>
      <c r="H46" s="127"/>
      <c r="I46" s="127">
        <v>0</v>
      </c>
      <c r="J46" s="127">
        <v>0</v>
      </c>
      <c r="K46" s="127">
        <v>54052.899770000004</v>
      </c>
      <c r="L46" s="127">
        <v>271</v>
      </c>
      <c r="M46" s="127">
        <v>7184</v>
      </c>
      <c r="N46" s="127">
        <v>20481.615550000002</v>
      </c>
      <c r="O46" s="127">
        <v>34729.413379999998</v>
      </c>
      <c r="P46" s="127">
        <v>12237.863150000001</v>
      </c>
      <c r="Q46" s="127">
        <v>28437</v>
      </c>
      <c r="R46" s="127">
        <v>16780</v>
      </c>
      <c r="S46" s="127">
        <v>25532</v>
      </c>
      <c r="T46" s="127">
        <v>12772</v>
      </c>
      <c r="U46" s="127">
        <v>15844</v>
      </c>
      <c r="V46" s="127">
        <v>16321</v>
      </c>
      <c r="W46" s="127">
        <v>16857</v>
      </c>
      <c r="X46" s="127">
        <v>16820</v>
      </c>
      <c r="Y46" s="127">
        <v>15874</v>
      </c>
      <c r="Z46" s="312">
        <v>22789.657999999999</v>
      </c>
      <c r="AA46" s="312">
        <v>23211.857</v>
      </c>
      <c r="AB46" s="312">
        <v>23700.425999999999</v>
      </c>
      <c r="AC46" s="312">
        <v>14738.357</v>
      </c>
      <c r="AD46" s="312">
        <v>27110.761999999999</v>
      </c>
      <c r="AE46" s="312">
        <v>-5797.5349999999999</v>
      </c>
      <c r="AF46" s="312">
        <v>0</v>
      </c>
      <c r="AG46" s="312">
        <v>13337.004999999999</v>
      </c>
      <c r="AH46" s="312">
        <v>19202.170999999998</v>
      </c>
      <c r="AI46" s="312">
        <v>14721.991</v>
      </c>
      <c r="AJ46" s="312">
        <v>11664.745000000001</v>
      </c>
      <c r="AK46" s="312">
        <v>13767.786</v>
      </c>
    </row>
    <row r="47" spans="1:37" ht="15" thickBot="1">
      <c r="A47" s="118" t="s">
        <v>903</v>
      </c>
      <c r="B47" s="118" t="s">
        <v>777</v>
      </c>
      <c r="D47" s="322">
        <v>-53587.501380000846</v>
      </c>
      <c r="E47" s="322">
        <v>291538.70100000023</v>
      </c>
      <c r="F47" s="322">
        <v>-187347.14268999998</v>
      </c>
      <c r="G47" s="322">
        <v>-29460.481909999973</v>
      </c>
      <c r="H47" s="322">
        <v>82346.279589999729</v>
      </c>
      <c r="I47" s="322">
        <v>10987</v>
      </c>
      <c r="J47" s="322">
        <v>38817.955519998824</v>
      </c>
      <c r="K47" s="322">
        <v>214671.83600000053</v>
      </c>
      <c r="L47" s="322">
        <v>32456.999999999964</v>
      </c>
      <c r="M47" s="322">
        <v>38928</v>
      </c>
      <c r="N47" s="322">
        <v>143516.43340000018</v>
      </c>
      <c r="O47" s="322">
        <v>238536.05826999975</v>
      </c>
      <c r="P47" s="322">
        <v>64068.120629999976</v>
      </c>
      <c r="Q47" s="322">
        <v>172263</v>
      </c>
      <c r="R47" s="322">
        <v>736212</v>
      </c>
      <c r="S47" s="322">
        <v>201752</v>
      </c>
      <c r="T47" s="322">
        <v>73571</v>
      </c>
      <c r="U47" s="321">
        <f t="shared" ref="U47:AA47" si="22">SUM(U42:U46)</f>
        <v>97249</v>
      </c>
      <c r="V47" s="321">
        <f t="shared" si="22"/>
        <v>75788</v>
      </c>
      <c r="W47" s="321">
        <f t="shared" si="22"/>
        <v>73142</v>
      </c>
      <c r="X47" s="321">
        <f t="shared" si="22"/>
        <v>85693</v>
      </c>
      <c r="Y47" s="321">
        <f t="shared" si="22"/>
        <v>77508</v>
      </c>
      <c r="Z47" s="321">
        <f t="shared" si="22"/>
        <v>116528.4880000001</v>
      </c>
      <c r="AA47" s="321">
        <f t="shared" si="22"/>
        <v>97113.176000000109</v>
      </c>
      <c r="AB47" s="321">
        <f t="shared" ref="AB47:AG47" si="23">SUM(AB42:AB46)</f>
        <v>105637.74499999985</v>
      </c>
      <c r="AC47" s="321">
        <f t="shared" si="23"/>
        <v>100422.68799999988</v>
      </c>
      <c r="AD47" s="321">
        <f t="shared" si="23"/>
        <v>99613.156999999788</v>
      </c>
      <c r="AE47" s="321">
        <f t="shared" si="23"/>
        <v>8182.163000000186</v>
      </c>
      <c r="AF47" s="321">
        <f t="shared" si="23"/>
        <v>55865.707469999965</v>
      </c>
      <c r="AG47" s="321">
        <f t="shared" si="23"/>
        <v>106189.21789000009</v>
      </c>
      <c r="AH47" s="321">
        <f t="shared" ref="AH47:AJ47" si="24">SUM(AH42:AH46)</f>
        <v>66009.22200000014</v>
      </c>
      <c r="AI47" s="321">
        <f t="shared" si="24"/>
        <v>54968.81977000022</v>
      </c>
      <c r="AJ47" s="321">
        <f t="shared" si="24"/>
        <v>119728.32615000017</v>
      </c>
      <c r="AK47" s="321">
        <f>SUM(AK42:AK46)</f>
        <v>55847.717280000019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9" tint="0.79998168889431442"/>
  </sheetPr>
  <dimension ref="A7:W47"/>
  <sheetViews>
    <sheetView showGridLines="0" zoomScale="70" zoomScaleNormal="70" workbookViewId="0">
      <pane xSplit="2" topLeftCell="K1" activePane="topRight" state="frozen"/>
      <selection pane="topRight" activeCell="F23" sqref="F23"/>
    </sheetView>
  </sheetViews>
  <sheetFormatPr defaultColWidth="9.21875" defaultRowHeight="14.4" outlineLevelCol="1"/>
  <cols>
    <col min="1" max="1" width="44.44140625" style="35" bestFit="1" customWidth="1"/>
    <col min="2" max="2" width="44.44140625" style="35" customWidth="1"/>
    <col min="3" max="3" width="0.5546875" customWidth="1"/>
    <col min="4" max="5" width="9.5546875" style="35" hidden="1" customWidth="1" outlineLevel="1"/>
    <col min="6" max="6" width="9.5546875" style="35" bestFit="1" customWidth="1" collapsed="1"/>
    <col min="7" max="23" width="9.5546875" style="35" bestFit="1" customWidth="1"/>
    <col min="24" max="16384" width="9.21875" style="35"/>
  </cols>
  <sheetData>
    <row r="7" spans="1:23">
      <c r="A7" s="38" t="s">
        <v>909</v>
      </c>
      <c r="B7" s="38" t="s">
        <v>909</v>
      </c>
      <c r="C7" s="111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</row>
    <row r="8" spans="1:23" ht="15" thickBot="1">
      <c r="A8" s="448" t="s">
        <v>846</v>
      </c>
      <c r="B8" s="448" t="s">
        <v>847</v>
      </c>
      <c r="C8" s="112"/>
      <c r="D8" s="450" t="s">
        <v>73</v>
      </c>
      <c r="E8" s="450" t="s">
        <v>74</v>
      </c>
      <c r="F8" s="450" t="s">
        <v>75</v>
      </c>
      <c r="G8" s="450" t="s">
        <v>76</v>
      </c>
      <c r="H8" s="450" t="s">
        <v>77</v>
      </c>
      <c r="I8" s="450" t="s">
        <v>78</v>
      </c>
      <c r="J8" s="450" t="s">
        <v>79</v>
      </c>
      <c r="K8" s="450" t="s">
        <v>80</v>
      </c>
      <c r="L8" s="460" t="s">
        <v>81</v>
      </c>
      <c r="M8" s="460" t="s">
        <v>82</v>
      </c>
      <c r="N8" s="460" t="s">
        <v>83</v>
      </c>
      <c r="O8" s="460" t="s">
        <v>84</v>
      </c>
      <c r="P8" s="460" t="s">
        <v>85</v>
      </c>
      <c r="Q8" s="460" t="s">
        <v>86</v>
      </c>
      <c r="R8" s="460" t="s">
        <v>87</v>
      </c>
      <c r="S8" s="460" t="s">
        <v>88</v>
      </c>
      <c r="T8" s="460" t="s">
        <v>2074</v>
      </c>
      <c r="U8" s="460" t="s">
        <v>2127</v>
      </c>
      <c r="V8" s="460" t="s">
        <v>2360</v>
      </c>
      <c r="W8" s="460" t="s">
        <v>2494</v>
      </c>
    </row>
    <row r="9" spans="1:23" ht="15" thickBot="1">
      <c r="A9" s="118" t="s">
        <v>596</v>
      </c>
      <c r="B9" s="118" t="s">
        <v>848</v>
      </c>
      <c r="C9" s="112"/>
      <c r="D9" s="128">
        <f>SUM(D10:D16)</f>
        <v>2020162</v>
      </c>
      <c r="E9" s="128">
        <f t="shared" ref="E9:K9" si="0">SUM(E10:E16)</f>
        <v>2013343</v>
      </c>
      <c r="F9" s="128">
        <f t="shared" si="0"/>
        <v>1918672</v>
      </c>
      <c r="G9" s="128">
        <f t="shared" si="0"/>
        <v>1522377</v>
      </c>
      <c r="H9" s="128">
        <f t="shared" si="0"/>
        <v>1719381</v>
      </c>
      <c r="I9" s="128">
        <f t="shared" si="0"/>
        <v>1690705</v>
      </c>
      <c r="J9" s="128">
        <f t="shared" si="0"/>
        <v>1811009</v>
      </c>
      <c r="K9" s="128">
        <f t="shared" si="0"/>
        <v>1623250.9999999998</v>
      </c>
      <c r="L9" s="314">
        <f t="shared" ref="L9:R9" si="1">SUM(L10:L16)</f>
        <v>1677635.2390000003</v>
      </c>
      <c r="M9" s="314">
        <f t="shared" si="1"/>
        <v>1699048.6429999997</v>
      </c>
      <c r="N9" s="314">
        <f t="shared" si="1"/>
        <v>1875791.9729999998</v>
      </c>
      <c r="O9" s="314">
        <f t="shared" si="1"/>
        <v>1725284.601</v>
      </c>
      <c r="P9" s="314">
        <f t="shared" si="1"/>
        <v>2007003.3350000002</v>
      </c>
      <c r="Q9" s="314">
        <f t="shared" si="1"/>
        <v>2017864.5379999999</v>
      </c>
      <c r="R9" s="314">
        <f t="shared" si="1"/>
        <v>2172307.878</v>
      </c>
      <c r="S9" s="314">
        <f>SUM(S10:S16)</f>
        <v>2040385.202</v>
      </c>
      <c r="T9" s="314">
        <f>SUM(T10:T16)</f>
        <v>2287520.8629999999</v>
      </c>
      <c r="U9" s="314">
        <f>SUM(U10:U16)</f>
        <v>2330936.605</v>
      </c>
      <c r="V9" s="314">
        <f>SUM(V10:V16)</f>
        <v>2574446.9509999994</v>
      </c>
      <c r="W9" s="314">
        <f>SUM(W10:W16)</f>
        <v>2652964.8089999994</v>
      </c>
    </row>
    <row r="10" spans="1:23">
      <c r="A10" s="115" t="s">
        <v>849</v>
      </c>
      <c r="B10" s="115" t="s">
        <v>850</v>
      </c>
      <c r="C10" s="112"/>
      <c r="D10" s="127">
        <v>1437732</v>
      </c>
      <c r="E10" s="127">
        <v>1538696</v>
      </c>
      <c r="F10" s="127">
        <v>1636479</v>
      </c>
      <c r="G10" s="127">
        <v>1162011</v>
      </c>
      <c r="H10" s="127">
        <v>1179945</v>
      </c>
      <c r="I10" s="127">
        <v>1236587</v>
      </c>
      <c r="J10" s="127">
        <v>1383209</v>
      </c>
      <c r="K10" s="127">
        <v>1200045</v>
      </c>
      <c r="L10" s="312">
        <v>1266038.1100000001</v>
      </c>
      <c r="M10" s="312">
        <v>1387206.3289999999</v>
      </c>
      <c r="N10" s="312">
        <v>1519336.581</v>
      </c>
      <c r="O10" s="312">
        <v>1285291.939</v>
      </c>
      <c r="P10" s="312">
        <v>1494276.719</v>
      </c>
      <c r="Q10" s="312">
        <v>1375764.8130000001</v>
      </c>
      <c r="R10" s="312">
        <v>1560614.3049999999</v>
      </c>
      <c r="S10" s="312">
        <v>1455078.243</v>
      </c>
      <c r="T10" s="312">
        <v>1640326.4890000001</v>
      </c>
      <c r="U10" s="312">
        <v>1645879.4809999999</v>
      </c>
      <c r="V10" s="312">
        <v>1908263.9979999999</v>
      </c>
      <c r="W10" s="312">
        <v>1773297.89</v>
      </c>
    </row>
    <row r="11" spans="1:23">
      <c r="A11" s="115" t="s">
        <v>602</v>
      </c>
      <c r="B11" s="115" t="s">
        <v>603</v>
      </c>
      <c r="C11" s="112"/>
      <c r="D11" s="127">
        <v>159947</v>
      </c>
      <c r="E11" s="127">
        <v>156631</v>
      </c>
      <c r="F11" s="127">
        <v>23908</v>
      </c>
      <c r="G11" s="127">
        <v>63089</v>
      </c>
      <c r="H11" s="127">
        <v>55623</v>
      </c>
      <c r="I11" s="127">
        <v>52293</v>
      </c>
      <c r="J11" s="127">
        <v>20288</v>
      </c>
      <c r="K11" s="127">
        <v>41233</v>
      </c>
      <c r="L11" s="312">
        <v>47653.154000000002</v>
      </c>
      <c r="M11" s="312">
        <v>41526.116000000002</v>
      </c>
      <c r="N11" s="312">
        <v>9725.2919999999995</v>
      </c>
      <c r="O11" s="312">
        <v>25959.286</v>
      </c>
      <c r="P11" s="312">
        <v>80814.971999999994</v>
      </c>
      <c r="Q11" s="312">
        <v>70633.877999999997</v>
      </c>
      <c r="R11" s="312">
        <v>23168.205999999998</v>
      </c>
      <c r="S11" s="312">
        <v>21510.905999999999</v>
      </c>
      <c r="T11" s="312">
        <v>33135.108</v>
      </c>
      <c r="U11" s="312">
        <v>106719.79300000001</v>
      </c>
      <c r="V11" s="312">
        <v>57794.379000000001</v>
      </c>
      <c r="W11" s="312">
        <v>-31650.228999999999</v>
      </c>
    </row>
    <row r="12" spans="1:23">
      <c r="A12" s="115" t="s">
        <v>606</v>
      </c>
      <c r="B12" s="115" t="s">
        <v>851</v>
      </c>
      <c r="C12" s="112"/>
      <c r="D12" s="127">
        <v>239460</v>
      </c>
      <c r="E12" s="127">
        <v>74145</v>
      </c>
      <c r="F12" s="127">
        <v>69161</v>
      </c>
      <c r="G12" s="127">
        <v>96164</v>
      </c>
      <c r="H12" s="127">
        <v>328713</v>
      </c>
      <c r="I12" s="127">
        <v>256889</v>
      </c>
      <c r="J12" s="127">
        <v>207767</v>
      </c>
      <c r="K12" s="127">
        <v>210256</v>
      </c>
      <c r="L12" s="312">
        <v>175068.09400000001</v>
      </c>
      <c r="M12" s="312">
        <v>37379.811000000002</v>
      </c>
      <c r="N12" s="312">
        <v>126808.789</v>
      </c>
      <c r="O12" s="312">
        <v>213083.636</v>
      </c>
      <c r="P12" s="312">
        <v>225109.48199999999</v>
      </c>
      <c r="Q12" s="312">
        <v>354209.69699999999</v>
      </c>
      <c r="R12" s="312">
        <v>308194.033</v>
      </c>
      <c r="S12" s="312">
        <v>302307.59700000001</v>
      </c>
      <c r="T12" s="312">
        <v>385976.61599999998</v>
      </c>
      <c r="U12" s="312">
        <v>335119.799</v>
      </c>
      <c r="V12" s="312">
        <v>308024.02600000001</v>
      </c>
      <c r="W12" s="312">
        <v>281749.55699999997</v>
      </c>
    </row>
    <row r="13" spans="1:23">
      <c r="A13" s="115" t="s">
        <v>852</v>
      </c>
      <c r="B13" s="115" t="s">
        <v>853</v>
      </c>
      <c r="C13" s="112"/>
      <c r="D13" s="127"/>
      <c r="E13" s="127"/>
      <c r="F13" s="127"/>
      <c r="G13" s="127"/>
      <c r="H13" s="127"/>
      <c r="I13" s="127"/>
      <c r="J13" s="127">
        <v>14650.369830000001</v>
      </c>
      <c r="K13" s="127">
        <v>-4627.4408900000026</v>
      </c>
      <c r="L13" s="312">
        <v>3943.2413000000015</v>
      </c>
      <c r="M13" s="312">
        <v>10829.85389</v>
      </c>
      <c r="N13" s="312">
        <v>10266.148019999999</v>
      </c>
      <c r="O13" s="312">
        <v>3976.9178699999975</v>
      </c>
      <c r="P13" s="312">
        <v>10489.495439999999</v>
      </c>
      <c r="Q13" s="312">
        <v>4897.5013400000034</v>
      </c>
      <c r="R13" s="312">
        <v>38096.675510000001</v>
      </c>
      <c r="S13" s="312">
        <v>8766.2493699999977</v>
      </c>
      <c r="T13" s="312">
        <v>6540.7831699999997</v>
      </c>
      <c r="U13" s="312">
        <v>5600.3050900000044</v>
      </c>
      <c r="V13" s="312">
        <v>15736.411729999998</v>
      </c>
      <c r="W13" s="312">
        <v>23546.270199999999</v>
      </c>
    </row>
    <row r="14" spans="1:23">
      <c r="A14" s="115" t="s">
        <v>854</v>
      </c>
      <c r="B14" s="115" t="s">
        <v>855</v>
      </c>
      <c r="C14" s="112"/>
      <c r="D14" s="127"/>
      <c r="E14" s="127"/>
      <c r="F14" s="127"/>
      <c r="G14" s="127"/>
      <c r="H14" s="127"/>
      <c r="I14" s="127"/>
      <c r="J14" s="127">
        <v>8350.2094500000003</v>
      </c>
      <c r="K14" s="127">
        <v>9275.5867100000014</v>
      </c>
      <c r="L14" s="312">
        <v>7640.0880799999977</v>
      </c>
      <c r="M14" s="312">
        <v>7406.8447600000018</v>
      </c>
      <c r="N14" s="312">
        <v>8476.5647600000011</v>
      </c>
      <c r="O14" s="312">
        <v>4834.2110899999998</v>
      </c>
      <c r="P14" s="312">
        <v>2522.0886400000009</v>
      </c>
      <c r="Q14" s="312">
        <v>8792.8188100000007</v>
      </c>
      <c r="R14" s="312">
        <v>9107.3724700000021</v>
      </c>
      <c r="S14" s="312">
        <v>10334.290709999999</v>
      </c>
      <c r="T14" s="312">
        <v>9448.8350000000009</v>
      </c>
      <c r="U14" s="312">
        <v>8677.5131099999999</v>
      </c>
      <c r="V14" s="312">
        <v>11154.2865</v>
      </c>
      <c r="W14" s="312">
        <v>13598.100280000001</v>
      </c>
    </row>
    <row r="15" spans="1:23">
      <c r="A15" s="115" t="s">
        <v>856</v>
      </c>
      <c r="B15" s="115" t="s">
        <v>857</v>
      </c>
      <c r="C15" s="112"/>
      <c r="D15" s="127"/>
      <c r="E15" s="127"/>
      <c r="F15" s="127"/>
      <c r="G15" s="127"/>
      <c r="H15" s="127"/>
      <c r="I15" s="127"/>
      <c r="J15" s="127">
        <v>0</v>
      </c>
      <c r="K15" s="127">
        <v>26723.805359999998</v>
      </c>
      <c r="L15" s="312">
        <v>31011.478580000006</v>
      </c>
      <c r="M15" s="312">
        <v>26929.672950000004</v>
      </c>
      <c r="N15" s="312">
        <v>25823.384590000001</v>
      </c>
      <c r="O15" s="312">
        <v>26571.998129999996</v>
      </c>
      <c r="P15" s="312">
        <v>26245.675980000004</v>
      </c>
      <c r="Q15" s="312">
        <v>24155.992249999999</v>
      </c>
      <c r="R15" s="312">
        <v>24709.918269999998</v>
      </c>
      <c r="S15" s="312">
        <v>24770.070380000001</v>
      </c>
      <c r="T15" s="312">
        <v>24433.577550000005</v>
      </c>
      <c r="U15" s="312">
        <v>24197.46369</v>
      </c>
      <c r="V15" s="312">
        <v>24887.821969999997</v>
      </c>
      <c r="W15" s="312">
        <v>25032.188170000001</v>
      </c>
    </row>
    <row r="16" spans="1:23" ht="15" thickBot="1">
      <c r="A16" s="115" t="s">
        <v>614</v>
      </c>
      <c r="B16" s="115" t="s">
        <v>615</v>
      </c>
      <c r="C16" s="112"/>
      <c r="D16" s="127">
        <v>183023</v>
      </c>
      <c r="E16" s="127">
        <v>243871</v>
      </c>
      <c r="F16" s="127">
        <v>189124</v>
      </c>
      <c r="G16" s="127">
        <v>201113</v>
      </c>
      <c r="H16" s="127">
        <v>155100</v>
      </c>
      <c r="I16" s="127">
        <v>144936</v>
      </c>
      <c r="J16" s="127">
        <f>199745-SUM(J13:J15)</f>
        <v>176744.42071999999</v>
      </c>
      <c r="K16" s="127">
        <f>171717-SUM(K13:K15)</f>
        <v>140345.04882</v>
      </c>
      <c r="L16" s="312">
        <f>188875.881-SUM(L13:L15)</f>
        <v>146281.07303999999</v>
      </c>
      <c r="M16" s="312">
        <f>232936.387-SUM(M13:M15)</f>
        <v>187770.01539999997</v>
      </c>
      <c r="N16" s="312">
        <f>219921.311-SUM(N13:N15)</f>
        <v>175355.21362999998</v>
      </c>
      <c r="O16" s="312">
        <f>200949.74-SUM(O13:O15)</f>
        <v>165566.61291</v>
      </c>
      <c r="P16" s="312">
        <f>206802.162-SUM(P13:P15)</f>
        <v>167544.90194000001</v>
      </c>
      <c r="Q16" s="312">
        <v>179409.8376</v>
      </c>
      <c r="R16" s="312">
        <v>208417.36774999998</v>
      </c>
      <c r="S16" s="312">
        <v>217617.84554000001</v>
      </c>
      <c r="T16" s="312">
        <v>187659.45428000001</v>
      </c>
      <c r="U16" s="312">
        <v>204742.25010999999</v>
      </c>
      <c r="V16" s="312">
        <v>248586.02780000001</v>
      </c>
      <c r="W16" s="312">
        <v>567391.03234999999</v>
      </c>
    </row>
    <row r="17" spans="1:23" ht="15" thickBot="1">
      <c r="A17" s="118" t="s">
        <v>858</v>
      </c>
      <c r="B17" s="118" t="s">
        <v>859</v>
      </c>
      <c r="C17" s="112"/>
      <c r="D17" s="128">
        <v>-593865</v>
      </c>
      <c r="E17" s="128">
        <v>-601269</v>
      </c>
      <c r="F17" s="128">
        <v>-860159</v>
      </c>
      <c r="G17" s="128">
        <v>-621302</v>
      </c>
      <c r="H17" s="128">
        <v>-495498</v>
      </c>
      <c r="I17" s="128">
        <v>-406183</v>
      </c>
      <c r="J17" s="128">
        <v>-515986</v>
      </c>
      <c r="K17" s="128">
        <v>-503091</v>
      </c>
      <c r="L17" s="314">
        <v>-476639.951</v>
      </c>
      <c r="M17" s="314">
        <v>-522388.61200000002</v>
      </c>
      <c r="N17" s="314">
        <v>-596054.96699999995</v>
      </c>
      <c r="O17" s="314">
        <v>-562387.09299999999</v>
      </c>
      <c r="P17" s="314">
        <v>-601746.65800000005</v>
      </c>
      <c r="Q17" s="314">
        <v>-525767.13800000004</v>
      </c>
      <c r="R17" s="314">
        <v>-609981.69400000002</v>
      </c>
      <c r="S17" s="314">
        <v>-634143.56999999995</v>
      </c>
      <c r="T17" s="314">
        <v>-654284.20400000003</v>
      </c>
      <c r="U17" s="314">
        <v>-695595.02800000005</v>
      </c>
      <c r="V17" s="314">
        <v>-815621.59</v>
      </c>
      <c r="W17" s="314">
        <v>-792584.375</v>
      </c>
    </row>
    <row r="18" spans="1:23" ht="15" thickBot="1">
      <c r="A18" s="118" t="s">
        <v>646</v>
      </c>
      <c r="B18" s="118" t="s">
        <v>860</v>
      </c>
      <c r="C18" s="120"/>
      <c r="D18" s="318">
        <f>D9+D17</f>
        <v>1426297</v>
      </c>
      <c r="E18" s="318">
        <f t="shared" ref="E18:K18" si="2">E9+E17</f>
        <v>1412074</v>
      </c>
      <c r="F18" s="318">
        <f t="shared" si="2"/>
        <v>1058513</v>
      </c>
      <c r="G18" s="318">
        <f t="shared" si="2"/>
        <v>901075</v>
      </c>
      <c r="H18" s="318">
        <f t="shared" si="2"/>
        <v>1223883</v>
      </c>
      <c r="I18" s="318">
        <f t="shared" si="2"/>
        <v>1284522</v>
      </c>
      <c r="J18" s="318">
        <f t="shared" si="2"/>
        <v>1295023</v>
      </c>
      <c r="K18" s="318">
        <f t="shared" si="2"/>
        <v>1120159.9999999998</v>
      </c>
      <c r="L18" s="323">
        <f t="shared" ref="L18:Q18" si="3">L9+L17</f>
        <v>1200995.2880000002</v>
      </c>
      <c r="M18" s="323">
        <f t="shared" si="3"/>
        <v>1176660.0309999997</v>
      </c>
      <c r="N18" s="323">
        <f t="shared" si="3"/>
        <v>1279737.0059999998</v>
      </c>
      <c r="O18" s="323">
        <f t="shared" si="3"/>
        <v>1162897.5079999999</v>
      </c>
      <c r="P18" s="323">
        <f t="shared" si="3"/>
        <v>1405256.6770000001</v>
      </c>
      <c r="Q18" s="323">
        <f t="shared" si="3"/>
        <v>1492097.4</v>
      </c>
      <c r="R18" s="323">
        <f t="shared" ref="R18:W18" si="4">R9+R17</f>
        <v>1562326.1839999999</v>
      </c>
      <c r="S18" s="323">
        <f t="shared" si="4"/>
        <v>1406241.6320000002</v>
      </c>
      <c r="T18" s="323">
        <f t="shared" si="4"/>
        <v>1633236.659</v>
      </c>
      <c r="U18" s="323">
        <f t="shared" si="4"/>
        <v>1635341.577</v>
      </c>
      <c r="V18" s="323">
        <f t="shared" si="4"/>
        <v>1758825.3609999996</v>
      </c>
      <c r="W18" s="323">
        <f t="shared" si="4"/>
        <v>1860380.4339999994</v>
      </c>
    </row>
    <row r="19" spans="1:23" ht="15" thickBot="1">
      <c r="A19" s="118" t="s">
        <v>861</v>
      </c>
      <c r="B19" s="118" t="s">
        <v>862</v>
      </c>
      <c r="C19" s="120"/>
      <c r="D19" s="318">
        <f>SUM(D20:D22)</f>
        <v>-1298073</v>
      </c>
      <c r="E19" s="318">
        <f t="shared" ref="E19:K19" si="5">SUM(E20:E22)</f>
        <v>-1028239</v>
      </c>
      <c r="F19" s="318">
        <f t="shared" si="5"/>
        <v>-719352</v>
      </c>
      <c r="G19" s="318">
        <f t="shared" si="5"/>
        <v>-710758</v>
      </c>
      <c r="H19" s="318">
        <f t="shared" si="5"/>
        <v>-993564</v>
      </c>
      <c r="I19" s="318">
        <f t="shared" si="5"/>
        <v>-973998</v>
      </c>
      <c r="J19" s="318">
        <f t="shared" si="5"/>
        <v>-865807</v>
      </c>
      <c r="K19" s="318">
        <f t="shared" si="5"/>
        <v>-872421</v>
      </c>
      <c r="L19" s="323">
        <f t="shared" ref="L19:Q19" si="6">SUM(L20:L22)</f>
        <v>-891871.09400000004</v>
      </c>
      <c r="M19" s="323">
        <f t="shared" si="6"/>
        <v>-826393.81099999999</v>
      </c>
      <c r="N19" s="323">
        <f t="shared" si="6"/>
        <v>-860075.78899999999</v>
      </c>
      <c r="O19" s="323">
        <f t="shared" si="6"/>
        <v>-910557.63599999994</v>
      </c>
      <c r="P19" s="323">
        <f t="shared" si="6"/>
        <v>-1065178.4820000001</v>
      </c>
      <c r="Q19" s="323">
        <f t="shared" si="6"/>
        <v>-1193831.6969999999</v>
      </c>
      <c r="R19" s="323">
        <f>SUM(R20:R22)</f>
        <v>-1077285.0330000001</v>
      </c>
      <c r="S19" s="323">
        <f>SUM(S20:S23)</f>
        <v>-1098992.5970000001</v>
      </c>
      <c r="T19" s="323">
        <f>SUM(T20:T23)</f>
        <v>-1289880.6159999999</v>
      </c>
      <c r="U19" s="323">
        <f>SUM(U20:U23)</f>
        <v>-1219450.7990000001</v>
      </c>
      <c r="V19" s="323">
        <f>SUM(V20:V23)</f>
        <v>-1200816.0260000001</v>
      </c>
      <c r="W19" s="323">
        <f>SUM(W20:W23)</f>
        <v>-1123843.557</v>
      </c>
    </row>
    <row r="20" spans="1:23">
      <c r="A20" s="115" t="s">
        <v>863</v>
      </c>
      <c r="B20" s="115" t="s">
        <v>864</v>
      </c>
      <c r="C20" s="120"/>
      <c r="D20" s="127">
        <v>-936961</v>
      </c>
      <c r="E20" s="127">
        <v>-790737</v>
      </c>
      <c r="F20" s="127">
        <v>-553709</v>
      </c>
      <c r="G20" s="127">
        <v>-503500</v>
      </c>
      <c r="H20" s="127">
        <v>-480778</v>
      </c>
      <c r="I20" s="127">
        <v>-565336</v>
      </c>
      <c r="J20" s="127">
        <v>-501586</v>
      </c>
      <c r="K20" s="127">
        <v>-441505</v>
      </c>
      <c r="L20" s="312">
        <v>-474916</v>
      </c>
      <c r="M20" s="312">
        <v>-550895</v>
      </c>
      <c r="N20" s="312">
        <v>-496207</v>
      </c>
      <c r="O20" s="312">
        <v>-459335</v>
      </c>
      <c r="P20" s="312">
        <v>-626016</v>
      </c>
      <c r="Q20" s="312">
        <v>-622286</v>
      </c>
      <c r="R20" s="312">
        <v>-549690</v>
      </c>
      <c r="S20" s="312">
        <v>-574271</v>
      </c>
      <c r="T20" s="312">
        <v>-662742</v>
      </c>
      <c r="U20" s="312">
        <v>-643881</v>
      </c>
      <c r="V20" s="312">
        <v>-642660</v>
      </c>
      <c r="W20" s="312">
        <v>-590843</v>
      </c>
    </row>
    <row r="21" spans="1:23">
      <c r="A21" s="115" t="s">
        <v>865</v>
      </c>
      <c r="B21" s="115" t="s">
        <v>866</v>
      </c>
      <c r="C21" s="120"/>
      <c r="D21" s="127">
        <v>-121652</v>
      </c>
      <c r="E21" s="127">
        <v>-127340</v>
      </c>
      <c r="F21" s="127">
        <v>-96482</v>
      </c>
      <c r="G21" s="127">
        <v>-111094</v>
      </c>
      <c r="H21" s="127">
        <v>-184073</v>
      </c>
      <c r="I21" s="127">
        <v>-151773</v>
      </c>
      <c r="J21" s="127">
        <v>-156454</v>
      </c>
      <c r="K21" s="127">
        <v>-220660</v>
      </c>
      <c r="L21" s="312">
        <v>-241887</v>
      </c>
      <c r="M21" s="312">
        <v>-238119</v>
      </c>
      <c r="N21" s="312">
        <v>-237060</v>
      </c>
      <c r="O21" s="312">
        <v>-238139</v>
      </c>
      <c r="P21" s="312">
        <v>-214053</v>
      </c>
      <c r="Q21" s="312">
        <v>-217336</v>
      </c>
      <c r="R21" s="312">
        <v>-219401</v>
      </c>
      <c r="S21" s="312">
        <v>-222414</v>
      </c>
      <c r="T21" s="312">
        <v>-241162</v>
      </c>
      <c r="U21" s="312">
        <v>-240450</v>
      </c>
      <c r="V21" s="312">
        <v>-250132</v>
      </c>
      <c r="W21" s="312">
        <v>-251251</v>
      </c>
    </row>
    <row r="22" spans="1:23">
      <c r="A22" s="115" t="s">
        <v>867</v>
      </c>
      <c r="B22" s="115" t="s">
        <v>868</v>
      </c>
      <c r="C22" s="120"/>
      <c r="D22" s="133">
        <v>-239460</v>
      </c>
      <c r="E22" s="133">
        <v>-110162</v>
      </c>
      <c r="F22" s="127">
        <v>-69161</v>
      </c>
      <c r="G22" s="127">
        <v>-96164</v>
      </c>
      <c r="H22" s="127">
        <v>-328713</v>
      </c>
      <c r="I22" s="127">
        <v>-256889</v>
      </c>
      <c r="J22" s="127">
        <v>-207767</v>
      </c>
      <c r="K22" s="127">
        <v>-210256</v>
      </c>
      <c r="L22" s="312">
        <v>-175068.09400000001</v>
      </c>
      <c r="M22" s="312">
        <v>-37379.811000000002</v>
      </c>
      <c r="N22" s="312">
        <v>-126808.789</v>
      </c>
      <c r="O22" s="312">
        <v>-213083.636</v>
      </c>
      <c r="P22" s="312">
        <v>-225109.48199999999</v>
      </c>
      <c r="Q22" s="312">
        <v>-354209.69699999999</v>
      </c>
      <c r="R22" s="312">
        <v>-308194.033</v>
      </c>
      <c r="S22" s="312">
        <v>-302307.59700000001</v>
      </c>
      <c r="T22" s="312">
        <v>-385976.61599999998</v>
      </c>
      <c r="U22" s="312">
        <v>-335119.799</v>
      </c>
      <c r="V22" s="312">
        <v>-308024.02600000001</v>
      </c>
      <c r="W22" s="312">
        <v>-281749.55699999997</v>
      </c>
    </row>
    <row r="23" spans="1:23" ht="15" thickBot="1">
      <c r="A23" s="115" t="s">
        <v>869</v>
      </c>
      <c r="B23" s="115" t="s">
        <v>907</v>
      </c>
      <c r="C23" s="120"/>
      <c r="D23" s="127"/>
      <c r="E23" s="127"/>
      <c r="F23" s="127"/>
      <c r="G23" s="127"/>
      <c r="H23" s="127"/>
      <c r="I23" s="127"/>
      <c r="J23" s="127"/>
      <c r="K23" s="127"/>
      <c r="L23" s="312"/>
      <c r="M23" s="312"/>
      <c r="N23" s="312"/>
      <c r="O23" s="312"/>
      <c r="P23" s="312"/>
      <c r="Q23" s="312"/>
      <c r="R23" s="312"/>
      <c r="S23" s="312"/>
      <c r="T23" s="312"/>
      <c r="U23" s="312"/>
      <c r="V23" s="312"/>
      <c r="W23" s="312"/>
    </row>
    <row r="24" spans="1:23" ht="15" thickBot="1">
      <c r="A24" s="118" t="s">
        <v>871</v>
      </c>
      <c r="B24" s="118" t="s">
        <v>872</v>
      </c>
      <c r="C24" s="120"/>
      <c r="D24" s="128">
        <f>D18+D19</f>
        <v>128224</v>
      </c>
      <c r="E24" s="128">
        <f t="shared" ref="E24:K24" si="7">E18+E19</f>
        <v>383835</v>
      </c>
      <c r="F24" s="128">
        <f t="shared" si="7"/>
        <v>339161</v>
      </c>
      <c r="G24" s="128">
        <f t="shared" si="7"/>
        <v>190317</v>
      </c>
      <c r="H24" s="128">
        <f t="shared" si="7"/>
        <v>230319</v>
      </c>
      <c r="I24" s="128">
        <f t="shared" si="7"/>
        <v>310524</v>
      </c>
      <c r="J24" s="128">
        <f t="shared" si="7"/>
        <v>429216</v>
      </c>
      <c r="K24" s="128">
        <f t="shared" si="7"/>
        <v>247738.99999999977</v>
      </c>
      <c r="L24" s="314">
        <f t="shared" ref="L24:Q24" si="8">L18+L19</f>
        <v>309124.19400000013</v>
      </c>
      <c r="M24" s="314">
        <f t="shared" si="8"/>
        <v>350266.21999999974</v>
      </c>
      <c r="N24" s="314">
        <f t="shared" si="8"/>
        <v>419661.21699999983</v>
      </c>
      <c r="O24" s="314">
        <f t="shared" si="8"/>
        <v>252339.87199999997</v>
      </c>
      <c r="P24" s="314">
        <f t="shared" si="8"/>
        <v>340078.19500000007</v>
      </c>
      <c r="Q24" s="314">
        <f t="shared" si="8"/>
        <v>298265.70299999998</v>
      </c>
      <c r="R24" s="314">
        <f t="shared" ref="R24:W24" si="9">R18+R19</f>
        <v>485041.15099999984</v>
      </c>
      <c r="S24" s="314">
        <f t="shared" si="9"/>
        <v>307249.03500000015</v>
      </c>
      <c r="T24" s="314">
        <f t="shared" si="9"/>
        <v>343356.04300000006</v>
      </c>
      <c r="U24" s="314">
        <f t="shared" si="9"/>
        <v>415890.77799999993</v>
      </c>
      <c r="V24" s="314">
        <f t="shared" si="9"/>
        <v>558009.3349999995</v>
      </c>
      <c r="W24" s="314">
        <f t="shared" si="9"/>
        <v>736536.8769999994</v>
      </c>
    </row>
    <row r="25" spans="1:23" ht="15" thickBot="1">
      <c r="A25" s="118" t="s">
        <v>873</v>
      </c>
      <c r="B25" s="118" t="s">
        <v>874</v>
      </c>
      <c r="C25" s="120"/>
      <c r="D25" s="128">
        <f>SUM(D26:D35)</f>
        <v>-323118</v>
      </c>
      <c r="E25" s="128">
        <f t="shared" ref="E25:K25" si="10">SUM(E26:E35)</f>
        <v>-163860</v>
      </c>
      <c r="F25" s="128">
        <f t="shared" si="10"/>
        <v>-167741</v>
      </c>
      <c r="G25" s="128">
        <f t="shared" si="10"/>
        <v>-188899</v>
      </c>
      <c r="H25" s="128">
        <f t="shared" si="10"/>
        <v>-131390</v>
      </c>
      <c r="I25" s="128">
        <f t="shared" si="10"/>
        <v>-163602</v>
      </c>
      <c r="J25" s="128">
        <f t="shared" si="10"/>
        <v>-165403.99999999997</v>
      </c>
      <c r="K25" s="128">
        <f t="shared" si="10"/>
        <v>-192924</v>
      </c>
      <c r="L25" s="314">
        <f t="shared" ref="L25:Q25" si="11">SUM(L26:L35)</f>
        <v>-204933.73099999997</v>
      </c>
      <c r="M25" s="314">
        <f t="shared" si="11"/>
        <v>-318729.44699999999</v>
      </c>
      <c r="N25" s="314">
        <f t="shared" si="11"/>
        <v>-229031.16799999998</v>
      </c>
      <c r="O25" s="314">
        <f t="shared" si="11"/>
        <v>-240293.49000000002</v>
      </c>
      <c r="P25" s="314">
        <f t="shared" si="11"/>
        <v>-224777.56400000001</v>
      </c>
      <c r="Q25" s="314">
        <f t="shared" si="11"/>
        <v>-173300.18899999998</v>
      </c>
      <c r="R25" s="314">
        <f t="shared" ref="R25:W25" si="12">SUM(R26:R35)</f>
        <v>-187906.95622999998</v>
      </c>
      <c r="S25" s="314">
        <f t="shared" si="12"/>
        <v>-190726.71675999998</v>
      </c>
      <c r="T25" s="314">
        <f t="shared" si="12"/>
        <v>-245907.79693999997</v>
      </c>
      <c r="U25" s="314">
        <f t="shared" si="12"/>
        <v>-294064.36137000006</v>
      </c>
      <c r="V25" s="314">
        <f t="shared" si="12"/>
        <v>-211005.25925</v>
      </c>
      <c r="W25" s="314">
        <f t="shared" si="12"/>
        <v>-286869.84418000001</v>
      </c>
    </row>
    <row r="26" spans="1:23">
      <c r="A26" s="115" t="s">
        <v>875</v>
      </c>
      <c r="B26" s="115" t="s">
        <v>876</v>
      </c>
      <c r="C26" s="120"/>
      <c r="D26" s="127">
        <v>-215289</v>
      </c>
      <c r="E26" s="127">
        <v>-90098</v>
      </c>
      <c r="F26" s="127">
        <v>-71200</v>
      </c>
      <c r="G26" s="127">
        <v>-84086</v>
      </c>
      <c r="H26" s="127">
        <v>-53958</v>
      </c>
      <c r="I26" s="127">
        <v>-66629</v>
      </c>
      <c r="J26" s="127">
        <v>-51397</v>
      </c>
      <c r="K26" s="127">
        <v>-64022</v>
      </c>
      <c r="L26" s="312">
        <v>-57834.985999999997</v>
      </c>
      <c r="M26" s="312">
        <v>-56279.724999999999</v>
      </c>
      <c r="N26" s="312">
        <v>-29996.848000000002</v>
      </c>
      <c r="O26" s="312">
        <v>-37853.355000000003</v>
      </c>
      <c r="P26" s="312">
        <v>-31972.227999999999</v>
      </c>
      <c r="Q26" s="312">
        <v>-18062.127</v>
      </c>
      <c r="R26" s="312">
        <v>-29396.19</v>
      </c>
      <c r="S26" s="312">
        <v>-33480.311999999998</v>
      </c>
      <c r="T26" s="312">
        <v>-30406.798999999999</v>
      </c>
      <c r="U26" s="312">
        <v>-34977.036</v>
      </c>
      <c r="V26" s="312">
        <v>-28173.061000000002</v>
      </c>
      <c r="W26" s="312">
        <v>-42517.235000000001</v>
      </c>
    </row>
    <row r="27" spans="1:23">
      <c r="A27" s="115" t="s">
        <v>877</v>
      </c>
      <c r="B27" s="115" t="s">
        <v>877</v>
      </c>
      <c r="C27" s="120"/>
      <c r="D27" s="127">
        <v>-4778</v>
      </c>
      <c r="E27" s="127">
        <v>-2619</v>
      </c>
      <c r="F27" s="127">
        <v>-4575</v>
      </c>
      <c r="G27" s="127">
        <v>-3232</v>
      </c>
      <c r="H27" s="127">
        <v>-2824</v>
      </c>
      <c r="I27" s="127">
        <v>-1450</v>
      </c>
      <c r="J27" s="127">
        <v>-1680</v>
      </c>
      <c r="K27" s="127">
        <v>1159</v>
      </c>
      <c r="L27" s="312">
        <v>-86.082999999999998</v>
      </c>
      <c r="M27" s="312">
        <v>-8860.8590000000004</v>
      </c>
      <c r="N27" s="312">
        <v>-2122.3339999999998</v>
      </c>
      <c r="O27" s="312">
        <v>-5156.58</v>
      </c>
      <c r="P27" s="312">
        <v>-6826.0259999999998</v>
      </c>
      <c r="Q27" s="312">
        <v>-6536.5060000000003</v>
      </c>
      <c r="R27" s="312">
        <v>-2599.1410000000001</v>
      </c>
      <c r="S27" s="312">
        <v>-5398.46</v>
      </c>
      <c r="T27" s="312">
        <v>-4239.7269999999999</v>
      </c>
      <c r="U27" s="312">
        <v>-5427.2489999999998</v>
      </c>
      <c r="V27" s="312">
        <v>-5669.2839999999997</v>
      </c>
      <c r="W27" s="312">
        <v>11155.876</v>
      </c>
    </row>
    <row r="28" spans="1:23">
      <c r="A28" s="115" t="s">
        <v>878</v>
      </c>
      <c r="B28" s="115" t="s">
        <v>879</v>
      </c>
      <c r="C28" s="324"/>
      <c r="D28" s="127">
        <v>-36883</v>
      </c>
      <c r="E28" s="127">
        <v>-52788</v>
      </c>
      <c r="F28" s="127">
        <v>-41530</v>
      </c>
      <c r="G28" s="127">
        <v>-70938</v>
      </c>
      <c r="H28" s="127">
        <v>-69136</v>
      </c>
      <c r="I28" s="127">
        <v>-87903</v>
      </c>
      <c r="J28" s="127">
        <v>-77707</v>
      </c>
      <c r="K28" s="127">
        <v>-85856</v>
      </c>
      <c r="L28" s="312">
        <v>-79067.788</v>
      </c>
      <c r="M28" s="312">
        <v>-96183.38</v>
      </c>
      <c r="N28" s="312">
        <v>-107939.9</v>
      </c>
      <c r="O28" s="312">
        <v>-82515.936000000002</v>
      </c>
      <c r="P28" s="312">
        <v>-94447.395000000004</v>
      </c>
      <c r="Q28" s="312">
        <v>-117811.98299999999</v>
      </c>
      <c r="R28" s="312">
        <v>-111541.091</v>
      </c>
      <c r="S28" s="312">
        <v>-115537.098</v>
      </c>
      <c r="T28" s="312">
        <v>-127897.034</v>
      </c>
      <c r="U28" s="312">
        <v>-143096.6</v>
      </c>
      <c r="V28" s="312">
        <v>-119570.69</v>
      </c>
      <c r="W28" s="312">
        <v>-114955.357</v>
      </c>
    </row>
    <row r="29" spans="1:23">
      <c r="A29" s="115" t="s">
        <v>880</v>
      </c>
      <c r="B29" s="115" t="s">
        <v>881</v>
      </c>
      <c r="C29" s="120"/>
      <c r="D29" s="127">
        <v>-55842</v>
      </c>
      <c r="E29" s="127">
        <v>-12256</v>
      </c>
      <c r="F29" s="127">
        <v>-44511</v>
      </c>
      <c r="G29" s="127">
        <v>-32931</v>
      </c>
      <c r="H29" s="127">
        <v>-4645</v>
      </c>
      <c r="I29" s="127">
        <v>-9248</v>
      </c>
      <c r="J29" s="127">
        <f>-36336-J30</f>
        <v>-27277.874339999995</v>
      </c>
      <c r="K29" s="127">
        <f>-46797-K30</f>
        <v>-29880.622050000009</v>
      </c>
      <c r="L29" s="312">
        <f>-49844.681-L30</f>
        <v>-29110.574649999999</v>
      </c>
      <c r="M29" s="312">
        <f>-45455.191-M30</f>
        <v>2281.7346099999995</v>
      </c>
      <c r="N29" s="312">
        <f>-60686.126-N30</f>
        <v>-39917.168269999995</v>
      </c>
      <c r="O29" s="312">
        <f>-51312.66-O30</f>
        <v>-41726.586200000005</v>
      </c>
      <c r="P29" s="312">
        <f>-52854.779-P30</f>
        <v>-40707.083099999996</v>
      </c>
      <c r="Q29" s="312">
        <v>-2771.6424800000059</v>
      </c>
      <c r="R29" s="312">
        <v>-34897.224620000001</v>
      </c>
      <c r="S29" s="312">
        <v>-2918.9105299999956</v>
      </c>
      <c r="T29" s="312">
        <v>-25632.641090000005</v>
      </c>
      <c r="U29" s="312">
        <v>28815.480810000005</v>
      </c>
      <c r="V29" s="312">
        <v>-27385.654859999999</v>
      </c>
      <c r="W29" s="312">
        <v>1085.2970299999938</v>
      </c>
    </row>
    <row r="30" spans="1:23">
      <c r="A30" s="115" t="s">
        <v>882</v>
      </c>
      <c r="B30" s="115" t="s">
        <v>883</v>
      </c>
      <c r="C30" s="120"/>
      <c r="D30" s="127"/>
      <c r="E30" s="127"/>
      <c r="F30" s="127"/>
      <c r="G30" s="127"/>
      <c r="H30" s="127"/>
      <c r="I30" s="127"/>
      <c r="J30" s="127">
        <v>-9058.1256600000033</v>
      </c>
      <c r="K30" s="127">
        <v>-16916.377949999991</v>
      </c>
      <c r="L30" s="312">
        <v>-20734.106349999998</v>
      </c>
      <c r="M30" s="312">
        <v>-47736.925609999998</v>
      </c>
      <c r="N30" s="312">
        <v>-20768.957730000006</v>
      </c>
      <c r="O30" s="312">
        <v>-9586.0737999999983</v>
      </c>
      <c r="P30" s="312">
        <v>-12147.695900000006</v>
      </c>
      <c r="Q30" s="312">
        <v>-13821.294519999996</v>
      </c>
      <c r="R30" s="312">
        <v>-15377.398609999998</v>
      </c>
      <c r="S30" s="312">
        <v>-22361.350230000007</v>
      </c>
      <c r="T30" s="312">
        <v>-8801.1168499999912</v>
      </c>
      <c r="U30" s="312">
        <v>-16744.838180000017</v>
      </c>
      <c r="V30" s="312">
        <v>-21256.728390000015</v>
      </c>
      <c r="W30" s="312">
        <v>-18381.108209999995</v>
      </c>
    </row>
    <row r="31" spans="1:23">
      <c r="A31" s="115" t="s">
        <v>95</v>
      </c>
      <c r="B31" s="115" t="s">
        <v>884</v>
      </c>
      <c r="C31" s="120"/>
      <c r="D31" s="127">
        <v>-8848</v>
      </c>
      <c r="E31" s="127">
        <v>-6099</v>
      </c>
      <c r="F31" s="127">
        <v>-6453</v>
      </c>
      <c r="G31" s="127">
        <v>186</v>
      </c>
      <c r="H31" s="127">
        <v>-1814</v>
      </c>
      <c r="I31" s="127">
        <v>10022</v>
      </c>
      <c r="J31" s="127">
        <v>-203</v>
      </c>
      <c r="K31" s="127">
        <v>2300</v>
      </c>
      <c r="L31" s="312">
        <v>-16359.593000000001</v>
      </c>
      <c r="M31" s="312">
        <v>-6172.7740000000003</v>
      </c>
      <c r="N31" s="312">
        <v>-8932.5360000000001</v>
      </c>
      <c r="O31" s="312">
        <v>-12371.710999999999</v>
      </c>
      <c r="P31" s="312">
        <v>-10855.234</v>
      </c>
      <c r="Q31" s="312">
        <v>-70423.160999999993</v>
      </c>
      <c r="R31" s="312">
        <v>-7709.8639999999996</v>
      </c>
      <c r="S31" s="312">
        <v>-1524.672</v>
      </c>
      <c r="T31" s="312">
        <v>-14823.387000000001</v>
      </c>
      <c r="U31" s="312">
        <v>-8263.6790000000001</v>
      </c>
      <c r="V31" s="312">
        <v>-9882.348</v>
      </c>
      <c r="W31" s="312">
        <v>-8779.9500000000007</v>
      </c>
    </row>
    <row r="32" spans="1:23">
      <c r="A32" s="115" t="s">
        <v>885</v>
      </c>
      <c r="B32" s="115" t="s">
        <v>886</v>
      </c>
      <c r="C32" s="120"/>
      <c r="D32" s="127"/>
      <c r="E32" s="127"/>
      <c r="F32" s="127"/>
      <c r="G32" s="127"/>
      <c r="H32" s="127"/>
      <c r="I32" s="127"/>
      <c r="J32" s="127"/>
      <c r="K32" s="127"/>
      <c r="L32" s="312"/>
      <c r="M32" s="312"/>
      <c r="N32" s="312"/>
      <c r="O32" s="312"/>
      <c r="P32" s="312"/>
      <c r="Q32" s="312"/>
      <c r="R32" s="312"/>
      <c r="S32" s="312"/>
      <c r="T32" s="312"/>
      <c r="U32" s="312"/>
      <c r="V32" s="312"/>
      <c r="W32" s="312"/>
    </row>
    <row r="33" spans="1:23">
      <c r="A33" s="115" t="s">
        <v>887</v>
      </c>
      <c r="B33" s="115" t="s">
        <v>888</v>
      </c>
      <c r="C33" s="120"/>
      <c r="D33" s="127"/>
      <c r="E33" s="127"/>
      <c r="F33" s="127"/>
      <c r="G33" s="127"/>
      <c r="H33" s="127"/>
      <c r="I33" s="127"/>
      <c r="J33" s="127"/>
      <c r="K33" s="127"/>
      <c r="L33" s="312"/>
      <c r="M33" s="312"/>
      <c r="N33" s="312"/>
      <c r="O33" s="312"/>
      <c r="P33" s="312"/>
      <c r="Q33" s="312"/>
      <c r="R33" s="312"/>
      <c r="S33" s="312"/>
      <c r="T33" s="312"/>
      <c r="U33" s="312"/>
      <c r="V33" s="312"/>
      <c r="W33" s="312"/>
    </row>
    <row r="34" spans="1:23">
      <c r="A34" s="115" t="s">
        <v>889</v>
      </c>
      <c r="B34" s="115" t="s">
        <v>890</v>
      </c>
      <c r="C34" s="120"/>
      <c r="D34" s="127"/>
      <c r="E34" s="127"/>
      <c r="F34" s="127"/>
      <c r="G34" s="127"/>
      <c r="H34" s="127"/>
      <c r="I34" s="127"/>
      <c r="J34" s="127"/>
      <c r="K34" s="127"/>
      <c r="L34" s="312"/>
      <c r="M34" s="312"/>
      <c r="N34" s="312"/>
      <c r="O34" s="312"/>
      <c r="P34" s="312"/>
      <c r="Q34" s="312"/>
      <c r="R34" s="312"/>
      <c r="S34" s="312"/>
      <c r="T34" s="312"/>
      <c r="U34" s="312"/>
      <c r="V34" s="312"/>
      <c r="W34" s="312"/>
    </row>
    <row r="35" spans="1:23">
      <c r="A35" s="115" t="s">
        <v>891</v>
      </c>
      <c r="B35" s="115" t="s">
        <v>892</v>
      </c>
      <c r="C35" s="112"/>
      <c r="D35" s="127">
        <v>-1478</v>
      </c>
      <c r="E35" s="127">
        <v>0</v>
      </c>
      <c r="F35" s="127">
        <v>528</v>
      </c>
      <c r="G35" s="127">
        <v>2102</v>
      </c>
      <c r="H35" s="127">
        <v>987</v>
      </c>
      <c r="I35" s="127">
        <v>-8394</v>
      </c>
      <c r="J35" s="127">
        <v>1919</v>
      </c>
      <c r="K35" s="127">
        <v>292</v>
      </c>
      <c r="L35" s="312">
        <v>-1740.6</v>
      </c>
      <c r="M35" s="312">
        <v>-105777.518</v>
      </c>
      <c r="N35" s="312">
        <v>-19353.423999999999</v>
      </c>
      <c r="O35" s="312">
        <v>-51083.248</v>
      </c>
      <c r="P35" s="312">
        <v>-27821.901999999998</v>
      </c>
      <c r="Q35" s="312">
        <v>56126.525000000001</v>
      </c>
      <c r="R35" s="312">
        <v>13613.953</v>
      </c>
      <c r="S35" s="312">
        <v>-9505.9140000000007</v>
      </c>
      <c r="T35" s="312">
        <v>-34107.091999999997</v>
      </c>
      <c r="U35" s="312">
        <v>-114370.44</v>
      </c>
      <c r="V35" s="312">
        <v>932.50699999999995</v>
      </c>
      <c r="W35" s="312">
        <v>-114477.367</v>
      </c>
    </row>
    <row r="36" spans="1:23">
      <c r="A36" s="455" t="s">
        <v>722</v>
      </c>
      <c r="B36" s="455" t="s">
        <v>722</v>
      </c>
      <c r="C36" s="120"/>
      <c r="D36" s="452">
        <f>D24+D25</f>
        <v>-194894</v>
      </c>
      <c r="E36" s="452">
        <f t="shared" ref="E36:K36" si="13">E24+E25</f>
        <v>219975</v>
      </c>
      <c r="F36" s="452">
        <f t="shared" si="13"/>
        <v>171420</v>
      </c>
      <c r="G36" s="452">
        <f t="shared" si="13"/>
        <v>1418</v>
      </c>
      <c r="H36" s="452">
        <f t="shared" si="13"/>
        <v>98929</v>
      </c>
      <c r="I36" s="452">
        <f t="shared" si="13"/>
        <v>146922</v>
      </c>
      <c r="J36" s="452">
        <f t="shared" si="13"/>
        <v>263812</v>
      </c>
      <c r="K36" s="452">
        <f t="shared" si="13"/>
        <v>54814.999999999767</v>
      </c>
      <c r="L36" s="464">
        <f t="shared" ref="L36:R36" si="14">L24+L25</f>
        <v>104190.46300000016</v>
      </c>
      <c r="M36" s="464">
        <f t="shared" si="14"/>
        <v>31536.772999999754</v>
      </c>
      <c r="N36" s="464">
        <f t="shared" si="14"/>
        <v>190630.04899999985</v>
      </c>
      <c r="O36" s="464">
        <f t="shared" si="14"/>
        <v>12046.381999999954</v>
      </c>
      <c r="P36" s="464">
        <f t="shared" si="14"/>
        <v>115300.63100000005</v>
      </c>
      <c r="Q36" s="464">
        <f>Q24+Q25</f>
        <v>124965.514</v>
      </c>
      <c r="R36" s="464">
        <f t="shared" si="14"/>
        <v>297134.19476999983</v>
      </c>
      <c r="S36" s="464">
        <f>S18+S19+S25</f>
        <v>116522.31824000017</v>
      </c>
      <c r="T36" s="464">
        <f>T18+T19+T25</f>
        <v>97448.246060000092</v>
      </c>
      <c r="U36" s="464">
        <f>U18+U19+U25</f>
        <v>121826.41662999988</v>
      </c>
      <c r="V36" s="464">
        <f>V18+V19+V25</f>
        <v>347004.07574999949</v>
      </c>
      <c r="W36" s="464">
        <f>W18+W19+W25</f>
        <v>449667.03281999938</v>
      </c>
    </row>
    <row r="37" spans="1:23" ht="15" thickBot="1">
      <c r="A37" s="115" t="s">
        <v>893</v>
      </c>
      <c r="B37" s="115" t="s">
        <v>894</v>
      </c>
      <c r="C37" s="112"/>
      <c r="D37" s="127">
        <v>-41933</v>
      </c>
      <c r="E37" s="127">
        <v>-41796</v>
      </c>
      <c r="F37" s="127">
        <v>-41330</v>
      </c>
      <c r="G37" s="127">
        <v>-41003</v>
      </c>
      <c r="H37" s="127">
        <v>-41016</v>
      </c>
      <c r="I37" s="127">
        <v>-40992</v>
      </c>
      <c r="J37" s="127">
        <v>-40222</v>
      </c>
      <c r="K37" s="127">
        <v>-37003</v>
      </c>
      <c r="L37" s="312">
        <v>-31155.850999999999</v>
      </c>
      <c r="M37" s="312">
        <v>-40484.841</v>
      </c>
      <c r="N37" s="312">
        <v>-34687.699000000001</v>
      </c>
      <c r="O37" s="312">
        <v>-35394.32</v>
      </c>
      <c r="P37" s="312">
        <v>-39908.748</v>
      </c>
      <c r="Q37" s="312">
        <v>-48289.741000000002</v>
      </c>
      <c r="R37" s="312">
        <v>-45710.144</v>
      </c>
      <c r="S37" s="312">
        <v>-66730.066000000006</v>
      </c>
      <c r="T37" s="312">
        <v>-58707.283000000003</v>
      </c>
      <c r="U37" s="312">
        <v>-101415.29</v>
      </c>
      <c r="V37" s="312">
        <v>-81651.164000000004</v>
      </c>
      <c r="W37" s="312">
        <v>-117496.936</v>
      </c>
    </row>
    <row r="38" spans="1:23" ht="15" thickBot="1">
      <c r="A38" s="118" t="s">
        <v>895</v>
      </c>
      <c r="B38" s="118" t="s">
        <v>896</v>
      </c>
      <c r="C38" s="112"/>
      <c r="D38" s="128">
        <f>D36+D37</f>
        <v>-236827</v>
      </c>
      <c r="E38" s="128">
        <f t="shared" ref="E38:K38" si="15">E36+E37</f>
        <v>178179</v>
      </c>
      <c r="F38" s="128">
        <f t="shared" si="15"/>
        <v>130090</v>
      </c>
      <c r="G38" s="128">
        <f t="shared" si="15"/>
        <v>-39585</v>
      </c>
      <c r="H38" s="128">
        <f t="shared" si="15"/>
        <v>57913</v>
      </c>
      <c r="I38" s="128">
        <f t="shared" si="15"/>
        <v>105930</v>
      </c>
      <c r="J38" s="128">
        <f t="shared" si="15"/>
        <v>223590</v>
      </c>
      <c r="K38" s="128">
        <f t="shared" si="15"/>
        <v>17811.999999999767</v>
      </c>
      <c r="L38" s="314">
        <f t="shared" ref="L38:Q38" si="16">L36+L37</f>
        <v>73034.612000000168</v>
      </c>
      <c r="M38" s="314">
        <f t="shared" si="16"/>
        <v>-8948.0680000002467</v>
      </c>
      <c r="N38" s="314">
        <f t="shared" si="16"/>
        <v>155942.34999999986</v>
      </c>
      <c r="O38" s="314">
        <f t="shared" si="16"/>
        <v>-23347.938000000046</v>
      </c>
      <c r="P38" s="314">
        <f t="shared" si="16"/>
        <v>75391.88300000006</v>
      </c>
      <c r="Q38" s="314">
        <f t="shared" si="16"/>
        <v>76675.772999999986</v>
      </c>
      <c r="R38" s="314">
        <f>R36+R37</f>
        <v>251424.05076999983</v>
      </c>
      <c r="S38" s="314">
        <f>SUM(S36:S37)</f>
        <v>49792.252240000162</v>
      </c>
      <c r="T38" s="314">
        <f>SUM(T36:T37)</f>
        <v>38740.963060000089</v>
      </c>
      <c r="U38" s="314">
        <f>SUM(U36:U37)</f>
        <v>20411.126629999882</v>
      </c>
      <c r="V38" s="314">
        <f>SUM(V36:V37)</f>
        <v>265352.9117499995</v>
      </c>
      <c r="W38" s="314">
        <f>SUM(W36:W37)</f>
        <v>332170.09681999939</v>
      </c>
    </row>
    <row r="39" spans="1:23" ht="15" thickBot="1">
      <c r="A39" s="118" t="s">
        <v>725</v>
      </c>
      <c r="B39" s="118" t="s">
        <v>897</v>
      </c>
      <c r="C39" s="112"/>
      <c r="D39" s="318">
        <f>SUM(D40:D41)</f>
        <v>-173566</v>
      </c>
      <c r="E39" s="318">
        <f t="shared" ref="E39:K39" si="17">SUM(E40:E41)</f>
        <v>134667</v>
      </c>
      <c r="F39" s="318">
        <f t="shared" si="17"/>
        <v>-113664</v>
      </c>
      <c r="G39" s="318">
        <f t="shared" si="17"/>
        <v>-59958</v>
      </c>
      <c r="H39" s="318">
        <f t="shared" si="17"/>
        <v>-68132</v>
      </c>
      <c r="I39" s="318">
        <f t="shared" si="17"/>
        <v>-278769</v>
      </c>
      <c r="J39" s="318">
        <f t="shared" si="17"/>
        <v>-182065</v>
      </c>
      <c r="K39" s="318">
        <f t="shared" si="17"/>
        <v>-177797</v>
      </c>
      <c r="L39" s="323">
        <f t="shared" ref="L39:Q39" si="18">SUM(L40:L41)</f>
        <v>-175179.37599999999</v>
      </c>
      <c r="M39" s="323">
        <f t="shared" si="18"/>
        <v>-222005.50399999996</v>
      </c>
      <c r="N39" s="323">
        <f t="shared" si="18"/>
        <v>-171938.60700000002</v>
      </c>
      <c r="O39" s="323">
        <f t="shared" si="18"/>
        <v>-192633.68100000004</v>
      </c>
      <c r="P39" s="323">
        <f t="shared" si="18"/>
        <v>-208731.23799999998</v>
      </c>
      <c r="Q39" s="323">
        <f t="shared" si="18"/>
        <v>-199236.09699999995</v>
      </c>
      <c r="R39" s="323">
        <f t="shared" ref="R39:W39" si="19">SUM(R40:R41)</f>
        <v>-254805.95400000003</v>
      </c>
      <c r="S39" s="323">
        <f t="shared" si="19"/>
        <v>-285120.03300000005</v>
      </c>
      <c r="T39" s="323">
        <f t="shared" si="19"/>
        <v>-302118.08499999996</v>
      </c>
      <c r="U39" s="323">
        <f t="shared" si="19"/>
        <v>-222907.5</v>
      </c>
      <c r="V39" s="323">
        <f t="shared" si="19"/>
        <v>-306159.37299999996</v>
      </c>
      <c r="W39" s="323">
        <f t="shared" si="19"/>
        <v>-258782.48800000001</v>
      </c>
    </row>
    <row r="40" spans="1:23">
      <c r="A40" s="115" t="s">
        <v>727</v>
      </c>
      <c r="B40" s="115" t="s">
        <v>898</v>
      </c>
      <c r="C40" s="112"/>
      <c r="D40" s="127">
        <v>233252</v>
      </c>
      <c r="E40" s="127">
        <v>155385</v>
      </c>
      <c r="F40" s="127">
        <v>251472</v>
      </c>
      <c r="G40" s="127">
        <v>150921</v>
      </c>
      <c r="H40" s="127">
        <v>199175</v>
      </c>
      <c r="I40" s="127">
        <v>76235</v>
      </c>
      <c r="J40" s="127">
        <v>119110</v>
      </c>
      <c r="K40" s="127">
        <v>103313</v>
      </c>
      <c r="L40" s="312">
        <v>139025.43900000001</v>
      </c>
      <c r="M40" s="312">
        <v>99943.531000000003</v>
      </c>
      <c r="N40" s="312">
        <v>169128.136</v>
      </c>
      <c r="O40" s="312">
        <v>180883.69699999999</v>
      </c>
      <c r="P40" s="312">
        <v>149427.63800000001</v>
      </c>
      <c r="Q40" s="312">
        <v>271261.46500000003</v>
      </c>
      <c r="R40" s="312">
        <v>320858.88</v>
      </c>
      <c r="S40" s="312">
        <v>202608.829</v>
      </c>
      <c r="T40" s="312">
        <v>145128.95300000001</v>
      </c>
      <c r="U40" s="312">
        <v>199980.5</v>
      </c>
      <c r="V40" s="312">
        <v>463214.61700000003</v>
      </c>
      <c r="W40" s="312">
        <v>412476.424</v>
      </c>
    </row>
    <row r="41" spans="1:23" ht="15" thickBot="1">
      <c r="A41" s="115" t="s">
        <v>744</v>
      </c>
      <c r="B41" s="115" t="s">
        <v>745</v>
      </c>
      <c r="C41" s="112"/>
      <c r="D41" s="127">
        <v>-406818</v>
      </c>
      <c r="E41" s="127">
        <v>-20718</v>
      </c>
      <c r="F41" s="127">
        <v>-365136</v>
      </c>
      <c r="G41" s="127">
        <v>-210879</v>
      </c>
      <c r="H41" s="127">
        <v>-267307</v>
      </c>
      <c r="I41" s="127">
        <v>-355004</v>
      </c>
      <c r="J41" s="127">
        <v>-301175</v>
      </c>
      <c r="K41" s="127">
        <v>-281110</v>
      </c>
      <c r="L41" s="312">
        <v>-314204.815</v>
      </c>
      <c r="M41" s="312">
        <v>-321949.03499999997</v>
      </c>
      <c r="N41" s="312">
        <v>-341066.74300000002</v>
      </c>
      <c r="O41" s="312">
        <v>-373517.37800000003</v>
      </c>
      <c r="P41" s="312">
        <v>-358158.87599999999</v>
      </c>
      <c r="Q41" s="312">
        <v>-470497.56199999998</v>
      </c>
      <c r="R41" s="312">
        <v>-575664.83400000003</v>
      </c>
      <c r="S41" s="312">
        <v>-487728.86200000002</v>
      </c>
      <c r="T41" s="312">
        <v>-447247.038</v>
      </c>
      <c r="U41" s="312">
        <v>-422888</v>
      </c>
      <c r="V41" s="312">
        <v>-769373.99</v>
      </c>
      <c r="W41" s="312">
        <v>-671258.91200000001</v>
      </c>
    </row>
    <row r="42" spans="1:23" ht="15" thickBot="1">
      <c r="A42" s="118" t="s">
        <v>899</v>
      </c>
      <c r="B42" s="118" t="s">
        <v>724</v>
      </c>
      <c r="C42" s="112"/>
      <c r="D42" s="128">
        <f>D38+D39</f>
        <v>-410393</v>
      </c>
      <c r="E42" s="128">
        <f t="shared" ref="E42:K42" si="20">E38+E39</f>
        <v>312846</v>
      </c>
      <c r="F42" s="128">
        <f t="shared" si="20"/>
        <v>16426</v>
      </c>
      <c r="G42" s="128">
        <f t="shared" si="20"/>
        <v>-99543</v>
      </c>
      <c r="H42" s="128">
        <f t="shared" si="20"/>
        <v>-10219</v>
      </c>
      <c r="I42" s="128">
        <f t="shared" si="20"/>
        <v>-172839</v>
      </c>
      <c r="J42" s="128">
        <f t="shared" si="20"/>
        <v>41525</v>
      </c>
      <c r="K42" s="128">
        <f t="shared" si="20"/>
        <v>-159985.00000000023</v>
      </c>
      <c r="L42" s="314">
        <f t="shared" ref="L42:R42" si="21">L38+L39</f>
        <v>-102144.76399999982</v>
      </c>
      <c r="M42" s="314">
        <f t="shared" si="21"/>
        <v>-230953.57200000022</v>
      </c>
      <c r="N42" s="314">
        <f t="shared" si="21"/>
        <v>-15996.257000000158</v>
      </c>
      <c r="O42" s="314">
        <f t="shared" si="21"/>
        <v>-215981.61900000009</v>
      </c>
      <c r="P42" s="314">
        <f t="shared" si="21"/>
        <v>-133339.35499999992</v>
      </c>
      <c r="Q42" s="314">
        <f t="shared" si="21"/>
        <v>-122560.32399999996</v>
      </c>
      <c r="R42" s="314">
        <f t="shared" si="21"/>
        <v>-3381.9032300002</v>
      </c>
      <c r="S42" s="314">
        <f>SUM(S38:S39)</f>
        <v>-235327.78075999988</v>
      </c>
      <c r="T42" s="314">
        <f>SUM(T38:T39)</f>
        <v>-263377.12193999987</v>
      </c>
      <c r="U42" s="314">
        <f>SUM(U38:U39)</f>
        <v>-202496.3733700001</v>
      </c>
      <c r="V42" s="314">
        <f>SUM(V38:V39)</f>
        <v>-40806.461250000459</v>
      </c>
      <c r="W42" s="314">
        <f>SUM(W38:W39)</f>
        <v>73387.608819999383</v>
      </c>
    </row>
    <row r="43" spans="1:23">
      <c r="A43" s="115" t="s">
        <v>768</v>
      </c>
      <c r="B43" s="115" t="s">
        <v>769</v>
      </c>
      <c r="C43" s="112"/>
      <c r="D43" s="127">
        <v>0</v>
      </c>
      <c r="E43" s="127">
        <v>0</v>
      </c>
      <c r="F43" s="127">
        <v>0</v>
      </c>
      <c r="G43" s="127">
        <v>-398</v>
      </c>
      <c r="H43" s="127">
        <v>398</v>
      </c>
      <c r="I43" s="127">
        <v>0</v>
      </c>
      <c r="J43" s="127">
        <v>-145</v>
      </c>
      <c r="K43" s="127">
        <v>145</v>
      </c>
      <c r="L43" s="312">
        <v>0</v>
      </c>
      <c r="M43" s="312">
        <v>0</v>
      </c>
      <c r="N43" s="312">
        <v>0</v>
      </c>
      <c r="O43" s="312">
        <v>0</v>
      </c>
      <c r="P43" s="312">
        <v>0</v>
      </c>
      <c r="Q43" s="312">
        <v>0</v>
      </c>
      <c r="R43" s="312">
        <v>0</v>
      </c>
      <c r="S43" s="312">
        <v>0</v>
      </c>
      <c r="T43" s="312">
        <v>0</v>
      </c>
      <c r="U43" s="312">
        <v>0</v>
      </c>
      <c r="V43" s="312">
        <v>0</v>
      </c>
      <c r="W43" s="312">
        <v>0</v>
      </c>
    </row>
    <row r="44" spans="1:23">
      <c r="A44" s="115" t="s">
        <v>770</v>
      </c>
      <c r="B44" s="115" t="s">
        <v>771</v>
      </c>
      <c r="C44" s="112"/>
      <c r="D44" s="127">
        <v>0</v>
      </c>
      <c r="E44" s="127">
        <v>0</v>
      </c>
      <c r="F44" s="127">
        <v>0</v>
      </c>
      <c r="G44" s="127">
        <v>-1094</v>
      </c>
      <c r="H44" s="127">
        <v>1094</v>
      </c>
      <c r="I44" s="127">
        <v>0</v>
      </c>
      <c r="J44" s="127">
        <v>-392</v>
      </c>
      <c r="K44" s="127">
        <v>392</v>
      </c>
      <c r="L44" s="312">
        <v>0</v>
      </c>
      <c r="M44" s="312">
        <v>0</v>
      </c>
      <c r="N44" s="312">
        <v>0</v>
      </c>
      <c r="O44" s="312">
        <v>0</v>
      </c>
      <c r="P44" s="312">
        <v>0</v>
      </c>
      <c r="Q44" s="312">
        <v>0</v>
      </c>
      <c r="R44" s="312">
        <v>0</v>
      </c>
      <c r="S44" s="312">
        <v>0</v>
      </c>
      <c r="T44" s="312">
        <v>0</v>
      </c>
      <c r="U44" s="312">
        <v>0</v>
      </c>
      <c r="V44" s="312">
        <v>0</v>
      </c>
      <c r="W44" s="312">
        <v>0</v>
      </c>
    </row>
    <row r="45" spans="1:23">
      <c r="A45" s="115" t="s">
        <v>900</v>
      </c>
      <c r="B45" s="115" t="s">
        <v>901</v>
      </c>
      <c r="C45" s="112"/>
      <c r="D45" s="127">
        <v>0</v>
      </c>
      <c r="E45" s="127">
        <v>0</v>
      </c>
      <c r="F45" s="127">
        <v>0</v>
      </c>
      <c r="G45" s="127">
        <v>0</v>
      </c>
      <c r="H45" s="127">
        <v>0</v>
      </c>
      <c r="I45" s="127">
        <v>0</v>
      </c>
      <c r="J45" s="127">
        <v>0</v>
      </c>
      <c r="K45" s="127">
        <v>0</v>
      </c>
      <c r="L45" s="312">
        <v>0</v>
      </c>
      <c r="M45" s="312">
        <v>0</v>
      </c>
      <c r="N45" s="312">
        <v>48989.485999999997</v>
      </c>
      <c r="O45" s="312">
        <v>0</v>
      </c>
      <c r="P45" s="312">
        <v>0</v>
      </c>
      <c r="Q45" s="312">
        <v>0</v>
      </c>
      <c r="R45" s="312">
        <v>0</v>
      </c>
      <c r="S45" s="312">
        <v>0</v>
      </c>
      <c r="T45" s="312">
        <v>0</v>
      </c>
      <c r="U45" s="312">
        <v>0</v>
      </c>
      <c r="V45" s="312">
        <v>0</v>
      </c>
      <c r="W45" s="312">
        <v>0</v>
      </c>
    </row>
    <row r="46" spans="1:23" ht="15" thickBot="1">
      <c r="A46" s="115" t="s">
        <v>772</v>
      </c>
      <c r="B46" s="115" t="s">
        <v>902</v>
      </c>
      <c r="C46" s="112"/>
      <c r="D46" s="127">
        <v>0</v>
      </c>
      <c r="E46" s="127">
        <v>0</v>
      </c>
      <c r="F46" s="127">
        <v>0</v>
      </c>
      <c r="G46" s="127">
        <v>0</v>
      </c>
      <c r="H46" s="127">
        <v>0</v>
      </c>
      <c r="I46" s="127">
        <v>0</v>
      </c>
      <c r="J46" s="127">
        <v>0</v>
      </c>
      <c r="K46" s="127">
        <v>0</v>
      </c>
      <c r="L46" s="312">
        <v>0</v>
      </c>
      <c r="M46" s="312">
        <v>0</v>
      </c>
      <c r="N46" s="312">
        <v>0</v>
      </c>
      <c r="O46" s="312">
        <v>0</v>
      </c>
      <c r="P46" s="312">
        <v>0</v>
      </c>
      <c r="Q46" s="312">
        <v>0</v>
      </c>
      <c r="R46" s="312">
        <v>0</v>
      </c>
      <c r="S46" s="312">
        <v>0</v>
      </c>
      <c r="T46" s="312">
        <v>0</v>
      </c>
      <c r="U46" s="312">
        <v>0</v>
      </c>
      <c r="V46" s="312">
        <v>0</v>
      </c>
      <c r="W46" s="312">
        <v>0</v>
      </c>
    </row>
    <row r="47" spans="1:23" ht="15" thickBot="1">
      <c r="A47" s="118" t="s">
        <v>903</v>
      </c>
      <c r="B47" s="118" t="s">
        <v>777</v>
      </c>
      <c r="C47" s="112"/>
      <c r="D47" s="322">
        <f>SUM(D42:D46)</f>
        <v>-410393</v>
      </c>
      <c r="E47" s="322">
        <f t="shared" ref="E47:K47" si="22">SUM(E42:E46)</f>
        <v>312846</v>
      </c>
      <c r="F47" s="322">
        <f t="shared" si="22"/>
        <v>16426</v>
      </c>
      <c r="G47" s="322">
        <f t="shared" si="22"/>
        <v>-101035</v>
      </c>
      <c r="H47" s="322">
        <f t="shared" si="22"/>
        <v>-8727</v>
      </c>
      <c r="I47" s="322">
        <f t="shared" si="22"/>
        <v>-172839</v>
      </c>
      <c r="J47" s="322">
        <f t="shared" si="22"/>
        <v>40988</v>
      </c>
      <c r="K47" s="322">
        <f t="shared" si="22"/>
        <v>-159448.00000000023</v>
      </c>
      <c r="L47" s="322">
        <f t="shared" ref="L47:R47" si="23">SUM(L42:L46)</f>
        <v>-102144.76399999982</v>
      </c>
      <c r="M47" s="322">
        <f t="shared" si="23"/>
        <v>-230953.57200000022</v>
      </c>
      <c r="N47" s="322">
        <f t="shared" si="23"/>
        <v>32993.228999999839</v>
      </c>
      <c r="O47" s="322">
        <f t="shared" si="23"/>
        <v>-215981.61900000009</v>
      </c>
      <c r="P47" s="322">
        <f t="shared" si="23"/>
        <v>-133339.35499999992</v>
      </c>
      <c r="Q47" s="322">
        <f t="shared" si="23"/>
        <v>-122560.32399999996</v>
      </c>
      <c r="R47" s="322">
        <f t="shared" si="23"/>
        <v>-3381.9032300002</v>
      </c>
      <c r="S47" s="322">
        <f>SUM(S42:S46)</f>
        <v>-235327.78075999988</v>
      </c>
      <c r="T47" s="322">
        <f>SUM(T42:T46)</f>
        <v>-263377.12193999987</v>
      </c>
      <c r="U47" s="322">
        <f>SUM(U42:U46)</f>
        <v>-202496.3733700001</v>
      </c>
      <c r="V47" s="322">
        <f>SUM(V42:V46)</f>
        <v>-40806.461250000459</v>
      </c>
      <c r="W47" s="322">
        <f>SUM(W42:W46)</f>
        <v>73387.608819999383</v>
      </c>
    </row>
  </sheetData>
  <pageMargins left="0.511811024" right="0.511811024" top="0.78740157499999996" bottom="0.78740157499999996" header="0.31496062000000002" footer="0.31496062000000002"/>
  <ignoredErrors>
    <ignoredError sqref="F9:N9" formulaRange="1"/>
  </ignoredErrors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9" tint="0.79998168889431442"/>
  </sheetPr>
  <dimension ref="A7:Y47"/>
  <sheetViews>
    <sheetView showGridLines="0" zoomScale="85" zoomScaleNormal="85" workbookViewId="0">
      <pane xSplit="2" ySplit="8" topLeftCell="C11" activePane="bottomRight" state="frozen"/>
      <selection pane="topRight" activeCell="C1" sqref="C1"/>
      <selection pane="bottomLeft" activeCell="A9" sqref="A9"/>
      <selection pane="bottomRight" activeCell="F21" sqref="F21"/>
    </sheetView>
  </sheetViews>
  <sheetFormatPr defaultColWidth="9.21875" defaultRowHeight="14.4" outlineLevelCol="1"/>
  <cols>
    <col min="1" max="2" width="44.5546875" style="35" customWidth="1"/>
    <col min="3" max="3" width="0.5546875" customWidth="1"/>
    <col min="4" max="5" width="9.5546875" style="35" hidden="1" customWidth="1" outlineLevel="1"/>
    <col min="6" max="6" width="2" hidden="1" customWidth="1" outlineLevel="1"/>
    <col min="7" max="7" width="9.5546875" style="35" hidden="1" customWidth="1" outlineLevel="1"/>
    <col min="8" max="8" width="9.5546875" style="35" customWidth="1" collapsed="1"/>
    <col min="9" max="25" width="9.5546875" style="35" bestFit="1" customWidth="1"/>
    <col min="26" max="16384" width="9.21875" style="35"/>
  </cols>
  <sheetData>
    <row r="7" spans="1:25">
      <c r="A7" s="38" t="s">
        <v>910</v>
      </c>
      <c r="B7" s="38" t="s">
        <v>910</v>
      </c>
      <c r="C7" s="111"/>
      <c r="D7" s="38"/>
      <c r="E7" s="38"/>
      <c r="F7" s="111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</row>
    <row r="8" spans="1:25" ht="15" thickBot="1">
      <c r="A8" s="448" t="s">
        <v>846</v>
      </c>
      <c r="B8" s="448" t="s">
        <v>847</v>
      </c>
      <c r="C8" s="112"/>
      <c r="D8" s="450" t="s">
        <v>71</v>
      </c>
      <c r="E8" s="450" t="s">
        <v>72</v>
      </c>
      <c r="F8" s="112"/>
      <c r="G8" s="450" t="s">
        <v>74</v>
      </c>
      <c r="H8" s="450" t="s">
        <v>75</v>
      </c>
      <c r="I8" s="450" t="s">
        <v>76</v>
      </c>
      <c r="J8" s="450" t="s">
        <v>77</v>
      </c>
      <c r="K8" s="450" t="s">
        <v>78</v>
      </c>
      <c r="L8" s="450" t="s">
        <v>79</v>
      </c>
      <c r="M8" s="450" t="s">
        <v>80</v>
      </c>
      <c r="N8" s="460" t="s">
        <v>81</v>
      </c>
      <c r="O8" s="460" t="s">
        <v>82</v>
      </c>
      <c r="P8" s="460" t="s">
        <v>83</v>
      </c>
      <c r="Q8" s="460" t="s">
        <v>84</v>
      </c>
      <c r="R8" s="460" t="s">
        <v>85</v>
      </c>
      <c r="S8" s="460" t="s">
        <v>86</v>
      </c>
      <c r="T8" s="460" t="s">
        <v>87</v>
      </c>
      <c r="U8" s="460" t="s">
        <v>88</v>
      </c>
      <c r="V8" s="460" t="s">
        <v>2074</v>
      </c>
      <c r="W8" s="460" t="s">
        <v>2127</v>
      </c>
      <c r="X8" s="460" t="s">
        <v>2360</v>
      </c>
      <c r="Y8" s="460" t="s">
        <v>2494</v>
      </c>
    </row>
    <row r="9" spans="1:25" ht="15" thickBot="1">
      <c r="A9" s="118" t="s">
        <v>596</v>
      </c>
      <c r="B9" s="118" t="s">
        <v>848</v>
      </c>
      <c r="C9" s="112"/>
      <c r="D9" s="119">
        <f>SUM(D10:D16)</f>
        <v>213114</v>
      </c>
      <c r="E9" s="119">
        <f>SUM(E10:E16)</f>
        <v>182611</v>
      </c>
      <c r="F9" s="112"/>
      <c r="G9" s="119">
        <v>698028</v>
      </c>
      <c r="H9" s="119">
        <f t="shared" ref="H9:M9" si="0">SUM(H10:H16)</f>
        <v>190941</v>
      </c>
      <c r="I9" s="119">
        <f t="shared" si="0"/>
        <v>417856</v>
      </c>
      <c r="J9" s="119">
        <f t="shared" si="0"/>
        <v>300675</v>
      </c>
      <c r="K9" s="119">
        <f t="shared" si="0"/>
        <v>590366</v>
      </c>
      <c r="L9" s="119">
        <f t="shared" si="0"/>
        <v>389201.00000000006</v>
      </c>
      <c r="M9" s="119">
        <f t="shared" si="0"/>
        <v>462844</v>
      </c>
      <c r="N9" s="119">
        <f t="shared" ref="N9:U9" si="1">SUM(N10:N16)</f>
        <v>431269.37199999997</v>
      </c>
      <c r="O9" s="119">
        <f t="shared" si="1"/>
        <v>439067.19000000006</v>
      </c>
      <c r="P9" s="119">
        <f t="shared" si="1"/>
        <v>420133.20699999999</v>
      </c>
      <c r="Q9" s="119">
        <f t="shared" si="1"/>
        <v>564603.75800000003</v>
      </c>
      <c r="R9" s="119">
        <f t="shared" si="1"/>
        <v>477743.66200000001</v>
      </c>
      <c r="S9" s="119">
        <f t="shared" si="1"/>
        <v>558894.924</v>
      </c>
      <c r="T9" s="119">
        <f t="shared" si="1"/>
        <v>486173.35800000001</v>
      </c>
      <c r="U9" s="119">
        <f t="shared" si="1"/>
        <v>537339.26500000001</v>
      </c>
      <c r="V9" s="119">
        <f t="shared" ref="V9:X9" si="2">SUM(V10:V16)</f>
        <v>660018.80699999991</v>
      </c>
      <c r="W9" s="119">
        <f t="shared" si="2"/>
        <v>616910.79700000002</v>
      </c>
      <c r="X9" s="119">
        <f t="shared" si="2"/>
        <v>597493.63</v>
      </c>
      <c r="Y9" s="119">
        <f>SUM(Y10:Y16)</f>
        <v>675687.74000000011</v>
      </c>
    </row>
    <row r="10" spans="1:25">
      <c r="A10" s="115" t="s">
        <v>849</v>
      </c>
      <c r="B10" s="115" t="s">
        <v>850</v>
      </c>
      <c r="C10" s="112"/>
      <c r="D10" s="127">
        <v>200364</v>
      </c>
      <c r="E10" s="127">
        <v>175208</v>
      </c>
      <c r="F10" s="112"/>
      <c r="G10" s="127">
        <v>644860</v>
      </c>
      <c r="H10" s="127">
        <v>164989</v>
      </c>
      <c r="I10" s="127">
        <v>238655</v>
      </c>
      <c r="J10" s="127">
        <v>193098</v>
      </c>
      <c r="K10" s="127">
        <v>334333</v>
      </c>
      <c r="L10" s="127">
        <v>243268</v>
      </c>
      <c r="M10" s="127">
        <v>269039</v>
      </c>
      <c r="N10" s="312">
        <v>292266.59100000001</v>
      </c>
      <c r="O10" s="312">
        <v>307873.283</v>
      </c>
      <c r="P10" s="312">
        <v>309424.10700000002</v>
      </c>
      <c r="Q10" s="312">
        <v>374145.37199999997</v>
      </c>
      <c r="R10" s="312">
        <v>358129.42599999998</v>
      </c>
      <c r="S10" s="312">
        <v>386722.05099999998</v>
      </c>
      <c r="T10" s="312">
        <v>338898.26699999999</v>
      </c>
      <c r="U10" s="312">
        <v>350779.95500000002</v>
      </c>
      <c r="V10" s="312">
        <v>415208.80699999997</v>
      </c>
      <c r="W10" s="312">
        <v>409895.61499999999</v>
      </c>
      <c r="X10" s="312">
        <v>331943.15000000002</v>
      </c>
      <c r="Y10" s="312">
        <v>470018.46</v>
      </c>
    </row>
    <row r="11" spans="1:25">
      <c r="A11" s="115" t="s">
        <v>602</v>
      </c>
      <c r="B11" s="115" t="s">
        <v>603</v>
      </c>
      <c r="C11" s="112"/>
      <c r="D11" s="127">
        <v>4600</v>
      </c>
      <c r="E11" s="127"/>
      <c r="F11" s="112"/>
      <c r="G11" s="127">
        <v>1737</v>
      </c>
      <c r="H11" s="127">
        <v>-1349</v>
      </c>
      <c r="I11" s="127">
        <v>8389</v>
      </c>
      <c r="J11" s="127">
        <v>2105</v>
      </c>
      <c r="K11" s="127">
        <v>637</v>
      </c>
      <c r="L11" s="127">
        <v>8013</v>
      </c>
      <c r="M11" s="127">
        <v>5988</v>
      </c>
      <c r="N11" s="312">
        <v>5095.826</v>
      </c>
      <c r="O11" s="312">
        <v>3522.9160000000002</v>
      </c>
      <c r="P11" s="312">
        <v>5744.5330000000004</v>
      </c>
      <c r="Q11" s="312">
        <v>7980.0630000000001</v>
      </c>
      <c r="R11" s="312">
        <v>10434.909</v>
      </c>
      <c r="S11" s="312">
        <v>14146.386</v>
      </c>
      <c r="T11" s="312">
        <v>17025.184000000001</v>
      </c>
      <c r="U11" s="312">
        <v>34236.190999999999</v>
      </c>
      <c r="V11" s="312">
        <v>49148.247000000003</v>
      </c>
      <c r="W11" s="312">
        <v>61656.72</v>
      </c>
      <c r="X11" s="312">
        <v>56465.25</v>
      </c>
      <c r="Y11" s="312">
        <v>66938.509000000005</v>
      </c>
    </row>
    <row r="12" spans="1:25">
      <c r="A12" s="115" t="s">
        <v>606</v>
      </c>
      <c r="B12" s="115" t="s">
        <v>851</v>
      </c>
      <c r="C12" s="112"/>
      <c r="D12" s="127">
        <v>0</v>
      </c>
      <c r="E12" s="127"/>
      <c r="F12" s="112"/>
      <c r="G12" s="127">
        <v>41196</v>
      </c>
      <c r="H12" s="127">
        <v>17244</v>
      </c>
      <c r="I12" s="127">
        <v>73106</v>
      </c>
      <c r="J12" s="127">
        <v>75334</v>
      </c>
      <c r="K12" s="127">
        <v>222226</v>
      </c>
      <c r="L12" s="127">
        <v>107039</v>
      </c>
      <c r="M12" s="127">
        <v>149511</v>
      </c>
      <c r="N12" s="312">
        <v>98854.544999999998</v>
      </c>
      <c r="O12" s="312">
        <v>94720.551999999996</v>
      </c>
      <c r="P12" s="312">
        <v>87893.668999999994</v>
      </c>
      <c r="Q12" s="312">
        <v>83670.796000000002</v>
      </c>
      <c r="R12" s="312">
        <v>64192.451000000001</v>
      </c>
      <c r="S12" s="312">
        <v>114015.825</v>
      </c>
      <c r="T12" s="312">
        <v>81677.751999999993</v>
      </c>
      <c r="U12" s="312">
        <v>101784.395</v>
      </c>
      <c r="V12" s="312">
        <v>117057.13400000001</v>
      </c>
      <c r="W12" s="312">
        <v>66521.093999999997</v>
      </c>
      <c r="X12" s="312">
        <v>130779.42</v>
      </c>
      <c r="Y12" s="312">
        <v>97164.93</v>
      </c>
    </row>
    <row r="13" spans="1:25">
      <c r="A13" s="115" t="s">
        <v>852</v>
      </c>
      <c r="B13" s="115" t="s">
        <v>853</v>
      </c>
      <c r="C13" s="112"/>
      <c r="D13" s="127"/>
      <c r="E13" s="127"/>
      <c r="F13" s="112"/>
      <c r="G13" s="127"/>
      <c r="H13" s="127"/>
      <c r="I13" s="127"/>
      <c r="J13" s="127"/>
      <c r="K13" s="127"/>
      <c r="L13" s="127">
        <v>529.86290000000008</v>
      </c>
      <c r="M13" s="127">
        <v>534.25676999999996</v>
      </c>
      <c r="N13" s="312">
        <v>136.5679500000002</v>
      </c>
      <c r="O13" s="312">
        <v>-350.83822000000009</v>
      </c>
      <c r="P13" s="312">
        <v>476.81402000000003</v>
      </c>
      <c r="Q13" s="312">
        <v>16405.123739999999</v>
      </c>
      <c r="R13" s="312">
        <v>598.80455999999867</v>
      </c>
      <c r="S13" s="312">
        <v>1401.5616400000006</v>
      </c>
      <c r="T13" s="312">
        <v>2686.3544700000002</v>
      </c>
      <c r="U13" s="312">
        <v>1176.8975599999997</v>
      </c>
      <c r="V13" s="312">
        <v>593.10281000000009</v>
      </c>
      <c r="W13" s="312">
        <v>241.98631000000051</v>
      </c>
      <c r="X13" s="312">
        <v>1046.7321099999999</v>
      </c>
      <c r="Y13" s="312">
        <v>1712.7532299999998</v>
      </c>
    </row>
    <row r="14" spans="1:25">
      <c r="A14" s="115" t="s">
        <v>854</v>
      </c>
      <c r="B14" s="115" t="s">
        <v>855</v>
      </c>
      <c r="C14" s="112"/>
      <c r="D14" s="127"/>
      <c r="E14" s="127"/>
      <c r="F14" s="112"/>
      <c r="G14" s="127"/>
      <c r="H14" s="127"/>
      <c r="I14" s="127"/>
      <c r="J14" s="127"/>
      <c r="K14" s="127"/>
      <c r="L14" s="127">
        <v>2057.9537700000001</v>
      </c>
      <c r="M14" s="127">
        <v>2128.8514799999998</v>
      </c>
      <c r="N14" s="312">
        <v>2399.1804500000003</v>
      </c>
      <c r="O14" s="312">
        <v>2903.0581299999999</v>
      </c>
      <c r="P14" s="312">
        <v>-262.79958000000005</v>
      </c>
      <c r="Q14" s="312">
        <v>376.35367000000002</v>
      </c>
      <c r="R14" s="312">
        <v>7293.5349200000001</v>
      </c>
      <c r="S14" s="312">
        <v>3176.8193200000005</v>
      </c>
      <c r="T14" s="312">
        <v>2905.6004699999999</v>
      </c>
      <c r="U14" s="312">
        <v>3071.3807099999995</v>
      </c>
      <c r="V14" s="312">
        <v>3483.9796300000007</v>
      </c>
      <c r="W14" s="312">
        <v>3862.2030100000002</v>
      </c>
      <c r="X14" s="312">
        <v>3391.1527499999997</v>
      </c>
      <c r="Y14" s="312">
        <v>3236.0827599999998</v>
      </c>
    </row>
    <row r="15" spans="1:25">
      <c r="A15" s="115" t="s">
        <v>856</v>
      </c>
      <c r="B15" s="115" t="s">
        <v>857</v>
      </c>
      <c r="C15" s="112"/>
      <c r="D15" s="127"/>
      <c r="E15" s="127"/>
      <c r="F15" s="112"/>
      <c r="G15" s="127"/>
      <c r="H15" s="127"/>
      <c r="I15" s="127"/>
      <c r="J15" s="127"/>
      <c r="K15" s="127"/>
      <c r="L15" s="127">
        <v>1901.54655</v>
      </c>
      <c r="M15" s="127">
        <v>2062.75324</v>
      </c>
      <c r="N15" s="312">
        <v>2176.4421100000004</v>
      </c>
      <c r="O15" s="312">
        <v>2136.0734299999999</v>
      </c>
      <c r="P15" s="312">
        <v>2066.6244999999999</v>
      </c>
      <c r="Q15" s="312">
        <v>2026.7495700000002</v>
      </c>
      <c r="R15" s="312">
        <v>2062.5572900000002</v>
      </c>
      <c r="S15" s="312">
        <v>2192.6057999999998</v>
      </c>
      <c r="T15" s="312">
        <v>2206.6553100000001</v>
      </c>
      <c r="U15" s="312">
        <v>2167.1201099999994</v>
      </c>
      <c r="V15" s="312">
        <v>2358.7642500000006</v>
      </c>
      <c r="W15" s="312">
        <v>2079.0688300000002</v>
      </c>
      <c r="X15" s="312">
        <v>2347.72552</v>
      </c>
      <c r="Y15" s="312">
        <v>2305.2705400000004</v>
      </c>
    </row>
    <row r="16" spans="1:25" ht="15" thickBot="1">
      <c r="A16" s="115" t="s">
        <v>614</v>
      </c>
      <c r="B16" s="115" t="s">
        <v>615</v>
      </c>
      <c r="C16" s="112"/>
      <c r="D16" s="127">
        <v>8150</v>
      </c>
      <c r="E16" s="127">
        <v>7403</v>
      </c>
      <c r="F16" s="112"/>
      <c r="G16" s="127">
        <v>10235</v>
      </c>
      <c r="H16" s="127">
        <v>10057</v>
      </c>
      <c r="I16" s="127">
        <v>97706</v>
      </c>
      <c r="J16" s="127">
        <v>30138</v>
      </c>
      <c r="K16" s="127">
        <v>33170</v>
      </c>
      <c r="L16" s="127">
        <f>30881-SUM(L13:L15)</f>
        <v>26391.636780000001</v>
      </c>
      <c r="M16" s="127">
        <f>38306-SUM(M13:M15)</f>
        <v>33580.138510000004</v>
      </c>
      <c r="N16" s="312">
        <f>35052.41-SUM(N13:N15)</f>
        <v>30340.219490000003</v>
      </c>
      <c r="O16" s="312">
        <f>32950.439-SUM(O13:O15)</f>
        <v>28262.145659999998</v>
      </c>
      <c r="P16" s="312">
        <f>17070.898-SUM(P13:P15)</f>
        <v>14790.25906</v>
      </c>
      <c r="Q16" s="312">
        <f>98807.527-SUM(Q13:Q15)</f>
        <v>79999.300019999995</v>
      </c>
      <c r="R16" s="312">
        <f>44986.876-SUM(R13:R15)</f>
        <v>35031.979229999997</v>
      </c>
      <c r="S16" s="312">
        <v>37239.675239999997</v>
      </c>
      <c r="T16" s="312">
        <v>40773.544750000001</v>
      </c>
      <c r="U16" s="312">
        <v>44123.325620000003</v>
      </c>
      <c r="V16" s="312">
        <v>72168.77231</v>
      </c>
      <c r="W16" s="312">
        <v>72654.109850000008</v>
      </c>
      <c r="X16" s="312">
        <v>71520.199619999999</v>
      </c>
      <c r="Y16" s="312">
        <v>34311.734470000003</v>
      </c>
    </row>
    <row r="17" spans="1:25" ht="15" thickBot="1">
      <c r="A17" s="118" t="s">
        <v>858</v>
      </c>
      <c r="B17" s="118" t="s">
        <v>859</v>
      </c>
      <c r="C17" s="112"/>
      <c r="D17" s="128">
        <v>-37109</v>
      </c>
      <c r="E17" s="128">
        <v>-40165</v>
      </c>
      <c r="F17" s="112"/>
      <c r="G17" s="128">
        <v>-67897</v>
      </c>
      <c r="H17" s="128">
        <v>-73588</v>
      </c>
      <c r="I17" s="128">
        <v>-52870</v>
      </c>
      <c r="J17" s="128">
        <v>-63276</v>
      </c>
      <c r="K17" s="128">
        <v>-142554</v>
      </c>
      <c r="L17" s="128">
        <v>-71302</v>
      </c>
      <c r="M17" s="128">
        <v>-87249</v>
      </c>
      <c r="N17" s="314">
        <v>-92613.144</v>
      </c>
      <c r="O17" s="314">
        <v>-52659.12</v>
      </c>
      <c r="P17" s="314">
        <v>-111526.60799999999</v>
      </c>
      <c r="Q17" s="314">
        <v>-142719.049</v>
      </c>
      <c r="R17" s="314">
        <v>-92644.176000000007</v>
      </c>
      <c r="S17" s="314">
        <v>-89823.073000000004</v>
      </c>
      <c r="T17" s="314">
        <v>-104342.16899999999</v>
      </c>
      <c r="U17" s="314">
        <v>-112626.73</v>
      </c>
      <c r="V17" s="314">
        <v>-131007.47500000001</v>
      </c>
      <c r="W17" s="314">
        <v>-138388.02600000001</v>
      </c>
      <c r="X17" s="314">
        <v>-121914.818</v>
      </c>
      <c r="Y17" s="314">
        <v>-134193.74100000001</v>
      </c>
    </row>
    <row r="18" spans="1:25" ht="15" thickBot="1">
      <c r="A18" s="118" t="s">
        <v>646</v>
      </c>
      <c r="B18" s="118" t="s">
        <v>860</v>
      </c>
      <c r="C18" s="120"/>
      <c r="D18" s="325">
        <f>D9+D17</f>
        <v>176005</v>
      </c>
      <c r="E18" s="325">
        <f>E9+E17</f>
        <v>142446</v>
      </c>
      <c r="F18" s="120"/>
      <c r="G18" s="325">
        <v>630131</v>
      </c>
      <c r="H18" s="325">
        <f t="shared" ref="H18:M18" si="3">H9+H17</f>
        <v>117353</v>
      </c>
      <c r="I18" s="325">
        <f t="shared" si="3"/>
        <v>364986</v>
      </c>
      <c r="J18" s="325">
        <f t="shared" si="3"/>
        <v>237399</v>
      </c>
      <c r="K18" s="325">
        <f t="shared" si="3"/>
        <v>447812</v>
      </c>
      <c r="L18" s="325">
        <f t="shared" si="3"/>
        <v>317899.00000000006</v>
      </c>
      <c r="M18" s="325">
        <f t="shared" si="3"/>
        <v>375595</v>
      </c>
      <c r="N18" s="325">
        <f t="shared" ref="N18:S18" si="4">N9+N17</f>
        <v>338656.228</v>
      </c>
      <c r="O18" s="325">
        <f t="shared" si="4"/>
        <v>386408.07000000007</v>
      </c>
      <c r="P18" s="325">
        <f t="shared" si="4"/>
        <v>308606.59899999999</v>
      </c>
      <c r="Q18" s="325">
        <f t="shared" si="4"/>
        <v>421884.70900000003</v>
      </c>
      <c r="R18" s="325">
        <f t="shared" si="4"/>
        <v>385099.48600000003</v>
      </c>
      <c r="S18" s="325">
        <f t="shared" si="4"/>
        <v>469071.85100000002</v>
      </c>
      <c r="T18" s="325">
        <f t="shared" ref="T18:Y18" si="5">T9+T17</f>
        <v>381831.18900000001</v>
      </c>
      <c r="U18" s="325">
        <f t="shared" si="5"/>
        <v>424712.53500000003</v>
      </c>
      <c r="V18" s="325">
        <f t="shared" si="5"/>
        <v>529011.33199999994</v>
      </c>
      <c r="W18" s="325">
        <f t="shared" si="5"/>
        <v>478522.77100000001</v>
      </c>
      <c r="X18" s="325">
        <f t="shared" si="5"/>
        <v>475578.81200000003</v>
      </c>
      <c r="Y18" s="325">
        <f t="shared" si="5"/>
        <v>541493.99900000007</v>
      </c>
    </row>
    <row r="19" spans="1:25" ht="15" thickBot="1">
      <c r="A19" s="118" t="s">
        <v>861</v>
      </c>
      <c r="B19" s="118" t="s">
        <v>862</v>
      </c>
      <c r="C19" s="120"/>
      <c r="D19" s="319">
        <f>SUM(D20:D22)</f>
        <v>-156036</v>
      </c>
      <c r="E19" s="319">
        <f>SUM(E20:E22)</f>
        <v>-131076</v>
      </c>
      <c r="F19" s="120"/>
      <c r="G19" s="319">
        <v>-221943</v>
      </c>
      <c r="H19" s="319">
        <f t="shared" ref="H19:M19" si="6">SUM(H20:H22)</f>
        <v>-109934</v>
      </c>
      <c r="I19" s="319">
        <f t="shared" si="6"/>
        <v>-214350</v>
      </c>
      <c r="J19" s="319">
        <f t="shared" si="6"/>
        <v>-185983</v>
      </c>
      <c r="K19" s="319">
        <f t="shared" si="6"/>
        <v>-343909</v>
      </c>
      <c r="L19" s="319">
        <f t="shared" si="6"/>
        <v>-231024</v>
      </c>
      <c r="M19" s="319">
        <f t="shared" si="6"/>
        <v>-279127</v>
      </c>
      <c r="N19" s="319">
        <f t="shared" ref="N19:S19" si="7">SUM(N20:N22)</f>
        <v>-226071.54499999998</v>
      </c>
      <c r="O19" s="319">
        <f t="shared" si="7"/>
        <v>-232084.552</v>
      </c>
      <c r="P19" s="319">
        <f t="shared" si="7"/>
        <v>-207637.66899999999</v>
      </c>
      <c r="Q19" s="319">
        <f t="shared" si="7"/>
        <v>-219785.796</v>
      </c>
      <c r="R19" s="319">
        <f t="shared" si="7"/>
        <v>-213903.451</v>
      </c>
      <c r="S19" s="319">
        <f t="shared" si="7"/>
        <v>-276976.82500000001</v>
      </c>
      <c r="T19" s="319">
        <f>SUM(T20:T22)</f>
        <v>-227004.75199999998</v>
      </c>
      <c r="U19" s="319">
        <f>SUM(U20:U23)</f>
        <v>-263471.39500000002</v>
      </c>
      <c r="V19" s="319">
        <f>SUM(V20:V23)</f>
        <v>-370462.13400000002</v>
      </c>
      <c r="W19" s="319">
        <f>SUM(W20:W23)</f>
        <v>-309227.09399999998</v>
      </c>
      <c r="X19" s="319">
        <f>SUM(X20:X23)</f>
        <v>-331697.42</v>
      </c>
      <c r="Y19" s="319">
        <f>SUM(Y20:Y23)</f>
        <v>-369306.93</v>
      </c>
    </row>
    <row r="20" spans="1:25">
      <c r="A20" s="115" t="s">
        <v>863</v>
      </c>
      <c r="B20" s="115" t="s">
        <v>864</v>
      </c>
      <c r="C20" s="120"/>
      <c r="D20" s="127">
        <v>-144015</v>
      </c>
      <c r="E20" s="127">
        <v>-119233</v>
      </c>
      <c r="F20" s="120"/>
      <c r="G20" s="127">
        <v>-122584</v>
      </c>
      <c r="H20" s="127">
        <v>-100027</v>
      </c>
      <c r="I20" s="127">
        <v>-135246</v>
      </c>
      <c r="J20" s="127">
        <v>-97768</v>
      </c>
      <c r="K20" s="127">
        <v>-108758</v>
      </c>
      <c r="L20" s="127">
        <v>-111207</v>
      </c>
      <c r="M20" s="127">
        <v>-116746</v>
      </c>
      <c r="N20" s="312">
        <v>-113332</v>
      </c>
      <c r="O20" s="312">
        <v>-123594</v>
      </c>
      <c r="P20" s="312">
        <v>-107012</v>
      </c>
      <c r="Q20" s="312">
        <v>-123282</v>
      </c>
      <c r="R20" s="312">
        <v>-137805</v>
      </c>
      <c r="S20" s="312">
        <v>-146295</v>
      </c>
      <c r="T20" s="312">
        <v>-121170</v>
      </c>
      <c r="U20" s="312">
        <v>-137384</v>
      </c>
      <c r="V20" s="312">
        <v>-229726</v>
      </c>
      <c r="W20" s="312">
        <v>-217575</v>
      </c>
      <c r="X20" s="312">
        <v>-178023</v>
      </c>
      <c r="Y20" s="312">
        <v>-248211</v>
      </c>
    </row>
    <row r="21" spans="1:25">
      <c r="A21" s="115" t="s">
        <v>865</v>
      </c>
      <c r="B21" s="115" t="s">
        <v>866</v>
      </c>
      <c r="C21" s="120"/>
      <c r="D21" s="127">
        <v>-12021</v>
      </c>
      <c r="E21" s="127">
        <f>-23864-D21</f>
        <v>-11843</v>
      </c>
      <c r="F21" s="120"/>
      <c r="G21" s="127">
        <v>-37414</v>
      </c>
      <c r="H21" s="127">
        <v>7337</v>
      </c>
      <c r="I21" s="127">
        <v>-5998</v>
      </c>
      <c r="J21" s="127">
        <v>-12881</v>
      </c>
      <c r="K21" s="127">
        <v>-12925</v>
      </c>
      <c r="L21" s="127">
        <v>-12778</v>
      </c>
      <c r="M21" s="127">
        <v>-12870</v>
      </c>
      <c r="N21" s="312">
        <v>-13885</v>
      </c>
      <c r="O21" s="312">
        <v>-13770</v>
      </c>
      <c r="P21" s="312">
        <v>-12732</v>
      </c>
      <c r="Q21" s="312">
        <v>-12833</v>
      </c>
      <c r="R21" s="312">
        <v>-11906</v>
      </c>
      <c r="S21" s="312">
        <v>-16666</v>
      </c>
      <c r="T21" s="312">
        <v>-24157</v>
      </c>
      <c r="U21" s="312">
        <v>-24303</v>
      </c>
      <c r="V21" s="312">
        <v>-23679</v>
      </c>
      <c r="W21" s="312">
        <v>-25131</v>
      </c>
      <c r="X21" s="312">
        <v>-22895</v>
      </c>
      <c r="Y21" s="312">
        <v>-23931</v>
      </c>
    </row>
    <row r="22" spans="1:25">
      <c r="A22" s="115" t="s">
        <v>867</v>
      </c>
      <c r="B22" s="115" t="s">
        <v>868</v>
      </c>
      <c r="C22" s="120"/>
      <c r="D22" s="127">
        <v>0</v>
      </c>
      <c r="E22" s="127"/>
      <c r="F22" s="120"/>
      <c r="G22" s="127">
        <v>-41196</v>
      </c>
      <c r="H22" s="127">
        <v>-17244</v>
      </c>
      <c r="I22" s="127">
        <v>-73106</v>
      </c>
      <c r="J22" s="127">
        <v>-75334</v>
      </c>
      <c r="K22" s="127">
        <v>-222226</v>
      </c>
      <c r="L22" s="127">
        <v>-107039</v>
      </c>
      <c r="M22" s="127">
        <v>-149511</v>
      </c>
      <c r="N22" s="312">
        <v>-98854.544999999998</v>
      </c>
      <c r="O22" s="312">
        <v>-94720.551999999996</v>
      </c>
      <c r="P22" s="312">
        <v>-87893.668999999994</v>
      </c>
      <c r="Q22" s="312">
        <v>-83670.796000000002</v>
      </c>
      <c r="R22" s="312">
        <v>-64192.451000000001</v>
      </c>
      <c r="S22" s="312">
        <v>-114015.825</v>
      </c>
      <c r="T22" s="312">
        <v>-81677.751999999993</v>
      </c>
      <c r="U22" s="312">
        <v>-101784.395</v>
      </c>
      <c r="V22" s="312">
        <v>-117057.13400000001</v>
      </c>
      <c r="W22" s="312">
        <v>-66521.093999999997</v>
      </c>
      <c r="X22" s="312">
        <v>-130779.42</v>
      </c>
      <c r="Y22" s="312">
        <v>-97164.93</v>
      </c>
    </row>
    <row r="23" spans="1:25" ht="15" thickBot="1">
      <c r="A23" s="115" t="s">
        <v>869</v>
      </c>
      <c r="B23" s="115" t="s">
        <v>907</v>
      </c>
      <c r="C23" s="120"/>
      <c r="D23" s="127"/>
      <c r="E23" s="127"/>
      <c r="F23" s="120"/>
      <c r="G23" s="127"/>
      <c r="H23" s="127"/>
      <c r="I23" s="127"/>
      <c r="J23" s="127"/>
      <c r="K23" s="127"/>
      <c r="L23" s="127"/>
      <c r="M23" s="127"/>
      <c r="N23" s="312"/>
      <c r="O23" s="312"/>
      <c r="P23" s="312"/>
      <c r="Q23" s="312"/>
      <c r="R23" s="312"/>
      <c r="S23" s="312"/>
      <c r="T23" s="312"/>
      <c r="U23" s="312"/>
      <c r="V23" s="312"/>
      <c r="W23" s="312"/>
      <c r="X23" s="312"/>
      <c r="Y23" s="312"/>
    </row>
    <row r="24" spans="1:25" ht="15" thickBot="1">
      <c r="A24" s="118" t="s">
        <v>871</v>
      </c>
      <c r="B24" s="118" t="s">
        <v>872</v>
      </c>
      <c r="C24" s="120"/>
      <c r="D24" s="119">
        <f>D18+D19</f>
        <v>19969</v>
      </c>
      <c r="E24" s="119">
        <f>E18+E19</f>
        <v>11370</v>
      </c>
      <c r="F24" s="120"/>
      <c r="G24" s="119">
        <v>408188</v>
      </c>
      <c r="H24" s="119">
        <f t="shared" ref="H24:M24" si="8">H18+H19</f>
        <v>7419</v>
      </c>
      <c r="I24" s="119">
        <f t="shared" si="8"/>
        <v>150636</v>
      </c>
      <c r="J24" s="119">
        <f t="shared" si="8"/>
        <v>51416</v>
      </c>
      <c r="K24" s="119">
        <f t="shared" si="8"/>
        <v>103903</v>
      </c>
      <c r="L24" s="119">
        <f t="shared" si="8"/>
        <v>86875.000000000058</v>
      </c>
      <c r="M24" s="119">
        <f t="shared" si="8"/>
        <v>96468</v>
      </c>
      <c r="N24" s="119">
        <f t="shared" ref="N24:S24" si="9">N18+N19</f>
        <v>112584.68300000002</v>
      </c>
      <c r="O24" s="119">
        <f t="shared" si="9"/>
        <v>154323.51800000007</v>
      </c>
      <c r="P24" s="119">
        <f t="shared" si="9"/>
        <v>100968.93</v>
      </c>
      <c r="Q24" s="119">
        <f t="shared" si="9"/>
        <v>202098.91300000003</v>
      </c>
      <c r="R24" s="119">
        <f t="shared" si="9"/>
        <v>171196.03500000003</v>
      </c>
      <c r="S24" s="119">
        <f t="shared" si="9"/>
        <v>192095.02600000001</v>
      </c>
      <c r="T24" s="119">
        <f t="shared" ref="T24:Y24" si="10">T18+T19</f>
        <v>154826.43700000003</v>
      </c>
      <c r="U24" s="119">
        <f t="shared" si="10"/>
        <v>161241.14000000001</v>
      </c>
      <c r="V24" s="119">
        <f t="shared" si="10"/>
        <v>158549.19799999992</v>
      </c>
      <c r="W24" s="119">
        <f t="shared" si="10"/>
        <v>169295.67700000003</v>
      </c>
      <c r="X24" s="119">
        <f t="shared" si="10"/>
        <v>143881.39200000005</v>
      </c>
      <c r="Y24" s="119">
        <f t="shared" si="10"/>
        <v>172187.06900000008</v>
      </c>
    </row>
    <row r="25" spans="1:25" ht="15" thickBot="1">
      <c r="A25" s="118" t="s">
        <v>873</v>
      </c>
      <c r="B25" s="118" t="s">
        <v>874</v>
      </c>
      <c r="C25" s="120"/>
      <c r="D25" s="119">
        <f>SUM(D26:D35)</f>
        <v>-53226</v>
      </c>
      <c r="E25" s="119">
        <f>SUM(E26:E35)</f>
        <v>-36722</v>
      </c>
      <c r="F25" s="120"/>
      <c r="G25" s="119">
        <v>-187003</v>
      </c>
      <c r="H25" s="119">
        <f t="shared" ref="H25:R25" si="11">SUM(H26:H35)</f>
        <v>-892</v>
      </c>
      <c r="I25" s="119">
        <f t="shared" si="11"/>
        <v>-30482</v>
      </c>
      <c r="J25" s="119">
        <f t="shared" si="11"/>
        <v>16929</v>
      </c>
      <c r="K25" s="119">
        <f t="shared" si="11"/>
        <v>-38891</v>
      </c>
      <c r="L25" s="119">
        <f t="shared" si="11"/>
        <v>-39007</v>
      </c>
      <c r="M25" s="119">
        <f t="shared" si="11"/>
        <v>-47379</v>
      </c>
      <c r="N25" s="119">
        <f t="shared" si="11"/>
        <v>-34498.051999999996</v>
      </c>
      <c r="O25" s="119">
        <f t="shared" si="11"/>
        <v>-65557.823000000004</v>
      </c>
      <c r="P25" s="119">
        <f t="shared" si="11"/>
        <v>-46072.582999999999</v>
      </c>
      <c r="Q25" s="119">
        <f t="shared" si="11"/>
        <v>-41107.147000000004</v>
      </c>
      <c r="R25" s="119">
        <f t="shared" si="11"/>
        <v>-47411.008000000002</v>
      </c>
      <c r="S25" s="119">
        <f t="shared" ref="S25:X25" si="12">SUM(S26:S35)</f>
        <v>-38634.158999999992</v>
      </c>
      <c r="T25" s="119">
        <f t="shared" si="12"/>
        <v>-52887.408190000002</v>
      </c>
      <c r="U25" s="119">
        <f t="shared" si="12"/>
        <v>-52591.733700000004</v>
      </c>
      <c r="V25" s="119">
        <f t="shared" si="12"/>
        <v>-50734.100340000005</v>
      </c>
      <c r="W25" s="119">
        <f t="shared" si="12"/>
        <v>-59279.92396</v>
      </c>
      <c r="X25" s="119">
        <f t="shared" si="12"/>
        <v>-46199.34463</v>
      </c>
      <c r="Y25" s="119">
        <f>SUM(Y26:Y35)</f>
        <v>-55040.144890000003</v>
      </c>
    </row>
    <row r="26" spans="1:25">
      <c r="A26" s="115" t="s">
        <v>875</v>
      </c>
      <c r="B26" s="115" t="s">
        <v>876</v>
      </c>
      <c r="C26" s="120"/>
      <c r="D26" s="127">
        <v>-17776</v>
      </c>
      <c r="E26" s="127">
        <v>-19437</v>
      </c>
      <c r="F26" s="120"/>
      <c r="G26" s="127">
        <v>-16122</v>
      </c>
      <c r="H26" s="127">
        <v>-36202</v>
      </c>
      <c r="I26" s="127">
        <v>-2969</v>
      </c>
      <c r="J26" s="127">
        <v>11742</v>
      </c>
      <c r="K26" s="127">
        <v>-8630</v>
      </c>
      <c r="L26" s="127">
        <v>-8757</v>
      </c>
      <c r="M26" s="127">
        <v>-9531</v>
      </c>
      <c r="N26" s="312">
        <v>-7419.1229999999996</v>
      </c>
      <c r="O26" s="312">
        <v>-9107.2029999999995</v>
      </c>
      <c r="P26" s="312">
        <v>-9855.42</v>
      </c>
      <c r="Q26" s="312">
        <v>-8947.8009999999995</v>
      </c>
      <c r="R26" s="312">
        <v>-5483.4759999999997</v>
      </c>
      <c r="S26" s="312">
        <v>-9464.2610000000004</v>
      </c>
      <c r="T26" s="312">
        <v>-10066.960999999999</v>
      </c>
      <c r="U26" s="312">
        <v>-13814.467000000001</v>
      </c>
      <c r="V26" s="312">
        <v>-12085.98</v>
      </c>
      <c r="W26" s="312">
        <v>-15093.179</v>
      </c>
      <c r="X26" s="312">
        <v>-17006.580999999998</v>
      </c>
      <c r="Y26" s="312">
        <v>-13132.33</v>
      </c>
    </row>
    <row r="27" spans="1:25">
      <c r="A27" s="115" t="s">
        <v>877</v>
      </c>
      <c r="B27" s="115" t="s">
        <v>877</v>
      </c>
      <c r="C27" s="120"/>
      <c r="D27" s="127">
        <v>-86</v>
      </c>
      <c r="E27" s="127">
        <v>-382</v>
      </c>
      <c r="F27" s="120"/>
      <c r="G27" s="127">
        <v>-105</v>
      </c>
      <c r="H27" s="127">
        <v>-132</v>
      </c>
      <c r="I27" s="127">
        <v>-1634</v>
      </c>
      <c r="J27" s="127">
        <v>-2791</v>
      </c>
      <c r="K27" s="127">
        <v>-513</v>
      </c>
      <c r="L27" s="127">
        <v>-1042</v>
      </c>
      <c r="M27" s="127">
        <v>577</v>
      </c>
      <c r="N27" s="312">
        <v>149.209</v>
      </c>
      <c r="O27" s="312">
        <v>-1369.761</v>
      </c>
      <c r="P27" s="312">
        <v>-144.602</v>
      </c>
      <c r="Q27" s="312">
        <v>-711.84500000000003</v>
      </c>
      <c r="R27" s="312">
        <v>-1528.9369999999999</v>
      </c>
      <c r="S27" s="312">
        <v>-1904.808</v>
      </c>
      <c r="T27" s="312">
        <v>-2607.9639999999999</v>
      </c>
      <c r="U27" s="312">
        <v>-2107.9070000000002</v>
      </c>
      <c r="V27" s="312">
        <v>-1451.6189999999999</v>
      </c>
      <c r="W27" s="312">
        <v>-1823.4549999999999</v>
      </c>
      <c r="X27" s="312">
        <v>-1287.748</v>
      </c>
      <c r="Y27" s="312">
        <v>-1263.29</v>
      </c>
    </row>
    <row r="28" spans="1:25">
      <c r="A28" s="115" t="s">
        <v>878</v>
      </c>
      <c r="B28" s="115" t="s">
        <v>879</v>
      </c>
      <c r="C28" s="324"/>
      <c r="D28" s="127">
        <v>-16644</v>
      </c>
      <c r="E28" s="127">
        <v>-12786</v>
      </c>
      <c r="F28" s="324"/>
      <c r="G28" s="127">
        <v>-20580</v>
      </c>
      <c r="H28" s="127">
        <v>-8284</v>
      </c>
      <c r="I28" s="127">
        <v>-20672</v>
      </c>
      <c r="J28" s="127">
        <v>34612</v>
      </c>
      <c r="K28" s="127">
        <v>-21901</v>
      </c>
      <c r="L28" s="127">
        <v>-26480</v>
      </c>
      <c r="M28" s="127">
        <v>-22797</v>
      </c>
      <c r="N28" s="312">
        <v>-25107.77</v>
      </c>
      <c r="O28" s="312">
        <v>-25309.791000000001</v>
      </c>
      <c r="P28" s="312">
        <v>-25101.360000000001</v>
      </c>
      <c r="Q28" s="312">
        <v>-21269.575000000001</v>
      </c>
      <c r="R28" s="312">
        <v>-23820.828000000001</v>
      </c>
      <c r="S28" s="312">
        <v>-25296.002</v>
      </c>
      <c r="T28" s="312">
        <v>-21805.863000000001</v>
      </c>
      <c r="U28" s="312">
        <v>-20875.679</v>
      </c>
      <c r="V28" s="312">
        <v>-24714.188999999998</v>
      </c>
      <c r="W28" s="312">
        <v>-21294.37</v>
      </c>
      <c r="X28" s="312">
        <v>-13231.079</v>
      </c>
      <c r="Y28" s="312">
        <v>-15583.785</v>
      </c>
    </row>
    <row r="29" spans="1:25">
      <c r="A29" s="115" t="s">
        <v>880</v>
      </c>
      <c r="B29" s="115" t="s">
        <v>881</v>
      </c>
      <c r="C29" s="120"/>
      <c r="D29" s="127">
        <v>-12154</v>
      </c>
      <c r="E29" s="127">
        <v>-25894</v>
      </c>
      <c r="F29" s="120"/>
      <c r="G29" s="127">
        <v>-57029</v>
      </c>
      <c r="H29" s="127">
        <v>9699</v>
      </c>
      <c r="I29" s="127">
        <v>16743</v>
      </c>
      <c r="J29" s="127">
        <v>5920</v>
      </c>
      <c r="K29" s="127">
        <v>-1857</v>
      </c>
      <c r="L29" s="127">
        <f>2577-L30</f>
        <v>3306.4008199999998</v>
      </c>
      <c r="M29" s="127">
        <f>8614-M30</f>
        <v>1818.6465799999987</v>
      </c>
      <c r="N29" s="312">
        <f>1600.067-N30</f>
        <v>2874.0714300000018</v>
      </c>
      <c r="O29" s="312">
        <f>-8844.469-O30</f>
        <v>-10773.671390000001</v>
      </c>
      <c r="P29" s="312">
        <f>-12103.863-P30</f>
        <v>-11345.761239999998</v>
      </c>
      <c r="Q29" s="312">
        <f>-3750.393-Q30</f>
        <v>-2648.7222600000005</v>
      </c>
      <c r="R29" s="312">
        <f>-10227.056-R30</f>
        <v>-11117.059439999997</v>
      </c>
      <c r="S29" s="312">
        <v>9449.2226899999932</v>
      </c>
      <c r="T29" s="312">
        <v>-11897.826879999999</v>
      </c>
      <c r="U29" s="312">
        <v>-5212.3587500000003</v>
      </c>
      <c r="V29" s="312">
        <v>6313.0258699999986</v>
      </c>
      <c r="W29" s="312">
        <v>21718.903630000004</v>
      </c>
      <c r="X29" s="312">
        <v>-4667.3897299999999</v>
      </c>
      <c r="Y29" s="312">
        <v>-2845.4236800000003</v>
      </c>
    </row>
    <row r="30" spans="1:25">
      <c r="A30" s="115" t="s">
        <v>882</v>
      </c>
      <c r="B30" s="115" t="s">
        <v>883</v>
      </c>
      <c r="C30" s="120"/>
      <c r="D30" s="127"/>
      <c r="E30" s="127"/>
      <c r="F30" s="120"/>
      <c r="G30" s="127"/>
      <c r="H30" s="127"/>
      <c r="I30" s="127"/>
      <c r="J30" s="127"/>
      <c r="K30" s="127"/>
      <c r="L30" s="127">
        <v>-729.40082000000007</v>
      </c>
      <c r="M30" s="127">
        <v>6795.3534200000013</v>
      </c>
      <c r="N30" s="312">
        <v>-1274.0044300000015</v>
      </c>
      <c r="O30" s="312">
        <v>1929.2023900000015</v>
      </c>
      <c r="P30" s="312">
        <v>-758.1017600000007</v>
      </c>
      <c r="Q30" s="312">
        <v>-1101.6707399999996</v>
      </c>
      <c r="R30" s="312">
        <v>890.00343999999768</v>
      </c>
      <c r="S30" s="312">
        <v>-392.39968999999297</v>
      </c>
      <c r="T30" s="312">
        <v>-383.06931000000003</v>
      </c>
      <c r="U30" s="312">
        <v>-59.373949999999489</v>
      </c>
      <c r="V30" s="312">
        <v>-187.0652099999995</v>
      </c>
      <c r="W30" s="312">
        <v>-144.32058999999987</v>
      </c>
      <c r="X30" s="312">
        <v>-758.95290000000034</v>
      </c>
      <c r="Y30" s="312">
        <v>-1165.0112099999994</v>
      </c>
    </row>
    <row r="31" spans="1:25">
      <c r="A31" s="115" t="s">
        <v>95</v>
      </c>
      <c r="B31" s="115" t="s">
        <v>884</v>
      </c>
      <c r="C31" s="120"/>
      <c r="D31" s="127">
        <v>-6553</v>
      </c>
      <c r="E31" s="127">
        <v>-5754</v>
      </c>
      <c r="F31" s="120"/>
      <c r="G31" s="127">
        <v>-15471</v>
      </c>
      <c r="H31" s="127">
        <v>-969</v>
      </c>
      <c r="I31" s="127">
        <v>79</v>
      </c>
      <c r="J31" s="127">
        <v>3309</v>
      </c>
      <c r="K31" s="127">
        <v>-618</v>
      </c>
      <c r="L31" s="127">
        <v>-683</v>
      </c>
      <c r="M31" s="127">
        <v>136</v>
      </c>
      <c r="N31" s="312">
        <v>-55.688000000000002</v>
      </c>
      <c r="O31" s="312">
        <v>-88.305999999999997</v>
      </c>
      <c r="P31" s="312">
        <v>-442.56299999999999</v>
      </c>
      <c r="Q31" s="312">
        <v>-2046.6990000000001</v>
      </c>
      <c r="R31" s="312">
        <v>-1721.366</v>
      </c>
      <c r="S31" s="312">
        <v>-7085.5609999999997</v>
      </c>
      <c r="T31" s="312">
        <v>-1490.479</v>
      </c>
      <c r="U31" s="312">
        <v>-748.84699999999998</v>
      </c>
      <c r="V31" s="312">
        <v>-3202.8589999999999</v>
      </c>
      <c r="W31" s="312">
        <v>-1911.375</v>
      </c>
      <c r="X31" s="312">
        <v>-2208.4839999999999</v>
      </c>
      <c r="Y31" s="312">
        <v>-1908.461</v>
      </c>
    </row>
    <row r="32" spans="1:25">
      <c r="A32" s="115" t="s">
        <v>885</v>
      </c>
      <c r="B32" s="115" t="s">
        <v>886</v>
      </c>
      <c r="C32" s="120"/>
      <c r="D32" s="127"/>
      <c r="E32" s="127"/>
      <c r="F32" s="120"/>
      <c r="G32" s="127"/>
      <c r="H32" s="127"/>
      <c r="I32" s="127"/>
      <c r="J32" s="127"/>
      <c r="K32" s="127"/>
      <c r="L32" s="127"/>
      <c r="M32" s="127"/>
      <c r="N32" s="312"/>
      <c r="O32" s="312"/>
      <c r="P32" s="312"/>
      <c r="Q32" s="312"/>
      <c r="R32" s="312"/>
      <c r="S32" s="312"/>
      <c r="T32" s="312"/>
      <c r="U32" s="312"/>
      <c r="V32" s="312"/>
      <c r="W32" s="312"/>
      <c r="X32" s="312"/>
      <c r="Y32" s="312"/>
    </row>
    <row r="33" spans="1:25">
      <c r="A33" s="115" t="s">
        <v>887</v>
      </c>
      <c r="B33" s="115" t="s">
        <v>888</v>
      </c>
      <c r="C33" s="120"/>
      <c r="D33" s="127">
        <v>0</v>
      </c>
      <c r="E33" s="127">
        <v>27480</v>
      </c>
      <c r="F33" s="120"/>
      <c r="G33" s="127">
        <v>-77854</v>
      </c>
      <c r="H33" s="127">
        <v>34347</v>
      </c>
      <c r="I33" s="127">
        <v>-21851</v>
      </c>
      <c r="J33" s="127">
        <v>-1791</v>
      </c>
      <c r="K33" s="127">
        <v>3655</v>
      </c>
      <c r="L33" s="127">
        <v>-2808</v>
      </c>
      <c r="M33" s="127">
        <v>-2995</v>
      </c>
      <c r="N33" s="312">
        <v>-3320.8249999999998</v>
      </c>
      <c r="O33" s="312">
        <v>-3596.02</v>
      </c>
      <c r="P33" s="312">
        <v>2541.1779999999999</v>
      </c>
      <c r="Q33" s="312">
        <v>-3778.694</v>
      </c>
      <c r="R33" s="312">
        <v>-2145.7849999999999</v>
      </c>
      <c r="S33" s="312">
        <v>-10071.966</v>
      </c>
      <c r="T33" s="312">
        <v>-3384.0250000000001</v>
      </c>
      <c r="U33" s="312">
        <v>-3591.527</v>
      </c>
      <c r="V33" s="312">
        <v>-143.654</v>
      </c>
      <c r="W33" s="312">
        <v>-8557.6550000000007</v>
      </c>
      <c r="X33" s="312">
        <v>-5246.1170000000002</v>
      </c>
      <c r="Y33" s="312">
        <v>-6652.4759999999997</v>
      </c>
    </row>
    <row r="34" spans="1:25">
      <c r="A34" s="115" t="s">
        <v>889</v>
      </c>
      <c r="B34" s="115" t="s">
        <v>890</v>
      </c>
      <c r="C34" s="120"/>
      <c r="D34" s="127"/>
      <c r="E34" s="127"/>
      <c r="F34" s="120"/>
      <c r="G34" s="127"/>
      <c r="H34" s="127"/>
      <c r="I34" s="127"/>
      <c r="J34" s="127"/>
      <c r="K34" s="127"/>
      <c r="L34" s="127"/>
      <c r="M34" s="127"/>
      <c r="N34" s="312"/>
      <c r="O34" s="312"/>
      <c r="P34" s="312"/>
      <c r="Q34" s="312"/>
      <c r="R34" s="312"/>
      <c r="S34" s="312"/>
      <c r="T34" s="312"/>
      <c r="U34" s="312"/>
      <c r="V34" s="312"/>
      <c r="W34" s="312"/>
      <c r="X34" s="312"/>
      <c r="Y34" s="312"/>
    </row>
    <row r="35" spans="1:25">
      <c r="A35" s="115" t="s">
        <v>891</v>
      </c>
      <c r="B35" s="115" t="s">
        <v>892</v>
      </c>
      <c r="C35" s="112"/>
      <c r="D35" s="127">
        <v>-13</v>
      </c>
      <c r="E35" s="127">
        <v>51</v>
      </c>
      <c r="F35" s="112"/>
      <c r="G35" s="127">
        <v>158</v>
      </c>
      <c r="H35" s="127">
        <v>649</v>
      </c>
      <c r="I35" s="127">
        <v>-178</v>
      </c>
      <c r="J35" s="127">
        <v>-34072</v>
      </c>
      <c r="K35" s="127">
        <v>-9027</v>
      </c>
      <c r="L35" s="127">
        <v>-1814</v>
      </c>
      <c r="M35" s="127">
        <v>-21383</v>
      </c>
      <c r="N35" s="312">
        <v>-343.92200000000003</v>
      </c>
      <c r="O35" s="312">
        <v>-17242.273000000001</v>
      </c>
      <c r="P35" s="312">
        <v>-965.95299999999997</v>
      </c>
      <c r="Q35" s="312">
        <v>-602.14</v>
      </c>
      <c r="R35" s="312">
        <v>-2483.56</v>
      </c>
      <c r="S35" s="312">
        <v>6131.616</v>
      </c>
      <c r="T35" s="312">
        <v>-1251.22</v>
      </c>
      <c r="U35" s="312">
        <v>-6181.5739999999996</v>
      </c>
      <c r="V35" s="312">
        <v>-15261.76</v>
      </c>
      <c r="W35" s="312">
        <v>-32174.473000000002</v>
      </c>
      <c r="X35" s="312">
        <v>-1792.9929999999999</v>
      </c>
      <c r="Y35" s="312">
        <v>-12489.368</v>
      </c>
    </row>
    <row r="36" spans="1:25">
      <c r="A36" s="455" t="s">
        <v>722</v>
      </c>
      <c r="B36" s="458" t="s">
        <v>722</v>
      </c>
      <c r="C36" s="120"/>
      <c r="D36" s="462">
        <f>D18+D19+D25</f>
        <v>-33257</v>
      </c>
      <c r="E36" s="462">
        <f>E18+E19+E25</f>
        <v>-25352</v>
      </c>
      <c r="F36" s="120"/>
      <c r="G36" s="462">
        <f t="shared" ref="G36:U36" si="13">G18+G19+G25</f>
        <v>221185</v>
      </c>
      <c r="H36" s="462">
        <f t="shared" si="13"/>
        <v>6527</v>
      </c>
      <c r="I36" s="462">
        <f t="shared" si="13"/>
        <v>120154</v>
      </c>
      <c r="J36" s="462">
        <f t="shared" si="13"/>
        <v>68345</v>
      </c>
      <c r="K36" s="462">
        <f t="shared" si="13"/>
        <v>65012</v>
      </c>
      <c r="L36" s="462">
        <f t="shared" si="13"/>
        <v>47868.000000000058</v>
      </c>
      <c r="M36" s="462">
        <f t="shared" si="13"/>
        <v>49089</v>
      </c>
      <c r="N36" s="463">
        <f t="shared" si="13"/>
        <v>78086.631000000023</v>
      </c>
      <c r="O36" s="463">
        <f t="shared" si="13"/>
        <v>88765.695000000065</v>
      </c>
      <c r="P36" s="463">
        <f t="shared" si="13"/>
        <v>54896.346999999994</v>
      </c>
      <c r="Q36" s="463">
        <f t="shared" si="13"/>
        <v>160991.76600000003</v>
      </c>
      <c r="R36" s="463">
        <f t="shared" si="13"/>
        <v>123785.02700000003</v>
      </c>
      <c r="S36" s="463">
        <f t="shared" si="13"/>
        <v>153460.86700000003</v>
      </c>
      <c r="T36" s="463">
        <f t="shared" si="13"/>
        <v>101939.02881000003</v>
      </c>
      <c r="U36" s="463">
        <f t="shared" si="13"/>
        <v>108649.4063</v>
      </c>
      <c r="V36" s="463">
        <f t="shared" ref="V36:X36" si="14">V18+V19+V25</f>
        <v>107815.09765999991</v>
      </c>
      <c r="W36" s="463">
        <f t="shared" si="14"/>
        <v>110015.75304000003</v>
      </c>
      <c r="X36" s="463">
        <f t="shared" si="14"/>
        <v>97682.047370000044</v>
      </c>
      <c r="Y36" s="463">
        <f>Y18+Y19+Y25</f>
        <v>117146.92411000008</v>
      </c>
    </row>
    <row r="37" spans="1:25" ht="15" thickBot="1">
      <c r="A37" s="115" t="s">
        <v>893</v>
      </c>
      <c r="B37" s="115" t="s">
        <v>894</v>
      </c>
      <c r="C37" s="112"/>
      <c r="D37" s="127">
        <v>-6491</v>
      </c>
      <c r="E37" s="127">
        <v>-6447</v>
      </c>
      <c r="F37" s="112"/>
      <c r="G37" s="127">
        <v>-7397</v>
      </c>
      <c r="H37" s="127">
        <v>-4792</v>
      </c>
      <c r="I37" s="127">
        <v>-4874</v>
      </c>
      <c r="J37" s="127">
        <v>-5080</v>
      </c>
      <c r="K37" s="127">
        <v>-8960</v>
      </c>
      <c r="L37" s="127">
        <v>-5717</v>
      </c>
      <c r="M37" s="127">
        <v>-10534</v>
      </c>
      <c r="N37" s="312">
        <v>-9237.5949999999993</v>
      </c>
      <c r="O37" s="312">
        <v>-7964.8860000000004</v>
      </c>
      <c r="P37" s="312">
        <v>-10131.821</v>
      </c>
      <c r="Q37" s="312">
        <v>1885.2070000000001</v>
      </c>
      <c r="R37" s="312">
        <v>-11523.552</v>
      </c>
      <c r="S37" s="312">
        <v>-14048.31</v>
      </c>
      <c r="T37" s="312">
        <v>-15073.332</v>
      </c>
      <c r="U37" s="312">
        <v>-15693.83</v>
      </c>
      <c r="V37" s="312">
        <v>-19674.491999999998</v>
      </c>
      <c r="W37" s="312">
        <v>-20897.490000000002</v>
      </c>
      <c r="X37" s="312">
        <v>-21064.829000000002</v>
      </c>
      <c r="Y37" s="312">
        <v>-33054.370999999999</v>
      </c>
    </row>
    <row r="38" spans="1:25" ht="15" thickBot="1">
      <c r="A38" s="118" t="s">
        <v>895</v>
      </c>
      <c r="B38" s="118" t="s">
        <v>896</v>
      </c>
      <c r="C38" s="112"/>
      <c r="D38" s="119">
        <f>SUM(D36:D37)</f>
        <v>-39748</v>
      </c>
      <c r="E38" s="119">
        <f>SUM(E36:E37)</f>
        <v>-31799</v>
      </c>
      <c r="F38" s="112"/>
      <c r="G38" s="119">
        <f>SUM(G36:G37)</f>
        <v>213788</v>
      </c>
      <c r="H38" s="119">
        <f>SUM(H36:H37)</f>
        <v>1735</v>
      </c>
      <c r="I38" s="119">
        <f>SUM(I36:I37)</f>
        <v>115280</v>
      </c>
      <c r="J38" s="119">
        <f>SUM(J36:J37)</f>
        <v>63265</v>
      </c>
      <c r="K38" s="119">
        <f t="shared" ref="K38:P38" si="15">SUM(K36:K37)</f>
        <v>56052</v>
      </c>
      <c r="L38" s="119">
        <f t="shared" si="15"/>
        <v>42151.000000000058</v>
      </c>
      <c r="M38" s="119">
        <f t="shared" si="15"/>
        <v>38555</v>
      </c>
      <c r="N38" s="119">
        <f t="shared" si="15"/>
        <v>68849.036000000022</v>
      </c>
      <c r="O38" s="119">
        <f t="shared" si="15"/>
        <v>80800.809000000067</v>
      </c>
      <c r="P38" s="119">
        <f t="shared" si="15"/>
        <v>44764.525999999998</v>
      </c>
      <c r="Q38" s="119">
        <f t="shared" ref="Q38:X38" si="16">SUM(Q36:Q37)</f>
        <v>162876.97300000003</v>
      </c>
      <c r="R38" s="119">
        <f t="shared" si="16"/>
        <v>112261.47500000003</v>
      </c>
      <c r="S38" s="119">
        <f t="shared" si="16"/>
        <v>139412.55700000003</v>
      </c>
      <c r="T38" s="119">
        <f t="shared" si="16"/>
        <v>86865.696810000038</v>
      </c>
      <c r="U38" s="119">
        <f t="shared" si="16"/>
        <v>92955.576300000001</v>
      </c>
      <c r="V38" s="119">
        <f t="shared" si="16"/>
        <v>88140.605659999914</v>
      </c>
      <c r="W38" s="119">
        <f t="shared" si="16"/>
        <v>89118.26304000002</v>
      </c>
      <c r="X38" s="119">
        <f t="shared" si="16"/>
        <v>76617.218370000046</v>
      </c>
      <c r="Y38" s="119">
        <f>SUM(Y36:Y37)</f>
        <v>84092.553110000081</v>
      </c>
    </row>
    <row r="39" spans="1:25" ht="15" thickBot="1">
      <c r="A39" s="118" t="s">
        <v>725</v>
      </c>
      <c r="B39" s="121" t="s">
        <v>897</v>
      </c>
      <c r="C39" s="112"/>
      <c r="D39" s="319">
        <f>D40+D41</f>
        <v>-16155</v>
      </c>
      <c r="E39" s="319">
        <f>E40+E41</f>
        <v>-26261</v>
      </c>
      <c r="F39" s="112"/>
      <c r="G39" s="319">
        <f>G40+G41</f>
        <v>51102</v>
      </c>
      <c r="H39" s="319">
        <f>H40+H41</f>
        <v>169205</v>
      </c>
      <c r="I39" s="319">
        <f>I40+I41</f>
        <v>299</v>
      </c>
      <c r="J39" s="319">
        <f>J40+J41</f>
        <v>151070</v>
      </c>
      <c r="K39" s="319">
        <f t="shared" ref="K39:P39" si="17">K40+K41</f>
        <v>-56816</v>
      </c>
      <c r="L39" s="319">
        <f t="shared" si="17"/>
        <v>-46466</v>
      </c>
      <c r="M39" s="319">
        <f t="shared" si="17"/>
        <v>-45019</v>
      </c>
      <c r="N39" s="319">
        <f t="shared" si="17"/>
        <v>-65834.861999999994</v>
      </c>
      <c r="O39" s="319">
        <f t="shared" si="17"/>
        <v>-17951.213999999993</v>
      </c>
      <c r="P39" s="319">
        <f t="shared" si="17"/>
        <v>-66811.87</v>
      </c>
      <c r="Q39" s="319">
        <f>Q40+Q41</f>
        <v>-64666.619999999995</v>
      </c>
      <c r="R39" s="319">
        <f>R40+R41</f>
        <v>-66979.391000000003</v>
      </c>
      <c r="S39" s="319">
        <f>S40+S41</f>
        <v>-60175.249000000011</v>
      </c>
      <c r="T39" s="319">
        <f>T40+T41</f>
        <v>-77012.936000000016</v>
      </c>
      <c r="U39" s="319">
        <f>SUM(U40:U41)</f>
        <v>-73397.656000000003</v>
      </c>
      <c r="V39" s="319">
        <f>SUM(V40:V41)</f>
        <v>-114733.34399999998</v>
      </c>
      <c r="W39" s="319">
        <f>SUM(W40:W41)</f>
        <v>-81362.226999999999</v>
      </c>
      <c r="X39" s="319">
        <f>SUM(X40:X41)</f>
        <v>-76361.425000000017</v>
      </c>
      <c r="Y39" s="319">
        <f>SUM(Y40:Y41)</f>
        <v>-78021.465999999986</v>
      </c>
    </row>
    <row r="40" spans="1:25">
      <c r="A40" s="115" t="s">
        <v>727</v>
      </c>
      <c r="B40" s="115" t="s">
        <v>898</v>
      </c>
      <c r="C40" s="112"/>
      <c r="D40" s="127">
        <v>172</v>
      </c>
      <c r="E40" s="127">
        <v>374</v>
      </c>
      <c r="F40" s="112"/>
      <c r="G40" s="127">
        <v>196928</v>
      </c>
      <c r="H40" s="127">
        <v>280963</v>
      </c>
      <c r="I40" s="127">
        <v>119066</v>
      </c>
      <c r="J40" s="127">
        <v>235535</v>
      </c>
      <c r="K40" s="127">
        <v>24086</v>
      </c>
      <c r="L40" s="127">
        <v>71213</v>
      </c>
      <c r="M40" s="127">
        <v>53907</v>
      </c>
      <c r="N40" s="312">
        <v>-18306.427</v>
      </c>
      <c r="O40" s="312">
        <v>90864.994000000006</v>
      </c>
      <c r="P40" s="312">
        <v>131460.11499999999</v>
      </c>
      <c r="Q40" s="312">
        <v>39157.423999999999</v>
      </c>
      <c r="R40" s="312">
        <v>48909.080999999998</v>
      </c>
      <c r="S40" s="312">
        <v>114741.34299999999</v>
      </c>
      <c r="T40" s="312">
        <v>156182.36799999999</v>
      </c>
      <c r="U40" s="312">
        <v>37442.069000000003</v>
      </c>
      <c r="V40" s="312">
        <v>77046.831000000006</v>
      </c>
      <c r="W40" s="312">
        <v>26371.079000000002</v>
      </c>
      <c r="X40" s="312">
        <v>145254.26699999999</v>
      </c>
      <c r="Y40" s="312">
        <v>48055.529000000002</v>
      </c>
    </row>
    <row r="41" spans="1:25" ht="15" thickBot="1">
      <c r="A41" s="115" t="s">
        <v>744</v>
      </c>
      <c r="B41" s="115" t="s">
        <v>745</v>
      </c>
      <c r="C41" s="112"/>
      <c r="D41" s="127">
        <v>-16327</v>
      </c>
      <c r="E41" s="127">
        <v>-26635</v>
      </c>
      <c r="F41" s="112"/>
      <c r="G41" s="127">
        <v>-145826</v>
      </c>
      <c r="H41" s="127">
        <v>-111758</v>
      </c>
      <c r="I41" s="127">
        <v>-118767</v>
      </c>
      <c r="J41" s="127">
        <v>-84465</v>
      </c>
      <c r="K41" s="127">
        <v>-80902</v>
      </c>
      <c r="L41" s="127">
        <v>-117679</v>
      </c>
      <c r="M41" s="127">
        <v>-98926</v>
      </c>
      <c r="N41" s="312">
        <v>-47528.434999999998</v>
      </c>
      <c r="O41" s="312">
        <v>-108816.208</v>
      </c>
      <c r="P41" s="312">
        <v>-198271.98499999999</v>
      </c>
      <c r="Q41" s="312">
        <v>-103824.04399999999</v>
      </c>
      <c r="R41" s="312">
        <v>-115888.47199999999</v>
      </c>
      <c r="S41" s="312">
        <v>-174916.592</v>
      </c>
      <c r="T41" s="312">
        <v>-233195.304</v>
      </c>
      <c r="U41" s="312">
        <v>-110839.72500000001</v>
      </c>
      <c r="V41" s="312">
        <v>-191780.17499999999</v>
      </c>
      <c r="W41" s="312">
        <v>-107733.306</v>
      </c>
      <c r="X41" s="312">
        <v>-221615.69200000001</v>
      </c>
      <c r="Y41" s="312">
        <v>-126076.995</v>
      </c>
    </row>
    <row r="42" spans="1:25" ht="15" thickBot="1">
      <c r="A42" s="118" t="s">
        <v>899</v>
      </c>
      <c r="B42" s="118" t="s">
        <v>724</v>
      </c>
      <c r="C42" s="112"/>
      <c r="D42" s="119">
        <f>D38+D39</f>
        <v>-55903</v>
      </c>
      <c r="E42" s="119">
        <f>E38+E39</f>
        <v>-58060</v>
      </c>
      <c r="F42" s="112"/>
      <c r="G42" s="119">
        <f>G38+G39</f>
        <v>264890</v>
      </c>
      <c r="H42" s="119">
        <f>H38+H39</f>
        <v>170940</v>
      </c>
      <c r="I42" s="119">
        <f>I38+I39</f>
        <v>115579</v>
      </c>
      <c r="J42" s="119">
        <f>J38+J39</f>
        <v>214335</v>
      </c>
      <c r="K42" s="119">
        <f t="shared" ref="K42:T42" si="18">K38+K39</f>
        <v>-764</v>
      </c>
      <c r="L42" s="119">
        <f t="shared" si="18"/>
        <v>-4314.9999999999418</v>
      </c>
      <c r="M42" s="119">
        <f t="shared" si="18"/>
        <v>-6464</v>
      </c>
      <c r="N42" s="119">
        <f t="shared" si="18"/>
        <v>3014.1740000000282</v>
      </c>
      <c r="O42" s="119">
        <f t="shared" si="18"/>
        <v>62849.595000000074</v>
      </c>
      <c r="P42" s="119">
        <f t="shared" si="18"/>
        <v>-22047.343999999997</v>
      </c>
      <c r="Q42" s="119">
        <f t="shared" si="18"/>
        <v>98210.353000000032</v>
      </c>
      <c r="R42" s="119">
        <f t="shared" si="18"/>
        <v>45282.084000000032</v>
      </c>
      <c r="S42" s="119">
        <f t="shared" si="18"/>
        <v>79237.308000000019</v>
      </c>
      <c r="T42" s="119">
        <f t="shared" si="18"/>
        <v>9852.7608100000216</v>
      </c>
      <c r="U42" s="119">
        <f>SUM(U38:U39)</f>
        <v>19557.920299999998</v>
      </c>
      <c r="V42" s="119">
        <f>SUM(V38:V39)</f>
        <v>-26592.738340000069</v>
      </c>
      <c r="W42" s="119">
        <f>SUM(W38:W39)</f>
        <v>7756.0360400000209</v>
      </c>
      <c r="X42" s="119">
        <f>SUM(X38:X39)</f>
        <v>255.79337000002852</v>
      </c>
      <c r="Y42" s="119">
        <f>SUM(Y38:Y39)</f>
        <v>6071.087110000095</v>
      </c>
    </row>
    <row r="43" spans="1:25">
      <c r="A43" s="115" t="s">
        <v>768</v>
      </c>
      <c r="B43" s="115" t="s">
        <v>769</v>
      </c>
      <c r="C43" s="112"/>
      <c r="D43" s="127">
        <v>0</v>
      </c>
      <c r="E43" s="127"/>
      <c r="F43" s="112"/>
      <c r="G43" s="127">
        <v>-14983</v>
      </c>
      <c r="H43" s="127">
        <v>-11317</v>
      </c>
      <c r="I43" s="127">
        <v>-7012</v>
      </c>
      <c r="J43" s="127">
        <v>-12773</v>
      </c>
      <c r="K43" s="127">
        <v>1460</v>
      </c>
      <c r="L43" s="127">
        <v>-511</v>
      </c>
      <c r="M43" s="127">
        <v>-1123</v>
      </c>
      <c r="N43" s="312">
        <v>1175.991</v>
      </c>
      <c r="O43" s="312">
        <v>4429.817</v>
      </c>
      <c r="P43" s="312">
        <v>0</v>
      </c>
      <c r="Q43" s="312">
        <v>0</v>
      </c>
      <c r="R43" s="312">
        <v>0</v>
      </c>
      <c r="S43" s="312">
        <v>0</v>
      </c>
      <c r="T43" s="312">
        <v>-766.89400000000001</v>
      </c>
      <c r="U43" s="312">
        <v>-1842.0530000000001</v>
      </c>
      <c r="V43" s="312">
        <v>-1202.9929999999999</v>
      </c>
      <c r="W43" s="312">
        <v>-2214.8780000000002</v>
      </c>
      <c r="X43" s="312">
        <v>-1351.643</v>
      </c>
      <c r="Y43" s="312">
        <v>-3151.7069999999999</v>
      </c>
    </row>
    <row r="44" spans="1:25">
      <c r="A44" s="115" t="s">
        <v>770</v>
      </c>
      <c r="B44" s="115" t="s">
        <v>771</v>
      </c>
      <c r="C44" s="112"/>
      <c r="D44" s="127">
        <v>0</v>
      </c>
      <c r="E44" s="127"/>
      <c r="F44" s="112"/>
      <c r="G44" s="127">
        <v>-40597</v>
      </c>
      <c r="H44" s="127">
        <v>-31429</v>
      </c>
      <c r="I44" s="127">
        <v>-18446</v>
      </c>
      <c r="J44" s="127">
        <v>-30582</v>
      </c>
      <c r="K44" s="127">
        <v>-923</v>
      </c>
      <c r="L44" s="127">
        <v>-1428</v>
      </c>
      <c r="M44" s="127">
        <v>-3169</v>
      </c>
      <c r="N44" s="312">
        <v>3144.2840000000001</v>
      </c>
      <c r="O44" s="312">
        <v>9908.1569999999992</v>
      </c>
      <c r="P44" s="312">
        <v>0</v>
      </c>
      <c r="Q44" s="312">
        <v>0</v>
      </c>
      <c r="R44" s="312">
        <v>0</v>
      </c>
      <c r="S44" s="312">
        <v>0</v>
      </c>
      <c r="T44" s="312">
        <v>-1403.056</v>
      </c>
      <c r="U44" s="312">
        <v>-5767.9290000000001</v>
      </c>
      <c r="V44" s="312">
        <v>-3313.45</v>
      </c>
      <c r="W44" s="312">
        <v>-6096.1030000000001</v>
      </c>
      <c r="X44" s="312">
        <v>-3701.1219999999998</v>
      </c>
      <c r="Y44" s="312">
        <v>-8543.5920000000006</v>
      </c>
    </row>
    <row r="45" spans="1:25">
      <c r="A45" s="115" t="s">
        <v>900</v>
      </c>
      <c r="B45" s="115" t="s">
        <v>901</v>
      </c>
      <c r="C45" s="112"/>
      <c r="D45" s="127">
        <v>0</v>
      </c>
      <c r="E45" s="127"/>
      <c r="F45" s="112"/>
      <c r="G45" s="127">
        <v>0</v>
      </c>
      <c r="H45" s="127">
        <v>0</v>
      </c>
      <c r="I45" s="127">
        <v>0</v>
      </c>
      <c r="J45" s="127">
        <v>0</v>
      </c>
      <c r="K45" s="127">
        <v>0</v>
      </c>
      <c r="L45" s="127">
        <v>0</v>
      </c>
      <c r="M45" s="127">
        <v>0</v>
      </c>
      <c r="N45" s="312">
        <v>0</v>
      </c>
      <c r="O45" s="312">
        <v>0</v>
      </c>
      <c r="P45" s="312">
        <v>296.41300000000001</v>
      </c>
      <c r="Q45" s="312">
        <v>0</v>
      </c>
      <c r="R45" s="312">
        <v>0</v>
      </c>
      <c r="S45" s="312">
        <v>0</v>
      </c>
      <c r="T45" s="312">
        <v>0</v>
      </c>
      <c r="U45" s="312">
        <v>0</v>
      </c>
      <c r="V45" s="312">
        <v>0</v>
      </c>
      <c r="W45" s="312">
        <v>0</v>
      </c>
      <c r="X45" s="312">
        <v>0</v>
      </c>
      <c r="Y45" s="312">
        <v>0</v>
      </c>
    </row>
    <row r="46" spans="1:25" ht="15" thickBot="1">
      <c r="A46" s="115" t="s">
        <v>772</v>
      </c>
      <c r="B46" s="115" t="s">
        <v>902</v>
      </c>
      <c r="C46" s="112"/>
      <c r="D46" s="127">
        <v>0</v>
      </c>
      <c r="E46" s="127"/>
      <c r="F46" s="112"/>
      <c r="G46" s="127">
        <v>0</v>
      </c>
      <c r="H46" s="127">
        <v>0</v>
      </c>
      <c r="I46" s="127">
        <v>0</v>
      </c>
      <c r="J46" s="127">
        <v>0</v>
      </c>
      <c r="K46" s="127">
        <v>0</v>
      </c>
      <c r="L46" s="127">
        <v>0</v>
      </c>
      <c r="M46" s="127">
        <v>0</v>
      </c>
      <c r="N46" s="312">
        <v>0</v>
      </c>
      <c r="O46" s="312">
        <v>9470.1610000000001</v>
      </c>
      <c r="P46" s="312">
        <v>0</v>
      </c>
      <c r="Q46" s="312">
        <v>0</v>
      </c>
      <c r="R46" s="312">
        <v>0</v>
      </c>
      <c r="S46" s="312">
        <v>0</v>
      </c>
      <c r="T46" s="312">
        <v>0</v>
      </c>
      <c r="U46" s="312">
        <v>0</v>
      </c>
      <c r="V46" s="312">
        <v>0</v>
      </c>
      <c r="W46" s="312">
        <v>0</v>
      </c>
      <c r="X46" s="312">
        <v>0</v>
      </c>
      <c r="Y46" s="312">
        <v>0</v>
      </c>
    </row>
    <row r="47" spans="1:25" ht="15" thickBot="1">
      <c r="A47" s="118" t="s">
        <v>903</v>
      </c>
      <c r="B47" s="118" t="s">
        <v>777</v>
      </c>
      <c r="C47" s="112"/>
      <c r="D47" s="321">
        <f>SUM(D42:D46)</f>
        <v>-55903</v>
      </c>
      <c r="E47" s="321">
        <f>SUM(E42:E46)</f>
        <v>-58060</v>
      </c>
      <c r="F47" s="112"/>
      <c r="G47" s="321">
        <f>SUM(G42:G46)</f>
        <v>209310</v>
      </c>
      <c r="H47" s="321">
        <f>SUM(H42:H46)</f>
        <v>128194</v>
      </c>
      <c r="I47" s="321">
        <f>SUM(I42:I46)</f>
        <v>90121</v>
      </c>
      <c r="J47" s="321">
        <f>SUM(J42:J46)</f>
        <v>170980</v>
      </c>
      <c r="K47" s="321">
        <f t="shared" ref="K47:U47" si="19">SUM(K42:K46)</f>
        <v>-227</v>
      </c>
      <c r="L47" s="321">
        <f t="shared" si="19"/>
        <v>-6253.9999999999418</v>
      </c>
      <c r="M47" s="321">
        <f t="shared" si="19"/>
        <v>-10756</v>
      </c>
      <c r="N47" s="321">
        <f t="shared" si="19"/>
        <v>7334.4490000000278</v>
      </c>
      <c r="O47" s="321">
        <f t="shared" si="19"/>
        <v>86657.730000000069</v>
      </c>
      <c r="P47" s="321">
        <f t="shared" si="19"/>
        <v>-21750.930999999997</v>
      </c>
      <c r="Q47" s="321">
        <f t="shared" si="19"/>
        <v>98210.353000000032</v>
      </c>
      <c r="R47" s="321">
        <f t="shared" si="19"/>
        <v>45282.084000000032</v>
      </c>
      <c r="S47" s="321">
        <f t="shared" si="19"/>
        <v>79237.308000000019</v>
      </c>
      <c r="T47" s="321">
        <f t="shared" si="19"/>
        <v>7682.8108100000209</v>
      </c>
      <c r="U47" s="321">
        <f t="shared" si="19"/>
        <v>11947.938299999998</v>
      </c>
      <c r="V47" s="321">
        <f t="shared" ref="V47:X47" si="20">SUM(V42:V46)</f>
        <v>-31109.181340000068</v>
      </c>
      <c r="W47" s="321">
        <f t="shared" si="20"/>
        <v>-554.9449599999798</v>
      </c>
      <c r="X47" s="321">
        <f t="shared" si="20"/>
        <v>-4796.9716299999709</v>
      </c>
      <c r="Y47" s="321">
        <f>SUM(Y42:Y46)</f>
        <v>-5624.2118899999059</v>
      </c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H9:P9" formulaRange="1"/>
  </ignoredErrors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9" tint="0.79998168889431442"/>
  </sheetPr>
  <dimension ref="A7:U47"/>
  <sheetViews>
    <sheetView showGridLines="0" zoomScaleNormal="100" workbookViewId="0">
      <pane xSplit="2" topLeftCell="C1" activePane="topRight" state="frozen"/>
      <selection pane="topRight" activeCell="C16" sqref="C16"/>
    </sheetView>
  </sheetViews>
  <sheetFormatPr defaultRowHeight="14.4"/>
  <cols>
    <col min="1" max="1" width="45" style="35" customWidth="1"/>
    <col min="2" max="2" width="44.44140625" style="35" customWidth="1"/>
    <col min="3" max="3" width="0.77734375" customWidth="1"/>
    <col min="4" max="21" width="9.5546875" style="35" bestFit="1" customWidth="1"/>
  </cols>
  <sheetData>
    <row r="7" spans="1:21">
      <c r="A7" s="38" t="s">
        <v>911</v>
      </c>
      <c r="B7" s="38" t="s">
        <v>911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</row>
    <row r="8" spans="1:21" ht="15" thickBot="1">
      <c r="A8" s="448" t="s">
        <v>846</v>
      </c>
      <c r="B8" s="448" t="s">
        <v>847</v>
      </c>
      <c r="D8" s="460" t="s">
        <v>75</v>
      </c>
      <c r="E8" s="460" t="s">
        <v>76</v>
      </c>
      <c r="F8" s="460" t="s">
        <v>77</v>
      </c>
      <c r="G8" s="460" t="s">
        <v>78</v>
      </c>
      <c r="H8" s="460" t="s">
        <v>79</v>
      </c>
      <c r="I8" s="460" t="s">
        <v>80</v>
      </c>
      <c r="J8" s="460" t="s">
        <v>81</v>
      </c>
      <c r="K8" s="460" t="s">
        <v>82</v>
      </c>
      <c r="L8" s="460" t="s">
        <v>83</v>
      </c>
      <c r="M8" s="460" t="s">
        <v>84</v>
      </c>
      <c r="N8" s="460" t="s">
        <v>85</v>
      </c>
      <c r="O8" s="460" t="s">
        <v>86</v>
      </c>
      <c r="P8" s="460" t="s">
        <v>87</v>
      </c>
      <c r="Q8" s="460" t="s">
        <v>88</v>
      </c>
      <c r="R8" s="460" t="s">
        <v>2074</v>
      </c>
      <c r="S8" s="460" t="s">
        <v>2127</v>
      </c>
      <c r="T8" s="460" t="s">
        <v>2360</v>
      </c>
      <c r="U8" s="460" t="s">
        <v>2494</v>
      </c>
    </row>
    <row r="9" spans="1:21" ht="15" thickBot="1">
      <c r="A9" s="118" t="s">
        <v>596</v>
      </c>
      <c r="B9" s="118" t="s">
        <v>848</v>
      </c>
      <c r="D9" s="119">
        <f t="shared" ref="D9:K9" si="0">SUM(D10:D16)</f>
        <v>4098553</v>
      </c>
      <c r="E9" s="119">
        <f t="shared" si="0"/>
        <v>3318478.6150000002</v>
      </c>
      <c r="F9" s="119">
        <f t="shared" si="0"/>
        <v>3173426.3260000004</v>
      </c>
      <c r="G9" s="119">
        <f t="shared" si="0"/>
        <v>3119307</v>
      </c>
      <c r="H9" s="119">
        <f t="shared" si="0"/>
        <v>3600945</v>
      </c>
      <c r="I9" s="119">
        <f t="shared" si="0"/>
        <v>2660803.2330000005</v>
      </c>
      <c r="J9" s="119">
        <f t="shared" si="0"/>
        <v>3060795.0379999997</v>
      </c>
      <c r="K9" s="119">
        <f t="shared" si="0"/>
        <v>3818315.5489999996</v>
      </c>
      <c r="L9" s="119">
        <f t="shared" ref="L9:Q9" si="1">SUM(L10:L16)</f>
        <v>3447375.7069999999</v>
      </c>
      <c r="M9" s="119">
        <f t="shared" si="1"/>
        <v>3655955.0699999994</v>
      </c>
      <c r="N9" s="119">
        <f t="shared" si="1"/>
        <v>4108331.3330000001</v>
      </c>
      <c r="O9" s="119">
        <f t="shared" si="1"/>
        <v>4185052.6109999996</v>
      </c>
      <c r="P9" s="119">
        <f t="shared" si="1"/>
        <v>3834101.3640000005</v>
      </c>
      <c r="Q9" s="119">
        <f t="shared" si="1"/>
        <v>4343161.0520000001</v>
      </c>
      <c r="R9" s="119">
        <f t="shared" ref="R9" si="2">SUM(R10:R16)</f>
        <v>4722538.6160000004</v>
      </c>
      <c r="S9" s="119">
        <f t="shared" ref="S9:T9" si="3">SUM(S10:S16)</f>
        <v>5048036.4419999998</v>
      </c>
      <c r="T9" s="119">
        <f t="shared" si="3"/>
        <v>4256205.6510000005</v>
      </c>
      <c r="U9" s="119">
        <f>SUM(U10:U16)</f>
        <v>4656185.0030000005</v>
      </c>
    </row>
    <row r="10" spans="1:21">
      <c r="A10" s="115" t="s">
        <v>849</v>
      </c>
      <c r="B10" s="115" t="s">
        <v>850</v>
      </c>
      <c r="D10" s="312">
        <v>3105387</v>
      </c>
      <c r="E10" s="312">
        <v>2382105.9530000002</v>
      </c>
      <c r="F10" s="312">
        <v>2169994.2740000002</v>
      </c>
      <c r="G10" s="312">
        <v>2140713</v>
      </c>
      <c r="H10" s="312">
        <v>2265091</v>
      </c>
      <c r="I10" s="312">
        <v>1944761.648</v>
      </c>
      <c r="J10" s="312">
        <v>2183220.085</v>
      </c>
      <c r="K10" s="312">
        <v>2802415.7949999999</v>
      </c>
      <c r="L10" s="312">
        <v>2586908.9909999999</v>
      </c>
      <c r="M10" s="312">
        <v>2660472.3849999998</v>
      </c>
      <c r="N10" s="312">
        <v>2883448.7689999999</v>
      </c>
      <c r="O10" s="312">
        <v>2879206.1889999998</v>
      </c>
      <c r="P10" s="312">
        <v>2724844.2710000002</v>
      </c>
      <c r="Q10" s="312">
        <v>2976484.7390000001</v>
      </c>
      <c r="R10" s="312">
        <v>3145165.929</v>
      </c>
      <c r="S10" s="312">
        <v>3437919.7570000002</v>
      </c>
      <c r="T10" s="312">
        <v>3027717.5759999999</v>
      </c>
      <c r="U10" s="312">
        <v>3288771.4339999999</v>
      </c>
    </row>
    <row r="11" spans="1:21">
      <c r="A11" s="115" t="s">
        <v>602</v>
      </c>
      <c r="B11" s="115" t="s">
        <v>603</v>
      </c>
      <c r="D11" s="312">
        <v>88630</v>
      </c>
      <c r="E11" s="312">
        <v>68321.561000000002</v>
      </c>
      <c r="F11" s="312">
        <v>83679.679000000004</v>
      </c>
      <c r="G11" s="312">
        <v>74733</v>
      </c>
      <c r="H11" s="312">
        <v>35569</v>
      </c>
      <c r="I11" s="312">
        <v>59643.712</v>
      </c>
      <c r="J11" s="312">
        <v>24497.641</v>
      </c>
      <c r="K11" s="312">
        <v>119063.306</v>
      </c>
      <c r="L11" s="312">
        <v>39079.54</v>
      </c>
      <c r="M11" s="312">
        <v>36072.724000000002</v>
      </c>
      <c r="N11" s="312">
        <v>83310.842000000004</v>
      </c>
      <c r="O11" s="312">
        <v>76162.664999999994</v>
      </c>
      <c r="P11" s="312">
        <v>40251.940999999999</v>
      </c>
      <c r="Q11" s="312">
        <v>64701.510999999999</v>
      </c>
      <c r="R11" s="312">
        <v>211290.00599999999</v>
      </c>
      <c r="S11" s="312">
        <v>58302.673000000003</v>
      </c>
      <c r="T11" s="312">
        <v>60864.970999999998</v>
      </c>
      <c r="U11" s="312">
        <v>118175.15</v>
      </c>
    </row>
    <row r="12" spans="1:21">
      <c r="A12" s="115" t="s">
        <v>606</v>
      </c>
      <c r="B12" s="115" t="s">
        <v>851</v>
      </c>
      <c r="D12" s="312">
        <v>564973</v>
      </c>
      <c r="E12" s="312">
        <v>484701.89199999999</v>
      </c>
      <c r="F12" s="312">
        <v>541859.22499999998</v>
      </c>
      <c r="G12" s="312">
        <v>506623</v>
      </c>
      <c r="H12" s="312">
        <v>902134</v>
      </c>
      <c r="I12" s="312">
        <v>245617.82900000003</v>
      </c>
      <c r="J12" s="312">
        <v>385922.05</v>
      </c>
      <c r="K12" s="312">
        <v>365930.005</v>
      </c>
      <c r="L12" s="312">
        <v>351833.125</v>
      </c>
      <c r="M12" s="312">
        <v>480077.32</v>
      </c>
      <c r="N12" s="312">
        <v>638594.424</v>
      </c>
      <c r="O12" s="312">
        <v>654031.91799999995</v>
      </c>
      <c r="P12" s="312">
        <v>485537.90899999999</v>
      </c>
      <c r="Q12" s="312">
        <v>708021.65800000005</v>
      </c>
      <c r="R12" s="312">
        <v>751360.43799999997</v>
      </c>
      <c r="S12" s="312">
        <v>672615.46299999999</v>
      </c>
      <c r="T12" s="312">
        <v>637649.75399999996</v>
      </c>
      <c r="U12" s="312">
        <v>675017.92599999998</v>
      </c>
    </row>
    <row r="13" spans="1:21">
      <c r="A13" s="115" t="s">
        <v>852</v>
      </c>
      <c r="B13" s="115" t="s">
        <v>853</v>
      </c>
      <c r="D13" s="312"/>
      <c r="E13" s="312"/>
      <c r="F13" s="312"/>
      <c r="G13" s="312"/>
      <c r="H13" s="312">
        <v>16791.584480000001</v>
      </c>
      <c r="I13" s="312">
        <v>5260.0924899999982</v>
      </c>
      <c r="J13" s="312">
        <v>10900.251740000002</v>
      </c>
      <c r="K13" s="312">
        <v>-4725.7462800000012</v>
      </c>
      <c r="L13" s="312">
        <v>22331.191350000001</v>
      </c>
      <c r="M13" s="312">
        <v>16236.640749999999</v>
      </c>
      <c r="N13" s="312">
        <v>11144.79643</v>
      </c>
      <c r="O13" s="312">
        <v>25371.000469999999</v>
      </c>
      <c r="P13" s="312">
        <v>39499.235000000001</v>
      </c>
      <c r="Q13" s="312">
        <v>20551.843540000002</v>
      </c>
      <c r="R13" s="312">
        <v>16930.506279999994</v>
      </c>
      <c r="S13" s="312">
        <v>13458.811680000004</v>
      </c>
      <c r="T13" s="312">
        <v>35250.098119999995</v>
      </c>
      <c r="U13" s="312">
        <v>51093.79914000001</v>
      </c>
    </row>
    <row r="14" spans="1:21">
      <c r="A14" s="115" t="s">
        <v>854</v>
      </c>
      <c r="B14" s="115" t="s">
        <v>855</v>
      </c>
      <c r="D14" s="312"/>
      <c r="E14" s="312"/>
      <c r="F14" s="312"/>
      <c r="G14" s="312"/>
      <c r="H14" s="312">
        <v>17087.713889999999</v>
      </c>
      <c r="I14" s="312">
        <v>16394.822</v>
      </c>
      <c r="J14" s="312">
        <v>17570.792170000001</v>
      </c>
      <c r="K14" s="312">
        <v>20805.854889999999</v>
      </c>
      <c r="L14" s="312">
        <v>22916.008880000001</v>
      </c>
      <c r="M14" s="312">
        <v>21818.455430000005</v>
      </c>
      <c r="N14" s="312">
        <v>21653.434349999989</v>
      </c>
      <c r="O14" s="312">
        <v>24710.651340000011</v>
      </c>
      <c r="P14" s="312">
        <v>23931.152000000002</v>
      </c>
      <c r="Q14" s="312">
        <v>22955.336369999997</v>
      </c>
      <c r="R14" s="312">
        <v>23127.710149999999</v>
      </c>
      <c r="S14" s="312">
        <v>26029.716870000004</v>
      </c>
      <c r="T14" s="312">
        <v>29719.734400000001</v>
      </c>
      <c r="U14" s="312">
        <v>27264.475620000005</v>
      </c>
    </row>
    <row r="15" spans="1:21">
      <c r="A15" s="115" t="s">
        <v>856</v>
      </c>
      <c r="B15" s="115" t="s">
        <v>857</v>
      </c>
      <c r="D15" s="312"/>
      <c r="E15" s="312"/>
      <c r="F15" s="312"/>
      <c r="G15" s="312"/>
      <c r="H15" s="312">
        <v>26332.489120000002</v>
      </c>
      <c r="I15" s="312">
        <v>24761.405199999997</v>
      </c>
      <c r="J15" s="312">
        <v>24659.378649999999</v>
      </c>
      <c r="K15" s="312">
        <v>24372.726400000003</v>
      </c>
      <c r="L15" s="312">
        <v>27228.051889999999</v>
      </c>
      <c r="M15" s="312">
        <v>28048.416689999995</v>
      </c>
      <c r="N15" s="312">
        <v>29119.038109999998</v>
      </c>
      <c r="O15" s="312">
        <v>28205.180310000003</v>
      </c>
      <c r="P15" s="312">
        <v>33119.864999999998</v>
      </c>
      <c r="Q15" s="312">
        <v>31542.447290000004</v>
      </c>
      <c r="R15" s="312">
        <v>26023.163449999996</v>
      </c>
      <c r="S15" s="312">
        <v>33183.205740000012</v>
      </c>
      <c r="T15" s="312">
        <v>34222.682359999999</v>
      </c>
      <c r="U15" s="312">
        <v>34023.462010000003</v>
      </c>
    </row>
    <row r="16" spans="1:21" ht="15" thickBot="1">
      <c r="A16" s="115" t="s">
        <v>614</v>
      </c>
      <c r="B16" s="115" t="s">
        <v>615</v>
      </c>
      <c r="D16" s="312">
        <v>339563</v>
      </c>
      <c r="E16" s="312">
        <v>383349.20899999997</v>
      </c>
      <c r="F16" s="312">
        <v>377893.14799999999</v>
      </c>
      <c r="G16" s="312">
        <v>397238</v>
      </c>
      <c r="H16" s="312">
        <f>398151-SUM(H13:H15)</f>
        <v>337939.21250999998</v>
      </c>
      <c r="I16" s="312">
        <f>410780.044-SUM(I13:I15)</f>
        <v>364363.72431000002</v>
      </c>
      <c r="J16" s="312">
        <f>467155.262-SUM(J13:J15)</f>
        <v>414024.83944000001</v>
      </c>
      <c r="K16" s="312">
        <f>530906.443-SUM(K13:K15)</f>
        <v>490453.60798999999</v>
      </c>
      <c r="L16" s="312">
        <f>469554.051-SUM(L13:L15)</f>
        <v>397078.79887999996</v>
      </c>
      <c r="M16" s="312">
        <f>479332.641-SUM(M13:M15)</f>
        <v>413229.12812999997</v>
      </c>
      <c r="N16" s="312">
        <f>502977.298-SUM(N13:N15)</f>
        <v>441060.02911</v>
      </c>
      <c r="O16" s="312">
        <v>497365.00688</v>
      </c>
      <c r="P16" s="312">
        <v>486916.99100000004</v>
      </c>
      <c r="Q16" s="312">
        <v>518903.51679999998</v>
      </c>
      <c r="R16" s="312">
        <v>548640.86311999999</v>
      </c>
      <c r="S16" s="312">
        <v>806526.81470999995</v>
      </c>
      <c r="T16" s="312">
        <v>430780.83511999995</v>
      </c>
      <c r="U16" s="312">
        <v>461838.75623</v>
      </c>
    </row>
    <row r="17" spans="1:21" ht="15" thickBot="1">
      <c r="A17" s="118" t="s">
        <v>858</v>
      </c>
      <c r="B17" s="118" t="s">
        <v>859</v>
      </c>
      <c r="D17" s="314">
        <v>-1790727</v>
      </c>
      <c r="E17" s="314">
        <v>-1343851.081</v>
      </c>
      <c r="F17" s="314">
        <v>-911601.54</v>
      </c>
      <c r="G17" s="314">
        <v>-1001945</v>
      </c>
      <c r="H17" s="314">
        <v>-854261</v>
      </c>
      <c r="I17" s="314">
        <v>-980460.12300000002</v>
      </c>
      <c r="J17" s="314">
        <v>-902727.77399999998</v>
      </c>
      <c r="K17" s="314">
        <v>-1190207.071</v>
      </c>
      <c r="L17" s="314">
        <v>-1127631.3419999999</v>
      </c>
      <c r="M17" s="314">
        <v>-1148771.6459999999</v>
      </c>
      <c r="N17" s="314">
        <v>-1094854.4380000001</v>
      </c>
      <c r="O17" s="314">
        <v>-1170051.2509999999</v>
      </c>
      <c r="P17" s="314">
        <v>-1105241.45</v>
      </c>
      <c r="Q17" s="314">
        <v>-1223441.2549999999</v>
      </c>
      <c r="R17" s="314">
        <v>-1263069.5630000001</v>
      </c>
      <c r="S17" s="314">
        <v>-1644193.59</v>
      </c>
      <c r="T17" s="314">
        <v>-1360639.65</v>
      </c>
      <c r="U17" s="314">
        <v>-1426810.4029999999</v>
      </c>
    </row>
    <row r="18" spans="1:21" ht="15" thickBot="1">
      <c r="A18" s="118" t="s">
        <v>646</v>
      </c>
      <c r="B18" s="118" t="s">
        <v>860</v>
      </c>
      <c r="D18" s="325">
        <f t="shared" ref="D18:K18" si="4">D17+D9</f>
        <v>2307826</v>
      </c>
      <c r="E18" s="325">
        <f t="shared" si="4"/>
        <v>1974627.5340000002</v>
      </c>
      <c r="F18" s="325">
        <f t="shared" si="4"/>
        <v>2261824.7860000003</v>
      </c>
      <c r="G18" s="325">
        <f t="shared" si="4"/>
        <v>2117362</v>
      </c>
      <c r="H18" s="325">
        <f t="shared" si="4"/>
        <v>2746684</v>
      </c>
      <c r="I18" s="325">
        <f t="shared" si="4"/>
        <v>1680343.1100000003</v>
      </c>
      <c r="J18" s="325">
        <f t="shared" si="4"/>
        <v>2158067.2639999995</v>
      </c>
      <c r="K18" s="325">
        <f t="shared" si="4"/>
        <v>2628108.4779999997</v>
      </c>
      <c r="L18" s="325">
        <f>L17+L9</f>
        <v>2319744.3650000002</v>
      </c>
      <c r="M18" s="325">
        <f>M17+M9</f>
        <v>2507183.4239999996</v>
      </c>
      <c r="N18" s="325">
        <f>N17+N9</f>
        <v>3013476.895</v>
      </c>
      <c r="O18" s="325">
        <f>O17+O9</f>
        <v>3015001.3599999994</v>
      </c>
      <c r="P18" s="325">
        <f>P17+P9</f>
        <v>2728859.9140000008</v>
      </c>
      <c r="Q18" s="325">
        <f>Q9+Q17</f>
        <v>3119719.7970000003</v>
      </c>
      <c r="R18" s="325">
        <f>R9+R17</f>
        <v>3459469.0530000003</v>
      </c>
      <c r="S18" s="325">
        <f>S9+S17</f>
        <v>3403842.852</v>
      </c>
      <c r="T18" s="325">
        <f>T9+T17</f>
        <v>2895566.0010000006</v>
      </c>
      <c r="U18" s="325">
        <f>U9+U17</f>
        <v>3229374.6000000006</v>
      </c>
    </row>
    <row r="19" spans="1:21" ht="15" thickBot="1">
      <c r="A19" s="118" t="s">
        <v>861</v>
      </c>
      <c r="B19" s="118" t="s">
        <v>862</v>
      </c>
      <c r="D19" s="319">
        <f t="shared" ref="D19:K19" si="5">SUM(D20:D22)</f>
        <v>-1731236</v>
      </c>
      <c r="E19" s="319">
        <f t="shared" si="5"/>
        <v>-1578254.892</v>
      </c>
      <c r="F19" s="319">
        <f t="shared" si="5"/>
        <v>-1830744.2250000001</v>
      </c>
      <c r="G19" s="319">
        <f t="shared" si="5"/>
        <v>-1719641</v>
      </c>
      <c r="H19" s="319">
        <f t="shared" si="5"/>
        <v>-2008471</v>
      </c>
      <c r="I19" s="319">
        <f t="shared" si="5"/>
        <v>-1222664.8289999999</v>
      </c>
      <c r="J19" s="319">
        <f t="shared" si="5"/>
        <v>-1423341.05</v>
      </c>
      <c r="K19" s="319">
        <f t="shared" si="5"/>
        <v>-1856553.0049999999</v>
      </c>
      <c r="L19" s="319">
        <f>SUM(L20:L22)</f>
        <v>-1453618.125</v>
      </c>
      <c r="M19" s="319">
        <f>SUM(M20:M22)</f>
        <v>-1639353.32</v>
      </c>
      <c r="N19" s="319">
        <f>SUM(N20:N22)</f>
        <v>-2032650.4240000001</v>
      </c>
      <c r="O19" s="319">
        <f>SUM(O20:O22)</f>
        <v>-2189877.9180000001</v>
      </c>
      <c r="P19" s="319">
        <f>SUM(P20:P22)</f>
        <v>-1702944.909</v>
      </c>
      <c r="Q19" s="319">
        <f>SUM(Q20:Q23)</f>
        <v>-2152986.6579999998</v>
      </c>
      <c r="R19" s="319">
        <f>SUM(R20:R23)</f>
        <v>-2415934.4380000001</v>
      </c>
      <c r="S19" s="319">
        <f>SUM(S20:S23)</f>
        <v>-2223307.463</v>
      </c>
      <c r="T19" s="319">
        <f>SUM(T20:T23)</f>
        <v>-1916456.754</v>
      </c>
      <c r="U19" s="319">
        <f>SUM(U20:U23)</f>
        <v>-2118588.926</v>
      </c>
    </row>
    <row r="20" spans="1:21">
      <c r="A20" s="115" t="s">
        <v>863</v>
      </c>
      <c r="B20" s="115" t="s">
        <v>864</v>
      </c>
      <c r="D20" s="312">
        <v>-989564</v>
      </c>
      <c r="E20" s="312">
        <v>-913995</v>
      </c>
      <c r="F20" s="312">
        <v>-1045864</v>
      </c>
      <c r="G20" s="312">
        <v>-1001660</v>
      </c>
      <c r="H20" s="312">
        <v>-828847</v>
      </c>
      <c r="I20" s="312">
        <v>-682848</v>
      </c>
      <c r="J20" s="312">
        <v>-886993</v>
      </c>
      <c r="K20" s="312">
        <v>-1215286</v>
      </c>
      <c r="L20" s="312">
        <v>-797874</v>
      </c>
      <c r="M20" s="312">
        <v>-857542</v>
      </c>
      <c r="N20" s="312">
        <v>-1097929</v>
      </c>
      <c r="O20" s="312">
        <v>-1227540</v>
      </c>
      <c r="P20" s="312">
        <v>-895329</v>
      </c>
      <c r="Q20" s="312">
        <v>-1115084</v>
      </c>
      <c r="R20" s="312">
        <v>-1337719</v>
      </c>
      <c r="S20" s="312">
        <v>-1228199</v>
      </c>
      <c r="T20" s="312">
        <v>-956882</v>
      </c>
      <c r="U20" s="312">
        <v>-1113845</v>
      </c>
    </row>
    <row r="21" spans="1:21">
      <c r="A21" s="115" t="s">
        <v>865</v>
      </c>
      <c r="B21" s="115" t="s">
        <v>866</v>
      </c>
      <c r="D21" s="312">
        <v>-176699</v>
      </c>
      <c r="E21" s="312">
        <v>-179558</v>
      </c>
      <c r="F21" s="312">
        <v>-243021</v>
      </c>
      <c r="G21" s="312">
        <v>-211358</v>
      </c>
      <c r="H21" s="312">
        <v>-277490</v>
      </c>
      <c r="I21" s="312">
        <v>-294199</v>
      </c>
      <c r="J21" s="312">
        <v>-150426</v>
      </c>
      <c r="K21" s="312">
        <v>-275337</v>
      </c>
      <c r="L21" s="312">
        <v>-303911</v>
      </c>
      <c r="M21" s="312">
        <v>-301734</v>
      </c>
      <c r="N21" s="312">
        <v>-296127</v>
      </c>
      <c r="O21" s="312">
        <v>-308306</v>
      </c>
      <c r="P21" s="312">
        <v>-322078</v>
      </c>
      <c r="Q21" s="312">
        <v>-329881</v>
      </c>
      <c r="R21" s="312">
        <v>-326855</v>
      </c>
      <c r="S21" s="312">
        <v>-322493</v>
      </c>
      <c r="T21" s="312">
        <v>-321925</v>
      </c>
      <c r="U21" s="312">
        <v>-329726</v>
      </c>
    </row>
    <row r="22" spans="1:21">
      <c r="A22" s="115" t="s">
        <v>867</v>
      </c>
      <c r="B22" s="115" t="s">
        <v>868</v>
      </c>
      <c r="D22" s="312">
        <v>-564973</v>
      </c>
      <c r="E22" s="312">
        <v>-484701.89199999999</v>
      </c>
      <c r="F22" s="312">
        <v>-541859.22499999998</v>
      </c>
      <c r="G22" s="312">
        <v>-506623</v>
      </c>
      <c r="H22" s="312">
        <v>-902134</v>
      </c>
      <c r="I22" s="312">
        <v>-245617.82900000003</v>
      </c>
      <c r="J22" s="312">
        <v>-385922.05</v>
      </c>
      <c r="K22" s="312">
        <v>-365930.005</v>
      </c>
      <c r="L22" s="312">
        <v>-351833.125</v>
      </c>
      <c r="M22" s="312">
        <v>-480077.32</v>
      </c>
      <c r="N22" s="312">
        <v>-638594.424</v>
      </c>
      <c r="O22" s="312">
        <v>-654031.91799999995</v>
      </c>
      <c r="P22" s="312">
        <v>-485537.90899999999</v>
      </c>
      <c r="Q22" s="312">
        <v>-708021.65800000005</v>
      </c>
      <c r="R22" s="312">
        <v>-751360.43799999997</v>
      </c>
      <c r="S22" s="312">
        <v>-672615.46299999999</v>
      </c>
      <c r="T22" s="312">
        <v>-637649.75399999996</v>
      </c>
      <c r="U22" s="312">
        <v>-675017.92599999998</v>
      </c>
    </row>
    <row r="23" spans="1:21" ht="15" thickBot="1">
      <c r="A23" s="115" t="s">
        <v>869</v>
      </c>
      <c r="B23" s="115" t="s">
        <v>907</v>
      </c>
      <c r="D23" s="312"/>
      <c r="E23" s="312"/>
      <c r="F23" s="312"/>
      <c r="G23" s="312"/>
      <c r="H23" s="312"/>
      <c r="I23" s="312"/>
      <c r="J23" s="312"/>
      <c r="K23" s="312"/>
      <c r="L23" s="312"/>
      <c r="M23" s="312"/>
      <c r="N23" s="312"/>
      <c r="O23" s="312"/>
      <c r="P23" s="312"/>
      <c r="Q23" s="312"/>
      <c r="R23" s="312"/>
      <c r="S23" s="312"/>
      <c r="T23" s="312"/>
      <c r="U23" s="312"/>
    </row>
    <row r="24" spans="1:21" ht="15" thickBot="1">
      <c r="A24" s="118" t="s">
        <v>871</v>
      </c>
      <c r="B24" s="118" t="s">
        <v>872</v>
      </c>
      <c r="D24" s="119">
        <f t="shared" ref="D24:K24" si="6">SUM(D19,D18)</f>
        <v>576590</v>
      </c>
      <c r="E24" s="119">
        <f t="shared" si="6"/>
        <v>396372.64200000023</v>
      </c>
      <c r="F24" s="119">
        <f t="shared" si="6"/>
        <v>431080.56100000022</v>
      </c>
      <c r="G24" s="119">
        <f t="shared" si="6"/>
        <v>397721</v>
      </c>
      <c r="H24" s="119">
        <f t="shared" si="6"/>
        <v>738213</v>
      </c>
      <c r="I24" s="119">
        <f t="shared" si="6"/>
        <v>457678.28100000042</v>
      </c>
      <c r="J24" s="119">
        <f t="shared" si="6"/>
        <v>734726.21399999945</v>
      </c>
      <c r="K24" s="119">
        <f t="shared" si="6"/>
        <v>771555.47299999977</v>
      </c>
      <c r="L24" s="119">
        <f>SUM(L19,L18)</f>
        <v>866126.24000000022</v>
      </c>
      <c r="M24" s="119">
        <f>SUM(M19,M18)</f>
        <v>867830.10399999958</v>
      </c>
      <c r="N24" s="119">
        <f>SUM(N19,N18)</f>
        <v>980826.4709999999</v>
      </c>
      <c r="O24" s="119">
        <f>SUM(O19,O18)</f>
        <v>825123.44199999934</v>
      </c>
      <c r="P24" s="119">
        <f>SUM(P19,P18)</f>
        <v>1025915.0050000008</v>
      </c>
      <c r="Q24" s="119">
        <f>Q18+Q19</f>
        <v>966733.13900000043</v>
      </c>
      <c r="R24" s="119">
        <f>R18+R19</f>
        <v>1043534.6150000002</v>
      </c>
      <c r="S24" s="119">
        <f>S18+S19</f>
        <v>1180535.389</v>
      </c>
      <c r="T24" s="119">
        <f>T18+T19</f>
        <v>979109.24700000067</v>
      </c>
      <c r="U24" s="119">
        <f>U18+U19</f>
        <v>1110785.6740000006</v>
      </c>
    </row>
    <row r="25" spans="1:21" ht="15" thickBot="1">
      <c r="A25" s="118" t="s">
        <v>873</v>
      </c>
      <c r="B25" s="118" t="s">
        <v>874</v>
      </c>
      <c r="D25" s="119">
        <f t="shared" ref="D25:K25" si="7">SUM(D26:D35)</f>
        <v>-359539</v>
      </c>
      <c r="E25" s="119">
        <f t="shared" si="7"/>
        <v>-389509.95</v>
      </c>
      <c r="F25" s="119">
        <f t="shared" si="7"/>
        <v>-337785.71099999995</v>
      </c>
      <c r="G25" s="119">
        <f t="shared" si="7"/>
        <v>-656777</v>
      </c>
      <c r="H25" s="119">
        <f t="shared" si="7"/>
        <v>-372083</v>
      </c>
      <c r="I25" s="119">
        <f t="shared" si="7"/>
        <v>-482016.13699999999</v>
      </c>
      <c r="J25" s="119">
        <f t="shared" si="7"/>
        <v>-372246.049</v>
      </c>
      <c r="K25" s="119">
        <f t="shared" si="7"/>
        <v>-540131.81099999999</v>
      </c>
      <c r="L25" s="119">
        <f t="shared" ref="L25:Q25" si="8">SUM(L26:L35)</f>
        <v>-410134.89</v>
      </c>
      <c r="M25" s="119">
        <f t="shared" si="8"/>
        <v>-429467.29900000006</v>
      </c>
      <c r="N25" s="119">
        <f t="shared" si="8"/>
        <v>-326598.43599999999</v>
      </c>
      <c r="O25" s="119">
        <f t="shared" si="8"/>
        <v>-339883.16499999998</v>
      </c>
      <c r="P25" s="119">
        <f t="shared" si="8"/>
        <v>-435868.902</v>
      </c>
      <c r="Q25" s="119">
        <f t="shared" si="8"/>
        <v>-373773.97399999999</v>
      </c>
      <c r="R25" s="119">
        <f t="shared" ref="R25:T25" si="9">SUM(R26:R35)</f>
        <v>-427948.88709999999</v>
      </c>
      <c r="S25" s="119">
        <f t="shared" si="9"/>
        <v>-730979.04090999998</v>
      </c>
      <c r="T25" s="119">
        <f t="shared" si="9"/>
        <v>-403969.81879000005</v>
      </c>
      <c r="U25" s="119">
        <f>SUM(U26:U35)</f>
        <v>-459695.10233999992</v>
      </c>
    </row>
    <row r="26" spans="1:21">
      <c r="A26" s="115" t="s">
        <v>875</v>
      </c>
      <c r="B26" s="115" t="s">
        <v>876</v>
      </c>
      <c r="D26" s="312">
        <v>-31551</v>
      </c>
      <c r="E26" s="312">
        <v>-40340.195</v>
      </c>
      <c r="F26" s="312">
        <v>-39696.866000000002</v>
      </c>
      <c r="G26" s="312">
        <v>-38997</v>
      </c>
      <c r="H26" s="312">
        <v>-70407</v>
      </c>
      <c r="I26" s="312">
        <v>-56770.048000000003</v>
      </c>
      <c r="J26" s="312">
        <v>-36516.428999999996</v>
      </c>
      <c r="K26" s="312">
        <v>-29389.288</v>
      </c>
      <c r="L26" s="312">
        <v>-60026.995000000003</v>
      </c>
      <c r="M26" s="312">
        <v>-37816.864000000001</v>
      </c>
      <c r="N26" s="312">
        <v>-39174.652999999998</v>
      </c>
      <c r="O26" s="312">
        <v>-42174.881999999998</v>
      </c>
      <c r="P26" s="312">
        <v>-40318.548999999999</v>
      </c>
      <c r="Q26" s="312">
        <v>-53686.296000000002</v>
      </c>
      <c r="R26" s="312">
        <v>-72213.94</v>
      </c>
      <c r="S26" s="312">
        <v>-82070.494999999995</v>
      </c>
      <c r="T26" s="312">
        <v>-90688.69</v>
      </c>
      <c r="U26" s="312">
        <v>-97582.638999999996</v>
      </c>
    </row>
    <row r="27" spans="1:21">
      <c r="A27" s="115" t="s">
        <v>877</v>
      </c>
      <c r="B27" s="115" t="s">
        <v>877</v>
      </c>
      <c r="D27" s="312">
        <v>-11515</v>
      </c>
      <c r="E27" s="312">
        <v>2735.828</v>
      </c>
      <c r="F27" s="312">
        <v>-6988.2759999999998</v>
      </c>
      <c r="G27" s="312">
        <v>-2239</v>
      </c>
      <c r="H27" s="312">
        <v>-17471</v>
      </c>
      <c r="I27" s="312">
        <v>8446.1350000000002</v>
      </c>
      <c r="J27" s="312">
        <v>-19340.683000000001</v>
      </c>
      <c r="K27" s="312">
        <v>-21014.384999999998</v>
      </c>
      <c r="L27" s="312">
        <v>-17158.260999999999</v>
      </c>
      <c r="M27" s="312">
        <v>-19039.144</v>
      </c>
      <c r="N27" s="312">
        <v>-22474.457999999999</v>
      </c>
      <c r="O27" s="312">
        <v>-27427.145</v>
      </c>
      <c r="P27" s="312">
        <v>-17438.088</v>
      </c>
      <c r="Q27" s="312">
        <v>-19318.672999999999</v>
      </c>
      <c r="R27" s="312">
        <v>-15055.790999999999</v>
      </c>
      <c r="S27" s="312">
        <v>-12217.781000000001</v>
      </c>
      <c r="T27" s="312">
        <v>-16234.761</v>
      </c>
      <c r="U27" s="312">
        <v>-11179.65</v>
      </c>
    </row>
    <row r="28" spans="1:21">
      <c r="A28" s="115" t="s">
        <v>878</v>
      </c>
      <c r="B28" s="115" t="s">
        <v>879</v>
      </c>
      <c r="D28" s="312">
        <v>-260243</v>
      </c>
      <c r="E28" s="312">
        <v>-203707.75599999999</v>
      </c>
      <c r="F28" s="312">
        <v>-209456.29699999999</v>
      </c>
      <c r="G28" s="312">
        <v>-296549</v>
      </c>
      <c r="H28" s="312">
        <v>-273483</v>
      </c>
      <c r="I28" s="312">
        <v>-179443.60699999999</v>
      </c>
      <c r="J28" s="312">
        <v>-229681.91099999999</v>
      </c>
      <c r="K28" s="312">
        <v>-188952.70300000001</v>
      </c>
      <c r="L28" s="312">
        <v>-253165.88699999999</v>
      </c>
      <c r="M28" s="312">
        <v>-237692.37</v>
      </c>
      <c r="N28" s="312">
        <v>-230307.264</v>
      </c>
      <c r="O28" s="312">
        <v>-261650.72899999999</v>
      </c>
      <c r="P28" s="312">
        <v>-217554.53400000001</v>
      </c>
      <c r="Q28" s="312">
        <v>-242671.88099999999</v>
      </c>
      <c r="R28" s="312">
        <v>-227873.128</v>
      </c>
      <c r="S28" s="312">
        <v>-223524.973</v>
      </c>
      <c r="T28" s="312">
        <v>-176263.08199999999</v>
      </c>
      <c r="U28" s="312">
        <v>-202112.212</v>
      </c>
    </row>
    <row r="29" spans="1:21">
      <c r="A29" s="115" t="s">
        <v>880</v>
      </c>
      <c r="B29" s="115" t="s">
        <v>881</v>
      </c>
      <c r="D29" s="312">
        <v>-34689</v>
      </c>
      <c r="E29" s="312">
        <v>-47765.748</v>
      </c>
      <c r="F29" s="312">
        <v>-52957.341</v>
      </c>
      <c r="G29" s="312">
        <v>-294199</v>
      </c>
      <c r="H29" s="312">
        <f>-28250-H30</f>
        <v>31826.549250000004</v>
      </c>
      <c r="I29" s="312">
        <f>-210342.558-I30</f>
        <v>-20730.92147000003</v>
      </c>
      <c r="J29" s="312">
        <f>-58609.07-J30</f>
        <v>5893.3532299999933</v>
      </c>
      <c r="K29" s="312">
        <f>-158193.058-K30</f>
        <v>-79275.447969999965</v>
      </c>
      <c r="L29" s="312">
        <f>-58670.222-L30</f>
        <v>-11409.558170000004</v>
      </c>
      <c r="M29" s="312">
        <f>-69590.276-M30</f>
        <v>-17694.813389999996</v>
      </c>
      <c r="N29" s="312">
        <f>-55610.546-N30</f>
        <v>-16207.246410000029</v>
      </c>
      <c r="O29" s="312">
        <v>26443.923969999974</v>
      </c>
      <c r="P29" s="312">
        <v>-19330.310999999998</v>
      </c>
      <c r="Q29" s="312">
        <v>-11940.591520000004</v>
      </c>
      <c r="R29" s="312">
        <v>-4520.4137699999974</v>
      </c>
      <c r="S29" s="312">
        <v>-113506.0776</v>
      </c>
      <c r="T29" s="312">
        <v>-27815.232550000001</v>
      </c>
      <c r="U29" s="312">
        <v>-95984.324409999987</v>
      </c>
    </row>
    <row r="30" spans="1:21">
      <c r="A30" s="115" t="s">
        <v>882</v>
      </c>
      <c r="B30" s="115"/>
      <c r="D30" s="312"/>
      <c r="E30" s="312"/>
      <c r="F30" s="312"/>
      <c r="G30" s="312"/>
      <c r="H30" s="312">
        <v>-60076.549250000004</v>
      </c>
      <c r="I30" s="312">
        <v>-189611.63652999996</v>
      </c>
      <c r="J30" s="312">
        <v>-64502.423229999993</v>
      </c>
      <c r="K30" s="312">
        <v>-78917.610030000025</v>
      </c>
      <c r="L30" s="312">
        <v>-47260.663829999998</v>
      </c>
      <c r="M30" s="312">
        <v>-51895.462610000002</v>
      </c>
      <c r="N30" s="312">
        <v>-39403.299589999973</v>
      </c>
      <c r="O30" s="312">
        <v>43139.708030000023</v>
      </c>
      <c r="P30" s="312">
        <v>-48520.424999999996</v>
      </c>
      <c r="Q30" s="312">
        <v>-85456.483479999995</v>
      </c>
      <c r="R30" s="312">
        <v>-25218.086329999998</v>
      </c>
      <c r="S30" s="312">
        <v>-222643.99430999992</v>
      </c>
      <c r="T30" s="312">
        <v>-59098.266240000019</v>
      </c>
      <c r="U30" s="312">
        <v>-20953.528929999993</v>
      </c>
    </row>
    <row r="31" spans="1:21">
      <c r="A31" s="115" t="s">
        <v>95</v>
      </c>
      <c r="B31" s="115" t="s">
        <v>884</v>
      </c>
      <c r="D31" s="312">
        <v>-29852</v>
      </c>
      <c r="E31" s="312">
        <v>-95615.623999999996</v>
      </c>
      <c r="F31" s="312">
        <v>-14543.073</v>
      </c>
      <c r="G31" s="312">
        <v>-10210</v>
      </c>
      <c r="H31" s="312">
        <v>-30944</v>
      </c>
      <c r="I31" s="312">
        <v>14507.562</v>
      </c>
      <c r="J31" s="312">
        <v>-7816.2830000000004</v>
      </c>
      <c r="K31" s="312">
        <v>-23766.745999999999</v>
      </c>
      <c r="L31" s="312">
        <v>-19868.498</v>
      </c>
      <c r="M31" s="312">
        <v>-4578.5709999999999</v>
      </c>
      <c r="N31" s="312">
        <v>-10550.724</v>
      </c>
      <c r="O31" s="312">
        <v>-34432.875999999997</v>
      </c>
      <c r="P31" s="312">
        <v>-14840.691999999999</v>
      </c>
      <c r="Q31" s="312">
        <v>-6659.9579999999996</v>
      </c>
      <c r="R31" s="312">
        <v>-10400.576999999999</v>
      </c>
      <c r="S31" s="312">
        <v>-38942.497000000003</v>
      </c>
      <c r="T31" s="312">
        <v>-26467.329000000002</v>
      </c>
      <c r="U31" s="312">
        <v>-2644.4850000000001</v>
      </c>
    </row>
    <row r="32" spans="1:21">
      <c r="A32" s="115" t="s">
        <v>885</v>
      </c>
      <c r="B32" s="115" t="s">
        <v>886</v>
      </c>
      <c r="D32" s="312"/>
      <c r="E32" s="312"/>
      <c r="F32" s="312"/>
      <c r="G32" s="312"/>
      <c r="H32" s="312"/>
      <c r="I32" s="312"/>
      <c r="J32" s="312"/>
      <c r="K32" s="312"/>
      <c r="L32" s="312"/>
      <c r="M32" s="312"/>
      <c r="N32" s="312"/>
      <c r="O32" s="312"/>
      <c r="P32" s="312"/>
      <c r="Q32" s="312"/>
      <c r="R32" s="312"/>
      <c r="S32" s="312"/>
      <c r="T32" s="312"/>
      <c r="U32" s="312"/>
    </row>
    <row r="33" spans="1:21">
      <c r="A33" s="115" t="s">
        <v>887</v>
      </c>
      <c r="B33" s="115" t="s">
        <v>888</v>
      </c>
      <c r="D33" s="312"/>
      <c r="E33" s="312"/>
      <c r="F33" s="312"/>
      <c r="G33" s="312"/>
      <c r="H33" s="312"/>
      <c r="I33" s="312"/>
      <c r="J33" s="312"/>
      <c r="K33" s="312"/>
      <c r="L33" s="312"/>
      <c r="M33" s="312"/>
      <c r="N33" s="312"/>
      <c r="O33" s="312"/>
      <c r="P33" s="312"/>
      <c r="Q33" s="312"/>
      <c r="R33" s="312"/>
      <c r="S33" s="312"/>
      <c r="T33" s="312"/>
      <c r="U33" s="312"/>
    </row>
    <row r="34" spans="1:21">
      <c r="A34" s="115" t="s">
        <v>889</v>
      </c>
      <c r="B34" s="115" t="s">
        <v>890</v>
      </c>
      <c r="D34" s="312"/>
      <c r="E34" s="312"/>
      <c r="F34" s="312"/>
      <c r="G34" s="312"/>
      <c r="H34" s="312"/>
      <c r="I34" s="312"/>
      <c r="J34" s="312"/>
      <c r="K34" s="312"/>
      <c r="L34" s="312"/>
      <c r="M34" s="312"/>
      <c r="N34" s="312"/>
      <c r="O34" s="312"/>
      <c r="P34" s="312"/>
      <c r="Q34" s="312"/>
      <c r="R34" s="312"/>
      <c r="S34" s="312"/>
      <c r="T34" s="312"/>
      <c r="U34" s="312"/>
    </row>
    <row r="35" spans="1:21">
      <c r="A35" s="115" t="s">
        <v>891</v>
      </c>
      <c r="B35" s="115" t="s">
        <v>892</v>
      </c>
      <c r="D35" s="312">
        <v>8311</v>
      </c>
      <c r="E35" s="312">
        <v>-4816.4549999999999</v>
      </c>
      <c r="F35" s="312">
        <v>-14143.858</v>
      </c>
      <c r="G35" s="312">
        <v>-14583</v>
      </c>
      <c r="H35" s="312">
        <v>48472</v>
      </c>
      <c r="I35" s="312">
        <v>-58413.620999999999</v>
      </c>
      <c r="J35" s="312">
        <v>-20281.672999999999</v>
      </c>
      <c r="K35" s="312">
        <v>-118815.63099999999</v>
      </c>
      <c r="L35" s="312">
        <v>-1245.027</v>
      </c>
      <c r="M35" s="312">
        <v>-60750.074000000001</v>
      </c>
      <c r="N35" s="312">
        <v>31519.208999999999</v>
      </c>
      <c r="O35" s="312">
        <v>-43781.165000000001</v>
      </c>
      <c r="P35" s="312">
        <v>-77866.303</v>
      </c>
      <c r="Q35" s="312">
        <v>45959.909</v>
      </c>
      <c r="R35" s="312">
        <v>-72666.951000000001</v>
      </c>
      <c r="S35" s="312">
        <v>-38073.222999999998</v>
      </c>
      <c r="T35" s="312">
        <v>-7402.4579999999996</v>
      </c>
      <c r="U35" s="312">
        <v>-29238.262999999999</v>
      </c>
    </row>
    <row r="36" spans="1:21">
      <c r="A36" s="455" t="s">
        <v>722</v>
      </c>
      <c r="B36" s="455" t="s">
        <v>722</v>
      </c>
      <c r="D36" s="463">
        <f t="shared" ref="D36:K36" si="10">SUM(D24:D25)</f>
        <v>217051</v>
      </c>
      <c r="E36" s="463">
        <f t="shared" si="10"/>
        <v>6862.6920000002137</v>
      </c>
      <c r="F36" s="463">
        <f t="shared" si="10"/>
        <v>93294.850000000268</v>
      </c>
      <c r="G36" s="463">
        <f t="shared" si="10"/>
        <v>-259056</v>
      </c>
      <c r="H36" s="463">
        <f t="shared" si="10"/>
        <v>366130</v>
      </c>
      <c r="I36" s="463">
        <f t="shared" si="10"/>
        <v>-24337.855999999563</v>
      </c>
      <c r="J36" s="463">
        <f t="shared" si="10"/>
        <v>362480.16499999946</v>
      </c>
      <c r="K36" s="463">
        <f t="shared" si="10"/>
        <v>231423.66199999978</v>
      </c>
      <c r="L36" s="463">
        <f>SUM(L24:L25)</f>
        <v>455991.35000000021</v>
      </c>
      <c r="M36" s="463">
        <f>SUM(M24:M25)</f>
        <v>438362.80499999953</v>
      </c>
      <c r="N36" s="463">
        <f>SUM(N24:N25)</f>
        <v>654228.03499999992</v>
      </c>
      <c r="O36" s="463">
        <f>SUM(O24:O25)</f>
        <v>485240.27699999936</v>
      </c>
      <c r="P36" s="463">
        <f>SUM(P24:P25)</f>
        <v>590046.10300000082</v>
      </c>
      <c r="Q36" s="463">
        <f>Q18+Q19+Q25</f>
        <v>592959.1650000005</v>
      </c>
      <c r="R36" s="463">
        <f>R18+R19+R25</f>
        <v>615585.72790000029</v>
      </c>
      <c r="S36" s="463">
        <f>S18+S19+S25</f>
        <v>449556.34808999998</v>
      </c>
      <c r="T36" s="463">
        <f>T18+T19+T25</f>
        <v>575139.42821000062</v>
      </c>
      <c r="U36" s="463">
        <f>U18+U19+U25</f>
        <v>651090.5716600006</v>
      </c>
    </row>
    <row r="37" spans="1:21" ht="15" thickBot="1">
      <c r="A37" s="115" t="s">
        <v>893</v>
      </c>
      <c r="B37" s="115" t="s">
        <v>894</v>
      </c>
      <c r="D37" s="312">
        <v>-106520</v>
      </c>
      <c r="E37" s="312">
        <v>-104273.38</v>
      </c>
      <c r="F37" s="312">
        <v>-102419.67600000001</v>
      </c>
      <c r="G37" s="312">
        <v>-115118</v>
      </c>
      <c r="H37" s="312">
        <v>-119028</v>
      </c>
      <c r="I37" s="312">
        <v>-95964.873000000007</v>
      </c>
      <c r="J37" s="312">
        <v>-153267.81099999999</v>
      </c>
      <c r="K37" s="312">
        <v>-154498.84099999999</v>
      </c>
      <c r="L37" s="312">
        <v>-153921.88</v>
      </c>
      <c r="M37" s="312">
        <v>-157197.33199999999</v>
      </c>
      <c r="N37" s="312">
        <v>-195595.73499999999</v>
      </c>
      <c r="O37" s="312">
        <v>-175500.72399999999</v>
      </c>
      <c r="P37" s="312">
        <v>-182342.64799999999</v>
      </c>
      <c r="Q37" s="312">
        <v>-185129.32500000001</v>
      </c>
      <c r="R37" s="312">
        <v>-149359.78</v>
      </c>
      <c r="S37" s="312">
        <v>-191420.94099999999</v>
      </c>
      <c r="T37" s="312">
        <v>-197628.98499999999</v>
      </c>
      <c r="U37" s="312">
        <v>-212363.42</v>
      </c>
    </row>
    <row r="38" spans="1:21" ht="15" thickBot="1">
      <c r="A38" s="118" t="s">
        <v>895</v>
      </c>
      <c r="B38" s="118" t="s">
        <v>896</v>
      </c>
      <c r="D38" s="119">
        <f t="shared" ref="D38:K38" si="11">SUM(D36:D37)</f>
        <v>110531</v>
      </c>
      <c r="E38" s="119">
        <f t="shared" si="11"/>
        <v>-97410.687999999791</v>
      </c>
      <c r="F38" s="119">
        <f t="shared" si="11"/>
        <v>-9124.825999999739</v>
      </c>
      <c r="G38" s="119">
        <f t="shared" si="11"/>
        <v>-374174</v>
      </c>
      <c r="H38" s="119">
        <f t="shared" si="11"/>
        <v>247102</v>
      </c>
      <c r="I38" s="119">
        <f t="shared" si="11"/>
        <v>-120302.72899999957</v>
      </c>
      <c r="J38" s="119">
        <f t="shared" si="11"/>
        <v>209212.35399999947</v>
      </c>
      <c r="K38" s="119">
        <f t="shared" si="11"/>
        <v>76924.820999999793</v>
      </c>
      <c r="L38" s="119">
        <f t="shared" ref="L38:Q38" si="12">SUM(L36:L37)</f>
        <v>302069.4700000002</v>
      </c>
      <c r="M38" s="119">
        <f t="shared" si="12"/>
        <v>281165.47299999953</v>
      </c>
      <c r="N38" s="119">
        <f t="shared" si="12"/>
        <v>458632.29999999993</v>
      </c>
      <c r="O38" s="119">
        <f t="shared" si="12"/>
        <v>309739.55299999937</v>
      </c>
      <c r="P38" s="119">
        <f t="shared" si="12"/>
        <v>407703.45500000083</v>
      </c>
      <c r="Q38" s="119">
        <f t="shared" si="12"/>
        <v>407829.84000000049</v>
      </c>
      <c r="R38" s="119">
        <f t="shared" ref="R38:T38" si="13">SUM(R36:R37)</f>
        <v>466225.94790000026</v>
      </c>
      <c r="S38" s="119">
        <f t="shared" si="13"/>
        <v>258135.40708999999</v>
      </c>
      <c r="T38" s="119">
        <f t="shared" si="13"/>
        <v>377510.44321000064</v>
      </c>
      <c r="U38" s="119">
        <f>SUM(U36:U37)</f>
        <v>438727.15166000056</v>
      </c>
    </row>
    <row r="39" spans="1:21" ht="15" thickBot="1">
      <c r="A39" s="118" t="s">
        <v>725</v>
      </c>
      <c r="B39" s="118" t="s">
        <v>897</v>
      </c>
      <c r="D39" s="319">
        <f t="shared" ref="D39:K39" si="14">SUM(D40:D41)</f>
        <v>-183770</v>
      </c>
      <c r="E39" s="319">
        <f t="shared" si="14"/>
        <v>-204973.86300000001</v>
      </c>
      <c r="F39" s="319">
        <f t="shared" si="14"/>
        <v>-323852.96599999996</v>
      </c>
      <c r="G39" s="319">
        <f t="shared" si="14"/>
        <v>-410577</v>
      </c>
      <c r="H39" s="319">
        <f t="shared" si="14"/>
        <v>-276986</v>
      </c>
      <c r="I39" s="319">
        <f t="shared" si="14"/>
        <v>-506712.86700000003</v>
      </c>
      <c r="J39" s="319">
        <f t="shared" si="14"/>
        <v>-327865.06400000001</v>
      </c>
      <c r="K39" s="319">
        <f t="shared" si="14"/>
        <v>-368295.65499999997</v>
      </c>
      <c r="L39" s="319">
        <f t="shared" ref="L39:Q39" si="15">SUM(L40:L41)</f>
        <v>-379424.89500000002</v>
      </c>
      <c r="M39" s="319">
        <f t="shared" si="15"/>
        <v>-362363.97499999998</v>
      </c>
      <c r="N39" s="319">
        <f t="shared" si="15"/>
        <v>-358732.45800000004</v>
      </c>
      <c r="O39" s="319">
        <f t="shared" si="15"/>
        <v>-322179.31900000002</v>
      </c>
      <c r="P39" s="319">
        <f t="shared" si="15"/>
        <v>-430582.06999999995</v>
      </c>
      <c r="Q39" s="319">
        <f t="shared" si="15"/>
        <v>-411807.05100000004</v>
      </c>
      <c r="R39" s="319">
        <f t="shared" ref="R39:T39" si="16">SUM(R40:R41)</f>
        <v>-486145.40600000008</v>
      </c>
      <c r="S39" s="319">
        <f t="shared" si="16"/>
        <v>-850068.74100000004</v>
      </c>
      <c r="T39" s="319">
        <f t="shared" si="16"/>
        <v>-531367.12999999989</v>
      </c>
      <c r="U39" s="319">
        <f>SUM(U40:U41)</f>
        <v>-579048.74300000002</v>
      </c>
    </row>
    <row r="40" spans="1:21">
      <c r="A40" s="115" t="s">
        <v>727</v>
      </c>
      <c r="B40" s="115" t="s">
        <v>898</v>
      </c>
      <c r="D40" s="312">
        <v>330342</v>
      </c>
      <c r="E40" s="312">
        <v>52709.468000000001</v>
      </c>
      <c r="F40" s="312">
        <v>298096.08</v>
      </c>
      <c r="G40" s="312">
        <v>-28599</v>
      </c>
      <c r="H40" s="312">
        <v>165073</v>
      </c>
      <c r="I40" s="312">
        <v>112476.14599999999</v>
      </c>
      <c r="J40" s="312">
        <v>58219.453999999998</v>
      </c>
      <c r="K40" s="312">
        <v>24550.477999999999</v>
      </c>
      <c r="L40" s="312">
        <v>45641.758000000002</v>
      </c>
      <c r="M40" s="312">
        <v>128018.39</v>
      </c>
      <c r="N40" s="312">
        <v>123463.65399999999</v>
      </c>
      <c r="O40" s="312">
        <v>194359.495</v>
      </c>
      <c r="P40" s="312">
        <v>155409.96900000001</v>
      </c>
      <c r="Q40" s="312">
        <v>105888.235</v>
      </c>
      <c r="R40" s="312">
        <v>169032.52900000001</v>
      </c>
      <c r="S40" s="312">
        <v>193131.527</v>
      </c>
      <c r="T40" s="312">
        <v>584911.32400000002</v>
      </c>
      <c r="U40" s="312">
        <v>252131.48</v>
      </c>
    </row>
    <row r="41" spans="1:21" ht="15" thickBot="1">
      <c r="A41" s="115" t="s">
        <v>744</v>
      </c>
      <c r="B41" s="115" t="s">
        <v>745</v>
      </c>
      <c r="D41" s="312">
        <v>-514112</v>
      </c>
      <c r="E41" s="312">
        <v>-257683.33100000001</v>
      </c>
      <c r="F41" s="312">
        <v>-621949.04599999997</v>
      </c>
      <c r="G41" s="312">
        <v>-381978</v>
      </c>
      <c r="H41" s="312">
        <v>-442059</v>
      </c>
      <c r="I41" s="312">
        <v>-619189.01300000004</v>
      </c>
      <c r="J41" s="312">
        <v>-386084.51799999998</v>
      </c>
      <c r="K41" s="312">
        <v>-392846.13299999997</v>
      </c>
      <c r="L41" s="312">
        <v>-425066.65299999999</v>
      </c>
      <c r="M41" s="312">
        <v>-490382.36499999999</v>
      </c>
      <c r="N41" s="312">
        <v>-482196.11200000002</v>
      </c>
      <c r="O41" s="312">
        <v>-516538.81400000001</v>
      </c>
      <c r="P41" s="312">
        <v>-585992.03899999999</v>
      </c>
      <c r="Q41" s="312">
        <v>-517695.28600000002</v>
      </c>
      <c r="R41" s="312">
        <v>-655177.93500000006</v>
      </c>
      <c r="S41" s="312">
        <v>-1043200.268</v>
      </c>
      <c r="T41" s="312">
        <v>-1116278.4539999999</v>
      </c>
      <c r="U41" s="312">
        <v>-831180.223</v>
      </c>
    </row>
    <row r="42" spans="1:21" ht="15" thickBot="1">
      <c r="A42" s="118" t="s">
        <v>899</v>
      </c>
      <c r="B42" s="118" t="s">
        <v>724</v>
      </c>
      <c r="D42" s="119">
        <f t="shared" ref="D42:K42" si="17">SUM(D38:D39)</f>
        <v>-73239</v>
      </c>
      <c r="E42" s="119">
        <f t="shared" si="17"/>
        <v>-302384.5509999998</v>
      </c>
      <c r="F42" s="119">
        <f t="shared" si="17"/>
        <v>-332977.79199999967</v>
      </c>
      <c r="G42" s="119">
        <f t="shared" si="17"/>
        <v>-784751</v>
      </c>
      <c r="H42" s="119">
        <f t="shared" si="17"/>
        <v>-29884</v>
      </c>
      <c r="I42" s="119">
        <f t="shared" si="17"/>
        <v>-627015.59599999955</v>
      </c>
      <c r="J42" s="119">
        <f t="shared" si="17"/>
        <v>-118652.71000000054</v>
      </c>
      <c r="K42" s="119">
        <f t="shared" si="17"/>
        <v>-291370.83400000015</v>
      </c>
      <c r="L42" s="119">
        <f t="shared" ref="L42:Q42" si="18">SUM(L38:L39)</f>
        <v>-77355.424999999814</v>
      </c>
      <c r="M42" s="119">
        <f t="shared" si="18"/>
        <v>-81198.502000000444</v>
      </c>
      <c r="N42" s="119">
        <f t="shared" si="18"/>
        <v>99899.841999999888</v>
      </c>
      <c r="O42" s="119">
        <f t="shared" si="18"/>
        <v>-12439.766000000644</v>
      </c>
      <c r="P42" s="119">
        <f t="shared" si="18"/>
        <v>-22878.614999999118</v>
      </c>
      <c r="Q42" s="119">
        <f t="shared" si="18"/>
        <v>-3977.2109999995446</v>
      </c>
      <c r="R42" s="119">
        <f t="shared" ref="R42:S42" si="19">SUM(R38:R39)</f>
        <v>-19919.458099999814</v>
      </c>
      <c r="S42" s="119">
        <f t="shared" si="19"/>
        <v>-591933.33391000004</v>
      </c>
      <c r="T42" s="119">
        <f>SUM(T38:T39)</f>
        <v>-153856.68678999925</v>
      </c>
      <c r="U42" s="119">
        <f>SUM(U38:U39)</f>
        <v>-140321.59133999946</v>
      </c>
    </row>
    <row r="43" spans="1:21">
      <c r="A43" s="115" t="s">
        <v>768</v>
      </c>
      <c r="B43" s="115" t="s">
        <v>769</v>
      </c>
      <c r="D43" s="312">
        <v>220</v>
      </c>
      <c r="E43" s="312">
        <v>-1955.827</v>
      </c>
      <c r="F43" s="312">
        <v>2444.2530000000002</v>
      </c>
      <c r="G43" s="312">
        <v>-10563</v>
      </c>
      <c r="H43" s="312">
        <v>-10934</v>
      </c>
      <c r="I43" s="312">
        <v>5139.2879999999996</v>
      </c>
      <c r="J43" s="312">
        <v>0</v>
      </c>
      <c r="K43" s="312">
        <v>9179.2739999999994</v>
      </c>
      <c r="L43" s="312">
        <v>0</v>
      </c>
      <c r="M43" s="312">
        <v>-15043.276</v>
      </c>
      <c r="N43" s="312">
        <v>-8657.1389999999992</v>
      </c>
      <c r="O43" s="312">
        <v>22355.113000000001</v>
      </c>
      <c r="P43" s="312">
        <v>-1965.9970000000001</v>
      </c>
      <c r="Q43" s="312">
        <v>-8661.7420000000002</v>
      </c>
      <c r="R43" s="312">
        <v>-2914.9029999999998</v>
      </c>
      <c r="S43" s="312">
        <v>-470.35500000000002</v>
      </c>
      <c r="T43" s="312">
        <v>-1784.557</v>
      </c>
      <c r="U43" s="312">
        <v>0</v>
      </c>
    </row>
    <row r="44" spans="1:21">
      <c r="A44" s="115" t="s">
        <v>770</v>
      </c>
      <c r="B44" s="115" t="s">
        <v>771</v>
      </c>
      <c r="D44" s="312">
        <v>1542</v>
      </c>
      <c r="E44" s="312">
        <v>-5209.4830000000002</v>
      </c>
      <c r="F44" s="312">
        <v>6548.558</v>
      </c>
      <c r="G44" s="312">
        <v>-29342</v>
      </c>
      <c r="H44" s="312">
        <v>-30339</v>
      </c>
      <c r="I44" s="312">
        <v>14241.407999999999</v>
      </c>
      <c r="J44" s="312">
        <v>0</v>
      </c>
      <c r="K44" s="312">
        <v>29341.715</v>
      </c>
      <c r="L44" s="312">
        <v>0</v>
      </c>
      <c r="M44" s="312">
        <v>-41786.877999999997</v>
      </c>
      <c r="N44" s="312">
        <v>-24281.637999999999</v>
      </c>
      <c r="O44" s="312">
        <v>61359.516000000003</v>
      </c>
      <c r="P44" s="312">
        <v>-5324.0370000000003</v>
      </c>
      <c r="Q44" s="312">
        <v>-23477.237000000001</v>
      </c>
      <c r="R44" s="312">
        <v>-8135.2449999999999</v>
      </c>
      <c r="S44" s="312">
        <v>-1394.26</v>
      </c>
      <c r="T44" s="312">
        <v>-4838.1310000000003</v>
      </c>
      <c r="U44" s="312">
        <v>0</v>
      </c>
    </row>
    <row r="45" spans="1:21">
      <c r="A45" s="115" t="s">
        <v>900</v>
      </c>
      <c r="B45" s="115" t="s">
        <v>901</v>
      </c>
      <c r="D45" s="312">
        <v>19842</v>
      </c>
      <c r="E45" s="312">
        <v>65671.423999999999</v>
      </c>
      <c r="F45" s="312">
        <v>61151.951999999997</v>
      </c>
      <c r="G45" s="312">
        <v>185036</v>
      </c>
      <c r="H45" s="312">
        <v>11034</v>
      </c>
      <c r="I45" s="312">
        <v>184962.44699999999</v>
      </c>
      <c r="J45" s="312">
        <v>39953.821000000004</v>
      </c>
      <c r="K45" s="312">
        <v>200394.32399999999</v>
      </c>
      <c r="L45" s="312">
        <v>18543.725999999999</v>
      </c>
      <c r="M45" s="312">
        <v>44416.468999999997</v>
      </c>
      <c r="N45" s="312">
        <v>2567.86</v>
      </c>
      <c r="O45" s="312">
        <v>368512.94099999999</v>
      </c>
      <c r="P45" s="312">
        <v>32530.469000000001</v>
      </c>
      <c r="Q45" s="312">
        <v>41063.468999999997</v>
      </c>
      <c r="R45" s="312">
        <v>34251.834999999999</v>
      </c>
      <c r="S45" s="312">
        <v>230255.58199999999</v>
      </c>
      <c r="T45" s="312">
        <v>72757.058000000005</v>
      </c>
      <c r="U45" s="312">
        <v>56432.978000000003</v>
      </c>
    </row>
    <row r="46" spans="1:21" ht="15" thickBot="1">
      <c r="A46" s="115" t="s">
        <v>772</v>
      </c>
      <c r="B46" s="115" t="s">
        <v>902</v>
      </c>
      <c r="D46" s="312">
        <v>0</v>
      </c>
      <c r="E46" s="312">
        <v>0</v>
      </c>
      <c r="F46" s="312">
        <v>0</v>
      </c>
      <c r="G46" s="312">
        <v>0</v>
      </c>
      <c r="H46" s="312">
        <v>0</v>
      </c>
      <c r="I46" s="312">
        <v>0</v>
      </c>
      <c r="J46" s="312">
        <v>0</v>
      </c>
      <c r="K46" s="312">
        <v>0</v>
      </c>
      <c r="L46" s="312">
        <v>0</v>
      </c>
      <c r="M46" s="312">
        <v>0</v>
      </c>
      <c r="N46" s="312">
        <v>0</v>
      </c>
      <c r="O46" s="312">
        <v>0</v>
      </c>
      <c r="P46" s="312">
        <v>0</v>
      </c>
      <c r="Q46" s="312">
        <v>0</v>
      </c>
      <c r="R46" s="312">
        <v>0</v>
      </c>
      <c r="S46" s="312">
        <v>0</v>
      </c>
      <c r="T46" s="312">
        <v>0</v>
      </c>
      <c r="U46" s="312">
        <v>0</v>
      </c>
    </row>
    <row r="47" spans="1:21" ht="15" thickBot="1">
      <c r="A47" s="118" t="s">
        <v>903</v>
      </c>
      <c r="B47" s="118" t="s">
        <v>777</v>
      </c>
      <c r="D47" s="321">
        <f t="shared" ref="D47:K47" si="20">SUM(D42:D46)</f>
        <v>-51635</v>
      </c>
      <c r="E47" s="321">
        <f t="shared" si="20"/>
        <v>-243878.4369999998</v>
      </c>
      <c r="F47" s="321">
        <f t="shared" si="20"/>
        <v>-262833.02899999963</v>
      </c>
      <c r="G47" s="321">
        <f t="shared" si="20"/>
        <v>-639620</v>
      </c>
      <c r="H47" s="321">
        <f t="shared" si="20"/>
        <v>-60123</v>
      </c>
      <c r="I47" s="321">
        <f t="shared" si="20"/>
        <v>-422672.45299999957</v>
      </c>
      <c r="J47" s="321">
        <f t="shared" si="20"/>
        <v>-78698.889000000549</v>
      </c>
      <c r="K47" s="321">
        <f t="shared" si="20"/>
        <v>-52455.521000000183</v>
      </c>
      <c r="L47" s="321">
        <f t="shared" ref="L47:Q47" si="21">SUM(L42:L46)</f>
        <v>-58811.698999999819</v>
      </c>
      <c r="M47" s="321">
        <f t="shared" si="21"/>
        <v>-93612.187000000427</v>
      </c>
      <c r="N47" s="321">
        <f t="shared" si="21"/>
        <v>69528.924999999886</v>
      </c>
      <c r="O47" s="321">
        <f t="shared" si="21"/>
        <v>439787.80399999936</v>
      </c>
      <c r="P47" s="321">
        <f t="shared" si="21"/>
        <v>2361.8200000008837</v>
      </c>
      <c r="Q47" s="321">
        <f t="shared" si="21"/>
        <v>4947.2790000004534</v>
      </c>
      <c r="R47" s="321">
        <f t="shared" ref="R47:T47" si="22">SUM(R42:R46)</f>
        <v>3282.2289000001874</v>
      </c>
      <c r="S47" s="321">
        <f t="shared" si="22"/>
        <v>-363542.36691000004</v>
      </c>
      <c r="T47" s="321">
        <f t="shared" si="22"/>
        <v>-87722.31678999924</v>
      </c>
      <c r="U47" s="321">
        <f>SUM(U42:U46)</f>
        <v>-83888.613339999458</v>
      </c>
    </row>
  </sheetData>
  <pageMargins left="0.511811024" right="0.511811024" top="0.78740157499999996" bottom="0.78740157499999996" header="0.31496062000000002" footer="0.31496062000000002"/>
  <ignoredErrors>
    <ignoredError sqref="D9:F9 H9:J9 G9 K9:L9" formulaRange="1"/>
  </ignoredErrors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7:AE38"/>
  <sheetViews>
    <sheetView showGridLines="0" zoomScaleNormal="100" workbookViewId="0">
      <pane xSplit="1" ySplit="8" topLeftCell="AB9" activePane="bottomRight" state="frozen"/>
      <selection pane="topRight" activeCell="AN17" sqref="AN17"/>
      <selection pane="bottomLeft" activeCell="AN17" sqref="AN17"/>
      <selection pane="bottomRight" activeCell="AE9" sqref="AE9"/>
    </sheetView>
  </sheetViews>
  <sheetFormatPr defaultColWidth="9.21875" defaultRowHeight="14.4" outlineLevelCol="1"/>
  <cols>
    <col min="1" max="1" width="44.44140625" style="35" bestFit="1" customWidth="1"/>
    <col min="2" max="2" width="0.5546875" customWidth="1"/>
    <col min="3" max="8" width="9.21875" style="35" hidden="1" customWidth="1" outlineLevel="1"/>
    <col min="9" max="10" width="9.44140625" style="35" hidden="1" customWidth="1" outlineLevel="1"/>
    <col min="11" max="22" width="9.21875" style="35" hidden="1" customWidth="1" outlineLevel="1"/>
    <col min="23" max="23" width="9.21875" style="35" collapsed="1"/>
    <col min="24" max="16384" width="9.21875" style="35"/>
  </cols>
  <sheetData>
    <row r="7" spans="1:31">
      <c r="A7" s="38" t="s">
        <v>912</v>
      </c>
      <c r="B7" s="111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5" thickBot="1">
      <c r="A8" s="448" t="s">
        <v>846</v>
      </c>
      <c r="B8" s="112"/>
      <c r="C8" s="449" t="s">
        <v>55</v>
      </c>
      <c r="D8" s="449" t="s">
        <v>56</v>
      </c>
      <c r="E8" s="449" t="s">
        <v>57</v>
      </c>
      <c r="F8" s="449" t="s">
        <v>58</v>
      </c>
      <c r="G8" s="449" t="s">
        <v>59</v>
      </c>
      <c r="H8" s="449" t="s">
        <v>60</v>
      </c>
      <c r="I8" s="449" t="s">
        <v>61</v>
      </c>
      <c r="J8" s="449" t="s">
        <v>62</v>
      </c>
      <c r="K8" s="449" t="s">
        <v>63</v>
      </c>
      <c r="L8" s="449" t="s">
        <v>64</v>
      </c>
      <c r="M8" s="449" t="s">
        <v>65</v>
      </c>
      <c r="N8" s="449" t="s">
        <v>66</v>
      </c>
      <c r="O8" s="449" t="s">
        <v>67</v>
      </c>
      <c r="P8" s="449" t="s">
        <v>68</v>
      </c>
      <c r="Q8" s="449" t="s">
        <v>69</v>
      </c>
      <c r="R8" s="449" t="s">
        <v>70</v>
      </c>
      <c r="S8" s="449" t="s">
        <v>71</v>
      </c>
      <c r="T8" s="449" t="s">
        <v>72</v>
      </c>
      <c r="U8" s="449" t="s">
        <v>73</v>
      </c>
      <c r="V8" s="449" t="s">
        <v>74</v>
      </c>
      <c r="W8" s="449" t="s">
        <v>75</v>
      </c>
      <c r="X8" s="449" t="s">
        <v>76</v>
      </c>
      <c r="Y8" s="449" t="s">
        <v>77</v>
      </c>
      <c r="Z8" s="449" t="s">
        <v>78</v>
      </c>
      <c r="AA8" s="449" t="s">
        <v>79</v>
      </c>
      <c r="AB8" s="449" t="s">
        <v>80</v>
      </c>
      <c r="AC8" s="453" t="s">
        <v>81</v>
      </c>
      <c r="AD8" s="453" t="s">
        <v>82</v>
      </c>
      <c r="AE8" s="453" t="s">
        <v>83</v>
      </c>
    </row>
    <row r="9" spans="1:31" ht="15" thickBot="1">
      <c r="A9" s="118" t="s">
        <v>596</v>
      </c>
      <c r="B9" s="112"/>
      <c r="C9" s="119">
        <f>SUM(C10:C17)</f>
        <v>31842.022980000002</v>
      </c>
      <c r="D9" s="119">
        <f t="shared" ref="D9:X9" si="0">SUM(D10:D17)</f>
        <v>32331</v>
      </c>
      <c r="E9" s="119">
        <f t="shared" si="0"/>
        <v>32114.903379999996</v>
      </c>
      <c r="F9" s="119">
        <f t="shared" si="0"/>
        <v>48440.278330000016</v>
      </c>
      <c r="G9" s="119">
        <f t="shared" si="0"/>
        <v>44413.377119999997</v>
      </c>
      <c r="H9" s="119">
        <f t="shared" si="0"/>
        <v>46974</v>
      </c>
      <c r="I9" s="119">
        <f t="shared" si="0"/>
        <v>47646.775379999999</v>
      </c>
      <c r="J9" s="119">
        <f t="shared" si="0"/>
        <v>94181.278309999965</v>
      </c>
      <c r="K9" s="119">
        <f t="shared" si="0"/>
        <v>55341.709849999999</v>
      </c>
      <c r="L9" s="119">
        <f t="shared" si="0"/>
        <v>94695.691049999994</v>
      </c>
      <c r="M9" s="119">
        <f t="shared" si="0"/>
        <v>39370.182249999998</v>
      </c>
      <c r="N9" s="119">
        <f t="shared" si="0"/>
        <v>371443.02332000004</v>
      </c>
      <c r="O9" s="119">
        <f t="shared" si="0"/>
        <v>39386</v>
      </c>
      <c r="P9" s="119">
        <f t="shared" si="0"/>
        <v>38191.880619999996</v>
      </c>
      <c r="Q9" s="119">
        <f t="shared" si="0"/>
        <v>41899</v>
      </c>
      <c r="R9" s="119">
        <f t="shared" si="0"/>
        <v>15273</v>
      </c>
      <c r="S9" s="119">
        <f t="shared" si="0"/>
        <v>37173.375150000007</v>
      </c>
      <c r="T9" s="119">
        <f t="shared" si="0"/>
        <v>38231.880619999996</v>
      </c>
      <c r="U9" s="119">
        <f t="shared" si="0"/>
        <v>44463.173049999983</v>
      </c>
      <c r="V9" s="119">
        <f t="shared" si="0"/>
        <v>48484</v>
      </c>
      <c r="W9" s="119">
        <f t="shared" si="0"/>
        <v>45236</v>
      </c>
      <c r="X9" s="119">
        <f t="shared" si="0"/>
        <v>43623</v>
      </c>
      <c r="Y9" s="119">
        <f t="shared" ref="Y9:AE9" si="1">SUM(Y10:Y17)</f>
        <v>46929</v>
      </c>
      <c r="Z9" s="119">
        <f t="shared" si="1"/>
        <v>31019.330103799999</v>
      </c>
      <c r="AA9" s="119">
        <f t="shared" si="1"/>
        <v>32978.28613</v>
      </c>
      <c r="AB9" s="119">
        <f t="shared" si="1"/>
        <v>48265.042633550009</v>
      </c>
      <c r="AC9" s="119">
        <f t="shared" si="1"/>
        <v>45496.302299999996</v>
      </c>
      <c r="AD9" s="119">
        <f t="shared" si="1"/>
        <v>25422.647440000001</v>
      </c>
      <c r="AE9" s="119">
        <f t="shared" si="1"/>
        <v>32026.989999999998</v>
      </c>
    </row>
    <row r="10" spans="1:31">
      <c r="A10" s="115" t="s">
        <v>913</v>
      </c>
      <c r="B10" s="112"/>
      <c r="C10" s="337"/>
      <c r="D10" s="337"/>
      <c r="E10" s="337"/>
      <c r="F10" s="337">
        <v>0</v>
      </c>
      <c r="G10" s="337"/>
      <c r="H10" s="337"/>
      <c r="I10" s="337"/>
      <c r="J10" s="337">
        <v>7517.6945199999955</v>
      </c>
      <c r="K10" s="337">
        <v>1277</v>
      </c>
      <c r="L10" s="337">
        <v>1700.7818099999997</v>
      </c>
      <c r="M10" s="337">
        <v>1403.0583499999939</v>
      </c>
      <c r="N10" s="337">
        <v>2287.0233200000002</v>
      </c>
      <c r="O10" s="337">
        <v>1566</v>
      </c>
      <c r="P10" s="337"/>
      <c r="Q10" s="337">
        <v>351</v>
      </c>
      <c r="R10" s="337">
        <v>-93</v>
      </c>
      <c r="S10" s="337">
        <v>353.15982999999824</v>
      </c>
      <c r="T10" s="337">
        <v>0</v>
      </c>
      <c r="U10" s="337">
        <v>-704.10499000000959</v>
      </c>
      <c r="V10" s="337"/>
      <c r="W10" s="337"/>
      <c r="X10" s="337">
        <v>0</v>
      </c>
      <c r="Y10" s="337">
        <v>0</v>
      </c>
      <c r="Z10" s="337">
        <v>0</v>
      </c>
      <c r="AA10" s="337">
        <v>0</v>
      </c>
      <c r="AB10" s="337">
        <v>0</v>
      </c>
      <c r="AC10" s="337"/>
      <c r="AD10" s="337"/>
      <c r="AE10" s="337"/>
    </row>
    <row r="11" spans="1:31">
      <c r="A11" s="115" t="s">
        <v>914</v>
      </c>
      <c r="B11" s="112"/>
      <c r="C11" s="337">
        <v>3131.3578799999996</v>
      </c>
      <c r="D11" s="337">
        <v>3397</v>
      </c>
      <c r="E11" s="337"/>
      <c r="F11" s="337">
        <v>3464.1586299999999</v>
      </c>
      <c r="G11" s="337">
        <v>3284.5609399999998</v>
      </c>
      <c r="H11" s="337">
        <v>3459</v>
      </c>
      <c r="I11" s="337">
        <v>3597.9925499999999</v>
      </c>
      <c r="J11" s="337">
        <v>21300.29477</v>
      </c>
      <c r="K11" s="337">
        <v>8525.7098499999993</v>
      </c>
      <c r="L11" s="337">
        <v>7222.7429399999992</v>
      </c>
      <c r="M11" s="337">
        <v>11278.547210000001</v>
      </c>
      <c r="N11" s="337">
        <v>-9591</v>
      </c>
      <c r="O11" s="337">
        <v>4479</v>
      </c>
      <c r="P11" s="337">
        <v>4386.3185300000005</v>
      </c>
      <c r="Q11" s="337">
        <v>4409</v>
      </c>
      <c r="R11" s="337">
        <v>-2382.8763200000003</v>
      </c>
      <c r="S11" s="337">
        <v>2846.5230899999997</v>
      </c>
      <c r="T11" s="337">
        <v>4386.3185300000005</v>
      </c>
      <c r="U11" s="337">
        <v>2543.9808300000004</v>
      </c>
      <c r="V11" s="337">
        <v>4471</v>
      </c>
      <c r="W11" s="337">
        <v>4298</v>
      </c>
      <c r="X11" s="337">
        <v>2434</v>
      </c>
      <c r="Y11" s="337">
        <v>7409</v>
      </c>
      <c r="Z11" s="337">
        <v>6613.9940600000009</v>
      </c>
      <c r="AA11" s="337">
        <v>3194.2189700000004</v>
      </c>
      <c r="AB11" s="337">
        <v>3226.1579999999999</v>
      </c>
      <c r="AC11" s="337">
        <v>2799.902</v>
      </c>
      <c r="AD11" s="337">
        <v>-4335.9610000000002</v>
      </c>
      <c r="AE11" s="337">
        <v>7999.4459999999999</v>
      </c>
    </row>
    <row r="12" spans="1:31">
      <c r="A12" s="115" t="s">
        <v>606</v>
      </c>
      <c r="B12" s="112"/>
      <c r="C12" s="337">
        <v>1518.0959399999999</v>
      </c>
      <c r="D12" s="337">
        <v>1798</v>
      </c>
      <c r="E12" s="337"/>
      <c r="F12" s="337">
        <v>21006.587340000002</v>
      </c>
      <c r="G12" s="337">
        <v>9752.8579200000004</v>
      </c>
      <c r="H12" s="337">
        <v>9510</v>
      </c>
      <c r="I12" s="337">
        <v>13052.73272</v>
      </c>
      <c r="J12" s="337">
        <v>45272.180239999951</v>
      </c>
      <c r="K12" s="337">
        <v>21762</v>
      </c>
      <c r="L12" s="337">
        <v>55559.120990000003</v>
      </c>
      <c r="M12" s="337">
        <v>3392.0522999999957</v>
      </c>
      <c r="N12" s="337">
        <v>-12503</v>
      </c>
      <c r="O12" s="337">
        <v>70915</v>
      </c>
      <c r="P12" s="337">
        <v>16660.057679999998</v>
      </c>
      <c r="Q12" s="337">
        <v>25013</v>
      </c>
      <c r="R12" s="337">
        <v>29440.541119999998</v>
      </c>
      <c r="S12" s="337">
        <v>6236.4387400000005</v>
      </c>
      <c r="T12" s="337">
        <v>16660.057679999998</v>
      </c>
      <c r="U12" s="337">
        <v>2876.8540899999998</v>
      </c>
      <c r="V12" s="337">
        <v>4481</v>
      </c>
      <c r="W12" s="337">
        <v>447</v>
      </c>
      <c r="X12" s="337">
        <v>-12</v>
      </c>
      <c r="Y12" s="337">
        <v>0</v>
      </c>
      <c r="Z12" s="337">
        <v>-0.14265000000000327</v>
      </c>
      <c r="AA12" s="337">
        <v>0</v>
      </c>
      <c r="AB12" s="337">
        <v>-0.33400000000000002</v>
      </c>
      <c r="AC12" s="337"/>
      <c r="AD12" s="337">
        <v>0.33400000000000002</v>
      </c>
      <c r="AE12" s="337"/>
    </row>
    <row r="13" spans="1:31">
      <c r="A13" s="115" t="s">
        <v>915</v>
      </c>
      <c r="B13" s="112"/>
      <c r="C13" s="337">
        <v>26065.463100000001</v>
      </c>
      <c r="D13" s="337">
        <v>26009</v>
      </c>
      <c r="E13" s="337">
        <v>31606.903379999996</v>
      </c>
      <c r="F13" s="337">
        <v>22762.532360000012</v>
      </c>
      <c r="G13" s="337">
        <v>30248.852200000001</v>
      </c>
      <c r="H13" s="337">
        <v>32878</v>
      </c>
      <c r="I13" s="337">
        <v>29869.05011</v>
      </c>
      <c r="J13" s="337">
        <v>10783.705739999998</v>
      </c>
      <c r="K13" s="337">
        <v>22419</v>
      </c>
      <c r="L13" s="337">
        <v>26902.724129999995</v>
      </c>
      <c r="M13" s="337">
        <v>20298.929590000007</v>
      </c>
      <c r="N13" s="337">
        <v>-69621</v>
      </c>
      <c r="O13" s="337">
        <v>0</v>
      </c>
      <c r="P13" s="337"/>
      <c r="Q13" s="337"/>
      <c r="R13" s="337">
        <v>75527.47606999999</v>
      </c>
      <c r="S13" s="337">
        <v>0</v>
      </c>
      <c r="T13" s="337">
        <v>0</v>
      </c>
      <c r="U13" s="337">
        <v>0</v>
      </c>
      <c r="V13" s="337"/>
      <c r="W13" s="337"/>
      <c r="X13" s="337">
        <v>0</v>
      </c>
      <c r="Y13" s="337">
        <v>0</v>
      </c>
      <c r="Z13" s="337">
        <v>0</v>
      </c>
      <c r="AA13" s="337">
        <v>0</v>
      </c>
      <c r="AB13" s="337">
        <v>0</v>
      </c>
      <c r="AC13" s="337"/>
      <c r="AD13" s="337"/>
      <c r="AE13" s="337"/>
    </row>
    <row r="14" spans="1:31">
      <c r="A14" s="115" t="s">
        <v>916</v>
      </c>
      <c r="B14" s="112"/>
      <c r="C14" s="337"/>
      <c r="D14" s="337"/>
      <c r="E14" s="337"/>
      <c r="F14" s="337"/>
      <c r="G14" s="337"/>
      <c r="H14" s="337"/>
      <c r="I14" s="337"/>
      <c r="J14" s="337">
        <v>8487.4030399999992</v>
      </c>
      <c r="K14" s="337">
        <v>538</v>
      </c>
      <c r="L14" s="337">
        <v>2455.3211800000004</v>
      </c>
      <c r="M14" s="337">
        <v>2167.5947999999999</v>
      </c>
      <c r="N14" s="337">
        <v>125728</v>
      </c>
      <c r="O14" s="337">
        <f>34754-72949</f>
        <v>-38195</v>
      </c>
      <c r="P14" s="337">
        <v>35510.504410000001</v>
      </c>
      <c r="Q14" s="337">
        <v>8599</v>
      </c>
      <c r="R14" s="337">
        <v>-57.756770000000017</v>
      </c>
      <c r="S14" s="337">
        <v>0</v>
      </c>
      <c r="T14" s="337">
        <v>35510.504410000001</v>
      </c>
      <c r="U14" s="337">
        <v>36940</v>
      </c>
      <c r="V14" s="337">
        <v>36984</v>
      </c>
      <c r="W14" s="337">
        <v>37533</v>
      </c>
      <c r="X14" s="337">
        <v>37138</v>
      </c>
      <c r="Y14" s="337">
        <v>37133</v>
      </c>
      <c r="Z14" s="337">
        <v>30502.081453799998</v>
      </c>
      <c r="AA14" s="337">
        <v>0</v>
      </c>
      <c r="AB14" s="337">
        <v>44207.147633550005</v>
      </c>
      <c r="AC14" s="337">
        <v>41791.137299999995</v>
      </c>
      <c r="AD14" s="337">
        <v>28853.011440000002</v>
      </c>
      <c r="AE14" s="337">
        <v>23149.031999999999</v>
      </c>
    </row>
    <row r="15" spans="1:31">
      <c r="A15" s="115" t="s">
        <v>917</v>
      </c>
      <c r="B15" s="112"/>
      <c r="C15" s="337"/>
      <c r="D15" s="337"/>
      <c r="E15" s="337"/>
      <c r="F15" s="337"/>
      <c r="G15" s="337"/>
      <c r="H15" s="337"/>
      <c r="I15" s="337"/>
      <c r="J15" s="337"/>
      <c r="K15" s="337"/>
      <c r="L15" s="337"/>
      <c r="M15" s="337"/>
      <c r="N15" s="337"/>
      <c r="O15" s="337"/>
      <c r="P15" s="337">
        <v>-20300</v>
      </c>
      <c r="Q15" s="337"/>
      <c r="R15" s="337">
        <v>-89584.302650000012</v>
      </c>
      <c r="S15" s="337">
        <v>-15030.48518</v>
      </c>
      <c r="T15" s="337">
        <v>-20300</v>
      </c>
      <c r="U15" s="337">
        <v>0</v>
      </c>
      <c r="V15" s="337"/>
      <c r="W15" s="337"/>
      <c r="X15" s="337">
        <v>0</v>
      </c>
      <c r="Y15" s="337">
        <v>0</v>
      </c>
      <c r="Z15" s="337">
        <v>0</v>
      </c>
      <c r="AA15" s="337">
        <v>0</v>
      </c>
      <c r="AB15" s="337">
        <v>0</v>
      </c>
      <c r="AC15" s="337"/>
      <c r="AD15" s="337"/>
      <c r="AE15" s="337"/>
    </row>
    <row r="16" spans="1:31">
      <c r="A16" s="115" t="s">
        <v>614</v>
      </c>
      <c r="B16" s="112"/>
      <c r="C16" s="337">
        <v>1127.1060600000001</v>
      </c>
      <c r="D16" s="337">
        <v>1127</v>
      </c>
      <c r="E16" s="337">
        <v>508</v>
      </c>
      <c r="F16" s="337">
        <v>1207</v>
      </c>
      <c r="G16" s="337">
        <v>1127.1060600000001</v>
      </c>
      <c r="H16" s="337">
        <v>1127</v>
      </c>
      <c r="I16" s="337">
        <v>1127</v>
      </c>
      <c r="J16" s="337">
        <v>820</v>
      </c>
      <c r="K16" s="337">
        <v>820</v>
      </c>
      <c r="L16" s="337">
        <v>855</v>
      </c>
      <c r="M16" s="337">
        <v>830</v>
      </c>
      <c r="N16" s="337">
        <v>335143</v>
      </c>
      <c r="O16" s="337">
        <v>621</v>
      </c>
      <c r="P16" s="337">
        <v>1935</v>
      </c>
      <c r="Q16" s="337">
        <v>3527</v>
      </c>
      <c r="R16" s="337">
        <v>2422.9185500000312</v>
      </c>
      <c r="S16" s="337">
        <v>2179.1868999999997</v>
      </c>
      <c r="T16" s="337">
        <v>1975</v>
      </c>
      <c r="U16" s="337">
        <v>2806.4431199999999</v>
      </c>
      <c r="V16" s="337">
        <v>2548</v>
      </c>
      <c r="W16" s="337">
        <v>2958</v>
      </c>
      <c r="X16" s="337">
        <v>4063</v>
      </c>
      <c r="Y16" s="337">
        <v>2387</v>
      </c>
      <c r="Z16" s="337">
        <v>-6096.6027599999998</v>
      </c>
      <c r="AA16" s="337">
        <v>832.06715999999938</v>
      </c>
      <c r="AB16" s="337">
        <v>832.07100000000003</v>
      </c>
      <c r="AC16" s="337">
        <v>905.26300000000003</v>
      </c>
      <c r="AD16" s="337">
        <v>905.26300000000003</v>
      </c>
      <c r="AE16" s="337">
        <v>878.51199999999994</v>
      </c>
    </row>
    <row r="17" spans="1:31" ht="15" thickBot="1">
      <c r="A17" s="115" t="s">
        <v>918</v>
      </c>
      <c r="B17" s="112"/>
      <c r="C17" s="337"/>
      <c r="D17" s="337"/>
      <c r="E17" s="337"/>
      <c r="F17" s="337"/>
      <c r="G17" s="337"/>
      <c r="H17" s="337"/>
      <c r="I17" s="337"/>
      <c r="J17" s="337"/>
      <c r="K17" s="337"/>
      <c r="L17" s="337"/>
      <c r="M17" s="337"/>
      <c r="N17" s="337"/>
      <c r="O17" s="337"/>
      <c r="P17" s="337"/>
      <c r="Q17" s="337"/>
      <c r="R17" s="337"/>
      <c r="S17" s="337">
        <v>40588.551770000005</v>
      </c>
      <c r="T17" s="337"/>
      <c r="U17" s="337"/>
      <c r="V17" s="337"/>
      <c r="W17" s="337"/>
      <c r="X17" s="337">
        <v>0</v>
      </c>
      <c r="Y17" s="337">
        <v>0</v>
      </c>
      <c r="Z17" s="337">
        <v>0</v>
      </c>
      <c r="AA17" s="337">
        <v>28952</v>
      </c>
      <c r="AB17" s="337">
        <v>0</v>
      </c>
      <c r="AC17" s="337"/>
      <c r="AD17" s="337"/>
      <c r="AE17" s="337"/>
    </row>
    <row r="18" spans="1:31" ht="15" thickBot="1">
      <c r="A18" s="118" t="s">
        <v>858</v>
      </c>
      <c r="B18" s="112"/>
      <c r="C18" s="119">
        <v>-4005.18343</v>
      </c>
      <c r="D18" s="119">
        <v>-4058</v>
      </c>
      <c r="E18" s="119">
        <v>-4359</v>
      </c>
      <c r="F18" s="119">
        <v>-3958.5506599999999</v>
      </c>
      <c r="G18" s="119">
        <v>-3896.70147</v>
      </c>
      <c r="H18" s="119">
        <v>-9225</v>
      </c>
      <c r="I18" s="119">
        <v>-5707</v>
      </c>
      <c r="J18" s="119">
        <v>-6432</v>
      </c>
      <c r="K18" s="119">
        <v>-10094</v>
      </c>
      <c r="L18" s="119">
        <v>-8786</v>
      </c>
      <c r="M18" s="119">
        <v>-6450</v>
      </c>
      <c r="N18" s="119">
        <v>1284</v>
      </c>
      <c r="O18" s="119">
        <v>-9091</v>
      </c>
      <c r="P18" s="119">
        <v>-8807</v>
      </c>
      <c r="Q18" s="119">
        <v>-7400</v>
      </c>
      <c r="R18" s="119">
        <v>-6580.8092799999995</v>
      </c>
      <c r="S18" s="119">
        <v>-8033.8908799999999</v>
      </c>
      <c r="T18" s="119">
        <v>-8807</v>
      </c>
      <c r="U18" s="119">
        <v>-5308</v>
      </c>
      <c r="V18" s="119">
        <v>-5540</v>
      </c>
      <c r="W18" s="119">
        <v>-4981</v>
      </c>
      <c r="X18" s="119">
        <v>-4662</v>
      </c>
      <c r="Y18" s="119">
        <v>-4863</v>
      </c>
      <c r="Z18" s="119">
        <v>-4975.6281501999947</v>
      </c>
      <c r="AA18" s="119">
        <v>-4812</v>
      </c>
      <c r="AB18" s="119">
        <v>-4826.8329999999996</v>
      </c>
      <c r="AC18" s="119">
        <v>-3600.22</v>
      </c>
      <c r="AD18" s="119">
        <v>-3001.45244</v>
      </c>
      <c r="AE18" s="119">
        <v>-4781.9160000000002</v>
      </c>
    </row>
    <row r="19" spans="1:31" ht="15" thickBot="1">
      <c r="A19" s="118" t="s">
        <v>646</v>
      </c>
      <c r="B19" s="120"/>
      <c r="C19" s="338">
        <f t="shared" ref="C19:X19" si="2">C9+C18</f>
        <v>27836.839550000001</v>
      </c>
      <c r="D19" s="338">
        <f t="shared" si="2"/>
        <v>28273</v>
      </c>
      <c r="E19" s="338">
        <f t="shared" si="2"/>
        <v>27755.903379999996</v>
      </c>
      <c r="F19" s="338">
        <f t="shared" si="2"/>
        <v>44481.727670000015</v>
      </c>
      <c r="G19" s="338">
        <f t="shared" si="2"/>
        <v>40516.675649999997</v>
      </c>
      <c r="H19" s="338">
        <f t="shared" si="2"/>
        <v>37749</v>
      </c>
      <c r="I19" s="338">
        <f t="shared" si="2"/>
        <v>41939.775379999999</v>
      </c>
      <c r="J19" s="338">
        <f t="shared" si="2"/>
        <v>87749.278309999965</v>
      </c>
      <c r="K19" s="338">
        <f t="shared" si="2"/>
        <v>45247.709849999999</v>
      </c>
      <c r="L19" s="338">
        <f t="shared" si="2"/>
        <v>85909.691049999994</v>
      </c>
      <c r="M19" s="338">
        <f t="shared" si="2"/>
        <v>32920.182249999998</v>
      </c>
      <c r="N19" s="338">
        <f t="shared" si="2"/>
        <v>372727.02332000004</v>
      </c>
      <c r="O19" s="338">
        <f t="shared" si="2"/>
        <v>30295</v>
      </c>
      <c r="P19" s="338">
        <f t="shared" si="2"/>
        <v>29384.880619999996</v>
      </c>
      <c r="Q19" s="338">
        <f t="shared" si="2"/>
        <v>34499</v>
      </c>
      <c r="R19" s="338">
        <f t="shared" si="2"/>
        <v>8692.1907200000005</v>
      </c>
      <c r="S19" s="338">
        <f t="shared" si="2"/>
        <v>29139.484270000008</v>
      </c>
      <c r="T19" s="338">
        <f t="shared" si="2"/>
        <v>29424.880619999996</v>
      </c>
      <c r="U19" s="338">
        <f t="shared" si="2"/>
        <v>39155.173049999983</v>
      </c>
      <c r="V19" s="338">
        <f t="shared" si="2"/>
        <v>42944</v>
      </c>
      <c r="W19" s="338">
        <f t="shared" si="2"/>
        <v>40255</v>
      </c>
      <c r="X19" s="338">
        <f t="shared" si="2"/>
        <v>38961</v>
      </c>
      <c r="Y19" s="338">
        <f t="shared" ref="Y19:AE19" si="3">Y9+Y18</f>
        <v>42066</v>
      </c>
      <c r="Z19" s="338">
        <f t="shared" si="3"/>
        <v>26043.701953600004</v>
      </c>
      <c r="AA19" s="338">
        <f t="shared" si="3"/>
        <v>28166.28613</v>
      </c>
      <c r="AB19" s="338">
        <f t="shared" si="3"/>
        <v>43438.20963355001</v>
      </c>
      <c r="AC19" s="338">
        <f t="shared" si="3"/>
        <v>41896.082299999995</v>
      </c>
      <c r="AD19" s="338">
        <f t="shared" si="3"/>
        <v>22421.195</v>
      </c>
      <c r="AE19" s="338">
        <f t="shared" si="3"/>
        <v>27245.073999999997</v>
      </c>
    </row>
    <row r="20" spans="1:31" ht="15" thickBot="1">
      <c r="A20" s="118" t="s">
        <v>919</v>
      </c>
      <c r="B20" s="120"/>
      <c r="C20" s="338"/>
      <c r="D20" s="338"/>
      <c r="E20" s="338"/>
      <c r="F20" s="338"/>
      <c r="G20" s="338"/>
      <c r="H20" s="338"/>
      <c r="I20" s="338"/>
      <c r="J20" s="338"/>
      <c r="K20" s="338"/>
      <c r="L20" s="338"/>
      <c r="M20" s="338"/>
      <c r="N20" s="338"/>
      <c r="O20" s="338"/>
      <c r="P20" s="338"/>
      <c r="Q20" s="338"/>
      <c r="R20" s="338"/>
      <c r="S20" s="338"/>
      <c r="T20" s="338"/>
      <c r="U20" s="338">
        <v>-9470</v>
      </c>
      <c r="V20" s="338"/>
      <c r="W20" s="338">
        <v>-20962</v>
      </c>
      <c r="X20" s="338">
        <v>-10410</v>
      </c>
      <c r="Y20" s="338">
        <v>-12121</v>
      </c>
      <c r="Z20" s="338"/>
      <c r="AA20" s="338"/>
      <c r="AB20" s="338">
        <v>0</v>
      </c>
      <c r="AC20" s="338"/>
      <c r="AD20" s="338"/>
      <c r="AE20" s="338"/>
    </row>
    <row r="21" spans="1:31" ht="15" thickBot="1">
      <c r="A21" s="118" t="s">
        <v>873</v>
      </c>
      <c r="B21" s="120"/>
      <c r="C21" s="119">
        <f t="shared" ref="C21:AE21" si="4">SUM(C22:C27)</f>
        <v>-6180.9530800000002</v>
      </c>
      <c r="D21" s="119">
        <f t="shared" si="4"/>
        <v>-7226</v>
      </c>
      <c r="E21" s="119">
        <f t="shared" si="4"/>
        <v>-4946.7498700000006</v>
      </c>
      <c r="F21" s="119">
        <f t="shared" si="4"/>
        <v>-25651.637659999997</v>
      </c>
      <c r="G21" s="119">
        <f t="shared" si="4"/>
        <v>-14310.554389999999</v>
      </c>
      <c r="H21" s="119">
        <f t="shared" si="4"/>
        <v>-9347</v>
      </c>
      <c r="I21" s="119">
        <f t="shared" si="4"/>
        <v>-16396.5982</v>
      </c>
      <c r="J21" s="119">
        <f t="shared" si="4"/>
        <v>-16408.671450000002</v>
      </c>
      <c r="K21" s="119">
        <f t="shared" si="4"/>
        <v>-29576</v>
      </c>
      <c r="L21" s="119">
        <f t="shared" si="4"/>
        <v>-8284</v>
      </c>
      <c r="M21" s="119">
        <f t="shared" si="4"/>
        <v>-6118.0428000000029</v>
      </c>
      <c r="N21" s="119">
        <f t="shared" si="4"/>
        <v>-6705</v>
      </c>
      <c r="O21" s="119">
        <f t="shared" si="4"/>
        <v>-36946</v>
      </c>
      <c r="P21" s="119">
        <f t="shared" si="4"/>
        <v>-11711</v>
      </c>
      <c r="Q21" s="119">
        <f t="shared" si="4"/>
        <v>-16034</v>
      </c>
      <c r="R21" s="119">
        <f t="shared" si="4"/>
        <v>-11727.384210000031</v>
      </c>
      <c r="S21" s="119">
        <f t="shared" si="4"/>
        <v>-6221.5738599999995</v>
      </c>
      <c r="T21" s="119">
        <f t="shared" si="4"/>
        <v>-11711</v>
      </c>
      <c r="U21" s="119">
        <f t="shared" si="4"/>
        <v>-5320.9633199999998</v>
      </c>
      <c r="V21" s="119">
        <f t="shared" si="4"/>
        <v>-22529</v>
      </c>
      <c r="W21" s="119">
        <f t="shared" si="4"/>
        <v>-3154.0988299999995</v>
      </c>
      <c r="X21" s="119">
        <f t="shared" si="4"/>
        <v>-4278.9011700000001</v>
      </c>
      <c r="Y21" s="119">
        <f t="shared" si="4"/>
        <v>-7676</v>
      </c>
      <c r="Z21" s="119">
        <f t="shared" si="4"/>
        <v>-7031.1248399999977</v>
      </c>
      <c r="AA21" s="119">
        <f t="shared" si="4"/>
        <v>-3515.5725699999998</v>
      </c>
      <c r="AB21" s="119">
        <f t="shared" si="4"/>
        <v>-3580.8220000000001</v>
      </c>
      <c r="AC21" s="119">
        <f t="shared" si="4"/>
        <v>-3985.6880000000006</v>
      </c>
      <c r="AD21" s="119">
        <f t="shared" si="4"/>
        <v>-4606.8959999999997</v>
      </c>
      <c r="AE21" s="119">
        <f t="shared" si="4"/>
        <v>-10457.062000000002</v>
      </c>
    </row>
    <row r="22" spans="1:31">
      <c r="A22" s="115" t="s">
        <v>875</v>
      </c>
      <c r="B22" s="120"/>
      <c r="C22" s="337">
        <v>-1360.88057</v>
      </c>
      <c r="D22" s="337">
        <v>-1104</v>
      </c>
      <c r="E22" s="337">
        <v>-1313.6426200000001</v>
      </c>
      <c r="F22" s="337">
        <v>-1468.6969899999999</v>
      </c>
      <c r="G22" s="337">
        <v>-1155.00431</v>
      </c>
      <c r="H22" s="337">
        <v>-1259</v>
      </c>
      <c r="I22" s="337">
        <v>-1273</v>
      </c>
      <c r="J22" s="337">
        <v>-989</v>
      </c>
      <c r="K22" s="337">
        <v>-1446</v>
      </c>
      <c r="L22" s="337">
        <v>-871</v>
      </c>
      <c r="M22" s="337">
        <v>-1139</v>
      </c>
      <c r="N22" s="337">
        <v>-1207</v>
      </c>
      <c r="O22" s="337">
        <v>-824</v>
      </c>
      <c r="P22" s="337">
        <v>-844</v>
      </c>
      <c r="Q22" s="337">
        <v>-1408</v>
      </c>
      <c r="R22" s="337">
        <v>-2625</v>
      </c>
      <c r="S22" s="337">
        <v>-1589.4129500000001</v>
      </c>
      <c r="T22" s="337">
        <v>-844</v>
      </c>
      <c r="U22" s="337">
        <v>-2047.3384599999999</v>
      </c>
      <c r="V22" s="337">
        <v>-1634</v>
      </c>
      <c r="W22" s="337">
        <v>-1470.6243699999998</v>
      </c>
      <c r="X22" s="337">
        <v>-1426.3756300000002</v>
      </c>
      <c r="Y22" s="337">
        <v>-1348</v>
      </c>
      <c r="Z22" s="337">
        <v>-842.0875700000006</v>
      </c>
      <c r="AA22" s="337">
        <v>-765.33783999999991</v>
      </c>
      <c r="AB22" s="337">
        <v>-951.48599999999999</v>
      </c>
      <c r="AC22" s="337">
        <v>-1172.9090000000001</v>
      </c>
      <c r="AD22" s="337">
        <v>-2929.752</v>
      </c>
      <c r="AE22" s="337">
        <v>-867.65700000000004</v>
      </c>
    </row>
    <row r="23" spans="1:31">
      <c r="A23" s="115" t="s">
        <v>877</v>
      </c>
      <c r="B23" s="120"/>
      <c r="C23" s="337">
        <v>-122.13176</v>
      </c>
      <c r="D23" s="337">
        <v>-158</v>
      </c>
      <c r="E23" s="337">
        <v>-132.00269</v>
      </c>
      <c r="F23" s="337">
        <v>-102.24357000000001</v>
      </c>
      <c r="G23" s="337">
        <v>-100.58869</v>
      </c>
      <c r="H23" s="337">
        <v>-77</v>
      </c>
      <c r="I23" s="337">
        <v>-52.536110000000001</v>
      </c>
      <c r="J23" s="337">
        <v>-129</v>
      </c>
      <c r="K23" s="337">
        <v>-133</v>
      </c>
      <c r="L23" s="337">
        <v>105</v>
      </c>
      <c r="M23" s="337">
        <v>-7.4584700000000019</v>
      </c>
      <c r="N23" s="337">
        <v>-44</v>
      </c>
      <c r="O23" s="337">
        <v>-16</v>
      </c>
      <c r="P23" s="337">
        <v>-155</v>
      </c>
      <c r="Q23" s="337">
        <v>-143</v>
      </c>
      <c r="R23" s="337">
        <v>12</v>
      </c>
      <c r="S23" s="337">
        <v>-24.755410000000001</v>
      </c>
      <c r="T23" s="337">
        <v>-155</v>
      </c>
      <c r="U23" s="337">
        <v>-257.03176000000002</v>
      </c>
      <c r="V23" s="337">
        <v>-393</v>
      </c>
      <c r="W23" s="337">
        <v>-36</v>
      </c>
      <c r="X23" s="337">
        <v>-236</v>
      </c>
      <c r="Y23" s="337">
        <v>-296</v>
      </c>
      <c r="Z23" s="337">
        <v>-391.98337000000015</v>
      </c>
      <c r="AA23" s="337">
        <v>-483.42369999999994</v>
      </c>
      <c r="AB23" s="337">
        <v>267.78699999999998</v>
      </c>
      <c r="AC23" s="337">
        <v>-319.65499999999997</v>
      </c>
      <c r="AD23" s="337">
        <v>-275.28399999999999</v>
      </c>
      <c r="AE23" s="337">
        <v>-574.85199999999998</v>
      </c>
    </row>
    <row r="24" spans="1:31">
      <c r="A24" s="115" t="s">
        <v>878</v>
      </c>
      <c r="B24" s="324"/>
      <c r="C24" s="337">
        <v>-2873.5294399999998</v>
      </c>
      <c r="D24" s="337">
        <v>-3055</v>
      </c>
      <c r="E24" s="337">
        <v>-3402.1045600000002</v>
      </c>
      <c r="F24" s="337">
        <v>-2905.3433199999999</v>
      </c>
      <c r="G24" s="337">
        <v>-2749.51656</v>
      </c>
      <c r="H24" s="337">
        <v>-2885</v>
      </c>
      <c r="I24" s="337">
        <v>-3074.4806600000002</v>
      </c>
      <c r="J24" s="337">
        <v>-3141</v>
      </c>
      <c r="K24" s="337">
        <v>-2944</v>
      </c>
      <c r="L24" s="337">
        <v>-2552</v>
      </c>
      <c r="M24" s="337">
        <v>-3879.0311400000001</v>
      </c>
      <c r="N24" s="337">
        <v>-3256</v>
      </c>
      <c r="O24" s="337">
        <v>-3632</v>
      </c>
      <c r="P24" s="337">
        <v>-3396</v>
      </c>
      <c r="Q24" s="337">
        <v>-3018</v>
      </c>
      <c r="R24" s="337">
        <v>-2564</v>
      </c>
      <c r="S24" s="337">
        <v>-1860.6816799999995</v>
      </c>
      <c r="T24" s="337">
        <v>-3396</v>
      </c>
      <c r="U24" s="337">
        <v>-1252.7116599999999</v>
      </c>
      <c r="V24" s="337">
        <v>-2956</v>
      </c>
      <c r="W24" s="337">
        <v>-1370</v>
      </c>
      <c r="X24" s="337">
        <v>-2441</v>
      </c>
      <c r="Y24" s="337">
        <v>-5947</v>
      </c>
      <c r="Z24" s="337">
        <v>-58.604859999997643</v>
      </c>
      <c r="AA24" s="337">
        <v>-1332.3174599999998</v>
      </c>
      <c r="AB24" s="337">
        <v>-2661.018</v>
      </c>
      <c r="AC24" s="337">
        <v>-2303.3850000000002</v>
      </c>
      <c r="AD24" s="337">
        <v>-2461.4369999999999</v>
      </c>
      <c r="AE24" s="337">
        <v>-2688.5839999999998</v>
      </c>
    </row>
    <row r="25" spans="1:31">
      <c r="A25" s="115" t="s">
        <v>920</v>
      </c>
      <c r="B25" s="120"/>
      <c r="C25" s="337">
        <v>-1518.0959399999999</v>
      </c>
      <c r="D25" s="337">
        <v>-1798</v>
      </c>
      <c r="E25" s="337"/>
      <c r="F25" s="337">
        <v>-21006.587339999998</v>
      </c>
      <c r="G25" s="337">
        <v>-9752.8579200000004</v>
      </c>
      <c r="H25" s="337">
        <v>-4809</v>
      </c>
      <c r="I25" s="337">
        <v>-11947.58143</v>
      </c>
      <c r="J25" s="337">
        <v>-12177.67145</v>
      </c>
      <c r="K25" s="337">
        <v>-25052</v>
      </c>
      <c r="L25" s="337">
        <v>-5015</v>
      </c>
      <c r="M25" s="337">
        <v>-1092.5531900000024</v>
      </c>
      <c r="N25" s="337">
        <v>-2059</v>
      </c>
      <c r="O25" s="337">
        <v>-32839</v>
      </c>
      <c r="P25" s="337">
        <v>-7715</v>
      </c>
      <c r="Q25" s="337">
        <v>-11583</v>
      </c>
      <c r="R25" s="337">
        <v>-6884</v>
      </c>
      <c r="S25" s="337">
        <v>-2775.8187200000002</v>
      </c>
      <c r="T25" s="337">
        <v>-7715</v>
      </c>
      <c r="U25" s="337">
        <v>-1280.6851699999997</v>
      </c>
      <c r="V25" s="337">
        <v>-17248</v>
      </c>
      <c r="W25" s="337">
        <v>-199</v>
      </c>
      <c r="X25" s="337">
        <v>5</v>
      </c>
      <c r="Y25" s="337">
        <v>0</v>
      </c>
      <c r="Z25" s="337">
        <v>-5626.0733399999999</v>
      </c>
      <c r="AA25" s="337">
        <v>-775.46481999999992</v>
      </c>
      <c r="AB25" s="337">
        <v>-122.06399999999999</v>
      </c>
      <c r="AC25" s="337">
        <v>-145.29300000000001</v>
      </c>
      <c r="AD25" s="337">
        <v>3094.4720000000002</v>
      </c>
      <c r="AE25" s="337">
        <v>-6498.5360000000001</v>
      </c>
    </row>
    <row r="26" spans="1:31">
      <c r="A26" s="115" t="s">
        <v>95</v>
      </c>
      <c r="B26" s="120"/>
      <c r="C26" s="337">
        <v>-306.31536999999997</v>
      </c>
      <c r="D26" s="337">
        <v>-1111</v>
      </c>
      <c r="E26" s="337">
        <v>-99</v>
      </c>
      <c r="F26" s="337">
        <v>-168.76643999999999</v>
      </c>
      <c r="G26" s="337">
        <v>-552.58690999999999</v>
      </c>
      <c r="H26" s="337">
        <v>-317</v>
      </c>
      <c r="I26" s="337">
        <v>-49</v>
      </c>
      <c r="J26" s="337">
        <v>28</v>
      </c>
      <c r="K26" s="337">
        <v>-1</v>
      </c>
      <c r="L26" s="337">
        <v>49</v>
      </c>
      <c r="M26" s="337">
        <v>0</v>
      </c>
      <c r="N26" s="337">
        <v>-139</v>
      </c>
      <c r="O26" s="337">
        <v>365</v>
      </c>
      <c r="P26" s="337">
        <v>399</v>
      </c>
      <c r="Q26" s="337">
        <v>118</v>
      </c>
      <c r="R26" s="337">
        <v>333.61578999996902</v>
      </c>
      <c r="S26" s="337">
        <v>29.094900000000017</v>
      </c>
      <c r="T26" s="337">
        <v>399</v>
      </c>
      <c r="U26" s="337">
        <v>-483.19626999999997</v>
      </c>
      <c r="V26" s="337">
        <v>-298</v>
      </c>
      <c r="W26" s="337">
        <v>-78.474460000000008</v>
      </c>
      <c r="X26" s="337">
        <v>-180.52553999999998</v>
      </c>
      <c r="Y26" s="337">
        <v>-85</v>
      </c>
      <c r="Z26" s="337">
        <v>-112.37569999999999</v>
      </c>
      <c r="AA26" s="337">
        <v>-159.02875</v>
      </c>
      <c r="AB26" s="337">
        <v>-114.041</v>
      </c>
      <c r="AC26" s="337">
        <v>-44.445999999999998</v>
      </c>
      <c r="AD26" s="337">
        <v>22.571999999999999</v>
      </c>
      <c r="AE26" s="337">
        <v>172.56700000000001</v>
      </c>
    </row>
    <row r="27" spans="1:31">
      <c r="A27" s="115" t="s">
        <v>880</v>
      </c>
      <c r="B27" s="120"/>
      <c r="C27" s="337"/>
      <c r="D27" s="337"/>
      <c r="E27" s="337"/>
      <c r="F27" s="337"/>
      <c r="G27" s="337"/>
      <c r="H27" s="337"/>
      <c r="I27" s="337"/>
      <c r="J27" s="337"/>
      <c r="K27" s="337"/>
      <c r="L27" s="337"/>
      <c r="M27" s="337"/>
      <c r="N27" s="337"/>
      <c r="O27" s="337"/>
      <c r="P27" s="337"/>
      <c r="Q27" s="337"/>
      <c r="R27" s="337"/>
      <c r="S27" s="337"/>
      <c r="T27" s="337"/>
      <c r="U27" s="337"/>
      <c r="V27" s="337"/>
      <c r="W27" s="337"/>
      <c r="X27" s="337"/>
      <c r="Y27" s="337"/>
      <c r="Z27" s="337"/>
      <c r="AA27" s="337"/>
      <c r="AB27" s="337"/>
      <c r="AC27" s="337"/>
      <c r="AD27" s="337">
        <v>-2057.4670000000001</v>
      </c>
      <c r="AE27" s="337">
        <v>0</v>
      </c>
    </row>
    <row r="28" spans="1:31">
      <c r="A28" s="455" t="s">
        <v>722</v>
      </c>
      <c r="B28" s="120"/>
      <c r="C28" s="454">
        <f t="shared" ref="C28:AE28" si="5">SUM(C19:C21)</f>
        <v>21655.886470000001</v>
      </c>
      <c r="D28" s="454">
        <f t="shared" si="5"/>
        <v>21047</v>
      </c>
      <c r="E28" s="454">
        <f t="shared" si="5"/>
        <v>22809.153509999996</v>
      </c>
      <c r="F28" s="454">
        <f t="shared" si="5"/>
        <v>18830.090010000018</v>
      </c>
      <c r="G28" s="454">
        <f t="shared" si="5"/>
        <v>26206.12126</v>
      </c>
      <c r="H28" s="454">
        <f t="shared" si="5"/>
        <v>28402</v>
      </c>
      <c r="I28" s="454">
        <f t="shared" si="5"/>
        <v>25543.177179999999</v>
      </c>
      <c r="J28" s="454">
        <f t="shared" si="5"/>
        <v>71340.606859999971</v>
      </c>
      <c r="K28" s="454">
        <f t="shared" si="5"/>
        <v>15671.709849999999</v>
      </c>
      <c r="L28" s="454">
        <f t="shared" si="5"/>
        <v>77625.691049999994</v>
      </c>
      <c r="M28" s="454">
        <f t="shared" si="5"/>
        <v>26802.139449999995</v>
      </c>
      <c r="N28" s="454">
        <f t="shared" si="5"/>
        <v>366022.02332000004</v>
      </c>
      <c r="O28" s="454">
        <f t="shared" si="5"/>
        <v>-6651</v>
      </c>
      <c r="P28" s="454">
        <f t="shared" si="5"/>
        <v>17673.880619999996</v>
      </c>
      <c r="Q28" s="454">
        <f t="shared" si="5"/>
        <v>18465</v>
      </c>
      <c r="R28" s="454">
        <f t="shared" si="5"/>
        <v>-3035.1934900000306</v>
      </c>
      <c r="S28" s="454">
        <f t="shared" si="5"/>
        <v>22917.910410000008</v>
      </c>
      <c r="T28" s="454">
        <f t="shared" si="5"/>
        <v>17713.880619999996</v>
      </c>
      <c r="U28" s="454">
        <f t="shared" si="5"/>
        <v>24364.209729999984</v>
      </c>
      <c r="V28" s="454">
        <f t="shared" si="5"/>
        <v>20415</v>
      </c>
      <c r="W28" s="454">
        <f t="shared" si="5"/>
        <v>16138.901170000001</v>
      </c>
      <c r="X28" s="454">
        <f t="shared" si="5"/>
        <v>24272.098829999999</v>
      </c>
      <c r="Y28" s="454">
        <f t="shared" si="5"/>
        <v>22269</v>
      </c>
      <c r="Z28" s="454">
        <f t="shared" si="5"/>
        <v>19012.577113600008</v>
      </c>
      <c r="AA28" s="454">
        <f t="shared" si="5"/>
        <v>24650.71356</v>
      </c>
      <c r="AB28" s="454">
        <f t="shared" si="5"/>
        <v>39857.38763355001</v>
      </c>
      <c r="AC28" s="454">
        <f t="shared" si="5"/>
        <v>37910.394299999993</v>
      </c>
      <c r="AD28" s="454">
        <f t="shared" si="5"/>
        <v>17814.298999999999</v>
      </c>
      <c r="AE28" s="454">
        <f t="shared" si="5"/>
        <v>16788.011999999995</v>
      </c>
    </row>
    <row r="29" spans="1:31" ht="15" thickBot="1">
      <c r="A29" s="115" t="s">
        <v>893</v>
      </c>
      <c r="B29" s="112"/>
      <c r="C29" s="337">
        <v>-15.104520000000001</v>
      </c>
      <c r="D29" s="337">
        <v>-15</v>
      </c>
      <c r="E29" s="337">
        <v>-3908.2178699999999</v>
      </c>
      <c r="F29" s="337">
        <v>-15.104520000000001</v>
      </c>
      <c r="G29" s="337">
        <v>-15.104520000000001</v>
      </c>
      <c r="H29" s="337">
        <v>-15</v>
      </c>
      <c r="I29" s="337">
        <v>-15</v>
      </c>
      <c r="J29" s="337">
        <v>-15</v>
      </c>
      <c r="K29" s="337">
        <v>-15</v>
      </c>
      <c r="L29" s="337">
        <v>-16</v>
      </c>
      <c r="M29" s="337">
        <v>-212</v>
      </c>
      <c r="N29" s="337">
        <v>365</v>
      </c>
      <c r="O29" s="337">
        <v>-15</v>
      </c>
      <c r="P29" s="337">
        <v>1819</v>
      </c>
      <c r="Q29" s="337">
        <v>-1521</v>
      </c>
      <c r="R29" s="337">
        <v>-339</v>
      </c>
      <c r="S29" s="337">
        <v>-15.098000000000001</v>
      </c>
      <c r="T29" s="337">
        <v>1776</v>
      </c>
      <c r="U29" s="337">
        <v>298</v>
      </c>
      <c r="V29" s="337">
        <v>-2</v>
      </c>
      <c r="W29" s="337">
        <v>-1</v>
      </c>
      <c r="X29" s="337">
        <v>-2</v>
      </c>
      <c r="Y29" s="337">
        <v>0</v>
      </c>
      <c r="Z29" s="337">
        <v>-216.39418999999907</v>
      </c>
      <c r="AA29" s="337">
        <v>-1.4963099999995393</v>
      </c>
      <c r="AB29" s="337">
        <v>-1.996</v>
      </c>
      <c r="AC29" s="337">
        <v>-1.496</v>
      </c>
      <c r="AD29" s="337">
        <v>-1.496</v>
      </c>
      <c r="AE29" s="337">
        <v>-1.496</v>
      </c>
    </row>
    <row r="30" spans="1:31" ht="15" thickBot="1">
      <c r="A30" s="118" t="s">
        <v>895</v>
      </c>
      <c r="B30" s="112"/>
      <c r="C30" s="119">
        <f t="shared" ref="C30:X30" si="6">C28+C29</f>
        <v>21640.781950000001</v>
      </c>
      <c r="D30" s="119">
        <f t="shared" si="6"/>
        <v>21032</v>
      </c>
      <c r="E30" s="119">
        <f t="shared" si="6"/>
        <v>18900.935639999996</v>
      </c>
      <c r="F30" s="119">
        <f t="shared" si="6"/>
        <v>18814.985490000017</v>
      </c>
      <c r="G30" s="119">
        <f t="shared" si="6"/>
        <v>26191.016739999999</v>
      </c>
      <c r="H30" s="119">
        <f t="shared" si="6"/>
        <v>28387</v>
      </c>
      <c r="I30" s="119">
        <f t="shared" si="6"/>
        <v>25528.177179999999</v>
      </c>
      <c r="J30" s="119">
        <f t="shared" si="6"/>
        <v>71325.606859999971</v>
      </c>
      <c r="K30" s="119">
        <f t="shared" si="6"/>
        <v>15656.709849999999</v>
      </c>
      <c r="L30" s="119">
        <f t="shared" si="6"/>
        <v>77609.691049999994</v>
      </c>
      <c r="M30" s="119">
        <f t="shared" si="6"/>
        <v>26590.139449999995</v>
      </c>
      <c r="N30" s="119">
        <f t="shared" si="6"/>
        <v>366387.02332000004</v>
      </c>
      <c r="O30" s="119">
        <f t="shared" si="6"/>
        <v>-6666</v>
      </c>
      <c r="P30" s="119">
        <f t="shared" si="6"/>
        <v>19492.880619999996</v>
      </c>
      <c r="Q30" s="119">
        <f t="shared" si="6"/>
        <v>16944</v>
      </c>
      <c r="R30" s="119">
        <f t="shared" si="6"/>
        <v>-3374.1934900000306</v>
      </c>
      <c r="S30" s="119">
        <f t="shared" si="6"/>
        <v>22902.812410000006</v>
      </c>
      <c r="T30" s="119">
        <f t="shared" si="6"/>
        <v>19489.880619999996</v>
      </c>
      <c r="U30" s="119">
        <f t="shared" si="6"/>
        <v>24662.209729999984</v>
      </c>
      <c r="V30" s="119">
        <f t="shared" si="6"/>
        <v>20413</v>
      </c>
      <c r="W30" s="119">
        <f t="shared" si="6"/>
        <v>16137.901170000001</v>
      </c>
      <c r="X30" s="119">
        <f t="shared" si="6"/>
        <v>24270.098829999999</v>
      </c>
      <c r="Y30" s="119">
        <f t="shared" ref="Y30:AD30" si="7">Y28+Y29</f>
        <v>22269</v>
      </c>
      <c r="Z30" s="119">
        <f t="shared" si="7"/>
        <v>18796.182923600009</v>
      </c>
      <c r="AA30" s="119">
        <f t="shared" si="7"/>
        <v>24649.217250000002</v>
      </c>
      <c r="AB30" s="119">
        <f t="shared" si="7"/>
        <v>39855.391633550011</v>
      </c>
      <c r="AC30" s="119">
        <f t="shared" si="7"/>
        <v>37908.898299999993</v>
      </c>
      <c r="AD30" s="119">
        <f t="shared" si="7"/>
        <v>17812.803</v>
      </c>
      <c r="AE30" s="119">
        <f>AE28+AE29</f>
        <v>16786.515999999996</v>
      </c>
    </row>
    <row r="31" spans="1:31" ht="15" thickBot="1">
      <c r="A31" s="118" t="s">
        <v>725</v>
      </c>
      <c r="B31" s="112"/>
      <c r="C31" s="319">
        <f t="shared" ref="C31:X31" si="8">SUM(C32:C33)</f>
        <v>-1926.4089199999996</v>
      </c>
      <c r="D31" s="319">
        <f t="shared" si="8"/>
        <v>-1762.3999999999999</v>
      </c>
      <c r="E31" s="319">
        <f t="shared" si="8"/>
        <v>-2128.4386499999996</v>
      </c>
      <c r="F31" s="319">
        <f t="shared" si="8"/>
        <v>-1680.7304600000011</v>
      </c>
      <c r="G31" s="319">
        <f t="shared" si="8"/>
        <v>-1469.21974</v>
      </c>
      <c r="H31" s="319">
        <f t="shared" si="8"/>
        <v>-1293</v>
      </c>
      <c r="I31" s="319">
        <f t="shared" si="8"/>
        <v>-972</v>
      </c>
      <c r="J31" s="319">
        <f t="shared" si="8"/>
        <v>-1132.6961399999986</v>
      </c>
      <c r="K31" s="319">
        <f t="shared" si="8"/>
        <v>-2331</v>
      </c>
      <c r="L31" s="319">
        <f t="shared" si="8"/>
        <v>-5820</v>
      </c>
      <c r="M31" s="319">
        <f t="shared" si="8"/>
        <v>-5425.422340000001</v>
      </c>
      <c r="N31" s="319">
        <f t="shared" si="8"/>
        <v>-6701</v>
      </c>
      <c r="O31" s="319">
        <f t="shared" si="8"/>
        <v>-6035.0000000000009</v>
      </c>
      <c r="P31" s="319">
        <f t="shared" si="8"/>
        <v>-2225.0749100000003</v>
      </c>
      <c r="Q31" s="319">
        <f t="shared" si="8"/>
        <v>-4769</v>
      </c>
      <c r="R31" s="319">
        <f t="shared" si="8"/>
        <v>-6218.9366100000007</v>
      </c>
      <c r="S31" s="319">
        <f t="shared" si="8"/>
        <v>-6879.7587399999993</v>
      </c>
      <c r="T31" s="319">
        <f t="shared" si="8"/>
        <v>-2225.0749100000003</v>
      </c>
      <c r="U31" s="319">
        <f t="shared" si="8"/>
        <v>-9232.1053900000006</v>
      </c>
      <c r="V31" s="319">
        <f t="shared" si="8"/>
        <v>-12188</v>
      </c>
      <c r="W31" s="319">
        <f t="shared" si="8"/>
        <v>-13164</v>
      </c>
      <c r="X31" s="319">
        <f t="shared" si="8"/>
        <v>-15162</v>
      </c>
      <c r="Y31" s="319">
        <f t="shared" ref="Y31:AD31" si="9">SUM(Y32:Y33)</f>
        <v>-11224</v>
      </c>
      <c r="Z31" s="319">
        <f t="shared" si="9"/>
        <v>-12650.754249999907</v>
      </c>
      <c r="AA31" s="319">
        <f t="shared" si="9"/>
        <v>-14060.996519999997</v>
      </c>
      <c r="AB31" s="319">
        <f t="shared" si="9"/>
        <v>-10438.993999999999</v>
      </c>
      <c r="AC31" s="319">
        <f t="shared" si="9"/>
        <v>-9699.01</v>
      </c>
      <c r="AD31" s="319">
        <f t="shared" si="9"/>
        <v>-16714.834000000003</v>
      </c>
      <c r="AE31" s="319">
        <f>SUM(AE32:AE33)</f>
        <v>-11548.978000000001</v>
      </c>
    </row>
    <row r="32" spans="1:31">
      <c r="A32" s="115" t="s">
        <v>727</v>
      </c>
      <c r="B32" s="112"/>
      <c r="C32" s="337">
        <v>1078.7082600000001</v>
      </c>
      <c r="D32" s="337">
        <v>956.3</v>
      </c>
      <c r="E32" s="337">
        <v>846.33296999999982</v>
      </c>
      <c r="F32" s="337">
        <v>678.63367000000062</v>
      </c>
      <c r="G32" s="337">
        <v>641.46048999999994</v>
      </c>
      <c r="H32" s="337">
        <v>618</v>
      </c>
      <c r="I32" s="337">
        <v>763</v>
      </c>
      <c r="J32" s="337">
        <v>2080</v>
      </c>
      <c r="K32" s="337">
        <v>2497</v>
      </c>
      <c r="L32" s="337">
        <v>4107</v>
      </c>
      <c r="M32" s="337">
        <v>3721.577659999999</v>
      </c>
      <c r="N32" s="337">
        <v>2268</v>
      </c>
      <c r="O32" s="337">
        <v>2153</v>
      </c>
      <c r="P32" s="337">
        <v>1991</v>
      </c>
      <c r="Q32" s="337">
        <v>952</v>
      </c>
      <c r="R32" s="337">
        <v>870.44262999999887</v>
      </c>
      <c r="S32" s="337">
        <v>193.22272000000001</v>
      </c>
      <c r="T32" s="337">
        <v>1991</v>
      </c>
      <c r="U32" s="337">
        <v>1239.8946099999998</v>
      </c>
      <c r="V32" s="337">
        <v>2023</v>
      </c>
      <c r="W32" s="337">
        <v>2585</v>
      </c>
      <c r="X32" s="337">
        <v>3346</v>
      </c>
      <c r="Y32" s="337">
        <v>4978</v>
      </c>
      <c r="Z32" s="337">
        <v>4786.9992099999981</v>
      </c>
      <c r="AA32" s="337">
        <v>5829.3829599999999</v>
      </c>
      <c r="AB32" s="337">
        <v>7202.0050000000001</v>
      </c>
      <c r="AC32" s="337">
        <v>7624.7929999999997</v>
      </c>
      <c r="AD32" s="337">
        <v>6420.5829999999996</v>
      </c>
      <c r="AE32" s="337">
        <v>4644.82</v>
      </c>
    </row>
    <row r="33" spans="1:31" ht="15" thickBot="1">
      <c r="A33" s="115" t="s">
        <v>744</v>
      </c>
      <c r="B33" s="112"/>
      <c r="C33" s="337">
        <v>-3005.1171799999997</v>
      </c>
      <c r="D33" s="337">
        <v>-2718.7</v>
      </c>
      <c r="E33" s="337">
        <v>-2974.7716199999995</v>
      </c>
      <c r="F33" s="337">
        <v>-2359.3641300000018</v>
      </c>
      <c r="G33" s="337">
        <v>-2110.6802299999999</v>
      </c>
      <c r="H33" s="337">
        <v>-1911</v>
      </c>
      <c r="I33" s="337">
        <v>-1735</v>
      </c>
      <c r="J33" s="337">
        <v>-3212.6961399999986</v>
      </c>
      <c r="K33" s="337">
        <v>-4828</v>
      </c>
      <c r="L33" s="337">
        <v>-9927</v>
      </c>
      <c r="M33" s="337">
        <v>-9147</v>
      </c>
      <c r="N33" s="337">
        <v>-8969</v>
      </c>
      <c r="O33" s="337">
        <v>-8188.0000000000009</v>
      </c>
      <c r="P33" s="337">
        <v>-4216.0749100000003</v>
      </c>
      <c r="Q33" s="337">
        <v>-5721</v>
      </c>
      <c r="R33" s="337">
        <v>-7089.3792399999993</v>
      </c>
      <c r="S33" s="337">
        <v>-7072.9814599999991</v>
      </c>
      <c r="T33" s="337">
        <v>-4216.0749100000003</v>
      </c>
      <c r="U33" s="337">
        <v>-10472</v>
      </c>
      <c r="V33" s="337">
        <v>-14211</v>
      </c>
      <c r="W33" s="337">
        <v>-15749</v>
      </c>
      <c r="X33" s="337">
        <v>-18508</v>
      </c>
      <c r="Y33" s="337">
        <v>-16202</v>
      </c>
      <c r="Z33" s="337">
        <v>-17437.753459999905</v>
      </c>
      <c r="AA33" s="337">
        <v>-19890.379479999996</v>
      </c>
      <c r="AB33" s="337">
        <v>-17640.999</v>
      </c>
      <c r="AC33" s="337">
        <v>-17323.803</v>
      </c>
      <c r="AD33" s="337">
        <v>-23135.417000000001</v>
      </c>
      <c r="AE33" s="337">
        <v>-16193.798000000001</v>
      </c>
    </row>
    <row r="34" spans="1:31" ht="15" thickBot="1">
      <c r="A34" s="118" t="s">
        <v>899</v>
      </c>
      <c r="B34" s="112"/>
      <c r="C34" s="119">
        <f t="shared" ref="C34:X34" si="10">SUM(C30:C31)</f>
        <v>19714.373030000002</v>
      </c>
      <c r="D34" s="119">
        <f t="shared" si="10"/>
        <v>19269.599999999999</v>
      </c>
      <c r="E34" s="119">
        <f t="shared" si="10"/>
        <v>16772.496989999996</v>
      </c>
      <c r="F34" s="119">
        <f t="shared" si="10"/>
        <v>17134.255030000015</v>
      </c>
      <c r="G34" s="119">
        <f t="shared" si="10"/>
        <v>24721.796999999999</v>
      </c>
      <c r="H34" s="119">
        <f t="shared" si="10"/>
        <v>27094</v>
      </c>
      <c r="I34" s="119">
        <f t="shared" si="10"/>
        <v>24556.177179999999</v>
      </c>
      <c r="J34" s="119">
        <f t="shared" si="10"/>
        <v>70192.910719999971</v>
      </c>
      <c r="K34" s="119">
        <f t="shared" si="10"/>
        <v>13325.709849999999</v>
      </c>
      <c r="L34" s="119">
        <f t="shared" si="10"/>
        <v>71789.691049999994</v>
      </c>
      <c r="M34" s="119">
        <f t="shared" si="10"/>
        <v>21164.717109999994</v>
      </c>
      <c r="N34" s="119">
        <f t="shared" si="10"/>
        <v>359686.02332000004</v>
      </c>
      <c r="O34" s="119">
        <f t="shared" si="10"/>
        <v>-12701</v>
      </c>
      <c r="P34" s="119">
        <f t="shared" si="10"/>
        <v>17267.805709999997</v>
      </c>
      <c r="Q34" s="119">
        <f t="shared" si="10"/>
        <v>12175</v>
      </c>
      <c r="R34" s="119">
        <f t="shared" si="10"/>
        <v>-9593.1301000000312</v>
      </c>
      <c r="S34" s="119">
        <f t="shared" si="10"/>
        <v>16023.053670000007</v>
      </c>
      <c r="T34" s="119">
        <f t="shared" si="10"/>
        <v>17264.805709999997</v>
      </c>
      <c r="U34" s="119">
        <f t="shared" si="10"/>
        <v>15430.104339999983</v>
      </c>
      <c r="V34" s="119">
        <f t="shared" si="10"/>
        <v>8225</v>
      </c>
      <c r="W34" s="119">
        <f t="shared" si="10"/>
        <v>2973.901170000001</v>
      </c>
      <c r="X34" s="119">
        <f t="shared" si="10"/>
        <v>9108.098829999999</v>
      </c>
      <c r="Y34" s="119">
        <f t="shared" ref="Y34:AE34" si="11">SUM(Y30:Y31)</f>
        <v>11045</v>
      </c>
      <c r="Z34" s="119">
        <f t="shared" si="11"/>
        <v>6145.4286736001013</v>
      </c>
      <c r="AA34" s="119">
        <f t="shared" si="11"/>
        <v>10588.220730000005</v>
      </c>
      <c r="AB34" s="119">
        <f t="shared" si="11"/>
        <v>29416.397633550012</v>
      </c>
      <c r="AC34" s="119">
        <f t="shared" si="11"/>
        <v>28209.888299999991</v>
      </c>
      <c r="AD34" s="119">
        <f t="shared" si="11"/>
        <v>1097.9689999999973</v>
      </c>
      <c r="AE34" s="119">
        <f t="shared" si="11"/>
        <v>5237.537999999995</v>
      </c>
    </row>
    <row r="35" spans="1:31">
      <c r="A35" s="115" t="s">
        <v>921</v>
      </c>
      <c r="B35" s="112"/>
      <c r="C35" s="337">
        <v>-2193.68444</v>
      </c>
      <c r="D35" s="337">
        <v>-6706</v>
      </c>
      <c r="E35" s="337">
        <v>-1050.47163</v>
      </c>
      <c r="F35" s="337">
        <v>-6080</v>
      </c>
      <c r="G35" s="337">
        <v>-3399.0726300000001</v>
      </c>
      <c r="H35" s="337">
        <v>-9355</v>
      </c>
      <c r="I35" s="337">
        <v>-8495</v>
      </c>
      <c r="J35" s="337">
        <v>-25473</v>
      </c>
      <c r="K35" s="337">
        <v>-12704</v>
      </c>
      <c r="L35" s="337">
        <f>-2828-12367</f>
        <v>-15195</v>
      </c>
      <c r="M35" s="337">
        <v>-7190</v>
      </c>
      <c r="N35" s="337">
        <v>-104996</v>
      </c>
      <c r="O35" s="337">
        <v>-67</v>
      </c>
      <c r="P35" s="337">
        <v>-5873</v>
      </c>
      <c r="Q35" s="337">
        <v>8900</v>
      </c>
      <c r="R35" s="337">
        <v>-2808</v>
      </c>
      <c r="S35" s="337">
        <v>-4913.03532</v>
      </c>
      <c r="T35" s="337">
        <v>-5872</v>
      </c>
      <c r="U35" s="337">
        <v>-5241</v>
      </c>
      <c r="V35" s="337">
        <v>-5836</v>
      </c>
      <c r="W35" s="337">
        <v>-1005</v>
      </c>
      <c r="X35" s="337">
        <v>-9315</v>
      </c>
      <c r="Y35" s="337">
        <v>-5435</v>
      </c>
      <c r="Z35" s="337">
        <v>-6285.9551399999982</v>
      </c>
      <c r="AA35" s="337">
        <v>-6163.3221600000006</v>
      </c>
      <c r="AB35" s="337">
        <v>-6243.9960000000001</v>
      </c>
      <c r="AC35" s="337">
        <v>-5754.62</v>
      </c>
      <c r="AD35" s="337">
        <v>-2916.2</v>
      </c>
      <c r="AE35" s="337">
        <v>-314.52100000000002</v>
      </c>
    </row>
    <row r="36" spans="1:31">
      <c r="A36" s="115" t="s">
        <v>922</v>
      </c>
      <c r="B36" s="112"/>
      <c r="C36" s="337">
        <v>-1771.9858300000001</v>
      </c>
      <c r="D36" s="337">
        <v>4223</v>
      </c>
      <c r="E36" s="337">
        <v>-1214.6389999999999</v>
      </c>
      <c r="F36" s="337">
        <v>2668</v>
      </c>
      <c r="G36" s="337">
        <v>-2244.9290299999998</v>
      </c>
      <c r="H36" s="337">
        <v>3733</v>
      </c>
      <c r="I36" s="337">
        <v>3536</v>
      </c>
      <c r="J36" s="337">
        <v>6390</v>
      </c>
      <c r="K36" s="337">
        <v>1989</v>
      </c>
      <c r="L36" s="337">
        <v>2078</v>
      </c>
      <c r="M36" s="337">
        <v>10637</v>
      </c>
      <c r="N36" s="337">
        <v>7141</v>
      </c>
      <c r="O36" s="337">
        <v>-179</v>
      </c>
      <c r="P36" s="337">
        <v>2512</v>
      </c>
      <c r="Q36" s="337">
        <v>-122</v>
      </c>
      <c r="R36" s="337">
        <v>1036</v>
      </c>
      <c r="S36" s="337">
        <v>2815.0816099999997</v>
      </c>
      <c r="T36" s="337">
        <v>2512</v>
      </c>
      <c r="U36" s="337">
        <v>3014</v>
      </c>
      <c r="V36" s="337">
        <v>1536</v>
      </c>
      <c r="W36" s="337">
        <v>556</v>
      </c>
      <c r="X36" s="337">
        <v>1700</v>
      </c>
      <c r="Y36" s="337">
        <v>2057</v>
      </c>
      <c r="Z36" s="337">
        <v>1146.7048199999999</v>
      </c>
      <c r="AA36" s="337">
        <v>1718.3401999999999</v>
      </c>
      <c r="AB36" s="337">
        <v>4660.5370000000003</v>
      </c>
      <c r="AC36" s="337">
        <v>3725.0520000000001</v>
      </c>
      <c r="AD36" s="337">
        <v>-949.67</v>
      </c>
      <c r="AE36" s="337">
        <v>0</v>
      </c>
    </row>
    <row r="37" spans="1:31" ht="15" thickBot="1">
      <c r="A37" s="115" t="s">
        <v>900</v>
      </c>
      <c r="B37" s="112"/>
      <c r="C37" s="337"/>
      <c r="D37" s="337"/>
      <c r="E37" s="337"/>
      <c r="F37" s="337"/>
      <c r="G37" s="337"/>
      <c r="H37" s="337"/>
      <c r="I37" s="337"/>
      <c r="J37" s="337"/>
      <c r="K37" s="337"/>
      <c r="L37" s="337"/>
      <c r="M37" s="337"/>
      <c r="N37" s="337"/>
      <c r="O37" s="337">
        <v>-4545</v>
      </c>
      <c r="P37" s="337"/>
      <c r="Q37" s="337"/>
      <c r="R37" s="337">
        <v>-6780</v>
      </c>
      <c r="S37" s="337">
        <v>-528.80292999999995</v>
      </c>
      <c r="T37" s="337"/>
      <c r="U37" s="337"/>
      <c r="V37" s="337">
        <v>3137</v>
      </c>
      <c r="W37" s="337"/>
      <c r="X37" s="337">
        <v>6224</v>
      </c>
      <c r="Y37" s="337">
        <v>1686</v>
      </c>
      <c r="Z37" s="337">
        <v>6265.142890000001</v>
      </c>
      <c r="AA37" s="337">
        <v>2569.2403400000003</v>
      </c>
      <c r="AB37" s="337">
        <v>-3164.596</v>
      </c>
      <c r="AC37" s="337">
        <v>-4416.826</v>
      </c>
      <c r="AD37" s="337">
        <v>-4174.7160000000003</v>
      </c>
      <c r="AE37" s="337">
        <v>-1721.5160000000001</v>
      </c>
    </row>
    <row r="38" spans="1:31" ht="15" thickBot="1">
      <c r="A38" s="118" t="s">
        <v>903</v>
      </c>
      <c r="B38" s="112"/>
      <c r="C38" s="119">
        <f t="shared" ref="C38:X38" si="12">SUM(C34:C37)</f>
        <v>15748.702760000002</v>
      </c>
      <c r="D38" s="119">
        <f t="shared" si="12"/>
        <v>16786.599999999999</v>
      </c>
      <c r="E38" s="119">
        <f t="shared" si="12"/>
        <v>14507.386359999997</v>
      </c>
      <c r="F38" s="119">
        <f t="shared" si="12"/>
        <v>13722.255030000015</v>
      </c>
      <c r="G38" s="119">
        <f t="shared" si="12"/>
        <v>19077.795340000001</v>
      </c>
      <c r="H38" s="119">
        <f t="shared" si="12"/>
        <v>21472</v>
      </c>
      <c r="I38" s="119">
        <f t="shared" si="12"/>
        <v>19597.177179999999</v>
      </c>
      <c r="J38" s="119">
        <f t="shared" si="12"/>
        <v>51109.910719999971</v>
      </c>
      <c r="K38" s="119">
        <f t="shared" si="12"/>
        <v>2610.7098499999993</v>
      </c>
      <c r="L38" s="119">
        <f t="shared" si="12"/>
        <v>58672.691049999994</v>
      </c>
      <c r="M38" s="119">
        <f t="shared" si="12"/>
        <v>24611.717109999994</v>
      </c>
      <c r="N38" s="119">
        <f t="shared" si="12"/>
        <v>261831.02332000004</v>
      </c>
      <c r="O38" s="119">
        <f t="shared" si="12"/>
        <v>-17492</v>
      </c>
      <c r="P38" s="119">
        <f t="shared" si="12"/>
        <v>13906.805709999997</v>
      </c>
      <c r="Q38" s="119">
        <f t="shared" si="12"/>
        <v>20953</v>
      </c>
      <c r="R38" s="119">
        <f t="shared" si="12"/>
        <v>-18145.130100000031</v>
      </c>
      <c r="S38" s="119">
        <f t="shared" si="12"/>
        <v>13396.297030000005</v>
      </c>
      <c r="T38" s="119">
        <f t="shared" si="12"/>
        <v>13904.805709999997</v>
      </c>
      <c r="U38" s="119">
        <f t="shared" si="12"/>
        <v>13203.104339999983</v>
      </c>
      <c r="V38" s="119">
        <f t="shared" si="12"/>
        <v>7062</v>
      </c>
      <c r="W38" s="119">
        <f t="shared" si="12"/>
        <v>2524.901170000001</v>
      </c>
      <c r="X38" s="119">
        <f t="shared" si="12"/>
        <v>7717.098829999999</v>
      </c>
      <c r="Y38" s="119">
        <f t="shared" ref="Y38:AE38" si="13">SUM(Y34:Y37)</f>
        <v>9353</v>
      </c>
      <c r="Z38" s="119">
        <f t="shared" si="13"/>
        <v>7271.321243600104</v>
      </c>
      <c r="AA38" s="119">
        <f t="shared" si="13"/>
        <v>8712.4791100000039</v>
      </c>
      <c r="AB38" s="119">
        <f t="shared" si="13"/>
        <v>24668.342633550012</v>
      </c>
      <c r="AC38" s="119">
        <f t="shared" si="13"/>
        <v>21763.494299999991</v>
      </c>
      <c r="AD38" s="119">
        <f t="shared" si="13"/>
        <v>-6942.6170000000029</v>
      </c>
      <c r="AE38" s="119">
        <f t="shared" si="13"/>
        <v>3201.5009999999952</v>
      </c>
    </row>
  </sheetData>
  <pageMargins left="0.511811024" right="0.511811024" top="0.78740157499999996" bottom="0.78740157499999996" header="0.31496062000000002" footer="0.31496062000000002"/>
  <ignoredErrors>
    <ignoredError sqref="W9:AD9" formulaRange="1"/>
  </ignoredErrors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E31"/>
  <sheetViews>
    <sheetView showGridLines="0" zoomScaleNormal="100" workbookViewId="0">
      <pane xSplit="1" ySplit="8" topLeftCell="X9" activePane="bottomRight" state="frozen"/>
      <selection pane="topRight" activeCell="AN17" sqref="AN17"/>
      <selection pane="bottomLeft" activeCell="AN17" sqref="AN17"/>
      <selection pane="bottomRight" activeCell="AE8" sqref="AE8"/>
    </sheetView>
  </sheetViews>
  <sheetFormatPr defaultColWidth="9.21875" defaultRowHeight="14.4" outlineLevelCol="1"/>
  <cols>
    <col min="1" max="1" width="47.44140625" style="35" bestFit="1" customWidth="1"/>
    <col min="2" max="2" width="0.5546875" customWidth="1"/>
    <col min="3" max="22" width="0" style="35" hidden="1" customWidth="1" outlineLevel="1"/>
    <col min="23" max="23" width="9.21875" style="35" collapsed="1"/>
    <col min="24" max="16384" width="9.21875" style="35"/>
  </cols>
  <sheetData>
    <row r="1" spans="1:31">
      <c r="R1" s="35" t="s">
        <v>177</v>
      </c>
    </row>
    <row r="7" spans="1:31">
      <c r="A7" s="38" t="s">
        <v>923</v>
      </c>
      <c r="B7" s="111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</row>
    <row r="8" spans="1:31" ht="15" thickBot="1">
      <c r="A8" s="448" t="s">
        <v>924</v>
      </c>
      <c r="B8" s="112"/>
      <c r="C8" s="449" t="s">
        <v>55</v>
      </c>
      <c r="D8" s="449" t="s">
        <v>56</v>
      </c>
      <c r="E8" s="449" t="s">
        <v>57</v>
      </c>
      <c r="F8" s="449" t="s">
        <v>58</v>
      </c>
      <c r="G8" s="449" t="s">
        <v>59</v>
      </c>
      <c r="H8" s="449" t="s">
        <v>60</v>
      </c>
      <c r="I8" s="449" t="s">
        <v>61</v>
      </c>
      <c r="J8" s="449" t="s">
        <v>62</v>
      </c>
      <c r="K8" s="449" t="s">
        <v>63</v>
      </c>
      <c r="L8" s="449" t="s">
        <v>64</v>
      </c>
      <c r="M8" s="449" t="s">
        <v>65</v>
      </c>
      <c r="N8" s="449" t="s">
        <v>66</v>
      </c>
      <c r="O8" s="449" t="s">
        <v>67</v>
      </c>
      <c r="P8" s="449" t="s">
        <v>68</v>
      </c>
      <c r="Q8" s="449" t="s">
        <v>69</v>
      </c>
      <c r="R8" s="449" t="s">
        <v>70</v>
      </c>
      <c r="S8" s="449" t="s">
        <v>71</v>
      </c>
      <c r="T8" s="449" t="s">
        <v>72</v>
      </c>
      <c r="U8" s="449" t="s">
        <v>73</v>
      </c>
      <c r="V8" s="449" t="s">
        <v>74</v>
      </c>
      <c r="W8" s="449" t="s">
        <v>75</v>
      </c>
      <c r="X8" s="449" t="s">
        <v>76</v>
      </c>
      <c r="Y8" s="449" t="s">
        <v>77</v>
      </c>
      <c r="Z8" s="449" t="s">
        <v>78</v>
      </c>
      <c r="AA8" s="449" t="s">
        <v>79</v>
      </c>
      <c r="AB8" s="449" t="s">
        <v>80</v>
      </c>
      <c r="AC8" s="453" t="s">
        <v>81</v>
      </c>
      <c r="AD8" s="453" t="s">
        <v>82</v>
      </c>
      <c r="AE8" s="453" t="s">
        <v>83</v>
      </c>
    </row>
    <row r="9" spans="1:31" ht="15" thickBot="1">
      <c r="A9" s="118" t="s">
        <v>596</v>
      </c>
      <c r="B9" s="112"/>
      <c r="C9" s="119">
        <f t="shared" ref="C9:AB9" si="0">SUM(C10:C12)</f>
        <v>34943.435110000006</v>
      </c>
      <c r="D9" s="119">
        <f t="shared" si="0"/>
        <v>35359</v>
      </c>
      <c r="E9" s="119">
        <f t="shared" si="0"/>
        <v>32115</v>
      </c>
      <c r="F9" s="119">
        <f t="shared" si="0"/>
        <v>32999.949689999994</v>
      </c>
      <c r="G9" s="119">
        <f t="shared" si="0"/>
        <v>36318.031050000005</v>
      </c>
      <c r="H9" s="119">
        <f t="shared" si="0"/>
        <v>42953</v>
      </c>
      <c r="I9" s="119">
        <f t="shared" si="0"/>
        <v>40692.470910000018</v>
      </c>
      <c r="J9" s="119">
        <f t="shared" si="0"/>
        <v>44576.803619999999</v>
      </c>
      <c r="K9" s="119">
        <f t="shared" si="0"/>
        <v>43234.796300000002</v>
      </c>
      <c r="L9" s="119">
        <f t="shared" si="0"/>
        <v>44207.887380000007</v>
      </c>
      <c r="M9" s="119">
        <f t="shared" si="0"/>
        <v>48895</v>
      </c>
      <c r="N9" s="119">
        <f t="shared" si="0"/>
        <v>46971.639329999998</v>
      </c>
      <c r="O9" s="119">
        <f t="shared" si="0"/>
        <v>48082</v>
      </c>
      <c r="P9" s="119">
        <f t="shared" si="0"/>
        <v>43243.198019999996</v>
      </c>
      <c r="Q9" s="119">
        <f t="shared" si="0"/>
        <v>47135</v>
      </c>
      <c r="R9" s="119">
        <f t="shared" si="0"/>
        <v>46142.403400000003</v>
      </c>
      <c r="S9" s="119">
        <f t="shared" si="0"/>
        <v>44680.408850000007</v>
      </c>
      <c r="T9" s="119">
        <f t="shared" si="0"/>
        <v>43243.198019999996</v>
      </c>
      <c r="U9" s="119">
        <f t="shared" si="0"/>
        <v>47670.40281</v>
      </c>
      <c r="V9" s="119">
        <f t="shared" si="0"/>
        <v>46142.403400000003</v>
      </c>
      <c r="W9" s="119">
        <f t="shared" si="0"/>
        <v>45790.35598</v>
      </c>
      <c r="X9" s="119">
        <f t="shared" si="0"/>
        <v>47155.64402</v>
      </c>
      <c r="Y9" s="119">
        <f t="shared" si="0"/>
        <v>50886.100479999994</v>
      </c>
      <c r="Z9" s="119">
        <f t="shared" si="0"/>
        <v>50746.986499999999</v>
      </c>
      <c r="AA9" s="119">
        <f t="shared" si="0"/>
        <v>50930.292540000002</v>
      </c>
      <c r="AB9" s="119">
        <f t="shared" si="0"/>
        <v>51033.009970000006</v>
      </c>
      <c r="AC9" s="119">
        <f>SUM(AC10:AC12)</f>
        <v>31733.914410000001</v>
      </c>
      <c r="AD9" s="119">
        <f>SUM(AD10:AD12)</f>
        <v>29340.783079999994</v>
      </c>
      <c r="AE9" s="119">
        <f>SUM(AE10:AE12)</f>
        <v>30885</v>
      </c>
    </row>
    <row r="10" spans="1:31">
      <c r="A10" s="115" t="s">
        <v>913</v>
      </c>
      <c r="B10" s="112"/>
      <c r="C10" s="337">
        <v>34435.547770000005</v>
      </c>
      <c r="D10" s="337">
        <v>34851</v>
      </c>
      <c r="E10" s="337">
        <v>31607</v>
      </c>
      <c r="F10" s="337">
        <v>32491.949689999994</v>
      </c>
      <c r="G10" s="337">
        <v>35810.143710000004</v>
      </c>
      <c r="H10" s="337">
        <v>42445</v>
      </c>
      <c r="I10" s="337">
        <v>40491.667290000019</v>
      </c>
      <c r="J10" s="337">
        <v>44376</v>
      </c>
      <c r="K10" s="337">
        <v>43033.992680000003</v>
      </c>
      <c r="L10" s="337">
        <v>43972.549960000004</v>
      </c>
      <c r="M10" s="339">
        <v>48683</v>
      </c>
      <c r="N10" s="339">
        <v>46306.639329999998</v>
      </c>
      <c r="O10" s="339">
        <v>47873</v>
      </c>
      <c r="P10" s="339">
        <v>39786.198019999996</v>
      </c>
      <c r="Q10" s="339">
        <v>45053</v>
      </c>
      <c r="R10" s="339">
        <v>44483.087780000002</v>
      </c>
      <c r="S10" s="339">
        <v>43120.440670000004</v>
      </c>
      <c r="T10" s="339">
        <v>39786.198019999996</v>
      </c>
      <c r="U10" s="339">
        <v>50206.673989999996</v>
      </c>
      <c r="V10" s="339">
        <v>44483.087780000002</v>
      </c>
      <c r="W10" s="339">
        <v>45585.946960000001</v>
      </c>
      <c r="X10" s="339">
        <v>47132.053039999999</v>
      </c>
      <c r="Y10" s="339">
        <v>51114.100479999994</v>
      </c>
      <c r="Z10" s="339">
        <v>49912.464139999996</v>
      </c>
      <c r="AA10" s="339">
        <v>50717.44038</v>
      </c>
      <c r="AB10" s="339">
        <v>50820.157810000004</v>
      </c>
      <c r="AC10" s="339">
        <v>31447.870320000002</v>
      </c>
      <c r="AD10" s="339">
        <v>29054.531489999994</v>
      </c>
      <c r="AE10" s="339">
        <v>30626</v>
      </c>
    </row>
    <row r="11" spans="1:31">
      <c r="A11" s="115" t="s">
        <v>626</v>
      </c>
      <c r="B11" s="112"/>
      <c r="C11" s="337"/>
      <c r="D11" s="337"/>
      <c r="E11" s="337"/>
      <c r="F11" s="337"/>
      <c r="G11" s="337"/>
      <c r="H11" s="337"/>
      <c r="I11" s="337"/>
      <c r="J11" s="337"/>
      <c r="K11" s="337"/>
      <c r="L11" s="337"/>
      <c r="M11" s="339"/>
      <c r="N11" s="339"/>
      <c r="O11" s="339"/>
      <c r="P11" s="339"/>
      <c r="Q11" s="339"/>
      <c r="R11" s="339"/>
      <c r="S11" s="339"/>
      <c r="T11" s="339"/>
      <c r="U11" s="339"/>
      <c r="V11" s="339"/>
      <c r="W11" s="339"/>
      <c r="X11" s="339"/>
      <c r="Y11" s="339"/>
      <c r="Z11" s="339"/>
      <c r="AA11" s="339"/>
      <c r="AB11" s="339"/>
      <c r="AC11" s="339">
        <v>-425.70432</v>
      </c>
      <c r="AD11" s="339"/>
      <c r="AE11" s="339"/>
    </row>
    <row r="12" spans="1:31" ht="15" thickBot="1">
      <c r="A12" s="115" t="s">
        <v>614</v>
      </c>
      <c r="B12" s="112"/>
      <c r="C12" s="337">
        <v>507.88733999999999</v>
      </c>
      <c r="D12" s="337">
        <v>508</v>
      </c>
      <c r="E12" s="337">
        <v>508</v>
      </c>
      <c r="F12" s="337">
        <v>508</v>
      </c>
      <c r="G12" s="337">
        <v>507.88733999999999</v>
      </c>
      <c r="H12" s="337">
        <v>508</v>
      </c>
      <c r="I12" s="337">
        <v>200.80362</v>
      </c>
      <c r="J12" s="337">
        <v>200.80361999999991</v>
      </c>
      <c r="K12" s="337">
        <v>200.80362</v>
      </c>
      <c r="L12" s="337">
        <v>235.33741999999998</v>
      </c>
      <c r="M12" s="337">
        <v>212</v>
      </c>
      <c r="N12" s="337">
        <v>665</v>
      </c>
      <c r="O12" s="337">
        <v>209</v>
      </c>
      <c r="P12" s="337">
        <v>3457</v>
      </c>
      <c r="Q12" s="337">
        <v>2082</v>
      </c>
      <c r="R12" s="337">
        <v>1659.3156199999999</v>
      </c>
      <c r="S12" s="337">
        <v>1559.9681799999998</v>
      </c>
      <c r="T12" s="337">
        <v>3457</v>
      </c>
      <c r="U12" s="337">
        <v>-2536.2711799999997</v>
      </c>
      <c r="V12" s="337">
        <v>1659.3156199999999</v>
      </c>
      <c r="W12" s="337">
        <v>204.40902</v>
      </c>
      <c r="X12" s="337">
        <v>23.590980000000002</v>
      </c>
      <c r="Y12" s="337">
        <v>-228</v>
      </c>
      <c r="Z12" s="339">
        <v>834.52236000000005</v>
      </c>
      <c r="AA12" s="339">
        <v>212.85216</v>
      </c>
      <c r="AB12" s="339">
        <v>212.85216</v>
      </c>
      <c r="AC12" s="339">
        <v>711.74841000000004</v>
      </c>
      <c r="AD12" s="339">
        <v>286.25158999999996</v>
      </c>
      <c r="AE12" s="339">
        <v>259</v>
      </c>
    </row>
    <row r="13" spans="1:31" ht="15" thickBot="1">
      <c r="A13" s="118" t="s">
        <v>858</v>
      </c>
      <c r="B13" s="112"/>
      <c r="C13" s="119">
        <v>-4558.9875099999999</v>
      </c>
      <c r="D13" s="119">
        <v>-4612</v>
      </c>
      <c r="E13" s="119">
        <v>-4359</v>
      </c>
      <c r="F13" s="119">
        <v>-4432.4367700000003</v>
      </c>
      <c r="G13" s="119">
        <v>-4450.5055499999999</v>
      </c>
      <c r="H13" s="119">
        <v>-5077</v>
      </c>
      <c r="I13" s="119">
        <v>-4602</v>
      </c>
      <c r="J13" s="119">
        <v>-3883</v>
      </c>
      <c r="K13" s="119">
        <v>-5653</v>
      </c>
      <c r="L13" s="119">
        <v>-6075</v>
      </c>
      <c r="M13" s="119">
        <v>-6321</v>
      </c>
      <c r="N13" s="119">
        <v>-6275</v>
      </c>
      <c r="O13" s="119">
        <v>-6369</v>
      </c>
      <c r="P13" s="119">
        <v>-6168</v>
      </c>
      <c r="Q13" s="119">
        <v>-6288</v>
      </c>
      <c r="R13" s="119">
        <v>-6366.92994</v>
      </c>
      <c r="S13" s="119">
        <v>-6219.0370699999994</v>
      </c>
      <c r="T13" s="119">
        <v>-6168</v>
      </c>
      <c r="U13" s="119">
        <v>-5038.9486399999969</v>
      </c>
      <c r="V13" s="119">
        <v>-6366.92994</v>
      </c>
      <c r="W13" s="119">
        <v>-6212.0343599999997</v>
      </c>
      <c r="X13" s="119">
        <v>-5968.9656400000003</v>
      </c>
      <c r="Y13" s="119">
        <v>-6205.2422200000001</v>
      </c>
      <c r="Z13" s="119">
        <v>-6357.6716000000015</v>
      </c>
      <c r="AA13" s="119">
        <v>-6248.6343600000009</v>
      </c>
      <c r="AB13" s="119">
        <v>-6284.1414300000006</v>
      </c>
      <c r="AC13" s="119">
        <v>-5163.9641700000011</v>
      </c>
      <c r="AD13" s="119">
        <v>-4764.2600399999974</v>
      </c>
      <c r="AE13" s="119">
        <v>-4783</v>
      </c>
    </row>
    <row r="14" spans="1:31" ht="15" thickBot="1">
      <c r="A14" s="118" t="s">
        <v>646</v>
      </c>
      <c r="B14" s="120"/>
      <c r="C14" s="338">
        <f t="shared" ref="C14:AB14" si="1">C9+C13</f>
        <v>30384.447600000007</v>
      </c>
      <c r="D14" s="338">
        <f t="shared" si="1"/>
        <v>30747</v>
      </c>
      <c r="E14" s="338">
        <f t="shared" si="1"/>
        <v>27756</v>
      </c>
      <c r="F14" s="338">
        <f t="shared" si="1"/>
        <v>28567.512919999994</v>
      </c>
      <c r="G14" s="338">
        <f t="shared" si="1"/>
        <v>31867.525500000003</v>
      </c>
      <c r="H14" s="338">
        <f t="shared" si="1"/>
        <v>37876</v>
      </c>
      <c r="I14" s="338">
        <f t="shared" si="1"/>
        <v>36090.470910000018</v>
      </c>
      <c r="J14" s="338">
        <f t="shared" si="1"/>
        <v>40693.803619999999</v>
      </c>
      <c r="K14" s="338">
        <f t="shared" si="1"/>
        <v>37581.796300000002</v>
      </c>
      <c r="L14" s="338">
        <f t="shared" si="1"/>
        <v>38132.887380000007</v>
      </c>
      <c r="M14" s="338">
        <f t="shared" si="1"/>
        <v>42574</v>
      </c>
      <c r="N14" s="338">
        <f t="shared" si="1"/>
        <v>40696.639329999998</v>
      </c>
      <c r="O14" s="338">
        <f t="shared" si="1"/>
        <v>41713</v>
      </c>
      <c r="P14" s="338">
        <f t="shared" si="1"/>
        <v>37075.198019999996</v>
      </c>
      <c r="Q14" s="338">
        <f t="shared" si="1"/>
        <v>40847</v>
      </c>
      <c r="R14" s="338">
        <f t="shared" si="1"/>
        <v>39775.473460000001</v>
      </c>
      <c r="S14" s="338">
        <f t="shared" si="1"/>
        <v>38461.371780000009</v>
      </c>
      <c r="T14" s="338">
        <f t="shared" si="1"/>
        <v>37075.198019999996</v>
      </c>
      <c r="U14" s="338">
        <f t="shared" si="1"/>
        <v>42631.454170000005</v>
      </c>
      <c r="V14" s="338">
        <f t="shared" si="1"/>
        <v>39775.473460000001</v>
      </c>
      <c r="W14" s="338">
        <f t="shared" si="1"/>
        <v>39578.321620000002</v>
      </c>
      <c r="X14" s="338">
        <f t="shared" si="1"/>
        <v>41186.678379999998</v>
      </c>
      <c r="Y14" s="338">
        <f t="shared" si="1"/>
        <v>44680.858259999994</v>
      </c>
      <c r="Z14" s="338">
        <f t="shared" si="1"/>
        <v>44389.314899999998</v>
      </c>
      <c r="AA14" s="338">
        <f t="shared" si="1"/>
        <v>44681.658179999999</v>
      </c>
      <c r="AB14" s="338">
        <f t="shared" si="1"/>
        <v>44748.868540000003</v>
      </c>
      <c r="AC14" s="338">
        <f>AC9+AC13</f>
        <v>26569.950239999998</v>
      </c>
      <c r="AD14" s="338">
        <f>AD9+AD13</f>
        <v>24576.523039999996</v>
      </c>
      <c r="AE14" s="338">
        <f>AE9+AE13</f>
        <v>26102</v>
      </c>
    </row>
    <row r="15" spans="1:31" ht="15" thickBot="1">
      <c r="A15" s="118" t="s">
        <v>873</v>
      </c>
      <c r="B15" s="120"/>
      <c r="C15" s="119">
        <f t="shared" ref="C15:V15" si="2">SUM(C16:C20)</f>
        <v>-4474.84699</v>
      </c>
      <c r="D15" s="119">
        <f t="shared" si="2"/>
        <v>-4419</v>
      </c>
      <c r="E15" s="119">
        <f t="shared" si="2"/>
        <v>-4947</v>
      </c>
      <c r="F15" s="119">
        <f t="shared" si="2"/>
        <v>-4583.51757</v>
      </c>
      <c r="G15" s="119">
        <f t="shared" si="2"/>
        <v>-4123.1583700000001</v>
      </c>
      <c r="H15" s="119">
        <f t="shared" si="2"/>
        <v>-4346</v>
      </c>
      <c r="I15" s="119">
        <f t="shared" si="2"/>
        <v>-4448.5712000000003</v>
      </c>
      <c r="J15" s="119">
        <f t="shared" si="2"/>
        <v>-4230.51</v>
      </c>
      <c r="K15" s="119">
        <f t="shared" si="2"/>
        <v>-4524</v>
      </c>
      <c r="L15" s="119">
        <f t="shared" si="2"/>
        <v>-3269</v>
      </c>
      <c r="M15" s="119">
        <f t="shared" si="2"/>
        <v>-5223.4896100000005</v>
      </c>
      <c r="N15" s="119">
        <f t="shared" si="2"/>
        <v>-4449.4149799999996</v>
      </c>
      <c r="O15" s="119">
        <f t="shared" si="2"/>
        <v>-4107</v>
      </c>
      <c r="P15" s="119">
        <f t="shared" si="2"/>
        <v>-3996</v>
      </c>
      <c r="Q15" s="119">
        <f t="shared" si="2"/>
        <v>-4452</v>
      </c>
      <c r="R15" s="119">
        <f t="shared" si="2"/>
        <v>-4842.6213700000317</v>
      </c>
      <c r="S15" s="119">
        <f t="shared" si="2"/>
        <v>-3445.7551399999998</v>
      </c>
      <c r="T15" s="119">
        <f t="shared" si="2"/>
        <v>-3996</v>
      </c>
      <c r="U15" s="119">
        <f t="shared" si="2"/>
        <v>-4040.6770699999997</v>
      </c>
      <c r="V15" s="119">
        <f t="shared" si="2"/>
        <v>-4842.6213700000317</v>
      </c>
      <c r="W15" s="119">
        <f t="shared" ref="W15:AC15" si="3">SUM(W16:W21)</f>
        <v>-2954.6719799999996</v>
      </c>
      <c r="X15" s="119">
        <f t="shared" si="3"/>
        <v>-7762.6560399999998</v>
      </c>
      <c r="Y15" s="119">
        <f t="shared" si="3"/>
        <v>-4967.0697500000006</v>
      </c>
      <c r="Z15" s="119">
        <f t="shared" si="3"/>
        <v>-4516.9817499999999</v>
      </c>
      <c r="AA15" s="119">
        <f t="shared" si="3"/>
        <v>-2740.1063200000003</v>
      </c>
      <c r="AB15" s="119">
        <f t="shared" si="3"/>
        <v>-3458.7579099999998</v>
      </c>
      <c r="AC15" s="119">
        <f t="shared" si="3"/>
        <v>-3839.3952599999998</v>
      </c>
      <c r="AD15" s="119">
        <f>SUM(AD16:AD21)</f>
        <v>-7699.7405100000024</v>
      </c>
      <c r="AE15" s="119">
        <f>SUM(AE16:AE21)</f>
        <v>-3957</v>
      </c>
    </row>
    <row r="16" spans="1:31">
      <c r="A16" s="115" t="s">
        <v>875</v>
      </c>
      <c r="B16" s="120"/>
      <c r="C16" s="337">
        <v>-1360.88057</v>
      </c>
      <c r="D16" s="337">
        <v>-1104</v>
      </c>
      <c r="E16" s="337">
        <v>-1314</v>
      </c>
      <c r="F16" s="337">
        <v>-1468.6969899999999</v>
      </c>
      <c r="G16" s="337">
        <v>-1155.00431</v>
      </c>
      <c r="H16" s="337">
        <v>-1259</v>
      </c>
      <c r="I16" s="337">
        <v>-1273</v>
      </c>
      <c r="J16" s="337">
        <v>-989</v>
      </c>
      <c r="K16" s="337">
        <v>-1446</v>
      </c>
      <c r="L16" s="337">
        <v>-871</v>
      </c>
      <c r="M16" s="337">
        <v>-1140</v>
      </c>
      <c r="N16" s="337">
        <v>-1206</v>
      </c>
      <c r="O16" s="337">
        <v>-824</v>
      </c>
      <c r="P16" s="337">
        <v>-844</v>
      </c>
      <c r="Q16" s="337">
        <v>-1408</v>
      </c>
      <c r="R16" s="337">
        <v>-2624.7778699999999</v>
      </c>
      <c r="S16" s="337">
        <v>-1589.4129499999997</v>
      </c>
      <c r="T16" s="337">
        <v>-844</v>
      </c>
      <c r="U16" s="337">
        <v>-2047.2975999999999</v>
      </c>
      <c r="V16" s="337">
        <v>-2624.7778699999999</v>
      </c>
      <c r="W16" s="337">
        <v>-1470.6243699999998</v>
      </c>
      <c r="X16" s="337">
        <v>-3881.3280200000004</v>
      </c>
      <c r="Y16" s="337">
        <v>-1348.4710800000003</v>
      </c>
      <c r="Z16" s="337">
        <v>-841.61649000000125</v>
      </c>
      <c r="AA16" s="337">
        <v>-765.33783999999991</v>
      </c>
      <c r="AB16" s="337">
        <v>-951.4858499999998</v>
      </c>
      <c r="AC16" s="337">
        <v>-1172.90886</v>
      </c>
      <c r="AD16" s="337">
        <v>-2929.2674500000003</v>
      </c>
      <c r="AE16" s="337">
        <v>-868</v>
      </c>
    </row>
    <row r="17" spans="1:31">
      <c r="A17" s="115" t="s">
        <v>877</v>
      </c>
      <c r="B17" s="120"/>
      <c r="C17" s="337">
        <v>-122.13176</v>
      </c>
      <c r="D17" s="337">
        <v>-158</v>
      </c>
      <c r="E17" s="337">
        <v>-132</v>
      </c>
      <c r="F17" s="337">
        <v>-114.52155999999999</v>
      </c>
      <c r="G17" s="337">
        <v>-100.58869</v>
      </c>
      <c r="H17" s="337">
        <v>-77</v>
      </c>
      <c r="I17" s="337">
        <v>-87.5</v>
      </c>
      <c r="J17" s="337">
        <v>-129</v>
      </c>
      <c r="K17" s="337">
        <v>-133</v>
      </c>
      <c r="L17" s="337">
        <v>105</v>
      </c>
      <c r="M17" s="337">
        <v>-7.4584700000000019</v>
      </c>
      <c r="N17" s="337">
        <v>-44.414979999999993</v>
      </c>
      <c r="O17" s="337">
        <v>-16</v>
      </c>
      <c r="P17" s="337">
        <v>-155</v>
      </c>
      <c r="Q17" s="337">
        <v>-143</v>
      </c>
      <c r="R17" s="337">
        <v>12.09157999999999</v>
      </c>
      <c r="S17" s="337">
        <v>-24.755410000000001</v>
      </c>
      <c r="T17" s="337">
        <v>-155</v>
      </c>
      <c r="U17" s="337">
        <v>-257.17619999999999</v>
      </c>
      <c r="V17" s="337">
        <v>12.09157999999999</v>
      </c>
      <c r="W17" s="337">
        <v>-43.11057000000001</v>
      </c>
      <c r="X17" s="337">
        <v>-1426.3756300000002</v>
      </c>
      <c r="Y17" s="337">
        <v>-296.11523</v>
      </c>
      <c r="Z17" s="337">
        <v>-391.86813999999993</v>
      </c>
      <c r="AA17" s="337">
        <v>-483.42370000000005</v>
      </c>
      <c r="AB17" s="337">
        <v>258.5056800000001</v>
      </c>
      <c r="AC17" s="337">
        <v>-6058.131989999999</v>
      </c>
      <c r="AD17" s="337">
        <v>-274.94999000000098</v>
      </c>
      <c r="AE17" s="337">
        <v>-602</v>
      </c>
    </row>
    <row r="18" spans="1:31">
      <c r="A18" s="115" t="s">
        <v>878</v>
      </c>
      <c r="B18" s="324"/>
      <c r="C18" s="337">
        <v>-2873.5294399999998</v>
      </c>
      <c r="D18" s="337">
        <v>-3055</v>
      </c>
      <c r="E18" s="337">
        <v>-3402</v>
      </c>
      <c r="F18" s="337">
        <v>-2905.3433199999999</v>
      </c>
      <c r="G18" s="337">
        <v>-2749.51656</v>
      </c>
      <c r="H18" s="337">
        <v>-2885</v>
      </c>
      <c r="I18" s="337">
        <v>-3043.6812</v>
      </c>
      <c r="J18" s="337">
        <v>-3141</v>
      </c>
      <c r="K18" s="337">
        <v>-2944</v>
      </c>
      <c r="L18" s="337">
        <v>-2552</v>
      </c>
      <c r="M18" s="337">
        <v>-4076.0311400000001</v>
      </c>
      <c r="N18" s="337">
        <v>-3059</v>
      </c>
      <c r="O18" s="337">
        <v>-3632</v>
      </c>
      <c r="P18" s="337">
        <v>-3396</v>
      </c>
      <c r="Q18" s="337">
        <v>-3018</v>
      </c>
      <c r="R18" s="337">
        <v>-2563.55087</v>
      </c>
      <c r="S18" s="337">
        <v>-1860.6816800000001</v>
      </c>
      <c r="T18" s="337">
        <v>-3396</v>
      </c>
      <c r="U18" s="337">
        <v>-1252.6337800000001</v>
      </c>
      <c r="V18" s="337">
        <v>-2563.55087</v>
      </c>
      <c r="W18" s="337">
        <v>-1362.4625800000001</v>
      </c>
      <c r="X18" s="337">
        <v>-228.88943</v>
      </c>
      <c r="Y18" s="337">
        <v>-3238.0769600000003</v>
      </c>
      <c r="Z18" s="337">
        <v>-3171.5278999999991</v>
      </c>
      <c r="AA18" s="337">
        <v>-1332.3160300000002</v>
      </c>
      <c r="AB18" s="337">
        <v>-2651.7366099999999</v>
      </c>
      <c r="AC18" s="337">
        <v>3436.0920699999997</v>
      </c>
      <c r="AD18" s="337">
        <v>-2461.0394300000007</v>
      </c>
      <c r="AE18" s="337">
        <v>-2355</v>
      </c>
    </row>
    <row r="19" spans="1:31">
      <c r="A19" s="115" t="s">
        <v>920</v>
      </c>
      <c r="B19" s="324"/>
      <c r="C19" s="337">
        <v>0</v>
      </c>
      <c r="D19" s="337">
        <v>0</v>
      </c>
      <c r="E19" s="337"/>
      <c r="F19" s="337">
        <v>0</v>
      </c>
      <c r="G19" s="337">
        <v>0</v>
      </c>
      <c r="H19" s="337">
        <v>0</v>
      </c>
      <c r="I19" s="337">
        <v>0</v>
      </c>
      <c r="J19" s="337">
        <v>0</v>
      </c>
      <c r="K19" s="337"/>
      <c r="L19" s="337">
        <v>0</v>
      </c>
      <c r="M19" s="337">
        <v>0</v>
      </c>
      <c r="N19" s="337"/>
      <c r="O19" s="337">
        <f>P19*1000</f>
        <v>0</v>
      </c>
      <c r="P19" s="337"/>
      <c r="Q19" s="337"/>
      <c r="R19" s="337">
        <v>0</v>
      </c>
      <c r="S19" s="337">
        <v>0</v>
      </c>
      <c r="T19" s="337">
        <v>0</v>
      </c>
      <c r="U19" s="337">
        <v>0</v>
      </c>
      <c r="V19" s="337">
        <v>0</v>
      </c>
      <c r="W19" s="337">
        <v>0</v>
      </c>
      <c r="X19" s="337">
        <v>-2044.5374199999999</v>
      </c>
      <c r="Y19" s="337">
        <v>0</v>
      </c>
      <c r="Z19" s="337">
        <v>0</v>
      </c>
      <c r="AA19" s="337"/>
      <c r="AB19" s="337">
        <v>0</v>
      </c>
      <c r="AC19" s="337">
        <v>0</v>
      </c>
      <c r="AD19" s="337">
        <v>0</v>
      </c>
      <c r="AE19" s="337">
        <v>0</v>
      </c>
    </row>
    <row r="20" spans="1:31">
      <c r="A20" s="115" t="s">
        <v>95</v>
      </c>
      <c r="B20" s="120"/>
      <c r="C20" s="337">
        <v>-118.30522000000002</v>
      </c>
      <c r="D20" s="337">
        <v>-102</v>
      </c>
      <c r="E20" s="337">
        <v>-99</v>
      </c>
      <c r="F20" s="337">
        <v>-94.955699999999993</v>
      </c>
      <c r="G20" s="337">
        <v>-118.04881</v>
      </c>
      <c r="H20" s="337">
        <v>-125</v>
      </c>
      <c r="I20" s="337">
        <v>-44.39</v>
      </c>
      <c r="J20" s="337">
        <v>28.49</v>
      </c>
      <c r="K20" s="337">
        <v>-1</v>
      </c>
      <c r="L20" s="337">
        <v>49</v>
      </c>
      <c r="M20" s="337">
        <v>0</v>
      </c>
      <c r="N20" s="337">
        <v>-140</v>
      </c>
      <c r="O20" s="337">
        <v>365</v>
      </c>
      <c r="P20" s="337">
        <v>399</v>
      </c>
      <c r="Q20" s="337">
        <v>117</v>
      </c>
      <c r="R20" s="337">
        <v>333.61578999996902</v>
      </c>
      <c r="S20" s="337">
        <v>29.09490000000001</v>
      </c>
      <c r="T20" s="337">
        <v>399</v>
      </c>
      <c r="U20" s="337">
        <v>-483.56948999999997</v>
      </c>
      <c r="V20" s="337">
        <v>333.61578999996902</v>
      </c>
      <c r="W20" s="337">
        <v>-78.474460000000008</v>
      </c>
      <c r="X20" s="337">
        <v>-181.52553999999998</v>
      </c>
      <c r="Y20" s="337">
        <v>-84.406479999999988</v>
      </c>
      <c r="Z20" s="337">
        <v>-111.96922000000006</v>
      </c>
      <c r="AA20" s="337">
        <v>-159.02875</v>
      </c>
      <c r="AB20" s="337">
        <v>-114.04113000000007</v>
      </c>
      <c r="AC20" s="337">
        <v>-44.446479999999895</v>
      </c>
      <c r="AD20" s="337">
        <v>22.516359999999963</v>
      </c>
      <c r="AE20" s="337">
        <v>-132</v>
      </c>
    </row>
    <row r="21" spans="1:31">
      <c r="A21" s="115" t="s">
        <v>880</v>
      </c>
      <c r="B21" s="120"/>
      <c r="C21" s="337"/>
      <c r="D21" s="337"/>
      <c r="E21" s="337"/>
      <c r="F21" s="337"/>
      <c r="G21" s="337"/>
      <c r="H21" s="337"/>
      <c r="I21" s="337"/>
      <c r="J21" s="337"/>
      <c r="K21" s="337"/>
      <c r="L21" s="337"/>
      <c r="M21" s="337"/>
      <c r="N21" s="337"/>
      <c r="O21" s="337"/>
      <c r="P21" s="337"/>
      <c r="Q21" s="337"/>
      <c r="R21" s="337"/>
      <c r="S21" s="337"/>
      <c r="T21" s="337"/>
      <c r="U21" s="337"/>
      <c r="V21" s="337"/>
      <c r="W21" s="337"/>
      <c r="X21" s="337"/>
      <c r="Y21" s="337"/>
      <c r="Z21" s="337"/>
      <c r="AA21" s="337"/>
      <c r="AB21" s="337"/>
      <c r="AC21" s="337"/>
      <c r="AD21" s="337">
        <v>-2057</v>
      </c>
      <c r="AE21" s="337">
        <v>0</v>
      </c>
    </row>
    <row r="22" spans="1:31">
      <c r="A22" s="455" t="s">
        <v>722</v>
      </c>
      <c r="B22" s="120"/>
      <c r="C22" s="454">
        <f t="shared" ref="C22:AE22" si="4">C14+C15</f>
        <v>25909.600610000009</v>
      </c>
      <c r="D22" s="454">
        <f t="shared" si="4"/>
        <v>26328</v>
      </c>
      <c r="E22" s="454">
        <f t="shared" si="4"/>
        <v>22809</v>
      </c>
      <c r="F22" s="454">
        <f t="shared" si="4"/>
        <v>23983.995349999994</v>
      </c>
      <c r="G22" s="454">
        <f t="shared" si="4"/>
        <v>27744.367130000002</v>
      </c>
      <c r="H22" s="454">
        <f t="shared" si="4"/>
        <v>33530</v>
      </c>
      <c r="I22" s="454">
        <f t="shared" si="4"/>
        <v>31641.89971000002</v>
      </c>
      <c r="J22" s="454">
        <f t="shared" si="4"/>
        <v>36463.293619999997</v>
      </c>
      <c r="K22" s="454">
        <f t="shared" si="4"/>
        <v>33057.796300000002</v>
      </c>
      <c r="L22" s="454">
        <f t="shared" si="4"/>
        <v>34863.887380000007</v>
      </c>
      <c r="M22" s="454">
        <f t="shared" si="4"/>
        <v>37350.510389999996</v>
      </c>
      <c r="N22" s="454">
        <f t="shared" si="4"/>
        <v>36247.224349999997</v>
      </c>
      <c r="O22" s="454">
        <f t="shared" si="4"/>
        <v>37606</v>
      </c>
      <c r="P22" s="454">
        <f t="shared" si="4"/>
        <v>33079.198019999996</v>
      </c>
      <c r="Q22" s="454">
        <f t="shared" si="4"/>
        <v>36395</v>
      </c>
      <c r="R22" s="454">
        <f t="shared" si="4"/>
        <v>34932.852089999971</v>
      </c>
      <c r="S22" s="454">
        <f t="shared" si="4"/>
        <v>35015.616640000007</v>
      </c>
      <c r="T22" s="454">
        <f t="shared" si="4"/>
        <v>33079.198019999996</v>
      </c>
      <c r="U22" s="454">
        <f t="shared" si="4"/>
        <v>38590.777100000007</v>
      </c>
      <c r="V22" s="454">
        <f t="shared" si="4"/>
        <v>34932.852089999971</v>
      </c>
      <c r="W22" s="454">
        <f t="shared" si="4"/>
        <v>36623.649640000003</v>
      </c>
      <c r="X22" s="454">
        <f t="shared" si="4"/>
        <v>33424.022339999996</v>
      </c>
      <c r="Y22" s="454">
        <f t="shared" si="4"/>
        <v>39713.788509999991</v>
      </c>
      <c r="Z22" s="454">
        <f t="shared" si="4"/>
        <v>39872.333149999999</v>
      </c>
      <c r="AA22" s="454">
        <f t="shared" si="4"/>
        <v>41941.55186</v>
      </c>
      <c r="AB22" s="454">
        <f t="shared" si="4"/>
        <v>41290.110630000003</v>
      </c>
      <c r="AC22" s="454">
        <f t="shared" si="4"/>
        <v>22730.554979999997</v>
      </c>
      <c r="AD22" s="454">
        <f t="shared" si="4"/>
        <v>16876.782529999993</v>
      </c>
      <c r="AE22" s="454">
        <f t="shared" si="4"/>
        <v>22145</v>
      </c>
    </row>
    <row r="23" spans="1:31" ht="15" thickBot="1">
      <c r="A23" s="115" t="s">
        <v>893</v>
      </c>
      <c r="B23" s="112"/>
      <c r="C23" s="337">
        <v>-3908.2178699999999</v>
      </c>
      <c r="D23" s="337">
        <v>-3908</v>
      </c>
      <c r="E23" s="337">
        <v>-3908</v>
      </c>
      <c r="F23" s="337">
        <v>-3908.2178699999999</v>
      </c>
      <c r="G23" s="337">
        <v>-4053.5923699999998</v>
      </c>
      <c r="H23" s="337">
        <v>-4338</v>
      </c>
      <c r="I23" s="337">
        <v>-4898</v>
      </c>
      <c r="J23" s="337">
        <v>-5992</v>
      </c>
      <c r="K23" s="337">
        <v>-5146</v>
      </c>
      <c r="L23" s="337">
        <v>-5234</v>
      </c>
      <c r="M23" s="337">
        <v>-5215</v>
      </c>
      <c r="N23" s="337">
        <v>-5215</v>
      </c>
      <c r="O23" s="337">
        <v>-5215</v>
      </c>
      <c r="P23" s="337">
        <v>-3381</v>
      </c>
      <c r="Q23" s="337">
        <v>-7116</v>
      </c>
      <c r="R23" s="337">
        <v>-6120.8162299999995</v>
      </c>
      <c r="S23" s="337">
        <v>-5789.8862499999996</v>
      </c>
      <c r="T23" s="337">
        <v>-3381</v>
      </c>
      <c r="U23" s="337">
        <v>-5789.8234099999991</v>
      </c>
      <c r="V23" s="337">
        <v>-6120.8162299999995</v>
      </c>
      <c r="W23" s="337">
        <v>-5786.6420799999996</v>
      </c>
      <c r="X23" s="337">
        <v>-5798.0932300000004</v>
      </c>
      <c r="Y23" s="337">
        <v>-5885.8107900000032</v>
      </c>
      <c r="Z23" s="337">
        <v>-5914.2832899999958</v>
      </c>
      <c r="AA23" s="337">
        <v>-5913.1442200000001</v>
      </c>
      <c r="AB23" s="337">
        <v>-5898.6783799999994</v>
      </c>
      <c r="AC23" s="337">
        <v>-5898.6785200000013</v>
      </c>
      <c r="AD23" s="337">
        <v>-5911.4988799999992</v>
      </c>
      <c r="AE23" s="337">
        <v>-6095</v>
      </c>
    </row>
    <row r="24" spans="1:31" ht="15" thickBot="1">
      <c r="A24" s="118" t="s">
        <v>895</v>
      </c>
      <c r="B24" s="112"/>
      <c r="C24" s="119">
        <f t="shared" ref="C24:X24" si="5">SUM(C22:C23)</f>
        <v>22001.382740000008</v>
      </c>
      <c r="D24" s="119">
        <f t="shared" si="5"/>
        <v>22420</v>
      </c>
      <c r="E24" s="119">
        <f t="shared" si="5"/>
        <v>18901</v>
      </c>
      <c r="F24" s="119">
        <f t="shared" si="5"/>
        <v>20075.777479999993</v>
      </c>
      <c r="G24" s="119">
        <f t="shared" si="5"/>
        <v>23690.774760000004</v>
      </c>
      <c r="H24" s="119">
        <f t="shared" si="5"/>
        <v>29192</v>
      </c>
      <c r="I24" s="119">
        <f t="shared" si="5"/>
        <v>26743.89971000002</v>
      </c>
      <c r="J24" s="119">
        <f t="shared" si="5"/>
        <v>30471.293619999997</v>
      </c>
      <c r="K24" s="119">
        <f t="shared" si="5"/>
        <v>27911.796300000002</v>
      </c>
      <c r="L24" s="119">
        <f t="shared" si="5"/>
        <v>29629.887380000007</v>
      </c>
      <c r="M24" s="119">
        <f t="shared" si="5"/>
        <v>32135.510389999996</v>
      </c>
      <c r="N24" s="119">
        <f t="shared" si="5"/>
        <v>31032.224349999997</v>
      </c>
      <c r="O24" s="119">
        <f t="shared" si="5"/>
        <v>32391</v>
      </c>
      <c r="P24" s="119">
        <f t="shared" si="5"/>
        <v>29698.198019999996</v>
      </c>
      <c r="Q24" s="119">
        <f t="shared" si="5"/>
        <v>29279</v>
      </c>
      <c r="R24" s="119">
        <f t="shared" si="5"/>
        <v>28812.035859999971</v>
      </c>
      <c r="S24" s="119">
        <f t="shared" si="5"/>
        <v>29225.730390000008</v>
      </c>
      <c r="T24" s="119">
        <f t="shared" si="5"/>
        <v>29698.198019999996</v>
      </c>
      <c r="U24" s="119">
        <f t="shared" si="5"/>
        <v>32800.953690000009</v>
      </c>
      <c r="V24" s="119">
        <f t="shared" si="5"/>
        <v>28812.035859999971</v>
      </c>
      <c r="W24" s="119">
        <f t="shared" si="5"/>
        <v>30837.007560000005</v>
      </c>
      <c r="X24" s="119">
        <f t="shared" si="5"/>
        <v>27625.929109999997</v>
      </c>
      <c r="Y24" s="119">
        <f t="shared" ref="Y24:AD24" si="6">SUM(Y22:Y23)</f>
        <v>33827.977719999988</v>
      </c>
      <c r="Z24" s="119">
        <f t="shared" si="6"/>
        <v>33958.049859999999</v>
      </c>
      <c r="AA24" s="119">
        <f t="shared" si="6"/>
        <v>36028.407639999998</v>
      </c>
      <c r="AB24" s="119">
        <f t="shared" si="6"/>
        <v>35391.432250000005</v>
      </c>
      <c r="AC24" s="119">
        <f t="shared" si="6"/>
        <v>16831.876459999996</v>
      </c>
      <c r="AD24" s="119">
        <f t="shared" si="6"/>
        <v>10965.283649999994</v>
      </c>
      <c r="AE24" s="119">
        <f>SUM(AE22:AE23)</f>
        <v>16050</v>
      </c>
    </row>
    <row r="25" spans="1:31" ht="15" thickBot="1">
      <c r="A25" s="118" t="s">
        <v>725</v>
      </c>
      <c r="B25" s="112"/>
      <c r="C25" s="319">
        <f t="shared" ref="C25:X25" si="7">SUM(C26:C27)</f>
        <v>-1926.4089199999996</v>
      </c>
      <c r="D25" s="319">
        <f t="shared" si="7"/>
        <v>-1762.3999999999999</v>
      </c>
      <c r="E25" s="319">
        <f t="shared" si="7"/>
        <v>-2129</v>
      </c>
      <c r="F25" s="319">
        <f t="shared" si="7"/>
        <v>-1680.7304600000011</v>
      </c>
      <c r="G25" s="319">
        <f t="shared" si="7"/>
        <v>-1469.21974</v>
      </c>
      <c r="H25" s="319">
        <f t="shared" si="7"/>
        <v>-1293</v>
      </c>
      <c r="I25" s="319">
        <f t="shared" si="7"/>
        <v>-972</v>
      </c>
      <c r="J25" s="319">
        <f t="shared" si="7"/>
        <v>-1132.5999999999999</v>
      </c>
      <c r="K25" s="319">
        <f t="shared" si="7"/>
        <v>-2331</v>
      </c>
      <c r="L25" s="319">
        <f t="shared" si="7"/>
        <v>-5820</v>
      </c>
      <c r="M25" s="319">
        <f t="shared" si="7"/>
        <v>-5425.422340000001</v>
      </c>
      <c r="N25" s="319">
        <f t="shared" si="7"/>
        <v>-6229</v>
      </c>
      <c r="O25" s="319">
        <f t="shared" si="7"/>
        <v>-6035</v>
      </c>
      <c r="P25" s="319">
        <f t="shared" si="7"/>
        <v>-2225.0749100000003</v>
      </c>
      <c r="Q25" s="319">
        <f t="shared" si="7"/>
        <v>-4769</v>
      </c>
      <c r="R25" s="319">
        <f t="shared" si="7"/>
        <v>-6218.9366100000007</v>
      </c>
      <c r="S25" s="319">
        <f t="shared" si="7"/>
        <v>-6879.7587399999993</v>
      </c>
      <c r="T25" s="319">
        <f t="shared" si="7"/>
        <v>-2225.0749100000003</v>
      </c>
      <c r="U25" s="319">
        <f t="shared" si="7"/>
        <v>-9231.8708899999983</v>
      </c>
      <c r="V25" s="319">
        <f t="shared" si="7"/>
        <v>-6218.9366100000007</v>
      </c>
      <c r="W25" s="319">
        <f t="shared" si="7"/>
        <v>-13163.665790000001</v>
      </c>
      <c r="X25" s="319">
        <f t="shared" si="7"/>
        <v>-15162.38522</v>
      </c>
      <c r="Y25" s="319">
        <f t="shared" ref="Y25:AD25" si="8">SUM(Y26:Y27)</f>
        <v>-11223.793969999999</v>
      </c>
      <c r="Z25" s="319">
        <f t="shared" si="8"/>
        <v>-12650.909270000024</v>
      </c>
      <c r="AA25" s="319">
        <f t="shared" si="8"/>
        <v>-14060.996520000001</v>
      </c>
      <c r="AB25" s="319">
        <f t="shared" si="8"/>
        <v>-10439.834210000001</v>
      </c>
      <c r="AC25" s="319">
        <f t="shared" si="8"/>
        <v>-9699.0100300000086</v>
      </c>
      <c r="AD25" s="319">
        <f t="shared" si="8"/>
        <v>-16714.15923999999</v>
      </c>
      <c r="AE25" s="319">
        <f>SUM(AE26:AE27)</f>
        <v>-11550</v>
      </c>
    </row>
    <row r="26" spans="1:31">
      <c r="A26" s="115" t="s">
        <v>727</v>
      </c>
      <c r="B26" s="112"/>
      <c r="C26" s="337">
        <v>1078.7082600000001</v>
      </c>
      <c r="D26" s="337">
        <v>956.3</v>
      </c>
      <c r="E26" s="337">
        <v>846</v>
      </c>
      <c r="F26" s="337">
        <v>678.63367000000062</v>
      </c>
      <c r="G26" s="337">
        <v>641.46048999999994</v>
      </c>
      <c r="H26" s="337">
        <v>618</v>
      </c>
      <c r="I26" s="337">
        <v>763</v>
      </c>
      <c r="J26" s="337">
        <v>2080.4</v>
      </c>
      <c r="K26" s="337">
        <v>2497</v>
      </c>
      <c r="L26" s="337">
        <v>4107</v>
      </c>
      <c r="M26" s="337">
        <v>3721.577659999999</v>
      </c>
      <c r="N26" s="337">
        <v>2121</v>
      </c>
      <c r="O26" s="337">
        <v>2153</v>
      </c>
      <c r="P26" s="337">
        <v>1991</v>
      </c>
      <c r="Q26" s="337">
        <v>952</v>
      </c>
      <c r="R26" s="337">
        <v>870.44262999999887</v>
      </c>
      <c r="S26" s="337">
        <v>193.22272000000004</v>
      </c>
      <c r="T26" s="337">
        <v>1991</v>
      </c>
      <c r="U26" s="337">
        <v>1239.5829200000003</v>
      </c>
      <c r="V26" s="337">
        <v>870.44262999999887</v>
      </c>
      <c r="W26" s="337">
        <v>2585.0879899999995</v>
      </c>
      <c r="X26" s="337">
        <v>3345.8610000000003</v>
      </c>
      <c r="Y26" s="337">
        <v>4978.2060300000003</v>
      </c>
      <c r="Z26" s="337">
        <v>4786.844189999998</v>
      </c>
      <c r="AA26" s="337">
        <v>5829.3829600000017</v>
      </c>
      <c r="AB26" s="337">
        <v>7200.7848499999973</v>
      </c>
      <c r="AC26" s="337">
        <v>7624.7925900000009</v>
      </c>
      <c r="AD26" s="337">
        <v>6421.0396000000001</v>
      </c>
      <c r="AE26" s="337">
        <v>4644</v>
      </c>
    </row>
    <row r="27" spans="1:31" ht="15" thickBot="1">
      <c r="A27" s="115" t="s">
        <v>744</v>
      </c>
      <c r="B27" s="112"/>
      <c r="C27" s="337">
        <v>-3005.1171799999997</v>
      </c>
      <c r="D27" s="337">
        <v>-2718.7</v>
      </c>
      <c r="E27" s="337">
        <v>-2975</v>
      </c>
      <c r="F27" s="337">
        <v>-2359.3641300000018</v>
      </c>
      <c r="G27" s="337">
        <v>-2110.6802299999999</v>
      </c>
      <c r="H27" s="337">
        <v>-1911</v>
      </c>
      <c r="I27" s="337">
        <v>-1735</v>
      </c>
      <c r="J27" s="337">
        <v>-3213</v>
      </c>
      <c r="K27" s="337">
        <v>-4828</v>
      </c>
      <c r="L27" s="337">
        <v>-9927</v>
      </c>
      <c r="M27" s="337">
        <v>-9147</v>
      </c>
      <c r="N27" s="337">
        <v>-8350</v>
      </c>
      <c r="O27" s="337">
        <v>-8188</v>
      </c>
      <c r="P27" s="337">
        <v>-4216.0749100000003</v>
      </c>
      <c r="Q27" s="337">
        <v>-5721</v>
      </c>
      <c r="R27" s="337">
        <v>-7089.3792399999993</v>
      </c>
      <c r="S27" s="337">
        <v>-7072.9814599999991</v>
      </c>
      <c r="T27" s="337">
        <v>-4216.0749100000003</v>
      </c>
      <c r="U27" s="337">
        <v>-10471.453809999999</v>
      </c>
      <c r="V27" s="337">
        <v>-7089.3792399999993</v>
      </c>
      <c r="W27" s="337">
        <v>-15748.753780000001</v>
      </c>
      <c r="X27" s="337">
        <v>-18508.246220000001</v>
      </c>
      <c r="Y27" s="337">
        <v>-16202</v>
      </c>
      <c r="Z27" s="337">
        <v>-17437.753460000022</v>
      </c>
      <c r="AA27" s="337">
        <v>-19890.379480000003</v>
      </c>
      <c r="AB27" s="337">
        <v>-17640.619059999997</v>
      </c>
      <c r="AC27" s="337">
        <v>-17323.802620000009</v>
      </c>
      <c r="AD27" s="337">
        <v>-23135.19883999999</v>
      </c>
      <c r="AE27" s="337">
        <v>-16194</v>
      </c>
    </row>
    <row r="28" spans="1:31" ht="15" thickBot="1">
      <c r="A28" s="118" t="s">
        <v>899</v>
      </c>
      <c r="B28" s="112"/>
      <c r="C28" s="119">
        <f t="shared" ref="C28:X28" si="9">SUM(C24:C25)</f>
        <v>20074.97382000001</v>
      </c>
      <c r="D28" s="119">
        <f t="shared" si="9"/>
        <v>20657.599999999999</v>
      </c>
      <c r="E28" s="119">
        <f t="shared" si="9"/>
        <v>16772</v>
      </c>
      <c r="F28" s="119">
        <f t="shared" si="9"/>
        <v>18395.047019999991</v>
      </c>
      <c r="G28" s="119">
        <f t="shared" si="9"/>
        <v>22221.555020000003</v>
      </c>
      <c r="H28" s="119">
        <f t="shared" si="9"/>
        <v>27899</v>
      </c>
      <c r="I28" s="119">
        <f t="shared" si="9"/>
        <v>25771.89971000002</v>
      </c>
      <c r="J28" s="119">
        <f t="shared" si="9"/>
        <v>29338.693619999998</v>
      </c>
      <c r="K28" s="119">
        <f t="shared" si="9"/>
        <v>25580.796300000002</v>
      </c>
      <c r="L28" s="119">
        <f t="shared" si="9"/>
        <v>23809.887380000007</v>
      </c>
      <c r="M28" s="119">
        <f t="shared" si="9"/>
        <v>26710.088049999995</v>
      </c>
      <c r="N28" s="119">
        <f t="shared" si="9"/>
        <v>24803.224349999997</v>
      </c>
      <c r="O28" s="119">
        <f t="shared" si="9"/>
        <v>26356</v>
      </c>
      <c r="P28" s="119">
        <f t="shared" si="9"/>
        <v>27473.123109999997</v>
      </c>
      <c r="Q28" s="119">
        <f t="shared" si="9"/>
        <v>24510</v>
      </c>
      <c r="R28" s="119">
        <f t="shared" si="9"/>
        <v>22593.09924999997</v>
      </c>
      <c r="S28" s="119">
        <f t="shared" si="9"/>
        <v>22345.971650000007</v>
      </c>
      <c r="T28" s="119">
        <f t="shared" si="9"/>
        <v>27473.123109999997</v>
      </c>
      <c r="U28" s="119">
        <f t="shared" si="9"/>
        <v>23569.082800000011</v>
      </c>
      <c r="V28" s="119">
        <f t="shared" si="9"/>
        <v>22593.09924999997</v>
      </c>
      <c r="W28" s="119">
        <f t="shared" si="9"/>
        <v>17673.341770000006</v>
      </c>
      <c r="X28" s="119">
        <f t="shared" si="9"/>
        <v>12463.543889999997</v>
      </c>
      <c r="Y28" s="119">
        <f t="shared" ref="Y28:AE28" si="10">SUM(Y24:Y25)</f>
        <v>22604.183749999989</v>
      </c>
      <c r="Z28" s="119">
        <f t="shared" si="10"/>
        <v>21307.140589999974</v>
      </c>
      <c r="AA28" s="119">
        <f t="shared" si="10"/>
        <v>21967.411119999997</v>
      </c>
      <c r="AB28" s="119">
        <f t="shared" si="10"/>
        <v>24951.598040000004</v>
      </c>
      <c r="AC28" s="119">
        <f t="shared" si="10"/>
        <v>7132.8664299999873</v>
      </c>
      <c r="AD28" s="119">
        <f t="shared" si="10"/>
        <v>-5748.875589999996</v>
      </c>
      <c r="AE28" s="119">
        <f t="shared" si="10"/>
        <v>4500</v>
      </c>
    </row>
    <row r="29" spans="1:31">
      <c r="A29" s="115" t="s">
        <v>921</v>
      </c>
      <c r="B29" s="112"/>
      <c r="C29" s="337">
        <v>-1444.15933</v>
      </c>
      <c r="D29" s="337">
        <v>-5701</v>
      </c>
      <c r="E29" s="337">
        <v>-4579</v>
      </c>
      <c r="F29" s="337">
        <v>-1432.84951</v>
      </c>
      <c r="G29" s="337">
        <v>-2948.09022</v>
      </c>
      <c r="H29" s="337">
        <v>-8529</v>
      </c>
      <c r="I29" s="337">
        <v>-7925</v>
      </c>
      <c r="J29" s="337">
        <v>-8431</v>
      </c>
      <c r="K29" s="337">
        <v>-3077</v>
      </c>
      <c r="L29" s="337">
        <v>-2828</v>
      </c>
      <c r="M29" s="337">
        <v>-15402</v>
      </c>
      <c r="N29" s="337">
        <v>-23148</v>
      </c>
      <c r="O29" s="337">
        <v>-246</v>
      </c>
      <c r="P29" s="337">
        <v>-3548</v>
      </c>
      <c r="Q29" s="337">
        <v>540</v>
      </c>
      <c r="R29" s="337">
        <v>-2807.97795</v>
      </c>
      <c r="S29" s="337">
        <v>-2097.9537099999998</v>
      </c>
      <c r="T29" s="337">
        <v>-3548</v>
      </c>
      <c r="U29" s="337">
        <v>-6392</v>
      </c>
      <c r="V29" s="337">
        <v>-2807.97795</v>
      </c>
      <c r="W29" s="337">
        <v>-5882</v>
      </c>
      <c r="X29" s="337">
        <v>-4438</v>
      </c>
      <c r="Y29" s="337">
        <v>-5435</v>
      </c>
      <c r="Z29" s="337">
        <v>-826.25031999999919</v>
      </c>
      <c r="AA29" s="337">
        <v>-4444.9819600000001</v>
      </c>
      <c r="AB29" s="337">
        <v>-1583.4290899999996</v>
      </c>
      <c r="AC29" s="337">
        <v>-2029.568040000001</v>
      </c>
      <c r="AD29" s="337">
        <v>-2933.0209099999993</v>
      </c>
      <c r="AE29" s="337">
        <v>-314</v>
      </c>
    </row>
    <row r="30" spans="1:31" ht="15" thickBot="1">
      <c r="A30" s="115" t="s">
        <v>922</v>
      </c>
      <c r="B30" s="112"/>
      <c r="C30" s="337">
        <v>-1502.15679</v>
      </c>
      <c r="D30" s="337">
        <v>4223</v>
      </c>
      <c r="E30" s="337">
        <v>2317</v>
      </c>
      <c r="F30" s="337">
        <v>-1305.6140800000001</v>
      </c>
      <c r="G30" s="337">
        <v>-2082.5753599999998</v>
      </c>
      <c r="H30" s="337">
        <v>3733</v>
      </c>
      <c r="I30" s="337">
        <v>3536</v>
      </c>
      <c r="J30" s="337">
        <v>5977.2547300000006</v>
      </c>
      <c r="K30" s="337">
        <v>1989</v>
      </c>
      <c r="L30" s="337">
        <v>2078</v>
      </c>
      <c r="M30" s="337">
        <v>10637</v>
      </c>
      <c r="N30" s="337">
        <v>3692</v>
      </c>
      <c r="O30" s="337">
        <v>0</v>
      </c>
      <c r="P30" s="337">
        <v>2512</v>
      </c>
      <c r="Q30" s="337">
        <v>-122</v>
      </c>
      <c r="R30" s="337">
        <v>1036</v>
      </c>
      <c r="S30" s="337">
        <v>0</v>
      </c>
      <c r="T30" s="337">
        <v>2512</v>
      </c>
      <c r="U30" s="337">
        <v>3013</v>
      </c>
      <c r="V30" s="337">
        <v>1036</v>
      </c>
      <c r="W30" s="337">
        <v>556</v>
      </c>
      <c r="X30" s="337">
        <v>1700</v>
      </c>
      <c r="Y30" s="337">
        <v>2057</v>
      </c>
      <c r="Z30" s="337">
        <v>-4313</v>
      </c>
      <c r="AA30" s="337"/>
      <c r="AB30" s="337">
        <v>0</v>
      </c>
      <c r="AC30" s="337">
        <v>0</v>
      </c>
      <c r="AD30" s="337">
        <v>0</v>
      </c>
      <c r="AE30" s="337">
        <v>0</v>
      </c>
    </row>
    <row r="31" spans="1:31" ht="15" thickBot="1">
      <c r="A31" s="118" t="s">
        <v>903</v>
      </c>
      <c r="B31" s="112"/>
      <c r="C31" s="119">
        <f t="shared" ref="C31:X31" si="11">SUM(C28:C30)</f>
        <v>17128.657700000011</v>
      </c>
      <c r="D31" s="119">
        <f t="shared" si="11"/>
        <v>19179.599999999999</v>
      </c>
      <c r="E31" s="119">
        <f t="shared" si="11"/>
        <v>14510</v>
      </c>
      <c r="F31" s="119">
        <f t="shared" si="11"/>
        <v>15656.583429999991</v>
      </c>
      <c r="G31" s="119">
        <f t="shared" si="11"/>
        <v>17190.889440000003</v>
      </c>
      <c r="H31" s="119">
        <f t="shared" si="11"/>
        <v>23103</v>
      </c>
      <c r="I31" s="119">
        <f t="shared" si="11"/>
        <v>21382.89971000002</v>
      </c>
      <c r="J31" s="119">
        <f t="shared" si="11"/>
        <v>26884.948349999999</v>
      </c>
      <c r="K31" s="119">
        <f t="shared" si="11"/>
        <v>24492.796300000002</v>
      </c>
      <c r="L31" s="119">
        <f t="shared" si="11"/>
        <v>23059.887380000007</v>
      </c>
      <c r="M31" s="119">
        <f t="shared" si="11"/>
        <v>21945.088049999995</v>
      </c>
      <c r="N31" s="119">
        <f t="shared" si="11"/>
        <v>5347.2243499999968</v>
      </c>
      <c r="O31" s="119">
        <f t="shared" si="11"/>
        <v>26110</v>
      </c>
      <c r="P31" s="119">
        <f t="shared" si="11"/>
        <v>26437.123109999997</v>
      </c>
      <c r="Q31" s="119">
        <f t="shared" si="11"/>
        <v>24928</v>
      </c>
      <c r="R31" s="119">
        <f t="shared" si="11"/>
        <v>20821.12129999997</v>
      </c>
      <c r="S31" s="119">
        <f t="shared" si="11"/>
        <v>20248.017940000005</v>
      </c>
      <c r="T31" s="119">
        <f t="shared" si="11"/>
        <v>26437.123109999997</v>
      </c>
      <c r="U31" s="119">
        <f t="shared" si="11"/>
        <v>20190.082800000011</v>
      </c>
      <c r="V31" s="119">
        <f t="shared" si="11"/>
        <v>20821.12129999997</v>
      </c>
      <c r="W31" s="119">
        <f t="shared" si="11"/>
        <v>12347.341770000006</v>
      </c>
      <c r="X31" s="119">
        <f t="shared" si="11"/>
        <v>9725.5438899999972</v>
      </c>
      <c r="Y31" s="119">
        <f t="shared" ref="Y31:AE31" si="12">SUM(Y28:Y30)</f>
        <v>19226.183749999989</v>
      </c>
      <c r="Z31" s="119">
        <f t="shared" si="12"/>
        <v>16167.890269999974</v>
      </c>
      <c r="AA31" s="119">
        <f t="shared" si="12"/>
        <v>17522.429159999996</v>
      </c>
      <c r="AB31" s="119">
        <f t="shared" si="12"/>
        <v>23368.168950000007</v>
      </c>
      <c r="AC31" s="119">
        <f t="shared" si="12"/>
        <v>5103.2983899999863</v>
      </c>
      <c r="AD31" s="119">
        <f t="shared" si="12"/>
        <v>-8681.8964999999953</v>
      </c>
      <c r="AE31" s="119">
        <f t="shared" si="12"/>
        <v>4186</v>
      </c>
    </row>
  </sheetData>
  <pageMargins left="0.511811024" right="0.511811024" top="0.78740157499999996" bottom="0.78740157499999996" header="0.31496062000000002" footer="0.31496062000000002"/>
  <ignoredErrors>
    <ignoredError sqref="W9:AE9" formulaRange="1"/>
  </ignoredErrors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9" tint="0.79998168889431442"/>
  </sheetPr>
  <dimension ref="A7:AL41"/>
  <sheetViews>
    <sheetView showGridLines="0" zoomScale="85" zoomScaleNormal="85" workbookViewId="0">
      <pane xSplit="2" topLeftCell="Y1" activePane="topRight" state="frozen"/>
      <selection pane="topRight" activeCell="AL11" sqref="AL11"/>
    </sheetView>
  </sheetViews>
  <sheetFormatPr defaultColWidth="9.21875" defaultRowHeight="14.4" outlineLevelCol="1"/>
  <cols>
    <col min="1" max="1" width="44.44140625" style="35" bestFit="1" customWidth="1"/>
    <col min="2" max="2" width="44.44140625" style="35" customWidth="1"/>
    <col min="3" max="3" width="0.77734375" customWidth="1"/>
    <col min="4" max="23" width="8.5546875" style="35" hidden="1" customWidth="1" outlineLevel="1"/>
    <col min="24" max="24" width="8.5546875" style="35" customWidth="1" collapsed="1"/>
    <col min="25" max="38" width="8.5546875" style="35" customWidth="1"/>
    <col min="39" max="16384" width="9.21875" style="35"/>
  </cols>
  <sheetData>
    <row r="7" spans="1:38">
      <c r="A7" s="38" t="s">
        <v>925</v>
      </c>
      <c r="B7" s="38" t="s">
        <v>926</v>
      </c>
      <c r="C7" s="111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</row>
    <row r="8" spans="1:38" ht="15" thickBot="1">
      <c r="A8" s="448" t="s">
        <v>846</v>
      </c>
      <c r="B8" s="448" t="s">
        <v>847</v>
      </c>
      <c r="C8" s="112"/>
      <c r="D8" s="449" t="s">
        <v>55</v>
      </c>
      <c r="E8" s="449" t="s">
        <v>56</v>
      </c>
      <c r="F8" s="449" t="s">
        <v>57</v>
      </c>
      <c r="G8" s="449" t="s">
        <v>58</v>
      </c>
      <c r="H8" s="449" t="s">
        <v>59</v>
      </c>
      <c r="I8" s="449" t="s">
        <v>60</v>
      </c>
      <c r="J8" s="449" t="s">
        <v>61</v>
      </c>
      <c r="K8" s="449" t="s">
        <v>62</v>
      </c>
      <c r="L8" s="449" t="s">
        <v>63</v>
      </c>
      <c r="M8" s="449" t="s">
        <v>64</v>
      </c>
      <c r="N8" s="449" t="s">
        <v>65</v>
      </c>
      <c r="O8" s="449" t="s">
        <v>66</v>
      </c>
      <c r="P8" s="449" t="s">
        <v>67</v>
      </c>
      <c r="Q8" s="449" t="s">
        <v>68</v>
      </c>
      <c r="R8" s="449" t="s">
        <v>69</v>
      </c>
      <c r="S8" s="449" t="s">
        <v>70</v>
      </c>
      <c r="T8" s="449" t="s">
        <v>71</v>
      </c>
      <c r="U8" s="449" t="s">
        <v>72</v>
      </c>
      <c r="V8" s="449" t="s">
        <v>73</v>
      </c>
      <c r="W8" s="449" t="s">
        <v>74</v>
      </c>
      <c r="X8" s="449" t="s">
        <v>75</v>
      </c>
      <c r="Y8" s="449" t="s">
        <v>76</v>
      </c>
      <c r="Z8" s="449" t="s">
        <v>77</v>
      </c>
      <c r="AA8" s="449" t="s">
        <v>78</v>
      </c>
      <c r="AB8" s="449" t="s">
        <v>79</v>
      </c>
      <c r="AC8" s="449" t="s">
        <v>80</v>
      </c>
      <c r="AD8" s="453" t="s">
        <v>81</v>
      </c>
      <c r="AE8" s="453" t="s">
        <v>82</v>
      </c>
      <c r="AF8" s="453" t="s">
        <v>83</v>
      </c>
      <c r="AG8" s="453" t="s">
        <v>84</v>
      </c>
      <c r="AH8" s="453" t="s">
        <v>85</v>
      </c>
      <c r="AI8" s="453" t="s">
        <v>86</v>
      </c>
      <c r="AJ8" s="453" t="s">
        <v>87</v>
      </c>
      <c r="AK8" s="453" t="s">
        <v>88</v>
      </c>
      <c r="AL8" s="453" t="s">
        <v>2074</v>
      </c>
    </row>
    <row r="9" spans="1:38" ht="15" thickBot="1">
      <c r="A9" s="118" t="s">
        <v>596</v>
      </c>
      <c r="B9" s="118" t="s">
        <v>848</v>
      </c>
      <c r="C9" s="112"/>
      <c r="D9" s="119">
        <f t="shared" ref="D9:Y9" si="0">SUM(D10:D17)</f>
        <v>0</v>
      </c>
      <c r="E9" s="119">
        <f t="shared" si="0"/>
        <v>0</v>
      </c>
      <c r="F9" s="119">
        <f t="shared" si="0"/>
        <v>9923</v>
      </c>
      <c r="G9" s="119">
        <f t="shared" si="0"/>
        <v>142995</v>
      </c>
      <c r="H9" s="119">
        <f t="shared" si="0"/>
        <v>143495</v>
      </c>
      <c r="I9" s="119">
        <f t="shared" si="0"/>
        <v>103366</v>
      </c>
      <c r="J9" s="119">
        <f t="shared" si="0"/>
        <v>134755</v>
      </c>
      <c r="K9" s="119">
        <f t="shared" si="0"/>
        <v>513686</v>
      </c>
      <c r="L9" s="119">
        <f t="shared" si="0"/>
        <v>675627</v>
      </c>
      <c r="M9" s="119">
        <f t="shared" si="0"/>
        <v>1163460</v>
      </c>
      <c r="N9" s="119">
        <f t="shared" si="0"/>
        <v>1485647</v>
      </c>
      <c r="O9" s="119">
        <f t="shared" si="0"/>
        <v>1945431</v>
      </c>
      <c r="P9" s="119">
        <f t="shared" si="0"/>
        <v>1072192.9340600001</v>
      </c>
      <c r="Q9" s="119">
        <f t="shared" si="0"/>
        <v>591704</v>
      </c>
      <c r="R9" s="119">
        <f t="shared" si="0"/>
        <v>647919</v>
      </c>
      <c r="S9" s="119">
        <f t="shared" si="0"/>
        <v>735974.16735</v>
      </c>
      <c r="T9" s="119">
        <f t="shared" si="0"/>
        <v>328144.53672999993</v>
      </c>
      <c r="U9" s="119">
        <f t="shared" si="0"/>
        <v>383858.12818999996</v>
      </c>
      <c r="V9" s="119">
        <f t="shared" si="0"/>
        <v>350164.34206</v>
      </c>
      <c r="W9" s="119">
        <f t="shared" si="0"/>
        <v>425636</v>
      </c>
      <c r="X9" s="119">
        <f t="shared" si="0"/>
        <v>476236</v>
      </c>
      <c r="Y9" s="119">
        <f t="shared" si="0"/>
        <v>361348</v>
      </c>
      <c r="Z9" s="119">
        <f t="shared" ref="Z9:AK9" si="1">SUM(Z10:Z17)</f>
        <v>303730</v>
      </c>
      <c r="AA9" s="119">
        <f t="shared" si="1"/>
        <v>353917.05000000005</v>
      </c>
      <c r="AB9" s="119">
        <f t="shared" si="1"/>
        <v>356144.68083000003</v>
      </c>
      <c r="AC9" s="119">
        <f t="shared" si="1"/>
        <v>375851.89542999998</v>
      </c>
      <c r="AD9" s="119">
        <f t="shared" si="1"/>
        <v>435889.69406249997</v>
      </c>
      <c r="AE9" s="119">
        <f t="shared" si="1"/>
        <v>438202.35199999996</v>
      </c>
      <c r="AF9" s="119">
        <f t="shared" si="1"/>
        <v>383880.90299999999</v>
      </c>
      <c r="AG9" s="119">
        <f t="shared" si="1"/>
        <v>378767.99699999997</v>
      </c>
      <c r="AH9" s="119">
        <f t="shared" si="1"/>
        <v>591236.99400000006</v>
      </c>
      <c r="AI9" s="119">
        <f t="shared" si="1"/>
        <v>370676.223</v>
      </c>
      <c r="AJ9" s="119">
        <f t="shared" si="1"/>
        <v>355489.864</v>
      </c>
      <c r="AK9" s="119">
        <f t="shared" si="1"/>
        <v>360626.87300000002</v>
      </c>
      <c r="AL9" s="119">
        <f t="shared" ref="AL9" si="2">SUM(AL10:AL17)</f>
        <v>370972.95699999999</v>
      </c>
    </row>
    <row r="10" spans="1:38">
      <c r="A10" s="115" t="s">
        <v>913</v>
      </c>
      <c r="B10" s="115" t="s">
        <v>927</v>
      </c>
      <c r="C10" s="112"/>
      <c r="D10" s="337"/>
      <c r="E10" s="337"/>
      <c r="F10" s="337"/>
      <c r="G10" s="337"/>
      <c r="H10" s="337"/>
      <c r="I10" s="337"/>
      <c r="J10" s="337"/>
      <c r="K10" s="337"/>
      <c r="L10" s="337"/>
      <c r="M10" s="337"/>
      <c r="N10" s="337"/>
      <c r="O10" s="337">
        <v>322</v>
      </c>
      <c r="P10" s="337">
        <v>0</v>
      </c>
      <c r="Q10" s="337">
        <v>2260</v>
      </c>
      <c r="R10" s="337">
        <v>389151</v>
      </c>
      <c r="S10" s="337">
        <v>-6195.9338599999901</v>
      </c>
      <c r="T10" s="337">
        <v>1.2445199999809264</v>
      </c>
      <c r="U10" s="337"/>
      <c r="V10" s="337"/>
      <c r="W10" s="337">
        <v>0</v>
      </c>
      <c r="X10" s="337"/>
      <c r="Y10" s="337">
        <v>0</v>
      </c>
      <c r="Z10" s="337">
        <v>0</v>
      </c>
      <c r="AA10" s="337">
        <v>0</v>
      </c>
      <c r="AB10" s="337">
        <v>0</v>
      </c>
      <c r="AC10" s="337">
        <v>0</v>
      </c>
      <c r="AD10" s="337"/>
      <c r="AE10" s="337"/>
      <c r="AF10" s="337"/>
      <c r="AG10" s="337"/>
      <c r="AH10" s="337"/>
      <c r="AI10" s="337"/>
      <c r="AJ10" s="337"/>
      <c r="AK10" s="337"/>
      <c r="AL10" s="337"/>
    </row>
    <row r="11" spans="1:38">
      <c r="A11" s="115" t="s">
        <v>914</v>
      </c>
      <c r="B11" s="115" t="s">
        <v>928</v>
      </c>
      <c r="C11" s="112"/>
      <c r="D11" s="337"/>
      <c r="E11" s="337"/>
      <c r="F11" s="337"/>
      <c r="G11" s="337"/>
      <c r="H11" s="337"/>
      <c r="I11" s="337"/>
      <c r="J11" s="337"/>
      <c r="K11" s="337"/>
      <c r="L11" s="337"/>
      <c r="M11" s="337">
        <v>781</v>
      </c>
      <c r="N11" s="337">
        <v>6776</v>
      </c>
      <c r="O11" s="337">
        <v>-7557</v>
      </c>
      <c r="P11" s="337">
        <v>769.66656</v>
      </c>
      <c r="Q11" s="337">
        <v>2003</v>
      </c>
      <c r="R11" s="337">
        <v>4567</v>
      </c>
      <c r="S11" s="337">
        <v>3526.2989400000006</v>
      </c>
      <c r="T11" s="337">
        <v>2719.5368900000003</v>
      </c>
      <c r="U11" s="337">
        <v>5297.7349600000007</v>
      </c>
      <c r="V11" s="337">
        <v>4527.7281500000008</v>
      </c>
      <c r="W11" s="337">
        <v>6873</v>
      </c>
      <c r="X11" s="337">
        <v>15039</v>
      </c>
      <c r="Y11" s="337">
        <v>28057</v>
      </c>
      <c r="Z11" s="337">
        <v>21229</v>
      </c>
      <c r="AA11" s="337">
        <v>29360</v>
      </c>
      <c r="AB11" s="337">
        <v>25689</v>
      </c>
      <c r="AC11" s="337">
        <v>24659.370999999999</v>
      </c>
      <c r="AD11" s="337">
        <v>47764.966</v>
      </c>
      <c r="AE11" s="337">
        <v>35514.927000000003</v>
      </c>
      <c r="AF11" s="337">
        <v>20219.705999999998</v>
      </c>
      <c r="AG11" s="337">
        <v>27495.419000000002</v>
      </c>
      <c r="AH11" s="337">
        <v>31165.956999999999</v>
      </c>
      <c r="AI11" s="337">
        <v>29626.232</v>
      </c>
      <c r="AJ11" s="337">
        <v>30408.835999999999</v>
      </c>
      <c r="AK11" s="337">
        <v>36018.392</v>
      </c>
      <c r="AL11" s="337">
        <v>35882.218999999997</v>
      </c>
    </row>
    <row r="12" spans="1:38">
      <c r="A12" s="115" t="s">
        <v>606</v>
      </c>
      <c r="B12" s="115" t="s">
        <v>851</v>
      </c>
      <c r="C12" s="112"/>
      <c r="D12" s="337"/>
      <c r="E12" s="337"/>
      <c r="F12" s="337">
        <v>9683</v>
      </c>
      <c r="G12" s="337">
        <v>141393</v>
      </c>
      <c r="H12" s="337">
        <v>133306</v>
      </c>
      <c r="I12" s="337">
        <v>91022</v>
      </c>
      <c r="J12" s="337">
        <v>118945</v>
      </c>
      <c r="K12" s="337">
        <v>503562</v>
      </c>
      <c r="L12" s="337">
        <v>643077</v>
      </c>
      <c r="M12" s="340">
        <v>1111691</v>
      </c>
      <c r="N12" s="337">
        <v>1398844</v>
      </c>
      <c r="O12" s="337">
        <v>1493035</v>
      </c>
      <c r="P12" s="337">
        <v>868792.4585999999</v>
      </c>
      <c r="Q12" s="337">
        <v>352962</v>
      </c>
      <c r="R12" s="337"/>
      <c r="S12" s="337">
        <v>710168.90979000006</v>
      </c>
      <c r="T12" s="337">
        <v>301785.47652999999</v>
      </c>
      <c r="U12" s="337">
        <v>76844.393229999987</v>
      </c>
      <c r="V12" s="337">
        <v>36023.130240000028</v>
      </c>
      <c r="W12" s="337">
        <v>104201</v>
      </c>
      <c r="X12" s="337">
        <v>107282</v>
      </c>
      <c r="Y12" s="337">
        <v>0</v>
      </c>
      <c r="Z12" s="337">
        <v>0</v>
      </c>
      <c r="AA12" s="337">
        <v>0</v>
      </c>
      <c r="AB12" s="337">
        <v>1355.6684599999999</v>
      </c>
      <c r="AC12" s="337">
        <v>7231.7060000000001</v>
      </c>
      <c r="AD12" s="337">
        <v>61013.017999999996</v>
      </c>
      <c r="AE12" s="337">
        <v>28275.884999999998</v>
      </c>
      <c r="AF12" s="337">
        <v>6097.1580000000004</v>
      </c>
      <c r="AG12" s="337">
        <v>1430.386</v>
      </c>
      <c r="AH12" s="337">
        <v>133.16399999999999</v>
      </c>
      <c r="AI12" s="337">
        <v>1145.271</v>
      </c>
      <c r="AJ12" s="337"/>
      <c r="AK12" s="337"/>
      <c r="AL12" s="337"/>
    </row>
    <row r="13" spans="1:38">
      <c r="A13" s="115" t="s">
        <v>915</v>
      </c>
      <c r="B13" s="115" t="s">
        <v>929</v>
      </c>
      <c r="C13" s="112"/>
      <c r="D13" s="337"/>
      <c r="E13" s="337"/>
      <c r="G13" s="337"/>
      <c r="M13" s="337"/>
      <c r="N13" s="337">
        <v>9259</v>
      </c>
      <c r="O13" s="337">
        <v>-9259</v>
      </c>
      <c r="P13" s="337">
        <v>0</v>
      </c>
      <c r="Q13" s="337"/>
      <c r="R13" s="337"/>
      <c r="S13" s="337">
        <v>81603.676259999993</v>
      </c>
      <c r="T13" s="337">
        <v>0</v>
      </c>
      <c r="U13" s="337"/>
      <c r="V13" s="337"/>
      <c r="W13" s="337">
        <v>0</v>
      </c>
      <c r="X13" s="337"/>
      <c r="Y13" s="337">
        <v>0</v>
      </c>
      <c r="Z13" s="337">
        <v>0</v>
      </c>
      <c r="AA13" s="337">
        <v>0</v>
      </c>
      <c r="AB13" s="337">
        <v>0</v>
      </c>
      <c r="AC13" s="337">
        <v>0</v>
      </c>
      <c r="AD13" s="337"/>
      <c r="AE13" s="337"/>
      <c r="AF13" s="337"/>
      <c r="AG13" s="337"/>
      <c r="AH13" s="337"/>
      <c r="AI13" s="337"/>
      <c r="AJ13" s="337"/>
      <c r="AK13" s="337"/>
      <c r="AL13" s="337"/>
    </row>
    <row r="14" spans="1:38">
      <c r="A14" s="115" t="s">
        <v>930</v>
      </c>
      <c r="B14" s="115" t="s">
        <v>931</v>
      </c>
      <c r="C14" s="112"/>
      <c r="D14" s="337"/>
      <c r="E14" s="337"/>
      <c r="G14" s="337"/>
      <c r="M14" s="337"/>
      <c r="N14" s="337"/>
      <c r="O14" s="337"/>
      <c r="P14" s="337">
        <v>0</v>
      </c>
      <c r="Q14" s="337">
        <v>83309</v>
      </c>
      <c r="R14" s="337"/>
      <c r="S14" s="337"/>
      <c r="T14" s="337">
        <v>356145.04414999997</v>
      </c>
      <c r="U14" s="337">
        <v>206811</v>
      </c>
      <c r="V14" s="337"/>
      <c r="W14" s="337"/>
      <c r="X14" s="337">
        <v>339879</v>
      </c>
      <c r="Y14" s="337">
        <v>312613</v>
      </c>
      <c r="Z14" s="337">
        <v>0</v>
      </c>
      <c r="AA14" s="337">
        <v>0</v>
      </c>
      <c r="AB14" s="337">
        <v>329100</v>
      </c>
      <c r="AC14" s="337">
        <v>343957.05643</v>
      </c>
      <c r="AD14" s="337">
        <v>327111.71006249997</v>
      </c>
      <c r="AE14" s="337">
        <v>374411.54</v>
      </c>
      <c r="AF14" s="337">
        <v>357564.03899999999</v>
      </c>
      <c r="AG14" s="337">
        <v>349842.19199999998</v>
      </c>
      <c r="AH14" s="337">
        <v>559937.87300000002</v>
      </c>
      <c r="AI14" s="337">
        <v>339904.72</v>
      </c>
      <c r="AJ14" s="337">
        <v>325081.02799999999</v>
      </c>
      <c r="AK14" s="337">
        <v>324608.48100000003</v>
      </c>
      <c r="AL14" s="337">
        <v>335090.73800000001</v>
      </c>
    </row>
    <row r="15" spans="1:38">
      <c r="A15" s="115" t="s">
        <v>626</v>
      </c>
      <c r="B15" s="115" t="s">
        <v>932</v>
      </c>
      <c r="C15" s="112"/>
      <c r="D15" s="337"/>
      <c r="E15" s="337"/>
      <c r="G15" s="337"/>
      <c r="M15" s="337"/>
      <c r="N15" s="337"/>
      <c r="O15" s="337"/>
      <c r="P15" s="337">
        <v>216195.24131000001</v>
      </c>
      <c r="Q15" s="337">
        <v>-40547</v>
      </c>
      <c r="R15" s="337"/>
      <c r="S15" s="337">
        <v>-259290.27708000003</v>
      </c>
      <c r="T15" s="337">
        <v>-42930.616739999998</v>
      </c>
      <c r="U15" s="337">
        <v>86344</v>
      </c>
      <c r="V15" s="337"/>
      <c r="W15" s="337">
        <v>-875530</v>
      </c>
      <c r="X15" s="337"/>
      <c r="Y15" s="337">
        <v>0</v>
      </c>
      <c r="Z15" s="337">
        <v>313670</v>
      </c>
      <c r="AA15" s="337">
        <v>-966162</v>
      </c>
      <c r="AB15" s="337">
        <v>0</v>
      </c>
      <c r="AC15" s="337">
        <v>0</v>
      </c>
      <c r="AD15" s="337"/>
      <c r="AE15" s="337"/>
      <c r="AF15" s="337"/>
      <c r="AG15" s="337"/>
      <c r="AH15" s="337"/>
      <c r="AI15" s="337"/>
      <c r="AJ15" s="337"/>
      <c r="AK15" s="337"/>
      <c r="AL15" s="337"/>
    </row>
    <row r="16" spans="1:38">
      <c r="A16" s="115" t="s">
        <v>933</v>
      </c>
      <c r="B16" s="115" t="s">
        <v>934</v>
      </c>
      <c r="C16" s="112"/>
      <c r="D16" s="337"/>
      <c r="E16" s="337"/>
      <c r="G16" s="337"/>
      <c r="M16" s="337"/>
      <c r="N16" s="337"/>
      <c r="O16" s="337"/>
      <c r="P16" s="337">
        <v>-14707.235680000002</v>
      </c>
      <c r="Q16" s="337">
        <v>191436</v>
      </c>
      <c r="R16" s="337">
        <v>250970</v>
      </c>
      <c r="S16" s="337">
        <v>195356.12375999999</v>
      </c>
      <c r="T16" s="337">
        <v>-296179.96953</v>
      </c>
      <c r="U16" s="337"/>
      <c r="V16" s="337">
        <v>298132.48366999999</v>
      </c>
      <c r="W16" s="337">
        <v>1175307</v>
      </c>
      <c r="X16" s="337"/>
      <c r="Y16" s="337">
        <v>0</v>
      </c>
      <c r="Z16" s="337">
        <v>0</v>
      </c>
      <c r="AA16" s="337">
        <v>1290592.05</v>
      </c>
      <c r="AB16" s="337">
        <v>0</v>
      </c>
      <c r="AC16" s="337">
        <v>0</v>
      </c>
      <c r="AD16" s="337"/>
      <c r="AE16" s="337"/>
      <c r="AF16" s="337"/>
      <c r="AG16" s="337"/>
      <c r="AH16" s="337"/>
      <c r="AI16" s="337"/>
      <c r="AJ16" s="337"/>
      <c r="AK16" s="337"/>
      <c r="AL16" s="337"/>
    </row>
    <row r="17" spans="1:38" ht="15" thickBot="1">
      <c r="A17" s="115" t="s">
        <v>614</v>
      </c>
      <c r="B17" s="115" t="s">
        <v>615</v>
      </c>
      <c r="C17" s="112"/>
      <c r="D17" s="337"/>
      <c r="E17" s="337"/>
      <c r="F17" s="337">
        <v>240</v>
      </c>
      <c r="G17" s="337">
        <v>1602</v>
      </c>
      <c r="H17" s="337">
        <v>10189</v>
      </c>
      <c r="I17" s="337">
        <v>12344</v>
      </c>
      <c r="J17" s="337">
        <v>15810</v>
      </c>
      <c r="K17" s="337">
        <v>10124</v>
      </c>
      <c r="L17" s="337">
        <v>32550</v>
      </c>
      <c r="M17" s="337">
        <v>50988</v>
      </c>
      <c r="N17" s="337">
        <v>70768</v>
      </c>
      <c r="O17" s="337">
        <v>468890</v>
      </c>
      <c r="P17" s="337">
        <v>1142.8032700000001</v>
      </c>
      <c r="Q17" s="337">
        <v>281</v>
      </c>
      <c r="R17" s="337">
        <v>3231</v>
      </c>
      <c r="S17" s="337">
        <v>10805.369540000002</v>
      </c>
      <c r="T17" s="337">
        <v>6603.8209100000004</v>
      </c>
      <c r="U17" s="337">
        <v>8561</v>
      </c>
      <c r="V17" s="337">
        <v>11481</v>
      </c>
      <c r="W17" s="337">
        <v>14785</v>
      </c>
      <c r="X17" s="337">
        <v>14036</v>
      </c>
      <c r="Y17" s="337">
        <v>20678</v>
      </c>
      <c r="Z17" s="337">
        <v>-31169</v>
      </c>
      <c r="AA17" s="337">
        <v>127</v>
      </c>
      <c r="AB17" s="337">
        <v>1.2370000007649651E-2</v>
      </c>
      <c r="AC17" s="337">
        <v>3.762</v>
      </c>
      <c r="AD17" s="337"/>
      <c r="AE17" s="337">
        <v>0</v>
      </c>
      <c r="AF17" s="337"/>
      <c r="AG17" s="337"/>
      <c r="AH17" s="337"/>
      <c r="AI17" s="337"/>
      <c r="AJ17" s="337"/>
      <c r="AK17" s="337"/>
      <c r="AL17" s="337"/>
    </row>
    <row r="18" spans="1:38" ht="15" thickBot="1">
      <c r="A18" s="118" t="s">
        <v>858</v>
      </c>
      <c r="B18" s="118" t="s">
        <v>859</v>
      </c>
      <c r="C18" s="112"/>
      <c r="D18" s="119"/>
      <c r="E18" s="119"/>
      <c r="F18" s="119"/>
      <c r="G18" s="119">
        <v>-13975</v>
      </c>
      <c r="H18" s="119">
        <v>-12266</v>
      </c>
      <c r="I18" s="119">
        <v>-8484</v>
      </c>
      <c r="J18" s="119">
        <v>-11002</v>
      </c>
      <c r="K18" s="119">
        <v>-51094</v>
      </c>
      <c r="L18" s="119">
        <v>-62184</v>
      </c>
      <c r="M18" s="119">
        <v>-107873</v>
      </c>
      <c r="N18" s="119">
        <v>-137071</v>
      </c>
      <c r="O18" s="119">
        <v>-179898</v>
      </c>
      <c r="P18" s="119">
        <v>-100499.34121</v>
      </c>
      <c r="Q18" s="119">
        <v>-58385</v>
      </c>
      <c r="R18" s="119">
        <v>-66037</v>
      </c>
      <c r="S18" s="119">
        <v>-75977.113219999999</v>
      </c>
      <c r="T18" s="119">
        <v>-44384.487800000003</v>
      </c>
      <c r="U18" s="119">
        <v>-24653</v>
      </c>
      <c r="V18" s="119">
        <v>-21391</v>
      </c>
      <c r="W18" s="119">
        <v>-31441</v>
      </c>
      <c r="X18" s="119">
        <v>-31645</v>
      </c>
      <c r="Y18" s="119">
        <v>-19758</v>
      </c>
      <c r="Z18" s="119">
        <v>-19615</v>
      </c>
      <c r="AA18" s="119">
        <v>-21984.294999999984</v>
      </c>
      <c r="AB18" s="119">
        <v>-20527</v>
      </c>
      <c r="AC18" s="119">
        <v>-21143.014429999996</v>
      </c>
      <c r="AD18" s="119">
        <v>-25613.230062499999</v>
      </c>
      <c r="AE18" s="119">
        <v>-70806.016000000003</v>
      </c>
      <c r="AF18" s="119">
        <v>-35028.089000000007</v>
      </c>
      <c r="AG18" s="119">
        <v>-35776.637999999992</v>
      </c>
      <c r="AH18" s="119">
        <v>-44175.329999999987</v>
      </c>
      <c r="AI18" s="119">
        <v>-30902.387999999999</v>
      </c>
      <c r="AJ18" s="119">
        <v>-30125.487999999998</v>
      </c>
      <c r="AK18" s="119">
        <v>-31119.205999999998</v>
      </c>
      <c r="AL18" s="119">
        <v>-31908.481</v>
      </c>
    </row>
    <row r="19" spans="1:38" ht="15" thickBot="1">
      <c r="A19" s="118" t="s">
        <v>646</v>
      </c>
      <c r="B19" s="118" t="s">
        <v>860</v>
      </c>
      <c r="C19" s="120"/>
      <c r="D19" s="338">
        <f t="shared" ref="D19:Y19" si="3">D9+D18</f>
        <v>0</v>
      </c>
      <c r="E19" s="338">
        <f t="shared" si="3"/>
        <v>0</v>
      </c>
      <c r="F19" s="338">
        <f t="shared" si="3"/>
        <v>9923</v>
      </c>
      <c r="G19" s="338">
        <f t="shared" si="3"/>
        <v>129020</v>
      </c>
      <c r="H19" s="338">
        <f t="shared" si="3"/>
        <v>131229</v>
      </c>
      <c r="I19" s="338">
        <f t="shared" si="3"/>
        <v>94882</v>
      </c>
      <c r="J19" s="338">
        <f t="shared" si="3"/>
        <v>123753</v>
      </c>
      <c r="K19" s="338">
        <f t="shared" si="3"/>
        <v>462592</v>
      </c>
      <c r="L19" s="338">
        <f t="shared" si="3"/>
        <v>613443</v>
      </c>
      <c r="M19" s="338">
        <f t="shared" si="3"/>
        <v>1055587</v>
      </c>
      <c r="N19" s="338">
        <f t="shared" si="3"/>
        <v>1348576</v>
      </c>
      <c r="O19" s="338">
        <f t="shared" si="3"/>
        <v>1765533</v>
      </c>
      <c r="P19" s="338">
        <f t="shared" si="3"/>
        <v>971693.59285000013</v>
      </c>
      <c r="Q19" s="338">
        <f t="shared" si="3"/>
        <v>533319</v>
      </c>
      <c r="R19" s="338">
        <f t="shared" si="3"/>
        <v>581882</v>
      </c>
      <c r="S19" s="338">
        <f t="shared" si="3"/>
        <v>659997.05413000006</v>
      </c>
      <c r="T19" s="338">
        <f t="shared" si="3"/>
        <v>283760.04892999993</v>
      </c>
      <c r="U19" s="338">
        <f t="shared" si="3"/>
        <v>359205.12818999996</v>
      </c>
      <c r="V19" s="338">
        <f t="shared" si="3"/>
        <v>328773.34206</v>
      </c>
      <c r="W19" s="338">
        <f t="shared" si="3"/>
        <v>394195</v>
      </c>
      <c r="X19" s="338">
        <f t="shared" si="3"/>
        <v>444591</v>
      </c>
      <c r="Y19" s="338">
        <f t="shared" si="3"/>
        <v>341590</v>
      </c>
      <c r="Z19" s="338">
        <f t="shared" ref="Z19:AI19" si="4">Z9+Z18</f>
        <v>284115</v>
      </c>
      <c r="AA19" s="338">
        <f t="shared" si="4"/>
        <v>331932.75500000006</v>
      </c>
      <c r="AB19" s="338">
        <f t="shared" si="4"/>
        <v>335617.68083000003</v>
      </c>
      <c r="AC19" s="338">
        <f t="shared" si="4"/>
        <v>354708.88099999999</v>
      </c>
      <c r="AD19" s="338">
        <f t="shared" si="4"/>
        <v>410276.46399999998</v>
      </c>
      <c r="AE19" s="338">
        <f t="shared" si="4"/>
        <v>367396.33599999995</v>
      </c>
      <c r="AF19" s="338">
        <f t="shared" si="4"/>
        <v>348852.81400000001</v>
      </c>
      <c r="AG19" s="338">
        <f t="shared" si="4"/>
        <v>342991.359</v>
      </c>
      <c r="AH19" s="338">
        <f t="shared" si="4"/>
        <v>547061.66400000011</v>
      </c>
      <c r="AI19" s="338">
        <f t="shared" si="4"/>
        <v>339773.83500000002</v>
      </c>
      <c r="AJ19" s="338">
        <f>AJ9+AJ18</f>
        <v>325364.37599999999</v>
      </c>
      <c r="AK19" s="338">
        <f>AK9+AK18</f>
        <v>329507.66700000002</v>
      </c>
      <c r="AL19" s="338">
        <f>AL9+AL18</f>
        <v>339064.47600000002</v>
      </c>
    </row>
    <row r="20" spans="1:38" ht="15" thickBot="1">
      <c r="A20" s="118" t="s">
        <v>919</v>
      </c>
      <c r="B20" s="118" t="s">
        <v>935</v>
      </c>
      <c r="C20" s="120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>
        <v>-23005</v>
      </c>
      <c r="Z20" s="119">
        <v>38367</v>
      </c>
      <c r="AA20" s="119">
        <v>0.24500000000261934</v>
      </c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</row>
    <row r="21" spans="1:38" ht="15" thickBot="1">
      <c r="A21" s="118" t="s">
        <v>873</v>
      </c>
      <c r="B21" s="118" t="s">
        <v>874</v>
      </c>
      <c r="C21" s="120"/>
      <c r="D21" s="119">
        <f t="shared" ref="D21:W21" si="5">SUM(D22:D27)</f>
        <v>0</v>
      </c>
      <c r="E21" s="119">
        <f t="shared" si="5"/>
        <v>-848</v>
      </c>
      <c r="F21" s="119">
        <f t="shared" si="5"/>
        <v>-6384</v>
      </c>
      <c r="G21" s="119">
        <f t="shared" si="5"/>
        <v>-129341</v>
      </c>
      <c r="H21" s="119">
        <f t="shared" si="5"/>
        <v>-123123</v>
      </c>
      <c r="I21" s="119">
        <f t="shared" si="5"/>
        <v>-87847</v>
      </c>
      <c r="J21" s="119">
        <f t="shared" si="5"/>
        <v>-111319</v>
      </c>
      <c r="K21" s="119">
        <f t="shared" si="5"/>
        <v>-301884</v>
      </c>
      <c r="L21" s="119">
        <f t="shared" si="5"/>
        <v>-463403</v>
      </c>
      <c r="M21" s="119">
        <f t="shared" si="5"/>
        <v>-794740</v>
      </c>
      <c r="N21" s="119">
        <f t="shared" si="5"/>
        <v>-1007353.6674499999</v>
      </c>
      <c r="O21" s="119">
        <f t="shared" si="5"/>
        <v>-1786</v>
      </c>
      <c r="P21" s="119">
        <f t="shared" si="5"/>
        <v>-469599.37370999996</v>
      </c>
      <c r="Q21" s="119">
        <f t="shared" si="5"/>
        <v>-222768</v>
      </c>
      <c r="R21" s="119">
        <f t="shared" si="5"/>
        <v>-242747</v>
      </c>
      <c r="S21" s="119">
        <f t="shared" si="5"/>
        <v>-296907.93952000007</v>
      </c>
      <c r="T21" s="119">
        <f t="shared" si="5"/>
        <v>-184072.10290999999</v>
      </c>
      <c r="U21" s="119">
        <f t="shared" si="5"/>
        <v>-121090.51560000003</v>
      </c>
      <c r="V21" s="119">
        <f t="shared" si="5"/>
        <v>-38528.740069999993</v>
      </c>
      <c r="W21" s="119">
        <f t="shared" si="5"/>
        <v>-57314</v>
      </c>
      <c r="X21" s="119">
        <f t="shared" ref="X21:AI21" si="6">SUM(X22:X28)</f>
        <v>-19960</v>
      </c>
      <c r="Y21" s="119">
        <f t="shared" si="6"/>
        <v>-24389</v>
      </c>
      <c r="Z21" s="119">
        <f t="shared" si="6"/>
        <v>-21346</v>
      </c>
      <c r="AA21" s="119">
        <f t="shared" si="6"/>
        <v>-32601</v>
      </c>
      <c r="AB21" s="119">
        <f t="shared" si="6"/>
        <v>-25240.279230000004</v>
      </c>
      <c r="AC21" s="119">
        <f t="shared" si="6"/>
        <v>-32769.998889999995</v>
      </c>
      <c r="AD21" s="119">
        <f t="shared" si="6"/>
        <v>-79745.358749999999</v>
      </c>
      <c r="AE21" s="119">
        <f t="shared" si="6"/>
        <v>-46714.909820000001</v>
      </c>
      <c r="AF21" s="119">
        <f t="shared" si="6"/>
        <v>-26262.102739999998</v>
      </c>
      <c r="AG21" s="119">
        <f t="shared" si="6"/>
        <v>-19554.130229999999</v>
      </c>
      <c r="AH21" s="119">
        <f t="shared" si="6"/>
        <v>-27606.121869999999</v>
      </c>
      <c r="AI21" s="119">
        <f t="shared" si="6"/>
        <v>203710.98262</v>
      </c>
      <c r="AJ21" s="119">
        <f>SUM(AJ22:AJ28)</f>
        <v>-24724.303459999999</v>
      </c>
      <c r="AK21" s="119">
        <f>SUM(AK22:AK28)</f>
        <v>-27357.234679999998</v>
      </c>
      <c r="AL21" s="119">
        <f>SUM(AL22:AL28)</f>
        <v>-25087.466210000002</v>
      </c>
    </row>
    <row r="22" spans="1:38">
      <c r="A22" s="115" t="s">
        <v>875</v>
      </c>
      <c r="B22" s="115" t="s">
        <v>876</v>
      </c>
      <c r="C22" s="120"/>
      <c r="D22" s="337"/>
      <c r="E22" s="337"/>
      <c r="F22" s="337">
        <v>-196</v>
      </c>
      <c r="G22" s="337">
        <v>-141</v>
      </c>
      <c r="H22" s="337"/>
      <c r="I22" s="337">
        <v>-3312</v>
      </c>
      <c r="J22" s="337">
        <v>-2127</v>
      </c>
      <c r="K22" s="337">
        <v>8774</v>
      </c>
      <c r="L22" s="337"/>
      <c r="M22" s="337"/>
      <c r="N22" s="337"/>
      <c r="O22" s="337">
        <v>-974</v>
      </c>
      <c r="P22" s="337">
        <v>-733.0973999999992</v>
      </c>
      <c r="Q22" s="337">
        <v>-2726</v>
      </c>
      <c r="R22" s="337">
        <v>-1944</v>
      </c>
      <c r="S22" s="337">
        <v>-9582.803729999996</v>
      </c>
      <c r="T22" s="337">
        <v>-4397.0078900000008</v>
      </c>
      <c r="U22" s="337">
        <v>-3063.386469999999</v>
      </c>
      <c r="V22" s="337">
        <v>-9955.6056400000052</v>
      </c>
      <c r="W22" s="337">
        <v>-8386</v>
      </c>
      <c r="X22" s="337">
        <v>-8423</v>
      </c>
      <c r="Y22" s="337">
        <v>-8576</v>
      </c>
      <c r="Z22" s="337">
        <v>-8889</v>
      </c>
      <c r="AA22" s="337">
        <v>-10527</v>
      </c>
      <c r="AB22" s="337">
        <v>-10633.622150000003</v>
      </c>
      <c r="AC22" s="337">
        <v>-8919.996149999999</v>
      </c>
      <c r="AD22" s="337">
        <v>-11058.333720000001</v>
      </c>
      <c r="AE22" s="337">
        <v>-7381.2777700000006</v>
      </c>
      <c r="AF22" s="337">
        <v>-8952.3142499999994</v>
      </c>
      <c r="AG22" s="337">
        <v>-8747.5060300000005</v>
      </c>
      <c r="AH22" s="337">
        <v>-8305.8140199999998</v>
      </c>
      <c r="AI22" s="337">
        <v>-9007.3540900000007</v>
      </c>
      <c r="AJ22" s="337">
        <v>-7741.5670200000004</v>
      </c>
      <c r="AK22" s="337">
        <v>-7977.3850000000002</v>
      </c>
      <c r="AL22" s="337">
        <v>-7084.5990000000002</v>
      </c>
    </row>
    <row r="23" spans="1:38">
      <c r="A23" s="115" t="s">
        <v>877</v>
      </c>
      <c r="B23" s="115" t="s">
        <v>877</v>
      </c>
      <c r="C23" s="120"/>
      <c r="D23" s="337"/>
      <c r="E23" s="337">
        <v>-4</v>
      </c>
      <c r="F23" s="337">
        <v>15</v>
      </c>
      <c r="G23" s="337">
        <v>-90</v>
      </c>
      <c r="H23" s="337"/>
      <c r="I23" s="337">
        <v>-16</v>
      </c>
      <c r="J23" s="337">
        <v>-31</v>
      </c>
      <c r="K23" s="337">
        <v>31</v>
      </c>
      <c r="L23" s="337"/>
      <c r="M23" s="337">
        <v>-2</v>
      </c>
      <c r="N23" s="337">
        <v>-3</v>
      </c>
      <c r="O23" s="337">
        <v>-116</v>
      </c>
      <c r="P23" s="337">
        <v>-121.26676999999999</v>
      </c>
      <c r="Q23" s="337">
        <v>-72</v>
      </c>
      <c r="R23" s="337">
        <v>-188</v>
      </c>
      <c r="S23" s="337">
        <v>-125.69810000000007</v>
      </c>
      <c r="T23" s="337">
        <v>-63.872559999999993</v>
      </c>
      <c r="U23" s="337">
        <v>-268.23597999999998</v>
      </c>
      <c r="V23" s="337">
        <v>-383.89146000000005</v>
      </c>
      <c r="W23" s="337">
        <v>-633</v>
      </c>
      <c r="X23" s="337">
        <v>-304</v>
      </c>
      <c r="Y23" s="337">
        <v>-682</v>
      </c>
      <c r="Z23" s="337">
        <v>-289</v>
      </c>
      <c r="AA23" s="337">
        <v>-993</v>
      </c>
      <c r="AB23" s="337">
        <v>-987.9697799999999</v>
      </c>
      <c r="AC23" s="337">
        <v>-640.00072999999998</v>
      </c>
      <c r="AD23" s="337">
        <v>-333.70517000000001</v>
      </c>
      <c r="AE23" s="337">
        <v>-363.75536</v>
      </c>
      <c r="AF23" s="337">
        <v>-342.22136</v>
      </c>
      <c r="AG23" s="337">
        <v>-56.883099999999999</v>
      </c>
      <c r="AH23" s="337">
        <v>-442.28676000000002</v>
      </c>
      <c r="AI23" s="337">
        <v>14.313589999999998</v>
      </c>
      <c r="AJ23" s="337">
        <v>-156.73925</v>
      </c>
      <c r="AK23" s="337">
        <v>-927.61199999999997</v>
      </c>
      <c r="AL23" s="337">
        <v>-315.19400000000002</v>
      </c>
    </row>
    <row r="24" spans="1:38">
      <c r="A24" s="115" t="s">
        <v>878</v>
      </c>
      <c r="B24" s="115" t="s">
        <v>879</v>
      </c>
      <c r="C24" s="324"/>
      <c r="D24" s="337"/>
      <c r="E24" s="337">
        <v>-49</v>
      </c>
      <c r="F24" s="337">
        <v>3221</v>
      </c>
      <c r="G24" s="337">
        <v>-1320</v>
      </c>
      <c r="H24" s="337">
        <v>73</v>
      </c>
      <c r="I24" s="337">
        <v>-637</v>
      </c>
      <c r="J24" s="337">
        <v>-1095</v>
      </c>
      <c r="K24" s="337">
        <v>1793</v>
      </c>
      <c r="L24" s="337">
        <v>-15</v>
      </c>
      <c r="M24" s="337"/>
      <c r="N24" s="337">
        <v>-522</v>
      </c>
      <c r="O24" s="337">
        <v>-489</v>
      </c>
      <c r="P24" s="337">
        <v>-728.69161000000031</v>
      </c>
      <c r="Q24" s="337">
        <v>-1661</v>
      </c>
      <c r="R24" s="337">
        <v>-1956</v>
      </c>
      <c r="S24" s="337">
        <v>-3707.5206999999969</v>
      </c>
      <c r="T24" s="337">
        <v>-2245.3326499999998</v>
      </c>
      <c r="U24" s="337">
        <v>-5449.4639600000237</v>
      </c>
      <c r="V24" s="337">
        <v>-5982.6793899999993</v>
      </c>
      <c r="W24" s="337">
        <v>-6924</v>
      </c>
      <c r="X24" s="337">
        <v>-4494</v>
      </c>
      <c r="Y24" s="337">
        <v>-14998</v>
      </c>
      <c r="Z24" s="337">
        <v>-12820</v>
      </c>
      <c r="AA24" s="337">
        <v>1969</v>
      </c>
      <c r="AB24" s="337">
        <v>-7934.9851900000003</v>
      </c>
      <c r="AC24" s="337">
        <v>-7265.9658600000012</v>
      </c>
      <c r="AD24" s="337">
        <v>-12911.68468</v>
      </c>
      <c r="AE24" s="337">
        <v>-8392.5364200000004</v>
      </c>
      <c r="AF24" s="337">
        <v>-7470.924</v>
      </c>
      <c r="AG24" s="337">
        <v>-9002.8876199999995</v>
      </c>
      <c r="AH24" s="337">
        <v>-7905.226279999999</v>
      </c>
      <c r="AI24" s="337">
        <v>-33022.225039999998</v>
      </c>
      <c r="AJ24" s="337">
        <v>-16042.45263</v>
      </c>
      <c r="AK24" s="337">
        <v>-19202.392619999999</v>
      </c>
      <c r="AL24" s="337">
        <v>-17967.290499999999</v>
      </c>
    </row>
    <row r="25" spans="1:38">
      <c r="A25" s="115" t="s">
        <v>920</v>
      </c>
      <c r="B25" s="115" t="s">
        <v>868</v>
      </c>
      <c r="C25" s="120"/>
      <c r="D25" s="337"/>
      <c r="E25" s="337">
        <v>-795</v>
      </c>
      <c r="F25" s="337">
        <v>-9683</v>
      </c>
      <c r="G25" s="337">
        <v>-127418</v>
      </c>
      <c r="H25" s="337">
        <f>-123392+196</f>
        <v>-123196</v>
      </c>
      <c r="I25" s="337">
        <v>-83853</v>
      </c>
      <c r="J25" s="337">
        <v>-107942</v>
      </c>
      <c r="K25" s="337">
        <v>-312637</v>
      </c>
      <c r="L25" s="337">
        <v>-463388</v>
      </c>
      <c r="M25" s="337">
        <v>-794738</v>
      </c>
      <c r="N25" s="337">
        <v>-1006829</v>
      </c>
      <c r="O25" s="337"/>
      <c r="P25" s="337">
        <v>-467993.25327999995</v>
      </c>
      <c r="Q25" s="337">
        <v>-217765</v>
      </c>
      <c r="R25" s="337">
        <v>-238324</v>
      </c>
      <c r="S25" s="337">
        <v>-282985.10194000008</v>
      </c>
      <c r="T25" s="337">
        <v>-176947.00722999999</v>
      </c>
      <c r="U25" s="337">
        <v>-43179.429190000003</v>
      </c>
      <c r="V25" s="337">
        <v>-20728.563579999987</v>
      </c>
      <c r="W25" s="337">
        <v>-39956</v>
      </c>
      <c r="X25" s="337">
        <v>-5465</v>
      </c>
      <c r="Y25" s="337">
        <v>0</v>
      </c>
      <c r="Z25" s="337">
        <v>1</v>
      </c>
      <c r="AA25" s="337">
        <v>-20965</v>
      </c>
      <c r="AB25" s="337">
        <v>-5201.31837</v>
      </c>
      <c r="AC25" s="337">
        <v>-15417.034</v>
      </c>
      <c r="AD25" s="337">
        <v>-53586.459000000003</v>
      </c>
      <c r="AE25" s="337">
        <v>-28223.607</v>
      </c>
      <c r="AF25" s="337">
        <v>-8248.8259999999991</v>
      </c>
      <c r="AG25" s="337">
        <v>-1707.9490000000001</v>
      </c>
      <c r="AH25" s="337">
        <v>-8366.2649999999994</v>
      </c>
      <c r="AI25" s="337">
        <v>-5710.0540000000001</v>
      </c>
      <c r="AJ25" s="337">
        <v>0</v>
      </c>
      <c r="AK25" s="337">
        <v>0</v>
      </c>
      <c r="AL25" s="337">
        <v>0</v>
      </c>
    </row>
    <row r="26" spans="1:38">
      <c r="A26" s="115" t="s">
        <v>95</v>
      </c>
      <c r="B26" s="115" t="s">
        <v>884</v>
      </c>
      <c r="C26" s="120"/>
      <c r="D26" s="337"/>
      <c r="E26" s="337"/>
      <c r="F26" s="337">
        <v>258</v>
      </c>
      <c r="G26" s="337">
        <v>-372</v>
      </c>
      <c r="H26" s="337"/>
      <c r="I26" s="337">
        <v>-29</v>
      </c>
      <c r="J26" s="337">
        <v>-119</v>
      </c>
      <c r="K26" s="337">
        <v>149</v>
      </c>
      <c r="L26" s="337"/>
      <c r="M26" s="337"/>
      <c r="N26" s="337">
        <v>0.3325500000026077</v>
      </c>
      <c r="O26" s="337">
        <v>-225</v>
      </c>
      <c r="P26" s="337">
        <v>-23.064649999999965</v>
      </c>
      <c r="Q26" s="337">
        <v>-544</v>
      </c>
      <c r="R26" s="337">
        <v>-335</v>
      </c>
      <c r="S26" s="337">
        <v>-506.81504999999981</v>
      </c>
      <c r="T26" s="337">
        <v>-418.8825799999999</v>
      </c>
      <c r="U26" s="337">
        <v>-414</v>
      </c>
      <c r="V26" s="337">
        <v>-1478</v>
      </c>
      <c r="W26" s="337">
        <v>-1415</v>
      </c>
      <c r="X26" s="337">
        <v>-1274</v>
      </c>
      <c r="Y26" s="337">
        <v>-133</v>
      </c>
      <c r="Z26" s="337">
        <v>651</v>
      </c>
      <c r="AA26" s="337">
        <v>-2085</v>
      </c>
      <c r="AB26" s="337">
        <v>-482.38373999999993</v>
      </c>
      <c r="AC26" s="337">
        <v>-527.00215000000003</v>
      </c>
      <c r="AD26" s="337">
        <v>-1855.1761800000004</v>
      </c>
      <c r="AE26" s="337">
        <v>-2353.7332699999997</v>
      </c>
      <c r="AF26" s="337">
        <v>-1211.60213</v>
      </c>
      <c r="AG26" s="337">
        <v>-38.904480000000014</v>
      </c>
      <c r="AH26" s="337">
        <v>-1515.4261899999999</v>
      </c>
      <c r="AI26" s="337">
        <v>-751.76386000000002</v>
      </c>
      <c r="AJ26" s="337">
        <v>-764.45916</v>
      </c>
      <c r="AK26" s="337">
        <v>-733.34906000000001</v>
      </c>
      <c r="AL26" s="337">
        <v>-700.57785999999999</v>
      </c>
    </row>
    <row r="27" spans="1:38">
      <c r="A27" s="115" t="s">
        <v>880</v>
      </c>
      <c r="B27" s="115" t="s">
        <v>881</v>
      </c>
      <c r="C27" s="120"/>
      <c r="D27" s="337"/>
      <c r="E27" s="337"/>
      <c r="F27" s="337">
        <v>1</v>
      </c>
      <c r="G27" s="337"/>
      <c r="H27" s="337"/>
      <c r="I27" s="337"/>
      <c r="J27" s="337">
        <v>-5</v>
      </c>
      <c r="K27" s="337">
        <v>6</v>
      </c>
      <c r="L27" s="337"/>
      <c r="M27" s="337"/>
      <c r="N27" s="337"/>
      <c r="O27" s="337">
        <v>18</v>
      </c>
      <c r="P27" s="337">
        <v>0</v>
      </c>
      <c r="Q27" s="337"/>
      <c r="R27" s="337"/>
      <c r="S27" s="337"/>
      <c r="T27" s="337"/>
      <c r="U27" s="337">
        <v>-68716</v>
      </c>
      <c r="V27" s="337"/>
      <c r="W27" s="337"/>
      <c r="X27" s="337"/>
      <c r="Y27" s="337"/>
      <c r="Z27" s="337"/>
      <c r="AA27" s="337"/>
      <c r="AB27" s="337"/>
      <c r="AC27" s="337"/>
      <c r="AD27" s="337"/>
      <c r="AE27" s="337"/>
      <c r="AF27" s="337">
        <v>-36.215000000000003</v>
      </c>
      <c r="AG27" s="337">
        <v>0</v>
      </c>
      <c r="AH27" s="337">
        <v>0</v>
      </c>
      <c r="AI27" s="337"/>
      <c r="AJ27" s="337">
        <v>0</v>
      </c>
      <c r="AK27" s="337">
        <v>0</v>
      </c>
      <c r="AL27" s="337">
        <v>0</v>
      </c>
    </row>
    <row r="28" spans="1:38">
      <c r="A28" s="115" t="s">
        <v>936</v>
      </c>
      <c r="B28" s="115" t="s">
        <v>937</v>
      </c>
      <c r="C28" s="120"/>
      <c r="D28" s="337"/>
      <c r="E28" s="337"/>
      <c r="F28" s="337"/>
      <c r="G28" s="337"/>
      <c r="H28" s="337"/>
      <c r="I28" s="337"/>
      <c r="J28" s="337"/>
      <c r="K28" s="337"/>
      <c r="L28" s="337"/>
      <c r="M28" s="337"/>
      <c r="N28" s="337"/>
      <c r="O28" s="337"/>
      <c r="P28" s="337"/>
      <c r="Q28" s="337"/>
      <c r="R28" s="337"/>
      <c r="S28" s="337"/>
      <c r="T28" s="337"/>
      <c r="U28" s="337"/>
      <c r="V28" s="337"/>
      <c r="W28" s="337"/>
      <c r="X28" s="337"/>
      <c r="Y28" s="337"/>
      <c r="Z28" s="337"/>
      <c r="AA28" s="337"/>
      <c r="AB28" s="337"/>
      <c r="AC28" s="337"/>
      <c r="AD28" s="337"/>
      <c r="AE28" s="337"/>
      <c r="AF28" s="337"/>
      <c r="AG28" s="337"/>
      <c r="AH28" s="337">
        <v>-1071.1036200000001</v>
      </c>
      <c r="AI28" s="337">
        <v>252188.06602</v>
      </c>
      <c r="AJ28" s="337">
        <v>-19.0854</v>
      </c>
      <c r="AK28" s="337">
        <v>1483.5039999999999</v>
      </c>
      <c r="AL28" s="337">
        <v>980.19515000000013</v>
      </c>
    </row>
    <row r="29" spans="1:38">
      <c r="A29" s="455" t="s">
        <v>722</v>
      </c>
      <c r="B29" s="455" t="s">
        <v>722</v>
      </c>
      <c r="C29" s="120"/>
      <c r="D29" s="454">
        <f t="shared" ref="D29:Y29" si="7">SUM(D19:D21)</f>
        <v>0</v>
      </c>
      <c r="E29" s="454">
        <f t="shared" si="7"/>
        <v>-848</v>
      </c>
      <c r="F29" s="454">
        <f t="shared" si="7"/>
        <v>3539</v>
      </c>
      <c r="G29" s="454">
        <f t="shared" si="7"/>
        <v>-321</v>
      </c>
      <c r="H29" s="454">
        <f t="shared" si="7"/>
        <v>8106</v>
      </c>
      <c r="I29" s="454">
        <f t="shared" si="7"/>
        <v>7035</v>
      </c>
      <c r="J29" s="454">
        <f t="shared" si="7"/>
        <v>12434</v>
      </c>
      <c r="K29" s="454">
        <f t="shared" si="7"/>
        <v>160708</v>
      </c>
      <c r="L29" s="454">
        <f t="shared" si="7"/>
        <v>150040</v>
      </c>
      <c r="M29" s="454">
        <f t="shared" si="7"/>
        <v>260847</v>
      </c>
      <c r="N29" s="454">
        <f t="shared" si="7"/>
        <v>341222.33255000005</v>
      </c>
      <c r="O29" s="454">
        <f t="shared" si="7"/>
        <v>1763747</v>
      </c>
      <c r="P29" s="454">
        <f t="shared" si="7"/>
        <v>502094.21914000018</v>
      </c>
      <c r="Q29" s="454">
        <f t="shared" si="7"/>
        <v>310551</v>
      </c>
      <c r="R29" s="454">
        <f t="shared" si="7"/>
        <v>339135</v>
      </c>
      <c r="S29" s="454">
        <f t="shared" si="7"/>
        <v>363089.11460999999</v>
      </c>
      <c r="T29" s="454">
        <f t="shared" si="7"/>
        <v>99687.946019999945</v>
      </c>
      <c r="U29" s="454">
        <f t="shared" si="7"/>
        <v>238114.61258999992</v>
      </c>
      <c r="V29" s="454">
        <f t="shared" si="7"/>
        <v>290244.60199</v>
      </c>
      <c r="W29" s="454">
        <f t="shared" si="7"/>
        <v>336881</v>
      </c>
      <c r="X29" s="454">
        <f t="shared" si="7"/>
        <v>424631</v>
      </c>
      <c r="Y29" s="454">
        <f t="shared" si="7"/>
        <v>294196</v>
      </c>
      <c r="Z29" s="454">
        <f t="shared" ref="Z29:AK29" si="8">SUM(Z19:Z21)</f>
        <v>301136</v>
      </c>
      <c r="AA29" s="454">
        <f t="shared" si="8"/>
        <v>299332.00000000006</v>
      </c>
      <c r="AB29" s="454">
        <f t="shared" si="8"/>
        <v>310377.40160000004</v>
      </c>
      <c r="AC29" s="454">
        <f t="shared" si="8"/>
        <v>321938.88211000001</v>
      </c>
      <c r="AD29" s="454">
        <f t="shared" si="8"/>
        <v>330531.10524999996</v>
      </c>
      <c r="AE29" s="454">
        <f t="shared" si="8"/>
        <v>320681.42617999995</v>
      </c>
      <c r="AF29" s="454">
        <f t="shared" si="8"/>
        <v>322590.71126000001</v>
      </c>
      <c r="AG29" s="454">
        <f t="shared" si="8"/>
        <v>323437.22876999999</v>
      </c>
      <c r="AH29" s="454">
        <f t="shared" si="8"/>
        <v>519455.54213000013</v>
      </c>
      <c r="AI29" s="454">
        <f t="shared" si="8"/>
        <v>543484.81761999999</v>
      </c>
      <c r="AJ29" s="454">
        <f t="shared" si="8"/>
        <v>300640.07253999996</v>
      </c>
      <c r="AK29" s="454">
        <f t="shared" si="8"/>
        <v>302150.43232000002</v>
      </c>
      <c r="AL29" s="454">
        <f t="shared" ref="AL29" si="9">SUM(AL19:AL21)</f>
        <v>313977.00979000004</v>
      </c>
    </row>
    <row r="30" spans="1:38">
      <c r="A30" s="115" t="s">
        <v>893</v>
      </c>
      <c r="B30" s="115" t="s">
        <v>894</v>
      </c>
      <c r="C30" s="112"/>
      <c r="D30" s="337"/>
      <c r="E30" s="337"/>
      <c r="F30" s="337">
        <v>-27</v>
      </c>
      <c r="G30" s="337">
        <v>-61</v>
      </c>
      <c r="H30" s="337">
        <v>-196</v>
      </c>
      <c r="I30" s="337">
        <v>-78</v>
      </c>
      <c r="J30" s="337">
        <v>-63</v>
      </c>
      <c r="K30" s="337">
        <v>-65</v>
      </c>
      <c r="L30" s="337">
        <v>-108</v>
      </c>
      <c r="M30" s="337">
        <v>-79</v>
      </c>
      <c r="N30" s="337">
        <v>-6</v>
      </c>
      <c r="O30" s="337">
        <v>-122</v>
      </c>
      <c r="P30" s="337">
        <v>-147.72015000000002</v>
      </c>
      <c r="Q30" s="337">
        <v>-29</v>
      </c>
      <c r="R30" s="337">
        <v>-63</v>
      </c>
      <c r="S30" s="337">
        <v>-80.755400000000236</v>
      </c>
      <c r="T30" s="337">
        <v>-64.199159999999992</v>
      </c>
      <c r="U30" s="337">
        <v>-64</v>
      </c>
      <c r="V30" s="337">
        <v>-61</v>
      </c>
      <c r="W30" s="337">
        <v>-69</v>
      </c>
      <c r="X30" s="337">
        <v>-54</v>
      </c>
      <c r="Y30" s="337">
        <v>-95515</v>
      </c>
      <c r="Z30" s="337">
        <v>-72192</v>
      </c>
      <c r="AA30" s="337">
        <v>-72713</v>
      </c>
      <c r="AB30" s="337">
        <v>-77590</v>
      </c>
      <c r="AC30" s="337">
        <v>-63267.995869999992</v>
      </c>
      <c r="AD30" s="337">
        <v>-71350.744539999985</v>
      </c>
      <c r="AE30" s="337">
        <v>-71335.972259999995</v>
      </c>
      <c r="AF30" s="337">
        <v>-71346.649359999981</v>
      </c>
      <c r="AG30" s="337">
        <v>-70739.606049999988</v>
      </c>
      <c r="AH30" s="337">
        <v>-71516.174680000011</v>
      </c>
      <c r="AI30" s="337">
        <v>-71855.110419999954</v>
      </c>
      <c r="AJ30" s="337">
        <v>-71851.336399999986</v>
      </c>
      <c r="AK30" s="337">
        <v>-71998.04475999999</v>
      </c>
      <c r="AL30" s="337">
        <v>-72071.398980000013</v>
      </c>
    </row>
    <row r="31" spans="1:38" ht="15" thickBot="1">
      <c r="A31" s="115" t="s">
        <v>938</v>
      </c>
      <c r="B31" s="115" t="s">
        <v>939</v>
      </c>
      <c r="C31" s="112"/>
      <c r="D31" s="337"/>
      <c r="E31" s="337"/>
      <c r="F31" s="337"/>
      <c r="G31" s="337"/>
      <c r="H31" s="337"/>
      <c r="I31" s="337"/>
      <c r="J31" s="337"/>
      <c r="K31" s="337"/>
      <c r="L31" s="337"/>
      <c r="M31" s="337"/>
      <c r="N31" s="337"/>
      <c r="O31" s="337"/>
      <c r="P31" s="337"/>
      <c r="Q31" s="337"/>
      <c r="R31" s="337"/>
      <c r="S31" s="337"/>
      <c r="T31" s="337"/>
      <c r="U31" s="337"/>
      <c r="V31" s="337"/>
      <c r="W31" s="337"/>
      <c r="X31" s="337"/>
      <c r="Y31" s="337"/>
      <c r="Z31" s="337"/>
      <c r="AA31" s="337"/>
      <c r="AB31" s="337"/>
      <c r="AC31" s="337"/>
      <c r="AD31" s="337"/>
      <c r="AE31" s="337"/>
      <c r="AF31" s="337"/>
      <c r="AG31" s="337"/>
      <c r="AH31" s="337">
        <v>-13059</v>
      </c>
      <c r="AI31" s="556">
        <v>-8408</v>
      </c>
      <c r="AJ31" s="337">
        <v>-1169</v>
      </c>
      <c r="AK31" s="337">
        <v>-1208</v>
      </c>
      <c r="AL31" s="337">
        <v>-2095</v>
      </c>
    </row>
    <row r="32" spans="1:38" ht="15" thickBot="1">
      <c r="A32" s="118" t="s">
        <v>895</v>
      </c>
      <c r="B32" s="118" t="s">
        <v>896</v>
      </c>
      <c r="C32" s="112"/>
      <c r="D32" s="119">
        <f t="shared" ref="D32:Y32" si="10">SUM(D29:D30)</f>
        <v>0</v>
      </c>
      <c r="E32" s="119">
        <f t="shared" si="10"/>
        <v>-848</v>
      </c>
      <c r="F32" s="119">
        <f t="shared" si="10"/>
        <v>3512</v>
      </c>
      <c r="G32" s="119">
        <f t="shared" si="10"/>
        <v>-382</v>
      </c>
      <c r="H32" s="119">
        <f t="shared" si="10"/>
        <v>7910</v>
      </c>
      <c r="I32" s="119">
        <f t="shared" si="10"/>
        <v>6957</v>
      </c>
      <c r="J32" s="119">
        <f t="shared" si="10"/>
        <v>12371</v>
      </c>
      <c r="K32" s="119">
        <f t="shared" si="10"/>
        <v>160643</v>
      </c>
      <c r="L32" s="119">
        <f t="shared" si="10"/>
        <v>149932</v>
      </c>
      <c r="M32" s="119">
        <f t="shared" si="10"/>
        <v>260768</v>
      </c>
      <c r="N32" s="119">
        <f t="shared" si="10"/>
        <v>341216.33255000005</v>
      </c>
      <c r="O32" s="119">
        <f t="shared" si="10"/>
        <v>1763625</v>
      </c>
      <c r="P32" s="119">
        <f t="shared" si="10"/>
        <v>501946.49899000017</v>
      </c>
      <c r="Q32" s="119">
        <f t="shared" si="10"/>
        <v>310522</v>
      </c>
      <c r="R32" s="119">
        <f t="shared" si="10"/>
        <v>339072</v>
      </c>
      <c r="S32" s="119">
        <f t="shared" si="10"/>
        <v>363008.35920999997</v>
      </c>
      <c r="T32" s="119">
        <f t="shared" si="10"/>
        <v>99623.746859999941</v>
      </c>
      <c r="U32" s="119">
        <f t="shared" si="10"/>
        <v>238050.61258999992</v>
      </c>
      <c r="V32" s="119">
        <f t="shared" si="10"/>
        <v>290183.60199</v>
      </c>
      <c r="W32" s="119">
        <f t="shared" si="10"/>
        <v>336812</v>
      </c>
      <c r="X32" s="119">
        <f t="shared" si="10"/>
        <v>424577</v>
      </c>
      <c r="Y32" s="119">
        <f t="shared" si="10"/>
        <v>198681</v>
      </c>
      <c r="Z32" s="119">
        <f t="shared" ref="Z32:AE32" si="11">SUM(Z29:Z30)</f>
        <v>228944</v>
      </c>
      <c r="AA32" s="119">
        <f t="shared" si="11"/>
        <v>226619.00000000006</v>
      </c>
      <c r="AB32" s="119">
        <f t="shared" si="11"/>
        <v>232787.40160000004</v>
      </c>
      <c r="AC32" s="119">
        <f t="shared" si="11"/>
        <v>258670.88624000002</v>
      </c>
      <c r="AD32" s="119">
        <f t="shared" si="11"/>
        <v>259180.36070999998</v>
      </c>
      <c r="AE32" s="119">
        <f t="shared" si="11"/>
        <v>249345.45391999994</v>
      </c>
      <c r="AF32" s="119">
        <f>SUM(AF29:AF30)</f>
        <v>251244.06190000003</v>
      </c>
      <c r="AG32" s="119">
        <f>SUM(AG29:AG30)</f>
        <v>252697.62271999998</v>
      </c>
      <c r="AH32" s="119">
        <f>SUM(AH29:AH31)</f>
        <v>434880.36745000014</v>
      </c>
      <c r="AI32" s="132">
        <f>SUM(AI29:AI31)</f>
        <v>463221.70720000006</v>
      </c>
      <c r="AJ32" s="132">
        <f>SUM(AJ29:AJ31)</f>
        <v>227619.73613999999</v>
      </c>
      <c r="AK32" s="132">
        <f>SUM(AK29:AK31)</f>
        <v>228944.38756000003</v>
      </c>
      <c r="AL32" s="132">
        <f>SUM(AL29:AL31)</f>
        <v>239810.61081000004</v>
      </c>
    </row>
    <row r="33" spans="1:38" ht="15" thickBot="1">
      <c r="A33" s="118" t="s">
        <v>725</v>
      </c>
      <c r="B33" s="118" t="s">
        <v>898</v>
      </c>
      <c r="C33" s="112"/>
      <c r="D33" s="319">
        <f t="shared" ref="D33:AC33" si="12">SUM(D34:D35)</f>
        <v>0</v>
      </c>
      <c r="E33" s="319">
        <f t="shared" si="12"/>
        <v>-3</v>
      </c>
      <c r="F33" s="319">
        <f t="shared" si="12"/>
        <v>-113</v>
      </c>
      <c r="G33" s="319">
        <f t="shared" si="12"/>
        <v>-350</v>
      </c>
      <c r="H33" s="319">
        <f t="shared" si="12"/>
        <v>-1156</v>
      </c>
      <c r="I33" s="319">
        <f t="shared" si="12"/>
        <v>792</v>
      </c>
      <c r="J33" s="319">
        <f t="shared" si="12"/>
        <v>-3639</v>
      </c>
      <c r="K33" s="319">
        <f t="shared" si="12"/>
        <v>3547</v>
      </c>
      <c r="L33" s="319">
        <f t="shared" si="12"/>
        <v>-3055</v>
      </c>
      <c r="M33" s="319">
        <f t="shared" si="12"/>
        <v>-20164</v>
      </c>
      <c r="N33" s="319">
        <f t="shared" si="12"/>
        <v>-6258</v>
      </c>
      <c r="O33" s="319">
        <f t="shared" si="12"/>
        <v>-4950</v>
      </c>
      <c r="P33" s="319">
        <f t="shared" si="12"/>
        <v>-5963.7393900000034</v>
      </c>
      <c r="Q33" s="319">
        <f t="shared" si="12"/>
        <v>46</v>
      </c>
      <c r="R33" s="319">
        <f t="shared" si="12"/>
        <v>-23426</v>
      </c>
      <c r="S33" s="319">
        <f t="shared" si="12"/>
        <v>-37113.41047000001</v>
      </c>
      <c r="T33" s="319">
        <f t="shared" si="12"/>
        <v>-56394.864239999995</v>
      </c>
      <c r="U33" s="319">
        <f t="shared" si="12"/>
        <v>-142013.06457000005</v>
      </c>
      <c r="V33" s="319">
        <f t="shared" si="12"/>
        <v>-178027.07119000002</v>
      </c>
      <c r="W33" s="319">
        <f t="shared" si="12"/>
        <v>-237625</v>
      </c>
      <c r="X33" s="319">
        <f t="shared" si="12"/>
        <v>-173804</v>
      </c>
      <c r="Y33" s="319">
        <f t="shared" si="12"/>
        <v>-228014</v>
      </c>
      <c r="Z33" s="319">
        <f t="shared" si="12"/>
        <v>-18966</v>
      </c>
      <c r="AA33" s="319">
        <f t="shared" si="12"/>
        <v>-69674</v>
      </c>
      <c r="AB33" s="319">
        <f t="shared" si="12"/>
        <v>-147309</v>
      </c>
      <c r="AC33" s="319">
        <f t="shared" si="12"/>
        <v>-123181.37678999998</v>
      </c>
      <c r="AD33" s="319">
        <f t="shared" ref="AD33:AI33" si="13">SUM(AD34:AD35)</f>
        <v>-58521.628519999998</v>
      </c>
      <c r="AE33" s="319">
        <f t="shared" si="13"/>
        <v>-78640.666829999987</v>
      </c>
      <c r="AF33" s="319">
        <f t="shared" si="13"/>
        <v>-108986.72353</v>
      </c>
      <c r="AG33" s="319">
        <f t="shared" si="13"/>
        <v>-79036.492570000002</v>
      </c>
      <c r="AH33" s="319">
        <f t="shared" si="13"/>
        <v>-52587.236070000014</v>
      </c>
      <c r="AI33" s="319">
        <f t="shared" si="13"/>
        <v>-72934.768719999993</v>
      </c>
      <c r="AJ33" s="319">
        <f>SUM(AJ34:AJ35)</f>
        <v>-80788.972439999983</v>
      </c>
      <c r="AK33" s="319">
        <f>SUM(AK34:AK35)</f>
        <v>-74124.868000000002</v>
      </c>
      <c r="AL33" s="319">
        <f>SUM(AL34:AL35)</f>
        <v>-19118.448360000009</v>
      </c>
    </row>
    <row r="34" spans="1:38">
      <c r="A34" s="115" t="s">
        <v>727</v>
      </c>
      <c r="B34" s="115" t="s">
        <v>898</v>
      </c>
      <c r="C34" s="112"/>
      <c r="D34" s="337"/>
      <c r="E34" s="337">
        <v>0</v>
      </c>
      <c r="F34" s="337">
        <v>-87</v>
      </c>
      <c r="G34" s="337">
        <v>5</v>
      </c>
      <c r="H34" s="337">
        <v>13</v>
      </c>
      <c r="I34" s="337">
        <v>15</v>
      </c>
      <c r="J34" s="337">
        <v>34</v>
      </c>
      <c r="K34" s="337">
        <v>21</v>
      </c>
      <c r="L34" s="337">
        <v>18</v>
      </c>
      <c r="M34" s="337">
        <v>15</v>
      </c>
      <c r="N34" s="337">
        <v>-33</v>
      </c>
      <c r="O34" s="337">
        <f>230+18</f>
        <v>248</v>
      </c>
      <c r="P34" s="337">
        <v>16.870579999999375</v>
      </c>
      <c r="Q34" s="337">
        <v>766</v>
      </c>
      <c r="R34" s="337">
        <v>1189</v>
      </c>
      <c r="S34" s="337">
        <v>974.71113000000014</v>
      </c>
      <c r="T34" s="337">
        <v>383.84478000000007</v>
      </c>
      <c r="U34" s="337">
        <v>7051.9047699999974</v>
      </c>
      <c r="V34" s="337">
        <v>4984.2504500000005</v>
      </c>
      <c r="W34" s="337">
        <v>10141</v>
      </c>
      <c r="X34" s="337">
        <v>18270</v>
      </c>
      <c r="Y34" s="337">
        <v>20988</v>
      </c>
      <c r="Z34" s="337">
        <v>28621</v>
      </c>
      <c r="AA34" s="337">
        <v>34472</v>
      </c>
      <c r="AB34" s="337">
        <v>24924</v>
      </c>
      <c r="AC34" s="337">
        <v>39383.539539999998</v>
      </c>
      <c r="AD34" s="337">
        <v>45371.846270000009</v>
      </c>
      <c r="AE34" s="337">
        <v>39688.903980000003</v>
      </c>
      <c r="AF34" s="337">
        <v>53329.364090000003</v>
      </c>
      <c r="AG34" s="337">
        <v>44896.017529999997</v>
      </c>
      <c r="AH34" s="337">
        <v>53683.168909999993</v>
      </c>
      <c r="AI34" s="337">
        <v>55881.371690000007</v>
      </c>
      <c r="AJ34" s="337">
        <v>59842.154520000004</v>
      </c>
      <c r="AK34" s="337">
        <v>57512.861749999996</v>
      </c>
      <c r="AL34" s="337">
        <v>67652.92267</v>
      </c>
    </row>
    <row r="35" spans="1:38" ht="15" thickBot="1">
      <c r="A35" s="115" t="s">
        <v>744</v>
      </c>
      <c r="B35" s="115" t="s">
        <v>745</v>
      </c>
      <c r="C35" s="112"/>
      <c r="D35" s="337"/>
      <c r="E35" s="337">
        <v>-3</v>
      </c>
      <c r="F35" s="337">
        <v>-26</v>
      </c>
      <c r="G35" s="337">
        <v>-355</v>
      </c>
      <c r="H35" s="337">
        <v>-1169</v>
      </c>
      <c r="I35" s="337">
        <v>777</v>
      </c>
      <c r="J35" s="337">
        <v>-3673</v>
      </c>
      <c r="K35" s="337">
        <v>3526</v>
      </c>
      <c r="L35" s="337">
        <v>-3073</v>
      </c>
      <c r="M35" s="337">
        <v>-20179</v>
      </c>
      <c r="N35" s="337">
        <v>-6225</v>
      </c>
      <c r="O35" s="337">
        <v>-5198</v>
      </c>
      <c r="P35" s="337">
        <v>-5980.6099700000032</v>
      </c>
      <c r="Q35" s="337">
        <v>-720</v>
      </c>
      <c r="R35" s="337">
        <v>-24615</v>
      </c>
      <c r="S35" s="337">
        <v>-38088.121600000013</v>
      </c>
      <c r="T35" s="337">
        <v>-56778.709019999995</v>
      </c>
      <c r="U35" s="337">
        <v>-149064.96934000004</v>
      </c>
      <c r="V35" s="337">
        <v>-183011.32164000001</v>
      </c>
      <c r="W35" s="337">
        <v>-247766</v>
      </c>
      <c r="X35" s="337">
        <v>-192074</v>
      </c>
      <c r="Y35" s="337">
        <v>-249002</v>
      </c>
      <c r="Z35" s="337">
        <v>-47587</v>
      </c>
      <c r="AA35" s="337">
        <v>-104146</v>
      </c>
      <c r="AB35" s="337">
        <v>-172233</v>
      </c>
      <c r="AC35" s="337">
        <v>-162564.91632999998</v>
      </c>
      <c r="AD35" s="337">
        <v>-103893.47479000001</v>
      </c>
      <c r="AE35" s="337">
        <v>-118329.57080999999</v>
      </c>
      <c r="AF35" s="337">
        <v>-162316.08762000001</v>
      </c>
      <c r="AG35" s="337">
        <v>-123932.5101</v>
      </c>
      <c r="AH35" s="337">
        <v>-106270.40498000001</v>
      </c>
      <c r="AI35" s="337">
        <v>-128816.14040999999</v>
      </c>
      <c r="AJ35" s="337">
        <v>-140631.12695999999</v>
      </c>
      <c r="AK35" s="337">
        <v>-131637.72975</v>
      </c>
      <c r="AL35" s="337">
        <v>-86771.371030000009</v>
      </c>
    </row>
    <row r="36" spans="1:38" ht="15" thickBot="1">
      <c r="A36" s="118" t="s">
        <v>899</v>
      </c>
      <c r="B36" s="118" t="s">
        <v>724</v>
      </c>
      <c r="C36" s="112"/>
      <c r="D36" s="119">
        <f t="shared" ref="D36:Y36" si="14">SUM(D32:D33)</f>
        <v>0</v>
      </c>
      <c r="E36" s="119">
        <f t="shared" si="14"/>
        <v>-851</v>
      </c>
      <c r="F36" s="119">
        <f t="shared" si="14"/>
        <v>3399</v>
      </c>
      <c r="G36" s="119">
        <f t="shared" si="14"/>
        <v>-732</v>
      </c>
      <c r="H36" s="119">
        <f t="shared" si="14"/>
        <v>6754</v>
      </c>
      <c r="I36" s="119">
        <f t="shared" si="14"/>
        <v>7749</v>
      </c>
      <c r="J36" s="119">
        <f t="shared" si="14"/>
        <v>8732</v>
      </c>
      <c r="K36" s="119">
        <f t="shared" si="14"/>
        <v>164190</v>
      </c>
      <c r="L36" s="119">
        <f t="shared" si="14"/>
        <v>146877</v>
      </c>
      <c r="M36" s="119">
        <f t="shared" si="14"/>
        <v>240604</v>
      </c>
      <c r="N36" s="119">
        <f t="shared" si="14"/>
        <v>334958.33255000005</v>
      </c>
      <c r="O36" s="119">
        <f t="shared" si="14"/>
        <v>1758675</v>
      </c>
      <c r="P36" s="119">
        <f t="shared" si="14"/>
        <v>495982.75960000016</v>
      </c>
      <c r="Q36" s="119">
        <f t="shared" si="14"/>
        <v>310568</v>
      </c>
      <c r="R36" s="119">
        <f t="shared" si="14"/>
        <v>315646</v>
      </c>
      <c r="S36" s="119">
        <f t="shared" si="14"/>
        <v>325894.94873999996</v>
      </c>
      <c r="T36" s="119">
        <f t="shared" si="14"/>
        <v>43228.882619999946</v>
      </c>
      <c r="U36" s="119">
        <f t="shared" si="14"/>
        <v>96037.548019999871</v>
      </c>
      <c r="V36" s="119">
        <f t="shared" si="14"/>
        <v>112156.53079999998</v>
      </c>
      <c r="W36" s="119">
        <f t="shared" si="14"/>
        <v>99187</v>
      </c>
      <c r="X36" s="119">
        <f t="shared" si="14"/>
        <v>250773</v>
      </c>
      <c r="Y36" s="119">
        <f t="shared" si="14"/>
        <v>-29333</v>
      </c>
      <c r="Z36" s="119">
        <f t="shared" ref="Z36:AK36" si="15">SUM(Z32:Z33)</f>
        <v>209978</v>
      </c>
      <c r="AA36" s="119">
        <f t="shared" si="15"/>
        <v>156945.00000000006</v>
      </c>
      <c r="AB36" s="119">
        <f t="shared" si="15"/>
        <v>85478.401600000041</v>
      </c>
      <c r="AC36" s="119">
        <f t="shared" si="15"/>
        <v>135489.50945000004</v>
      </c>
      <c r="AD36" s="119">
        <f t="shared" si="15"/>
        <v>200658.73218999998</v>
      </c>
      <c r="AE36" s="119">
        <f t="shared" si="15"/>
        <v>170704.78708999994</v>
      </c>
      <c r="AF36" s="119">
        <f t="shared" si="15"/>
        <v>142257.33837000001</v>
      </c>
      <c r="AG36" s="119">
        <f t="shared" si="15"/>
        <v>173661.13014999998</v>
      </c>
      <c r="AH36" s="119">
        <f t="shared" si="15"/>
        <v>382293.13138000015</v>
      </c>
      <c r="AI36" s="132">
        <f t="shared" si="15"/>
        <v>390286.93848000007</v>
      </c>
      <c r="AJ36" s="132">
        <f t="shared" si="15"/>
        <v>146830.76370000001</v>
      </c>
      <c r="AK36" s="132">
        <f t="shared" si="15"/>
        <v>154819.51956000004</v>
      </c>
      <c r="AL36" s="132">
        <f t="shared" ref="AL36" si="16">SUM(AL32:AL33)</f>
        <v>220692.16245000003</v>
      </c>
    </row>
    <row r="37" spans="1:38">
      <c r="A37" s="115" t="s">
        <v>921</v>
      </c>
      <c r="B37" s="115" t="s">
        <v>940</v>
      </c>
      <c r="C37" s="112"/>
      <c r="D37" s="337"/>
      <c r="E37" s="337"/>
      <c r="F37" s="337">
        <v>-11</v>
      </c>
      <c r="G37" s="337">
        <v>-8</v>
      </c>
      <c r="H37" s="337">
        <v>-59</v>
      </c>
      <c r="I37" s="337">
        <v>-41</v>
      </c>
      <c r="J37" s="337">
        <v>-10</v>
      </c>
      <c r="K37" s="337">
        <v>-346</v>
      </c>
      <c r="L37" s="337">
        <v>-670</v>
      </c>
      <c r="M37" s="337">
        <v>666</v>
      </c>
      <c r="N37" s="337">
        <v>11</v>
      </c>
      <c r="O37" s="337">
        <v>0</v>
      </c>
      <c r="P37" s="337">
        <v>0</v>
      </c>
      <c r="Q37" s="337"/>
      <c r="R37" s="337"/>
      <c r="S37" s="337">
        <v>-20939.99625</v>
      </c>
      <c r="T37" s="337">
        <v>-6638.5818300000001</v>
      </c>
      <c r="U37" s="337">
        <v>-10204</v>
      </c>
      <c r="V37" s="337"/>
      <c r="W37" s="337">
        <v>-12601</v>
      </c>
      <c r="X37" s="337">
        <v>-22667</v>
      </c>
      <c r="Y37" s="337">
        <v>-7415</v>
      </c>
      <c r="Z37" s="337">
        <v>-66053</v>
      </c>
      <c r="AA37" s="337">
        <v>-52486</v>
      </c>
      <c r="AB37" s="337">
        <v>-37758.242189999997</v>
      </c>
      <c r="AC37" s="337">
        <v>-42603.154000000002</v>
      </c>
      <c r="AD37" s="337">
        <v>-66632.286999999997</v>
      </c>
      <c r="AE37" s="337">
        <v>-47285.012000000002</v>
      </c>
      <c r="AF37" s="337">
        <v>-38083.449999999997</v>
      </c>
      <c r="AG37" s="337">
        <v>-50315.962</v>
      </c>
      <c r="AH37" s="337">
        <v>-44559.398999999998</v>
      </c>
      <c r="AI37" s="556">
        <v>-44796.936999999998</v>
      </c>
      <c r="AJ37" s="337">
        <v>-40964.720000000001</v>
      </c>
      <c r="AK37" s="337">
        <v>-43678.065000000002</v>
      </c>
      <c r="AL37" s="337">
        <v>-65001.224000000002</v>
      </c>
    </row>
    <row r="38" spans="1:38">
      <c r="A38" s="115" t="s">
        <v>922</v>
      </c>
      <c r="B38" s="115" t="s">
        <v>941</v>
      </c>
      <c r="C38" s="112"/>
      <c r="D38" s="337"/>
      <c r="E38" s="337"/>
      <c r="F38" s="337"/>
      <c r="G38" s="337">
        <v>-12</v>
      </c>
      <c r="H38" s="337">
        <v>-135</v>
      </c>
      <c r="I38" s="337">
        <v>-87</v>
      </c>
      <c r="J38" s="337">
        <v>19</v>
      </c>
      <c r="K38" s="337">
        <v>-908</v>
      </c>
      <c r="L38" s="337">
        <v>-1851</v>
      </c>
      <c r="M38" s="337">
        <v>1844</v>
      </c>
      <c r="N38" s="337">
        <v>0</v>
      </c>
      <c r="O38" s="337">
        <v>0</v>
      </c>
      <c r="P38" s="337">
        <v>0</v>
      </c>
      <c r="Q38" s="337"/>
      <c r="R38" s="337"/>
      <c r="S38" s="337">
        <v>6385.8210600000002</v>
      </c>
      <c r="T38" s="337">
        <v>1395.44866</v>
      </c>
      <c r="U38" s="337">
        <v>2957</v>
      </c>
      <c r="V38" s="337"/>
      <c r="W38" s="337">
        <v>7716</v>
      </c>
      <c r="X38" s="337">
        <v>16302</v>
      </c>
      <c r="Y38" s="337">
        <v>7016</v>
      </c>
      <c r="Z38" s="337">
        <v>49564</v>
      </c>
      <c r="AA38" s="337">
        <v>38201</v>
      </c>
      <c r="AB38" s="337">
        <v>28185</v>
      </c>
      <c r="AC38" s="337">
        <v>31389.069</v>
      </c>
      <c r="AD38" s="337">
        <v>43362.135000000002</v>
      </c>
      <c r="AE38" s="337">
        <v>43467.322</v>
      </c>
      <c r="AF38" s="337">
        <v>28666.431</v>
      </c>
      <c r="AG38" s="337">
        <v>36902.095999999998</v>
      </c>
      <c r="AH38" s="337">
        <v>35546.856</v>
      </c>
      <c r="AI38" s="556">
        <v>33599.718000000001</v>
      </c>
      <c r="AJ38" s="337">
        <v>31980.667000000001</v>
      </c>
      <c r="AK38" s="337">
        <v>31266.584999999999</v>
      </c>
      <c r="AL38" s="337">
        <v>45468.663</v>
      </c>
    </row>
    <row r="39" spans="1:38">
      <c r="A39" s="115" t="s">
        <v>772</v>
      </c>
      <c r="B39" s="115" t="s">
        <v>942</v>
      </c>
      <c r="C39" s="112"/>
      <c r="D39" s="337"/>
      <c r="E39" s="337"/>
      <c r="F39" s="337"/>
      <c r="G39" s="337"/>
      <c r="H39" s="337"/>
      <c r="I39" s="337"/>
      <c r="J39" s="337"/>
      <c r="K39" s="337"/>
      <c r="L39" s="337"/>
      <c r="M39" s="337"/>
      <c r="N39" s="337"/>
      <c r="O39" s="337"/>
      <c r="P39" s="337"/>
      <c r="Q39" s="337"/>
      <c r="R39" s="337"/>
      <c r="S39" s="337"/>
      <c r="T39" s="337"/>
      <c r="U39" s="337"/>
      <c r="V39" s="337"/>
      <c r="W39" s="337"/>
      <c r="X39" s="337"/>
      <c r="Y39" s="337">
        <v>48645</v>
      </c>
      <c r="Z39" s="337">
        <v>0</v>
      </c>
      <c r="AA39" s="337">
        <v>0</v>
      </c>
      <c r="AB39" s="337"/>
      <c r="AC39" s="337">
        <v>0</v>
      </c>
      <c r="AD39" s="337">
        <v>0</v>
      </c>
      <c r="AE39" s="337">
        <v>0</v>
      </c>
      <c r="AF39" s="337">
        <v>0</v>
      </c>
      <c r="AG39" s="337">
        <v>0</v>
      </c>
      <c r="AH39" s="337">
        <v>0</v>
      </c>
      <c r="AI39" s="556">
        <v>0</v>
      </c>
      <c r="AJ39" s="337">
        <v>0</v>
      </c>
      <c r="AK39" s="337">
        <v>0</v>
      </c>
      <c r="AL39" s="337">
        <v>0</v>
      </c>
    </row>
    <row r="40" spans="1:38" ht="15" thickBot="1">
      <c r="A40" s="115" t="s">
        <v>900</v>
      </c>
      <c r="B40" s="115" t="s">
        <v>901</v>
      </c>
      <c r="C40" s="112"/>
      <c r="D40" s="337"/>
      <c r="E40" s="337"/>
      <c r="F40" s="337"/>
      <c r="G40" s="337">
        <v>-350</v>
      </c>
      <c r="H40" s="337">
        <v>-3099</v>
      </c>
      <c r="I40" s="337">
        <v>-4752</v>
      </c>
      <c r="J40" s="337">
        <v>-4403</v>
      </c>
      <c r="K40" s="337">
        <v>-51308</v>
      </c>
      <c r="L40" s="337">
        <v>-48602</v>
      </c>
      <c r="M40" s="337">
        <v>-106502</v>
      </c>
      <c r="N40" s="337">
        <v>-118592</v>
      </c>
      <c r="O40" s="337">
        <v>-324667</v>
      </c>
      <c r="P40" s="337">
        <v>-197643.32855999999</v>
      </c>
      <c r="Q40" s="337">
        <v>-112766</v>
      </c>
      <c r="R40" s="337">
        <v>-25517</v>
      </c>
      <c r="S40" s="337">
        <v>-92124.167690000031</v>
      </c>
      <c r="T40" s="337">
        <v>-8465.4872400000022</v>
      </c>
      <c r="U40" s="337">
        <v>-29598.136059999993</v>
      </c>
      <c r="V40" s="337">
        <v>-30420</v>
      </c>
      <c r="W40" s="337">
        <v>-35415</v>
      </c>
      <c r="X40" s="337">
        <v>-48645</v>
      </c>
      <c r="Y40" s="337">
        <v>-82702</v>
      </c>
      <c r="Z40" s="337">
        <v>-32175</v>
      </c>
      <c r="AA40" s="337">
        <v>-31935</v>
      </c>
      <c r="AB40" s="337">
        <v>-31399</v>
      </c>
      <c r="AC40" s="337">
        <v>-34166.875999999997</v>
      </c>
      <c r="AD40" s="337">
        <v>-30787.342000000001</v>
      </c>
      <c r="AE40" s="337">
        <v>-36583.146000000001</v>
      </c>
      <c r="AF40" s="337">
        <v>-38866.087</v>
      </c>
      <c r="AG40" s="337">
        <v>-35000.769999999997</v>
      </c>
      <c r="AH40" s="337">
        <v>-115468.433</v>
      </c>
      <c r="AI40" s="556">
        <v>-38055.788</v>
      </c>
      <c r="AJ40" s="337">
        <v>-35339.696000000004</v>
      </c>
      <c r="AK40" s="337">
        <v>-35257.468999999997</v>
      </c>
      <c r="AL40" s="337">
        <v>-32497.25</v>
      </c>
    </row>
    <row r="41" spans="1:38" ht="15" thickBot="1">
      <c r="A41" s="118" t="s">
        <v>903</v>
      </c>
      <c r="B41" s="118" t="s">
        <v>784</v>
      </c>
      <c r="C41" s="112"/>
      <c r="D41" s="119">
        <f t="shared" ref="D41:Y41" si="17">SUM(D36:D40)</f>
        <v>0</v>
      </c>
      <c r="E41" s="119">
        <f t="shared" si="17"/>
        <v>-851</v>
      </c>
      <c r="F41" s="119">
        <f t="shared" si="17"/>
        <v>3388</v>
      </c>
      <c r="G41" s="119">
        <f t="shared" si="17"/>
        <v>-1102</v>
      </c>
      <c r="H41" s="119">
        <f t="shared" si="17"/>
        <v>3461</v>
      </c>
      <c r="I41" s="119">
        <f t="shared" si="17"/>
        <v>2869</v>
      </c>
      <c r="J41" s="119">
        <f t="shared" si="17"/>
        <v>4338</v>
      </c>
      <c r="K41" s="119">
        <f t="shared" si="17"/>
        <v>111628</v>
      </c>
      <c r="L41" s="119">
        <f t="shared" si="17"/>
        <v>95754</v>
      </c>
      <c r="M41" s="119">
        <f t="shared" si="17"/>
        <v>136612</v>
      </c>
      <c r="N41" s="119">
        <f t="shared" si="17"/>
        <v>216377.33255000005</v>
      </c>
      <c r="O41" s="119">
        <f t="shared" si="17"/>
        <v>1434008</v>
      </c>
      <c r="P41" s="119">
        <f t="shared" si="17"/>
        <v>298339.43104000017</v>
      </c>
      <c r="Q41" s="119">
        <f t="shared" si="17"/>
        <v>197802</v>
      </c>
      <c r="R41" s="119">
        <f t="shared" si="17"/>
        <v>290129</v>
      </c>
      <c r="S41" s="119">
        <f t="shared" si="17"/>
        <v>219216.60585999989</v>
      </c>
      <c r="T41" s="119">
        <f t="shared" si="17"/>
        <v>29520.262209999943</v>
      </c>
      <c r="U41" s="119">
        <f t="shared" si="17"/>
        <v>59192.411959999881</v>
      </c>
      <c r="V41" s="119">
        <f t="shared" si="17"/>
        <v>81736.530799999979</v>
      </c>
      <c r="W41" s="119">
        <f t="shared" si="17"/>
        <v>58887</v>
      </c>
      <c r="X41" s="119">
        <f t="shared" si="17"/>
        <v>195763</v>
      </c>
      <c r="Y41" s="119">
        <f t="shared" si="17"/>
        <v>-63789</v>
      </c>
      <c r="Z41" s="119">
        <f t="shared" ref="Z41:AK41" si="18">SUM(Z36:Z40)</f>
        <v>161314</v>
      </c>
      <c r="AA41" s="119">
        <f t="shared" si="18"/>
        <v>110725.00000000006</v>
      </c>
      <c r="AB41" s="119">
        <f t="shared" si="18"/>
        <v>44506.159410000051</v>
      </c>
      <c r="AC41" s="119">
        <f t="shared" si="18"/>
        <v>90108.548450000031</v>
      </c>
      <c r="AD41" s="119">
        <f t="shared" si="18"/>
        <v>146601.23819</v>
      </c>
      <c r="AE41" s="119">
        <f t="shared" si="18"/>
        <v>130303.95108999993</v>
      </c>
      <c r="AF41" s="119">
        <f t="shared" si="18"/>
        <v>93974.232370000012</v>
      </c>
      <c r="AG41" s="119">
        <f t="shared" si="18"/>
        <v>125246.49414999998</v>
      </c>
      <c r="AH41" s="119">
        <f t="shared" si="18"/>
        <v>257812.15538000019</v>
      </c>
      <c r="AI41" s="132">
        <f t="shared" si="18"/>
        <v>341033.93148000009</v>
      </c>
      <c r="AJ41" s="132">
        <f t="shared" si="18"/>
        <v>102507.0147</v>
      </c>
      <c r="AK41" s="132">
        <f t="shared" si="18"/>
        <v>107150.57056000004</v>
      </c>
      <c r="AL41" s="132">
        <f t="shared" ref="AL41" si="19">SUM(AL36:AL40)</f>
        <v>168662.35145000002</v>
      </c>
    </row>
  </sheetData>
  <pageMargins left="0.511811024" right="0.511811024" top="0.78740157499999996" bottom="0.78740157499999996" header="0.31496062000000002" footer="0.31496062000000002"/>
  <ignoredErrors>
    <ignoredError sqref="X9:AF9" formulaRange="1"/>
  </ignoredErrors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9" tint="0.79998168889431442"/>
  </sheetPr>
  <dimension ref="A7:Z32"/>
  <sheetViews>
    <sheetView showGridLines="0" zoomScale="85" zoomScaleNormal="85" workbookViewId="0">
      <pane xSplit="2" topLeftCell="M1" activePane="topRight" state="frozen"/>
      <selection pane="topRight" activeCell="A23" sqref="A23"/>
    </sheetView>
  </sheetViews>
  <sheetFormatPr defaultColWidth="9.21875" defaultRowHeight="14.4" outlineLevelCol="1"/>
  <cols>
    <col min="1" max="1" width="44.44140625" style="35" bestFit="1" customWidth="1"/>
    <col min="2" max="2" width="44.44140625" style="35" customWidth="1"/>
    <col min="3" max="3" width="0.5546875" customWidth="1"/>
    <col min="4" max="11" width="8.5546875" style="35" hidden="1" customWidth="1" outlineLevel="1"/>
    <col min="12" max="12" width="8.5546875" style="35" customWidth="1" collapsed="1"/>
    <col min="13" max="26" width="8.5546875" style="35" customWidth="1"/>
    <col min="27" max="16384" width="9.21875" style="35"/>
  </cols>
  <sheetData>
    <row r="7" spans="1:26">
      <c r="A7" s="38" t="s">
        <v>943</v>
      </c>
      <c r="B7" s="38" t="s">
        <v>944</v>
      </c>
      <c r="C7" s="111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spans="1:26" ht="15" thickBot="1">
      <c r="A8" s="448" t="s">
        <v>945</v>
      </c>
      <c r="B8" s="448" t="s">
        <v>946</v>
      </c>
      <c r="D8" s="449" t="s">
        <v>67</v>
      </c>
      <c r="E8" s="449" t="s">
        <v>68</v>
      </c>
      <c r="F8" s="449" t="s">
        <v>69</v>
      </c>
      <c r="G8" s="449" t="s">
        <v>70</v>
      </c>
      <c r="H8" s="449" t="s">
        <v>71</v>
      </c>
      <c r="I8" s="449" t="s">
        <v>72</v>
      </c>
      <c r="J8" s="449" t="s">
        <v>73</v>
      </c>
      <c r="K8" s="449" t="s">
        <v>74</v>
      </c>
      <c r="L8" s="449" t="s">
        <v>75</v>
      </c>
      <c r="M8" s="449" t="s">
        <v>76</v>
      </c>
      <c r="N8" s="449" t="s">
        <v>77</v>
      </c>
      <c r="O8" s="449" t="s">
        <v>78</v>
      </c>
      <c r="P8" s="449" t="s">
        <v>79</v>
      </c>
      <c r="Q8" s="449" t="s">
        <v>80</v>
      </c>
      <c r="R8" s="453" t="s">
        <v>81</v>
      </c>
      <c r="S8" s="453" t="s">
        <v>82</v>
      </c>
      <c r="T8" s="453" t="s">
        <v>83</v>
      </c>
      <c r="U8" s="453" t="s">
        <v>84</v>
      </c>
      <c r="V8" s="453" t="s">
        <v>85</v>
      </c>
      <c r="W8" s="453" t="s">
        <v>86</v>
      </c>
      <c r="X8" s="453" t="s">
        <v>87</v>
      </c>
      <c r="Y8" s="453" t="s">
        <v>88</v>
      </c>
      <c r="Z8" s="453" t="s">
        <v>2074</v>
      </c>
    </row>
    <row r="9" spans="1:26" ht="15" thickBot="1">
      <c r="A9" s="118" t="s">
        <v>596</v>
      </c>
      <c r="B9" s="118" t="s">
        <v>848</v>
      </c>
      <c r="D9" s="119">
        <f t="shared" ref="D9:N9" si="0">SUM(D10:D11)</f>
        <v>43462.41988999999</v>
      </c>
      <c r="E9" s="119">
        <f t="shared" si="0"/>
        <v>61896.58011000001</v>
      </c>
      <c r="F9" s="119">
        <f t="shared" si="0"/>
        <v>84807.140649999987</v>
      </c>
      <c r="G9" s="119">
        <f t="shared" si="0"/>
        <v>138209.80521000002</v>
      </c>
      <c r="H9" s="119">
        <f t="shared" si="0"/>
        <v>205955.76048999999</v>
      </c>
      <c r="I9" s="119">
        <f t="shared" si="0"/>
        <v>254753</v>
      </c>
      <c r="J9" s="119">
        <f t="shared" si="0"/>
        <v>249736.62753000006</v>
      </c>
      <c r="K9" s="119">
        <f t="shared" si="0"/>
        <v>324757.62337999995</v>
      </c>
      <c r="L9" s="119">
        <f t="shared" si="0"/>
        <v>286252.41719000001</v>
      </c>
      <c r="M9" s="119">
        <f t="shared" si="0"/>
        <v>286262.58280999999</v>
      </c>
      <c r="N9" s="119">
        <f t="shared" si="0"/>
        <v>312548.17930000013</v>
      </c>
      <c r="O9" s="119">
        <f t="shared" ref="O9:Y9" si="1">SUM(O10:O11)</f>
        <v>315193.6871599998</v>
      </c>
      <c r="P9" s="119">
        <f t="shared" si="1"/>
        <v>313822.17221999995</v>
      </c>
      <c r="Q9" s="119">
        <f t="shared" si="1"/>
        <v>324294.50694000005</v>
      </c>
      <c r="R9" s="119">
        <f t="shared" si="1"/>
        <v>342075.48433999997</v>
      </c>
      <c r="S9" s="119">
        <f t="shared" si="1"/>
        <v>326417.83650000003</v>
      </c>
      <c r="T9" s="119">
        <f t="shared" si="1"/>
        <v>337095</v>
      </c>
      <c r="U9" s="119">
        <f t="shared" si="1"/>
        <v>333629.14134999999</v>
      </c>
      <c r="V9" s="119">
        <f t="shared" si="1"/>
        <v>294572.33913999994</v>
      </c>
      <c r="W9" s="119">
        <f t="shared" si="1"/>
        <v>304917.34197000007</v>
      </c>
      <c r="X9" s="119">
        <f t="shared" si="1"/>
        <v>295016.80899000005</v>
      </c>
      <c r="Y9" s="119">
        <f t="shared" si="1"/>
        <v>298055.90344999998</v>
      </c>
      <c r="Z9" s="119">
        <f t="shared" ref="Z9" si="2">SUM(Z10:Z11)</f>
        <v>323515.00249999983</v>
      </c>
    </row>
    <row r="10" spans="1:26">
      <c r="A10" s="115" t="s">
        <v>913</v>
      </c>
      <c r="B10" s="115" t="s">
        <v>927</v>
      </c>
      <c r="D10" s="337">
        <v>43027.41988999999</v>
      </c>
      <c r="E10" s="337">
        <v>61896.58011000001</v>
      </c>
      <c r="F10" s="337">
        <v>84522.825259999983</v>
      </c>
      <c r="G10" s="337">
        <v>127404.43567000002</v>
      </c>
      <c r="H10" s="337">
        <v>199351.93957999998</v>
      </c>
      <c r="I10" s="337">
        <v>245825</v>
      </c>
      <c r="J10" s="337">
        <v>264733.79933000007</v>
      </c>
      <c r="K10" s="337">
        <v>321560.33950999996</v>
      </c>
      <c r="L10" s="337">
        <v>290726.86193000001</v>
      </c>
      <c r="M10" s="337">
        <v>263215.13806999999</v>
      </c>
      <c r="N10" s="337">
        <v>327714.24514000013</v>
      </c>
      <c r="O10" s="337">
        <v>315066.19745999982</v>
      </c>
      <c r="P10" s="337">
        <v>313822.17221999995</v>
      </c>
      <c r="Q10" s="337">
        <v>324291.04274000006</v>
      </c>
      <c r="R10" s="337">
        <v>342075.48433999997</v>
      </c>
      <c r="S10" s="337">
        <v>326417.30070000002</v>
      </c>
      <c r="T10" s="337">
        <v>337095</v>
      </c>
      <c r="U10" s="337">
        <v>333629.14134999999</v>
      </c>
      <c r="V10" s="337">
        <v>294572.33913999994</v>
      </c>
      <c r="W10" s="337">
        <v>304917.34197000007</v>
      </c>
      <c r="X10" s="337">
        <v>295016.80899000005</v>
      </c>
      <c r="Y10" s="337">
        <v>298055.90344999998</v>
      </c>
      <c r="Z10" s="337">
        <v>322010.22690999985</v>
      </c>
    </row>
    <row r="11" spans="1:26" ht="15" thickBot="1">
      <c r="A11" s="115" t="s">
        <v>614</v>
      </c>
      <c r="B11" s="115" t="s">
        <v>615</v>
      </c>
      <c r="D11" s="337">
        <v>435</v>
      </c>
      <c r="E11" s="337"/>
      <c r="F11" s="337">
        <v>284.31538999999992</v>
      </c>
      <c r="G11" s="337">
        <v>10805.36954</v>
      </c>
      <c r="H11" s="337">
        <v>6603.8209100000004</v>
      </c>
      <c r="I11" s="337">
        <v>8928</v>
      </c>
      <c r="J11" s="337">
        <v>-14997.1718</v>
      </c>
      <c r="K11" s="337">
        <v>3197.2838699999998</v>
      </c>
      <c r="L11" s="337">
        <v>-4474.4447399999981</v>
      </c>
      <c r="M11" s="337">
        <v>23047.444739999999</v>
      </c>
      <c r="N11" s="337">
        <v>-15166.065839999999</v>
      </c>
      <c r="O11" s="337">
        <v>127.4897</v>
      </c>
      <c r="P11" s="337"/>
      <c r="Q11" s="337">
        <v>3.4641999999999999</v>
      </c>
      <c r="R11" s="337">
        <v>0</v>
      </c>
      <c r="S11" s="337">
        <v>0.53580000000000005</v>
      </c>
      <c r="T11" s="337"/>
      <c r="U11" s="337"/>
      <c r="V11" s="337"/>
      <c r="W11" s="337"/>
      <c r="X11" s="337"/>
      <c r="Y11" s="337"/>
      <c r="Z11" s="337">
        <v>1504.7755899999997</v>
      </c>
    </row>
    <row r="12" spans="1:26" ht="15" thickBot="1">
      <c r="A12" s="118" t="s">
        <v>858</v>
      </c>
      <c r="B12" s="118" t="s">
        <v>859</v>
      </c>
      <c r="D12" s="119">
        <v>-2730.0229899999995</v>
      </c>
      <c r="E12" s="119">
        <v>-5822.3765100000001</v>
      </c>
      <c r="F12" s="119">
        <v>-9120.4472999999998</v>
      </c>
      <c r="G12" s="119">
        <v>-11964.35102</v>
      </c>
      <c r="H12" s="119">
        <v>-20580.2654</v>
      </c>
      <c r="I12" s="119">
        <v>-24699</v>
      </c>
      <c r="J12" s="119">
        <v>-26939.261929999993</v>
      </c>
      <c r="K12" s="119">
        <v>-31061.681969999991</v>
      </c>
      <c r="L12" s="119">
        <v>-31723.646270000001</v>
      </c>
      <c r="M12" s="119">
        <v>-29346.338809999997</v>
      </c>
      <c r="N12" s="119">
        <v>-30559.461899999995</v>
      </c>
      <c r="O12" s="119">
        <v>-31955.521330000003</v>
      </c>
      <c r="P12" s="119">
        <v>-31384.860349999999</v>
      </c>
      <c r="Q12" s="119">
        <v>-31824.359770000006</v>
      </c>
      <c r="R12" s="119">
        <v>-31703.982119999993</v>
      </c>
      <c r="S12" s="119">
        <v>-34127.797760000001</v>
      </c>
      <c r="T12" s="119">
        <v>-34464</v>
      </c>
      <c r="U12" s="119">
        <v>-35643.343460000004</v>
      </c>
      <c r="V12" s="119">
        <v>-44162.893609999992</v>
      </c>
      <c r="W12" s="119">
        <v>-30796.502009999989</v>
      </c>
      <c r="X12" s="119">
        <v>-30125.563269999995</v>
      </c>
      <c r="Y12" s="119">
        <v>-31118.51658</v>
      </c>
      <c r="Z12" s="119">
        <v>-31908.189599999994</v>
      </c>
    </row>
    <row r="13" spans="1:26" ht="15" thickBot="1">
      <c r="A13" s="118" t="s">
        <v>646</v>
      </c>
      <c r="B13" s="118" t="s">
        <v>860</v>
      </c>
      <c r="D13" s="338">
        <f t="shared" ref="D13:Q13" si="3">D9+D12</f>
        <v>40732.396899999992</v>
      </c>
      <c r="E13" s="338">
        <f t="shared" si="3"/>
        <v>56074.203600000008</v>
      </c>
      <c r="F13" s="338">
        <f t="shared" si="3"/>
        <v>75686.693349999987</v>
      </c>
      <c r="G13" s="338">
        <f t="shared" si="3"/>
        <v>126245.45419000002</v>
      </c>
      <c r="H13" s="338">
        <f t="shared" si="3"/>
        <v>185375.49508999998</v>
      </c>
      <c r="I13" s="338">
        <f t="shared" si="3"/>
        <v>230054</v>
      </c>
      <c r="J13" s="338">
        <f t="shared" si="3"/>
        <v>222797.36560000008</v>
      </c>
      <c r="K13" s="338">
        <f t="shared" si="3"/>
        <v>293695.94140999997</v>
      </c>
      <c r="L13" s="338">
        <f t="shared" si="3"/>
        <v>254528.77092000001</v>
      </c>
      <c r="M13" s="338">
        <f t="shared" si="3"/>
        <v>256916.24400000001</v>
      </c>
      <c r="N13" s="338">
        <f t="shared" si="3"/>
        <v>281988.71740000014</v>
      </c>
      <c r="O13" s="338">
        <f t="shared" si="3"/>
        <v>283238.16582999978</v>
      </c>
      <c r="P13" s="338">
        <f t="shared" si="3"/>
        <v>282437.31186999998</v>
      </c>
      <c r="Q13" s="338">
        <f t="shared" si="3"/>
        <v>292470.14717000007</v>
      </c>
      <c r="R13" s="338">
        <f t="shared" ref="R13:W13" si="4">R9+R12</f>
        <v>310371.50221999997</v>
      </c>
      <c r="S13" s="338">
        <f t="shared" si="4"/>
        <v>292290.03874000005</v>
      </c>
      <c r="T13" s="338">
        <f t="shared" si="4"/>
        <v>302631</v>
      </c>
      <c r="U13" s="338">
        <f t="shared" si="4"/>
        <v>297985.79788999999</v>
      </c>
      <c r="V13" s="338">
        <f t="shared" si="4"/>
        <v>250409.44552999994</v>
      </c>
      <c r="W13" s="338">
        <f t="shared" si="4"/>
        <v>274120.83996000007</v>
      </c>
      <c r="X13" s="338">
        <f>X9+X12</f>
        <v>264891.24572000006</v>
      </c>
      <c r="Y13" s="338">
        <f>Y9+Y12</f>
        <v>266937.38686999999</v>
      </c>
      <c r="Z13" s="338">
        <f>Z9+Z12</f>
        <v>291606.81289999984</v>
      </c>
    </row>
    <row r="14" spans="1:26" ht="15" thickBot="1">
      <c r="A14" s="118" t="s">
        <v>873</v>
      </c>
      <c r="B14" s="118" t="s">
        <v>874</v>
      </c>
      <c r="D14" s="119">
        <f t="shared" ref="D14:K14" si="5">SUM(D15:D19)</f>
        <v>-1670</v>
      </c>
      <c r="E14" s="119">
        <f t="shared" si="5"/>
        <v>-5003</v>
      </c>
      <c r="F14" s="119">
        <f t="shared" si="5"/>
        <v>-5114.4227800000008</v>
      </c>
      <c r="G14" s="119">
        <f t="shared" si="5"/>
        <v>-13920.58641</v>
      </c>
      <c r="H14" s="119">
        <f t="shared" si="5"/>
        <v>-7123.0956799999994</v>
      </c>
      <c r="I14" s="119">
        <f t="shared" si="5"/>
        <v>-9167.6487899999993</v>
      </c>
      <c r="J14" s="119">
        <f t="shared" si="5"/>
        <v>-17801</v>
      </c>
      <c r="K14" s="119">
        <f t="shared" si="5"/>
        <v>-17358</v>
      </c>
      <c r="L14" s="119">
        <f t="shared" ref="L14:V14" si="6">SUM(L15:L21)</f>
        <v>-14503.586230000001</v>
      </c>
      <c r="M14" s="119">
        <f t="shared" si="6"/>
        <v>-18001.413769999999</v>
      </c>
      <c r="N14" s="119">
        <f t="shared" si="6"/>
        <v>-16652.150629999996</v>
      </c>
      <c r="O14" s="119">
        <f t="shared" si="6"/>
        <v>-22709.337020000014</v>
      </c>
      <c r="P14" s="119">
        <f t="shared" si="6"/>
        <v>-19521.960860000003</v>
      </c>
      <c r="Q14" s="119">
        <f t="shared" si="6"/>
        <v>-17875.949920000003</v>
      </c>
      <c r="R14" s="119">
        <f t="shared" si="6"/>
        <v>-26227.460220000004</v>
      </c>
      <c r="S14" s="119">
        <f t="shared" si="6"/>
        <v>-18491.629000000001</v>
      </c>
      <c r="T14" s="119">
        <f t="shared" si="6"/>
        <v>-18075</v>
      </c>
      <c r="U14" s="119">
        <f t="shared" si="6"/>
        <v>-17755.328859999998</v>
      </c>
      <c r="V14" s="119">
        <f t="shared" si="6"/>
        <v>-19238.240479999993</v>
      </c>
      <c r="W14" s="119">
        <f>SUM(W15:W21)</f>
        <v>209461.45832000001</v>
      </c>
      <c r="X14" s="119">
        <f>SUM(X15:X21)</f>
        <v>-18198.654999999999</v>
      </c>
      <c r="Y14" s="119">
        <f>SUM(Y15:Y21)</f>
        <v>-18669.408479999998</v>
      </c>
      <c r="Z14" s="119">
        <f>SUM(Z15:Z21)</f>
        <v>-15075.679160000002</v>
      </c>
    </row>
    <row r="15" spans="1:26">
      <c r="A15" s="115" t="s">
        <v>875</v>
      </c>
      <c r="B15" s="115" t="s">
        <v>876</v>
      </c>
      <c r="D15" s="337">
        <v>-764</v>
      </c>
      <c r="E15" s="337">
        <v>-2726</v>
      </c>
      <c r="F15" s="337">
        <v>-3049.2834800000001</v>
      </c>
      <c r="G15" s="337">
        <v>-9582.9867699999995</v>
      </c>
      <c r="H15" s="337">
        <v>-4397.007889999999</v>
      </c>
      <c r="I15" s="337">
        <v>-3063.1216599999998</v>
      </c>
      <c r="J15" s="337">
        <v>-9956</v>
      </c>
      <c r="K15" s="337">
        <v>-8386</v>
      </c>
      <c r="L15" s="337">
        <v>-8406.9942300000002</v>
      </c>
      <c r="M15" s="337">
        <v>-8592.0057699999998</v>
      </c>
      <c r="N15" s="337">
        <v>-8889.2125899999992</v>
      </c>
      <c r="O15" s="337">
        <v>-10526.809570000001</v>
      </c>
      <c r="P15" s="337">
        <v>-10090.622150000003</v>
      </c>
      <c r="Q15" s="337">
        <v>-9472.1843899999949</v>
      </c>
      <c r="R15" s="337">
        <v>-11123.551640000005</v>
      </c>
      <c r="S15" s="337">
        <v>-7381.6418199999971</v>
      </c>
      <c r="T15" s="337">
        <v>-8954</v>
      </c>
      <c r="U15" s="337">
        <v>-8747.0909199999969</v>
      </c>
      <c r="V15" s="337">
        <v>-8305.6591000000026</v>
      </c>
      <c r="W15" s="337">
        <v>-9007.0449599999974</v>
      </c>
      <c r="X15" s="337">
        <v>-7742.0345799999977</v>
      </c>
      <c r="Y15" s="337">
        <v>-8007.7098600000008</v>
      </c>
      <c r="Z15" s="337">
        <v>-7129.0953100000015</v>
      </c>
    </row>
    <row r="16" spans="1:26">
      <c r="A16" s="115" t="s">
        <v>877</v>
      </c>
      <c r="B16" s="115" t="s">
        <v>877</v>
      </c>
      <c r="D16" s="337">
        <v>-119</v>
      </c>
      <c r="E16" s="337">
        <v>-72</v>
      </c>
      <c r="F16" s="337">
        <v>-204.49114000000003</v>
      </c>
      <c r="G16" s="337">
        <v>-212.13924</v>
      </c>
      <c r="H16" s="337">
        <v>-149.87256000000002</v>
      </c>
      <c r="I16" s="337">
        <v>-268.23608999999999</v>
      </c>
      <c r="J16" s="337">
        <v>-384</v>
      </c>
      <c r="K16" s="337">
        <v>-633</v>
      </c>
      <c r="L16" s="337">
        <v>-323.70368999999999</v>
      </c>
      <c r="M16" s="337">
        <v>-662.29630999999995</v>
      </c>
      <c r="N16" s="337">
        <v>-289.28607000000011</v>
      </c>
      <c r="O16" s="337">
        <v>-992.90796</v>
      </c>
      <c r="P16" s="337">
        <v>-987.9697799999999</v>
      </c>
      <c r="Q16" s="337">
        <v>-14139.055640000004</v>
      </c>
      <c r="R16" s="337">
        <v>-12080.454149999996</v>
      </c>
      <c r="S16" s="337">
        <v>-363.52043000000049</v>
      </c>
      <c r="T16" s="337">
        <v>-817</v>
      </c>
      <c r="U16" s="337">
        <v>-57.049970000000002</v>
      </c>
      <c r="V16" s="337">
        <v>-441.80210000000005</v>
      </c>
      <c r="W16" s="337">
        <v>14.757569999999873</v>
      </c>
      <c r="X16" s="337">
        <v>-157.20161999999999</v>
      </c>
      <c r="Y16" s="337">
        <v>-933.20718000000011</v>
      </c>
      <c r="Z16" s="337">
        <v>-310.74765000000002</v>
      </c>
    </row>
    <row r="17" spans="1:26">
      <c r="A17" s="115" t="s">
        <v>878</v>
      </c>
      <c r="B17" s="115" t="s">
        <v>879</v>
      </c>
      <c r="D17" s="337">
        <v>-871</v>
      </c>
      <c r="E17" s="337">
        <v>-1661</v>
      </c>
      <c r="F17" s="337">
        <v>-1584.0815300000002</v>
      </c>
      <c r="G17" s="337">
        <v>-3621.3896300000001</v>
      </c>
      <c r="H17" s="337">
        <v>-2159.3326499999998</v>
      </c>
      <c r="I17" s="337">
        <v>-5449.2910400000001</v>
      </c>
      <c r="J17" s="337">
        <v>-5983</v>
      </c>
      <c r="K17" s="337">
        <v>-6924</v>
      </c>
      <c r="L17" s="337">
        <v>-4488.7892499999998</v>
      </c>
      <c r="M17" s="337">
        <v>-8626.2107500000002</v>
      </c>
      <c r="N17" s="337">
        <v>-8122.4132299999983</v>
      </c>
      <c r="O17" s="337">
        <v>-9105.356090000012</v>
      </c>
      <c r="P17" s="337">
        <v>-7960.9851900000003</v>
      </c>
      <c r="Q17" s="337">
        <v>6313.3294100000003</v>
      </c>
      <c r="R17" s="337">
        <v>-345.46456999999987</v>
      </c>
      <c r="S17" s="337">
        <v>-8392.8796500000026</v>
      </c>
      <c r="T17" s="337">
        <v>-6999</v>
      </c>
      <c r="U17" s="337">
        <v>-8912.6454200000026</v>
      </c>
      <c r="V17" s="337">
        <v>-7904.7826399999885</v>
      </c>
      <c r="W17" s="337">
        <v>-32982.513330000002</v>
      </c>
      <c r="X17" s="337">
        <v>-9535.1691499999997</v>
      </c>
      <c r="Y17" s="337">
        <v>-8993.622519999999</v>
      </c>
      <c r="Z17" s="337">
        <v>-6212.3737100000008</v>
      </c>
    </row>
    <row r="18" spans="1:26">
      <c r="A18" s="115" t="s">
        <v>920</v>
      </c>
      <c r="B18" s="115" t="s">
        <v>868</v>
      </c>
      <c r="D18" s="337"/>
      <c r="E18" s="337"/>
      <c r="F18" s="337"/>
      <c r="G18" s="337">
        <v>0</v>
      </c>
      <c r="H18" s="337">
        <v>0</v>
      </c>
      <c r="I18" s="337"/>
      <c r="J18" s="337"/>
      <c r="K18" s="337">
        <v>0</v>
      </c>
      <c r="L18" s="337">
        <v>0</v>
      </c>
      <c r="M18" s="337">
        <v>0</v>
      </c>
      <c r="N18" s="337">
        <v>0</v>
      </c>
      <c r="O18" s="337">
        <v>0</v>
      </c>
      <c r="P18" s="337">
        <v>0</v>
      </c>
      <c r="Q18" s="337">
        <v>0</v>
      </c>
      <c r="R18" s="337">
        <v>0</v>
      </c>
      <c r="S18" s="337">
        <v>0</v>
      </c>
      <c r="T18" s="337">
        <v>0</v>
      </c>
      <c r="U18" s="337">
        <v>0</v>
      </c>
      <c r="V18" s="337">
        <v>0</v>
      </c>
      <c r="W18" s="337">
        <v>0</v>
      </c>
      <c r="X18" s="337">
        <v>0</v>
      </c>
      <c r="Y18" s="337">
        <v>0</v>
      </c>
      <c r="Z18" s="337">
        <v>0</v>
      </c>
    </row>
    <row r="19" spans="1:26">
      <c r="A19" s="115" t="s">
        <v>95</v>
      </c>
      <c r="B19" s="115" t="s">
        <v>884</v>
      </c>
      <c r="D19" s="337">
        <v>84</v>
      </c>
      <c r="E19" s="337">
        <v>-544</v>
      </c>
      <c r="F19" s="337">
        <v>-276.5666299999998</v>
      </c>
      <c r="G19" s="337">
        <v>-504.07076999999998</v>
      </c>
      <c r="H19" s="337">
        <v>-416.88258000000002</v>
      </c>
      <c r="I19" s="337">
        <v>-387</v>
      </c>
      <c r="J19" s="337">
        <v>-1478</v>
      </c>
      <c r="K19" s="337">
        <v>-1415</v>
      </c>
      <c r="L19" s="337">
        <v>-1284.09906</v>
      </c>
      <c r="M19" s="337">
        <v>-120.90093999999999</v>
      </c>
      <c r="N19" s="337">
        <v>648.76126000000022</v>
      </c>
      <c r="O19" s="337">
        <v>-2084.2633999999985</v>
      </c>
      <c r="P19" s="337">
        <v>-482.38373999999999</v>
      </c>
      <c r="Q19" s="337">
        <v>-578.03930000000014</v>
      </c>
      <c r="R19" s="337">
        <v>-2677.9898600000001</v>
      </c>
      <c r="S19" s="337">
        <v>-2353.5870999999997</v>
      </c>
      <c r="T19" s="337">
        <v>-1305</v>
      </c>
      <c r="U19" s="337">
        <v>-38.5425499999997</v>
      </c>
      <c r="V19" s="337">
        <v>-1514.9966399999996</v>
      </c>
      <c r="W19" s="337">
        <v>-751.74096000000077</v>
      </c>
      <c r="X19" s="337">
        <v>-764.24964999999975</v>
      </c>
      <c r="Y19" s="337">
        <v>-734.86892</v>
      </c>
      <c r="Z19" s="337">
        <v>-443.46248999999995</v>
      </c>
    </row>
    <row r="20" spans="1:26">
      <c r="A20" s="115" t="s">
        <v>880</v>
      </c>
      <c r="B20" s="115" t="s">
        <v>881</v>
      </c>
      <c r="D20" s="337"/>
      <c r="E20" s="337"/>
      <c r="F20" s="337"/>
      <c r="G20" s="337"/>
      <c r="H20" s="337"/>
      <c r="I20" s="337"/>
      <c r="J20" s="337"/>
      <c r="K20" s="337"/>
      <c r="L20" s="337"/>
      <c r="M20" s="337"/>
      <c r="N20" s="337"/>
      <c r="O20" s="337"/>
      <c r="P20" s="337"/>
      <c r="Q20" s="337"/>
      <c r="R20" s="337"/>
      <c r="S20" s="337">
        <v>0</v>
      </c>
      <c r="T20" s="337">
        <v>0</v>
      </c>
      <c r="U20" s="337">
        <v>0</v>
      </c>
      <c r="V20" s="337">
        <v>0</v>
      </c>
      <c r="W20" s="337"/>
      <c r="X20" s="337">
        <v>0</v>
      </c>
      <c r="Y20" s="337">
        <v>0</v>
      </c>
      <c r="Z20" s="337">
        <v>0</v>
      </c>
    </row>
    <row r="21" spans="1:26">
      <c r="A21" s="115" t="s">
        <v>936</v>
      </c>
      <c r="B21" s="115" t="s">
        <v>937</v>
      </c>
      <c r="D21" s="337"/>
      <c r="E21" s="337"/>
      <c r="F21" s="337"/>
      <c r="G21" s="337"/>
      <c r="H21" s="337"/>
      <c r="I21" s="337"/>
      <c r="J21" s="337"/>
      <c r="K21" s="337"/>
      <c r="L21" s="337"/>
      <c r="M21" s="337"/>
      <c r="N21" s="337"/>
      <c r="O21" s="337"/>
      <c r="P21" s="337"/>
      <c r="Q21" s="337"/>
      <c r="R21" s="337"/>
      <c r="S21" s="337"/>
      <c r="T21" s="337"/>
      <c r="U21" s="337"/>
      <c r="V21" s="337">
        <v>-1071</v>
      </c>
      <c r="W21" s="337">
        <v>252188</v>
      </c>
      <c r="X21" s="337">
        <v>0</v>
      </c>
      <c r="Y21" s="337">
        <v>0</v>
      </c>
      <c r="Z21" s="337">
        <v>-980</v>
      </c>
    </row>
    <row r="22" spans="1:26">
      <c r="A22" s="455" t="s">
        <v>722</v>
      </c>
      <c r="B22" s="455" t="s">
        <v>722</v>
      </c>
      <c r="D22" s="454">
        <f t="shared" ref="D22:Q22" si="7">SUM(D13:D14)</f>
        <v>39062.396899999992</v>
      </c>
      <c r="E22" s="454">
        <f t="shared" si="7"/>
        <v>51071.203600000008</v>
      </c>
      <c r="F22" s="454">
        <f t="shared" si="7"/>
        <v>70572.270569999993</v>
      </c>
      <c r="G22" s="454">
        <f t="shared" si="7"/>
        <v>112324.86778000002</v>
      </c>
      <c r="H22" s="454">
        <f t="shared" si="7"/>
        <v>178252.39940999998</v>
      </c>
      <c r="I22" s="454">
        <f t="shared" si="7"/>
        <v>220886.35120999999</v>
      </c>
      <c r="J22" s="454">
        <f t="shared" si="7"/>
        <v>204996.36560000008</v>
      </c>
      <c r="K22" s="454">
        <f t="shared" si="7"/>
        <v>276337.94140999997</v>
      </c>
      <c r="L22" s="454">
        <f t="shared" si="7"/>
        <v>240025.18469000002</v>
      </c>
      <c r="M22" s="454">
        <f t="shared" si="7"/>
        <v>238914.83023000002</v>
      </c>
      <c r="N22" s="454">
        <f t="shared" si="7"/>
        <v>265336.56677000015</v>
      </c>
      <c r="O22" s="454">
        <f t="shared" si="7"/>
        <v>260528.82880999977</v>
      </c>
      <c r="P22" s="454">
        <f t="shared" si="7"/>
        <v>262915.35100999998</v>
      </c>
      <c r="Q22" s="454">
        <f t="shared" si="7"/>
        <v>274594.19725000008</v>
      </c>
      <c r="R22" s="454">
        <f t="shared" ref="R22:Y22" si="8">SUM(R13:R14)</f>
        <v>284144.04199999996</v>
      </c>
      <c r="S22" s="454">
        <f t="shared" si="8"/>
        <v>273798.40974000003</v>
      </c>
      <c r="T22" s="454">
        <f t="shared" si="8"/>
        <v>284556</v>
      </c>
      <c r="U22" s="454">
        <f t="shared" si="8"/>
        <v>280230.46902999998</v>
      </c>
      <c r="V22" s="454">
        <f t="shared" si="8"/>
        <v>231171.20504999993</v>
      </c>
      <c r="W22" s="454">
        <f t="shared" si="8"/>
        <v>483582.2982800001</v>
      </c>
      <c r="X22" s="454">
        <f t="shared" si="8"/>
        <v>246692.59072000007</v>
      </c>
      <c r="Y22" s="454">
        <f t="shared" si="8"/>
        <v>248267.97839</v>
      </c>
      <c r="Z22" s="454">
        <f t="shared" ref="Z22" si="9">SUM(Z13:Z14)</f>
        <v>276531.13373999984</v>
      </c>
    </row>
    <row r="23" spans="1:26" ht="15" thickBot="1">
      <c r="A23" s="115" t="s">
        <v>893</v>
      </c>
      <c r="B23" s="115" t="s">
        <v>894</v>
      </c>
      <c r="D23" s="337">
        <v>-142.44229999999999</v>
      </c>
      <c r="E23" s="337">
        <v>-181.56352000000004</v>
      </c>
      <c r="F23" s="337">
        <v>-487.11209000000008</v>
      </c>
      <c r="G23" s="337">
        <v>-2924.3473199999999</v>
      </c>
      <c r="H23" s="337">
        <v>-7469.7377999999999</v>
      </c>
      <c r="I23" s="337">
        <v>-7807</v>
      </c>
      <c r="J23" s="337">
        <v>-14797.278490000001</v>
      </c>
      <c r="K23" s="337">
        <v>-18989.629589999993</v>
      </c>
      <c r="L23" s="337">
        <v>-22914.688829999999</v>
      </c>
      <c r="M23" s="337">
        <v>-30238.671939999993</v>
      </c>
      <c r="N23" s="337">
        <v>-206695.63923</v>
      </c>
      <c r="O23" s="337">
        <v>-110818.57176000002</v>
      </c>
      <c r="P23" s="337">
        <v>-134842.65187</v>
      </c>
      <c r="Q23" s="337">
        <v>-124637.65657999998</v>
      </c>
      <c r="R23" s="337">
        <v>-109899.00689999995</v>
      </c>
      <c r="S23" s="337">
        <v>-109886.68465000007</v>
      </c>
      <c r="T23" s="337">
        <v>-109904</v>
      </c>
      <c r="U23" s="337">
        <v>-109948.74718000002</v>
      </c>
      <c r="V23" s="337">
        <v>-110120.31891999998</v>
      </c>
      <c r="W23" s="337">
        <v>-111933.28662000003</v>
      </c>
      <c r="X23" s="337">
        <v>-106994.24798000001</v>
      </c>
      <c r="Y23" s="337">
        <v>-107174.27887000001</v>
      </c>
      <c r="Z23" s="337">
        <v>-107249.39472999999</v>
      </c>
    </row>
    <row r="24" spans="1:26" ht="15" thickBot="1">
      <c r="A24" s="118" t="s">
        <v>895</v>
      </c>
      <c r="B24" s="118" t="s">
        <v>896</v>
      </c>
      <c r="D24" s="119">
        <f t="shared" ref="D24:M24" si="10">SUM(D22:D23)</f>
        <v>38919.95459999999</v>
      </c>
      <c r="E24" s="119">
        <f t="shared" si="10"/>
        <v>50889.640080000005</v>
      </c>
      <c r="F24" s="119">
        <f t="shared" si="10"/>
        <v>70085.158479999998</v>
      </c>
      <c r="G24" s="119">
        <f t="shared" si="10"/>
        <v>109400.52046000001</v>
      </c>
      <c r="H24" s="119">
        <f t="shared" si="10"/>
        <v>170782.66160999998</v>
      </c>
      <c r="I24" s="119">
        <f t="shared" si="10"/>
        <v>213079.35120999999</v>
      </c>
      <c r="J24" s="119">
        <f t="shared" si="10"/>
        <v>190199.08711000008</v>
      </c>
      <c r="K24" s="119">
        <f t="shared" si="10"/>
        <v>257348.31181999997</v>
      </c>
      <c r="L24" s="119">
        <f t="shared" si="10"/>
        <v>217110.49586000002</v>
      </c>
      <c r="M24" s="119">
        <f t="shared" si="10"/>
        <v>208676.15829000002</v>
      </c>
      <c r="N24" s="119">
        <f t="shared" ref="N24:S24" si="11">SUM(N22:N23)</f>
        <v>58640.92754000015</v>
      </c>
      <c r="O24" s="119">
        <f t="shared" si="11"/>
        <v>149710.25704999975</v>
      </c>
      <c r="P24" s="119">
        <f t="shared" si="11"/>
        <v>128072.69913999998</v>
      </c>
      <c r="Q24" s="119">
        <f t="shared" si="11"/>
        <v>149956.5406700001</v>
      </c>
      <c r="R24" s="119">
        <f t="shared" si="11"/>
        <v>174245.03510000001</v>
      </c>
      <c r="S24" s="119">
        <f t="shared" si="11"/>
        <v>163911.72508999996</v>
      </c>
      <c r="T24" s="119">
        <f t="shared" ref="T24:Y24" si="12">SUM(T22:T23)</f>
        <v>174652</v>
      </c>
      <c r="U24" s="119">
        <f t="shared" si="12"/>
        <v>170281.72184999997</v>
      </c>
      <c r="V24" s="119">
        <f t="shared" si="12"/>
        <v>121050.88612999996</v>
      </c>
      <c r="W24" s="119">
        <f t="shared" si="12"/>
        <v>371649.01166000008</v>
      </c>
      <c r="X24" s="119">
        <f t="shared" si="12"/>
        <v>139698.34274000005</v>
      </c>
      <c r="Y24" s="119">
        <f t="shared" si="12"/>
        <v>141093.69951999999</v>
      </c>
      <c r="Z24" s="119">
        <f t="shared" ref="Z24" si="13">SUM(Z22:Z23)</f>
        <v>169281.73900999984</v>
      </c>
    </row>
    <row r="25" spans="1:26" ht="15" thickBot="1">
      <c r="A25" s="118" t="s">
        <v>725</v>
      </c>
      <c r="B25" s="118" t="s">
        <v>898</v>
      </c>
      <c r="D25" s="319">
        <f t="shared" ref="D25:M25" si="14">SUM(D26:D27)</f>
        <v>-5983.301239999977</v>
      </c>
      <c r="E25" s="319">
        <f t="shared" si="14"/>
        <v>46</v>
      </c>
      <c r="F25" s="319">
        <f t="shared" si="14"/>
        <v>-23399.770310000011</v>
      </c>
      <c r="G25" s="319">
        <f t="shared" si="14"/>
        <v>-37112.717479999999</v>
      </c>
      <c r="H25" s="319">
        <f t="shared" si="14"/>
        <v>-56363.894440000004</v>
      </c>
      <c r="I25" s="319">
        <f t="shared" si="14"/>
        <v>-142013</v>
      </c>
      <c r="J25" s="319">
        <f t="shared" si="14"/>
        <v>-178027.35047999999</v>
      </c>
      <c r="K25" s="319">
        <f t="shared" si="14"/>
        <v>-237624.97116000002</v>
      </c>
      <c r="L25" s="319">
        <f t="shared" si="14"/>
        <v>-173802.0042</v>
      </c>
      <c r="M25" s="319">
        <f t="shared" si="14"/>
        <v>-228015.9958</v>
      </c>
      <c r="N25" s="319">
        <f t="shared" ref="N25:S25" si="15">SUM(N26:N27)</f>
        <v>-18966.670929999978</v>
      </c>
      <c r="O25" s="319">
        <f t="shared" si="15"/>
        <v>-69673.944280000025</v>
      </c>
      <c r="P25" s="319">
        <f t="shared" si="15"/>
        <v>-147306.60672999997</v>
      </c>
      <c r="Q25" s="319">
        <f t="shared" si="15"/>
        <v>-123185.7910400001</v>
      </c>
      <c r="R25" s="319">
        <f t="shared" si="15"/>
        <v>-58517.214729999905</v>
      </c>
      <c r="S25" s="319">
        <f t="shared" si="15"/>
        <v>-78640.387500000026</v>
      </c>
      <c r="T25" s="319">
        <f t="shared" ref="T25:Y25" si="16">SUM(T26:T27)</f>
        <v>-108984</v>
      </c>
      <c r="U25" s="319">
        <f t="shared" si="16"/>
        <v>-79036.487210000036</v>
      </c>
      <c r="V25" s="319">
        <f t="shared" si="16"/>
        <v>-52587.23814999999</v>
      </c>
      <c r="W25" s="319">
        <f t="shared" si="16"/>
        <v>-72934.767489999998</v>
      </c>
      <c r="X25" s="319">
        <f t="shared" si="16"/>
        <v>-80788.971489999953</v>
      </c>
      <c r="Y25" s="319">
        <f t="shared" si="16"/>
        <v>-74124.868150000009</v>
      </c>
      <c r="Z25" s="319">
        <f t="shared" ref="Z25" si="17">SUM(Z26:Z27)</f>
        <v>-19118.447810000041</v>
      </c>
    </row>
    <row r="26" spans="1:26">
      <c r="A26" s="115" t="s">
        <v>727</v>
      </c>
      <c r="B26" s="115" t="s">
        <v>898</v>
      </c>
      <c r="D26" s="337">
        <v>-8.6258000000001402</v>
      </c>
      <c r="E26" s="337">
        <v>766</v>
      </c>
      <c r="F26" s="337">
        <v>1182.9561299999984</v>
      </c>
      <c r="G26" s="337">
        <v>974.21344999999997</v>
      </c>
      <c r="H26" s="337">
        <v>366.36067999999989</v>
      </c>
      <c r="I26" s="337">
        <v>7052</v>
      </c>
      <c r="J26" s="337">
        <v>4983.6811099999995</v>
      </c>
      <c r="K26" s="337">
        <v>10141.31889</v>
      </c>
      <c r="L26" s="337">
        <v>18269.69397</v>
      </c>
      <c r="M26" s="337">
        <v>20988.30603</v>
      </c>
      <c r="N26" s="337">
        <v>28620.71931</v>
      </c>
      <c r="O26" s="337">
        <v>34471.824449999986</v>
      </c>
      <c r="P26" s="337">
        <v>30168.288079999995</v>
      </c>
      <c r="Q26" s="337">
        <v>39383.53912999999</v>
      </c>
      <c r="R26" s="337">
        <v>45371.845970000009</v>
      </c>
      <c r="S26" s="337">
        <v>39689.326820000002</v>
      </c>
      <c r="T26" s="337">
        <v>53330</v>
      </c>
      <c r="U26" s="337">
        <v>44896.018039999995</v>
      </c>
      <c r="V26" s="337">
        <v>53683.166599999997</v>
      </c>
      <c r="W26" s="337">
        <v>55881.372269999985</v>
      </c>
      <c r="X26" s="337">
        <v>59838.174030000009</v>
      </c>
      <c r="Y26" s="337">
        <v>57516.799050000016</v>
      </c>
      <c r="Z26" s="337">
        <v>67652.923089999967</v>
      </c>
    </row>
    <row r="27" spans="1:26" ht="15" thickBot="1">
      <c r="A27" s="115" t="s">
        <v>744</v>
      </c>
      <c r="B27" s="115" t="s">
        <v>745</v>
      </c>
      <c r="D27" s="337">
        <v>-5974.6754399999772</v>
      </c>
      <c r="E27" s="337">
        <v>-720</v>
      </c>
      <c r="F27" s="337">
        <v>-24582.726440000009</v>
      </c>
      <c r="G27" s="337">
        <v>-38086.930930000002</v>
      </c>
      <c r="H27" s="337">
        <v>-56730.255120000002</v>
      </c>
      <c r="I27" s="337">
        <v>-149065</v>
      </c>
      <c r="J27" s="337">
        <v>-183011.03159</v>
      </c>
      <c r="K27" s="337">
        <v>-247766.29005000001</v>
      </c>
      <c r="L27" s="337">
        <v>-192071.69816999999</v>
      </c>
      <c r="M27" s="337">
        <v>-249004.30183000001</v>
      </c>
      <c r="N27" s="337">
        <v>-47587.390239999979</v>
      </c>
      <c r="O27" s="337">
        <v>-104145.76873000001</v>
      </c>
      <c r="P27" s="337">
        <v>-177474.89480999997</v>
      </c>
      <c r="Q27" s="337">
        <v>-162569.33017000009</v>
      </c>
      <c r="R27" s="337">
        <v>-103889.06069999991</v>
      </c>
      <c r="S27" s="337">
        <v>-118329.71432000003</v>
      </c>
      <c r="T27" s="337">
        <v>-162314</v>
      </c>
      <c r="U27" s="337">
        <v>-123932.50525000003</v>
      </c>
      <c r="V27" s="337">
        <v>-106270.40474999999</v>
      </c>
      <c r="W27" s="337">
        <v>-128816.13975999999</v>
      </c>
      <c r="X27" s="337">
        <v>-140627.14551999996</v>
      </c>
      <c r="Y27" s="337">
        <v>-131641.66720000003</v>
      </c>
      <c r="Z27" s="337">
        <v>-86771.370900000009</v>
      </c>
    </row>
    <row r="28" spans="1:26" ht="15" thickBot="1">
      <c r="A28" s="118" t="s">
        <v>899</v>
      </c>
      <c r="B28" s="118" t="s">
        <v>724</v>
      </c>
      <c r="D28" s="119">
        <f t="shared" ref="D28:M28" si="18">SUM(D24:D25)</f>
        <v>32936.653360000011</v>
      </c>
      <c r="E28" s="119">
        <f t="shared" si="18"/>
        <v>50935.640080000005</v>
      </c>
      <c r="F28" s="119">
        <f t="shared" si="18"/>
        <v>46685.388169999991</v>
      </c>
      <c r="G28" s="119">
        <f t="shared" si="18"/>
        <v>72287.802980000008</v>
      </c>
      <c r="H28" s="119">
        <f t="shared" si="18"/>
        <v>114418.76716999998</v>
      </c>
      <c r="I28" s="119">
        <f t="shared" si="18"/>
        <v>71066.351209999993</v>
      </c>
      <c r="J28" s="119">
        <f t="shared" si="18"/>
        <v>12171.736630000087</v>
      </c>
      <c r="K28" s="119">
        <f t="shared" si="18"/>
        <v>19723.340659999958</v>
      </c>
      <c r="L28" s="119">
        <f t="shared" si="18"/>
        <v>43308.491660000029</v>
      </c>
      <c r="M28" s="119">
        <f t="shared" si="18"/>
        <v>-19339.837509999983</v>
      </c>
      <c r="N28" s="119">
        <f t="shared" ref="N28:Y28" si="19">SUM(N24:N25)</f>
        <v>39674.256610000171</v>
      </c>
      <c r="O28" s="119">
        <f t="shared" si="19"/>
        <v>80036.312769999728</v>
      </c>
      <c r="P28" s="119">
        <f t="shared" si="19"/>
        <v>-19233.907589999988</v>
      </c>
      <c r="Q28" s="119">
        <f t="shared" si="19"/>
        <v>26770.749630000006</v>
      </c>
      <c r="R28" s="119">
        <f t="shared" si="19"/>
        <v>115727.8203700001</v>
      </c>
      <c r="S28" s="119">
        <f t="shared" si="19"/>
        <v>85271.337589999937</v>
      </c>
      <c r="T28" s="119">
        <f t="shared" si="19"/>
        <v>65668</v>
      </c>
      <c r="U28" s="119">
        <f t="shared" si="19"/>
        <v>91245.234639999937</v>
      </c>
      <c r="V28" s="119">
        <f t="shared" si="19"/>
        <v>68463.647979999965</v>
      </c>
      <c r="W28" s="119">
        <f t="shared" si="19"/>
        <v>298714.24417000008</v>
      </c>
      <c r="X28" s="119">
        <f t="shared" si="19"/>
        <v>58909.371250000098</v>
      </c>
      <c r="Y28" s="119">
        <f t="shared" si="19"/>
        <v>66968.831369999985</v>
      </c>
      <c r="Z28" s="119">
        <f t="shared" ref="Z28" si="20">SUM(Z24:Z25)</f>
        <v>150163.2911999998</v>
      </c>
    </row>
    <row r="29" spans="1:26">
      <c r="A29" s="115" t="s">
        <v>921</v>
      </c>
      <c r="B29" s="115" t="s">
        <v>940</v>
      </c>
      <c r="D29" s="337"/>
      <c r="E29" s="337"/>
      <c r="F29" s="337"/>
      <c r="G29" s="337">
        <v>-20939.98245</v>
      </c>
      <c r="H29" s="337">
        <v>-11629.133170000001</v>
      </c>
      <c r="I29" s="337">
        <v>-10143.336809999999</v>
      </c>
      <c r="J29" s="337">
        <v>-3574</v>
      </c>
      <c r="K29" s="337">
        <v>-12601</v>
      </c>
      <c r="L29" s="337">
        <v>-6364.1526599999997</v>
      </c>
      <c r="M29" s="337">
        <v>-23717.84734</v>
      </c>
      <c r="N29" s="337">
        <v>-66051</v>
      </c>
      <c r="O29" s="337">
        <v>58596.100689999999</v>
      </c>
      <c r="P29" s="337">
        <v>-10059.04709</v>
      </c>
      <c r="Q29" s="337">
        <v>-11214.085149999999</v>
      </c>
      <c r="R29" s="337">
        <v>-18574.509360000004</v>
      </c>
      <c r="S29" s="337">
        <v>-5497.3583999999973</v>
      </c>
      <c r="T29" s="337">
        <v>-50451</v>
      </c>
      <c r="U29" s="337">
        <v>-13413.866200000002</v>
      </c>
      <c r="V29" s="337">
        <v>-9012.5431100000023</v>
      </c>
      <c r="W29" s="337">
        <v>-11197.218959999997</v>
      </c>
      <c r="X29" s="337">
        <v>-8984.0526200000004</v>
      </c>
      <c r="Y29" s="337">
        <v>-12411.479979999996</v>
      </c>
      <c r="Z29" s="337">
        <v>-19532.561450000005</v>
      </c>
    </row>
    <row r="30" spans="1:26">
      <c r="A30" s="115" t="s">
        <v>922</v>
      </c>
      <c r="B30" s="115" t="s">
        <v>941</v>
      </c>
      <c r="D30" s="337">
        <v>-506</v>
      </c>
      <c r="E30" s="337">
        <v>506</v>
      </c>
      <c r="F30" s="337"/>
      <c r="G30" s="337">
        <v>6386</v>
      </c>
      <c r="H30" s="337">
        <v>6386</v>
      </c>
      <c r="I30" s="337">
        <v>2957</v>
      </c>
      <c r="J30" s="337">
        <v>2994</v>
      </c>
      <c r="K30" s="337">
        <v>7716</v>
      </c>
      <c r="L30" s="337"/>
      <c r="M30" s="337">
        <v>23318</v>
      </c>
      <c r="N30" s="337">
        <v>49564</v>
      </c>
      <c r="O30" s="337">
        <v>-72882</v>
      </c>
      <c r="P30" s="337"/>
      <c r="Q30" s="337">
        <v>0</v>
      </c>
      <c r="R30" s="337">
        <v>0</v>
      </c>
      <c r="S30" s="337">
        <v>0</v>
      </c>
      <c r="T30" s="337">
        <v>0</v>
      </c>
      <c r="U30" s="337">
        <v>0</v>
      </c>
      <c r="V30" s="337">
        <v>0</v>
      </c>
      <c r="W30" s="337">
        <v>0</v>
      </c>
      <c r="X30" s="337">
        <v>0</v>
      </c>
      <c r="Y30" s="337">
        <v>0</v>
      </c>
      <c r="Z30" s="337">
        <v>0</v>
      </c>
    </row>
    <row r="31" spans="1:26" ht="15" thickBot="1">
      <c r="A31" s="115" t="s">
        <v>900</v>
      </c>
      <c r="B31" s="115" t="s">
        <v>901</v>
      </c>
      <c r="D31" s="337"/>
      <c r="E31" s="337"/>
      <c r="F31" s="337"/>
      <c r="G31" s="337"/>
      <c r="H31" s="337"/>
      <c r="I31" s="337"/>
      <c r="J31" s="337"/>
      <c r="K31" s="337"/>
      <c r="L31" s="337"/>
      <c r="M31" s="337"/>
      <c r="N31" s="337"/>
      <c r="O31" s="337">
        <v>0</v>
      </c>
      <c r="P31" s="337"/>
      <c r="Q31" s="337">
        <v>0</v>
      </c>
      <c r="R31" s="337">
        <v>0</v>
      </c>
      <c r="S31" s="337">
        <v>0</v>
      </c>
      <c r="T31" s="337">
        <v>41035</v>
      </c>
      <c r="U31" s="337">
        <v>0</v>
      </c>
      <c r="V31" s="337">
        <v>0</v>
      </c>
      <c r="W31" s="337">
        <v>0</v>
      </c>
      <c r="X31" s="337">
        <v>0</v>
      </c>
      <c r="Y31" s="337">
        <v>0</v>
      </c>
      <c r="Z31" s="337">
        <v>0</v>
      </c>
    </row>
    <row r="32" spans="1:26" ht="15" thickBot="1">
      <c r="A32" s="118" t="s">
        <v>903</v>
      </c>
      <c r="B32" s="118" t="s">
        <v>784</v>
      </c>
      <c r="D32" s="119">
        <f t="shared" ref="D32:M32" si="21">SUM(D28:D31)</f>
        <v>32430.653360000011</v>
      </c>
      <c r="E32" s="119">
        <f t="shared" si="21"/>
        <v>51441.640080000005</v>
      </c>
      <c r="F32" s="119">
        <f t="shared" si="21"/>
        <v>46685.388169999991</v>
      </c>
      <c r="G32" s="119">
        <f t="shared" si="21"/>
        <v>57733.820530000012</v>
      </c>
      <c r="H32" s="119">
        <f t="shared" si="21"/>
        <v>109175.63399999998</v>
      </c>
      <c r="I32" s="119">
        <f t="shared" si="21"/>
        <v>63880.014399999993</v>
      </c>
      <c r="J32" s="119">
        <f t="shared" si="21"/>
        <v>11591.736630000087</v>
      </c>
      <c r="K32" s="119">
        <f t="shared" si="21"/>
        <v>14838.340659999958</v>
      </c>
      <c r="L32" s="119">
        <f t="shared" si="21"/>
        <v>36944.339000000029</v>
      </c>
      <c r="M32" s="119">
        <f t="shared" si="21"/>
        <v>-19739.684849999983</v>
      </c>
      <c r="N32" s="119">
        <f t="shared" ref="N32:Y32" si="22">SUM(N28:N31)</f>
        <v>23187.256610000171</v>
      </c>
      <c r="O32" s="119">
        <f t="shared" si="22"/>
        <v>65750.41345999972</v>
      </c>
      <c r="P32" s="119">
        <f t="shared" si="22"/>
        <v>-29292.954679999988</v>
      </c>
      <c r="Q32" s="119">
        <f t="shared" si="22"/>
        <v>15556.664480000007</v>
      </c>
      <c r="R32" s="119">
        <f t="shared" si="22"/>
        <v>97153.311010000092</v>
      </c>
      <c r="S32" s="119">
        <f t="shared" si="22"/>
        <v>79773.97918999994</v>
      </c>
      <c r="T32" s="119">
        <f t="shared" si="22"/>
        <v>56252</v>
      </c>
      <c r="U32" s="119">
        <f t="shared" si="22"/>
        <v>77831.368439999933</v>
      </c>
      <c r="V32" s="119">
        <f t="shared" si="22"/>
        <v>59451.104869999966</v>
      </c>
      <c r="W32" s="119">
        <f t="shared" si="22"/>
        <v>287517.02521000011</v>
      </c>
      <c r="X32" s="119">
        <f t="shared" si="22"/>
        <v>49925.318630000096</v>
      </c>
      <c r="Y32" s="119">
        <f t="shared" si="22"/>
        <v>54557.351389999989</v>
      </c>
      <c r="Z32" s="119">
        <f t="shared" ref="Z32" si="23">SUM(Z28:Z31)</f>
        <v>130630.72974999979</v>
      </c>
    </row>
  </sheetData>
  <pageMargins left="0.511811024" right="0.511811024" top="0.78740157499999996" bottom="0.78740157499999996" header="0.31496062000000002" footer="0.31496062000000002"/>
  <ignoredErrors>
    <ignoredError sqref="L9:R9 S9:S13 T22:T23 T9:T13 S15 T15:T20" formulaRange="1"/>
  </ignoredErrors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9" tint="0.79998168889431442"/>
  </sheetPr>
  <dimension ref="A7:AA39"/>
  <sheetViews>
    <sheetView showGridLines="0" zoomScale="85" zoomScaleNormal="85" workbookViewId="0">
      <pane xSplit="2" topLeftCell="C1" activePane="topRight" state="frozen"/>
      <selection pane="topRight" activeCell="AC15" sqref="AC15"/>
    </sheetView>
  </sheetViews>
  <sheetFormatPr defaultColWidth="8.5546875" defaultRowHeight="14.4" outlineLevelCol="1"/>
  <cols>
    <col min="1" max="2" width="44.5546875" customWidth="1"/>
    <col min="3" max="3" width="0.5546875" customWidth="1"/>
    <col min="4" max="4" width="8.5546875" style="35" customWidth="1" outlineLevel="1"/>
    <col min="5" max="8" width="9.21875" customWidth="1" outlineLevel="1"/>
    <col min="9" max="10" width="9.21875" customWidth="1"/>
  </cols>
  <sheetData>
    <row r="7" spans="1:27">
      <c r="A7" s="38" t="s">
        <v>2113</v>
      </c>
      <c r="B7" s="38" t="s">
        <v>2113</v>
      </c>
      <c r="D7" s="378" t="s">
        <v>947</v>
      </c>
      <c r="E7" s="379"/>
      <c r="F7" s="379"/>
      <c r="G7" s="379"/>
      <c r="H7" s="379"/>
      <c r="I7" s="379"/>
      <c r="J7" s="379"/>
      <c r="K7" s="379"/>
      <c r="L7" s="379"/>
      <c r="M7" s="379"/>
      <c r="N7" s="379"/>
      <c r="O7" s="379"/>
      <c r="P7" s="379"/>
      <c r="Q7" s="379"/>
      <c r="R7" s="379"/>
      <c r="S7" s="379"/>
      <c r="T7" s="379"/>
      <c r="U7" s="379"/>
      <c r="V7" s="379"/>
      <c r="W7" s="379"/>
      <c r="X7" s="379"/>
      <c r="Y7" s="379"/>
      <c r="Z7" s="379"/>
    </row>
    <row r="8" spans="1:27" ht="15" thickBot="1">
      <c r="A8" s="448" t="s">
        <v>846</v>
      </c>
      <c r="B8" s="448" t="s">
        <v>847</v>
      </c>
      <c r="C8" s="112"/>
      <c r="D8" s="449" t="s">
        <v>70</v>
      </c>
      <c r="E8" s="449" t="s">
        <v>71</v>
      </c>
      <c r="F8" s="449" t="s">
        <v>72</v>
      </c>
      <c r="G8" s="449" t="s">
        <v>73</v>
      </c>
      <c r="H8" s="449" t="s">
        <v>74</v>
      </c>
      <c r="I8" s="449" t="s">
        <v>75</v>
      </c>
      <c r="J8" s="449" t="s">
        <v>76</v>
      </c>
      <c r="K8" s="449" t="s">
        <v>77</v>
      </c>
      <c r="L8" s="449" t="s">
        <v>78</v>
      </c>
      <c r="M8" s="449" t="s">
        <v>79</v>
      </c>
      <c r="N8" s="449" t="s">
        <v>80</v>
      </c>
      <c r="O8" s="453" t="s">
        <v>81</v>
      </c>
      <c r="P8" s="453" t="s">
        <v>82</v>
      </c>
      <c r="Q8" s="453" t="s">
        <v>83</v>
      </c>
      <c r="R8" s="453" t="s">
        <v>84</v>
      </c>
      <c r="S8" s="453" t="s">
        <v>85</v>
      </c>
      <c r="T8" s="453" t="s">
        <v>86</v>
      </c>
      <c r="U8" s="453" t="s">
        <v>87</v>
      </c>
      <c r="V8" s="453" t="s">
        <v>88</v>
      </c>
      <c r="W8" s="453" t="s">
        <v>2074</v>
      </c>
      <c r="X8" s="453" t="s">
        <v>2127</v>
      </c>
      <c r="Y8" s="453" t="s">
        <v>2360</v>
      </c>
      <c r="Z8" s="453" t="s">
        <v>2494</v>
      </c>
      <c r="AA8" s="380"/>
    </row>
    <row r="9" spans="1:27" ht="15" thickBot="1">
      <c r="A9" s="118" t="s">
        <v>948</v>
      </c>
      <c r="B9" s="118" t="s">
        <v>848</v>
      </c>
      <c r="C9" s="120"/>
      <c r="D9" s="119">
        <v>271105</v>
      </c>
      <c r="E9" s="119">
        <v>198416</v>
      </c>
      <c r="F9" s="119">
        <v>191403</v>
      </c>
      <c r="G9" s="119">
        <v>324240</v>
      </c>
      <c r="H9" s="119">
        <v>306995</v>
      </c>
      <c r="I9" s="119">
        <v>212302</v>
      </c>
      <c r="J9" s="119">
        <v>203998</v>
      </c>
      <c r="K9" s="119">
        <v>311171</v>
      </c>
      <c r="L9" s="119">
        <v>289548.00000000006</v>
      </c>
      <c r="M9" s="119">
        <v>252261</v>
      </c>
      <c r="N9" s="119">
        <v>215664.00000000003</v>
      </c>
      <c r="O9" s="119">
        <v>293369.11019999994</v>
      </c>
      <c r="P9" s="119">
        <v>315567.95167000015</v>
      </c>
      <c r="Q9" s="119">
        <v>212024</v>
      </c>
      <c r="R9" s="119">
        <v>214550</v>
      </c>
      <c r="S9" s="119">
        <v>340744</v>
      </c>
      <c r="T9" s="119">
        <v>346774</v>
      </c>
      <c r="U9" s="132">
        <v>235381</v>
      </c>
      <c r="V9" s="132">
        <v>262974</v>
      </c>
      <c r="W9" s="132">
        <v>322741.24313999986</v>
      </c>
      <c r="X9" s="132">
        <v>355579.86831000005</v>
      </c>
      <c r="Y9" s="132">
        <v>251484</v>
      </c>
      <c r="Z9" s="767">
        <v>241960</v>
      </c>
      <c r="AA9" s="382"/>
    </row>
    <row r="10" spans="1:27" ht="15" thickBot="1">
      <c r="A10" s="118" t="s">
        <v>949</v>
      </c>
      <c r="B10" s="118" t="s">
        <v>950</v>
      </c>
      <c r="C10" s="120"/>
      <c r="D10" s="119">
        <f t="shared" ref="D10:S10" si="0">+SUM(D11:D12)</f>
        <v>-9895</v>
      </c>
      <c r="E10" s="119">
        <f t="shared" si="0"/>
        <v>-7242</v>
      </c>
      <c r="F10" s="119">
        <f t="shared" si="0"/>
        <v>-8047</v>
      </c>
      <c r="G10" s="119">
        <f t="shared" si="0"/>
        <v>-13385</v>
      </c>
      <c r="H10" s="119">
        <f t="shared" si="0"/>
        <v>-13668</v>
      </c>
      <c r="I10" s="119">
        <f t="shared" si="0"/>
        <v>-8008</v>
      </c>
      <c r="J10" s="119">
        <f t="shared" si="0"/>
        <v>-7256</v>
      </c>
      <c r="K10" s="119">
        <f t="shared" si="0"/>
        <v>-11338</v>
      </c>
      <c r="L10" s="119">
        <f t="shared" si="0"/>
        <v>-10903.000000000004</v>
      </c>
      <c r="M10" s="119">
        <f t="shared" si="0"/>
        <v>-11343</v>
      </c>
      <c r="N10" s="119">
        <f t="shared" si="0"/>
        <v>-6328</v>
      </c>
      <c r="O10" s="119">
        <f t="shared" si="0"/>
        <v>-10141</v>
      </c>
      <c r="P10" s="119">
        <f t="shared" si="0"/>
        <v>-11357.148419999998</v>
      </c>
      <c r="Q10" s="119">
        <f t="shared" si="0"/>
        <v>-10408</v>
      </c>
      <c r="R10" s="119">
        <f t="shared" si="0"/>
        <v>-8947</v>
      </c>
      <c r="S10" s="119">
        <f t="shared" si="0"/>
        <v>-13543</v>
      </c>
      <c r="T10" s="119">
        <v>-13484</v>
      </c>
      <c r="U10" s="132">
        <f t="shared" ref="U10:Z10" si="1">SUM(U11:U13)</f>
        <v>-14470</v>
      </c>
      <c r="V10" s="132">
        <f t="shared" si="1"/>
        <v>-14436</v>
      </c>
      <c r="W10" s="132">
        <f t="shared" si="1"/>
        <v>-25474.734070000006</v>
      </c>
      <c r="X10" s="132">
        <f t="shared" si="1"/>
        <v>-14942.832079999991</v>
      </c>
      <c r="Y10" s="132">
        <f t="shared" si="1"/>
        <v>-11900.25886</v>
      </c>
      <c r="Z10" s="767">
        <f t="shared" si="1"/>
        <v>-20339</v>
      </c>
      <c r="AA10" s="382"/>
    </row>
    <row r="11" spans="1:27">
      <c r="A11" s="383" t="s">
        <v>1691</v>
      </c>
      <c r="B11" s="383" t="s">
        <v>1691</v>
      </c>
      <c r="C11" s="112"/>
      <c r="D11" s="120">
        <v>-9895</v>
      </c>
      <c r="E11" s="120">
        <v>-7242</v>
      </c>
      <c r="F11" s="120">
        <v>-8047</v>
      </c>
      <c r="G11" s="120">
        <v>-13385</v>
      </c>
      <c r="H11" s="120">
        <v>-13668</v>
      </c>
      <c r="I11" s="120">
        <v>-8008</v>
      </c>
      <c r="J11" s="120">
        <v>-7256</v>
      </c>
      <c r="K11" s="120">
        <v>-11310</v>
      </c>
      <c r="L11" s="120">
        <v>-10982.000000000004</v>
      </c>
      <c r="M11" s="120">
        <v>-10388</v>
      </c>
      <c r="N11" s="120">
        <v>-7268</v>
      </c>
      <c r="O11" s="120">
        <v>-10141</v>
      </c>
      <c r="P11" s="120">
        <v>-11357.263559999998</v>
      </c>
      <c r="Q11" s="120">
        <v>-9157</v>
      </c>
      <c r="R11" s="120">
        <v>-8162</v>
      </c>
      <c r="S11" s="120">
        <v>-12789</v>
      </c>
      <c r="T11" s="120">
        <v>-12857</v>
      </c>
      <c r="U11" s="120">
        <v>-11422</v>
      </c>
      <c r="V11" s="120">
        <v>-9808</v>
      </c>
      <c r="W11" s="120">
        <v>-20115.954370000003</v>
      </c>
      <c r="X11" s="120">
        <v>-13107.641599999992</v>
      </c>
      <c r="Y11" s="120">
        <v>-8911.6950699999998</v>
      </c>
      <c r="Z11" s="120">
        <v>-14060</v>
      </c>
    </row>
    <row r="12" spans="1:27">
      <c r="A12" s="383" t="s">
        <v>951</v>
      </c>
      <c r="B12" s="383" t="s">
        <v>951</v>
      </c>
      <c r="C12" s="112"/>
      <c r="D12" s="120"/>
      <c r="E12" s="120"/>
      <c r="F12" s="120"/>
      <c r="G12" s="120"/>
      <c r="H12" s="120"/>
      <c r="I12" s="120"/>
      <c r="J12" s="120"/>
      <c r="K12" s="120">
        <v>-28</v>
      </c>
      <c r="L12" s="120">
        <v>79</v>
      </c>
      <c r="M12" s="120">
        <v>-955</v>
      </c>
      <c r="N12" s="120">
        <v>940</v>
      </c>
      <c r="O12" s="120">
        <v>1.3877787807814457E-14</v>
      </c>
      <c r="P12" s="120">
        <v>0.1151400000003342</v>
      </c>
      <c r="Q12" s="120">
        <v>-1251</v>
      </c>
      <c r="R12" s="120">
        <v>-785</v>
      </c>
      <c r="S12" s="120">
        <v>-754</v>
      </c>
      <c r="T12" s="120">
        <f>-3417-SUM(Q12:S12)</f>
        <v>-627</v>
      </c>
      <c r="U12" s="120">
        <v>-2999</v>
      </c>
      <c r="V12" s="120">
        <v>-4625</v>
      </c>
      <c r="W12" s="120">
        <v>-5355.8702000000012</v>
      </c>
      <c r="X12" s="120">
        <v>-1809.7067299999999</v>
      </c>
      <c r="Y12" s="120">
        <v>-2988.5637900000002</v>
      </c>
      <c r="Z12" s="120">
        <v>-6279</v>
      </c>
    </row>
    <row r="13" spans="1:27" ht="15" thickBot="1">
      <c r="A13" s="383" t="s">
        <v>952</v>
      </c>
      <c r="B13" s="383" t="s">
        <v>952</v>
      </c>
      <c r="C13" s="112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>
        <v>-49</v>
      </c>
      <c r="V13" s="120">
        <v>-3</v>
      </c>
      <c r="W13" s="120">
        <v>-2.9095000000000013</v>
      </c>
      <c r="X13" s="120">
        <v>-25.483750000000001</v>
      </c>
      <c r="Y13" s="120">
        <v>0</v>
      </c>
      <c r="Z13" s="120">
        <v>0</v>
      </c>
    </row>
    <row r="14" spans="1:27" ht="15" thickBot="1">
      <c r="A14" s="118" t="s">
        <v>646</v>
      </c>
      <c r="B14" s="118" t="s">
        <v>860</v>
      </c>
      <c r="C14" s="120"/>
      <c r="D14" s="119">
        <f t="shared" ref="D14:Y14" si="2">+D9+D10</f>
        <v>261210</v>
      </c>
      <c r="E14" s="119">
        <f t="shared" si="2"/>
        <v>191174</v>
      </c>
      <c r="F14" s="119">
        <f t="shared" si="2"/>
        <v>183356</v>
      </c>
      <c r="G14" s="119">
        <f t="shared" si="2"/>
        <v>310855</v>
      </c>
      <c r="H14" s="119">
        <f t="shared" si="2"/>
        <v>293327</v>
      </c>
      <c r="I14" s="119">
        <f t="shared" si="2"/>
        <v>204294</v>
      </c>
      <c r="J14" s="119">
        <f t="shared" si="2"/>
        <v>196742</v>
      </c>
      <c r="K14" s="119">
        <f t="shared" si="2"/>
        <v>299833</v>
      </c>
      <c r="L14" s="119">
        <f t="shared" si="2"/>
        <v>278645.00000000006</v>
      </c>
      <c r="M14" s="119">
        <f t="shared" si="2"/>
        <v>240918</v>
      </c>
      <c r="N14" s="119">
        <f t="shared" si="2"/>
        <v>209336.00000000003</v>
      </c>
      <c r="O14" s="119">
        <f t="shared" si="2"/>
        <v>283228.11019999994</v>
      </c>
      <c r="P14" s="119">
        <f t="shared" si="2"/>
        <v>304210.80325000017</v>
      </c>
      <c r="Q14" s="119">
        <f t="shared" si="2"/>
        <v>201616</v>
      </c>
      <c r="R14" s="119">
        <f t="shared" si="2"/>
        <v>205603</v>
      </c>
      <c r="S14" s="119">
        <f t="shared" si="2"/>
        <v>327201</v>
      </c>
      <c r="T14" s="119">
        <f t="shared" si="2"/>
        <v>333290</v>
      </c>
      <c r="U14" s="132">
        <f t="shared" si="2"/>
        <v>220911</v>
      </c>
      <c r="V14" s="132">
        <f t="shared" si="2"/>
        <v>248538</v>
      </c>
      <c r="W14" s="132">
        <f t="shared" si="2"/>
        <v>297266.50906999985</v>
      </c>
      <c r="X14" s="132">
        <f t="shared" si="2"/>
        <v>340637.03623000009</v>
      </c>
      <c r="Y14" s="132">
        <f t="shared" si="2"/>
        <v>239583.74114</v>
      </c>
      <c r="Z14" s="767">
        <f>+Z9+Z10</f>
        <v>221621</v>
      </c>
      <c r="AA14" s="382"/>
    </row>
    <row r="15" spans="1:27">
      <c r="A15" s="384" t="s">
        <v>953</v>
      </c>
      <c r="B15" s="384" t="s">
        <v>874</v>
      </c>
      <c r="C15" s="120"/>
      <c r="D15" s="381">
        <f>SUM(D16:D22)</f>
        <v>-58906</v>
      </c>
      <c r="E15" s="381">
        <f t="shared" ref="E15:N15" si="3">SUM(E16:E22)</f>
        <v>-58375</v>
      </c>
      <c r="F15" s="381">
        <f t="shared" si="3"/>
        <v>-71839</v>
      </c>
      <c r="G15" s="381">
        <f t="shared" si="3"/>
        <v>-110068</v>
      </c>
      <c r="H15" s="381">
        <f t="shared" si="3"/>
        <v>-79745</v>
      </c>
      <c r="I15" s="381">
        <f t="shared" si="3"/>
        <v>-67093</v>
      </c>
      <c r="J15" s="381">
        <f t="shared" si="3"/>
        <v>-70534</v>
      </c>
      <c r="K15" s="381">
        <f t="shared" si="3"/>
        <v>-68865</v>
      </c>
      <c r="L15" s="381">
        <f t="shared" si="3"/>
        <v>-64443.000000000058</v>
      </c>
      <c r="M15" s="381">
        <f t="shared" si="3"/>
        <v>-83151.392959999997</v>
      </c>
      <c r="N15" s="381">
        <f t="shared" si="3"/>
        <v>-77370</v>
      </c>
      <c r="O15" s="385">
        <f t="shared" ref="O15:V15" si="4">SUM(O16:O22)</f>
        <v>-72335</v>
      </c>
      <c r="P15" s="385">
        <f t="shared" si="4"/>
        <v>-59340.48002000009</v>
      </c>
      <c r="Q15" s="385">
        <f t="shared" si="4"/>
        <v>-76145</v>
      </c>
      <c r="R15" s="385">
        <f t="shared" si="4"/>
        <v>-78185</v>
      </c>
      <c r="S15" s="385">
        <f t="shared" si="4"/>
        <v>-108849</v>
      </c>
      <c r="T15" s="385">
        <f t="shared" si="4"/>
        <v>-131323</v>
      </c>
      <c r="U15" s="559">
        <f t="shared" si="4"/>
        <v>-90093</v>
      </c>
      <c r="V15" s="559">
        <f t="shared" si="4"/>
        <v>-104694</v>
      </c>
      <c r="W15" s="559">
        <f t="shared" ref="W15:Y15" si="5">SUM(W16:W22)</f>
        <v>-94325</v>
      </c>
      <c r="X15" s="559">
        <f t="shared" si="5"/>
        <v>-133126</v>
      </c>
      <c r="Y15" s="559">
        <f t="shared" si="5"/>
        <v>-113776</v>
      </c>
      <c r="Z15" s="385">
        <f>SUM(Z16:Z22)</f>
        <v>-118422</v>
      </c>
    </row>
    <row r="16" spans="1:27">
      <c r="A16" s="386" t="s">
        <v>954</v>
      </c>
      <c r="B16" s="386" t="s">
        <v>955</v>
      </c>
      <c r="C16" s="120"/>
      <c r="D16" s="120">
        <v>-20258</v>
      </c>
      <c r="E16" s="120">
        <v>-19018</v>
      </c>
      <c r="F16" s="120">
        <v>-19077</v>
      </c>
      <c r="G16" s="120">
        <v>-21264</v>
      </c>
      <c r="H16" s="120">
        <v>-26895</v>
      </c>
      <c r="I16" s="120">
        <v>-19750</v>
      </c>
      <c r="J16" s="120">
        <v>-25506</v>
      </c>
      <c r="K16" s="120">
        <v>-26341</v>
      </c>
      <c r="L16" s="120">
        <v>-29412.999999999996</v>
      </c>
      <c r="M16" s="120">
        <v>-27763.94616</v>
      </c>
      <c r="N16" s="120">
        <v>-25286</v>
      </c>
      <c r="O16" s="120">
        <v>-28382</v>
      </c>
      <c r="P16" s="120">
        <v>-20923.254929999923</v>
      </c>
      <c r="Q16" s="120">
        <v>-26935</v>
      </c>
      <c r="R16" s="120">
        <v>-28878</v>
      </c>
      <c r="S16" s="120">
        <v>-28137</v>
      </c>
      <c r="T16" s="120">
        <f>-104127-SUM(Q16:S16)</f>
        <v>-20177</v>
      </c>
      <c r="U16" s="120">
        <v>-27259</v>
      </c>
      <c r="V16" s="120">
        <v>-31723</v>
      </c>
      <c r="W16" s="120">
        <v>-19058</v>
      </c>
      <c r="X16" s="120">
        <v>-33507</v>
      </c>
      <c r="Y16" s="120">
        <v>-29100</v>
      </c>
      <c r="Z16" s="120">
        <v>-34262</v>
      </c>
    </row>
    <row r="17" spans="1:27">
      <c r="A17" s="386" t="s">
        <v>956</v>
      </c>
      <c r="B17" s="386" t="s">
        <v>957</v>
      </c>
      <c r="C17" s="120"/>
      <c r="D17" s="120">
        <v>-12613</v>
      </c>
      <c r="E17" s="120">
        <v>-12039</v>
      </c>
      <c r="F17" s="120">
        <v>-12264</v>
      </c>
      <c r="G17" s="120">
        <v>-15466</v>
      </c>
      <c r="H17" s="120">
        <v>-15664</v>
      </c>
      <c r="I17" s="120">
        <v>-16439</v>
      </c>
      <c r="J17" s="120">
        <v>-16575</v>
      </c>
      <c r="K17" s="120">
        <v>-17665</v>
      </c>
      <c r="L17" s="120">
        <v>-18177</v>
      </c>
      <c r="M17" s="120">
        <v>-18045.446799999998</v>
      </c>
      <c r="N17" s="120">
        <v>-18252</v>
      </c>
      <c r="O17" s="120">
        <v>-19038</v>
      </c>
      <c r="P17" s="120">
        <v>-19737.789059999996</v>
      </c>
      <c r="Q17" s="120">
        <v>-19472</v>
      </c>
      <c r="R17" s="120">
        <v>-20024</v>
      </c>
      <c r="S17" s="120">
        <v>-19675</v>
      </c>
      <c r="T17" s="120">
        <f>-79163-SUM(Q17:S17)</f>
        <v>-19992</v>
      </c>
      <c r="U17" s="120">
        <v>-21015</v>
      </c>
      <c r="V17" s="120">
        <v>-20699</v>
      </c>
      <c r="W17" s="120">
        <v>-21227</v>
      </c>
      <c r="X17" s="120">
        <v>-21372</v>
      </c>
      <c r="Y17" s="120">
        <v>-20746</v>
      </c>
      <c r="Z17" s="120">
        <v>-20877</v>
      </c>
    </row>
    <row r="18" spans="1:27">
      <c r="A18" s="386" t="s">
        <v>958</v>
      </c>
      <c r="B18" s="386" t="s">
        <v>959</v>
      </c>
      <c r="C18" s="120"/>
      <c r="D18" s="120">
        <v>-11972</v>
      </c>
      <c r="E18" s="120">
        <v>-10764</v>
      </c>
      <c r="F18" s="120">
        <v>-21877</v>
      </c>
      <c r="G18" s="120">
        <v>-54337</v>
      </c>
      <c r="H18" s="120">
        <v>-31184</v>
      </c>
      <c r="I18" s="120">
        <v>-11481</v>
      </c>
      <c r="J18" s="120">
        <v>-1103</v>
      </c>
      <c r="K18" s="120">
        <v>-6103</v>
      </c>
      <c r="L18" s="120">
        <v>4291.9999999999982</v>
      </c>
      <c r="M18" s="120">
        <v>-12504</v>
      </c>
      <c r="N18" s="120">
        <v>-8625</v>
      </c>
      <c r="O18" s="120">
        <v>-2678</v>
      </c>
      <c r="P18" s="120">
        <v>-2621.5181999999913</v>
      </c>
      <c r="Q18" s="120">
        <v>-6242</v>
      </c>
      <c r="R18" s="120">
        <v>-4367</v>
      </c>
      <c r="S18" s="120">
        <v>-47896</v>
      </c>
      <c r="T18" s="120">
        <f>-101379-SUM(Q18:S18)</f>
        <v>-42874</v>
      </c>
      <c r="U18" s="120">
        <v>-18007</v>
      </c>
      <c r="V18" s="120">
        <v>-26073</v>
      </c>
      <c r="W18" s="120">
        <v>-37344</v>
      </c>
      <c r="X18" s="120">
        <v>-45513</v>
      </c>
      <c r="Y18" s="120">
        <v>-29783</v>
      </c>
      <c r="Z18" s="120">
        <v>-32790</v>
      </c>
    </row>
    <row r="19" spans="1:27">
      <c r="A19" s="386" t="s">
        <v>960</v>
      </c>
      <c r="B19" s="386" t="s">
        <v>961</v>
      </c>
      <c r="C19" s="120"/>
      <c r="D19" s="120">
        <v>-4157</v>
      </c>
      <c r="E19" s="120">
        <v>-5054</v>
      </c>
      <c r="F19" s="120">
        <v>-6320</v>
      </c>
      <c r="G19" s="120">
        <v>-6827</v>
      </c>
      <c r="H19" s="120">
        <v>-6635</v>
      </c>
      <c r="I19" s="120">
        <v>-7033</v>
      </c>
      <c r="J19" s="120">
        <v>-8196</v>
      </c>
      <c r="K19" s="120">
        <v>-8817</v>
      </c>
      <c r="L19" s="120">
        <v>-5122</v>
      </c>
      <c r="M19" s="120">
        <v>-5502</v>
      </c>
      <c r="N19" s="120">
        <v>-7820</v>
      </c>
      <c r="O19" s="120">
        <v>-6568</v>
      </c>
      <c r="P19" s="120">
        <v>-6884.126470000032</v>
      </c>
      <c r="Q19" s="120">
        <v>-6055</v>
      </c>
      <c r="R19" s="120">
        <v>-8133</v>
      </c>
      <c r="S19" s="120">
        <v>-7692</v>
      </c>
      <c r="T19" s="120">
        <f>-29423-SUM(Q19:S19)</f>
        <v>-7543</v>
      </c>
      <c r="U19" s="120">
        <v>-5526</v>
      </c>
      <c r="V19" s="120">
        <v>-7730</v>
      </c>
      <c r="W19" s="120">
        <v>-7158</v>
      </c>
      <c r="X19" s="120">
        <v>-7591</v>
      </c>
      <c r="Y19" s="120">
        <v>-7695</v>
      </c>
      <c r="Z19" s="120">
        <v>-6626</v>
      </c>
    </row>
    <row r="20" spans="1:27">
      <c r="A20" s="386" t="s">
        <v>962</v>
      </c>
      <c r="B20" s="386" t="s">
        <v>963</v>
      </c>
      <c r="C20" s="120"/>
      <c r="D20" s="120">
        <v>0</v>
      </c>
      <c r="E20" s="120">
        <v>0</v>
      </c>
      <c r="F20" s="120">
        <v>0</v>
      </c>
      <c r="G20" s="120">
        <v>-402</v>
      </c>
      <c r="H20" s="120">
        <v>0</v>
      </c>
      <c r="I20" s="120">
        <v>0</v>
      </c>
      <c r="J20" s="120">
        <v>0</v>
      </c>
      <c r="K20" s="120">
        <v>-2431</v>
      </c>
      <c r="L20" s="120">
        <v>-6419</v>
      </c>
      <c r="M20" s="120">
        <v>-2190</v>
      </c>
      <c r="N20" s="120">
        <v>-4598</v>
      </c>
      <c r="O20" s="120">
        <v>-3576</v>
      </c>
      <c r="P20" s="120">
        <v>-2340.7919500000025</v>
      </c>
      <c r="Q20" s="120">
        <v>-2619</v>
      </c>
      <c r="R20" s="120">
        <v>-1736</v>
      </c>
      <c r="S20" s="120">
        <v>-1373</v>
      </c>
      <c r="T20" s="120">
        <f>-7501-SUM(Q20:S20)</f>
        <v>-1773</v>
      </c>
      <c r="U20" s="120">
        <v>-892</v>
      </c>
      <c r="V20" s="120">
        <v>-2999</v>
      </c>
      <c r="W20" s="120">
        <v>-6391</v>
      </c>
      <c r="X20" s="120">
        <v>1015</v>
      </c>
      <c r="Y20" s="120">
        <v>-7243</v>
      </c>
      <c r="Z20" s="120">
        <v>-4058</v>
      </c>
    </row>
    <row r="21" spans="1:27">
      <c r="A21" s="386" t="s">
        <v>964</v>
      </c>
      <c r="B21" s="386" t="s">
        <v>879</v>
      </c>
      <c r="C21" s="122"/>
      <c r="D21" s="120">
        <v>-3576</v>
      </c>
      <c r="E21" s="120">
        <v>-2928</v>
      </c>
      <c r="F21" s="120">
        <v>-4561</v>
      </c>
      <c r="G21" s="120">
        <v>-4883</v>
      </c>
      <c r="H21" s="120">
        <v>-6664</v>
      </c>
      <c r="I21" s="120">
        <v>-4328</v>
      </c>
      <c r="J21" s="120">
        <v>-4935</v>
      </c>
      <c r="K21" s="120">
        <v>-3545</v>
      </c>
      <c r="L21" s="120">
        <v>-5632.0000000000018</v>
      </c>
      <c r="M21" s="120">
        <v>-3156</v>
      </c>
      <c r="N21" s="120">
        <v>-4870</v>
      </c>
      <c r="O21" s="120">
        <v>-3124</v>
      </c>
      <c r="P21" s="120">
        <v>-3393.0902400000396</v>
      </c>
      <c r="Q21" s="120">
        <v>-3011</v>
      </c>
      <c r="R21" s="120">
        <v>-6834</v>
      </c>
      <c r="S21" s="120">
        <v>-3603</v>
      </c>
      <c r="T21" s="120">
        <f>-36505-SUM(Q21:S21)</f>
        <v>-23057</v>
      </c>
      <c r="U21" s="120">
        <v>-5544</v>
      </c>
      <c r="V21" s="120">
        <v>-2483</v>
      </c>
      <c r="W21" s="120">
        <v>-593</v>
      </c>
      <c r="X21" s="120">
        <v>-19401</v>
      </c>
      <c r="Y21" s="120">
        <v>-7496</v>
      </c>
      <c r="Z21" s="120">
        <v>-9189</v>
      </c>
    </row>
    <row r="22" spans="1:27" ht="15" thickBot="1">
      <c r="A22" s="386" t="s">
        <v>95</v>
      </c>
      <c r="B22" s="386" t="s">
        <v>96</v>
      </c>
      <c r="C22" s="120"/>
      <c r="D22" s="120">
        <v>-6330</v>
      </c>
      <c r="E22" s="120">
        <v>-8572</v>
      </c>
      <c r="F22" s="120">
        <v>-7740</v>
      </c>
      <c r="G22" s="120">
        <v>-6889</v>
      </c>
      <c r="H22" s="120">
        <v>7297</v>
      </c>
      <c r="I22" s="120">
        <v>-8062</v>
      </c>
      <c r="J22" s="120">
        <v>-14219</v>
      </c>
      <c r="K22" s="120">
        <v>-3962.9999999999991</v>
      </c>
      <c r="L22" s="120">
        <v>-3972.0000000000609</v>
      </c>
      <c r="M22" s="120">
        <f>-5096-4471-2194-563-1666</f>
        <v>-13990</v>
      </c>
      <c r="N22" s="120">
        <v>-7919.0000000000009</v>
      </c>
      <c r="O22" s="120">
        <v>-8969.0000000000018</v>
      </c>
      <c r="P22" s="120">
        <v>-3439.9091700001063</v>
      </c>
      <c r="Q22" s="120">
        <f>-(3702+4422+2347+328+1012)</f>
        <v>-11811</v>
      </c>
      <c r="R22" s="120">
        <f>-4375-1198-1487-808-345</f>
        <v>-8213</v>
      </c>
      <c r="S22" s="120">
        <f>+-3026+-1741+-1913+-447+6654</f>
        <v>-473</v>
      </c>
      <c r="T22" s="120">
        <f>-8814-7873-1404-15476-2837-SUM(Q22:S22)</f>
        <v>-15907</v>
      </c>
      <c r="U22" s="120">
        <v>-11850</v>
      </c>
      <c r="V22" s="120">
        <v>-12987</v>
      </c>
      <c r="W22" s="120">
        <v>-2554</v>
      </c>
      <c r="X22" s="120">
        <v>-6757</v>
      </c>
      <c r="Y22" s="120">
        <v>-11713</v>
      </c>
      <c r="Z22" s="120">
        <v>-10620</v>
      </c>
    </row>
    <row r="23" spans="1:27" ht="15" thickBot="1">
      <c r="A23" s="118" t="s">
        <v>965</v>
      </c>
      <c r="B23" s="118" t="s">
        <v>966</v>
      </c>
      <c r="C23" s="120"/>
      <c r="D23" s="119">
        <f>SUM(D24:D27)</f>
        <v>-12841</v>
      </c>
      <c r="E23" s="119">
        <f t="shared" ref="E23:N23" si="6">SUM(E24:E27)</f>
        <v>-8681</v>
      </c>
      <c r="F23" s="119">
        <f t="shared" si="6"/>
        <v>-9603</v>
      </c>
      <c r="G23" s="119">
        <f t="shared" si="6"/>
        <v>-10657</v>
      </c>
      <c r="H23" s="119">
        <f t="shared" si="6"/>
        <v>-82082</v>
      </c>
      <c r="I23" s="119">
        <f t="shared" si="6"/>
        <v>-25375</v>
      </c>
      <c r="J23" s="119">
        <f t="shared" si="6"/>
        <v>-12212</v>
      </c>
      <c r="K23" s="119">
        <f t="shared" si="6"/>
        <v>-10088</v>
      </c>
      <c r="L23" s="119">
        <f t="shared" si="6"/>
        <v>-19699.000000000007</v>
      </c>
      <c r="M23" s="119">
        <f t="shared" si="6"/>
        <v>-19347.281479999998</v>
      </c>
      <c r="N23" s="119">
        <f t="shared" si="6"/>
        <v>-7246</v>
      </c>
      <c r="O23" s="119">
        <f t="shared" ref="O23:V23" si="7">SUM(O24:O27)</f>
        <v>-10596</v>
      </c>
      <c r="P23" s="119">
        <f t="shared" si="7"/>
        <v>-3147.7041399999616</v>
      </c>
      <c r="Q23" s="119">
        <f t="shared" si="7"/>
        <v>-11411</v>
      </c>
      <c r="R23" s="119">
        <f t="shared" si="7"/>
        <v>-18505</v>
      </c>
      <c r="S23" s="119">
        <f t="shared" si="7"/>
        <v>-12090</v>
      </c>
      <c r="T23" s="119">
        <f t="shared" si="7"/>
        <v>-13434</v>
      </c>
      <c r="U23" s="119">
        <f t="shared" si="7"/>
        <v>-11948</v>
      </c>
      <c r="V23" s="119">
        <f t="shared" si="7"/>
        <v>-14872</v>
      </c>
      <c r="W23" s="119">
        <f t="shared" ref="W23" si="8">SUM(W24:W27)</f>
        <v>-7421</v>
      </c>
      <c r="X23" s="119">
        <f t="shared" ref="X23:Y23" si="9">SUM(X24:X27)</f>
        <v>-18093</v>
      </c>
      <c r="Y23" s="119">
        <f t="shared" si="9"/>
        <v>-11134</v>
      </c>
      <c r="Z23" s="119">
        <f>SUM(Z24:Z27)</f>
        <v>-12593</v>
      </c>
      <c r="AA23" s="382"/>
    </row>
    <row r="24" spans="1:27">
      <c r="A24" s="386" t="s">
        <v>967</v>
      </c>
      <c r="B24" s="386" t="s">
        <v>968</v>
      </c>
      <c r="C24" s="120"/>
      <c r="D24" s="120">
        <v>0</v>
      </c>
      <c r="E24" s="120">
        <v>0</v>
      </c>
      <c r="F24" s="120">
        <v>0</v>
      </c>
      <c r="G24" s="120">
        <v>0</v>
      </c>
      <c r="H24" s="120">
        <v>-68935</v>
      </c>
      <c r="I24" s="120">
        <v>0</v>
      </c>
      <c r="J24" s="120">
        <v>0</v>
      </c>
      <c r="K24" s="120">
        <v>0</v>
      </c>
      <c r="L24" s="120">
        <v>-14972</v>
      </c>
      <c r="M24" s="120">
        <v>0</v>
      </c>
      <c r="N24" s="120">
        <v>0</v>
      </c>
      <c r="O24" s="120" t="s">
        <v>447</v>
      </c>
      <c r="P24" s="120" t="s">
        <v>447</v>
      </c>
      <c r="Q24" s="120" t="s">
        <v>447</v>
      </c>
      <c r="R24" s="120"/>
      <c r="S24" s="120"/>
      <c r="T24" s="120"/>
      <c r="U24" s="120"/>
      <c r="V24" s="120"/>
      <c r="W24" s="120"/>
      <c r="X24" s="120"/>
      <c r="Y24" s="120"/>
      <c r="Z24" s="120"/>
    </row>
    <row r="25" spans="1:27">
      <c r="A25" s="386" t="s">
        <v>960</v>
      </c>
      <c r="B25" s="386" t="s">
        <v>969</v>
      </c>
      <c r="C25" s="120"/>
      <c r="D25" s="120">
        <v>-1776</v>
      </c>
      <c r="E25" s="120">
        <v>-4345</v>
      </c>
      <c r="F25" s="120">
        <v>-4356</v>
      </c>
      <c r="G25" s="120">
        <v>-4418</v>
      </c>
      <c r="H25" s="120">
        <v>-4465</v>
      </c>
      <c r="I25" s="120">
        <v>-20139</v>
      </c>
      <c r="J25" s="120">
        <v>-5170</v>
      </c>
      <c r="K25" s="120">
        <v>-4162</v>
      </c>
      <c r="L25" s="120">
        <v>8456.9999999999964</v>
      </c>
      <c r="M25" s="120">
        <v>-5606.2814799999996</v>
      </c>
      <c r="N25" s="120">
        <v>-5158</v>
      </c>
      <c r="O25" s="120">
        <v>-6376</v>
      </c>
      <c r="P25" s="120">
        <v>-1133.2843699999576</v>
      </c>
      <c r="Q25" s="120">
        <v>-6075</v>
      </c>
      <c r="R25" s="120">
        <v>-11202</v>
      </c>
      <c r="S25" s="120">
        <v>-6436</v>
      </c>
      <c r="T25" s="120">
        <f>-32282-SUM(Q25:S25)</f>
        <v>-8569</v>
      </c>
      <c r="U25" s="120">
        <v>-8915</v>
      </c>
      <c r="V25" s="120">
        <v>-6780</v>
      </c>
      <c r="W25" s="120">
        <v>-7725</v>
      </c>
      <c r="X25" s="120">
        <v>-11532</v>
      </c>
      <c r="Y25" s="120">
        <v>-8483</v>
      </c>
      <c r="Z25" s="120">
        <v>-9132</v>
      </c>
    </row>
    <row r="26" spans="1:27">
      <c r="A26" s="386" t="s">
        <v>964</v>
      </c>
      <c r="B26" s="386" t="s">
        <v>879</v>
      </c>
      <c r="C26" s="112"/>
      <c r="D26" s="120">
        <v>-5554</v>
      </c>
      <c r="E26" s="120">
        <v>-2602</v>
      </c>
      <c r="F26" s="120">
        <v>-2736</v>
      </c>
      <c r="G26" s="120">
        <v>-4708</v>
      </c>
      <c r="H26" s="120">
        <v>-4885</v>
      </c>
      <c r="I26" s="120">
        <v>-4110</v>
      </c>
      <c r="J26" s="120">
        <v>-4916</v>
      </c>
      <c r="K26" s="120">
        <v>-4478</v>
      </c>
      <c r="L26" s="120">
        <v>-6130.0000000000009</v>
      </c>
      <c r="M26" s="120">
        <v>-13015</v>
      </c>
      <c r="N26" s="120">
        <v>-488</v>
      </c>
      <c r="O26" s="120">
        <v>-2630</v>
      </c>
      <c r="P26" s="120">
        <v>-1424.8727100000133</v>
      </c>
      <c r="Q26" s="120">
        <v>-3225</v>
      </c>
      <c r="R26" s="120">
        <v>-2836</v>
      </c>
      <c r="S26" s="120">
        <v>-1634</v>
      </c>
      <c r="T26" s="120">
        <f>-11313-SUM(Q26:S26)</f>
        <v>-3618</v>
      </c>
      <c r="U26" s="120">
        <v>-862</v>
      </c>
      <c r="V26" s="120">
        <v>-7111</v>
      </c>
      <c r="W26" s="120">
        <v>555</v>
      </c>
      <c r="X26" s="120">
        <v>-2670</v>
      </c>
      <c r="Y26" s="120">
        <v>-1673</v>
      </c>
      <c r="Z26" s="120">
        <v>-1600</v>
      </c>
    </row>
    <row r="27" spans="1:27">
      <c r="A27" s="386" t="s">
        <v>95</v>
      </c>
      <c r="B27" s="386" t="s">
        <v>96</v>
      </c>
      <c r="C27" s="112"/>
      <c r="D27" s="120">
        <v>-5511</v>
      </c>
      <c r="E27" s="120">
        <v>-1734</v>
      </c>
      <c r="F27" s="120">
        <v>-2511</v>
      </c>
      <c r="G27" s="120">
        <v>-1531</v>
      </c>
      <c r="H27" s="120">
        <v>-3797</v>
      </c>
      <c r="I27" s="120">
        <v>-1126</v>
      </c>
      <c r="J27" s="120">
        <v>-2126</v>
      </c>
      <c r="K27" s="120">
        <v>-1448</v>
      </c>
      <c r="L27" s="120">
        <v>-7054.0000000000018</v>
      </c>
      <c r="M27" s="120">
        <f>-289-215-222</f>
        <v>-726</v>
      </c>
      <c r="N27" s="120">
        <v>-1600</v>
      </c>
      <c r="O27" s="120">
        <v>-1590</v>
      </c>
      <c r="P27" s="120">
        <v>-589.54705999999101</v>
      </c>
      <c r="Q27" s="120">
        <f>-(144+145+1822)</f>
        <v>-2111</v>
      </c>
      <c r="R27" s="120">
        <f>-1304-122-3041</f>
        <v>-4467</v>
      </c>
      <c r="S27" s="120">
        <f>-313+265-3972</f>
        <v>-4020</v>
      </c>
      <c r="T27" s="120">
        <f>-9046-2138-664+3-SUM(Q27:S27)</f>
        <v>-1247</v>
      </c>
      <c r="U27" s="120">
        <v>-2171</v>
      </c>
      <c r="V27" s="120">
        <v>-981</v>
      </c>
      <c r="W27" s="120">
        <v>-251</v>
      </c>
      <c r="X27" s="120">
        <v>-3891</v>
      </c>
      <c r="Y27" s="120">
        <v>-978</v>
      </c>
      <c r="Z27" s="120">
        <v>-1861</v>
      </c>
    </row>
    <row r="28" spans="1:27">
      <c r="A28" s="383" t="s">
        <v>970</v>
      </c>
      <c r="B28" s="383" t="s">
        <v>971</v>
      </c>
      <c r="C28" s="112"/>
      <c r="D28" s="120">
        <v>631</v>
      </c>
      <c r="E28" s="120">
        <v>0</v>
      </c>
      <c r="F28" s="120">
        <v>0</v>
      </c>
      <c r="G28" s="120">
        <v>0</v>
      </c>
      <c r="H28" s="120">
        <v>1159</v>
      </c>
      <c r="I28" s="120">
        <v>0</v>
      </c>
      <c r="J28" s="120">
        <v>0</v>
      </c>
      <c r="K28" s="120">
        <v>0</v>
      </c>
      <c r="L28" s="120">
        <v>0</v>
      </c>
      <c r="M28" s="120">
        <v>-445</v>
      </c>
      <c r="N28" s="120">
        <v>-36</v>
      </c>
      <c r="O28" s="120">
        <v>-764</v>
      </c>
      <c r="P28" s="120">
        <v>-25164.784040000042</v>
      </c>
      <c r="Q28" s="120">
        <v>59</v>
      </c>
      <c r="R28" s="120">
        <v>63</v>
      </c>
      <c r="S28" s="120">
        <v>49</v>
      </c>
      <c r="T28" s="120">
        <v>10883</v>
      </c>
      <c r="U28" s="120">
        <v>48</v>
      </c>
      <c r="V28" s="120">
        <v>-4778</v>
      </c>
      <c r="W28" s="120">
        <v>-8442</v>
      </c>
      <c r="X28" s="120">
        <v>-283542</v>
      </c>
      <c r="Y28" s="120">
        <v>-4335</v>
      </c>
      <c r="Z28" s="120">
        <v>2386.1224300000003</v>
      </c>
    </row>
    <row r="29" spans="1:27">
      <c r="A29" s="383" t="s">
        <v>938</v>
      </c>
      <c r="B29" s="383" t="s">
        <v>972</v>
      </c>
      <c r="C29" s="112"/>
      <c r="D29" s="120">
        <v>-1085</v>
      </c>
      <c r="E29" s="120">
        <v>0</v>
      </c>
      <c r="F29" s="120">
        <v>0</v>
      </c>
      <c r="G29" s="120">
        <v>557</v>
      </c>
      <c r="H29" s="120">
        <v>-557</v>
      </c>
      <c r="I29" s="120">
        <v>0</v>
      </c>
      <c r="J29" s="120">
        <v>0</v>
      </c>
      <c r="K29" s="120">
        <v>0</v>
      </c>
      <c r="L29" s="120">
        <v>0</v>
      </c>
      <c r="M29" s="120"/>
      <c r="N29" s="120">
        <v>0</v>
      </c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</row>
    <row r="30" spans="1:27">
      <c r="A30" s="455" t="s">
        <v>722</v>
      </c>
      <c r="B30" s="455" t="s">
        <v>722</v>
      </c>
      <c r="C30" s="120"/>
      <c r="D30" s="454">
        <f>+D14+D15+D23+D28+D29</f>
        <v>189009</v>
      </c>
      <c r="E30" s="454">
        <f t="shared" ref="E30:N30" si="10">+E14+E15+E23+E28+E29</f>
        <v>124118</v>
      </c>
      <c r="F30" s="454">
        <f t="shared" si="10"/>
        <v>101914</v>
      </c>
      <c r="G30" s="454">
        <f t="shared" si="10"/>
        <v>190687</v>
      </c>
      <c r="H30" s="454">
        <f t="shared" si="10"/>
        <v>132102</v>
      </c>
      <c r="I30" s="454">
        <f t="shared" si="10"/>
        <v>111826</v>
      </c>
      <c r="J30" s="454">
        <f t="shared" si="10"/>
        <v>113996</v>
      </c>
      <c r="K30" s="454">
        <f t="shared" si="10"/>
        <v>220880</v>
      </c>
      <c r="L30" s="454">
        <f t="shared" si="10"/>
        <v>194503</v>
      </c>
      <c r="M30" s="454">
        <f t="shared" si="10"/>
        <v>137974.32556</v>
      </c>
      <c r="N30" s="454">
        <f t="shared" si="10"/>
        <v>124684.00000000003</v>
      </c>
      <c r="O30" s="454">
        <f t="shared" ref="O30:V30" si="11">+O14+O15+O23+O28+O29</f>
        <v>199533.11019999994</v>
      </c>
      <c r="P30" s="454">
        <f t="shared" si="11"/>
        <v>216557.83505000011</v>
      </c>
      <c r="Q30" s="454">
        <f t="shared" si="11"/>
        <v>114119</v>
      </c>
      <c r="R30" s="454">
        <f t="shared" si="11"/>
        <v>108976</v>
      </c>
      <c r="S30" s="454">
        <f t="shared" si="11"/>
        <v>206311</v>
      </c>
      <c r="T30" s="454">
        <f t="shared" si="11"/>
        <v>199416</v>
      </c>
      <c r="U30" s="454">
        <f t="shared" si="11"/>
        <v>118918</v>
      </c>
      <c r="V30" s="454">
        <f t="shared" si="11"/>
        <v>124194</v>
      </c>
      <c r="W30" s="454">
        <f t="shared" ref="W30:Y30" si="12">+W14+W15+W23+W28+W29</f>
        <v>187078.50906999985</v>
      </c>
      <c r="X30" s="454">
        <f t="shared" si="12"/>
        <v>-94123.963769999915</v>
      </c>
      <c r="Y30" s="454">
        <f t="shared" si="12"/>
        <v>110338.74114</v>
      </c>
      <c r="Z30" s="454">
        <f>+Z14+Z15+Z23+Z28+Z29</f>
        <v>92992.122430000003</v>
      </c>
      <c r="AA30" s="394">
        <f>SUM(W30:Z30)-X28+'DRE Echo Crescimento'!N30</f>
        <v>579827.40886999993</v>
      </c>
    </row>
    <row r="31" spans="1:27" s="390" customFormat="1">
      <c r="A31" s="112" t="s">
        <v>973</v>
      </c>
      <c r="B31" s="112" t="s">
        <v>894</v>
      </c>
      <c r="C31" s="120"/>
      <c r="D31" s="387">
        <v>-67143</v>
      </c>
      <c r="E31" s="387">
        <v>-62475</v>
      </c>
      <c r="F31" s="387">
        <v>-62689</v>
      </c>
      <c r="G31" s="387">
        <v>-64196</v>
      </c>
      <c r="H31" s="387">
        <v>-66490</v>
      </c>
      <c r="I31" s="387">
        <v>-75223</v>
      </c>
      <c r="J31" s="387">
        <v>-71270</v>
      </c>
      <c r="K31" s="387">
        <v>-73413</v>
      </c>
      <c r="L31" s="387">
        <v>-78914</v>
      </c>
      <c r="M31" s="387">
        <f>-64719-1275-9441-533-148</f>
        <v>-76116</v>
      </c>
      <c r="N31" s="387">
        <v>-75285</v>
      </c>
      <c r="O31" s="388">
        <v>-74291.000000000015</v>
      </c>
      <c r="P31" s="388">
        <v>-30116.380319955439</v>
      </c>
      <c r="Q31" s="388">
        <f>-(9441+679+138+51545+2622)</f>
        <v>-64425</v>
      </c>
      <c r="R31" s="388">
        <f>-9440-417-117-51539-2884</f>
        <v>-64397</v>
      </c>
      <c r="S31" s="388">
        <f>-9441-732-801-117-51534-2883</f>
        <v>-65508</v>
      </c>
      <c r="T31" s="388">
        <f>-40465-2488-486-207203-11536-5650-SUM(Q31:S31)</f>
        <v>-73498</v>
      </c>
      <c r="U31" s="388">
        <f>-9441-592-132-51223-2882-721</f>
        <v>-64991</v>
      </c>
      <c r="V31" s="388">
        <v>-64271</v>
      </c>
      <c r="W31" s="388">
        <v>-65344</v>
      </c>
      <c r="X31" s="388">
        <v>-69602</v>
      </c>
      <c r="Y31" s="388">
        <v>-66349</v>
      </c>
      <c r="Z31" s="388">
        <v>-66556</v>
      </c>
      <c r="AA31" s="389"/>
    </row>
    <row r="32" spans="1:27" s="390" customFormat="1">
      <c r="A32" s="391" t="s">
        <v>895</v>
      </c>
      <c r="B32" s="391" t="s">
        <v>896</v>
      </c>
      <c r="C32" s="120"/>
      <c r="D32" s="392">
        <f>+SUM(D30:D31)</f>
        <v>121866</v>
      </c>
      <c r="E32" s="392">
        <f t="shared" ref="E32:J32" si="13">+SUM(E30:E31)</f>
        <v>61643</v>
      </c>
      <c r="F32" s="392">
        <f t="shared" si="13"/>
        <v>39225</v>
      </c>
      <c r="G32" s="392">
        <f t="shared" si="13"/>
        <v>126491</v>
      </c>
      <c r="H32" s="392">
        <f t="shared" si="13"/>
        <v>65612</v>
      </c>
      <c r="I32" s="392">
        <f t="shared" si="13"/>
        <v>36603</v>
      </c>
      <c r="J32" s="392">
        <f t="shared" si="13"/>
        <v>42726</v>
      </c>
      <c r="K32" s="392">
        <f t="shared" ref="K32:P32" si="14">+SUM(K30:K31)</f>
        <v>147467</v>
      </c>
      <c r="L32" s="392">
        <f t="shared" si="14"/>
        <v>115589</v>
      </c>
      <c r="M32" s="392">
        <f t="shared" si="14"/>
        <v>61858.325559999997</v>
      </c>
      <c r="N32" s="392">
        <f t="shared" si="14"/>
        <v>49399.000000000029</v>
      </c>
      <c r="O32" s="393">
        <f t="shared" si="14"/>
        <v>125242.11019999992</v>
      </c>
      <c r="P32" s="393">
        <f t="shared" si="14"/>
        <v>186441.45473004467</v>
      </c>
      <c r="Q32" s="393">
        <f t="shared" ref="Q32:V32" si="15">+SUM(Q30:Q31)</f>
        <v>49694</v>
      </c>
      <c r="R32" s="393">
        <f t="shared" si="15"/>
        <v>44579</v>
      </c>
      <c r="S32" s="393">
        <f t="shared" si="15"/>
        <v>140803</v>
      </c>
      <c r="T32" s="392">
        <f t="shared" si="15"/>
        <v>125918</v>
      </c>
      <c r="U32" s="392">
        <f t="shared" si="15"/>
        <v>53927</v>
      </c>
      <c r="V32" s="392">
        <f t="shared" si="15"/>
        <v>59923</v>
      </c>
      <c r="W32" s="392">
        <f t="shared" ref="W32:Y32" si="16">+SUM(W30:W31)</f>
        <v>121734.50906999985</v>
      </c>
      <c r="X32" s="392">
        <f t="shared" si="16"/>
        <v>-163725.96376999991</v>
      </c>
      <c r="Y32" s="392">
        <f t="shared" si="16"/>
        <v>43989.741139999998</v>
      </c>
      <c r="Z32" s="393">
        <f>+SUM(Z30:Z31)</f>
        <v>26436.122430000003</v>
      </c>
      <c r="AA32" s="394"/>
    </row>
    <row r="33" spans="1:27" s="390" customFormat="1">
      <c r="A33" s="391" t="s">
        <v>725</v>
      </c>
      <c r="B33" s="391" t="s">
        <v>2504</v>
      </c>
      <c r="C33" s="120"/>
      <c r="D33" s="392">
        <f>+SUM(D34:D35)</f>
        <v>-93474</v>
      </c>
      <c r="E33" s="392">
        <f t="shared" ref="E33:J33" si="17">+SUM(E34:E35)</f>
        <v>-101383</v>
      </c>
      <c r="F33" s="392">
        <f t="shared" si="17"/>
        <v>-97082</v>
      </c>
      <c r="G33" s="392">
        <f t="shared" si="17"/>
        <v>-110203</v>
      </c>
      <c r="H33" s="392">
        <f t="shared" si="17"/>
        <v>-270445</v>
      </c>
      <c r="I33" s="392">
        <f t="shared" si="17"/>
        <v>-114954</v>
      </c>
      <c r="J33" s="392">
        <f t="shared" si="17"/>
        <v>-129750</v>
      </c>
      <c r="K33" s="392">
        <f t="shared" ref="K33:P33" si="18">+SUM(K34:K35)</f>
        <v>-57270.000000000015</v>
      </c>
      <c r="L33" s="392">
        <f t="shared" si="18"/>
        <v>-62299</v>
      </c>
      <c r="M33" s="392">
        <f t="shared" si="18"/>
        <v>-90569</v>
      </c>
      <c r="N33" s="392">
        <f t="shared" si="18"/>
        <v>-85892</v>
      </c>
      <c r="O33" s="393">
        <f t="shared" si="18"/>
        <v>-49793</v>
      </c>
      <c r="P33" s="393">
        <f t="shared" si="18"/>
        <v>-68793.878479999941</v>
      </c>
      <c r="Q33" s="393">
        <f t="shared" ref="Q33:V33" si="19">+SUM(Q34:Q35)</f>
        <v>-72304</v>
      </c>
      <c r="R33" s="393">
        <f t="shared" si="19"/>
        <v>-66922</v>
      </c>
      <c r="S33" s="393">
        <f t="shared" si="19"/>
        <v>-52609</v>
      </c>
      <c r="T33" s="393">
        <f t="shared" si="19"/>
        <v>-69864</v>
      </c>
      <c r="U33" s="393">
        <f t="shared" si="19"/>
        <v>-68017</v>
      </c>
      <c r="V33" s="393">
        <f t="shared" si="19"/>
        <v>-65303</v>
      </c>
      <c r="W33" s="393">
        <f t="shared" ref="W33:Y33" si="20">+SUM(W34:W35)</f>
        <v>-44757</v>
      </c>
      <c r="X33" s="393">
        <f t="shared" si="20"/>
        <v>-39131</v>
      </c>
      <c r="Y33" s="393">
        <f t="shared" si="20"/>
        <v>-48478</v>
      </c>
      <c r="Z33" s="393">
        <f>+SUM(Z34:Z35)</f>
        <v>-68295</v>
      </c>
      <c r="AA33" s="394"/>
    </row>
    <row r="34" spans="1:27">
      <c r="A34" s="395" t="s">
        <v>727</v>
      </c>
      <c r="B34" s="395" t="s">
        <v>898</v>
      </c>
      <c r="C34" s="112"/>
      <c r="D34" s="396">
        <v>6706</v>
      </c>
      <c r="E34" s="396">
        <v>2763</v>
      </c>
      <c r="F34" s="396">
        <v>5720</v>
      </c>
      <c r="G34" s="396">
        <v>10097</v>
      </c>
      <c r="H34" s="396">
        <v>15331</v>
      </c>
      <c r="I34" s="396">
        <v>17213</v>
      </c>
      <c r="J34" s="396">
        <v>21515</v>
      </c>
      <c r="K34" s="396">
        <v>25351</v>
      </c>
      <c r="L34" s="396">
        <v>29656.999999999996</v>
      </c>
      <c r="M34" s="396">
        <v>30531</v>
      </c>
      <c r="N34" s="396">
        <v>26853</v>
      </c>
      <c r="O34" s="397">
        <v>28646</v>
      </c>
      <c r="P34" s="397">
        <v>25976.087220000019</v>
      </c>
      <c r="Q34" s="397">
        <v>23036</v>
      </c>
      <c r="R34" s="397">
        <v>20769</v>
      </c>
      <c r="S34" s="397">
        <v>21433</v>
      </c>
      <c r="T34" s="397">
        <v>23968</v>
      </c>
      <c r="U34" s="397">
        <v>27887</v>
      </c>
      <c r="V34" s="397">
        <v>31289</v>
      </c>
      <c r="W34" s="397">
        <v>38363</v>
      </c>
      <c r="X34" s="397">
        <v>39890</v>
      </c>
      <c r="Y34" s="397">
        <v>46492</v>
      </c>
      <c r="Z34" s="397">
        <v>42908</v>
      </c>
    </row>
    <row r="35" spans="1:27" ht="15" thickBot="1">
      <c r="A35" s="398" t="s">
        <v>744</v>
      </c>
      <c r="B35" s="398" t="s">
        <v>745</v>
      </c>
      <c r="C35" s="120"/>
      <c r="D35" s="396">
        <v>-100180</v>
      </c>
      <c r="E35" s="396">
        <v>-104146</v>
      </c>
      <c r="F35" s="396">
        <v>-102802</v>
      </c>
      <c r="G35" s="396">
        <v>-120300</v>
      </c>
      <c r="H35" s="396">
        <v>-285776</v>
      </c>
      <c r="I35" s="396">
        <v>-132167</v>
      </c>
      <c r="J35" s="396">
        <v>-151265</v>
      </c>
      <c r="K35" s="396">
        <v>-82621.000000000015</v>
      </c>
      <c r="L35" s="396">
        <v>-91956</v>
      </c>
      <c r="M35" s="396">
        <v>-121100</v>
      </c>
      <c r="N35" s="396">
        <v>-112745</v>
      </c>
      <c r="O35" s="397">
        <v>-78439</v>
      </c>
      <c r="P35" s="397">
        <v>-94769.965699999957</v>
      </c>
      <c r="Q35" s="397">
        <v>-95340</v>
      </c>
      <c r="R35" s="397">
        <v>-87691</v>
      </c>
      <c r="S35" s="397">
        <v>-74042</v>
      </c>
      <c r="T35" s="397">
        <v>-93832</v>
      </c>
      <c r="U35" s="397">
        <v>-95904</v>
      </c>
      <c r="V35" s="397">
        <v>-96592</v>
      </c>
      <c r="W35" s="397">
        <v>-83120</v>
      </c>
      <c r="X35" s="397">
        <v>-79021</v>
      </c>
      <c r="Y35" s="397">
        <v>-94970</v>
      </c>
      <c r="Z35" s="397">
        <v>-111203</v>
      </c>
      <c r="AA35" s="382"/>
    </row>
    <row r="36" spans="1:27" ht="15" thickBot="1">
      <c r="A36" s="118" t="s">
        <v>899</v>
      </c>
      <c r="B36" s="118" t="s">
        <v>724</v>
      </c>
      <c r="C36" s="120"/>
      <c r="D36" s="119">
        <f>+D32+D33</f>
        <v>28392</v>
      </c>
      <c r="E36" s="119">
        <f t="shared" ref="E36:N36" si="21">+E32+E33</f>
        <v>-39740</v>
      </c>
      <c r="F36" s="119">
        <f t="shared" si="21"/>
        <v>-57857</v>
      </c>
      <c r="G36" s="119">
        <f t="shared" si="21"/>
        <v>16288</v>
      </c>
      <c r="H36" s="119">
        <f t="shared" si="21"/>
        <v>-204833</v>
      </c>
      <c r="I36" s="119">
        <f t="shared" si="21"/>
        <v>-78351</v>
      </c>
      <c r="J36" s="119">
        <f t="shared" si="21"/>
        <v>-87024</v>
      </c>
      <c r="K36" s="119">
        <f t="shared" si="21"/>
        <v>90196.999999999985</v>
      </c>
      <c r="L36" s="119">
        <f t="shared" si="21"/>
        <v>53290</v>
      </c>
      <c r="M36" s="119">
        <f t="shared" si="21"/>
        <v>-28710.674440000003</v>
      </c>
      <c r="N36" s="119">
        <f t="shared" si="21"/>
        <v>-36492.999999999971</v>
      </c>
      <c r="O36" s="119">
        <f t="shared" ref="O36:V36" si="22">+O32+O33</f>
        <v>75449.110199999923</v>
      </c>
      <c r="P36" s="119">
        <f t="shared" si="22"/>
        <v>117647.57625004473</v>
      </c>
      <c r="Q36" s="119">
        <f t="shared" si="22"/>
        <v>-22610</v>
      </c>
      <c r="R36" s="119">
        <f t="shared" si="22"/>
        <v>-22343</v>
      </c>
      <c r="S36" s="119">
        <f t="shared" si="22"/>
        <v>88194</v>
      </c>
      <c r="T36" s="119">
        <f t="shared" si="22"/>
        <v>56054</v>
      </c>
      <c r="U36" s="119">
        <f t="shared" si="22"/>
        <v>-14090</v>
      </c>
      <c r="V36" s="119">
        <f t="shared" si="22"/>
        <v>-5380</v>
      </c>
      <c r="W36" s="119">
        <f t="shared" ref="W36:Y36" si="23">+W32+W33</f>
        <v>76977.509069999855</v>
      </c>
      <c r="X36" s="119">
        <f t="shared" si="23"/>
        <v>-202856.96376999991</v>
      </c>
      <c r="Y36" s="119">
        <f t="shared" si="23"/>
        <v>-4488.2588600000017</v>
      </c>
      <c r="Z36" s="119">
        <f>+Z32+Z33</f>
        <v>-41858.877569999997</v>
      </c>
      <c r="AA36" s="382"/>
    </row>
    <row r="37" spans="1:27">
      <c r="A37" s="395" t="s">
        <v>974</v>
      </c>
      <c r="B37" s="395" t="s">
        <v>975</v>
      </c>
      <c r="C37" s="112"/>
      <c r="D37" s="396">
        <v>3209</v>
      </c>
      <c r="E37" s="396">
        <v>3210</v>
      </c>
      <c r="F37" s="396">
        <v>3209</v>
      </c>
      <c r="G37" s="396">
        <v>3209</v>
      </c>
      <c r="H37" s="396">
        <v>3211</v>
      </c>
      <c r="I37" s="396">
        <v>3210</v>
      </c>
      <c r="J37" s="396">
        <v>3210</v>
      </c>
      <c r="K37" s="396">
        <v>3210</v>
      </c>
      <c r="L37" s="396">
        <v>2585</v>
      </c>
      <c r="M37" s="396">
        <v>3304</v>
      </c>
      <c r="N37" s="396">
        <v>3225</v>
      </c>
      <c r="O37" s="397">
        <v>3210</v>
      </c>
      <c r="P37" s="397">
        <v>3210</v>
      </c>
      <c r="Q37" s="397">
        <v>3210</v>
      </c>
      <c r="R37" s="397">
        <v>3209</v>
      </c>
      <c r="S37" s="397">
        <v>3210</v>
      </c>
      <c r="T37" s="397">
        <v>49784</v>
      </c>
      <c r="U37" s="397">
        <v>3210</v>
      </c>
      <c r="V37" s="397">
        <v>1284</v>
      </c>
      <c r="W37" s="397">
        <v>3210</v>
      </c>
      <c r="X37" s="397">
        <v>1283</v>
      </c>
      <c r="Y37" s="397">
        <v>2247</v>
      </c>
      <c r="Z37" s="397">
        <v>2247</v>
      </c>
    </row>
    <row r="38" spans="1:27" ht="15" thickBot="1">
      <c r="A38" s="395" t="s">
        <v>976</v>
      </c>
      <c r="B38" s="395" t="s">
        <v>977</v>
      </c>
      <c r="C38" s="112"/>
      <c r="D38" s="396">
        <v>-9151</v>
      </c>
      <c r="E38" s="396">
        <v>-6562</v>
      </c>
      <c r="F38" s="396">
        <v>-6389</v>
      </c>
      <c r="G38" s="396">
        <v>-14599</v>
      </c>
      <c r="H38" s="396">
        <v>-12226</v>
      </c>
      <c r="I38" s="396">
        <v>-10936</v>
      </c>
      <c r="J38" s="396">
        <v>-13059</v>
      </c>
      <c r="K38" s="396">
        <v>-17195</v>
      </c>
      <c r="L38" s="396">
        <v>-20283</v>
      </c>
      <c r="M38" s="396">
        <v>-16327.986955795997</v>
      </c>
      <c r="N38" s="396">
        <v>-15709</v>
      </c>
      <c r="O38" s="397">
        <v>-21492</v>
      </c>
      <c r="P38" s="397">
        <v>-19816</v>
      </c>
      <c r="Q38" s="397">
        <v>-14285</v>
      </c>
      <c r="R38" s="397">
        <v>-12695</v>
      </c>
      <c r="S38" s="397">
        <v>-17124</v>
      </c>
      <c r="T38" s="397">
        <v>-17599</v>
      </c>
      <c r="U38" s="397">
        <v>-15514</v>
      </c>
      <c r="V38" s="397">
        <v>-17364</v>
      </c>
      <c r="W38" s="397">
        <v>-23047</v>
      </c>
      <c r="X38" s="397">
        <v>-26422</v>
      </c>
      <c r="Y38" s="397">
        <v>-20729</v>
      </c>
      <c r="Z38" s="397">
        <v>-19863</v>
      </c>
    </row>
    <row r="39" spans="1:27" ht="15" thickBot="1">
      <c r="A39" s="118" t="s">
        <v>978</v>
      </c>
      <c r="B39" s="118" t="s">
        <v>979</v>
      </c>
      <c r="C39" s="120"/>
      <c r="D39" s="119">
        <f>+SUM(D36:D38)</f>
        <v>22450</v>
      </c>
      <c r="E39" s="119">
        <f t="shared" ref="E39:N39" si="24">+SUM(E36:E38)</f>
        <v>-43092</v>
      </c>
      <c r="F39" s="119">
        <f t="shared" si="24"/>
        <v>-61037</v>
      </c>
      <c r="G39" s="119">
        <f t="shared" si="24"/>
        <v>4898</v>
      </c>
      <c r="H39" s="119">
        <f t="shared" si="24"/>
        <v>-213848</v>
      </c>
      <c r="I39" s="119">
        <f t="shared" si="24"/>
        <v>-86077</v>
      </c>
      <c r="J39" s="119">
        <f t="shared" si="24"/>
        <v>-96873</v>
      </c>
      <c r="K39" s="119">
        <f t="shared" si="24"/>
        <v>76211.999999999985</v>
      </c>
      <c r="L39" s="119">
        <f t="shared" si="24"/>
        <v>35592</v>
      </c>
      <c r="M39" s="119">
        <f t="shared" si="24"/>
        <v>-41734.661395796</v>
      </c>
      <c r="N39" s="119">
        <f t="shared" si="24"/>
        <v>-48976.999999999971</v>
      </c>
      <c r="O39" s="119">
        <f t="shared" ref="O39:V39" si="25">+SUM(O36:O38)</f>
        <v>57167.110199999923</v>
      </c>
      <c r="P39" s="119">
        <f t="shared" si="25"/>
        <v>101041.57625004473</v>
      </c>
      <c r="Q39" s="119">
        <f t="shared" si="25"/>
        <v>-33685</v>
      </c>
      <c r="R39" s="119">
        <f t="shared" si="25"/>
        <v>-31829</v>
      </c>
      <c r="S39" s="119">
        <f t="shared" si="25"/>
        <v>74280</v>
      </c>
      <c r="T39" s="132">
        <f t="shared" si="25"/>
        <v>88239</v>
      </c>
      <c r="U39" s="132">
        <f t="shared" si="25"/>
        <v>-26394</v>
      </c>
      <c r="V39" s="132">
        <f t="shared" si="25"/>
        <v>-21460</v>
      </c>
      <c r="W39" s="132">
        <f t="shared" ref="W39:Y39" si="26">+SUM(W36:W38)</f>
        <v>57140.509069999855</v>
      </c>
      <c r="X39" s="132">
        <f t="shared" si="26"/>
        <v>-227995.96376999991</v>
      </c>
      <c r="Y39" s="132">
        <f t="shared" si="26"/>
        <v>-22970.258860000002</v>
      </c>
      <c r="Z39" s="767">
        <f>+SUM(Z36:Z38)</f>
        <v>-59474.877569999997</v>
      </c>
      <c r="AA39" s="382"/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I23:P23" formulaRange="1"/>
  </ignoredErrors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9" tint="0.79998168889431442"/>
  </sheetPr>
  <dimension ref="A7:M39"/>
  <sheetViews>
    <sheetView showGridLines="0" zoomScaleNormal="100" workbookViewId="0">
      <pane xSplit="2" topLeftCell="H1" activePane="topRight" state="frozen"/>
      <selection activeCell="V9" sqref="V9"/>
      <selection pane="topRight" activeCell="N1" sqref="N1"/>
    </sheetView>
  </sheetViews>
  <sheetFormatPr defaultColWidth="8.5546875" defaultRowHeight="14.4"/>
  <cols>
    <col min="1" max="1" width="33.77734375" customWidth="1"/>
    <col min="2" max="2" width="40.109375" bestFit="1" customWidth="1"/>
    <col min="3" max="3" width="0.5546875" customWidth="1"/>
    <col min="4" max="4" width="8.5546875" customWidth="1"/>
    <col min="5" max="5" width="8.77734375" customWidth="1"/>
    <col min="6" max="7" width="9.109375" customWidth="1"/>
    <col min="8" max="8" width="8.5546875" customWidth="1"/>
    <col min="12" max="12" width="9.33203125" customWidth="1"/>
    <col min="13" max="13" width="9.33203125" bestFit="1" customWidth="1"/>
    <col min="14" max="14" width="8.77734375" bestFit="1" customWidth="1"/>
  </cols>
  <sheetData>
    <row r="7" spans="1:13">
      <c r="A7" s="38" t="s">
        <v>980</v>
      </c>
      <c r="B7" s="38" t="s">
        <v>980</v>
      </c>
      <c r="D7" s="379"/>
      <c r="E7" s="379"/>
      <c r="F7" s="379"/>
      <c r="G7" s="379"/>
      <c r="H7" s="379"/>
      <c r="I7" s="379"/>
      <c r="J7" s="379"/>
      <c r="K7" s="379"/>
      <c r="L7" s="379"/>
      <c r="M7" s="379"/>
    </row>
    <row r="8" spans="1:13" ht="15" thickBot="1">
      <c r="A8" s="448" t="s">
        <v>846</v>
      </c>
      <c r="B8" s="448" t="s">
        <v>847</v>
      </c>
      <c r="C8" s="112"/>
      <c r="D8" s="453" t="s">
        <v>83</v>
      </c>
      <c r="E8" s="453" t="s">
        <v>84</v>
      </c>
      <c r="F8" s="453" t="s">
        <v>85</v>
      </c>
      <c r="G8" s="453" t="s">
        <v>86</v>
      </c>
      <c r="H8" s="453" t="s">
        <v>87</v>
      </c>
      <c r="I8" s="453" t="s">
        <v>88</v>
      </c>
      <c r="J8" s="453" t="s">
        <v>2074</v>
      </c>
      <c r="K8" s="453" t="s">
        <v>2127</v>
      </c>
      <c r="L8" s="453" t="s">
        <v>2360</v>
      </c>
      <c r="M8" s="453" t="s">
        <v>2494</v>
      </c>
    </row>
    <row r="9" spans="1:13" ht="15" thickBot="1">
      <c r="A9" s="118" t="s">
        <v>948</v>
      </c>
      <c r="B9" s="118" t="s">
        <v>848</v>
      </c>
      <c r="C9" s="120"/>
      <c r="D9" s="119">
        <v>4733</v>
      </c>
      <c r="E9" s="119">
        <v>14731</v>
      </c>
      <c r="F9" s="119">
        <v>64577</v>
      </c>
      <c r="G9" s="119">
        <v>60136</v>
      </c>
      <c r="H9" s="119">
        <v>100413</v>
      </c>
      <c r="I9" s="119">
        <v>116620</v>
      </c>
      <c r="J9" s="119">
        <v>105931</v>
      </c>
      <c r="K9" s="119">
        <v>90619</v>
      </c>
      <c r="L9" s="119">
        <v>90983</v>
      </c>
      <c r="M9" s="119">
        <v>85162</v>
      </c>
    </row>
    <row r="10" spans="1:13" ht="15" thickBot="1">
      <c r="A10" s="118" t="s">
        <v>949</v>
      </c>
      <c r="B10" s="118" t="s">
        <v>950</v>
      </c>
      <c r="C10" s="120"/>
      <c r="D10" s="132">
        <f>+SUM(D11:D12)</f>
        <v>-438</v>
      </c>
      <c r="E10" s="132">
        <f t="shared" ref="E10:J10" si="0">SUM(E11:E13)</f>
        <v>-1162</v>
      </c>
      <c r="F10" s="132">
        <f t="shared" si="0"/>
        <v>-2915</v>
      </c>
      <c r="G10" s="132">
        <f t="shared" si="0"/>
        <v>-2750</v>
      </c>
      <c r="H10" s="132">
        <f t="shared" si="0"/>
        <v>-3993</v>
      </c>
      <c r="I10" s="132">
        <f t="shared" si="0"/>
        <v>-5237</v>
      </c>
      <c r="J10" s="132">
        <f t="shared" si="0"/>
        <v>-5262</v>
      </c>
      <c r="K10" s="132">
        <f>SUM(K11:K13)</f>
        <v>-4989.3305299999993</v>
      </c>
      <c r="L10" s="132">
        <f>SUM(L11:L13)</f>
        <v>-5867.9581500000004</v>
      </c>
      <c r="M10" s="132">
        <f>SUM(M11:M13)</f>
        <v>-5556.3362900000002</v>
      </c>
    </row>
    <row r="11" spans="1:13">
      <c r="A11" s="383" t="s">
        <v>1691</v>
      </c>
      <c r="B11" s="383" t="s">
        <v>1691</v>
      </c>
      <c r="C11" s="112"/>
      <c r="D11" s="120">
        <v>-438</v>
      </c>
      <c r="E11" s="120">
        <v>-881</v>
      </c>
      <c r="F11" s="120">
        <v>-2615</v>
      </c>
      <c r="G11" s="120">
        <v>-2474</v>
      </c>
      <c r="H11" s="120">
        <v>-3993</v>
      </c>
      <c r="I11" s="120">
        <v>-4576</v>
      </c>
      <c r="J11" s="120">
        <v>-4225</v>
      </c>
      <c r="K11" s="120">
        <v>-3562.4162199999996</v>
      </c>
      <c r="L11" s="120">
        <v>-3432.8346200000005</v>
      </c>
      <c r="M11" s="120">
        <v>-3098.4598200000005</v>
      </c>
    </row>
    <row r="12" spans="1:13">
      <c r="A12" s="383" t="s">
        <v>951</v>
      </c>
      <c r="B12" s="383" t="s">
        <v>951</v>
      </c>
      <c r="C12" s="112"/>
      <c r="D12" s="120"/>
      <c r="E12" s="120">
        <v>-281</v>
      </c>
      <c r="F12" s="120">
        <v>-300</v>
      </c>
      <c r="G12" s="120">
        <v>-276</v>
      </c>
      <c r="H12" s="120"/>
      <c r="I12" s="120">
        <v>-661</v>
      </c>
      <c r="J12" s="120">
        <v>-1037</v>
      </c>
      <c r="K12" s="120">
        <v>-1426.9143099999999</v>
      </c>
      <c r="L12" s="120">
        <v>-2435.1235299999998</v>
      </c>
      <c r="M12" s="120">
        <v>-2457.8764699999997</v>
      </c>
    </row>
    <row r="13" spans="1:13" ht="15" thickBot="1">
      <c r="A13" s="383" t="s">
        <v>952</v>
      </c>
      <c r="B13" s="383" t="s">
        <v>952</v>
      </c>
      <c r="C13" s="112"/>
      <c r="D13" s="120"/>
      <c r="E13" s="120"/>
      <c r="F13" s="120"/>
      <c r="G13" s="120"/>
      <c r="H13" s="120"/>
      <c r="I13" s="120"/>
      <c r="J13" s="120">
        <v>0</v>
      </c>
      <c r="K13" s="120">
        <v>0</v>
      </c>
      <c r="L13" s="120">
        <v>0</v>
      </c>
      <c r="M13" s="120">
        <v>0</v>
      </c>
    </row>
    <row r="14" spans="1:13" ht="15" thickBot="1">
      <c r="A14" s="118" t="s">
        <v>646</v>
      </c>
      <c r="B14" s="118" t="s">
        <v>860</v>
      </c>
      <c r="C14" s="120"/>
      <c r="D14" s="132">
        <f>+D9+D10</f>
        <v>4295</v>
      </c>
      <c r="E14" s="132">
        <f>+E9+E10</f>
        <v>13569</v>
      </c>
      <c r="F14" s="132">
        <f t="shared" ref="F14:G14" si="1">+F9+F10</f>
        <v>61662</v>
      </c>
      <c r="G14" s="132">
        <f t="shared" si="1"/>
        <v>57386</v>
      </c>
      <c r="H14" s="132">
        <f t="shared" ref="H14:M14" si="2">+H9+H10</f>
        <v>96420</v>
      </c>
      <c r="I14" s="132">
        <f t="shared" si="2"/>
        <v>111383</v>
      </c>
      <c r="J14" s="132">
        <f t="shared" si="2"/>
        <v>100669</v>
      </c>
      <c r="K14" s="132">
        <f t="shared" si="2"/>
        <v>85629.669469999993</v>
      </c>
      <c r="L14" s="132">
        <f t="shared" si="2"/>
        <v>85115.041849999994</v>
      </c>
      <c r="M14" s="132">
        <f t="shared" si="2"/>
        <v>79605.663709999993</v>
      </c>
    </row>
    <row r="15" spans="1:13">
      <c r="A15" s="384" t="s">
        <v>953</v>
      </c>
      <c r="B15" s="384" t="s">
        <v>874</v>
      </c>
      <c r="C15" s="120"/>
      <c r="D15" s="559">
        <f t="shared" ref="D15:J15" si="3">SUM(D16:D22)</f>
        <v>-3447</v>
      </c>
      <c r="E15" s="559">
        <f t="shared" si="3"/>
        <v>-6849</v>
      </c>
      <c r="F15" s="559">
        <f t="shared" ref="F15:G15" si="4">SUM(F16:F22)</f>
        <v>-22359</v>
      </c>
      <c r="G15" s="559">
        <f t="shared" si="4"/>
        <v>-21296</v>
      </c>
      <c r="H15" s="559">
        <f t="shared" si="3"/>
        <v>-51794</v>
      </c>
      <c r="I15" s="559">
        <f t="shared" si="3"/>
        <v>-57356</v>
      </c>
      <c r="J15" s="559">
        <f t="shared" si="3"/>
        <v>-67516</v>
      </c>
      <c r="K15" s="559">
        <f>SUM(K16:K22)</f>
        <v>-45981</v>
      </c>
      <c r="L15" s="559">
        <f>SUM(L16:L22)</f>
        <v>-40722</v>
      </c>
      <c r="M15" s="385">
        <f>SUM(M16:M22)</f>
        <v>-34088</v>
      </c>
    </row>
    <row r="16" spans="1:13">
      <c r="A16" s="386" t="s">
        <v>954</v>
      </c>
      <c r="B16" s="386" t="s">
        <v>955</v>
      </c>
      <c r="C16" s="120"/>
      <c r="D16" s="120"/>
      <c r="E16" s="120"/>
      <c r="F16" s="120">
        <v>-185</v>
      </c>
      <c r="G16" s="120">
        <v>25</v>
      </c>
      <c r="H16" s="120">
        <v>-98</v>
      </c>
      <c r="I16" s="120" t="s">
        <v>2356</v>
      </c>
      <c r="J16" s="120">
        <v>-63</v>
      </c>
      <c r="K16" s="120">
        <v>-10</v>
      </c>
      <c r="L16" s="120"/>
      <c r="M16" s="120"/>
    </row>
    <row r="17" spans="1:13">
      <c r="A17" s="386" t="s">
        <v>956</v>
      </c>
      <c r="B17" s="386" t="s">
        <v>957</v>
      </c>
      <c r="C17" s="120"/>
      <c r="D17" s="120"/>
      <c r="E17" s="120">
        <v>-1242</v>
      </c>
      <c r="F17" s="120">
        <v>-13739</v>
      </c>
      <c r="G17" s="120">
        <v>-9842</v>
      </c>
      <c r="H17" s="120">
        <v>-12000</v>
      </c>
      <c r="I17" s="120">
        <v>-10071</v>
      </c>
      <c r="J17" s="120">
        <v>-12092</v>
      </c>
      <c r="K17" s="120">
        <v>-10249</v>
      </c>
      <c r="L17" s="120">
        <v>-20320</v>
      </c>
      <c r="M17" s="120">
        <v>-10416</v>
      </c>
    </row>
    <row r="18" spans="1:13">
      <c r="A18" s="386" t="s">
        <v>958</v>
      </c>
      <c r="B18" s="386" t="s">
        <v>959</v>
      </c>
      <c r="C18" s="120"/>
      <c r="D18" s="120">
        <v>-3247</v>
      </c>
      <c r="E18" s="120">
        <v>-5281</v>
      </c>
      <c r="F18" s="120">
        <v>-4541</v>
      </c>
      <c r="G18" s="120">
        <v>-4529</v>
      </c>
      <c r="H18" s="120">
        <v>-32992</v>
      </c>
      <c r="I18" s="120">
        <v>-39065</v>
      </c>
      <c r="J18" s="120">
        <v>-46643</v>
      </c>
      <c r="K18" s="120">
        <v>-26326</v>
      </c>
      <c r="L18" s="120">
        <v>-10449</v>
      </c>
      <c r="M18" s="120">
        <v>-14543</v>
      </c>
    </row>
    <row r="19" spans="1:13">
      <c r="A19" s="386" t="s">
        <v>960</v>
      </c>
      <c r="B19" s="386" t="s">
        <v>961</v>
      </c>
      <c r="C19" s="120"/>
      <c r="D19" s="120"/>
      <c r="E19" s="120">
        <v>-170</v>
      </c>
      <c r="F19" s="120">
        <v>-1280</v>
      </c>
      <c r="G19" s="120">
        <v>-2292</v>
      </c>
      <c r="H19" s="120">
        <v>-2295</v>
      </c>
      <c r="I19" s="120">
        <v>-3074</v>
      </c>
      <c r="J19" s="120">
        <v>-2326</v>
      </c>
      <c r="K19" s="120">
        <v>-2548</v>
      </c>
      <c r="L19" s="120">
        <v>-2868</v>
      </c>
      <c r="M19" s="120">
        <v>-2775</v>
      </c>
    </row>
    <row r="20" spans="1:13">
      <c r="A20" s="386" t="s">
        <v>962</v>
      </c>
      <c r="B20" s="386" t="s">
        <v>963</v>
      </c>
      <c r="C20" s="120"/>
      <c r="D20" s="120"/>
      <c r="E20" s="120" t="s">
        <v>981</v>
      </c>
      <c r="F20" s="120"/>
      <c r="G20" s="120">
        <v>-240</v>
      </c>
      <c r="H20" s="120">
        <v>-95</v>
      </c>
      <c r="I20" s="120">
        <v>-104</v>
      </c>
      <c r="J20" s="120">
        <v>-60</v>
      </c>
      <c r="K20" s="120">
        <v>-292</v>
      </c>
      <c r="L20" s="120">
        <v>-927</v>
      </c>
      <c r="M20" s="120">
        <v>-896</v>
      </c>
    </row>
    <row r="21" spans="1:13">
      <c r="A21" s="386" t="s">
        <v>964</v>
      </c>
      <c r="B21" s="386" t="s">
        <v>879</v>
      </c>
      <c r="C21" s="122"/>
      <c r="D21" s="120"/>
      <c r="E21" s="120" t="s">
        <v>981</v>
      </c>
      <c r="F21" s="120"/>
      <c r="G21" s="120">
        <v>-1948</v>
      </c>
      <c r="H21" s="120">
        <v>-1387</v>
      </c>
      <c r="I21" s="120">
        <v>-1495</v>
      </c>
      <c r="J21" s="120">
        <v>-2262</v>
      </c>
      <c r="K21" s="120">
        <v>-2652</v>
      </c>
      <c r="L21" s="120">
        <v>-2377</v>
      </c>
      <c r="M21" s="120">
        <v>-2001</v>
      </c>
    </row>
    <row r="22" spans="1:13" ht="15" thickBot="1">
      <c r="A22" s="386" t="s">
        <v>95</v>
      </c>
      <c r="B22" s="386" t="s">
        <v>96</v>
      </c>
      <c r="C22" s="120"/>
      <c r="D22" s="120">
        <v>-200</v>
      </c>
      <c r="E22" s="120">
        <v>-156</v>
      </c>
      <c r="F22" s="120">
        <v>-2614</v>
      </c>
      <c r="G22" s="120">
        <f>-52223-G28</f>
        <v>-2470</v>
      </c>
      <c r="H22" s="120">
        <v>-2927</v>
      </c>
      <c r="I22" s="120">
        <v>-3547</v>
      </c>
      <c r="J22" s="120">
        <v>-4070</v>
      </c>
      <c r="K22" s="120">
        <v>-3904</v>
      </c>
      <c r="L22" s="120">
        <v>-3781</v>
      </c>
      <c r="M22" s="120">
        <v>-3457</v>
      </c>
    </row>
    <row r="23" spans="1:13" ht="15" thickBot="1">
      <c r="A23" s="118" t="s">
        <v>965</v>
      </c>
      <c r="B23" s="118" t="s">
        <v>966</v>
      </c>
      <c r="C23" s="120"/>
      <c r="D23" s="119">
        <f t="shared" ref="D23:I23" si="5">SUM(D24:D27)</f>
        <v>-188</v>
      </c>
      <c r="E23" s="119">
        <f t="shared" si="5"/>
        <v>-60</v>
      </c>
      <c r="F23" s="119">
        <f t="shared" si="5"/>
        <v>-2872</v>
      </c>
      <c r="G23" s="119">
        <f t="shared" si="5"/>
        <v>-890</v>
      </c>
      <c r="H23" s="119">
        <f t="shared" si="5"/>
        <v>-4363</v>
      </c>
      <c r="I23" s="119">
        <f t="shared" si="5"/>
        <v>-3466</v>
      </c>
      <c r="J23" s="119">
        <f t="shared" ref="J23" si="6">SUM(J24:J27)</f>
        <v>-2932</v>
      </c>
      <c r="K23" s="119">
        <f t="shared" ref="K23:L23" si="7">SUM(K24:K27)</f>
        <v>-4109</v>
      </c>
      <c r="L23" s="119">
        <f t="shared" si="7"/>
        <v>-3005</v>
      </c>
      <c r="M23" s="119">
        <f>SUM(M24:M27)</f>
        <v>-5348</v>
      </c>
    </row>
    <row r="24" spans="1:13">
      <c r="A24" s="386" t="s">
        <v>967</v>
      </c>
      <c r="B24" s="386" t="s">
        <v>968</v>
      </c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</row>
    <row r="25" spans="1:13">
      <c r="A25" s="386" t="s">
        <v>960</v>
      </c>
      <c r="B25" s="386" t="s">
        <v>969</v>
      </c>
      <c r="C25" s="120"/>
      <c r="D25" s="120">
        <v>-129</v>
      </c>
      <c r="E25" s="120">
        <v>129</v>
      </c>
      <c r="F25" s="120">
        <v>-900</v>
      </c>
      <c r="G25" s="120">
        <v>-581</v>
      </c>
      <c r="H25" s="120">
        <v>-3539</v>
      </c>
      <c r="I25" s="120">
        <v>-1200</v>
      </c>
      <c r="J25" s="120">
        <v>-1908</v>
      </c>
      <c r="K25" s="120">
        <v>-2231</v>
      </c>
      <c r="L25" s="120">
        <v>-2209</v>
      </c>
      <c r="M25" s="120">
        <v>-4264</v>
      </c>
    </row>
    <row r="26" spans="1:13">
      <c r="A26" s="386" t="s">
        <v>964</v>
      </c>
      <c r="B26" s="386" t="s">
        <v>879</v>
      </c>
      <c r="C26" s="112"/>
      <c r="D26" s="120">
        <v>-33</v>
      </c>
      <c r="E26" s="120">
        <v>-147</v>
      </c>
      <c r="F26" s="120">
        <v>-271</v>
      </c>
      <c r="G26" s="120">
        <v>-479</v>
      </c>
      <c r="H26" s="120">
        <v>-277</v>
      </c>
      <c r="I26" s="120">
        <v>-1728</v>
      </c>
      <c r="J26" s="120">
        <v>-1100</v>
      </c>
      <c r="K26" s="120">
        <v>-973</v>
      </c>
      <c r="L26" s="120">
        <v>-572</v>
      </c>
      <c r="M26" s="120">
        <v>-802</v>
      </c>
    </row>
    <row r="27" spans="1:13">
      <c r="A27" s="386" t="s">
        <v>95</v>
      </c>
      <c r="B27" s="386" t="s">
        <v>96</v>
      </c>
      <c r="C27" s="112"/>
      <c r="D27" s="120">
        <f>-10-16</f>
        <v>-26</v>
      </c>
      <c r="E27" s="120">
        <v>-42</v>
      </c>
      <c r="F27" s="120">
        <v>-1701</v>
      </c>
      <c r="G27" s="120">
        <v>170</v>
      </c>
      <c r="H27" s="120">
        <v>-547</v>
      </c>
      <c r="I27" s="120">
        <v>-538</v>
      </c>
      <c r="J27" s="120">
        <v>76</v>
      </c>
      <c r="K27" s="120">
        <v>-905</v>
      </c>
      <c r="L27" s="120">
        <v>-224</v>
      </c>
      <c r="M27" s="120">
        <v>-282</v>
      </c>
    </row>
    <row r="28" spans="1:13">
      <c r="A28" s="383" t="s">
        <v>970</v>
      </c>
      <c r="B28" s="383" t="s">
        <v>971</v>
      </c>
      <c r="C28" s="112"/>
      <c r="D28" s="120"/>
      <c r="E28" s="120"/>
      <c r="F28" s="120"/>
      <c r="G28" s="120">
        <v>-49753</v>
      </c>
      <c r="H28" s="120"/>
      <c r="I28" s="120"/>
      <c r="J28" s="120"/>
      <c r="K28" s="120">
        <v>-605601</v>
      </c>
      <c r="L28" s="120"/>
      <c r="M28" s="120">
        <v>2129.6128599999997</v>
      </c>
    </row>
    <row r="29" spans="1:13">
      <c r="A29" s="383" t="s">
        <v>938</v>
      </c>
      <c r="B29" s="383" t="s">
        <v>972</v>
      </c>
      <c r="C29" s="112"/>
      <c r="D29" s="120"/>
      <c r="E29" s="120"/>
      <c r="F29" s="120"/>
      <c r="G29" s="120"/>
      <c r="H29" s="120"/>
      <c r="I29" s="120"/>
      <c r="J29" s="120"/>
      <c r="K29" s="120"/>
      <c r="L29" s="120"/>
      <c r="M29" s="120"/>
    </row>
    <row r="30" spans="1:13">
      <c r="A30" s="455" t="s">
        <v>722</v>
      </c>
      <c r="B30" s="455" t="s">
        <v>722</v>
      </c>
      <c r="C30" s="120"/>
      <c r="D30" s="454">
        <f t="shared" ref="D30:I30" si="8">+D14+D15+D23+D28+D29</f>
        <v>660</v>
      </c>
      <c r="E30" s="454">
        <f t="shared" si="8"/>
        <v>6660</v>
      </c>
      <c r="F30" s="454">
        <f t="shared" si="8"/>
        <v>36431</v>
      </c>
      <c r="G30" s="454">
        <f t="shared" si="8"/>
        <v>-14553</v>
      </c>
      <c r="H30" s="454">
        <f t="shared" si="8"/>
        <v>40263</v>
      </c>
      <c r="I30" s="454">
        <f t="shared" si="8"/>
        <v>50561</v>
      </c>
      <c r="J30" s="454">
        <f t="shared" ref="J30:L30" si="9">+J14+J15+J23+J28+J29</f>
        <v>30221</v>
      </c>
      <c r="K30" s="454">
        <f t="shared" si="9"/>
        <v>-570061.33053000004</v>
      </c>
      <c r="L30" s="454">
        <f t="shared" si="9"/>
        <v>41388.041849999994</v>
      </c>
      <c r="M30" s="454">
        <f>+M14+M15+M23+M28+M29</f>
        <v>42299.276569999995</v>
      </c>
    </row>
    <row r="31" spans="1:13" s="390" customFormat="1">
      <c r="A31" s="112" t="s">
        <v>973</v>
      </c>
      <c r="B31" s="112" t="s">
        <v>894</v>
      </c>
      <c r="C31" s="120"/>
      <c r="D31" s="388">
        <v>-7</v>
      </c>
      <c r="E31" s="388">
        <v>-4</v>
      </c>
      <c r="F31" s="388">
        <v>-20703</v>
      </c>
      <c r="G31" s="388">
        <v>-19958</v>
      </c>
      <c r="H31" s="388">
        <v>-19375</v>
      </c>
      <c r="I31" s="388">
        <v>-19388</v>
      </c>
      <c r="J31" s="388">
        <v>-19387</v>
      </c>
      <c r="K31" s="388">
        <v>-19387</v>
      </c>
      <c r="L31" s="388">
        <v>-19386</v>
      </c>
      <c r="M31" s="388">
        <v>-19384</v>
      </c>
    </row>
    <row r="32" spans="1:13" s="390" customFormat="1">
      <c r="A32" s="391" t="s">
        <v>895</v>
      </c>
      <c r="B32" s="391" t="s">
        <v>896</v>
      </c>
      <c r="C32" s="120"/>
      <c r="D32" s="392">
        <f t="shared" ref="D32:I32" si="10">+SUM(D30:D31)</f>
        <v>653</v>
      </c>
      <c r="E32" s="392">
        <f t="shared" si="10"/>
        <v>6656</v>
      </c>
      <c r="F32" s="392">
        <f t="shared" ref="F32:G32" si="11">+SUM(F30:F31)</f>
        <v>15728</v>
      </c>
      <c r="G32" s="392">
        <f t="shared" si="11"/>
        <v>-34511</v>
      </c>
      <c r="H32" s="392">
        <f t="shared" si="10"/>
        <v>20888</v>
      </c>
      <c r="I32" s="392">
        <f t="shared" si="10"/>
        <v>31173</v>
      </c>
      <c r="J32" s="392">
        <f t="shared" ref="J32" si="12">+SUM(J30:J31)</f>
        <v>10834</v>
      </c>
      <c r="K32" s="392">
        <f t="shared" ref="K32:L32" si="13">+SUM(K30:K31)</f>
        <v>-589448.33053000004</v>
      </c>
      <c r="L32" s="392">
        <f t="shared" si="13"/>
        <v>22002.041849999994</v>
      </c>
      <c r="M32" s="393">
        <f>+SUM(M30:M31)</f>
        <v>22915.276569999995</v>
      </c>
    </row>
    <row r="33" spans="1:13" s="390" customFormat="1">
      <c r="A33" s="391" t="s">
        <v>725</v>
      </c>
      <c r="B33" s="391" t="s">
        <v>898</v>
      </c>
      <c r="C33" s="120"/>
      <c r="D33" s="393">
        <f t="shared" ref="D33:I33" si="14">+SUM(D34:D35)</f>
        <v>144</v>
      </c>
      <c r="E33" s="393">
        <f t="shared" si="14"/>
        <v>-29814</v>
      </c>
      <c r="F33" s="393">
        <f t="shared" ref="F33:G33" si="15">+SUM(F34:F35)</f>
        <v>-52164</v>
      </c>
      <c r="G33" s="393">
        <f t="shared" si="15"/>
        <v>-68726</v>
      </c>
      <c r="H33" s="393">
        <f t="shared" si="14"/>
        <v>-88957</v>
      </c>
      <c r="I33" s="393">
        <f t="shared" si="14"/>
        <v>-67065</v>
      </c>
      <c r="J33" s="393">
        <f t="shared" ref="J33:L33" si="16">+SUM(J34:J35)</f>
        <v>-37015</v>
      </c>
      <c r="K33" s="393">
        <f t="shared" si="16"/>
        <v>-53539</v>
      </c>
      <c r="L33" s="393">
        <f t="shared" si="16"/>
        <v>-65111</v>
      </c>
      <c r="M33" s="393">
        <f>+SUM(M34:M35)</f>
        <v>-75763</v>
      </c>
    </row>
    <row r="34" spans="1:13">
      <c r="A34" s="395" t="s">
        <v>727</v>
      </c>
      <c r="B34" s="395" t="s">
        <v>898</v>
      </c>
      <c r="C34" s="112"/>
      <c r="D34" s="397">
        <v>146</v>
      </c>
      <c r="E34" s="397">
        <v>4049</v>
      </c>
      <c r="F34" s="397">
        <v>1479</v>
      </c>
      <c r="G34" s="397">
        <v>3750</v>
      </c>
      <c r="H34" s="397">
        <v>3307</v>
      </c>
      <c r="I34" s="397">
        <v>6294</v>
      </c>
      <c r="J34" s="397">
        <v>3985</v>
      </c>
      <c r="K34" s="397">
        <v>5770</v>
      </c>
      <c r="L34" s="397">
        <v>5342</v>
      </c>
      <c r="M34" s="397">
        <v>3253</v>
      </c>
    </row>
    <row r="35" spans="1:13" ht="15" thickBot="1">
      <c r="A35" s="398" t="s">
        <v>744</v>
      </c>
      <c r="B35" s="398" t="s">
        <v>745</v>
      </c>
      <c r="C35" s="120"/>
      <c r="D35" s="397">
        <v>-2</v>
      </c>
      <c r="E35" s="397">
        <v>-33863</v>
      </c>
      <c r="F35" s="397">
        <v>-53643</v>
      </c>
      <c r="G35" s="397">
        <v>-72476</v>
      </c>
      <c r="H35" s="397">
        <v>-92264</v>
      </c>
      <c r="I35" s="397">
        <v>-73359</v>
      </c>
      <c r="J35" s="397">
        <v>-41000</v>
      </c>
      <c r="K35" s="397">
        <v>-59309</v>
      </c>
      <c r="L35" s="397">
        <v>-70453</v>
      </c>
      <c r="M35" s="397">
        <v>-79016</v>
      </c>
    </row>
    <row r="36" spans="1:13" ht="15" thickBot="1">
      <c r="A36" s="118" t="s">
        <v>899</v>
      </c>
      <c r="B36" s="118" t="s">
        <v>724</v>
      </c>
      <c r="C36" s="120"/>
      <c r="D36" s="119">
        <f t="shared" ref="D36:I36" si="17">+D32+D33</f>
        <v>797</v>
      </c>
      <c r="E36" s="119">
        <f t="shared" si="17"/>
        <v>-23158</v>
      </c>
      <c r="F36" s="119">
        <f t="shared" si="17"/>
        <v>-36436</v>
      </c>
      <c r="G36" s="119">
        <f t="shared" si="17"/>
        <v>-103237</v>
      </c>
      <c r="H36" s="119">
        <f t="shared" si="17"/>
        <v>-68069</v>
      </c>
      <c r="I36" s="119">
        <f t="shared" si="17"/>
        <v>-35892</v>
      </c>
      <c r="J36" s="119">
        <f t="shared" ref="J36:L36" si="18">+J32+J33</f>
        <v>-26181</v>
      </c>
      <c r="K36" s="119">
        <f t="shared" si="18"/>
        <v>-642987.33053000004</v>
      </c>
      <c r="L36" s="119">
        <f t="shared" si="18"/>
        <v>-43108.958150000006</v>
      </c>
      <c r="M36" s="119">
        <f>+M32+M33</f>
        <v>-52847.723430000005</v>
      </c>
    </row>
    <row r="37" spans="1:13">
      <c r="A37" s="395" t="s">
        <v>974</v>
      </c>
      <c r="B37" s="395" t="s">
        <v>975</v>
      </c>
      <c r="C37" s="112"/>
      <c r="D37" s="397">
        <v>23</v>
      </c>
      <c r="E37" s="397">
        <v>14</v>
      </c>
      <c r="F37" s="397">
        <v>9</v>
      </c>
      <c r="G37" s="397">
        <v>45</v>
      </c>
      <c r="H37" s="397">
        <v>-42</v>
      </c>
      <c r="I37" s="397">
        <v>36</v>
      </c>
      <c r="J37" s="397">
        <v>17</v>
      </c>
      <c r="K37" s="397">
        <v>15</v>
      </c>
      <c r="L37" s="397">
        <v>28</v>
      </c>
      <c r="M37" s="397">
        <v>11</v>
      </c>
    </row>
    <row r="38" spans="1:13" ht="15" thickBot="1">
      <c r="A38" s="395" t="s">
        <v>976</v>
      </c>
      <c r="B38" s="395" t="s">
        <v>977</v>
      </c>
      <c r="C38" s="112"/>
      <c r="D38" s="397">
        <v>-194</v>
      </c>
      <c r="E38" s="397">
        <v>-159</v>
      </c>
      <c r="F38" s="397">
        <v>-2027</v>
      </c>
      <c r="G38" s="397">
        <v>-2282</v>
      </c>
      <c r="H38" s="397">
        <v>-3348</v>
      </c>
      <c r="I38" s="397">
        <v>-4735</v>
      </c>
      <c r="J38" s="397">
        <v>-4780</v>
      </c>
      <c r="K38" s="397">
        <v>-4669</v>
      </c>
      <c r="L38" s="397">
        <v>-4703</v>
      </c>
      <c r="M38" s="397">
        <v>-3934</v>
      </c>
    </row>
    <row r="39" spans="1:13" ht="15" thickBot="1">
      <c r="A39" s="118" t="s">
        <v>978</v>
      </c>
      <c r="B39" s="118" t="s">
        <v>979</v>
      </c>
      <c r="C39" s="120"/>
      <c r="D39" s="132">
        <f t="shared" ref="D39:J39" si="19">+SUM(D36:D38)</f>
        <v>626</v>
      </c>
      <c r="E39" s="132">
        <f t="shared" si="19"/>
        <v>-23303</v>
      </c>
      <c r="F39" s="132">
        <f t="shared" si="19"/>
        <v>-38454</v>
      </c>
      <c r="G39" s="132">
        <f t="shared" si="19"/>
        <v>-105474</v>
      </c>
      <c r="H39" s="132">
        <f t="shared" si="19"/>
        <v>-71459</v>
      </c>
      <c r="I39" s="132">
        <f t="shared" si="19"/>
        <v>-40591</v>
      </c>
      <c r="J39" s="132">
        <f t="shared" si="19"/>
        <v>-30944</v>
      </c>
      <c r="K39" s="132">
        <f>+SUM(K36:K38)</f>
        <v>-647641.33053000004</v>
      </c>
      <c r="L39" s="132">
        <f>+SUM(L36:L38)</f>
        <v>-47783.958150000006</v>
      </c>
      <c r="M39" s="767">
        <f>+SUM(M36:M38)</f>
        <v>-56770.723430000005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9" tint="0.79998168889431442"/>
  </sheetPr>
  <dimension ref="A7:T37"/>
  <sheetViews>
    <sheetView showGridLines="0" zoomScaleNormal="100" workbookViewId="0">
      <pane xSplit="2" topLeftCell="O1" activePane="topRight" state="frozen"/>
      <selection pane="topRight" activeCell="T37" sqref="T37"/>
    </sheetView>
  </sheetViews>
  <sheetFormatPr defaultColWidth="8.5546875" defaultRowHeight="14.4"/>
  <cols>
    <col min="1" max="2" width="44.5546875" customWidth="1"/>
    <col min="3" max="3" width="0.44140625" customWidth="1"/>
  </cols>
  <sheetData>
    <row r="7" spans="1:20">
      <c r="A7" s="38" t="s">
        <v>554</v>
      </c>
      <c r="B7" s="38" t="s">
        <v>554</v>
      </c>
      <c r="D7" s="379"/>
      <c r="E7" s="379"/>
      <c r="F7" s="379"/>
      <c r="G7" s="379"/>
      <c r="H7" s="379"/>
      <c r="I7" s="379"/>
      <c r="J7" s="379"/>
      <c r="K7" s="379"/>
      <c r="L7" s="379"/>
      <c r="M7" s="379"/>
      <c r="N7" s="379"/>
      <c r="O7" s="379"/>
      <c r="P7" s="379"/>
      <c r="Q7" s="379"/>
      <c r="R7" s="379"/>
      <c r="S7" s="379"/>
      <c r="T7" s="379"/>
    </row>
    <row r="8" spans="1:20" ht="15" thickBot="1">
      <c r="A8" s="448" t="s">
        <v>846</v>
      </c>
      <c r="B8" s="448" t="s">
        <v>847</v>
      </c>
      <c r="C8" s="112"/>
      <c r="D8" s="449" t="s">
        <v>76</v>
      </c>
      <c r="E8" s="449" t="s">
        <v>77</v>
      </c>
      <c r="F8" s="449" t="s">
        <v>78</v>
      </c>
      <c r="G8" s="449" t="s">
        <v>79</v>
      </c>
      <c r="H8" s="449" t="s">
        <v>80</v>
      </c>
      <c r="I8" s="453" t="s">
        <v>81</v>
      </c>
      <c r="J8" s="453" t="s">
        <v>82</v>
      </c>
      <c r="K8" s="453" t="s">
        <v>83</v>
      </c>
      <c r="L8" s="453" t="s">
        <v>84</v>
      </c>
      <c r="M8" s="453" t="s">
        <v>85</v>
      </c>
      <c r="N8" s="453" t="s">
        <v>86</v>
      </c>
      <c r="O8" s="453" t="s">
        <v>87</v>
      </c>
      <c r="P8" s="453" t="s">
        <v>88</v>
      </c>
      <c r="Q8" s="453" t="s">
        <v>2074</v>
      </c>
      <c r="R8" s="453" t="s">
        <v>2127</v>
      </c>
      <c r="S8" s="453" t="s">
        <v>2360</v>
      </c>
      <c r="T8" s="453" t="s">
        <v>2494</v>
      </c>
    </row>
    <row r="9" spans="1:20" ht="15" thickBot="1">
      <c r="A9" s="404" t="s">
        <v>596</v>
      </c>
      <c r="B9" s="118" t="s">
        <v>848</v>
      </c>
      <c r="C9" s="391"/>
      <c r="D9" s="405">
        <f t="shared" ref="D9:P9" si="0">SUM(D10:D12)</f>
        <v>51551</v>
      </c>
      <c r="E9" s="405">
        <f t="shared" si="0"/>
        <v>44566.494839999999</v>
      </c>
      <c r="F9" s="405">
        <f t="shared" si="0"/>
        <v>51259</v>
      </c>
      <c r="G9" s="405">
        <f t="shared" si="0"/>
        <v>42602</v>
      </c>
      <c r="H9" s="405">
        <f t="shared" si="0"/>
        <v>46014.587999999996</v>
      </c>
      <c r="I9" s="405">
        <f t="shared" si="0"/>
        <v>42267</v>
      </c>
      <c r="J9" s="405">
        <f t="shared" si="0"/>
        <v>33853</v>
      </c>
      <c r="K9" s="405">
        <f t="shared" si="0"/>
        <v>42846</v>
      </c>
      <c r="L9" s="405">
        <f t="shared" si="0"/>
        <v>61417</v>
      </c>
      <c r="M9" s="405">
        <f t="shared" si="0"/>
        <v>68142</v>
      </c>
      <c r="N9" s="405">
        <f t="shared" si="0"/>
        <v>85691</v>
      </c>
      <c r="O9" s="405">
        <f t="shared" si="0"/>
        <v>62010</v>
      </c>
      <c r="P9" s="405">
        <f t="shared" si="0"/>
        <v>41590</v>
      </c>
      <c r="Q9" s="405">
        <f t="shared" ref="Q9:S9" si="1">SUM(Q10:Q12)</f>
        <v>42288</v>
      </c>
      <c r="R9" s="405">
        <f t="shared" si="1"/>
        <v>73727</v>
      </c>
      <c r="S9" s="405">
        <f t="shared" si="1"/>
        <v>42371</v>
      </c>
      <c r="T9" s="405">
        <f>SUM(T10:T12)</f>
        <v>44889</v>
      </c>
    </row>
    <row r="10" spans="1:20">
      <c r="A10" s="112" t="s">
        <v>982</v>
      </c>
      <c r="B10" s="112" t="s">
        <v>983</v>
      </c>
      <c r="C10" s="120"/>
      <c r="D10" s="397">
        <v>20661</v>
      </c>
      <c r="E10" s="396">
        <v>13427.602750000004</v>
      </c>
      <c r="F10" s="396">
        <v>20660</v>
      </c>
      <c r="G10" s="396">
        <v>27047</v>
      </c>
      <c r="H10" s="396">
        <v>20634.053999999996</v>
      </c>
      <c r="I10" s="397">
        <v>18779</v>
      </c>
      <c r="J10" s="397">
        <v>17689</v>
      </c>
      <c r="K10" s="397">
        <v>21842</v>
      </c>
      <c r="L10" s="397">
        <v>22816</v>
      </c>
      <c r="M10" s="397">
        <v>25054</v>
      </c>
      <c r="N10" s="397">
        <v>26159</v>
      </c>
      <c r="O10" s="397">
        <v>25592</v>
      </c>
      <c r="P10" s="397">
        <v>26471</v>
      </c>
      <c r="Q10" s="397">
        <v>26433</v>
      </c>
      <c r="R10" s="397">
        <v>29489</v>
      </c>
      <c r="S10" s="397">
        <v>32115</v>
      </c>
      <c r="T10" s="397">
        <v>31449</v>
      </c>
    </row>
    <row r="11" spans="1:20">
      <c r="A11" s="112" t="s">
        <v>606</v>
      </c>
      <c r="B11" s="112" t="s">
        <v>851</v>
      </c>
      <c r="C11" s="112"/>
      <c r="D11" s="397">
        <v>30629</v>
      </c>
      <c r="E11" s="396">
        <v>31117.99584</v>
      </c>
      <c r="F11" s="396">
        <v>30338</v>
      </c>
      <c r="G11" s="396">
        <v>15219</v>
      </c>
      <c r="H11" s="396">
        <v>24571.663</v>
      </c>
      <c r="I11" s="397">
        <v>23013</v>
      </c>
      <c r="J11" s="397">
        <v>15161</v>
      </c>
      <c r="K11" s="397">
        <v>20198</v>
      </c>
      <c r="L11" s="397">
        <v>37765</v>
      </c>
      <c r="M11" s="397">
        <v>40744</v>
      </c>
      <c r="N11" s="397">
        <v>56873</v>
      </c>
      <c r="O11" s="397">
        <v>35322</v>
      </c>
      <c r="P11" s="397">
        <v>12867</v>
      </c>
      <c r="Q11" s="397">
        <v>14135</v>
      </c>
      <c r="R11" s="397">
        <v>42704</v>
      </c>
      <c r="S11" s="397">
        <v>9157</v>
      </c>
      <c r="T11" s="397">
        <v>11992</v>
      </c>
    </row>
    <row r="12" spans="1:20" ht="15" thickBot="1">
      <c r="A12" s="112" t="s">
        <v>614</v>
      </c>
      <c r="B12" s="112" t="s">
        <v>615</v>
      </c>
      <c r="C12" s="112"/>
      <c r="D12" s="397">
        <v>261</v>
      </c>
      <c r="E12" s="396">
        <v>20.896249999999998</v>
      </c>
      <c r="F12" s="396">
        <v>261</v>
      </c>
      <c r="G12" s="396">
        <v>336</v>
      </c>
      <c r="H12" s="396">
        <v>808.87100000000009</v>
      </c>
      <c r="I12" s="397">
        <v>475</v>
      </c>
      <c r="J12" s="397">
        <v>1003</v>
      </c>
      <c r="K12" s="397">
        <v>806</v>
      </c>
      <c r="L12" s="397">
        <v>836</v>
      </c>
      <c r="M12" s="397">
        <v>2344</v>
      </c>
      <c r="N12" s="397">
        <v>2659</v>
      </c>
      <c r="O12" s="397">
        <v>1096</v>
      </c>
      <c r="P12" s="397">
        <v>2252</v>
      </c>
      <c r="Q12" s="397">
        <v>1720</v>
      </c>
      <c r="R12" s="397">
        <v>1534</v>
      </c>
      <c r="S12" s="397">
        <v>1099</v>
      </c>
      <c r="T12" s="397">
        <v>1448</v>
      </c>
    </row>
    <row r="13" spans="1:20" ht="15" thickBot="1">
      <c r="A13" s="406" t="s">
        <v>858</v>
      </c>
      <c r="B13" s="406" t="s">
        <v>859</v>
      </c>
      <c r="C13" s="112"/>
      <c r="D13" s="407">
        <v>-2596</v>
      </c>
      <c r="E13" s="407">
        <v>-1242.0532599999999</v>
      </c>
      <c r="F13" s="407">
        <v>-2596</v>
      </c>
      <c r="G13" s="407">
        <v>-2533</v>
      </c>
      <c r="H13" s="407">
        <v>-1983.3980000000006</v>
      </c>
      <c r="I13" s="407">
        <v>-1777</v>
      </c>
      <c r="J13" s="407">
        <v>-3362</v>
      </c>
      <c r="K13" s="407">
        <v>-2087</v>
      </c>
      <c r="L13" s="407">
        <v>-2188</v>
      </c>
      <c r="M13" s="407">
        <v>-2542</v>
      </c>
      <c r="N13" s="407">
        <v>-4690</v>
      </c>
      <c r="O13" s="407">
        <v>-2473</v>
      </c>
      <c r="P13" s="407">
        <v>-2765</v>
      </c>
      <c r="Q13" s="407">
        <v>-2608</v>
      </c>
      <c r="R13" s="407">
        <v>-5403</v>
      </c>
      <c r="S13" s="407">
        <v>-3072</v>
      </c>
      <c r="T13" s="407">
        <v>-3053</v>
      </c>
    </row>
    <row r="14" spans="1:20" ht="15" thickBot="1">
      <c r="A14" s="406" t="s">
        <v>646</v>
      </c>
      <c r="B14" s="406" t="s">
        <v>860</v>
      </c>
      <c r="C14" s="112"/>
      <c r="D14" s="407">
        <f t="shared" ref="D14:P14" si="2">D9+D13</f>
        <v>48955</v>
      </c>
      <c r="E14" s="407">
        <f t="shared" si="2"/>
        <v>43324.441579999999</v>
      </c>
      <c r="F14" s="407">
        <f t="shared" si="2"/>
        <v>48663</v>
      </c>
      <c r="G14" s="407">
        <f t="shared" si="2"/>
        <v>40069</v>
      </c>
      <c r="H14" s="407">
        <f t="shared" si="2"/>
        <v>44031.189999999995</v>
      </c>
      <c r="I14" s="407">
        <f t="shared" si="2"/>
        <v>40490</v>
      </c>
      <c r="J14" s="407">
        <f t="shared" si="2"/>
        <v>30491</v>
      </c>
      <c r="K14" s="407">
        <f t="shared" si="2"/>
        <v>40759</v>
      </c>
      <c r="L14" s="407">
        <f t="shared" si="2"/>
        <v>59229</v>
      </c>
      <c r="M14" s="407">
        <f t="shared" si="2"/>
        <v>65600</v>
      </c>
      <c r="N14" s="407">
        <f t="shared" si="2"/>
        <v>81001</v>
      </c>
      <c r="O14" s="407">
        <f t="shared" si="2"/>
        <v>59537</v>
      </c>
      <c r="P14" s="407">
        <f t="shared" si="2"/>
        <v>38825</v>
      </c>
      <c r="Q14" s="407">
        <f t="shared" ref="Q14:S14" si="3">Q9+Q13</f>
        <v>39680</v>
      </c>
      <c r="R14" s="407">
        <f t="shared" si="3"/>
        <v>68324</v>
      </c>
      <c r="S14" s="407">
        <f t="shared" si="3"/>
        <v>39299</v>
      </c>
      <c r="T14" s="407">
        <f>T9+T13</f>
        <v>41836</v>
      </c>
    </row>
    <row r="15" spans="1:20" ht="15" thickBot="1">
      <c r="A15" s="112" t="s">
        <v>867</v>
      </c>
      <c r="B15" s="112" t="s">
        <v>868</v>
      </c>
      <c r="C15" s="391"/>
      <c r="D15" s="397">
        <v>-30629</v>
      </c>
      <c r="E15" s="396">
        <v>-31117.99584</v>
      </c>
      <c r="F15" s="396">
        <v>-30338</v>
      </c>
      <c r="G15" s="396">
        <f>-G11</f>
        <v>-15219</v>
      </c>
      <c r="H15" s="396">
        <v>-24571.999999999996</v>
      </c>
      <c r="I15" s="397">
        <v>-23013</v>
      </c>
      <c r="J15" s="397">
        <v>-15161</v>
      </c>
      <c r="K15" s="397">
        <v>-20198</v>
      </c>
      <c r="L15" s="397">
        <v>-37765</v>
      </c>
      <c r="M15" s="397">
        <v>-40744</v>
      </c>
      <c r="N15" s="397">
        <v>-56873</v>
      </c>
      <c r="O15" s="397">
        <v>-35322</v>
      </c>
      <c r="P15" s="397">
        <v>-12867</v>
      </c>
      <c r="Q15" s="397">
        <f>-Q11</f>
        <v>-14135</v>
      </c>
      <c r="R15" s="397">
        <f>-R11</f>
        <v>-42704</v>
      </c>
      <c r="S15" s="397">
        <f>-S11</f>
        <v>-9157</v>
      </c>
      <c r="T15" s="397">
        <f>-T11</f>
        <v>-11992</v>
      </c>
    </row>
    <row r="16" spans="1:20" ht="15" thickBot="1">
      <c r="A16" s="406" t="s">
        <v>871</v>
      </c>
      <c r="B16" s="406" t="s">
        <v>872</v>
      </c>
      <c r="C16" s="112"/>
      <c r="D16" s="407">
        <f t="shared" ref="D16:J16" si="4">SUM(D14:D15)</f>
        <v>18326</v>
      </c>
      <c r="E16" s="407">
        <f t="shared" si="4"/>
        <v>12206.445739999999</v>
      </c>
      <c r="F16" s="407">
        <f t="shared" si="4"/>
        <v>18325</v>
      </c>
      <c r="G16" s="407">
        <f t="shared" si="4"/>
        <v>24850</v>
      </c>
      <c r="H16" s="407">
        <f t="shared" si="4"/>
        <v>19459.189999999999</v>
      </c>
      <c r="I16" s="407">
        <f t="shared" si="4"/>
        <v>17477</v>
      </c>
      <c r="J16" s="407">
        <f t="shared" si="4"/>
        <v>15330</v>
      </c>
      <c r="K16" s="407">
        <f t="shared" ref="K16:P16" si="5">SUM(K14:K15)</f>
        <v>20561</v>
      </c>
      <c r="L16" s="407">
        <f t="shared" si="5"/>
        <v>21464</v>
      </c>
      <c r="M16" s="407">
        <f t="shared" si="5"/>
        <v>24856</v>
      </c>
      <c r="N16" s="407">
        <f t="shared" si="5"/>
        <v>24128</v>
      </c>
      <c r="O16" s="407">
        <f t="shared" si="5"/>
        <v>24215</v>
      </c>
      <c r="P16" s="407">
        <f t="shared" si="5"/>
        <v>25958</v>
      </c>
      <c r="Q16" s="407">
        <f t="shared" ref="Q16:S16" si="6">SUM(Q14:Q15)</f>
        <v>25545</v>
      </c>
      <c r="R16" s="407">
        <f t="shared" si="6"/>
        <v>25620</v>
      </c>
      <c r="S16" s="407">
        <f t="shared" si="6"/>
        <v>30142</v>
      </c>
      <c r="T16" s="407">
        <f>SUM(T14:T15)</f>
        <v>29844</v>
      </c>
    </row>
    <row r="17" spans="1:20" ht="15" thickBot="1">
      <c r="A17" s="406" t="s">
        <v>873</v>
      </c>
      <c r="B17" s="406" t="s">
        <v>874</v>
      </c>
      <c r="C17" s="112"/>
      <c r="D17" s="407">
        <f t="shared" ref="D17:J17" si="7">SUM(D18:D24)</f>
        <v>-10301</v>
      </c>
      <c r="E17" s="407">
        <f t="shared" si="7"/>
        <v>-15900.402149999996</v>
      </c>
      <c r="F17" s="407">
        <f t="shared" si="7"/>
        <v>-10301</v>
      </c>
      <c r="G17" s="407">
        <f t="shared" si="7"/>
        <v>-23396</v>
      </c>
      <c r="H17" s="407">
        <f t="shared" si="7"/>
        <v>-28448.684000000001</v>
      </c>
      <c r="I17" s="407">
        <f t="shared" si="7"/>
        <v>-34110</v>
      </c>
      <c r="J17" s="407">
        <f t="shared" si="7"/>
        <v>-29139</v>
      </c>
      <c r="K17" s="407">
        <f t="shared" ref="K17:P17" si="8">SUM(K18:K24)</f>
        <v>-25960</v>
      </c>
      <c r="L17" s="407">
        <f t="shared" si="8"/>
        <v>-25129</v>
      </c>
      <c r="M17" s="407">
        <f t="shared" si="8"/>
        <v>-23574</v>
      </c>
      <c r="N17" s="407">
        <f t="shared" si="8"/>
        <v>-22736</v>
      </c>
      <c r="O17" s="407">
        <f t="shared" si="8"/>
        <v>-20523</v>
      </c>
      <c r="P17" s="407">
        <f t="shared" si="8"/>
        <v>-18617</v>
      </c>
      <c r="Q17" s="407">
        <f t="shared" ref="Q17:S17" si="9">SUM(Q18:Q24)</f>
        <v>-23389</v>
      </c>
      <c r="R17" s="407">
        <f t="shared" si="9"/>
        <v>-317867</v>
      </c>
      <c r="S17" s="407">
        <f t="shared" si="9"/>
        <v>-24142</v>
      </c>
      <c r="T17" s="407">
        <f>SUM(T18:T24)</f>
        <v>-23263</v>
      </c>
    </row>
    <row r="18" spans="1:20">
      <c r="A18" s="112" t="s">
        <v>875</v>
      </c>
      <c r="B18" s="112" t="s">
        <v>876</v>
      </c>
      <c r="C18" s="120"/>
      <c r="D18" s="120">
        <v>-4561</v>
      </c>
      <c r="E18" s="120">
        <v>-7536.9060199999985</v>
      </c>
      <c r="F18" s="120">
        <v>-4561</v>
      </c>
      <c r="G18" s="120">
        <v>-7833</v>
      </c>
      <c r="H18" s="120">
        <v>-7066.2919999999986</v>
      </c>
      <c r="I18" s="120">
        <v>-6925</v>
      </c>
      <c r="J18" s="120">
        <v>-7471</v>
      </c>
      <c r="K18" s="120">
        <v>-8453</v>
      </c>
      <c r="L18" s="120">
        <v>-5224</v>
      </c>
      <c r="M18" s="120">
        <v>-7743</v>
      </c>
      <c r="N18" s="120">
        <v>-7359</v>
      </c>
      <c r="O18" s="120">
        <v>-4730</v>
      </c>
      <c r="P18" s="120">
        <v>-5146</v>
      </c>
      <c r="Q18" s="120">
        <v>-5229</v>
      </c>
      <c r="R18" s="120">
        <v>-5072</v>
      </c>
      <c r="S18" s="120">
        <v>-5665</v>
      </c>
      <c r="T18" s="120">
        <v>-5594</v>
      </c>
    </row>
    <row r="19" spans="1:20">
      <c r="A19" s="112" t="s">
        <v>877</v>
      </c>
      <c r="B19" s="112" t="s">
        <v>877</v>
      </c>
      <c r="C19" s="120"/>
      <c r="D19" s="120">
        <v>-906</v>
      </c>
      <c r="E19" s="120">
        <v>-5999.1231899999993</v>
      </c>
      <c r="F19" s="120">
        <v>-906</v>
      </c>
      <c r="G19" s="120">
        <v>-3098</v>
      </c>
      <c r="H19" s="120">
        <v>-3822.9390000000008</v>
      </c>
      <c r="I19" s="120">
        <v>-3123</v>
      </c>
      <c r="J19" s="120">
        <v>-2972</v>
      </c>
      <c r="K19" s="120">
        <v>-2303</v>
      </c>
      <c r="L19" s="120">
        <v>-2477</v>
      </c>
      <c r="M19" s="120">
        <v>-2109</v>
      </c>
      <c r="N19" s="120">
        <v>-2237</v>
      </c>
      <c r="O19" s="120">
        <v>-2467</v>
      </c>
      <c r="P19" s="120">
        <v>-2178</v>
      </c>
      <c r="Q19" s="120">
        <v>-2199</v>
      </c>
      <c r="R19" s="120">
        <v>-2663</v>
      </c>
      <c r="S19" s="120">
        <v>-2827</v>
      </c>
      <c r="T19" s="120">
        <v>-2623</v>
      </c>
    </row>
    <row r="20" spans="1:20">
      <c r="A20" s="112" t="s">
        <v>878</v>
      </c>
      <c r="B20" s="112" t="s">
        <v>879</v>
      </c>
      <c r="C20" s="122"/>
      <c r="D20" s="120">
        <v>-542</v>
      </c>
      <c r="E20" s="120">
        <v>-1947.01694</v>
      </c>
      <c r="F20" s="120">
        <v>-542</v>
      </c>
      <c r="G20" s="120">
        <v>-2274</v>
      </c>
      <c r="H20" s="120">
        <v>-3313.9859999999999</v>
      </c>
      <c r="I20" s="120">
        <v>-4620</v>
      </c>
      <c r="J20" s="120">
        <v>-11836</v>
      </c>
      <c r="K20" s="120">
        <v>-3383</v>
      </c>
      <c r="L20" s="120">
        <v>-3761</v>
      </c>
      <c r="M20" s="120">
        <v>-1883</v>
      </c>
      <c r="N20" s="120">
        <v>-5198</v>
      </c>
      <c r="O20" s="120">
        <v>-4014</v>
      </c>
      <c r="P20" s="120">
        <v>-4059</v>
      </c>
      <c r="Q20" s="120">
        <v>-4711</v>
      </c>
      <c r="R20" s="120">
        <v>-6744</v>
      </c>
      <c r="S20" s="120">
        <v>-5010</v>
      </c>
      <c r="T20" s="120">
        <v>-5723</v>
      </c>
    </row>
    <row r="21" spans="1:20">
      <c r="A21" s="112" t="s">
        <v>880</v>
      </c>
      <c r="B21" s="112" t="s">
        <v>881</v>
      </c>
      <c r="C21" s="120"/>
      <c r="D21" s="120">
        <v>-20</v>
      </c>
      <c r="E21" s="120">
        <v>-12</v>
      </c>
      <c r="F21" s="120">
        <v>-20</v>
      </c>
      <c r="G21" s="120">
        <v>0</v>
      </c>
      <c r="H21" s="120">
        <v>0</v>
      </c>
      <c r="I21" s="120">
        <v>-38</v>
      </c>
      <c r="J21" s="120">
        <v>-393.90699999999924</v>
      </c>
      <c r="K21" s="120">
        <v>-8060</v>
      </c>
      <c r="L21" s="120">
        <v>-9246</v>
      </c>
      <c r="M21" s="120">
        <v>-8916</v>
      </c>
      <c r="N21" s="120">
        <v>-5310</v>
      </c>
      <c r="O21" s="120">
        <v>-6026</v>
      </c>
      <c r="P21" s="120">
        <v>-5016</v>
      </c>
      <c r="Q21" s="120">
        <v>-4803</v>
      </c>
      <c r="R21" s="120">
        <v>12237</v>
      </c>
      <c r="S21" s="120">
        <v>-6265</v>
      </c>
      <c r="T21" s="120">
        <v>-5680</v>
      </c>
    </row>
    <row r="22" spans="1:20">
      <c r="A22" s="112" t="s">
        <v>95</v>
      </c>
      <c r="B22" s="112" t="s">
        <v>96</v>
      </c>
      <c r="C22" s="120"/>
      <c r="D22" s="120">
        <v>-4272</v>
      </c>
      <c r="E22" s="120">
        <v>-405.35599999999971</v>
      </c>
      <c r="F22" s="120">
        <v>-3337</v>
      </c>
      <c r="G22" s="120">
        <v>-3756</v>
      </c>
      <c r="H22" s="120">
        <v>-4399.5599999999995</v>
      </c>
      <c r="I22" s="120">
        <v>-3984</v>
      </c>
      <c r="J22" s="120">
        <v>-3021</v>
      </c>
      <c r="K22" s="120">
        <v>-3495</v>
      </c>
      <c r="L22" s="120">
        <v>-4485</v>
      </c>
      <c r="M22" s="120">
        <v>-2923</v>
      </c>
      <c r="N22" s="120">
        <v>-2685</v>
      </c>
      <c r="O22" s="120">
        <v>-3860</v>
      </c>
      <c r="P22" s="120">
        <v>-4089</v>
      </c>
      <c r="Q22" s="120">
        <v>-4976</v>
      </c>
      <c r="R22" s="120">
        <v>-3488</v>
      </c>
      <c r="S22" s="120">
        <v>-4375</v>
      </c>
      <c r="T22" s="120">
        <v>-3443</v>
      </c>
    </row>
    <row r="23" spans="1:20">
      <c r="A23" s="112" t="s">
        <v>984</v>
      </c>
      <c r="B23" s="112" t="s">
        <v>984</v>
      </c>
      <c r="C23" s="120"/>
      <c r="D23" s="120">
        <v>0</v>
      </c>
      <c r="E23" s="120"/>
      <c r="F23" s="120"/>
      <c r="G23" s="120">
        <v>-6283</v>
      </c>
      <c r="H23" s="120">
        <v>-9845.9069999999992</v>
      </c>
      <c r="I23" s="120">
        <v>-15420</v>
      </c>
      <c r="J23" s="120">
        <v>-3445.0930000000008</v>
      </c>
      <c r="K23" s="120">
        <v>-266</v>
      </c>
      <c r="L23" s="120">
        <v>64</v>
      </c>
      <c r="M23" s="120"/>
      <c r="N23" s="120"/>
      <c r="O23" s="120"/>
      <c r="P23" s="120"/>
      <c r="Q23" s="120"/>
      <c r="R23" s="120"/>
      <c r="S23" s="120"/>
      <c r="T23" s="120"/>
    </row>
    <row r="24" spans="1:20">
      <c r="A24" s="112" t="s">
        <v>891</v>
      </c>
      <c r="B24" s="112" t="s">
        <v>985</v>
      </c>
      <c r="C24" s="120"/>
      <c r="D24" s="120">
        <v>0</v>
      </c>
      <c r="E24" s="120">
        <v>0</v>
      </c>
      <c r="F24" s="120">
        <v>-935</v>
      </c>
      <c r="G24" s="120">
        <v>-152</v>
      </c>
      <c r="H24" s="120">
        <v>0</v>
      </c>
      <c r="I24" s="120"/>
      <c r="J24" s="120">
        <v>0</v>
      </c>
      <c r="K24" s="120">
        <v>0</v>
      </c>
      <c r="L24" s="120">
        <v>0</v>
      </c>
      <c r="M24" s="120"/>
      <c r="N24" s="120">
        <v>53</v>
      </c>
      <c r="O24" s="120">
        <v>574</v>
      </c>
      <c r="P24" s="120">
        <v>1871</v>
      </c>
      <c r="Q24" s="120">
        <v>-1471</v>
      </c>
      <c r="R24" s="120">
        <v>-312137</v>
      </c>
      <c r="S24" s="120">
        <v>0</v>
      </c>
      <c r="T24" s="120">
        <v>-200</v>
      </c>
    </row>
    <row r="25" spans="1:20">
      <c r="A25" s="458" t="s">
        <v>722</v>
      </c>
      <c r="B25" s="458" t="s">
        <v>722</v>
      </c>
      <c r="C25" s="120"/>
      <c r="D25" s="459">
        <f t="shared" ref="D25:P25" si="10">D16+D17</f>
        <v>8025</v>
      </c>
      <c r="E25" s="459">
        <f t="shared" si="10"/>
        <v>-3693.956409999997</v>
      </c>
      <c r="F25" s="459">
        <f t="shared" si="10"/>
        <v>8024</v>
      </c>
      <c r="G25" s="459">
        <f t="shared" si="10"/>
        <v>1454</v>
      </c>
      <c r="H25" s="459">
        <f t="shared" si="10"/>
        <v>-8989.4940000000024</v>
      </c>
      <c r="I25" s="459">
        <f t="shared" si="10"/>
        <v>-16633</v>
      </c>
      <c r="J25" s="459">
        <f t="shared" si="10"/>
        <v>-13809</v>
      </c>
      <c r="K25" s="459">
        <f t="shared" si="10"/>
        <v>-5399</v>
      </c>
      <c r="L25" s="459">
        <f t="shared" si="10"/>
        <v>-3665</v>
      </c>
      <c r="M25" s="459">
        <f t="shared" si="10"/>
        <v>1282</v>
      </c>
      <c r="N25" s="459">
        <f t="shared" si="10"/>
        <v>1392</v>
      </c>
      <c r="O25" s="459">
        <f t="shared" si="10"/>
        <v>3692</v>
      </c>
      <c r="P25" s="459">
        <f t="shared" si="10"/>
        <v>7341</v>
      </c>
      <c r="Q25" s="459">
        <f t="shared" ref="Q25:S25" si="11">Q16+Q17</f>
        <v>2156</v>
      </c>
      <c r="R25" s="459">
        <f t="shared" si="11"/>
        <v>-292247</v>
      </c>
      <c r="S25" s="459">
        <f t="shared" si="11"/>
        <v>6000</v>
      </c>
      <c r="T25" s="459">
        <f>T16+T17</f>
        <v>6581</v>
      </c>
    </row>
    <row r="26" spans="1:20">
      <c r="A26" s="115" t="s">
        <v>893</v>
      </c>
      <c r="B26" s="115" t="s">
        <v>894</v>
      </c>
      <c r="C26" s="112"/>
      <c r="D26" s="120">
        <v>-73</v>
      </c>
      <c r="E26" s="120">
        <v>0</v>
      </c>
      <c r="F26" s="120">
        <v>-73</v>
      </c>
      <c r="G26" s="120">
        <v>-70</v>
      </c>
      <c r="H26" s="120">
        <v>-166.86699999999999</v>
      </c>
      <c r="I26" s="120">
        <v>-167</v>
      </c>
      <c r="J26" s="120">
        <v>-1657</v>
      </c>
      <c r="K26" s="120">
        <v>-500</v>
      </c>
      <c r="L26" s="120">
        <v>-625</v>
      </c>
      <c r="M26" s="120">
        <v>-697</v>
      </c>
      <c r="N26" s="120">
        <v>-651</v>
      </c>
      <c r="O26" s="120">
        <v>-789</v>
      </c>
      <c r="P26" s="120">
        <v>-883</v>
      </c>
      <c r="Q26" s="120">
        <v>-1731</v>
      </c>
      <c r="R26" s="120">
        <v>-1868</v>
      </c>
      <c r="S26" s="120">
        <v>-2085</v>
      </c>
      <c r="T26" s="120">
        <v>-2881</v>
      </c>
    </row>
    <row r="27" spans="1:20" ht="15" thickBot="1">
      <c r="A27" s="408" t="s">
        <v>986</v>
      </c>
      <c r="B27" s="408" t="s">
        <v>987</v>
      </c>
      <c r="C27" s="112"/>
      <c r="D27" s="120">
        <v>-6736</v>
      </c>
      <c r="E27" s="120">
        <v>-5763.4125000000004</v>
      </c>
      <c r="F27" s="120">
        <v>-6737</v>
      </c>
      <c r="G27" s="120">
        <v>-6736</v>
      </c>
      <c r="H27" s="120">
        <v>-6736.4560000000001</v>
      </c>
      <c r="I27" s="120">
        <v>-6736</v>
      </c>
      <c r="J27" s="120">
        <v>-6736</v>
      </c>
      <c r="K27" s="120">
        <v>-6736</v>
      </c>
      <c r="L27" s="120">
        <v>-6736</v>
      </c>
      <c r="M27" s="120">
        <v>-6736</v>
      </c>
      <c r="N27" s="120">
        <v>-6736</v>
      </c>
      <c r="O27" s="120">
        <v>-6736</v>
      </c>
      <c r="P27" s="120">
        <v>-6736</v>
      </c>
      <c r="Q27" s="120">
        <v>-6736</v>
      </c>
      <c r="R27" s="120">
        <v>-6736</v>
      </c>
      <c r="S27" s="120">
        <v>-6736</v>
      </c>
      <c r="T27" s="120">
        <v>-6736</v>
      </c>
    </row>
    <row r="28" spans="1:20" ht="15" thickBot="1">
      <c r="A28" s="406" t="s">
        <v>895</v>
      </c>
      <c r="B28" s="406" t="s">
        <v>896</v>
      </c>
      <c r="C28" s="112"/>
      <c r="D28" s="407">
        <f t="shared" ref="D28:J28" si="12">SUM(D25:D27)</f>
        <v>1216</v>
      </c>
      <c r="E28" s="407">
        <f t="shared" si="12"/>
        <v>-9457.3689099999974</v>
      </c>
      <c r="F28" s="407">
        <f t="shared" si="12"/>
        <v>1214</v>
      </c>
      <c r="G28" s="407">
        <f t="shared" si="12"/>
        <v>-5352</v>
      </c>
      <c r="H28" s="407">
        <f t="shared" si="12"/>
        <v>-15892.817000000003</v>
      </c>
      <c r="I28" s="407">
        <f t="shared" si="12"/>
        <v>-23536</v>
      </c>
      <c r="J28" s="407">
        <f t="shared" si="12"/>
        <v>-22202</v>
      </c>
      <c r="K28" s="407">
        <f t="shared" ref="K28:P28" si="13">SUM(K25:K27)</f>
        <v>-12635</v>
      </c>
      <c r="L28" s="407">
        <f t="shared" si="13"/>
        <v>-11026</v>
      </c>
      <c r="M28" s="407">
        <f t="shared" si="13"/>
        <v>-6151</v>
      </c>
      <c r="N28" s="407">
        <f t="shared" si="13"/>
        <v>-5995</v>
      </c>
      <c r="O28" s="407">
        <f t="shared" si="13"/>
        <v>-3833</v>
      </c>
      <c r="P28" s="407">
        <f t="shared" si="13"/>
        <v>-278</v>
      </c>
      <c r="Q28" s="407">
        <f t="shared" ref="Q28:S28" si="14">SUM(Q25:Q27)</f>
        <v>-6311</v>
      </c>
      <c r="R28" s="407">
        <f t="shared" si="14"/>
        <v>-300851</v>
      </c>
      <c r="S28" s="407">
        <f t="shared" si="14"/>
        <v>-2821</v>
      </c>
      <c r="T28" s="407">
        <f>SUM(T25:T27)</f>
        <v>-3036</v>
      </c>
    </row>
    <row r="29" spans="1:20" ht="15" thickBot="1">
      <c r="A29" s="406" t="s">
        <v>725</v>
      </c>
      <c r="B29" s="406" t="s">
        <v>898</v>
      </c>
      <c r="C29" s="112"/>
      <c r="D29" s="407">
        <f t="shared" ref="D29:J29" si="15">SUM(D30:D31)</f>
        <v>-38836</v>
      </c>
      <c r="E29" s="407">
        <f t="shared" si="15"/>
        <v>-48590.698989999997</v>
      </c>
      <c r="F29" s="407">
        <f t="shared" si="15"/>
        <v>-38835</v>
      </c>
      <c r="G29" s="407">
        <f t="shared" si="15"/>
        <v>-42104</v>
      </c>
      <c r="H29" s="407">
        <f t="shared" si="15"/>
        <v>-41154.262999999999</v>
      </c>
      <c r="I29" s="407">
        <f t="shared" si="15"/>
        <v>-43183</v>
      </c>
      <c r="J29" s="407">
        <f t="shared" si="15"/>
        <v>-40756</v>
      </c>
      <c r="K29" s="407">
        <f t="shared" ref="K29:P29" si="16">SUM(K30:K31)</f>
        <v>-44295</v>
      </c>
      <c r="L29" s="407">
        <f t="shared" si="16"/>
        <v>-38057</v>
      </c>
      <c r="M29" s="407">
        <f t="shared" si="16"/>
        <v>-37812</v>
      </c>
      <c r="N29" s="407">
        <f t="shared" si="16"/>
        <v>-45952</v>
      </c>
      <c r="O29" s="407">
        <f t="shared" si="16"/>
        <v>-55024</v>
      </c>
      <c r="P29" s="407">
        <f t="shared" si="16"/>
        <v>-46814</v>
      </c>
      <c r="Q29" s="407">
        <f t="shared" ref="Q29:S29" si="17">SUM(Q30:Q31)</f>
        <v>-38972</v>
      </c>
      <c r="R29" s="407">
        <f t="shared" si="17"/>
        <v>-33978</v>
      </c>
      <c r="S29" s="407">
        <f t="shared" si="17"/>
        <v>-36886</v>
      </c>
      <c r="T29" s="407">
        <f>SUM(T30:T31)</f>
        <v>-51003</v>
      </c>
    </row>
    <row r="30" spans="1:20">
      <c r="A30" s="115" t="s">
        <v>727</v>
      </c>
      <c r="B30" s="115" t="s">
        <v>898</v>
      </c>
      <c r="C30" s="120"/>
      <c r="D30" s="120">
        <v>1660</v>
      </c>
      <c r="E30" s="120">
        <v>3780.6098199999997</v>
      </c>
      <c r="F30" s="120">
        <v>1660</v>
      </c>
      <c r="G30" s="120">
        <v>982</v>
      </c>
      <c r="H30" s="120">
        <v>670.79</v>
      </c>
      <c r="I30" s="120">
        <v>2238</v>
      </c>
      <c r="J30" s="120">
        <v>7936</v>
      </c>
      <c r="K30" s="120">
        <v>2963</v>
      </c>
      <c r="L30" s="120">
        <v>3378</v>
      </c>
      <c r="M30" s="120">
        <v>1325</v>
      </c>
      <c r="N30" s="120">
        <v>1846</v>
      </c>
      <c r="O30" s="120">
        <v>1263</v>
      </c>
      <c r="P30" s="120">
        <v>1443</v>
      </c>
      <c r="Q30" s="120">
        <v>1207</v>
      </c>
      <c r="R30" s="120">
        <v>2432</v>
      </c>
      <c r="S30" s="120">
        <v>1048</v>
      </c>
      <c r="T30" s="120">
        <v>1262</v>
      </c>
    </row>
    <row r="31" spans="1:20" s="390" customFormat="1" ht="15" thickBot="1">
      <c r="A31" s="115" t="s">
        <v>744</v>
      </c>
      <c r="B31" s="115" t="s">
        <v>745</v>
      </c>
      <c r="C31" s="120"/>
      <c r="D31" s="120">
        <v>-40496</v>
      </c>
      <c r="E31" s="120">
        <v>-52371.308809999995</v>
      </c>
      <c r="F31" s="120">
        <v>-40495</v>
      </c>
      <c r="G31" s="120">
        <v>-43086</v>
      </c>
      <c r="H31" s="120">
        <v>-41825.053</v>
      </c>
      <c r="I31" s="120">
        <v>-45421</v>
      </c>
      <c r="J31" s="120">
        <v>-48692</v>
      </c>
      <c r="K31" s="120">
        <v>-47258</v>
      </c>
      <c r="L31" s="120">
        <v>-41435</v>
      </c>
      <c r="M31" s="120">
        <v>-39137</v>
      </c>
      <c r="N31" s="120">
        <v>-47798</v>
      </c>
      <c r="O31" s="120">
        <v>-56287</v>
      </c>
      <c r="P31" s="120">
        <v>-48257</v>
      </c>
      <c r="Q31" s="120">
        <v>-40179</v>
      </c>
      <c r="R31" s="120">
        <v>-36410</v>
      </c>
      <c r="S31" s="120">
        <v>-37934</v>
      </c>
      <c r="T31" s="120">
        <v>-52265</v>
      </c>
    </row>
    <row r="32" spans="1:20" ht="15" thickBot="1">
      <c r="A32" s="406" t="s">
        <v>905</v>
      </c>
      <c r="B32" s="406" t="s">
        <v>988</v>
      </c>
      <c r="C32" s="112"/>
      <c r="D32" s="407">
        <f t="shared" ref="D32:P32" si="18">SUM(D28:D29)</f>
        <v>-37620</v>
      </c>
      <c r="E32" s="407">
        <f t="shared" si="18"/>
        <v>-58048.067899999995</v>
      </c>
      <c r="F32" s="407">
        <f t="shared" si="18"/>
        <v>-37621</v>
      </c>
      <c r="G32" s="407">
        <f t="shared" si="18"/>
        <v>-47456</v>
      </c>
      <c r="H32" s="407">
        <f t="shared" si="18"/>
        <v>-57047.08</v>
      </c>
      <c r="I32" s="407">
        <f t="shared" si="18"/>
        <v>-66719</v>
      </c>
      <c r="J32" s="407">
        <f t="shared" si="18"/>
        <v>-62958</v>
      </c>
      <c r="K32" s="407">
        <f t="shared" si="18"/>
        <v>-56930</v>
      </c>
      <c r="L32" s="407">
        <f t="shared" si="18"/>
        <v>-49083</v>
      </c>
      <c r="M32" s="407">
        <f t="shared" si="18"/>
        <v>-43963</v>
      </c>
      <c r="N32" s="407">
        <f t="shared" si="18"/>
        <v>-51947</v>
      </c>
      <c r="O32" s="407">
        <f t="shared" si="18"/>
        <v>-58857</v>
      </c>
      <c r="P32" s="407">
        <f t="shared" si="18"/>
        <v>-47092</v>
      </c>
      <c r="Q32" s="407">
        <f t="shared" ref="Q32:S32" si="19">SUM(Q28:Q29)</f>
        <v>-45283</v>
      </c>
      <c r="R32" s="407">
        <f t="shared" si="19"/>
        <v>-334829</v>
      </c>
      <c r="S32" s="407">
        <f t="shared" si="19"/>
        <v>-39707</v>
      </c>
      <c r="T32" s="407">
        <f>SUM(T28:T29)</f>
        <v>-54039</v>
      </c>
    </row>
    <row r="33" spans="1:20" s="390" customFormat="1">
      <c r="A33" s="115" t="s">
        <v>768</v>
      </c>
      <c r="B33" s="115" t="s">
        <v>769</v>
      </c>
      <c r="C33" s="120"/>
      <c r="D33" s="120">
        <v>0</v>
      </c>
      <c r="E33" s="120">
        <v>0</v>
      </c>
      <c r="F33" s="120">
        <v>0</v>
      </c>
      <c r="G33" s="120">
        <v>0</v>
      </c>
      <c r="H33" s="120">
        <v>0</v>
      </c>
      <c r="I33" s="120">
        <v>0</v>
      </c>
      <c r="J33" s="120">
        <v>0</v>
      </c>
      <c r="K33" s="120">
        <v>0</v>
      </c>
      <c r="L33" s="120">
        <v>0</v>
      </c>
      <c r="M33" s="120">
        <v>0</v>
      </c>
      <c r="N33" s="120">
        <v>0</v>
      </c>
      <c r="O33" s="120">
        <v>0</v>
      </c>
      <c r="P33" s="120">
        <v>0</v>
      </c>
      <c r="Q33" s="120">
        <v>0</v>
      </c>
      <c r="R33" s="120">
        <v>0</v>
      </c>
      <c r="S33" s="120">
        <v>0</v>
      </c>
      <c r="T33" s="120">
        <v>0</v>
      </c>
    </row>
    <row r="34" spans="1:20">
      <c r="A34" s="115" t="s">
        <v>770</v>
      </c>
      <c r="B34" s="115" t="s">
        <v>771</v>
      </c>
      <c r="C34" s="112"/>
      <c r="D34" s="120">
        <v>0</v>
      </c>
      <c r="E34" s="120">
        <v>0</v>
      </c>
      <c r="F34" s="120">
        <v>0</v>
      </c>
      <c r="G34" s="120">
        <v>0</v>
      </c>
      <c r="H34" s="120">
        <v>0</v>
      </c>
      <c r="I34" s="120">
        <v>0</v>
      </c>
      <c r="J34" s="120">
        <v>0</v>
      </c>
      <c r="K34" s="120">
        <v>0</v>
      </c>
      <c r="L34" s="120">
        <v>0</v>
      </c>
      <c r="M34" s="120">
        <v>0</v>
      </c>
      <c r="N34" s="120">
        <v>0</v>
      </c>
      <c r="O34" s="120">
        <v>0</v>
      </c>
      <c r="P34" s="120">
        <v>0</v>
      </c>
      <c r="Q34" s="120">
        <v>0</v>
      </c>
      <c r="R34" s="120">
        <v>0</v>
      </c>
      <c r="S34" s="120">
        <v>0</v>
      </c>
      <c r="T34" s="120">
        <v>0</v>
      </c>
    </row>
    <row r="35" spans="1:20">
      <c r="A35" s="115" t="s">
        <v>900</v>
      </c>
      <c r="B35" s="115" t="s">
        <v>901</v>
      </c>
      <c r="C35" s="120"/>
      <c r="D35" s="120">
        <v>0</v>
      </c>
      <c r="E35" s="120">
        <v>0</v>
      </c>
      <c r="F35" s="120">
        <v>0</v>
      </c>
      <c r="G35" s="120">
        <v>0</v>
      </c>
      <c r="H35" s="120">
        <v>0</v>
      </c>
      <c r="I35" s="120">
        <v>0</v>
      </c>
      <c r="J35" s="120">
        <v>0</v>
      </c>
      <c r="K35" s="120">
        <v>0</v>
      </c>
      <c r="L35" s="120">
        <v>0</v>
      </c>
      <c r="M35" s="120">
        <v>0</v>
      </c>
      <c r="N35" s="120">
        <v>0</v>
      </c>
      <c r="O35" s="120">
        <v>0</v>
      </c>
      <c r="P35" s="120">
        <v>0</v>
      </c>
      <c r="Q35" s="120">
        <v>0</v>
      </c>
      <c r="R35" s="120">
        <v>0</v>
      </c>
      <c r="S35" s="120">
        <v>0</v>
      </c>
      <c r="T35" s="120">
        <v>0</v>
      </c>
    </row>
    <row r="36" spans="1:20" ht="15" thickBot="1">
      <c r="A36" s="115" t="s">
        <v>772</v>
      </c>
      <c r="B36" s="115" t="s">
        <v>902</v>
      </c>
      <c r="C36" s="120"/>
      <c r="D36" s="120">
        <v>0</v>
      </c>
      <c r="E36" s="120">
        <v>0</v>
      </c>
      <c r="F36" s="120">
        <v>0</v>
      </c>
      <c r="G36" s="120">
        <v>0</v>
      </c>
      <c r="H36" s="120">
        <v>0</v>
      </c>
      <c r="I36" s="120">
        <v>0</v>
      </c>
      <c r="J36" s="120">
        <v>0</v>
      </c>
      <c r="K36" s="120">
        <v>0</v>
      </c>
      <c r="L36" s="120">
        <v>0</v>
      </c>
      <c r="M36" s="120">
        <v>0</v>
      </c>
      <c r="N36" s="120">
        <v>0</v>
      </c>
      <c r="O36" s="120">
        <v>0</v>
      </c>
      <c r="P36" s="120">
        <v>0</v>
      </c>
      <c r="Q36" s="120">
        <v>0</v>
      </c>
      <c r="R36" s="120">
        <v>0</v>
      </c>
      <c r="S36" s="120">
        <v>0</v>
      </c>
      <c r="T36" s="120">
        <v>0</v>
      </c>
    </row>
    <row r="37" spans="1:20" ht="15" thickBot="1">
      <c r="A37" s="406" t="s">
        <v>903</v>
      </c>
      <c r="B37" s="406" t="s">
        <v>777</v>
      </c>
      <c r="C37" s="112"/>
      <c r="D37" s="407">
        <f t="shared" ref="D37:P37" si="20">SUM(D32:D36)</f>
        <v>-37620</v>
      </c>
      <c r="E37" s="407">
        <f t="shared" si="20"/>
        <v>-58048.067899999995</v>
      </c>
      <c r="F37" s="407">
        <f t="shared" si="20"/>
        <v>-37621</v>
      </c>
      <c r="G37" s="407">
        <f t="shared" si="20"/>
        <v>-47456</v>
      </c>
      <c r="H37" s="407">
        <f t="shared" si="20"/>
        <v>-57047.08</v>
      </c>
      <c r="I37" s="407">
        <f t="shared" si="20"/>
        <v>-66719</v>
      </c>
      <c r="J37" s="407">
        <f t="shared" si="20"/>
        <v>-62958</v>
      </c>
      <c r="K37" s="407">
        <f t="shared" si="20"/>
        <v>-56930</v>
      </c>
      <c r="L37" s="407">
        <f t="shared" si="20"/>
        <v>-49083</v>
      </c>
      <c r="M37" s="407">
        <f t="shared" si="20"/>
        <v>-43963</v>
      </c>
      <c r="N37" s="407">
        <f t="shared" si="20"/>
        <v>-51947</v>
      </c>
      <c r="O37" s="407">
        <f t="shared" si="20"/>
        <v>-58857</v>
      </c>
      <c r="P37" s="407">
        <f t="shared" si="20"/>
        <v>-47092</v>
      </c>
      <c r="Q37" s="407">
        <f>SUM(Q32:Q36)</f>
        <v>-45283</v>
      </c>
      <c r="R37" s="407">
        <f>SUM(R32:R36)</f>
        <v>-334829</v>
      </c>
      <c r="S37" s="407">
        <f>SUM(S32:S36)</f>
        <v>-39707</v>
      </c>
      <c r="T37" s="407">
        <f>SUM(T32:T36)</f>
        <v>-54039</v>
      </c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E9:L9" formulaRange="1"/>
  </ignoredErrors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9" tint="0.79998168889431442"/>
  </sheetPr>
  <dimension ref="A7:BE36"/>
  <sheetViews>
    <sheetView showGridLines="0" zoomScaleNormal="100" workbookViewId="0">
      <pane xSplit="2" topLeftCell="AX1" activePane="topRight" state="frozen"/>
      <selection pane="topRight" activeCell="BE25" sqref="BE25"/>
    </sheetView>
  </sheetViews>
  <sheetFormatPr defaultColWidth="9.21875" defaultRowHeight="14.4" outlineLevelCol="1"/>
  <cols>
    <col min="1" max="1" width="44.44140625" style="35" bestFit="1" customWidth="1"/>
    <col min="2" max="2" width="44.44140625" style="35" customWidth="1"/>
    <col min="3" max="3" width="0.5546875" customWidth="1"/>
    <col min="4" max="38" width="0" style="35" hidden="1" customWidth="1" outlineLevel="1"/>
    <col min="39" max="39" width="7" style="35" bestFit="1" customWidth="1" outlineLevel="1"/>
    <col min="40" max="16384" width="9.21875" style="35"/>
  </cols>
  <sheetData>
    <row r="7" spans="1:57">
      <c r="A7" s="38" t="s">
        <v>989</v>
      </c>
      <c r="B7" s="38" t="s">
        <v>990</v>
      </c>
      <c r="C7" s="111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s="36" customFormat="1" ht="15" thickBot="1">
      <c r="A8" s="457" t="s">
        <v>991</v>
      </c>
      <c r="B8" s="457" t="s">
        <v>992</v>
      </c>
      <c r="C8" s="456"/>
      <c r="D8" s="453" t="s">
        <v>39</v>
      </c>
      <c r="E8" s="453" t="s">
        <v>40</v>
      </c>
      <c r="F8" s="453" t="s">
        <v>41</v>
      </c>
      <c r="G8" s="453" t="s">
        <v>42</v>
      </c>
      <c r="H8" s="453" t="s">
        <v>43</v>
      </c>
      <c r="I8" s="453" t="s">
        <v>44</v>
      </c>
      <c r="J8" s="453" t="s">
        <v>45</v>
      </c>
      <c r="K8" s="453" t="s">
        <v>46</v>
      </c>
      <c r="L8" s="453" t="s">
        <v>47</v>
      </c>
      <c r="M8" s="453" t="s">
        <v>48</v>
      </c>
      <c r="N8" s="453" t="s">
        <v>49</v>
      </c>
      <c r="O8" s="453" t="s">
        <v>50</v>
      </c>
      <c r="P8" s="453" t="s">
        <v>51</v>
      </c>
      <c r="Q8" s="453" t="s">
        <v>52</v>
      </c>
      <c r="R8" s="453" t="s">
        <v>53</v>
      </c>
      <c r="S8" s="453" t="s">
        <v>54</v>
      </c>
      <c r="T8" s="453" t="s">
        <v>55</v>
      </c>
      <c r="U8" s="453" t="s">
        <v>56</v>
      </c>
      <c r="V8" s="453" t="s">
        <v>57</v>
      </c>
      <c r="W8" s="453" t="s">
        <v>58</v>
      </c>
      <c r="X8" s="453" t="s">
        <v>59</v>
      </c>
      <c r="Y8" s="453" t="s">
        <v>60</v>
      </c>
      <c r="Z8" s="453" t="s">
        <v>61</v>
      </c>
      <c r="AA8" s="453" t="s">
        <v>62</v>
      </c>
      <c r="AB8" s="453" t="s">
        <v>63</v>
      </c>
      <c r="AC8" s="453" t="s">
        <v>64</v>
      </c>
      <c r="AD8" s="449" t="s">
        <v>65</v>
      </c>
      <c r="AE8" s="449" t="s">
        <v>66</v>
      </c>
      <c r="AF8" s="449" t="s">
        <v>67</v>
      </c>
      <c r="AG8" s="449" t="s">
        <v>68</v>
      </c>
      <c r="AH8" s="449" t="s">
        <v>69</v>
      </c>
      <c r="AI8" s="449" t="s">
        <v>70</v>
      </c>
      <c r="AJ8" s="449" t="s">
        <v>71</v>
      </c>
      <c r="AK8" s="449" t="s">
        <v>72</v>
      </c>
      <c r="AL8" s="449" t="s">
        <v>73</v>
      </c>
      <c r="AM8" s="449" t="s">
        <v>74</v>
      </c>
      <c r="AN8" s="449" t="s">
        <v>75</v>
      </c>
      <c r="AO8" s="449" t="s">
        <v>76</v>
      </c>
      <c r="AP8" s="449" t="s">
        <v>77</v>
      </c>
      <c r="AQ8" s="449" t="s">
        <v>78</v>
      </c>
      <c r="AR8" s="449" t="s">
        <v>79</v>
      </c>
      <c r="AS8" s="449" t="s">
        <v>80</v>
      </c>
      <c r="AT8" s="453" t="s">
        <v>81</v>
      </c>
      <c r="AU8" s="453" t="s">
        <v>82</v>
      </c>
      <c r="AV8" s="453" t="s">
        <v>83</v>
      </c>
      <c r="AW8" s="453" t="s">
        <v>84</v>
      </c>
      <c r="AX8" s="453" t="s">
        <v>85</v>
      </c>
      <c r="AY8" s="453" t="s">
        <v>86</v>
      </c>
      <c r="AZ8" s="453" t="s">
        <v>87</v>
      </c>
      <c r="BA8" s="453" t="s">
        <v>88</v>
      </c>
      <c r="BB8" s="453" t="s">
        <v>2074</v>
      </c>
      <c r="BC8" s="453" t="s">
        <v>2127</v>
      </c>
      <c r="BD8" s="453" t="s">
        <v>2360</v>
      </c>
      <c r="BE8" s="453" t="s">
        <v>2494</v>
      </c>
    </row>
    <row r="9" spans="1:57" ht="15" thickBot="1">
      <c r="A9" s="118" t="s">
        <v>596</v>
      </c>
      <c r="B9" s="118" t="s">
        <v>848</v>
      </c>
      <c r="C9" s="112"/>
      <c r="D9" s="119"/>
      <c r="E9" s="119"/>
      <c r="F9" s="119"/>
      <c r="G9" s="119"/>
      <c r="H9" s="119">
        <f t="shared" ref="H9:AO9" si="0">SUM(H10:H11)</f>
        <v>143571</v>
      </c>
      <c r="I9" s="119">
        <f t="shared" si="0"/>
        <v>190910</v>
      </c>
      <c r="J9" s="119">
        <f t="shared" si="0"/>
        <v>253252</v>
      </c>
      <c r="K9" s="119">
        <f t="shared" si="0"/>
        <v>332901</v>
      </c>
      <c r="L9" s="119">
        <f t="shared" si="0"/>
        <v>42056</v>
      </c>
      <c r="M9" s="119">
        <f t="shared" si="0"/>
        <v>121151</v>
      </c>
      <c r="N9" s="119">
        <f t="shared" si="0"/>
        <v>171690</v>
      </c>
      <c r="O9" s="119">
        <f t="shared" si="0"/>
        <v>231208</v>
      </c>
      <c r="P9" s="119">
        <f t="shared" si="0"/>
        <v>62362</v>
      </c>
      <c r="Q9" s="119">
        <f t="shared" si="0"/>
        <v>97561</v>
      </c>
      <c r="R9" s="119">
        <f t="shared" si="0"/>
        <v>169042</v>
      </c>
      <c r="S9" s="119">
        <f t="shared" si="0"/>
        <v>283075</v>
      </c>
      <c r="T9" s="119">
        <f t="shared" si="0"/>
        <v>58790</v>
      </c>
      <c r="U9" s="119">
        <f t="shared" si="0"/>
        <v>115719</v>
      </c>
      <c r="V9" s="119">
        <f t="shared" si="0"/>
        <v>121835</v>
      </c>
      <c r="W9" s="119">
        <f t="shared" si="0"/>
        <v>171503</v>
      </c>
      <c r="X9" s="119">
        <f t="shared" si="0"/>
        <v>130720</v>
      </c>
      <c r="Y9" s="119">
        <f t="shared" si="0"/>
        <v>105307</v>
      </c>
      <c r="Z9" s="119">
        <f t="shared" si="0"/>
        <v>144641</v>
      </c>
      <c r="AA9" s="119">
        <f t="shared" si="0"/>
        <v>195119</v>
      </c>
      <c r="AB9" s="119">
        <f t="shared" si="0"/>
        <v>90096</v>
      </c>
      <c r="AC9" s="119">
        <f t="shared" si="0"/>
        <v>117758</v>
      </c>
      <c r="AD9" s="119">
        <f t="shared" si="0"/>
        <v>139181</v>
      </c>
      <c r="AE9" s="119">
        <f t="shared" si="0"/>
        <v>162220</v>
      </c>
      <c r="AF9" s="119">
        <f t="shared" si="0"/>
        <v>139537</v>
      </c>
      <c r="AG9" s="119">
        <f t="shared" si="0"/>
        <v>89528</v>
      </c>
      <c r="AH9" s="119">
        <f t="shared" si="0"/>
        <v>118037</v>
      </c>
      <c r="AI9" s="119">
        <f t="shared" si="0"/>
        <v>337597</v>
      </c>
      <c r="AJ9" s="119">
        <f t="shared" si="0"/>
        <v>66910</v>
      </c>
      <c r="AK9" s="119">
        <f t="shared" si="0"/>
        <v>90421</v>
      </c>
      <c r="AL9" s="119">
        <f t="shared" si="0"/>
        <v>140428</v>
      </c>
      <c r="AM9" s="119">
        <f t="shared" si="0"/>
        <v>128647</v>
      </c>
      <c r="AN9" s="119">
        <f t="shared" si="0"/>
        <v>77170</v>
      </c>
      <c r="AO9" s="119">
        <f t="shared" si="0"/>
        <v>107401</v>
      </c>
      <c r="AP9" s="119">
        <f t="shared" ref="AP9:AZ9" si="1">SUM(AP10:AP11)</f>
        <v>122743</v>
      </c>
      <c r="AQ9" s="119">
        <f t="shared" si="1"/>
        <v>127941</v>
      </c>
      <c r="AR9" s="119">
        <f t="shared" si="1"/>
        <v>212054</v>
      </c>
      <c r="AS9" s="119">
        <f t="shared" si="1"/>
        <v>149185</v>
      </c>
      <c r="AT9" s="119">
        <f t="shared" si="1"/>
        <v>177588</v>
      </c>
      <c r="AU9" s="119">
        <f t="shared" si="1"/>
        <v>-48599</v>
      </c>
      <c r="AV9" s="119">
        <f t="shared" si="1"/>
        <v>186247</v>
      </c>
      <c r="AW9" s="119">
        <f t="shared" si="1"/>
        <v>183290</v>
      </c>
      <c r="AX9" s="119">
        <f t="shared" si="1"/>
        <v>255454.93300000002</v>
      </c>
      <c r="AY9" s="119">
        <f t="shared" si="1"/>
        <v>453835.06699999998</v>
      </c>
      <c r="AZ9" s="119">
        <f t="shared" si="1"/>
        <v>539337</v>
      </c>
      <c r="BA9" s="119">
        <f>SUM(BA10:BA11)</f>
        <v>659918</v>
      </c>
      <c r="BB9" s="119">
        <f>SUM(BB10:BB11)</f>
        <v>929300</v>
      </c>
      <c r="BC9" s="119">
        <f>SUM(BC10:BC11)</f>
        <v>1056988</v>
      </c>
      <c r="BD9" s="119">
        <f>SUM(BD10:BD11)</f>
        <v>671481</v>
      </c>
      <c r="BE9" s="119">
        <f>SUM(BE10:BE11)</f>
        <v>586748</v>
      </c>
    </row>
    <row r="10" spans="1:57">
      <c r="A10" s="115" t="s">
        <v>849</v>
      </c>
      <c r="B10" s="115" t="s">
        <v>850</v>
      </c>
      <c r="C10" s="112"/>
      <c r="D10" s="409"/>
      <c r="E10" s="409"/>
      <c r="F10" s="409"/>
      <c r="G10" s="409"/>
      <c r="H10" s="409">
        <v>142215</v>
      </c>
      <c r="I10" s="409">
        <v>190315</v>
      </c>
      <c r="J10" s="409">
        <v>251282</v>
      </c>
      <c r="K10" s="409">
        <v>328486</v>
      </c>
      <c r="L10" s="409">
        <v>40741</v>
      </c>
      <c r="M10" s="409">
        <v>118462</v>
      </c>
      <c r="N10" s="409">
        <v>168006</v>
      </c>
      <c r="O10" s="409">
        <v>214044</v>
      </c>
      <c r="P10" s="409">
        <v>48148</v>
      </c>
      <c r="Q10" s="409">
        <v>71737</v>
      </c>
      <c r="R10" s="409">
        <v>113670</v>
      </c>
      <c r="S10" s="409">
        <v>189846</v>
      </c>
      <c r="T10" s="409">
        <v>37245</v>
      </c>
      <c r="U10" s="409">
        <v>71106</v>
      </c>
      <c r="V10" s="409">
        <v>89037</v>
      </c>
      <c r="W10" s="409">
        <v>137879</v>
      </c>
      <c r="X10" s="409">
        <v>95259</v>
      </c>
      <c r="Y10" s="409">
        <v>66779</v>
      </c>
      <c r="Z10" s="409">
        <v>106028</v>
      </c>
      <c r="AA10" s="409">
        <v>146456</v>
      </c>
      <c r="AB10" s="409">
        <v>44577</v>
      </c>
      <c r="AC10" s="409">
        <v>73789</v>
      </c>
      <c r="AD10" s="409">
        <v>79645</v>
      </c>
      <c r="AE10" s="409">
        <v>105079</v>
      </c>
      <c r="AF10" s="409">
        <v>88077</v>
      </c>
      <c r="AG10" s="409">
        <v>35162</v>
      </c>
      <c r="AH10" s="409">
        <v>67856</v>
      </c>
      <c r="AI10" s="409">
        <v>143773</v>
      </c>
      <c r="AJ10" s="409">
        <v>38072</v>
      </c>
      <c r="AK10" s="409">
        <v>68492</v>
      </c>
      <c r="AL10" s="409">
        <v>109989</v>
      </c>
      <c r="AM10" s="409">
        <v>111088</v>
      </c>
      <c r="AN10" s="409">
        <v>38604</v>
      </c>
      <c r="AO10" s="409">
        <v>62837</v>
      </c>
      <c r="AP10" s="409">
        <v>93728</v>
      </c>
      <c r="AQ10" s="409">
        <v>107199</v>
      </c>
      <c r="AR10" s="409">
        <v>69646</v>
      </c>
      <c r="AS10" s="409">
        <v>63533</v>
      </c>
      <c r="AT10" s="409">
        <v>67161</v>
      </c>
      <c r="AU10" s="409">
        <v>71358</v>
      </c>
      <c r="AV10" s="409">
        <v>78294</v>
      </c>
      <c r="AW10" s="409">
        <v>90271</v>
      </c>
      <c r="AX10" s="409">
        <v>188394</v>
      </c>
      <c r="AY10" s="409">
        <v>376978</v>
      </c>
      <c r="AZ10" s="409">
        <v>417971</v>
      </c>
      <c r="BA10" s="409">
        <v>588557</v>
      </c>
      <c r="BB10" s="409">
        <v>825177</v>
      </c>
      <c r="BC10" s="409">
        <v>873414</v>
      </c>
      <c r="BD10" s="409">
        <v>603332</v>
      </c>
      <c r="BE10" s="409">
        <v>507676</v>
      </c>
    </row>
    <row r="11" spans="1:57" ht="15" thickBot="1">
      <c r="A11" s="115" t="s">
        <v>614</v>
      </c>
      <c r="B11" s="115" t="s">
        <v>615</v>
      </c>
      <c r="C11" s="112"/>
      <c r="D11" s="409"/>
      <c r="E11" s="409"/>
      <c r="F11" s="409"/>
      <c r="G11" s="409"/>
      <c r="H11" s="409">
        <v>1356</v>
      </c>
      <c r="I11" s="409">
        <v>595</v>
      </c>
      <c r="J11" s="409">
        <v>1970</v>
      </c>
      <c r="K11" s="409">
        <v>4415</v>
      </c>
      <c r="L11" s="409">
        <v>1315</v>
      </c>
      <c r="M11" s="409">
        <v>2689</v>
      </c>
      <c r="N11" s="409">
        <v>3684</v>
      </c>
      <c r="O11" s="409">
        <v>17164</v>
      </c>
      <c r="P11" s="409">
        <v>14214</v>
      </c>
      <c r="Q11" s="409">
        <v>25824</v>
      </c>
      <c r="R11" s="409">
        <v>55372</v>
      </c>
      <c r="S11" s="409">
        <v>93229</v>
      </c>
      <c r="T11" s="409">
        <v>21545</v>
      </c>
      <c r="U11" s="409">
        <v>44613</v>
      </c>
      <c r="V11" s="409">
        <v>32798</v>
      </c>
      <c r="W11" s="409">
        <v>33624</v>
      </c>
      <c r="X11" s="409">
        <v>35461</v>
      </c>
      <c r="Y11" s="409">
        <v>38528</v>
      </c>
      <c r="Z11" s="409">
        <v>38613</v>
      </c>
      <c r="AA11" s="409">
        <v>48663</v>
      </c>
      <c r="AB11" s="409">
        <v>45519</v>
      </c>
      <c r="AC11" s="409">
        <v>43969</v>
      </c>
      <c r="AD11" s="409">
        <v>59536</v>
      </c>
      <c r="AE11" s="409">
        <v>57141</v>
      </c>
      <c r="AF11" s="409">
        <v>51460</v>
      </c>
      <c r="AG11" s="409">
        <v>54366</v>
      </c>
      <c r="AH11" s="409">
        <v>50181</v>
      </c>
      <c r="AI11" s="409">
        <v>193824</v>
      </c>
      <c r="AJ11" s="409">
        <v>28838</v>
      </c>
      <c r="AK11" s="409">
        <v>21929</v>
      </c>
      <c r="AL11" s="409">
        <v>30439</v>
      </c>
      <c r="AM11" s="409">
        <v>17559</v>
      </c>
      <c r="AN11" s="409">
        <v>38566</v>
      </c>
      <c r="AO11" s="409">
        <v>44564</v>
      </c>
      <c r="AP11" s="409">
        <v>29015</v>
      </c>
      <c r="AQ11" s="409">
        <v>20742</v>
      </c>
      <c r="AR11" s="409">
        <v>142408</v>
      </c>
      <c r="AS11" s="409">
        <v>85652</v>
      </c>
      <c r="AT11" s="409">
        <v>110427</v>
      </c>
      <c r="AU11" s="409">
        <v>-119957</v>
      </c>
      <c r="AV11" s="409">
        <v>107953</v>
      </c>
      <c r="AW11" s="409">
        <v>93019</v>
      </c>
      <c r="AX11" s="409">
        <v>67060.933000000005</v>
      </c>
      <c r="AY11" s="409">
        <v>76857.066999999995</v>
      </c>
      <c r="AZ11" s="409">
        <v>121366</v>
      </c>
      <c r="BA11" s="409">
        <v>71361</v>
      </c>
      <c r="BB11" s="409">
        <v>104123</v>
      </c>
      <c r="BC11" s="409">
        <v>183574</v>
      </c>
      <c r="BD11" s="409">
        <v>68149</v>
      </c>
      <c r="BE11" s="409">
        <v>79072</v>
      </c>
    </row>
    <row r="12" spans="1:57" ht="15" thickBot="1">
      <c r="A12" s="118" t="s">
        <v>858</v>
      </c>
      <c r="B12" s="118" t="s">
        <v>859</v>
      </c>
      <c r="C12" s="112"/>
      <c r="D12" s="410"/>
      <c r="E12" s="410"/>
      <c r="F12" s="410"/>
      <c r="G12" s="410"/>
      <c r="H12" s="410">
        <v>-13237</v>
      </c>
      <c r="I12" s="410">
        <v>-17825</v>
      </c>
      <c r="J12" s="410">
        <v>-23567</v>
      </c>
      <c r="K12" s="410">
        <v>-30844</v>
      </c>
      <c r="L12" s="410">
        <v>-3977</v>
      </c>
      <c r="M12" s="410">
        <v>-11937</v>
      </c>
      <c r="N12" s="410">
        <v>-16695</v>
      </c>
      <c r="O12" s="410">
        <v>-22658</v>
      </c>
      <c r="P12" s="410">
        <v>-7140</v>
      </c>
      <c r="Q12" s="410">
        <v>-11870</v>
      </c>
      <c r="R12" s="410">
        <v>-21169</v>
      </c>
      <c r="S12" s="410">
        <v>-35155</v>
      </c>
      <c r="T12" s="410">
        <v>-7677</v>
      </c>
      <c r="U12" s="410">
        <v>-15218</v>
      </c>
      <c r="V12" s="410">
        <v>-14762</v>
      </c>
      <c r="W12" s="410">
        <v>-19523</v>
      </c>
      <c r="X12" s="410">
        <v>-16691</v>
      </c>
      <c r="Y12" s="410">
        <v>-11969</v>
      </c>
      <c r="Z12" s="410">
        <v>-16916</v>
      </c>
      <c r="AA12" s="410">
        <v>-22677</v>
      </c>
      <c r="AB12" s="410">
        <v>-12436</v>
      </c>
      <c r="AC12" s="410">
        <v>-14967</v>
      </c>
      <c r="AD12" s="410">
        <v>-18032</v>
      </c>
      <c r="AE12" s="410">
        <v>-21685</v>
      </c>
      <c r="AF12" s="410">
        <v>-17380</v>
      </c>
      <c r="AG12" s="410">
        <v>-13004</v>
      </c>
      <c r="AH12" s="410">
        <v>-15551</v>
      </c>
      <c r="AI12" s="410">
        <v>-37239</v>
      </c>
      <c r="AJ12" s="410">
        <v>-9558</v>
      </c>
      <c r="AK12" s="410">
        <v>-9995</v>
      </c>
      <c r="AL12" s="410">
        <v>-14810</v>
      </c>
      <c r="AM12" s="410">
        <v>-9534</v>
      </c>
      <c r="AN12" s="410">
        <v>-9023</v>
      </c>
      <c r="AO12" s="410">
        <v>-11882</v>
      </c>
      <c r="AP12" s="410">
        <v>-13058</v>
      </c>
      <c r="AQ12" s="410">
        <v>-32806</v>
      </c>
      <c r="AR12" s="410">
        <v>-29162</v>
      </c>
      <c r="AS12" s="410">
        <v>-13710</v>
      </c>
      <c r="AT12" s="410">
        <v>-23624</v>
      </c>
      <c r="AU12" s="410">
        <v>-4965</v>
      </c>
      <c r="AV12" s="410">
        <v>-23269</v>
      </c>
      <c r="AW12" s="410">
        <v>-27979</v>
      </c>
      <c r="AX12" s="410">
        <v>-14397</v>
      </c>
      <c r="AY12" s="410">
        <v>-82417</v>
      </c>
      <c r="AZ12" s="410">
        <v>-61953</v>
      </c>
      <c r="BA12" s="410">
        <v>-80361</v>
      </c>
      <c r="BB12" s="410">
        <v>-105458</v>
      </c>
      <c r="BC12" s="410">
        <v>-122493</v>
      </c>
      <c r="BD12" s="410">
        <v>-77184</v>
      </c>
      <c r="BE12" s="410">
        <v>-80269</v>
      </c>
    </row>
    <row r="13" spans="1:57" ht="15" thickBot="1">
      <c r="A13" s="118" t="s">
        <v>646</v>
      </c>
      <c r="B13" s="118" t="s">
        <v>860</v>
      </c>
      <c r="C13" s="120"/>
      <c r="D13" s="119"/>
      <c r="E13" s="119"/>
      <c r="F13" s="119"/>
      <c r="G13" s="119"/>
      <c r="H13" s="119">
        <f t="shared" ref="H13:X13" si="2">H9+H12</f>
        <v>130334</v>
      </c>
      <c r="I13" s="119">
        <f t="shared" si="2"/>
        <v>173085</v>
      </c>
      <c r="J13" s="119">
        <f t="shared" si="2"/>
        <v>229685</v>
      </c>
      <c r="K13" s="119">
        <f t="shared" si="2"/>
        <v>302057</v>
      </c>
      <c r="L13" s="119">
        <f t="shared" si="2"/>
        <v>38079</v>
      </c>
      <c r="M13" s="119">
        <f t="shared" si="2"/>
        <v>109214</v>
      </c>
      <c r="N13" s="119">
        <f t="shared" si="2"/>
        <v>154995</v>
      </c>
      <c r="O13" s="119">
        <f t="shared" si="2"/>
        <v>208550</v>
      </c>
      <c r="P13" s="119">
        <f t="shared" si="2"/>
        <v>55222</v>
      </c>
      <c r="Q13" s="119">
        <f t="shared" si="2"/>
        <v>85691</v>
      </c>
      <c r="R13" s="119">
        <f t="shared" si="2"/>
        <v>147873</v>
      </c>
      <c r="S13" s="119">
        <f t="shared" si="2"/>
        <v>247920</v>
      </c>
      <c r="T13" s="119">
        <f t="shared" si="2"/>
        <v>51113</v>
      </c>
      <c r="U13" s="119">
        <f t="shared" si="2"/>
        <v>100501</v>
      </c>
      <c r="V13" s="119">
        <f t="shared" si="2"/>
        <v>107073</v>
      </c>
      <c r="W13" s="119">
        <f t="shared" si="2"/>
        <v>151980</v>
      </c>
      <c r="X13" s="119">
        <f t="shared" si="2"/>
        <v>114029</v>
      </c>
      <c r="Y13" s="119">
        <f>Y9+Y12</f>
        <v>93338</v>
      </c>
      <c r="Z13" s="119">
        <f>Z9+Z12</f>
        <v>127725</v>
      </c>
      <c r="AA13" s="119">
        <f>AA9+AA12</f>
        <v>172442</v>
      </c>
      <c r="AB13" s="119">
        <f>AB9+AB12</f>
        <v>77660</v>
      </c>
      <c r="AC13" s="119">
        <f t="shared" ref="AC13:AH13" si="3">AC9+AC12</f>
        <v>102791</v>
      </c>
      <c r="AD13" s="119">
        <f t="shared" si="3"/>
        <v>121149</v>
      </c>
      <c r="AE13" s="119">
        <f t="shared" si="3"/>
        <v>140535</v>
      </c>
      <c r="AF13" s="119">
        <f t="shared" si="3"/>
        <v>122157</v>
      </c>
      <c r="AG13" s="119">
        <f t="shared" si="3"/>
        <v>76524</v>
      </c>
      <c r="AH13" s="119">
        <f t="shared" si="3"/>
        <v>102486</v>
      </c>
      <c r="AI13" s="119">
        <v>300358</v>
      </c>
      <c r="AJ13" s="119">
        <v>57352</v>
      </c>
      <c r="AK13" s="119">
        <f>AK9+AK12</f>
        <v>80426</v>
      </c>
      <c r="AL13" s="119">
        <f>AL9+AL12</f>
        <v>125618</v>
      </c>
      <c r="AM13" s="119">
        <v>119113</v>
      </c>
      <c r="AN13" s="119">
        <v>68147</v>
      </c>
      <c r="AO13" s="119">
        <f t="shared" ref="AO13:AT13" si="4">AO9+AO12</f>
        <v>95519</v>
      </c>
      <c r="AP13" s="119">
        <f t="shared" si="4"/>
        <v>109685</v>
      </c>
      <c r="AQ13" s="119">
        <f t="shared" si="4"/>
        <v>95135</v>
      </c>
      <c r="AR13" s="119">
        <f t="shared" si="4"/>
        <v>182892</v>
      </c>
      <c r="AS13" s="119">
        <f t="shared" si="4"/>
        <v>135475</v>
      </c>
      <c r="AT13" s="119">
        <f t="shared" si="4"/>
        <v>153964</v>
      </c>
      <c r="AU13" s="119">
        <f t="shared" ref="AU13:BA13" si="5">AU9+AU12</f>
        <v>-53564</v>
      </c>
      <c r="AV13" s="119">
        <f t="shared" si="5"/>
        <v>162978</v>
      </c>
      <c r="AW13" s="119">
        <f t="shared" si="5"/>
        <v>155311</v>
      </c>
      <c r="AX13" s="119">
        <f t="shared" si="5"/>
        <v>241057.93300000002</v>
      </c>
      <c r="AY13" s="119">
        <f t="shared" si="5"/>
        <v>371418.06699999998</v>
      </c>
      <c r="AZ13" s="119">
        <f t="shared" si="5"/>
        <v>477384</v>
      </c>
      <c r="BA13" s="119">
        <f t="shared" si="5"/>
        <v>579557</v>
      </c>
      <c r="BB13" s="119">
        <f t="shared" ref="BB13:BD13" si="6">BB9+BB12</f>
        <v>823842</v>
      </c>
      <c r="BC13" s="119">
        <f t="shared" si="6"/>
        <v>934495</v>
      </c>
      <c r="BD13" s="119">
        <f t="shared" si="6"/>
        <v>594297</v>
      </c>
      <c r="BE13" s="119">
        <f>BE9+BE12</f>
        <v>506479</v>
      </c>
    </row>
    <row r="14" spans="1:57" ht="15" thickBot="1">
      <c r="A14" s="118" t="s">
        <v>861</v>
      </c>
      <c r="B14" s="118" t="s">
        <v>862</v>
      </c>
      <c r="C14" s="120"/>
      <c r="D14" s="319"/>
      <c r="E14" s="319"/>
      <c r="F14" s="319"/>
      <c r="G14" s="319"/>
      <c r="H14" s="319">
        <f t="shared" ref="H14:AH14" si="7">H15</f>
        <v>-102975</v>
      </c>
      <c r="I14" s="319">
        <f t="shared" si="7"/>
        <v>-141926</v>
      </c>
      <c r="J14" s="319">
        <f t="shared" si="7"/>
        <v>-194255</v>
      </c>
      <c r="K14" s="319">
        <f t="shared" si="7"/>
        <v>-258059</v>
      </c>
      <c r="L14" s="319">
        <f t="shared" si="7"/>
        <v>-26472</v>
      </c>
      <c r="M14" s="319">
        <f t="shared" si="7"/>
        <v>-85707</v>
      </c>
      <c r="N14" s="319">
        <f t="shared" si="7"/>
        <v>-129564</v>
      </c>
      <c r="O14" s="319">
        <f t="shared" si="7"/>
        <v>-181338</v>
      </c>
      <c r="P14" s="319">
        <f t="shared" si="7"/>
        <v>-36617</v>
      </c>
      <c r="Q14" s="319">
        <f t="shared" si="7"/>
        <v>-55348</v>
      </c>
      <c r="R14" s="319">
        <f t="shared" si="7"/>
        <v>-89080</v>
      </c>
      <c r="S14" s="319">
        <f t="shared" si="7"/>
        <v>-154702</v>
      </c>
      <c r="T14" s="319">
        <f t="shared" si="7"/>
        <v>-29881</v>
      </c>
      <c r="U14" s="319">
        <f t="shared" si="7"/>
        <v>-41595</v>
      </c>
      <c r="V14" s="319">
        <f t="shared" si="7"/>
        <v>-85466</v>
      </c>
      <c r="W14" s="319">
        <f t="shared" si="7"/>
        <v>-124417</v>
      </c>
      <c r="X14" s="319">
        <f t="shared" si="7"/>
        <v>-99381</v>
      </c>
      <c r="Y14" s="319">
        <f t="shared" si="7"/>
        <v>-81363</v>
      </c>
      <c r="Z14" s="319">
        <f t="shared" si="7"/>
        <v>-88482</v>
      </c>
      <c r="AA14" s="319">
        <f t="shared" si="7"/>
        <v>-123650</v>
      </c>
      <c r="AB14" s="319">
        <f t="shared" si="7"/>
        <v>-36889</v>
      </c>
      <c r="AC14" s="319">
        <f t="shared" si="7"/>
        <v>-59623</v>
      </c>
      <c r="AD14" s="319">
        <f t="shared" si="7"/>
        <v>-68359</v>
      </c>
      <c r="AE14" s="319">
        <f t="shared" si="7"/>
        <v>-88299</v>
      </c>
      <c r="AF14" s="319">
        <f t="shared" si="7"/>
        <v>-77589</v>
      </c>
      <c r="AG14" s="319">
        <f t="shared" si="7"/>
        <v>-31528</v>
      </c>
      <c r="AH14" s="319">
        <f t="shared" si="7"/>
        <v>-60243</v>
      </c>
      <c r="AI14" s="319">
        <v>-123405</v>
      </c>
      <c r="AJ14" s="319">
        <f>AJ15</f>
        <v>-33789</v>
      </c>
      <c r="AK14" s="319">
        <v>-56195</v>
      </c>
      <c r="AL14" s="319">
        <f>AL15</f>
        <v>-95048</v>
      </c>
      <c r="AM14" s="319">
        <f>AM15</f>
        <v>-93991</v>
      </c>
      <c r="AN14" s="319">
        <v>-34223</v>
      </c>
      <c r="AO14" s="319">
        <f t="shared" ref="AO14:BD14" si="8">AO15</f>
        <v>-55325</v>
      </c>
      <c r="AP14" s="319">
        <f t="shared" si="8"/>
        <v>-83924</v>
      </c>
      <c r="AQ14" s="319">
        <f t="shared" si="8"/>
        <v>-71938</v>
      </c>
      <c r="AR14" s="319">
        <f t="shared" si="8"/>
        <v>-50218</v>
      </c>
      <c r="AS14" s="319">
        <f t="shared" si="8"/>
        <v>-45849</v>
      </c>
      <c r="AT14" s="319">
        <f t="shared" si="8"/>
        <v>-52339</v>
      </c>
      <c r="AU14" s="319">
        <f t="shared" si="8"/>
        <v>-63456</v>
      </c>
      <c r="AV14" s="319">
        <f t="shared" si="8"/>
        <v>-65322</v>
      </c>
      <c r="AW14" s="319">
        <f t="shared" si="8"/>
        <v>-84991</v>
      </c>
      <c r="AX14" s="319">
        <f t="shared" si="8"/>
        <v>-199762</v>
      </c>
      <c r="AY14" s="319">
        <f t="shared" si="8"/>
        <v>-311099</v>
      </c>
      <c r="AZ14" s="319">
        <f t="shared" si="8"/>
        <v>-395577</v>
      </c>
      <c r="BA14" s="319">
        <f t="shared" si="8"/>
        <v>-502177</v>
      </c>
      <c r="BB14" s="319">
        <f t="shared" si="8"/>
        <v>-748831</v>
      </c>
      <c r="BC14" s="319">
        <f t="shared" si="8"/>
        <v>-766845</v>
      </c>
      <c r="BD14" s="319">
        <f t="shared" si="8"/>
        <v>-579713</v>
      </c>
      <c r="BE14" s="319">
        <f>BE15</f>
        <v>-469293</v>
      </c>
    </row>
    <row r="15" spans="1:57" ht="15" thickBot="1">
      <c r="A15" s="115" t="s">
        <v>863</v>
      </c>
      <c r="B15" s="115" t="s">
        <v>993</v>
      </c>
      <c r="C15" s="120"/>
      <c r="D15" s="409"/>
      <c r="E15" s="409"/>
      <c r="F15" s="409"/>
      <c r="G15" s="409"/>
      <c r="H15" s="409">
        <v>-102975</v>
      </c>
      <c r="I15" s="409">
        <v>-141926</v>
      </c>
      <c r="J15" s="409">
        <v>-194255</v>
      </c>
      <c r="K15" s="409">
        <v>-258059</v>
      </c>
      <c r="L15" s="409">
        <v>-26472</v>
      </c>
      <c r="M15" s="409">
        <v>-85707</v>
      </c>
      <c r="N15" s="409">
        <v>-129564</v>
      </c>
      <c r="O15" s="409">
        <v>-181338</v>
      </c>
      <c r="P15" s="409">
        <v>-36617</v>
      </c>
      <c r="Q15" s="409">
        <v>-55348</v>
      </c>
      <c r="R15" s="409">
        <v>-89080</v>
      </c>
      <c r="S15" s="409">
        <v>-154702</v>
      </c>
      <c r="T15" s="409">
        <v>-29881</v>
      </c>
      <c r="U15" s="409">
        <v>-41595</v>
      </c>
      <c r="V15" s="409">
        <v>-85466</v>
      </c>
      <c r="W15" s="409">
        <v>-124417</v>
      </c>
      <c r="X15" s="409">
        <v>-99381</v>
      </c>
      <c r="Y15" s="409">
        <v>-81363</v>
      </c>
      <c r="Z15" s="409">
        <v>-88482</v>
      </c>
      <c r="AA15" s="409">
        <v>-123650</v>
      </c>
      <c r="AB15" s="409">
        <f>-36.889*1000</f>
        <v>-36889</v>
      </c>
      <c r="AC15" s="409">
        <v>-59623</v>
      </c>
      <c r="AD15" s="409">
        <v>-68359</v>
      </c>
      <c r="AE15" s="409">
        <v>-88299</v>
      </c>
      <c r="AF15" s="409">
        <v>-77589</v>
      </c>
      <c r="AG15" s="409">
        <v>-31528</v>
      </c>
      <c r="AH15" s="409">
        <v>-60243</v>
      </c>
      <c r="AI15" s="409">
        <v>-123405</v>
      </c>
      <c r="AJ15" s="409">
        <v>-33789</v>
      </c>
      <c r="AK15" s="409">
        <v>-56195</v>
      </c>
      <c r="AL15" s="409">
        <v>-95048</v>
      </c>
      <c r="AM15" s="409">
        <v>-93991</v>
      </c>
      <c r="AN15" s="409">
        <v>-34223</v>
      </c>
      <c r="AO15" s="409">
        <v>-55325</v>
      </c>
      <c r="AP15" s="409">
        <v>-83924</v>
      </c>
      <c r="AQ15" s="409">
        <v>-71938</v>
      </c>
      <c r="AR15" s="409">
        <v>-50218</v>
      </c>
      <c r="AS15" s="409">
        <v>-45849</v>
      </c>
      <c r="AT15" s="409">
        <v>-52339</v>
      </c>
      <c r="AU15" s="409">
        <v>-63456</v>
      </c>
      <c r="AV15" s="409">
        <v>-65322</v>
      </c>
      <c r="AW15" s="409">
        <v>-84991</v>
      </c>
      <c r="AX15" s="409">
        <v>-199762</v>
      </c>
      <c r="AY15" s="409">
        <v>-311099</v>
      </c>
      <c r="AZ15" s="409">
        <v>-395577</v>
      </c>
      <c r="BA15" s="409">
        <v>-502177</v>
      </c>
      <c r="BB15" s="409">
        <v>-748831</v>
      </c>
      <c r="BC15" s="409">
        <v>-766845</v>
      </c>
      <c r="BD15" s="409">
        <v>-579713</v>
      </c>
      <c r="BE15" s="409">
        <v>-469293</v>
      </c>
    </row>
    <row r="16" spans="1:57" ht="15" thickBot="1">
      <c r="A16" s="118" t="s">
        <v>873</v>
      </c>
      <c r="B16" s="118" t="s">
        <v>874</v>
      </c>
      <c r="C16" s="120"/>
      <c r="D16" s="119"/>
      <c r="E16" s="119"/>
      <c r="F16" s="119"/>
      <c r="G16" s="119"/>
      <c r="H16" s="119">
        <f t="shared" ref="H16:W16" si="9">SUM(H17:H21)</f>
        <v>-2289</v>
      </c>
      <c r="I16" s="119">
        <f t="shared" si="9"/>
        <v>-4397</v>
      </c>
      <c r="J16" s="119">
        <f t="shared" si="9"/>
        <v>-5422</v>
      </c>
      <c r="K16" s="119">
        <f t="shared" si="9"/>
        <v>-8024</v>
      </c>
      <c r="L16" s="119">
        <f t="shared" si="9"/>
        <v>-1813</v>
      </c>
      <c r="M16" s="119">
        <f t="shared" si="9"/>
        <v>-4530</v>
      </c>
      <c r="N16" s="119">
        <f t="shared" si="9"/>
        <v>-9086</v>
      </c>
      <c r="O16" s="119">
        <f t="shared" si="9"/>
        <v>-16730</v>
      </c>
      <c r="P16" s="119">
        <f t="shared" si="9"/>
        <v>-12741</v>
      </c>
      <c r="Q16" s="119">
        <f t="shared" si="9"/>
        <v>-21854</v>
      </c>
      <c r="R16" s="119">
        <f t="shared" si="9"/>
        <v>-44690</v>
      </c>
      <c r="S16" s="119">
        <f t="shared" si="9"/>
        <v>-72163</v>
      </c>
      <c r="T16" s="119">
        <f t="shared" si="9"/>
        <v>-15300</v>
      </c>
      <c r="U16" s="119">
        <f t="shared" si="9"/>
        <v>-41374</v>
      </c>
      <c r="V16" s="119">
        <f t="shared" si="9"/>
        <v>-10442</v>
      </c>
      <c r="W16" s="119">
        <f t="shared" si="9"/>
        <v>-10884</v>
      </c>
      <c r="X16" s="119">
        <f>SUM(X17:X21)</f>
        <v>-4607</v>
      </c>
      <c r="Y16" s="119">
        <f>SUM(Y17:Y21)</f>
        <v>-5658</v>
      </c>
      <c r="Z16" s="119">
        <f>SUM(Z17:Z21)</f>
        <v>-31311</v>
      </c>
      <c r="AA16" s="119">
        <f>SUM(AA17:AA21)</f>
        <v>-30667</v>
      </c>
      <c r="AB16" s="119">
        <f>SUM(AB17:AB21)</f>
        <v>-30653</v>
      </c>
      <c r="AC16" s="119">
        <v>-32942</v>
      </c>
      <c r="AD16" s="119">
        <v>-31729</v>
      </c>
      <c r="AE16" s="119">
        <v>-34991</v>
      </c>
      <c r="AF16" s="119">
        <v>-33845</v>
      </c>
      <c r="AG16" s="119">
        <f>SUM(AG17:AG21)</f>
        <v>-28041</v>
      </c>
      <c r="AH16" s="119">
        <f>SUM(AH17:AH21)</f>
        <v>-26861</v>
      </c>
      <c r="AI16" s="119">
        <v>-37157</v>
      </c>
      <c r="AJ16" s="119">
        <f>SUM(AJ17:AJ21)</f>
        <v>-14945</v>
      </c>
      <c r="AK16" s="119">
        <f>SUM(AK17:AK21)</f>
        <v>-17625</v>
      </c>
      <c r="AL16" s="119">
        <f>SUM(AL17:AL21)</f>
        <v>-19049</v>
      </c>
      <c r="AM16" s="119">
        <f>SUM(AM17:AM21)</f>
        <v>-44251</v>
      </c>
      <c r="AN16" s="119">
        <f t="shared" ref="AN16:AU16" si="10">SUM(AN17:AN22)</f>
        <v>-30075</v>
      </c>
      <c r="AO16" s="119">
        <f t="shared" si="10"/>
        <v>-32174</v>
      </c>
      <c r="AP16" s="119">
        <f t="shared" si="10"/>
        <v>-30613</v>
      </c>
      <c r="AQ16" s="119">
        <f t="shared" si="10"/>
        <v>-57517</v>
      </c>
      <c r="AR16" s="119">
        <f t="shared" si="10"/>
        <v>-46830</v>
      </c>
      <c r="AS16" s="119">
        <f t="shared" si="10"/>
        <v>-47592</v>
      </c>
      <c r="AT16" s="119">
        <f t="shared" si="10"/>
        <v>-55516</v>
      </c>
      <c r="AU16" s="119">
        <f t="shared" si="10"/>
        <v>-59709</v>
      </c>
      <c r="AV16" s="119">
        <f>SUM(AV17:AV22)</f>
        <v>-67655</v>
      </c>
      <c r="AW16" s="119">
        <f>SUM(AW17:AW22)</f>
        <v>-61165</v>
      </c>
      <c r="AX16" s="119">
        <f>SUM(AX17:AX22)</f>
        <v>-67116</v>
      </c>
      <c r="AY16" s="119">
        <f t="shared" ref="AY16:BD16" si="11">SUM(AY17:AY23)</f>
        <v>-63677</v>
      </c>
      <c r="AZ16" s="119">
        <f t="shared" si="11"/>
        <v>-58060</v>
      </c>
      <c r="BA16" s="119">
        <f t="shared" si="11"/>
        <v>-54041</v>
      </c>
      <c r="BB16" s="119">
        <f t="shared" si="11"/>
        <v>-68204</v>
      </c>
      <c r="BC16" s="119">
        <f t="shared" si="11"/>
        <v>-96962</v>
      </c>
      <c r="BD16" s="119">
        <f t="shared" si="11"/>
        <v>-71252</v>
      </c>
      <c r="BE16" s="119">
        <f>SUM(BE17:BE23)</f>
        <v>-67978</v>
      </c>
    </row>
    <row r="17" spans="1:57">
      <c r="A17" s="115" t="s">
        <v>875</v>
      </c>
      <c r="B17" s="115" t="s">
        <v>876</v>
      </c>
      <c r="C17" s="120"/>
      <c r="D17" s="409"/>
      <c r="E17" s="409"/>
      <c r="F17" s="409"/>
      <c r="G17" s="409"/>
      <c r="H17" s="409">
        <v>-1198</v>
      </c>
      <c r="I17" s="409">
        <v>-2218</v>
      </c>
      <c r="J17" s="409">
        <v>-3214</v>
      </c>
      <c r="K17" s="409">
        <v>-4489</v>
      </c>
      <c r="L17" s="409">
        <v>-967</v>
      </c>
      <c r="M17" s="409">
        <v>-1522</v>
      </c>
      <c r="N17" s="409">
        <v>-4179</v>
      </c>
      <c r="O17" s="409">
        <v>-11817</v>
      </c>
      <c r="P17" s="409">
        <v>-10174</v>
      </c>
      <c r="Q17" s="409">
        <v>-17922</v>
      </c>
      <c r="R17" s="409">
        <v>-36445</v>
      </c>
      <c r="S17" s="409">
        <v>-58185</v>
      </c>
      <c r="T17" s="409">
        <v>-12711</v>
      </c>
      <c r="U17" s="409">
        <v>-38055</v>
      </c>
      <c r="V17" s="409">
        <v>-8608</v>
      </c>
      <c r="W17" s="409">
        <v>-8156</v>
      </c>
      <c r="X17" s="409">
        <v>-2442</v>
      </c>
      <c r="Y17" s="409">
        <v>-2422</v>
      </c>
      <c r="Z17" s="409">
        <v>-23159.5</v>
      </c>
      <c r="AA17" s="409">
        <v>-21589</v>
      </c>
      <c r="AB17" s="409">
        <v>-23350</v>
      </c>
      <c r="AC17" s="409">
        <v>-24630</v>
      </c>
      <c r="AD17" s="409">
        <v>-23503</v>
      </c>
      <c r="AE17" s="409">
        <v>-24376</v>
      </c>
      <c r="AF17" s="409">
        <v>-25064</v>
      </c>
      <c r="AG17" s="409">
        <v>-21330</v>
      </c>
      <c r="AH17" s="409">
        <v>-20907</v>
      </c>
      <c r="AI17" s="409">
        <v>-27516</v>
      </c>
      <c r="AJ17" s="409">
        <v>-11201</v>
      </c>
      <c r="AK17" s="409">
        <v>-11744</v>
      </c>
      <c r="AL17" s="409">
        <v>-11312</v>
      </c>
      <c r="AM17" s="409">
        <v>-17813</v>
      </c>
      <c r="AN17" s="409">
        <v>-17726</v>
      </c>
      <c r="AO17" s="409">
        <v>-21445</v>
      </c>
      <c r="AP17" s="409">
        <v>-20952</v>
      </c>
      <c r="AQ17" s="409">
        <v>-23077</v>
      </c>
      <c r="AR17" s="409">
        <v>-29338</v>
      </c>
      <c r="AS17" s="409">
        <v>-28815</v>
      </c>
      <c r="AT17" s="409">
        <v>-31233</v>
      </c>
      <c r="AU17" s="409">
        <v>-31314</v>
      </c>
      <c r="AV17" s="409">
        <v>-38896</v>
      </c>
      <c r="AW17" s="409">
        <v>-35084</v>
      </c>
      <c r="AX17" s="409">
        <v>-39772</v>
      </c>
      <c r="AY17" s="409">
        <v>-32947</v>
      </c>
      <c r="AZ17" s="409">
        <v>-38539</v>
      </c>
      <c r="BA17" s="409">
        <v>-33902</v>
      </c>
      <c r="BB17" s="409">
        <v>-40042</v>
      </c>
      <c r="BC17" s="409">
        <v>-42817</v>
      </c>
      <c r="BD17" s="409">
        <v>-43288</v>
      </c>
      <c r="BE17" s="409">
        <v>-42366</v>
      </c>
    </row>
    <row r="18" spans="1:57">
      <c r="A18" s="115" t="s">
        <v>877</v>
      </c>
      <c r="B18" s="115" t="s">
        <v>877</v>
      </c>
      <c r="C18" s="120"/>
      <c r="D18" s="409"/>
      <c r="E18" s="409"/>
      <c r="F18" s="409"/>
      <c r="G18" s="409"/>
      <c r="H18" s="409">
        <v>-8</v>
      </c>
      <c r="I18" s="409">
        <v>-16</v>
      </c>
      <c r="J18" s="409">
        <v>-22</v>
      </c>
      <c r="K18" s="409">
        <v>-26</v>
      </c>
      <c r="L18" s="409">
        <v>-2</v>
      </c>
      <c r="M18" s="409">
        <v>-2023</v>
      </c>
      <c r="N18" s="409">
        <v>-2987</v>
      </c>
      <c r="O18" s="409">
        <v>-2571</v>
      </c>
      <c r="P18" s="409">
        <v>-884</v>
      </c>
      <c r="Q18" s="409">
        <v>-227</v>
      </c>
      <c r="R18" s="409">
        <v>-558</v>
      </c>
      <c r="S18" s="409">
        <v>-1937</v>
      </c>
      <c r="T18" s="409">
        <v>-233</v>
      </c>
      <c r="U18" s="409">
        <v>-320</v>
      </c>
      <c r="V18" s="409">
        <v>-152</v>
      </c>
      <c r="W18" s="409">
        <v>156</v>
      </c>
      <c r="X18" s="409">
        <v>-59</v>
      </c>
      <c r="Y18" s="409">
        <v>1</v>
      </c>
      <c r="Z18" s="409">
        <v>-983.5</v>
      </c>
      <c r="AA18" s="409">
        <v>-713</v>
      </c>
      <c r="AB18" s="409">
        <v>-576</v>
      </c>
      <c r="AC18" s="409">
        <v>-1287</v>
      </c>
      <c r="AD18" s="409">
        <v>-1103</v>
      </c>
      <c r="AE18" s="409">
        <v>-1427</v>
      </c>
      <c r="AF18" s="409">
        <v>-1438</v>
      </c>
      <c r="AG18" s="409">
        <v>-982</v>
      </c>
      <c r="AH18" s="409">
        <v>-1246</v>
      </c>
      <c r="AI18" s="409">
        <v>-1331</v>
      </c>
      <c r="AJ18" s="409">
        <v>-525</v>
      </c>
      <c r="AK18" s="409">
        <v>-405</v>
      </c>
      <c r="AL18" s="409">
        <v>-1802</v>
      </c>
      <c r="AM18" s="409">
        <v>-12320</v>
      </c>
      <c r="AN18" s="409">
        <v>-6277</v>
      </c>
      <c r="AO18" s="409">
        <v>-853</v>
      </c>
      <c r="AP18" s="409">
        <v>-1033</v>
      </c>
      <c r="AQ18" s="409">
        <v>-17598</v>
      </c>
      <c r="AR18" s="409">
        <v>-3087</v>
      </c>
      <c r="AS18" s="409">
        <v>-8062</v>
      </c>
      <c r="AT18" s="409">
        <v>-3259</v>
      </c>
      <c r="AU18" s="409">
        <v>-1512</v>
      </c>
      <c r="AV18" s="409">
        <v>-1460</v>
      </c>
      <c r="AW18" s="409">
        <v>-830</v>
      </c>
      <c r="AX18" s="409">
        <v>-1990</v>
      </c>
      <c r="AY18" s="409">
        <v>-156</v>
      </c>
      <c r="AZ18" s="409">
        <v>-1359</v>
      </c>
      <c r="BA18" s="409">
        <v>-1049</v>
      </c>
      <c r="BB18" s="409">
        <v>-1159</v>
      </c>
      <c r="BC18" s="409">
        <v>-259</v>
      </c>
      <c r="BD18" s="409">
        <v>-982</v>
      </c>
      <c r="BE18" s="409">
        <v>-927</v>
      </c>
    </row>
    <row r="19" spans="1:57">
      <c r="A19" s="115" t="s">
        <v>878</v>
      </c>
      <c r="B19" s="115" t="s">
        <v>879</v>
      </c>
      <c r="C19" s="120"/>
      <c r="D19" s="409"/>
      <c r="E19" s="409"/>
      <c r="F19" s="409"/>
      <c r="G19" s="409"/>
      <c r="H19" s="409">
        <v>-578</v>
      </c>
      <c r="I19" s="409">
        <v>-2071</v>
      </c>
      <c r="J19" s="409">
        <v>-2032</v>
      </c>
      <c r="K19" s="409">
        <v>-3173</v>
      </c>
      <c r="L19" s="409">
        <v>-733</v>
      </c>
      <c r="M19" s="409">
        <v>-416</v>
      </c>
      <c r="N19" s="409">
        <v>-707</v>
      </c>
      <c r="O19" s="409">
        <v>-1066</v>
      </c>
      <c r="P19" s="409">
        <v>-525</v>
      </c>
      <c r="Q19" s="409">
        <v>-1819</v>
      </c>
      <c r="R19" s="409">
        <v>-3377</v>
      </c>
      <c r="S19" s="409">
        <v>-5351</v>
      </c>
      <c r="T19" s="409">
        <v>-949</v>
      </c>
      <c r="U19" s="409">
        <v>-2768</v>
      </c>
      <c r="V19" s="409">
        <v>-1394</v>
      </c>
      <c r="W19" s="409">
        <v>-1087</v>
      </c>
      <c r="X19" s="409">
        <v>-1839</v>
      </c>
      <c r="Y19" s="409">
        <v>-733</v>
      </c>
      <c r="Z19" s="409">
        <v>-2597</v>
      </c>
      <c r="AA19" s="409">
        <v>-2944</v>
      </c>
      <c r="AB19" s="409">
        <v>-2058</v>
      </c>
      <c r="AC19" s="409">
        <v>-2511</v>
      </c>
      <c r="AD19" s="409">
        <v>-2216</v>
      </c>
      <c r="AE19" s="409">
        <v>-2646</v>
      </c>
      <c r="AF19" s="409">
        <v>-2323</v>
      </c>
      <c r="AG19" s="409">
        <v>-1684</v>
      </c>
      <c r="AH19" s="409">
        <v>-712</v>
      </c>
      <c r="AI19" s="409">
        <v>-2372</v>
      </c>
      <c r="AJ19" s="409">
        <v>-557</v>
      </c>
      <c r="AK19" s="409">
        <v>-2916</v>
      </c>
      <c r="AL19" s="409">
        <v>-1694</v>
      </c>
      <c r="AM19" s="409">
        <v>-3460</v>
      </c>
      <c r="AN19" s="409">
        <v>-2668</v>
      </c>
      <c r="AO19" s="409">
        <v>-3051</v>
      </c>
      <c r="AP19" s="409">
        <v>-4291</v>
      </c>
      <c r="AQ19" s="409">
        <v>-4747</v>
      </c>
      <c r="AR19" s="409">
        <v>-2560</v>
      </c>
      <c r="AS19" s="409">
        <v>-442</v>
      </c>
      <c r="AT19" s="409">
        <v>-2848</v>
      </c>
      <c r="AU19" s="409">
        <v>2902</v>
      </c>
      <c r="AV19" s="409">
        <v>-3870</v>
      </c>
      <c r="AW19" s="409">
        <v>-404</v>
      </c>
      <c r="AX19" s="409">
        <v>-1675</v>
      </c>
      <c r="AY19" s="409">
        <v>653</v>
      </c>
      <c r="AZ19" s="409">
        <v>598</v>
      </c>
      <c r="BA19" s="409">
        <v>747</v>
      </c>
      <c r="BB19" s="409">
        <v>822</v>
      </c>
      <c r="BC19" s="409">
        <v>-1474</v>
      </c>
      <c r="BD19" s="409">
        <v>420</v>
      </c>
      <c r="BE19" s="409">
        <v>1529</v>
      </c>
    </row>
    <row r="20" spans="1:57">
      <c r="A20" s="115" t="s">
        <v>880</v>
      </c>
      <c r="B20" s="115" t="s">
        <v>881</v>
      </c>
      <c r="C20" s="120"/>
      <c r="D20" s="409"/>
      <c r="E20" s="409"/>
      <c r="F20" s="409"/>
      <c r="G20" s="409"/>
      <c r="H20" s="409">
        <v>0</v>
      </c>
      <c r="I20" s="409">
        <v>0</v>
      </c>
      <c r="J20" s="409">
        <v>0</v>
      </c>
      <c r="K20" s="409">
        <v>0</v>
      </c>
      <c r="L20" s="409">
        <v>0</v>
      </c>
      <c r="M20" s="409">
        <v>0</v>
      </c>
      <c r="N20" s="409">
        <v>0</v>
      </c>
      <c r="O20" s="409">
        <v>0</v>
      </c>
      <c r="P20" s="409">
        <v>-97</v>
      </c>
      <c r="Q20" s="409">
        <v>0</v>
      </c>
      <c r="R20" s="409">
        <v>0</v>
      </c>
      <c r="S20" s="409">
        <v>0</v>
      </c>
      <c r="T20" s="409">
        <v>0</v>
      </c>
      <c r="U20" s="409">
        <v>-52</v>
      </c>
      <c r="V20" s="409">
        <v>9</v>
      </c>
      <c r="W20" s="409">
        <v>-1104</v>
      </c>
      <c r="X20" s="409">
        <v>-96</v>
      </c>
      <c r="Y20" s="409">
        <v>-237</v>
      </c>
      <c r="Z20" s="409">
        <v>-413</v>
      </c>
      <c r="AA20" s="409">
        <v>597</v>
      </c>
      <c r="AB20" s="409">
        <v>-217</v>
      </c>
      <c r="AC20" s="409">
        <v>-144</v>
      </c>
      <c r="AD20" s="409">
        <v>-125</v>
      </c>
      <c r="AE20" s="409">
        <v>-312</v>
      </c>
      <c r="AF20" s="409">
        <v>-202</v>
      </c>
      <c r="AG20" s="409">
        <v>-229</v>
      </c>
      <c r="AH20" s="409"/>
      <c r="AI20" s="409">
        <v>-199</v>
      </c>
      <c r="AJ20" s="409">
        <v>-686</v>
      </c>
      <c r="AK20" s="409">
        <v>-218</v>
      </c>
      <c r="AL20" s="409">
        <v>-162</v>
      </c>
      <c r="AM20" s="409"/>
      <c r="AN20" s="409"/>
      <c r="AO20" s="409">
        <v>-2056</v>
      </c>
      <c r="AP20" s="409">
        <v>-297</v>
      </c>
      <c r="AQ20" s="409">
        <v>-157</v>
      </c>
      <c r="AR20" s="409">
        <v>-894</v>
      </c>
      <c r="AS20" s="409">
        <v>116</v>
      </c>
      <c r="AT20" s="409">
        <v>-364</v>
      </c>
      <c r="AU20" s="409">
        <v>-572</v>
      </c>
      <c r="AV20" s="409">
        <v>171</v>
      </c>
      <c r="AW20" s="409">
        <v>-1487</v>
      </c>
      <c r="AX20" s="409">
        <v>-501</v>
      </c>
      <c r="AY20" s="409">
        <v>-297</v>
      </c>
      <c r="AZ20" s="409">
        <v>-276</v>
      </c>
      <c r="BA20" s="409">
        <v>-936</v>
      </c>
      <c r="BB20" s="409">
        <v>-1101</v>
      </c>
      <c r="BC20" s="409">
        <v>-13491</v>
      </c>
      <c r="BD20" s="409">
        <v>-1224</v>
      </c>
      <c r="BE20" s="409">
        <v>-1305</v>
      </c>
    </row>
    <row r="21" spans="1:57">
      <c r="A21" s="115" t="s">
        <v>95</v>
      </c>
      <c r="B21" s="115" t="s">
        <v>96</v>
      </c>
      <c r="C21" s="324"/>
      <c r="D21" s="409"/>
      <c r="E21" s="409"/>
      <c r="F21" s="409"/>
      <c r="G21" s="409"/>
      <c r="H21" s="409">
        <v>-505</v>
      </c>
      <c r="I21" s="409">
        <v>-92</v>
      </c>
      <c r="J21" s="409">
        <v>-154</v>
      </c>
      <c r="K21" s="409">
        <v>-336</v>
      </c>
      <c r="L21" s="409">
        <v>-111</v>
      </c>
      <c r="M21" s="409">
        <v>-569</v>
      </c>
      <c r="N21" s="409">
        <v>-1213</v>
      </c>
      <c r="O21" s="409">
        <v>-1276</v>
      </c>
      <c r="P21" s="409">
        <v>-1061</v>
      </c>
      <c r="Q21" s="409">
        <v>-1886</v>
      </c>
      <c r="R21" s="409">
        <v>-4310</v>
      </c>
      <c r="S21" s="409">
        <v>-6690</v>
      </c>
      <c r="T21" s="409">
        <v>-1407</v>
      </c>
      <c r="U21" s="409">
        <v>-179</v>
      </c>
      <c r="V21" s="409">
        <v>-297</v>
      </c>
      <c r="W21" s="409">
        <f>-299-404+10</f>
        <v>-693</v>
      </c>
      <c r="X21" s="409">
        <f>-115-56</f>
        <v>-171</v>
      </c>
      <c r="Y21" s="409">
        <f>-1735-532</f>
        <v>-2267</v>
      </c>
      <c r="Z21" s="409">
        <v>-4158</v>
      </c>
      <c r="AA21" s="409">
        <v>-6018</v>
      </c>
      <c r="AB21" s="409">
        <v>-4452</v>
      </c>
      <c r="AC21" s="409">
        <v>-4370</v>
      </c>
      <c r="AD21" s="409">
        <v>-4782</v>
      </c>
      <c r="AE21" s="409">
        <v>-6230</v>
      </c>
      <c r="AF21" s="409">
        <v>-4818</v>
      </c>
      <c r="AG21" s="409">
        <v>-3816</v>
      </c>
      <c r="AH21" s="409">
        <v>-3996</v>
      </c>
      <c r="AI21" s="409">
        <v>-5739</v>
      </c>
      <c r="AJ21" s="409">
        <v>-1976</v>
      </c>
      <c r="AK21" s="409">
        <v>-2342</v>
      </c>
      <c r="AL21" s="409">
        <v>-4079</v>
      </c>
      <c r="AM21" s="409">
        <v>-10658</v>
      </c>
      <c r="AN21" s="409">
        <v>-3404</v>
      </c>
      <c r="AO21" s="409">
        <v>-4769</v>
      </c>
      <c r="AP21" s="409">
        <v>-4040</v>
      </c>
      <c r="AQ21" s="409">
        <v>-11938</v>
      </c>
      <c r="AR21" s="409">
        <v>-10951</v>
      </c>
      <c r="AS21" s="409">
        <v>-10389</v>
      </c>
      <c r="AT21" s="409">
        <v>-17812</v>
      </c>
      <c r="AU21" s="409">
        <v>-29213</v>
      </c>
      <c r="AV21" s="409">
        <v>-23421</v>
      </c>
      <c r="AW21" s="409">
        <v>-24046</v>
      </c>
      <c r="AX21" s="409">
        <v>-22480</v>
      </c>
      <c r="AY21" s="409">
        <v>-30131</v>
      </c>
      <c r="AZ21" s="409">
        <v>-18484</v>
      </c>
      <c r="BA21" s="409">
        <v>-18866</v>
      </c>
      <c r="BB21" s="409">
        <v>-26782</v>
      </c>
      <c r="BC21" s="409">
        <v>-36620</v>
      </c>
      <c r="BD21" s="409">
        <v>-26178</v>
      </c>
      <c r="BE21" s="409">
        <v>-25368</v>
      </c>
    </row>
    <row r="22" spans="1:57">
      <c r="A22" s="115" t="s">
        <v>891</v>
      </c>
      <c r="B22" s="115" t="s">
        <v>985</v>
      </c>
      <c r="C22" s="324"/>
      <c r="D22" s="409"/>
      <c r="E22" s="409"/>
      <c r="F22" s="409"/>
      <c r="G22" s="409"/>
      <c r="H22" s="409"/>
      <c r="I22" s="409"/>
      <c r="J22" s="409"/>
      <c r="K22" s="409"/>
      <c r="L22" s="409"/>
      <c r="M22" s="409"/>
      <c r="N22" s="409"/>
      <c r="O22" s="409"/>
      <c r="P22" s="409"/>
      <c r="Q22" s="409"/>
      <c r="R22" s="409"/>
      <c r="S22" s="409"/>
      <c r="T22" s="409"/>
      <c r="U22" s="409"/>
      <c r="V22" s="409"/>
      <c r="W22" s="409"/>
      <c r="X22" s="409"/>
      <c r="Y22" s="409"/>
      <c r="Z22" s="409"/>
      <c r="AA22" s="409"/>
      <c r="AB22" s="409"/>
      <c r="AC22" s="409"/>
      <c r="AD22" s="409"/>
      <c r="AE22" s="409"/>
      <c r="AF22" s="409"/>
      <c r="AG22" s="409"/>
      <c r="AH22" s="409"/>
      <c r="AI22" s="409"/>
      <c r="AJ22" s="409"/>
      <c r="AK22" s="409"/>
      <c r="AL22" s="409"/>
      <c r="AM22" s="409"/>
      <c r="AN22" s="409"/>
      <c r="AO22" s="409"/>
      <c r="AP22" s="409"/>
      <c r="AQ22" s="409"/>
      <c r="AR22" s="409"/>
      <c r="AS22" s="409"/>
      <c r="AT22" s="409"/>
      <c r="AU22" s="409"/>
      <c r="AV22" s="409">
        <v>-179</v>
      </c>
      <c r="AW22" s="409">
        <v>686</v>
      </c>
      <c r="AX22" s="409">
        <v>-698</v>
      </c>
      <c r="AY22" s="409">
        <v>-813</v>
      </c>
      <c r="AZ22" s="409">
        <v>0</v>
      </c>
      <c r="BA22" s="409">
        <v>0</v>
      </c>
      <c r="BB22" s="409">
        <v>97</v>
      </c>
      <c r="BC22" s="409">
        <v>-2301</v>
      </c>
      <c r="BD22" s="409">
        <v>0</v>
      </c>
      <c r="BE22" s="409">
        <v>459</v>
      </c>
    </row>
    <row r="23" spans="1:57">
      <c r="A23" s="115" t="s">
        <v>887</v>
      </c>
      <c r="B23" s="115" t="s">
        <v>888</v>
      </c>
      <c r="C23" s="324"/>
      <c r="D23" s="409"/>
      <c r="E23" s="409"/>
      <c r="F23" s="409"/>
      <c r="G23" s="409"/>
      <c r="H23" s="409"/>
      <c r="I23" s="409"/>
      <c r="J23" s="409"/>
      <c r="K23" s="409"/>
      <c r="L23" s="409"/>
      <c r="M23" s="409"/>
      <c r="N23" s="409"/>
      <c r="O23" s="409"/>
      <c r="P23" s="409"/>
      <c r="Q23" s="409"/>
      <c r="R23" s="409"/>
      <c r="S23" s="409"/>
      <c r="T23" s="409"/>
      <c r="U23" s="409"/>
      <c r="V23" s="409"/>
      <c r="W23" s="409"/>
      <c r="X23" s="409"/>
      <c r="Y23" s="409"/>
      <c r="Z23" s="409"/>
      <c r="AA23" s="409"/>
      <c r="AB23" s="409"/>
      <c r="AC23" s="409"/>
      <c r="AD23" s="409"/>
      <c r="AE23" s="409"/>
      <c r="AF23" s="409"/>
      <c r="AG23" s="409"/>
      <c r="AH23" s="409"/>
      <c r="AI23" s="409"/>
      <c r="AJ23" s="409"/>
      <c r="AK23" s="409"/>
      <c r="AL23" s="409"/>
      <c r="AM23" s="409"/>
      <c r="AN23" s="409"/>
      <c r="AO23" s="409"/>
      <c r="AP23" s="409"/>
      <c r="AQ23" s="409"/>
      <c r="AR23" s="409"/>
      <c r="AS23" s="409"/>
      <c r="AT23" s="409"/>
      <c r="AU23" s="409"/>
      <c r="AV23" s="409"/>
      <c r="AW23" s="409"/>
      <c r="AX23" s="409"/>
      <c r="AY23" s="409">
        <v>14</v>
      </c>
      <c r="AZ23" s="409">
        <v>0</v>
      </c>
      <c r="BA23" s="409">
        <v>-35</v>
      </c>
      <c r="BB23" s="409">
        <v>-39</v>
      </c>
      <c r="BC23" s="409">
        <v>0</v>
      </c>
      <c r="BD23" s="409">
        <v>0</v>
      </c>
      <c r="BE23" s="409">
        <v>0</v>
      </c>
    </row>
    <row r="24" spans="1:57">
      <c r="A24" s="455" t="s">
        <v>722</v>
      </c>
      <c r="B24" s="455" t="s">
        <v>722</v>
      </c>
      <c r="C24" s="120"/>
      <c r="D24" s="454"/>
      <c r="E24" s="454"/>
      <c r="F24" s="454"/>
      <c r="G24" s="454"/>
      <c r="H24" s="454">
        <f t="shared" ref="H24:AB24" si="12">H13+H14+H16</f>
        <v>25070</v>
      </c>
      <c r="I24" s="454">
        <f t="shared" si="12"/>
        <v>26762</v>
      </c>
      <c r="J24" s="454">
        <f t="shared" si="12"/>
        <v>30008</v>
      </c>
      <c r="K24" s="454">
        <f t="shared" si="12"/>
        <v>35974</v>
      </c>
      <c r="L24" s="454">
        <f t="shared" si="12"/>
        <v>9794</v>
      </c>
      <c r="M24" s="454">
        <f t="shared" si="12"/>
        <v>18977</v>
      </c>
      <c r="N24" s="454">
        <f t="shared" si="12"/>
        <v>16345</v>
      </c>
      <c r="O24" s="454">
        <f t="shared" si="12"/>
        <v>10482</v>
      </c>
      <c r="P24" s="454">
        <f t="shared" si="12"/>
        <v>5864</v>
      </c>
      <c r="Q24" s="454">
        <f t="shared" si="12"/>
        <v>8489</v>
      </c>
      <c r="R24" s="454">
        <f t="shared" si="12"/>
        <v>14103</v>
      </c>
      <c r="S24" s="454">
        <f t="shared" si="12"/>
        <v>21055</v>
      </c>
      <c r="T24" s="454">
        <f t="shared" si="12"/>
        <v>5932</v>
      </c>
      <c r="U24" s="454">
        <f t="shared" si="12"/>
        <v>17532</v>
      </c>
      <c r="V24" s="454">
        <f t="shared" si="12"/>
        <v>11165</v>
      </c>
      <c r="W24" s="454">
        <f t="shared" si="12"/>
        <v>16679</v>
      </c>
      <c r="X24" s="454">
        <f t="shared" si="12"/>
        <v>10041</v>
      </c>
      <c r="Y24" s="454">
        <f t="shared" si="12"/>
        <v>6317</v>
      </c>
      <c r="Z24" s="454">
        <f t="shared" si="12"/>
        <v>7932</v>
      </c>
      <c r="AA24" s="454">
        <f t="shared" si="12"/>
        <v>18125</v>
      </c>
      <c r="AB24" s="454">
        <f t="shared" si="12"/>
        <v>10118</v>
      </c>
      <c r="AC24" s="454">
        <v>10226</v>
      </c>
      <c r="AD24" s="454">
        <v>21061</v>
      </c>
      <c r="AE24" s="454">
        <v>17245</v>
      </c>
      <c r="AF24" s="454">
        <v>10723.000000000013</v>
      </c>
      <c r="AG24" s="454">
        <v>16955</v>
      </c>
      <c r="AH24" s="454">
        <f>AH13+AH14+AH16</f>
        <v>15382</v>
      </c>
      <c r="AI24" s="454">
        <v>139796</v>
      </c>
      <c r="AJ24" s="454">
        <f t="shared" ref="AJ24:AU24" si="13">AJ13+AJ14+AJ16</f>
        <v>8618</v>
      </c>
      <c r="AK24" s="454">
        <f t="shared" si="13"/>
        <v>6606</v>
      </c>
      <c r="AL24" s="454">
        <f t="shared" si="13"/>
        <v>11521</v>
      </c>
      <c r="AM24" s="454">
        <f t="shared" si="13"/>
        <v>-19129</v>
      </c>
      <c r="AN24" s="454">
        <f t="shared" si="13"/>
        <v>3849</v>
      </c>
      <c r="AO24" s="454">
        <f t="shared" si="13"/>
        <v>8020</v>
      </c>
      <c r="AP24" s="454">
        <f t="shared" si="13"/>
        <v>-4852</v>
      </c>
      <c r="AQ24" s="454">
        <f t="shared" si="13"/>
        <v>-34320</v>
      </c>
      <c r="AR24" s="454">
        <f t="shared" si="13"/>
        <v>85844</v>
      </c>
      <c r="AS24" s="454">
        <f t="shared" si="13"/>
        <v>42034</v>
      </c>
      <c r="AT24" s="454">
        <f t="shared" si="13"/>
        <v>46109</v>
      </c>
      <c r="AU24" s="454">
        <f t="shared" si="13"/>
        <v>-176729</v>
      </c>
      <c r="AV24" s="454">
        <f t="shared" ref="AV24:BA24" si="14">AV13+AV14+AV16</f>
        <v>30001</v>
      </c>
      <c r="AW24" s="454">
        <f t="shared" si="14"/>
        <v>9155</v>
      </c>
      <c r="AX24" s="454">
        <f t="shared" si="14"/>
        <v>-25820.066999999981</v>
      </c>
      <c r="AY24" s="454">
        <f t="shared" si="14"/>
        <v>-3357.9330000000191</v>
      </c>
      <c r="AZ24" s="454">
        <f t="shared" si="14"/>
        <v>23747</v>
      </c>
      <c r="BA24" s="454">
        <f t="shared" si="14"/>
        <v>23339</v>
      </c>
      <c r="BB24" s="454">
        <f t="shared" ref="BB24:BD24" si="15">BB13+BB14+BB16</f>
        <v>6807</v>
      </c>
      <c r="BC24" s="454">
        <f t="shared" si="15"/>
        <v>70688</v>
      </c>
      <c r="BD24" s="454">
        <f t="shared" si="15"/>
        <v>-56668</v>
      </c>
      <c r="BE24" s="454">
        <f>BE13+BE14+BE16</f>
        <v>-30792</v>
      </c>
    </row>
    <row r="25" spans="1:57">
      <c r="A25" s="115" t="s">
        <v>893</v>
      </c>
      <c r="B25" s="115" t="s">
        <v>894</v>
      </c>
      <c r="C25" s="112"/>
      <c r="D25" s="409"/>
      <c r="E25" s="409"/>
      <c r="F25" s="409"/>
      <c r="G25" s="409"/>
      <c r="H25" s="409">
        <v>-35</v>
      </c>
      <c r="I25" s="409">
        <v>-70</v>
      </c>
      <c r="J25" s="409">
        <v>-106</v>
      </c>
      <c r="K25" s="409">
        <v>-142</v>
      </c>
      <c r="L25" s="409">
        <v>-29</v>
      </c>
      <c r="M25" s="409">
        <v>-75</v>
      </c>
      <c r="N25" s="409">
        <v>-113</v>
      </c>
      <c r="O25" s="409">
        <v>-153</v>
      </c>
      <c r="P25" s="409">
        <v>-35</v>
      </c>
      <c r="Q25" s="409">
        <v>-61</v>
      </c>
      <c r="R25" s="409">
        <v>-97</v>
      </c>
      <c r="S25" s="409">
        <v>-154</v>
      </c>
      <c r="T25" s="409">
        <v>-7</v>
      </c>
      <c r="U25" s="409">
        <v>-125.6</v>
      </c>
      <c r="V25" s="409">
        <v>-87</v>
      </c>
      <c r="W25" s="409">
        <v>158</v>
      </c>
      <c r="X25" s="409">
        <v>-87</v>
      </c>
      <c r="Y25" s="409">
        <v>-66</v>
      </c>
      <c r="Z25" s="409">
        <v>-92</v>
      </c>
      <c r="AA25" s="409">
        <v>-113</v>
      </c>
      <c r="AB25" s="409">
        <v>-61</v>
      </c>
      <c r="AC25" s="409">
        <v>-73</v>
      </c>
      <c r="AD25" s="409">
        <v>-111</v>
      </c>
      <c r="AE25" s="409">
        <v>-84</v>
      </c>
      <c r="AF25" s="409">
        <v>-41</v>
      </c>
      <c r="AG25" s="409">
        <v>-72</v>
      </c>
      <c r="AH25" s="409">
        <v>-36</v>
      </c>
      <c r="AI25" s="409">
        <v>-43</v>
      </c>
      <c r="AJ25" s="409">
        <v>-48</v>
      </c>
      <c r="AK25" s="409">
        <v>-33</v>
      </c>
      <c r="AL25" s="409">
        <v>0</v>
      </c>
      <c r="AM25" s="409">
        <v>-701</v>
      </c>
      <c r="AN25" s="409">
        <v>-61</v>
      </c>
      <c r="AO25" s="409">
        <v>-63</v>
      </c>
      <c r="AP25" s="409">
        <v>-1182</v>
      </c>
      <c r="AQ25" s="409">
        <v>-1405</v>
      </c>
      <c r="AR25" s="409">
        <v>-1467</v>
      </c>
      <c r="AS25" s="409">
        <v>-1841</v>
      </c>
      <c r="AT25" s="409">
        <v>-1950</v>
      </c>
      <c r="AU25" s="409">
        <v>-2774</v>
      </c>
      <c r="AV25" s="409">
        <v>-2693</v>
      </c>
      <c r="AW25" s="409">
        <v>-2714</v>
      </c>
      <c r="AX25" s="409">
        <v>-4251</v>
      </c>
      <c r="AY25" s="409">
        <v>-4701</v>
      </c>
      <c r="AZ25" s="409">
        <v>-6134</v>
      </c>
      <c r="BA25" s="409">
        <v>-7425</v>
      </c>
      <c r="BB25" s="409">
        <v>-7436</v>
      </c>
      <c r="BC25" s="409">
        <v>-7437</v>
      </c>
      <c r="BD25" s="409">
        <v>-8205</v>
      </c>
      <c r="BE25" s="409">
        <v>-8163</v>
      </c>
    </row>
    <row r="26" spans="1:57" ht="15" thickBot="1">
      <c r="A26" s="115" t="s">
        <v>938</v>
      </c>
      <c r="B26" s="115" t="s">
        <v>972</v>
      </c>
      <c r="C26" s="112"/>
      <c r="D26" s="409"/>
      <c r="E26" s="409"/>
      <c r="F26" s="409"/>
      <c r="G26" s="409"/>
      <c r="H26" s="409"/>
      <c r="I26" s="409"/>
      <c r="J26" s="409"/>
      <c r="K26" s="409"/>
      <c r="L26" s="409"/>
      <c r="M26" s="409"/>
      <c r="N26" s="409"/>
      <c r="O26" s="409"/>
      <c r="P26" s="409"/>
      <c r="Q26" s="409"/>
      <c r="R26" s="409"/>
      <c r="S26" s="409"/>
      <c r="T26" s="409"/>
      <c r="U26" s="409"/>
      <c r="V26" s="409"/>
      <c r="W26" s="409"/>
      <c r="X26" s="409"/>
      <c r="Y26" s="409"/>
      <c r="Z26" s="409"/>
      <c r="AA26" s="409"/>
      <c r="AB26" s="409"/>
      <c r="AC26" s="409"/>
      <c r="AD26" s="409"/>
      <c r="AE26" s="409"/>
      <c r="AF26" s="409"/>
      <c r="AG26" s="409"/>
      <c r="AH26" s="409"/>
      <c r="AI26" s="409"/>
      <c r="AJ26" s="409"/>
      <c r="AK26" s="409"/>
      <c r="AL26" s="409"/>
      <c r="AM26" s="409"/>
      <c r="AN26" s="409"/>
      <c r="AO26" s="409"/>
      <c r="AP26" s="409"/>
      <c r="AQ26" s="409"/>
      <c r="AR26" s="409"/>
      <c r="AS26" s="409"/>
      <c r="AT26" s="409"/>
      <c r="AU26" s="409"/>
      <c r="AV26" s="409"/>
      <c r="AW26" s="409">
        <v>-605</v>
      </c>
      <c r="AX26" s="409">
        <v>15289</v>
      </c>
      <c r="AY26" s="409">
        <v>8408</v>
      </c>
      <c r="AZ26" s="409">
        <v>1169</v>
      </c>
      <c r="BA26" s="409">
        <v>894</v>
      </c>
      <c r="BB26" s="409">
        <v>2095</v>
      </c>
      <c r="BC26" s="409">
        <v>-4158</v>
      </c>
      <c r="BD26" s="409">
        <v>0</v>
      </c>
      <c r="BE26" s="409">
        <v>0</v>
      </c>
    </row>
    <row r="27" spans="1:57" ht="15" thickBot="1">
      <c r="A27" s="118" t="s">
        <v>895</v>
      </c>
      <c r="B27" s="118" t="s">
        <v>896</v>
      </c>
      <c r="C27" s="112"/>
      <c r="D27" s="119"/>
      <c r="E27" s="119"/>
      <c r="F27" s="119"/>
      <c r="G27" s="119"/>
      <c r="H27" s="119">
        <f t="shared" ref="H27:AS27" si="16">H24+H25</f>
        <v>25035</v>
      </c>
      <c r="I27" s="119">
        <f t="shared" si="16"/>
        <v>26692</v>
      </c>
      <c r="J27" s="119">
        <f t="shared" si="16"/>
        <v>29902</v>
      </c>
      <c r="K27" s="119">
        <f t="shared" si="16"/>
        <v>35832</v>
      </c>
      <c r="L27" s="119">
        <f t="shared" si="16"/>
        <v>9765</v>
      </c>
      <c r="M27" s="119">
        <f t="shared" si="16"/>
        <v>18902</v>
      </c>
      <c r="N27" s="119">
        <f t="shared" si="16"/>
        <v>16232</v>
      </c>
      <c r="O27" s="119">
        <f t="shared" si="16"/>
        <v>10329</v>
      </c>
      <c r="P27" s="119">
        <f t="shared" si="16"/>
        <v>5829</v>
      </c>
      <c r="Q27" s="119">
        <f t="shared" si="16"/>
        <v>8428</v>
      </c>
      <c r="R27" s="119">
        <f t="shared" si="16"/>
        <v>14006</v>
      </c>
      <c r="S27" s="119">
        <f t="shared" si="16"/>
        <v>20901</v>
      </c>
      <c r="T27" s="119">
        <f t="shared" si="16"/>
        <v>5925</v>
      </c>
      <c r="U27" s="119">
        <f t="shared" si="16"/>
        <v>17406.400000000001</v>
      </c>
      <c r="V27" s="119">
        <f t="shared" si="16"/>
        <v>11078</v>
      </c>
      <c r="W27" s="119">
        <f t="shared" si="16"/>
        <v>16837</v>
      </c>
      <c r="X27" s="119">
        <f t="shared" si="16"/>
        <v>9954</v>
      </c>
      <c r="Y27" s="119">
        <f t="shared" si="16"/>
        <v>6251</v>
      </c>
      <c r="Z27" s="119">
        <f t="shared" si="16"/>
        <v>7840</v>
      </c>
      <c r="AA27" s="119">
        <f t="shared" si="16"/>
        <v>18012</v>
      </c>
      <c r="AB27" s="119">
        <f t="shared" si="16"/>
        <v>10057</v>
      </c>
      <c r="AC27" s="119">
        <f t="shared" si="16"/>
        <v>10153</v>
      </c>
      <c r="AD27" s="119">
        <f t="shared" si="16"/>
        <v>20950</v>
      </c>
      <c r="AE27" s="119">
        <f t="shared" si="16"/>
        <v>17161</v>
      </c>
      <c r="AF27" s="119">
        <f t="shared" si="16"/>
        <v>10682.000000000013</v>
      </c>
      <c r="AG27" s="119">
        <f t="shared" si="16"/>
        <v>16883</v>
      </c>
      <c r="AH27" s="119">
        <f t="shared" si="16"/>
        <v>15346</v>
      </c>
      <c r="AI27" s="119">
        <f t="shared" si="16"/>
        <v>139753</v>
      </c>
      <c r="AJ27" s="119">
        <f t="shared" si="16"/>
        <v>8570</v>
      </c>
      <c r="AK27" s="119">
        <f t="shared" si="16"/>
        <v>6573</v>
      </c>
      <c r="AL27" s="119">
        <f t="shared" si="16"/>
        <v>11521</v>
      </c>
      <c r="AM27" s="119">
        <f t="shared" si="16"/>
        <v>-19830</v>
      </c>
      <c r="AN27" s="119">
        <f t="shared" si="16"/>
        <v>3788</v>
      </c>
      <c r="AO27" s="119">
        <f t="shared" si="16"/>
        <v>7957</v>
      </c>
      <c r="AP27" s="119">
        <f t="shared" si="16"/>
        <v>-6034</v>
      </c>
      <c r="AQ27" s="119">
        <f t="shared" si="16"/>
        <v>-35725</v>
      </c>
      <c r="AR27" s="119">
        <f t="shared" si="16"/>
        <v>84377</v>
      </c>
      <c r="AS27" s="119">
        <f t="shared" si="16"/>
        <v>40193</v>
      </c>
      <c r="AT27" s="119">
        <f>AT24+AT25</f>
        <v>44159</v>
      </c>
      <c r="AU27" s="119">
        <f>AU24+AU25</f>
        <v>-179503</v>
      </c>
      <c r="AV27" s="119">
        <f>AV24+AV25</f>
        <v>27308</v>
      </c>
      <c r="AW27" s="119">
        <f t="shared" ref="AW27:BD27" si="17">AW24+SUM(AW25:AW26)</f>
        <v>5836</v>
      </c>
      <c r="AX27" s="119">
        <f t="shared" si="17"/>
        <v>-14782.066999999981</v>
      </c>
      <c r="AY27" s="119">
        <f t="shared" si="17"/>
        <v>349.06699999998091</v>
      </c>
      <c r="AZ27" s="119">
        <f t="shared" si="17"/>
        <v>18782</v>
      </c>
      <c r="BA27" s="119">
        <f t="shared" si="17"/>
        <v>16808</v>
      </c>
      <c r="BB27" s="119">
        <f t="shared" si="17"/>
        <v>1466</v>
      </c>
      <c r="BC27" s="119">
        <f t="shared" si="17"/>
        <v>59093</v>
      </c>
      <c r="BD27" s="119">
        <f t="shared" si="17"/>
        <v>-64873</v>
      </c>
      <c r="BE27" s="119">
        <f>BE24+SUM(BE25:BE26)</f>
        <v>-38955</v>
      </c>
    </row>
    <row r="28" spans="1:57" ht="15" thickBot="1">
      <c r="A28" s="118" t="s">
        <v>994</v>
      </c>
      <c r="B28" s="118" t="s">
        <v>898</v>
      </c>
      <c r="C28" s="112"/>
      <c r="D28" s="119"/>
      <c r="E28" s="119"/>
      <c r="F28" s="119"/>
      <c r="G28" s="119"/>
      <c r="H28" s="119">
        <f t="shared" ref="H28:AN28" si="18">SUM(H29:H30)</f>
        <v>425</v>
      </c>
      <c r="I28" s="119">
        <f t="shared" si="18"/>
        <v>1452</v>
      </c>
      <c r="J28" s="119">
        <f t="shared" si="18"/>
        <v>2759</v>
      </c>
      <c r="K28" s="119">
        <f t="shared" si="18"/>
        <v>4075</v>
      </c>
      <c r="L28" s="119">
        <f t="shared" si="18"/>
        <v>925</v>
      </c>
      <c r="M28" s="119">
        <f t="shared" si="18"/>
        <v>2883</v>
      </c>
      <c r="N28" s="119">
        <f t="shared" si="18"/>
        <v>4843</v>
      </c>
      <c r="O28" s="119">
        <f t="shared" si="18"/>
        <v>6476</v>
      </c>
      <c r="P28" s="119">
        <f t="shared" si="18"/>
        <v>1252</v>
      </c>
      <c r="Q28" s="119">
        <f t="shared" si="18"/>
        <v>2074</v>
      </c>
      <c r="R28" s="119">
        <f t="shared" si="18"/>
        <v>3395</v>
      </c>
      <c r="S28" s="119">
        <f t="shared" si="18"/>
        <v>5627</v>
      </c>
      <c r="T28" s="119">
        <f t="shared" si="18"/>
        <v>868</v>
      </c>
      <c r="U28" s="119">
        <f t="shared" si="18"/>
        <v>1713</v>
      </c>
      <c r="V28" s="119">
        <f t="shared" si="18"/>
        <v>1882</v>
      </c>
      <c r="W28" s="119">
        <f t="shared" si="18"/>
        <v>2043</v>
      </c>
      <c r="X28" s="119">
        <f t="shared" si="18"/>
        <v>1043</v>
      </c>
      <c r="Y28" s="119">
        <f t="shared" si="18"/>
        <v>739</v>
      </c>
      <c r="Z28" s="119">
        <f t="shared" si="18"/>
        <v>1428</v>
      </c>
      <c r="AA28" s="119">
        <f t="shared" si="18"/>
        <v>1775</v>
      </c>
      <c r="AB28" s="119">
        <f t="shared" si="18"/>
        <v>920</v>
      </c>
      <c r="AC28" s="119">
        <f t="shared" si="18"/>
        <v>1347</v>
      </c>
      <c r="AD28" s="119">
        <f t="shared" si="18"/>
        <v>1305</v>
      </c>
      <c r="AE28" s="119">
        <f t="shared" si="18"/>
        <v>22848</v>
      </c>
      <c r="AF28" s="119">
        <f t="shared" si="18"/>
        <v>781</v>
      </c>
      <c r="AG28" s="119">
        <f t="shared" si="18"/>
        <v>953</v>
      </c>
      <c r="AH28" s="119">
        <f t="shared" si="18"/>
        <v>-5418</v>
      </c>
      <c r="AI28" s="119">
        <f t="shared" si="18"/>
        <v>1942</v>
      </c>
      <c r="AJ28" s="119">
        <f t="shared" si="18"/>
        <v>599</v>
      </c>
      <c r="AK28" s="119">
        <f t="shared" si="18"/>
        <v>394</v>
      </c>
      <c r="AL28" s="119">
        <f t="shared" si="18"/>
        <v>912</v>
      </c>
      <c r="AM28" s="119">
        <f t="shared" si="18"/>
        <v>1518</v>
      </c>
      <c r="AN28" s="119">
        <f t="shared" si="18"/>
        <v>1183</v>
      </c>
      <c r="AO28" s="119">
        <f>SUM(AO29:AO30)</f>
        <v>1036</v>
      </c>
      <c r="AP28" s="119">
        <f>SUM(AP29:AP30)</f>
        <v>1405</v>
      </c>
      <c r="AQ28" s="119">
        <f>SUM(AQ29:AQ30)</f>
        <v>-412</v>
      </c>
      <c r="AR28" s="119">
        <f>SUM(AR29:AR30)</f>
        <v>1720</v>
      </c>
      <c r="AS28" s="119">
        <f>SUM(AS29:AS30)</f>
        <v>-376</v>
      </c>
      <c r="AT28" s="119">
        <f t="shared" ref="AT28:AY28" si="19">SUM(AT29:AT30)</f>
        <v>-2129</v>
      </c>
      <c r="AU28" s="119">
        <f t="shared" si="19"/>
        <v>-3521</v>
      </c>
      <c r="AV28" s="119">
        <f t="shared" si="19"/>
        <v>-4922</v>
      </c>
      <c r="AW28" s="119">
        <f t="shared" si="19"/>
        <v>-9252</v>
      </c>
      <c r="AX28" s="119">
        <f t="shared" si="19"/>
        <v>-5441</v>
      </c>
      <c r="AY28" s="119">
        <f t="shared" si="19"/>
        <v>-6239</v>
      </c>
      <c r="AZ28" s="119">
        <f t="shared" ref="AZ28:BE28" si="20">SUM(AZ29:AZ30)</f>
        <v>-2706</v>
      </c>
      <c r="BA28" s="119">
        <f t="shared" si="20"/>
        <v>-2780</v>
      </c>
      <c r="BB28" s="119">
        <f t="shared" si="20"/>
        <v>271</v>
      </c>
      <c r="BC28" s="119">
        <f t="shared" si="20"/>
        <v>-664</v>
      </c>
      <c r="BD28" s="119">
        <f t="shared" si="20"/>
        <v>-1053</v>
      </c>
      <c r="BE28" s="119">
        <f t="shared" si="20"/>
        <v>-553</v>
      </c>
    </row>
    <row r="29" spans="1:57">
      <c r="A29" s="115" t="s">
        <v>727</v>
      </c>
      <c r="B29" s="115" t="s">
        <v>898</v>
      </c>
      <c r="C29" s="112"/>
      <c r="D29" s="409"/>
      <c r="E29" s="409"/>
      <c r="F29" s="409"/>
      <c r="G29" s="409"/>
      <c r="H29" s="409">
        <v>497</v>
      </c>
      <c r="I29" s="409">
        <v>1591</v>
      </c>
      <c r="J29" s="409">
        <v>2941</v>
      </c>
      <c r="K29" s="409">
        <v>4328</v>
      </c>
      <c r="L29" s="409">
        <v>994</v>
      </c>
      <c r="M29" s="409">
        <v>3139</v>
      </c>
      <c r="N29" s="409">
        <v>5127</v>
      </c>
      <c r="O29" s="409">
        <v>6890</v>
      </c>
      <c r="P29" s="409">
        <v>1397</v>
      </c>
      <c r="Q29" s="409">
        <v>2811</v>
      </c>
      <c r="R29" s="409">
        <v>4715</v>
      </c>
      <c r="S29" s="409">
        <v>6821</v>
      </c>
      <c r="T29" s="409">
        <v>908</v>
      </c>
      <c r="U29" s="409">
        <v>1810</v>
      </c>
      <c r="V29" s="409">
        <v>1903</v>
      </c>
      <c r="W29" s="409">
        <v>2148</v>
      </c>
      <c r="X29" s="409">
        <v>1088</v>
      </c>
      <c r="Y29" s="409">
        <v>798</v>
      </c>
      <c r="Z29" s="409">
        <v>1506</v>
      </c>
      <c r="AA29" s="409">
        <v>1962</v>
      </c>
      <c r="AB29" s="409">
        <v>990</v>
      </c>
      <c r="AC29" s="409">
        <v>1341</v>
      </c>
      <c r="AD29" s="409">
        <v>1436</v>
      </c>
      <c r="AE29" s="409">
        <v>22817</v>
      </c>
      <c r="AF29" s="409">
        <v>809</v>
      </c>
      <c r="AG29" s="409">
        <v>981</v>
      </c>
      <c r="AH29" s="409">
        <v>717</v>
      </c>
      <c r="AI29" s="409">
        <v>1809</v>
      </c>
      <c r="AJ29" s="409">
        <v>627</v>
      </c>
      <c r="AK29" s="409">
        <v>716</v>
      </c>
      <c r="AL29" s="409">
        <v>954</v>
      </c>
      <c r="AM29" s="409">
        <v>1771</v>
      </c>
      <c r="AN29" s="409">
        <v>5260</v>
      </c>
      <c r="AO29" s="409">
        <v>6792</v>
      </c>
      <c r="AP29" s="409">
        <v>12100</v>
      </c>
      <c r="AQ29" s="409">
        <v>9494</v>
      </c>
      <c r="AR29" s="409">
        <v>15333</v>
      </c>
      <c r="AS29" s="409">
        <v>13461</v>
      </c>
      <c r="AT29" s="409">
        <v>4893</v>
      </c>
      <c r="AU29" s="409">
        <v>6216</v>
      </c>
      <c r="AV29" s="409">
        <v>9175</v>
      </c>
      <c r="AW29" s="409">
        <v>16897</v>
      </c>
      <c r="AX29" s="409">
        <v>5666</v>
      </c>
      <c r="AY29" s="409">
        <v>32605</v>
      </c>
      <c r="AZ29" s="409">
        <v>13636</v>
      </c>
      <c r="BA29" s="409">
        <v>4034</v>
      </c>
      <c r="BB29" s="409">
        <v>6638</v>
      </c>
      <c r="BC29" s="409">
        <v>3181</v>
      </c>
      <c r="BD29" s="409">
        <v>6649</v>
      </c>
      <c r="BE29" s="409">
        <v>5783</v>
      </c>
    </row>
    <row r="30" spans="1:57" ht="15" thickBot="1">
      <c r="A30" s="115" t="s">
        <v>744</v>
      </c>
      <c r="B30" s="115" t="s">
        <v>745</v>
      </c>
      <c r="C30" s="112"/>
      <c r="D30" s="409"/>
      <c r="E30" s="409"/>
      <c r="F30" s="409"/>
      <c r="G30" s="409"/>
      <c r="H30" s="409">
        <v>-72</v>
      </c>
      <c r="I30" s="409">
        <v>-139</v>
      </c>
      <c r="J30" s="409">
        <v>-182</v>
      </c>
      <c r="K30" s="409">
        <v>-253</v>
      </c>
      <c r="L30" s="409">
        <v>-69</v>
      </c>
      <c r="M30" s="409">
        <v>-256</v>
      </c>
      <c r="N30" s="409">
        <v>-284</v>
      </c>
      <c r="O30" s="409">
        <v>-414</v>
      </c>
      <c r="P30" s="409">
        <v>-145</v>
      </c>
      <c r="Q30" s="409">
        <v>-737</v>
      </c>
      <c r="R30" s="409">
        <v>-1320</v>
      </c>
      <c r="S30" s="409">
        <v>-1194</v>
      </c>
      <c r="T30" s="409">
        <v>-40</v>
      </c>
      <c r="U30" s="409">
        <v>-97</v>
      </c>
      <c r="V30" s="409">
        <v>-21</v>
      </c>
      <c r="W30" s="409">
        <v>-105</v>
      </c>
      <c r="X30" s="409">
        <v>-45</v>
      </c>
      <c r="Y30" s="409">
        <v>-59</v>
      </c>
      <c r="Z30" s="409">
        <v>-78</v>
      </c>
      <c r="AA30" s="409">
        <v>-187</v>
      </c>
      <c r="AB30" s="409">
        <v>-70</v>
      </c>
      <c r="AC30" s="409">
        <v>6</v>
      </c>
      <c r="AD30" s="409">
        <v>-131</v>
      </c>
      <c r="AE30" s="409">
        <v>31</v>
      </c>
      <c r="AF30" s="409">
        <v>-28</v>
      </c>
      <c r="AG30" s="409">
        <v>-28</v>
      </c>
      <c r="AH30" s="409">
        <v>-6135</v>
      </c>
      <c r="AI30" s="409">
        <v>133</v>
      </c>
      <c r="AJ30" s="409">
        <v>-28</v>
      </c>
      <c r="AK30" s="409">
        <v>-322</v>
      </c>
      <c r="AL30" s="409">
        <v>-42</v>
      </c>
      <c r="AM30" s="409">
        <v>-253</v>
      </c>
      <c r="AN30" s="409">
        <v>-4077</v>
      </c>
      <c r="AO30" s="409">
        <v>-5756</v>
      </c>
      <c r="AP30" s="409">
        <v>-10695</v>
      </c>
      <c r="AQ30" s="409">
        <v>-9906</v>
      </c>
      <c r="AR30" s="409">
        <v>-13613</v>
      </c>
      <c r="AS30" s="409">
        <v>-13837</v>
      </c>
      <c r="AT30" s="409">
        <v>-7022</v>
      </c>
      <c r="AU30" s="409">
        <v>-9737</v>
      </c>
      <c r="AV30" s="409">
        <v>-14097</v>
      </c>
      <c r="AW30" s="409">
        <v>-26149</v>
      </c>
      <c r="AX30" s="409">
        <v>-11107</v>
      </c>
      <c r="AY30" s="409">
        <v>-38844</v>
      </c>
      <c r="AZ30" s="409">
        <v>-16342</v>
      </c>
      <c r="BA30" s="409">
        <v>-6814</v>
      </c>
      <c r="BB30" s="409">
        <v>-6367</v>
      </c>
      <c r="BC30" s="409">
        <v>-3845</v>
      </c>
      <c r="BD30" s="409">
        <v>-7702</v>
      </c>
      <c r="BE30" s="409">
        <v>-6336</v>
      </c>
    </row>
    <row r="31" spans="1:57" ht="15" thickBot="1">
      <c r="A31" s="118" t="s">
        <v>899</v>
      </c>
      <c r="B31" s="118" t="s">
        <v>724</v>
      </c>
      <c r="C31" s="112"/>
      <c r="D31" s="119"/>
      <c r="E31" s="119"/>
      <c r="F31" s="119"/>
      <c r="G31" s="119"/>
      <c r="H31" s="119">
        <f t="shared" ref="H31:AB31" si="21">H27+H28</f>
        <v>25460</v>
      </c>
      <c r="I31" s="119">
        <f t="shared" si="21"/>
        <v>28144</v>
      </c>
      <c r="J31" s="119">
        <f t="shared" si="21"/>
        <v>32661</v>
      </c>
      <c r="K31" s="119">
        <f t="shared" si="21"/>
        <v>39907</v>
      </c>
      <c r="L31" s="119">
        <f t="shared" si="21"/>
        <v>10690</v>
      </c>
      <c r="M31" s="119">
        <f t="shared" si="21"/>
        <v>21785</v>
      </c>
      <c r="N31" s="119">
        <f t="shared" si="21"/>
        <v>21075</v>
      </c>
      <c r="O31" s="119">
        <f t="shared" si="21"/>
        <v>16805</v>
      </c>
      <c r="P31" s="119">
        <f t="shared" si="21"/>
        <v>7081</v>
      </c>
      <c r="Q31" s="119">
        <f t="shared" si="21"/>
        <v>10502</v>
      </c>
      <c r="R31" s="119">
        <f t="shared" si="21"/>
        <v>17401</v>
      </c>
      <c r="S31" s="119">
        <f t="shared" si="21"/>
        <v>26528</v>
      </c>
      <c r="T31" s="119">
        <f t="shared" si="21"/>
        <v>6793</v>
      </c>
      <c r="U31" s="119">
        <f t="shared" si="21"/>
        <v>19119.400000000001</v>
      </c>
      <c r="V31" s="119">
        <f t="shared" si="21"/>
        <v>12960</v>
      </c>
      <c r="W31" s="119">
        <f t="shared" si="21"/>
        <v>18880</v>
      </c>
      <c r="X31" s="119">
        <f t="shared" si="21"/>
        <v>10997</v>
      </c>
      <c r="Y31" s="119">
        <f t="shared" si="21"/>
        <v>6990</v>
      </c>
      <c r="Z31" s="119">
        <f t="shared" si="21"/>
        <v>9268</v>
      </c>
      <c r="AA31" s="119">
        <f t="shared" si="21"/>
        <v>19787</v>
      </c>
      <c r="AB31" s="119">
        <f t="shared" si="21"/>
        <v>10977</v>
      </c>
      <c r="AC31" s="119">
        <v>11500</v>
      </c>
      <c r="AD31" s="119">
        <v>22255</v>
      </c>
      <c r="AE31" s="119">
        <v>40009</v>
      </c>
      <c r="AF31" s="119">
        <v>11463.000000000013</v>
      </c>
      <c r="AG31" s="119">
        <f>AG27+AG28</f>
        <v>17836</v>
      </c>
      <c r="AH31" s="119">
        <f>AH27+AH28</f>
        <v>9928</v>
      </c>
      <c r="AI31" s="119">
        <v>141695</v>
      </c>
      <c r="AJ31" s="119">
        <f t="shared" ref="AJ31:AS31" si="22">AJ27+AJ28</f>
        <v>9169</v>
      </c>
      <c r="AK31" s="119">
        <f t="shared" si="22"/>
        <v>6967</v>
      </c>
      <c r="AL31" s="119">
        <f t="shared" si="22"/>
        <v>12433</v>
      </c>
      <c r="AM31" s="119">
        <f t="shared" si="22"/>
        <v>-18312</v>
      </c>
      <c r="AN31" s="119">
        <f t="shared" si="22"/>
        <v>4971</v>
      </c>
      <c r="AO31" s="119">
        <f t="shared" si="22"/>
        <v>8993</v>
      </c>
      <c r="AP31" s="119">
        <f t="shared" si="22"/>
        <v>-4629</v>
      </c>
      <c r="AQ31" s="119">
        <f t="shared" si="22"/>
        <v>-36137</v>
      </c>
      <c r="AR31" s="119">
        <f t="shared" si="22"/>
        <v>86097</v>
      </c>
      <c r="AS31" s="119">
        <f t="shared" si="22"/>
        <v>39817</v>
      </c>
      <c r="AT31" s="119">
        <f t="shared" ref="AT31:AZ31" si="23">AT27+AT28</f>
        <v>42030</v>
      </c>
      <c r="AU31" s="119">
        <f t="shared" si="23"/>
        <v>-183024</v>
      </c>
      <c r="AV31" s="119">
        <f t="shared" si="23"/>
        <v>22386</v>
      </c>
      <c r="AW31" s="119">
        <f t="shared" si="23"/>
        <v>-3416</v>
      </c>
      <c r="AX31" s="119">
        <f t="shared" si="23"/>
        <v>-20223.066999999981</v>
      </c>
      <c r="AY31" s="119">
        <f t="shared" si="23"/>
        <v>-5889.9330000000191</v>
      </c>
      <c r="AZ31" s="119">
        <f t="shared" si="23"/>
        <v>16076</v>
      </c>
      <c r="BA31" s="119">
        <f>BA27+BA28</f>
        <v>14028</v>
      </c>
      <c r="BB31" s="119">
        <f>BB27+BB28</f>
        <v>1737</v>
      </c>
      <c r="BC31" s="119">
        <f>BC27+BC28</f>
        <v>58429</v>
      </c>
      <c r="BD31" s="119">
        <f>BD27+BD28</f>
        <v>-65926</v>
      </c>
      <c r="BE31" s="119">
        <f>BE27+BE28</f>
        <v>-39508</v>
      </c>
    </row>
    <row r="32" spans="1:57">
      <c r="A32" s="115" t="s">
        <v>768</v>
      </c>
      <c r="B32" s="115" t="s">
        <v>769</v>
      </c>
      <c r="C32" s="112"/>
      <c r="D32" s="409"/>
      <c r="E32" s="409"/>
      <c r="F32" s="409"/>
      <c r="G32" s="409"/>
      <c r="H32" s="409">
        <v>-2345</v>
      </c>
      <c r="I32" s="409">
        <v>-2786</v>
      </c>
      <c r="J32" s="409">
        <v>-3224</v>
      </c>
      <c r="K32" s="409">
        <v>-3871</v>
      </c>
      <c r="L32" s="409">
        <v>-1132</v>
      </c>
      <c r="M32" s="409">
        <v>-1958</v>
      </c>
      <c r="N32" s="409">
        <v>-1988</v>
      </c>
      <c r="O32" s="409">
        <v>-1558</v>
      </c>
      <c r="P32" s="409">
        <v>-486</v>
      </c>
      <c r="Q32" s="409">
        <v>-741</v>
      </c>
      <c r="R32" s="409">
        <v>-1227</v>
      </c>
      <c r="S32" s="409">
        <v>-1918</v>
      </c>
      <c r="T32" s="409">
        <v>-683</v>
      </c>
      <c r="U32" s="409">
        <v>-1773</v>
      </c>
      <c r="V32" s="409">
        <v>-1419</v>
      </c>
      <c r="W32" s="409">
        <v>-2249</v>
      </c>
      <c r="X32" s="409">
        <v>-1110</v>
      </c>
      <c r="Y32" s="409">
        <v>-619</v>
      </c>
      <c r="Z32" s="409">
        <v>-661</v>
      </c>
      <c r="AA32" s="409">
        <v>-1800</v>
      </c>
      <c r="AB32" s="409">
        <v>-980</v>
      </c>
      <c r="AC32" s="409">
        <v>-1012.9999999999999</v>
      </c>
      <c r="AD32" s="409">
        <v>-2012</v>
      </c>
      <c r="AE32" s="409">
        <v>-1925</v>
      </c>
      <c r="AF32" s="409">
        <v>-1445</v>
      </c>
      <c r="AG32" s="409">
        <v>-1210</v>
      </c>
      <c r="AH32" s="409">
        <v>-1005</v>
      </c>
      <c r="AI32" s="409">
        <v>-2101</v>
      </c>
      <c r="AJ32" s="409">
        <v>-392</v>
      </c>
      <c r="AK32" s="409">
        <v>-912</v>
      </c>
      <c r="AL32" s="409">
        <v>-1146</v>
      </c>
      <c r="AM32" s="409">
        <v>-1764</v>
      </c>
      <c r="AN32" s="409">
        <v>-785</v>
      </c>
      <c r="AO32" s="409">
        <v>-1057</v>
      </c>
      <c r="AP32" s="409">
        <v>-191</v>
      </c>
      <c r="AQ32" s="409">
        <v>-1295</v>
      </c>
      <c r="AR32" s="409">
        <v>-1693</v>
      </c>
      <c r="AS32" s="409">
        <v>-2120</v>
      </c>
      <c r="AT32" s="409">
        <v>-2458</v>
      </c>
      <c r="AU32" s="409">
        <v>-1038</v>
      </c>
      <c r="AV32" s="409">
        <v>-1324</v>
      </c>
      <c r="AW32" s="409">
        <v>-1965</v>
      </c>
      <c r="AX32" s="409">
        <v>-639</v>
      </c>
      <c r="AY32" s="409">
        <v>908</v>
      </c>
      <c r="AZ32" s="409">
        <v>-2048</v>
      </c>
      <c r="BA32" s="409">
        <v>-2497</v>
      </c>
      <c r="BB32" s="409">
        <v>-1175</v>
      </c>
      <c r="BC32" s="409">
        <v>-2228</v>
      </c>
      <c r="BD32" s="409">
        <v>-1849</v>
      </c>
      <c r="BE32" s="409">
        <v>-2283</v>
      </c>
    </row>
    <row r="33" spans="1:57">
      <c r="A33" s="115" t="s">
        <v>770</v>
      </c>
      <c r="B33" s="115" t="s">
        <v>771</v>
      </c>
      <c r="C33" s="112"/>
      <c r="D33" s="409"/>
      <c r="E33" s="409"/>
      <c r="F33" s="409"/>
      <c r="G33" s="409"/>
      <c r="H33" s="409">
        <v>-6542</v>
      </c>
      <c r="I33" s="409">
        <v>-7760</v>
      </c>
      <c r="J33" s="409">
        <v>-8960</v>
      </c>
      <c r="K33" s="409">
        <v>-10684</v>
      </c>
      <c r="L33" s="409">
        <v>-2614</v>
      </c>
      <c r="M33" s="409">
        <v>-5356</v>
      </c>
      <c r="N33" s="409">
        <v>-5425</v>
      </c>
      <c r="O33" s="409">
        <v>-4213</v>
      </c>
      <c r="P33" s="409">
        <v>-1320</v>
      </c>
      <c r="Q33" s="409">
        <v>-1960</v>
      </c>
      <c r="R33" s="409">
        <v>-2918</v>
      </c>
      <c r="S33" s="409">
        <v>-5114</v>
      </c>
      <c r="T33" s="409">
        <v>-1869</v>
      </c>
      <c r="U33" s="409">
        <v>-4868</v>
      </c>
      <c r="V33" s="409">
        <v>-3854</v>
      </c>
      <c r="W33" s="409">
        <v>-6063</v>
      </c>
      <c r="X33" s="409">
        <v>-3096</v>
      </c>
      <c r="Y33" s="409">
        <v>-1657</v>
      </c>
      <c r="Z33" s="409">
        <v>-1811</v>
      </c>
      <c r="AA33" s="409">
        <v>-4901</v>
      </c>
      <c r="AB33" s="409">
        <v>-2727</v>
      </c>
      <c r="AC33" s="409">
        <v>-2743</v>
      </c>
      <c r="AD33" s="409">
        <v>-5546</v>
      </c>
      <c r="AE33" s="409">
        <v>-5619</v>
      </c>
      <c r="AF33" s="409">
        <v>-4018</v>
      </c>
      <c r="AG33" s="409">
        <v>-3349</v>
      </c>
      <c r="AH33" s="409">
        <v>-2883</v>
      </c>
      <c r="AI33" s="409">
        <v>-5745</v>
      </c>
      <c r="AJ33" s="409">
        <v>-1123</v>
      </c>
      <c r="AK33" s="409">
        <v>-2391</v>
      </c>
      <c r="AL33" s="409">
        <v>-3142</v>
      </c>
      <c r="AM33" s="409">
        <v>-4621</v>
      </c>
      <c r="AN33" s="409">
        <v>-2018</v>
      </c>
      <c r="AO33" s="409">
        <v>-2925</v>
      </c>
      <c r="AP33" s="409">
        <v>-506</v>
      </c>
      <c r="AQ33" s="409">
        <v>-3488</v>
      </c>
      <c r="AR33" s="409">
        <v>-4513</v>
      </c>
      <c r="AS33" s="409">
        <v>-5370</v>
      </c>
      <c r="AT33" s="409">
        <v>-6305</v>
      </c>
      <c r="AU33" s="409">
        <v>-2457</v>
      </c>
      <c r="AV33" s="409">
        <v>-3594</v>
      </c>
      <c r="AW33" s="409">
        <v>-5851</v>
      </c>
      <c r="AX33" s="409">
        <v>-1194</v>
      </c>
      <c r="AY33" s="409">
        <v>2479</v>
      </c>
      <c r="AZ33" s="409">
        <v>-5539</v>
      </c>
      <c r="BA33" s="409">
        <v>-6758</v>
      </c>
      <c r="BB33" s="409">
        <v>-3180</v>
      </c>
      <c r="BC33" s="409">
        <v>-6085</v>
      </c>
      <c r="BD33" s="409">
        <v>-5039</v>
      </c>
      <c r="BE33" s="409">
        <v>-6667</v>
      </c>
    </row>
    <row r="34" spans="1:57">
      <c r="A34" s="115" t="s">
        <v>772</v>
      </c>
      <c r="B34" s="115" t="s">
        <v>901</v>
      </c>
      <c r="C34" s="112"/>
      <c r="D34" s="409"/>
      <c r="E34" s="409"/>
      <c r="F34" s="409"/>
      <c r="G34" s="409"/>
      <c r="H34" s="409"/>
      <c r="I34" s="409"/>
      <c r="J34" s="409"/>
      <c r="K34" s="409"/>
      <c r="L34" s="409"/>
      <c r="M34" s="409"/>
      <c r="N34" s="409"/>
      <c r="O34" s="409"/>
      <c r="P34" s="409"/>
      <c r="Q34" s="409"/>
      <c r="R34" s="409"/>
      <c r="S34" s="409"/>
      <c r="T34" s="409"/>
      <c r="U34" s="409"/>
      <c r="V34" s="409"/>
      <c r="W34" s="409"/>
      <c r="X34" s="409"/>
      <c r="Y34" s="409"/>
      <c r="Z34" s="409"/>
      <c r="AA34" s="409"/>
      <c r="AB34" s="409"/>
      <c r="AC34" s="409"/>
      <c r="AD34" s="409">
        <v>94</v>
      </c>
      <c r="AE34" s="409">
        <v>-6656</v>
      </c>
      <c r="AF34" s="409">
        <v>0</v>
      </c>
      <c r="AG34" s="409">
        <v>335</v>
      </c>
      <c r="AH34" s="409">
        <v>209</v>
      </c>
      <c r="AI34" s="409">
        <v>-40351</v>
      </c>
      <c r="AJ34" s="409">
        <v>0</v>
      </c>
      <c r="AK34" s="409"/>
      <c r="AL34" s="409">
        <v>52</v>
      </c>
      <c r="AM34" s="409">
        <v>0</v>
      </c>
      <c r="AN34" s="409"/>
      <c r="AO34" s="409"/>
      <c r="AP34" s="409">
        <v>-37</v>
      </c>
      <c r="AQ34" s="409">
        <v>37</v>
      </c>
      <c r="AR34" s="409">
        <v>0</v>
      </c>
      <c r="AS34" s="409">
        <v>0</v>
      </c>
      <c r="AT34" s="409">
        <v>0</v>
      </c>
      <c r="AU34" s="409">
        <v>0</v>
      </c>
      <c r="AV34" s="409">
        <v>-6157</v>
      </c>
      <c r="AW34" s="409">
        <v>118</v>
      </c>
      <c r="AX34" s="409">
        <v>6982</v>
      </c>
      <c r="AY34" s="409">
        <v>2497</v>
      </c>
      <c r="AZ34" s="409">
        <v>-8423</v>
      </c>
      <c r="BA34" s="409">
        <v>2764</v>
      </c>
      <c r="BB34" s="409">
        <v>-4324</v>
      </c>
      <c r="BC34" s="409">
        <v>-19686</v>
      </c>
      <c r="BD34" s="409">
        <v>8068</v>
      </c>
      <c r="BE34" s="409">
        <v>8995</v>
      </c>
    </row>
    <row r="35" spans="1:57" ht="15" thickBot="1">
      <c r="A35" s="115" t="s">
        <v>900</v>
      </c>
      <c r="B35" s="115" t="s">
        <v>902</v>
      </c>
      <c r="C35" s="112"/>
      <c r="D35" s="409"/>
      <c r="E35" s="409"/>
      <c r="F35" s="409"/>
      <c r="G35" s="409"/>
      <c r="H35" s="409"/>
      <c r="I35" s="409"/>
      <c r="J35" s="409"/>
      <c r="K35" s="409"/>
      <c r="L35" s="409"/>
      <c r="M35" s="409"/>
      <c r="N35" s="409"/>
      <c r="O35" s="409"/>
      <c r="P35" s="409"/>
      <c r="Q35" s="409"/>
      <c r="R35" s="409"/>
      <c r="S35" s="409"/>
      <c r="T35" s="409"/>
      <c r="U35" s="409"/>
      <c r="V35" s="409"/>
      <c r="W35" s="409"/>
      <c r="X35" s="409"/>
      <c r="Y35" s="409"/>
      <c r="Z35" s="409"/>
      <c r="AA35" s="409"/>
      <c r="AB35" s="409"/>
      <c r="AC35" s="409"/>
      <c r="AD35" s="409">
        <v>118</v>
      </c>
      <c r="AE35" s="409">
        <v>650</v>
      </c>
      <c r="AF35" s="409">
        <v>342</v>
      </c>
      <c r="AG35" s="409"/>
      <c r="AH35" s="409"/>
      <c r="AI35" s="409">
        <v>485</v>
      </c>
      <c r="AJ35" s="409">
        <v>2594</v>
      </c>
      <c r="AK35" s="409">
        <v>-2594</v>
      </c>
      <c r="AL35" s="409">
        <v>-4236</v>
      </c>
      <c r="AM35" s="409">
        <v>10337</v>
      </c>
      <c r="AN35" s="409"/>
      <c r="AO35" s="409"/>
      <c r="AP35" s="409">
        <v>3518</v>
      </c>
      <c r="AQ35" s="409">
        <v>11510</v>
      </c>
      <c r="AR35" s="409">
        <v>-25957</v>
      </c>
      <c r="AS35" s="409">
        <v>-9825</v>
      </c>
      <c r="AT35" s="409">
        <v>-8396</v>
      </c>
      <c r="AU35" s="409">
        <v>59786</v>
      </c>
      <c r="AV35" s="409">
        <v>0</v>
      </c>
      <c r="AW35" s="409">
        <v>0</v>
      </c>
      <c r="AX35" s="409">
        <v>0</v>
      </c>
      <c r="AY35" s="409">
        <v>0</v>
      </c>
      <c r="AZ35" s="409">
        <v>0</v>
      </c>
      <c r="BA35" s="409">
        <v>0</v>
      </c>
      <c r="BB35" s="409">
        <v>0</v>
      </c>
      <c r="BC35" s="409">
        <v>0</v>
      </c>
      <c r="BD35" s="409">
        <v>0</v>
      </c>
      <c r="BE35" s="409">
        <v>249</v>
      </c>
    </row>
    <row r="36" spans="1:57" ht="15" thickBot="1">
      <c r="A36" s="118" t="s">
        <v>903</v>
      </c>
      <c r="B36" s="118" t="s">
        <v>777</v>
      </c>
      <c r="C36" s="112"/>
      <c r="D36" s="410"/>
      <c r="E36" s="410"/>
      <c r="F36" s="410"/>
      <c r="G36" s="410"/>
      <c r="H36" s="410">
        <f t="shared" ref="H36:AN36" si="24">SUM(H31:H35)</f>
        <v>16573</v>
      </c>
      <c r="I36" s="410">
        <f t="shared" si="24"/>
        <v>17598</v>
      </c>
      <c r="J36" s="410">
        <f t="shared" si="24"/>
        <v>20477</v>
      </c>
      <c r="K36" s="410">
        <f t="shared" si="24"/>
        <v>25352</v>
      </c>
      <c r="L36" s="410">
        <f t="shared" si="24"/>
        <v>6944</v>
      </c>
      <c r="M36" s="410">
        <f t="shared" si="24"/>
        <v>14471</v>
      </c>
      <c r="N36" s="410">
        <f t="shared" si="24"/>
        <v>13662</v>
      </c>
      <c r="O36" s="410">
        <f t="shared" si="24"/>
        <v>11034</v>
      </c>
      <c r="P36" s="410">
        <f t="shared" si="24"/>
        <v>5275</v>
      </c>
      <c r="Q36" s="410">
        <f t="shared" si="24"/>
        <v>7801</v>
      </c>
      <c r="R36" s="410">
        <f t="shared" si="24"/>
        <v>13256</v>
      </c>
      <c r="S36" s="410">
        <f t="shared" si="24"/>
        <v>19496</v>
      </c>
      <c r="T36" s="410">
        <f t="shared" si="24"/>
        <v>4241</v>
      </c>
      <c r="U36" s="410">
        <f t="shared" si="24"/>
        <v>12478.400000000001</v>
      </c>
      <c r="V36" s="410">
        <f t="shared" si="24"/>
        <v>7687</v>
      </c>
      <c r="W36" s="410">
        <f t="shared" si="24"/>
        <v>10568</v>
      </c>
      <c r="X36" s="410">
        <f t="shared" si="24"/>
        <v>6791</v>
      </c>
      <c r="Y36" s="410">
        <f t="shared" si="24"/>
        <v>4714</v>
      </c>
      <c r="Z36" s="410">
        <f t="shared" si="24"/>
        <v>6796</v>
      </c>
      <c r="AA36" s="410">
        <f t="shared" si="24"/>
        <v>13086</v>
      </c>
      <c r="AB36" s="410">
        <f t="shared" si="24"/>
        <v>7270</v>
      </c>
      <c r="AC36" s="410">
        <f t="shared" si="24"/>
        <v>7744</v>
      </c>
      <c r="AD36" s="410">
        <f t="shared" si="24"/>
        <v>14909</v>
      </c>
      <c r="AE36" s="410">
        <f t="shared" si="24"/>
        <v>26459</v>
      </c>
      <c r="AF36" s="410">
        <f t="shared" si="24"/>
        <v>6342.0000000000127</v>
      </c>
      <c r="AG36" s="410">
        <f t="shared" si="24"/>
        <v>13612</v>
      </c>
      <c r="AH36" s="410">
        <f t="shared" si="24"/>
        <v>6249</v>
      </c>
      <c r="AI36" s="410">
        <f t="shared" si="24"/>
        <v>93983</v>
      </c>
      <c r="AJ36" s="410">
        <f t="shared" si="24"/>
        <v>10248</v>
      </c>
      <c r="AK36" s="410">
        <f t="shared" si="24"/>
        <v>1070</v>
      </c>
      <c r="AL36" s="410">
        <f t="shared" si="24"/>
        <v>3961</v>
      </c>
      <c r="AM36" s="410">
        <f t="shared" si="24"/>
        <v>-14360</v>
      </c>
      <c r="AN36" s="410">
        <f t="shared" si="24"/>
        <v>2168</v>
      </c>
      <c r="AO36" s="410">
        <f>SUM(AO31:AO35)</f>
        <v>5011</v>
      </c>
      <c r="AP36" s="410">
        <f>SUM(AP31:AP35)</f>
        <v>-1845</v>
      </c>
      <c r="AQ36" s="410">
        <f>SUM(AQ31:AQ35)</f>
        <v>-29373</v>
      </c>
      <c r="AR36" s="410">
        <f>SUM(AR31:AR35)</f>
        <v>53934</v>
      </c>
      <c r="AS36" s="410">
        <f>SUM(AS31:AS35)</f>
        <v>22502</v>
      </c>
      <c r="AT36" s="410">
        <f t="shared" ref="AT36:AZ36" si="25">SUM(AT31:AT35)</f>
        <v>24871</v>
      </c>
      <c r="AU36" s="410">
        <f t="shared" si="25"/>
        <v>-126733</v>
      </c>
      <c r="AV36" s="410">
        <f t="shared" si="25"/>
        <v>11311</v>
      </c>
      <c r="AW36" s="410">
        <f t="shared" si="25"/>
        <v>-11114</v>
      </c>
      <c r="AX36" s="410">
        <f t="shared" si="25"/>
        <v>-15074.066999999981</v>
      </c>
      <c r="AY36" s="410">
        <f t="shared" si="25"/>
        <v>-5.9330000000190921</v>
      </c>
      <c r="AZ36" s="410">
        <f t="shared" si="25"/>
        <v>66</v>
      </c>
      <c r="BA36" s="410">
        <f>SUM(BA31:BA35)</f>
        <v>7537</v>
      </c>
      <c r="BB36" s="410">
        <f>SUM(BB31:BB35)</f>
        <v>-6942</v>
      </c>
      <c r="BC36" s="410">
        <f>SUM(BC31:BC35)</f>
        <v>30430</v>
      </c>
      <c r="BD36" s="410">
        <f>SUM(BD31:BD35)</f>
        <v>-64746</v>
      </c>
      <c r="BE36" s="410">
        <f>SUM(BE31:BE35)</f>
        <v>-39214</v>
      </c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AN9:AV9" formulaRange="1"/>
  </ignoredErrors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9" tint="0.79998168889431442"/>
  </sheetPr>
  <dimension ref="A7:BE43"/>
  <sheetViews>
    <sheetView showGridLines="0" zoomScale="64" zoomScaleNormal="100" workbookViewId="0">
      <pane xSplit="2" topLeftCell="C1" activePane="topRight" state="frozen"/>
      <selection pane="topRight" activeCell="AN1" sqref="AN1"/>
    </sheetView>
  </sheetViews>
  <sheetFormatPr defaultColWidth="9.21875" defaultRowHeight="14.4" outlineLevelCol="1"/>
  <cols>
    <col min="1" max="1" width="44.44140625" style="35" bestFit="1" customWidth="1"/>
    <col min="2" max="2" width="44.44140625" style="35" customWidth="1"/>
    <col min="3" max="3" width="0.44140625" style="111" customWidth="1"/>
    <col min="4" max="34" width="0" style="35" hidden="1" customWidth="1" outlineLevel="1"/>
    <col min="35" max="39" width="9.44140625" style="35" hidden="1" customWidth="1" outlineLevel="1"/>
    <col min="40" max="40" width="9.44140625" style="35" bestFit="1" customWidth="1" collapsed="1"/>
    <col min="41" max="57" width="9.44140625" style="35" bestFit="1" customWidth="1"/>
    <col min="58" max="16384" width="9.21875" style="35"/>
  </cols>
  <sheetData>
    <row r="7" spans="1:57">
      <c r="A7" s="38" t="s">
        <v>995</v>
      </c>
      <c r="B7" s="38" t="s">
        <v>996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ht="15" thickBot="1">
      <c r="A8" s="448" t="s">
        <v>846</v>
      </c>
      <c r="B8" s="448" t="s">
        <v>992</v>
      </c>
      <c r="D8" s="449" t="s">
        <v>39</v>
      </c>
      <c r="E8" s="449" t="s">
        <v>40</v>
      </c>
      <c r="F8" s="449" t="s">
        <v>41</v>
      </c>
      <c r="G8" s="449" t="s">
        <v>42</v>
      </c>
      <c r="H8" s="449" t="s">
        <v>43</v>
      </c>
      <c r="I8" s="449" t="s">
        <v>44</v>
      </c>
      <c r="J8" s="449" t="s">
        <v>45</v>
      </c>
      <c r="K8" s="449" t="s">
        <v>46</v>
      </c>
      <c r="L8" s="449" t="s">
        <v>47</v>
      </c>
      <c r="M8" s="449" t="s">
        <v>48</v>
      </c>
      <c r="N8" s="449" t="s">
        <v>49</v>
      </c>
      <c r="O8" s="449" t="s">
        <v>50</v>
      </c>
      <c r="P8" s="449" t="s">
        <v>51</v>
      </c>
      <c r="Q8" s="449" t="s">
        <v>52</v>
      </c>
      <c r="R8" s="449" t="s">
        <v>53</v>
      </c>
      <c r="S8" s="449" t="s">
        <v>54</v>
      </c>
      <c r="T8" s="449" t="s">
        <v>55</v>
      </c>
      <c r="U8" s="449" t="s">
        <v>56</v>
      </c>
      <c r="V8" s="449" t="s">
        <v>57</v>
      </c>
      <c r="W8" s="449" t="s">
        <v>58</v>
      </c>
      <c r="X8" s="449" t="s">
        <v>59</v>
      </c>
      <c r="Y8" s="449" t="s">
        <v>60</v>
      </c>
      <c r="Z8" s="449" t="s">
        <v>61</v>
      </c>
      <c r="AA8" s="449" t="s">
        <v>62</v>
      </c>
      <c r="AB8" s="449" t="s">
        <v>63</v>
      </c>
      <c r="AC8" s="449" t="s">
        <v>64</v>
      </c>
      <c r="AD8" s="450" t="s">
        <v>65</v>
      </c>
      <c r="AE8" s="450" t="s">
        <v>66</v>
      </c>
      <c r="AF8" s="450" t="s">
        <v>67</v>
      </c>
      <c r="AG8" s="450" t="s">
        <v>68</v>
      </c>
      <c r="AH8" s="450" t="s">
        <v>69</v>
      </c>
      <c r="AI8" s="450" t="s">
        <v>70</v>
      </c>
      <c r="AJ8" s="450" t="s">
        <v>71</v>
      </c>
      <c r="AK8" s="450" t="s">
        <v>72</v>
      </c>
      <c r="AL8" s="450" t="s">
        <v>73</v>
      </c>
      <c r="AM8" s="450" t="s">
        <v>74</v>
      </c>
      <c r="AN8" s="450" t="s">
        <v>75</v>
      </c>
      <c r="AO8" s="450" t="s">
        <v>76</v>
      </c>
      <c r="AP8" s="450" t="s">
        <v>77</v>
      </c>
      <c r="AQ8" s="450" t="s">
        <v>78</v>
      </c>
      <c r="AR8" s="450" t="s">
        <v>79</v>
      </c>
      <c r="AS8" s="450" t="s">
        <v>80</v>
      </c>
      <c r="AT8" s="450" t="s">
        <v>81</v>
      </c>
      <c r="AU8" s="450" t="s">
        <v>82</v>
      </c>
      <c r="AV8" s="450" t="s">
        <v>83</v>
      </c>
      <c r="AW8" s="450" t="s">
        <v>84</v>
      </c>
      <c r="AX8" s="450" t="s">
        <v>85</v>
      </c>
      <c r="AY8" s="450" t="s">
        <v>86</v>
      </c>
      <c r="AZ8" s="450" t="s">
        <v>87</v>
      </c>
      <c r="BA8" s="450" t="s">
        <v>88</v>
      </c>
      <c r="BB8" s="450" t="s">
        <v>2074</v>
      </c>
      <c r="BC8" s="450" t="s">
        <v>2127</v>
      </c>
      <c r="BD8" s="450" t="s">
        <v>2360</v>
      </c>
      <c r="BE8" s="460" t="s">
        <v>2494</v>
      </c>
    </row>
    <row r="9" spans="1:57" ht="15" thickBot="1">
      <c r="A9" s="113" t="s">
        <v>596</v>
      </c>
      <c r="B9" s="113" t="s">
        <v>848</v>
      </c>
      <c r="D9" s="119">
        <f>SUM(D10:D13)</f>
        <v>0</v>
      </c>
      <c r="E9" s="119">
        <f t="shared" ref="E9:Y9" si="0">SUM(E10:E13)</f>
        <v>0</v>
      </c>
      <c r="F9" s="119">
        <f t="shared" si="0"/>
        <v>1005.15469</v>
      </c>
      <c r="G9" s="119">
        <f t="shared" si="0"/>
        <v>0</v>
      </c>
      <c r="H9" s="119">
        <f t="shared" si="0"/>
        <v>0</v>
      </c>
      <c r="I9" s="119">
        <f t="shared" si="0"/>
        <v>0</v>
      </c>
      <c r="J9" s="119">
        <f t="shared" si="0"/>
        <v>0</v>
      </c>
      <c r="K9" s="119">
        <f t="shared" si="0"/>
        <v>0</v>
      </c>
      <c r="L9" s="119">
        <f t="shared" si="0"/>
        <v>0</v>
      </c>
      <c r="M9" s="119">
        <f t="shared" si="0"/>
        <v>1.1918199999999999</v>
      </c>
      <c r="N9" s="119">
        <f t="shared" si="0"/>
        <v>0</v>
      </c>
      <c r="O9" s="119">
        <f t="shared" si="0"/>
        <v>17.205299999999998</v>
      </c>
      <c r="P9" s="119">
        <f t="shared" si="0"/>
        <v>0</v>
      </c>
      <c r="Q9" s="119">
        <f t="shared" si="0"/>
        <v>0</v>
      </c>
      <c r="R9" s="119">
        <f t="shared" si="0"/>
        <v>0</v>
      </c>
      <c r="S9" s="119">
        <f t="shared" si="0"/>
        <v>0</v>
      </c>
      <c r="T9" s="119">
        <f t="shared" si="0"/>
        <v>0</v>
      </c>
      <c r="U9" s="119">
        <f t="shared" si="0"/>
        <v>0</v>
      </c>
      <c r="V9" s="119">
        <f t="shared" si="0"/>
        <v>0</v>
      </c>
      <c r="W9" s="119">
        <f t="shared" si="0"/>
        <v>0</v>
      </c>
      <c r="X9" s="119">
        <f t="shared" si="0"/>
        <v>0</v>
      </c>
      <c r="Y9" s="119">
        <f t="shared" si="0"/>
        <v>0</v>
      </c>
      <c r="Z9" s="119">
        <f>SUM(Z10:Z13)</f>
        <v>0</v>
      </c>
      <c r="AA9" s="119">
        <f>SUM(AA10:AA13)</f>
        <v>0</v>
      </c>
      <c r="AB9" s="119">
        <f>SUM(AB10:AB13)</f>
        <v>0</v>
      </c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</row>
    <row r="10" spans="1:57">
      <c r="A10" s="115" t="s">
        <v>849</v>
      </c>
      <c r="B10" s="115" t="s">
        <v>850</v>
      </c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</row>
    <row r="11" spans="1:57">
      <c r="A11" s="115" t="s">
        <v>602</v>
      </c>
      <c r="B11" s="115" t="s">
        <v>603</v>
      </c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</row>
    <row r="12" spans="1:57">
      <c r="A12" s="115" t="s">
        <v>606</v>
      </c>
      <c r="B12" s="115" t="s">
        <v>851</v>
      </c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</row>
    <row r="13" spans="1:57" ht="15" thickBot="1">
      <c r="A13" s="117" t="s">
        <v>614</v>
      </c>
      <c r="B13" s="117" t="s">
        <v>615</v>
      </c>
      <c r="D13" s="116"/>
      <c r="E13" s="116"/>
      <c r="F13" s="116">
        <v>1005.15469</v>
      </c>
      <c r="G13" s="116"/>
      <c r="H13" s="116"/>
      <c r="I13" s="116"/>
      <c r="J13" s="116"/>
      <c r="K13" s="116"/>
      <c r="L13" s="116"/>
      <c r="M13" s="116">
        <v>1.1918199999999999</v>
      </c>
      <c r="N13" s="116"/>
      <c r="O13" s="116">
        <v>17.205299999999998</v>
      </c>
      <c r="P13" s="116"/>
      <c r="Q13" s="116"/>
      <c r="R13" s="116"/>
      <c r="S13" s="116"/>
      <c r="T13" s="116"/>
      <c r="U13" s="116"/>
      <c r="V13" s="116"/>
      <c r="W13" s="116"/>
      <c r="X13" s="116"/>
    </row>
    <row r="14" spans="1:57" ht="15" thickBot="1">
      <c r="A14" s="118" t="s">
        <v>858</v>
      </c>
      <c r="B14" s="118" t="s">
        <v>859</v>
      </c>
      <c r="D14" s="119"/>
      <c r="E14" s="119"/>
      <c r="F14" s="119">
        <v>-143.23453999999998</v>
      </c>
      <c r="G14" s="119"/>
      <c r="H14" s="119"/>
      <c r="I14" s="119"/>
      <c r="J14" s="119"/>
      <c r="K14" s="119"/>
      <c r="L14" s="119"/>
      <c r="M14" s="119"/>
      <c r="N14" s="119"/>
      <c r="O14" s="119">
        <v>-1.5914900000000001</v>
      </c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>
        <v>-141.54300000000001</v>
      </c>
      <c r="AX14" s="119">
        <v>0</v>
      </c>
      <c r="AY14" s="119"/>
      <c r="AZ14" s="119"/>
      <c r="BA14" s="119">
        <v>-1.2000000010914391E-4</v>
      </c>
      <c r="BB14" s="119"/>
      <c r="BC14" s="119"/>
      <c r="BD14" s="119"/>
      <c r="BE14" s="119"/>
    </row>
    <row r="15" spans="1:57" ht="15" thickBot="1">
      <c r="A15" s="118" t="s">
        <v>646</v>
      </c>
      <c r="B15" s="118" t="s">
        <v>860</v>
      </c>
      <c r="D15" s="119">
        <f>D9+D14</f>
        <v>0</v>
      </c>
      <c r="E15" s="119">
        <f t="shared" ref="E15:Y15" si="1">E9+E14</f>
        <v>0</v>
      </c>
      <c r="F15" s="119">
        <f t="shared" si="1"/>
        <v>861.92014999999992</v>
      </c>
      <c r="G15" s="119">
        <f t="shared" si="1"/>
        <v>0</v>
      </c>
      <c r="H15" s="119">
        <f t="shared" si="1"/>
        <v>0</v>
      </c>
      <c r="I15" s="119">
        <f t="shared" si="1"/>
        <v>0</v>
      </c>
      <c r="J15" s="119">
        <f t="shared" si="1"/>
        <v>0</v>
      </c>
      <c r="K15" s="119">
        <f t="shared" si="1"/>
        <v>0</v>
      </c>
      <c r="L15" s="119">
        <f t="shared" si="1"/>
        <v>0</v>
      </c>
      <c r="M15" s="119">
        <f t="shared" si="1"/>
        <v>1.1918199999999999</v>
      </c>
      <c r="N15" s="119">
        <f t="shared" si="1"/>
        <v>0</v>
      </c>
      <c r="O15" s="119">
        <f>O9+O14</f>
        <v>15.613809999999997</v>
      </c>
      <c r="P15" s="119">
        <f t="shared" si="1"/>
        <v>0</v>
      </c>
      <c r="Q15" s="119">
        <f t="shared" si="1"/>
        <v>0</v>
      </c>
      <c r="R15" s="119">
        <f t="shared" si="1"/>
        <v>0</v>
      </c>
      <c r="S15" s="119">
        <f t="shared" si="1"/>
        <v>0</v>
      </c>
      <c r="T15" s="119">
        <f t="shared" si="1"/>
        <v>0</v>
      </c>
      <c r="U15" s="119">
        <f t="shared" si="1"/>
        <v>0</v>
      </c>
      <c r="V15" s="119">
        <f t="shared" si="1"/>
        <v>0</v>
      </c>
      <c r="W15" s="119">
        <f t="shared" si="1"/>
        <v>0</v>
      </c>
      <c r="X15" s="119">
        <f t="shared" si="1"/>
        <v>0</v>
      </c>
      <c r="Y15" s="119">
        <f t="shared" si="1"/>
        <v>0</v>
      </c>
      <c r="Z15" s="119">
        <f>Z9+Z14</f>
        <v>0</v>
      </c>
      <c r="AA15" s="119">
        <f>AA9+AA14</f>
        <v>0</v>
      </c>
      <c r="AB15" s="119">
        <f>AB9+AB14</f>
        <v>0</v>
      </c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>
        <v>0</v>
      </c>
      <c r="AY15" s="119"/>
      <c r="AZ15" s="119"/>
      <c r="BA15" s="119"/>
      <c r="BB15" s="119"/>
      <c r="BC15" s="119"/>
      <c r="BD15" s="119"/>
      <c r="BE15" s="119"/>
    </row>
    <row r="16" spans="1:57" ht="15" thickBot="1">
      <c r="A16" s="118" t="s">
        <v>861</v>
      </c>
      <c r="B16" s="118" t="s">
        <v>862</v>
      </c>
      <c r="D16" s="119">
        <f>SUM(D17:D20)</f>
        <v>0</v>
      </c>
      <c r="E16" s="119">
        <f t="shared" ref="E16:Y16" si="2">SUM(E17:E20)</f>
        <v>0</v>
      </c>
      <c r="F16" s="119">
        <f t="shared" si="2"/>
        <v>0</v>
      </c>
      <c r="G16" s="119">
        <f t="shared" si="2"/>
        <v>0</v>
      </c>
      <c r="H16" s="119">
        <f t="shared" si="2"/>
        <v>0</v>
      </c>
      <c r="I16" s="119">
        <f t="shared" si="2"/>
        <v>0</v>
      </c>
      <c r="J16" s="119">
        <f t="shared" si="2"/>
        <v>0</v>
      </c>
      <c r="K16" s="119">
        <f t="shared" si="2"/>
        <v>0</v>
      </c>
      <c r="L16" s="119">
        <f t="shared" si="2"/>
        <v>0</v>
      </c>
      <c r="M16" s="119">
        <f t="shared" si="2"/>
        <v>0</v>
      </c>
      <c r="N16" s="119">
        <f t="shared" si="2"/>
        <v>0</v>
      </c>
      <c r="O16" s="119">
        <f t="shared" si="2"/>
        <v>0</v>
      </c>
      <c r="P16" s="119">
        <f t="shared" si="2"/>
        <v>0</v>
      </c>
      <c r="Q16" s="119">
        <f t="shared" si="2"/>
        <v>0</v>
      </c>
      <c r="R16" s="119">
        <f t="shared" si="2"/>
        <v>0</v>
      </c>
      <c r="S16" s="119">
        <f t="shared" si="2"/>
        <v>0</v>
      </c>
      <c r="T16" s="119">
        <f t="shared" si="2"/>
        <v>0</v>
      </c>
      <c r="U16" s="119">
        <f t="shared" si="2"/>
        <v>0</v>
      </c>
      <c r="V16" s="119">
        <f t="shared" si="2"/>
        <v>0</v>
      </c>
      <c r="W16" s="119">
        <f t="shared" si="2"/>
        <v>0</v>
      </c>
      <c r="X16" s="119">
        <f t="shared" si="2"/>
        <v>0</v>
      </c>
      <c r="Y16" s="119">
        <f t="shared" si="2"/>
        <v>0</v>
      </c>
      <c r="Z16" s="119">
        <f>SUM(Z17:Z20)</f>
        <v>0</v>
      </c>
      <c r="AA16" s="119">
        <f>SUM(AA17:AA20)</f>
        <v>0</v>
      </c>
      <c r="AB16" s="119">
        <f>SUM(AB17:AB20)</f>
        <v>0</v>
      </c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</row>
    <row r="17" spans="1:57">
      <c r="A17" s="115" t="s">
        <v>863</v>
      </c>
      <c r="B17" s="115" t="s">
        <v>993</v>
      </c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</row>
    <row r="18" spans="1:57">
      <c r="A18" s="115" t="s">
        <v>865</v>
      </c>
      <c r="B18" s="115" t="s">
        <v>866</v>
      </c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  <c r="AZ18" s="127"/>
      <c r="BA18" s="127"/>
      <c r="BB18" s="127"/>
      <c r="BC18" s="127"/>
      <c r="BD18" s="127"/>
      <c r="BE18" s="312"/>
    </row>
    <row r="19" spans="1:57">
      <c r="A19" s="115" t="s">
        <v>867</v>
      </c>
      <c r="B19" s="115" t="s">
        <v>868</v>
      </c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312"/>
    </row>
    <row r="20" spans="1:57" ht="15" thickBot="1">
      <c r="A20" s="117" t="s">
        <v>869</v>
      </c>
      <c r="B20" s="117" t="s">
        <v>997</v>
      </c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127"/>
      <c r="BA20" s="127"/>
      <c r="BB20" s="127"/>
      <c r="BC20" s="127"/>
      <c r="BD20" s="127"/>
      <c r="BE20" s="312"/>
    </row>
    <row r="21" spans="1:57" ht="15" thickBot="1">
      <c r="A21" s="121" t="s">
        <v>871</v>
      </c>
      <c r="B21" s="121" t="s">
        <v>872</v>
      </c>
      <c r="D21" s="119">
        <f t="shared" ref="D21:AC21" si="3">D15+D16</f>
        <v>0</v>
      </c>
      <c r="E21" s="119">
        <f t="shared" si="3"/>
        <v>0</v>
      </c>
      <c r="F21" s="119">
        <f t="shared" si="3"/>
        <v>861.92014999999992</v>
      </c>
      <c r="G21" s="119">
        <f t="shared" si="3"/>
        <v>0</v>
      </c>
      <c r="H21" s="119">
        <f t="shared" si="3"/>
        <v>0</v>
      </c>
      <c r="I21" s="119">
        <f t="shared" si="3"/>
        <v>0</v>
      </c>
      <c r="J21" s="119">
        <f t="shared" si="3"/>
        <v>0</v>
      </c>
      <c r="K21" s="119">
        <f t="shared" si="3"/>
        <v>0</v>
      </c>
      <c r="L21" s="119">
        <f t="shared" si="3"/>
        <v>0</v>
      </c>
      <c r="M21" s="119">
        <f t="shared" si="3"/>
        <v>1.1918199999999999</v>
      </c>
      <c r="N21" s="119">
        <f t="shared" si="3"/>
        <v>0</v>
      </c>
      <c r="O21" s="119">
        <f t="shared" si="3"/>
        <v>15.613809999999997</v>
      </c>
      <c r="P21" s="119">
        <f t="shared" si="3"/>
        <v>0</v>
      </c>
      <c r="Q21" s="119">
        <f t="shared" si="3"/>
        <v>0</v>
      </c>
      <c r="R21" s="119">
        <f t="shared" si="3"/>
        <v>0</v>
      </c>
      <c r="S21" s="119">
        <f t="shared" si="3"/>
        <v>0</v>
      </c>
      <c r="T21" s="119">
        <f t="shared" si="3"/>
        <v>0</v>
      </c>
      <c r="U21" s="119">
        <f t="shared" si="3"/>
        <v>0</v>
      </c>
      <c r="V21" s="119">
        <f t="shared" si="3"/>
        <v>0</v>
      </c>
      <c r="W21" s="119">
        <f t="shared" si="3"/>
        <v>0</v>
      </c>
      <c r="X21" s="119">
        <f t="shared" si="3"/>
        <v>0</v>
      </c>
      <c r="Y21" s="119">
        <f t="shared" si="3"/>
        <v>0</v>
      </c>
      <c r="Z21" s="119">
        <f t="shared" si="3"/>
        <v>0</v>
      </c>
      <c r="AA21" s="119">
        <f t="shared" si="3"/>
        <v>0</v>
      </c>
      <c r="AB21" s="119">
        <f t="shared" si="3"/>
        <v>0</v>
      </c>
      <c r="AC21" s="119">
        <f t="shared" si="3"/>
        <v>0</v>
      </c>
      <c r="AD21" s="128">
        <v>0</v>
      </c>
      <c r="AE21" s="128"/>
      <c r="AF21" s="128"/>
      <c r="AG21" s="128"/>
      <c r="AH21" s="128"/>
      <c r="AI21" s="128"/>
      <c r="AJ21" s="128"/>
      <c r="AK21" s="128"/>
      <c r="AL21" s="128"/>
      <c r="AM21" s="128"/>
      <c r="AN21" s="128"/>
      <c r="AO21" s="128"/>
      <c r="AP21" s="128"/>
      <c r="AQ21" s="128"/>
      <c r="AR21" s="128"/>
      <c r="AS21" s="128"/>
      <c r="AT21" s="128"/>
      <c r="AU21" s="128"/>
      <c r="AV21" s="128"/>
      <c r="AW21" s="128"/>
      <c r="AX21" s="128"/>
      <c r="AY21" s="128"/>
      <c r="AZ21" s="128"/>
      <c r="BA21" s="128"/>
      <c r="BB21" s="128"/>
      <c r="BC21" s="128"/>
      <c r="BD21" s="128"/>
      <c r="BE21" s="314"/>
    </row>
    <row r="22" spans="1:57" ht="15" thickBot="1">
      <c r="A22" s="118" t="s">
        <v>873</v>
      </c>
      <c r="B22" s="118" t="s">
        <v>874</v>
      </c>
      <c r="D22" s="119">
        <f>SUM(D23:D28)</f>
        <v>-16555</v>
      </c>
      <c r="E22" s="119">
        <f t="shared" ref="E22:AC22" si="4">SUM(E23:E28)</f>
        <v>-8959</v>
      </c>
      <c r="F22" s="119">
        <f t="shared" si="4"/>
        <v>-4612</v>
      </c>
      <c r="G22" s="119">
        <f t="shared" si="4"/>
        <v>-7422.5585100000062</v>
      </c>
      <c r="H22" s="119">
        <f t="shared" si="4"/>
        <v>-4039</v>
      </c>
      <c r="I22" s="119">
        <f t="shared" si="4"/>
        <v>-3484</v>
      </c>
      <c r="J22" s="119">
        <f t="shared" si="4"/>
        <v>-10564.19325</v>
      </c>
      <c r="K22" s="119">
        <f t="shared" si="4"/>
        <v>-6715.2463100000023</v>
      </c>
      <c r="L22" s="119">
        <f t="shared" si="4"/>
        <v>-19697.012180000002</v>
      </c>
      <c r="M22" s="119">
        <f t="shared" si="4"/>
        <v>-10859.631229999992</v>
      </c>
      <c r="N22" s="119">
        <f t="shared" si="4"/>
        <v>-5727.4703400000026</v>
      </c>
      <c r="O22" s="119">
        <f t="shared" si="4"/>
        <v>-6790.6780500000059</v>
      </c>
      <c r="P22" s="119">
        <f t="shared" si="4"/>
        <v>-14490.117980000001</v>
      </c>
      <c r="Q22" s="119">
        <f t="shared" si="4"/>
        <v>-6852.8820199999982</v>
      </c>
      <c r="R22" s="119">
        <f t="shared" si="4"/>
        <v>-6708</v>
      </c>
      <c r="S22" s="119">
        <f t="shared" si="4"/>
        <v>-6739</v>
      </c>
      <c r="T22" s="119">
        <f t="shared" si="4"/>
        <v>-7230.5</v>
      </c>
      <c r="U22" s="119">
        <f t="shared" si="4"/>
        <v>-12773.5</v>
      </c>
      <c r="V22" s="119">
        <f t="shared" si="4"/>
        <v>-12233</v>
      </c>
      <c r="W22" s="119">
        <f t="shared" si="4"/>
        <v>-15572</v>
      </c>
      <c r="X22" s="119">
        <f t="shared" si="4"/>
        <v>-8190</v>
      </c>
      <c r="Y22" s="119">
        <f t="shared" si="4"/>
        <v>-13270</v>
      </c>
      <c r="Z22" s="119">
        <f t="shared" si="4"/>
        <v>-7115</v>
      </c>
      <c r="AA22" s="119">
        <f t="shared" si="4"/>
        <v>-10366</v>
      </c>
      <c r="AB22" s="119">
        <f t="shared" si="4"/>
        <v>-6999.3419999999996</v>
      </c>
      <c r="AC22" s="119">
        <f t="shared" si="4"/>
        <v>-8159.0879999999997</v>
      </c>
      <c r="AD22" s="128">
        <v>-6946.1050000000005</v>
      </c>
      <c r="AE22" s="129">
        <v>-111763</v>
      </c>
      <c r="AF22" s="129">
        <v>-19669</v>
      </c>
      <c r="AG22" s="129">
        <v>-20737</v>
      </c>
      <c r="AH22" s="119">
        <f t="shared" ref="AH22:BA22" si="5">SUM(AH23:AH28)</f>
        <v>-20376</v>
      </c>
      <c r="AI22" s="119">
        <f t="shared" si="5"/>
        <v>33245.925000000003</v>
      </c>
      <c r="AJ22" s="119">
        <f t="shared" si="5"/>
        <v>-12398</v>
      </c>
      <c r="AK22" s="119">
        <f t="shared" si="5"/>
        <v>-25846</v>
      </c>
      <c r="AL22" s="119">
        <f t="shared" si="5"/>
        <v>-21940</v>
      </c>
      <c r="AM22" s="119">
        <f t="shared" si="5"/>
        <v>-20311</v>
      </c>
      <c r="AN22" s="119">
        <f t="shared" si="5"/>
        <v>-27506</v>
      </c>
      <c r="AO22" s="119">
        <f t="shared" si="5"/>
        <v>-16045</v>
      </c>
      <c r="AP22" s="119">
        <f t="shared" si="5"/>
        <v>-11480</v>
      </c>
      <c r="AQ22" s="119">
        <f t="shared" si="5"/>
        <v>-14601</v>
      </c>
      <c r="AR22" s="119">
        <f t="shared" si="5"/>
        <v>-20356</v>
      </c>
      <c r="AS22" s="119">
        <f t="shared" si="5"/>
        <v>-16910</v>
      </c>
      <c r="AT22" s="119">
        <f t="shared" si="5"/>
        <v>-21316</v>
      </c>
      <c r="AU22" s="119">
        <f t="shared" si="5"/>
        <v>-16089</v>
      </c>
      <c r="AV22" s="119">
        <f t="shared" si="5"/>
        <v>-26591</v>
      </c>
      <c r="AW22" s="119">
        <f t="shared" si="5"/>
        <v>-41333.919000000002</v>
      </c>
      <c r="AX22" s="119">
        <f t="shared" si="5"/>
        <v>-37843.64</v>
      </c>
      <c r="AY22" s="119">
        <f t="shared" si="5"/>
        <v>-41390.697</v>
      </c>
      <c r="AZ22" s="119">
        <f t="shared" si="5"/>
        <v>-32515.276999999998</v>
      </c>
      <c r="BA22" s="119">
        <f t="shared" si="5"/>
        <v>-19354.417879999997</v>
      </c>
      <c r="BB22" s="119">
        <f t="shared" ref="BB22:BD22" si="6">SUM(BB23:BB28)</f>
        <v>-14986.066490000005</v>
      </c>
      <c r="BC22" s="119">
        <f t="shared" si="6"/>
        <v>-198132.29</v>
      </c>
      <c r="BD22" s="119">
        <f t="shared" si="6"/>
        <v>-40000.949000000008</v>
      </c>
      <c r="BE22" s="119">
        <f>SUM(BE23:BE28)</f>
        <v>-13171.621999999999</v>
      </c>
    </row>
    <row r="23" spans="1:57">
      <c r="A23" s="115" t="s">
        <v>875</v>
      </c>
      <c r="B23" s="115" t="s">
        <v>876</v>
      </c>
      <c r="D23" s="116">
        <v>-2175</v>
      </c>
      <c r="E23" s="116">
        <v>-3090</v>
      </c>
      <c r="F23" s="116">
        <v>-2168</v>
      </c>
      <c r="G23" s="116">
        <v>-6271</v>
      </c>
      <c r="H23" s="116">
        <v>-2291</v>
      </c>
      <c r="I23" s="116">
        <v>-2281</v>
      </c>
      <c r="J23" s="116">
        <v>-7774</v>
      </c>
      <c r="K23" s="116">
        <v>-5645.369840000003</v>
      </c>
      <c r="L23" s="116">
        <v>-18529.619620000005</v>
      </c>
      <c r="M23" s="116">
        <v>-9264.1573699999935</v>
      </c>
      <c r="N23" s="116">
        <v>-4466.9395700000023</v>
      </c>
      <c r="O23" s="116">
        <v>-5288.7758500000054</v>
      </c>
      <c r="P23" s="116">
        <v>-13269.053320000001</v>
      </c>
      <c r="Q23" s="116">
        <v>-5462.9466799999991</v>
      </c>
      <c r="R23" s="116">
        <v>-4537</v>
      </c>
      <c r="S23" s="116">
        <v>-5182</v>
      </c>
      <c r="T23" s="116">
        <v>-4996</v>
      </c>
      <c r="U23" s="116">
        <v>-6730</v>
      </c>
      <c r="V23" s="116">
        <v>-9066</v>
      </c>
      <c r="W23" s="116">
        <v>-11447</v>
      </c>
      <c r="X23" s="116">
        <v>-5368</v>
      </c>
      <c r="Y23" s="116">
        <v>-6008</v>
      </c>
      <c r="Z23" s="116">
        <v>-4099</v>
      </c>
      <c r="AA23" s="116">
        <v>-3820</v>
      </c>
      <c r="AB23" s="116">
        <v>-3775</v>
      </c>
      <c r="AC23" s="116">
        <f>-4797-86</f>
        <v>-4883</v>
      </c>
      <c r="AD23" s="127">
        <v>-2649</v>
      </c>
      <c r="AE23" s="130">
        <v>-5695</v>
      </c>
      <c r="AF23" s="130">
        <v>-16984</v>
      </c>
      <c r="AG23" s="130">
        <v>-17030</v>
      </c>
      <c r="AH23" s="130">
        <v>-17805</v>
      </c>
      <c r="AI23" s="130">
        <v>28978</v>
      </c>
      <c r="AJ23" s="130">
        <v>-5055</v>
      </c>
      <c r="AK23" s="130">
        <v>-11491</v>
      </c>
      <c r="AL23" s="130">
        <v>-5701</v>
      </c>
      <c r="AM23" s="130">
        <v>-5507</v>
      </c>
      <c r="AN23" s="130">
        <v>-6300</v>
      </c>
      <c r="AO23" s="130">
        <v>-5972</v>
      </c>
      <c r="AP23" s="130">
        <v>-6559</v>
      </c>
      <c r="AQ23" s="130">
        <v>-6253</v>
      </c>
      <c r="AR23" s="130">
        <v>-6335</v>
      </c>
      <c r="AS23" s="130">
        <v>-8057</v>
      </c>
      <c r="AT23" s="130">
        <v>-9276</v>
      </c>
      <c r="AU23" s="130">
        <v>-11467</v>
      </c>
      <c r="AV23" s="130">
        <v>-15749</v>
      </c>
      <c r="AW23" s="130">
        <v>-10184.004000000001</v>
      </c>
      <c r="AX23" s="130">
        <v>-12532.473</v>
      </c>
      <c r="AY23" s="130">
        <v>-22612</v>
      </c>
      <c r="AZ23" s="130">
        <v>-22395</v>
      </c>
      <c r="BA23" s="130">
        <v>-14352.76</v>
      </c>
      <c r="BB23" s="130">
        <v>-10644.066000000001</v>
      </c>
      <c r="BC23" s="130">
        <v>-18586.397000000001</v>
      </c>
      <c r="BD23" s="130">
        <v>-17490.506000000001</v>
      </c>
      <c r="BE23" s="768">
        <v>-15256.102000000001</v>
      </c>
    </row>
    <row r="24" spans="1:57">
      <c r="A24" s="115" t="s">
        <v>877</v>
      </c>
      <c r="B24" s="115" t="s">
        <v>877</v>
      </c>
      <c r="D24" s="116">
        <v>-2</v>
      </c>
      <c r="E24" s="116">
        <v>-2</v>
      </c>
      <c r="F24" s="116">
        <v>-1</v>
      </c>
      <c r="G24" s="116">
        <v>-2</v>
      </c>
      <c r="H24" s="116">
        <v>-25</v>
      </c>
      <c r="I24" s="116">
        <v>-4</v>
      </c>
      <c r="J24" s="116">
        <v>-32.902290000000001</v>
      </c>
      <c r="K24" s="116">
        <v>-3.558799999999998</v>
      </c>
      <c r="L24" s="116">
        <v>-2.5979800000000002</v>
      </c>
      <c r="M24" s="116">
        <v>-6.6219300000000008</v>
      </c>
      <c r="N24" s="116">
        <v>-0.25126000000000026</v>
      </c>
      <c r="O24" s="116">
        <v>-7.1604599999999969</v>
      </c>
      <c r="P24" s="116">
        <v>-4.2767400000000011</v>
      </c>
      <c r="Q24" s="116">
        <v>-7.7232599999999989</v>
      </c>
      <c r="R24" s="116">
        <v>-10</v>
      </c>
      <c r="S24" s="116">
        <v>-15</v>
      </c>
      <c r="T24" s="116">
        <v>-20</v>
      </c>
      <c r="U24" s="116">
        <v>-66</v>
      </c>
      <c r="V24" s="116">
        <v>-26</v>
      </c>
      <c r="W24" s="116">
        <v>-33</v>
      </c>
      <c r="X24" s="116">
        <v>-31</v>
      </c>
      <c r="Y24" s="116">
        <v>-65</v>
      </c>
      <c r="Z24" s="116">
        <v>-35</v>
      </c>
      <c r="AA24" s="116">
        <v>-67</v>
      </c>
      <c r="AB24" s="116">
        <v>-45</v>
      </c>
      <c r="AC24" s="116">
        <v>-79</v>
      </c>
      <c r="AD24" s="127">
        <v>-47</v>
      </c>
      <c r="AE24" s="130">
        <v>-27</v>
      </c>
      <c r="AF24" s="130">
        <v>-22</v>
      </c>
      <c r="AG24" s="130">
        <v>-16</v>
      </c>
      <c r="AH24" s="130">
        <v>-18</v>
      </c>
      <c r="AI24" s="130">
        <v>-17</v>
      </c>
      <c r="AJ24" s="130">
        <v>-7</v>
      </c>
      <c r="AK24" s="130">
        <v>-61</v>
      </c>
      <c r="AL24" s="130">
        <v>-135</v>
      </c>
      <c r="AM24" s="130">
        <v>-216</v>
      </c>
      <c r="AN24" s="130">
        <v>-32</v>
      </c>
      <c r="AO24" s="130">
        <v>-42</v>
      </c>
      <c r="AP24" s="130">
        <v>-52</v>
      </c>
      <c r="AQ24" s="130">
        <v>-85</v>
      </c>
      <c r="AR24" s="130">
        <v>-93</v>
      </c>
      <c r="AS24" s="130">
        <v>-77</v>
      </c>
      <c r="AT24" s="130">
        <v>-44</v>
      </c>
      <c r="AU24" s="130">
        <v>-43</v>
      </c>
      <c r="AV24" s="130">
        <v>-62</v>
      </c>
      <c r="AW24" s="130">
        <v>-62.171999999999997</v>
      </c>
      <c r="AX24" s="130">
        <v>-72.123000000000005</v>
      </c>
      <c r="AY24" s="130">
        <v>-88.697000000000003</v>
      </c>
      <c r="AZ24" s="130">
        <v>-61.277000000000001</v>
      </c>
      <c r="BA24" s="130">
        <v>-61.536000000000001</v>
      </c>
      <c r="BB24" s="130">
        <v>-136.93199999999999</v>
      </c>
      <c r="BC24" s="130">
        <v>-86.385000000000005</v>
      </c>
      <c r="BD24" s="130">
        <v>-63.146000000000001</v>
      </c>
      <c r="BE24" s="768">
        <v>-136.934</v>
      </c>
    </row>
    <row r="25" spans="1:57">
      <c r="A25" s="115" t="s">
        <v>878</v>
      </c>
      <c r="B25" s="115" t="s">
        <v>879</v>
      </c>
      <c r="D25" s="116">
        <v>-13636</v>
      </c>
      <c r="E25" s="116">
        <v>-4605</v>
      </c>
      <c r="F25" s="116">
        <v>-1840</v>
      </c>
      <c r="G25" s="116">
        <v>-805.55851000000621</v>
      </c>
      <c r="H25" s="116">
        <v>-1109</v>
      </c>
      <c r="I25" s="116">
        <v>-638</v>
      </c>
      <c r="J25" s="116">
        <v>-1235.9927900000002</v>
      </c>
      <c r="K25" s="116">
        <v>-534.01261999999952</v>
      </c>
      <c r="L25" s="116">
        <v>-483.85053999999991</v>
      </c>
      <c r="M25" s="116">
        <v>-1158.9289799999997</v>
      </c>
      <c r="N25" s="116">
        <v>-675.42996000000039</v>
      </c>
      <c r="O25" s="116">
        <v>-1018.8673800000001</v>
      </c>
      <c r="P25" s="116">
        <v>-526.51661999999999</v>
      </c>
      <c r="Q25" s="116">
        <v>-954.48338000000001</v>
      </c>
      <c r="R25" s="116">
        <v>-1682</v>
      </c>
      <c r="S25" s="116">
        <v>-1258</v>
      </c>
      <c r="T25" s="116">
        <v>-1790</v>
      </c>
      <c r="U25" s="116">
        <v>-5637</v>
      </c>
      <c r="V25" s="116">
        <v>-2892</v>
      </c>
      <c r="W25" s="116">
        <v>-3581</v>
      </c>
      <c r="X25" s="116">
        <v>-2501</v>
      </c>
      <c r="Y25" s="116">
        <v>-6964</v>
      </c>
      <c r="Z25" s="116">
        <v>-3422</v>
      </c>
      <c r="AA25" s="116">
        <v>-4618</v>
      </c>
      <c r="AB25" s="116">
        <v>-3298</v>
      </c>
      <c r="AC25" s="116">
        <v>-3064</v>
      </c>
      <c r="AD25" s="127">
        <v>-3533</v>
      </c>
      <c r="AE25" s="130">
        <v>-5802</v>
      </c>
      <c r="AF25" s="130">
        <v>-2307</v>
      </c>
      <c r="AG25" s="130">
        <v>-3625</v>
      </c>
      <c r="AH25" s="130">
        <v>-2388</v>
      </c>
      <c r="AI25" s="130">
        <v>-5759</v>
      </c>
      <c r="AJ25" s="130">
        <v>-6799</v>
      </c>
      <c r="AK25" s="130">
        <v>-13576</v>
      </c>
      <c r="AL25" s="130">
        <v>-15727</v>
      </c>
      <c r="AM25" s="130">
        <v>-14383</v>
      </c>
      <c r="AN25" s="130">
        <v>-19753</v>
      </c>
      <c r="AO25" s="130">
        <v>-9863</v>
      </c>
      <c r="AP25" s="130">
        <v>-7895</v>
      </c>
      <c r="AQ25" s="130">
        <v>-7631</v>
      </c>
      <c r="AR25" s="130">
        <v>-11602</v>
      </c>
      <c r="AS25" s="130">
        <v>-8424</v>
      </c>
      <c r="AT25" s="130">
        <v>-6308</v>
      </c>
      <c r="AU25" s="130">
        <v>-4173</v>
      </c>
      <c r="AV25" s="130">
        <v>-12554</v>
      </c>
      <c r="AW25" s="130">
        <v>-19503.940999999999</v>
      </c>
      <c r="AX25" s="130">
        <v>-6573.0439999999999</v>
      </c>
      <c r="AY25" s="130">
        <v>-15307</v>
      </c>
      <c r="AZ25" s="130">
        <v>-7487</v>
      </c>
      <c r="BA25" s="130">
        <v>-6198.7340000000004</v>
      </c>
      <c r="BB25" s="130">
        <v>-6642.6030000000001</v>
      </c>
      <c r="BC25" s="130">
        <v>-46240.462</v>
      </c>
      <c r="BD25" s="130">
        <v>-6043.3059999999996</v>
      </c>
      <c r="BE25" s="768">
        <v>-5258.9340000000002</v>
      </c>
    </row>
    <row r="26" spans="1:57">
      <c r="A26" s="115" t="s">
        <v>880</v>
      </c>
      <c r="B26" s="115" t="s">
        <v>881</v>
      </c>
      <c r="D26" s="116">
        <v>0</v>
      </c>
      <c r="E26" s="116">
        <v>0</v>
      </c>
      <c r="F26" s="116">
        <v>0</v>
      </c>
      <c r="G26" s="116">
        <v>0</v>
      </c>
      <c r="H26" s="116">
        <v>0</v>
      </c>
      <c r="I26" s="116">
        <v>0</v>
      </c>
      <c r="J26" s="116">
        <v>0</v>
      </c>
      <c r="K26" s="116">
        <v>0</v>
      </c>
      <c r="L26" s="116">
        <v>0</v>
      </c>
      <c r="M26" s="116">
        <v>0</v>
      </c>
      <c r="N26" s="116">
        <v>0</v>
      </c>
      <c r="O26" s="116">
        <v>0</v>
      </c>
      <c r="P26" s="116">
        <v>0</v>
      </c>
      <c r="Q26" s="116">
        <v>0</v>
      </c>
      <c r="R26" s="116">
        <v>0</v>
      </c>
      <c r="S26" s="116">
        <v>0</v>
      </c>
      <c r="T26" s="116">
        <v>0</v>
      </c>
      <c r="U26" s="116">
        <v>0</v>
      </c>
      <c r="V26" s="116">
        <v>0</v>
      </c>
      <c r="W26" s="116">
        <v>0</v>
      </c>
      <c r="X26" s="116">
        <v>0</v>
      </c>
      <c r="Y26" s="116">
        <v>0</v>
      </c>
      <c r="Z26" s="116">
        <v>0</v>
      </c>
      <c r="AA26" s="116">
        <v>0</v>
      </c>
      <c r="AB26" s="116">
        <v>0</v>
      </c>
      <c r="AC26" s="116">
        <v>0</v>
      </c>
      <c r="AD26" s="127">
        <v>0</v>
      </c>
      <c r="AE26" s="127">
        <v>0</v>
      </c>
      <c r="AF26" s="127">
        <v>-24</v>
      </c>
      <c r="AG26" s="127">
        <v>0</v>
      </c>
      <c r="AH26" s="127"/>
      <c r="AI26" s="127">
        <v>0</v>
      </c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>
        <v>0</v>
      </c>
      <c r="AU26" s="130">
        <v>0</v>
      </c>
      <c r="AV26" s="130">
        <v>0</v>
      </c>
      <c r="AW26" s="130">
        <v>0</v>
      </c>
      <c r="AX26" s="130">
        <v>0</v>
      </c>
      <c r="AY26" s="130">
        <v>0</v>
      </c>
      <c r="AZ26" s="130">
        <v>0</v>
      </c>
      <c r="BA26" s="130">
        <v>0</v>
      </c>
      <c r="BB26" s="130">
        <v>0</v>
      </c>
      <c r="BC26" s="130">
        <v>0</v>
      </c>
      <c r="BD26" s="130">
        <v>0</v>
      </c>
      <c r="BE26" s="768">
        <v>0</v>
      </c>
    </row>
    <row r="27" spans="1:57">
      <c r="A27" s="115" t="s">
        <v>95</v>
      </c>
      <c r="B27" s="115" t="s">
        <v>96</v>
      </c>
      <c r="D27" s="116">
        <v>-742</v>
      </c>
      <c r="E27" s="116">
        <v>-1262</v>
      </c>
      <c r="F27" s="116">
        <v>-603</v>
      </c>
      <c r="G27" s="116">
        <v>-344</v>
      </c>
      <c r="H27" s="116">
        <v>-614</v>
      </c>
      <c r="I27" s="116">
        <v>-561</v>
      </c>
      <c r="J27" s="116">
        <v>-1521.2981700000005</v>
      </c>
      <c r="K27" s="116">
        <v>-532.30504999999948</v>
      </c>
      <c r="L27" s="116">
        <v>-680.94403999999997</v>
      </c>
      <c r="M27" s="116">
        <v>-429.92295000000024</v>
      </c>
      <c r="N27" s="116">
        <v>-584.84955000000014</v>
      </c>
      <c r="O27" s="116">
        <v>-475.8743599999998</v>
      </c>
      <c r="P27" s="116">
        <v>-690.2713</v>
      </c>
      <c r="Q27" s="116">
        <v>-427.7287</v>
      </c>
      <c r="R27" s="116">
        <v>0</v>
      </c>
      <c r="S27" s="116">
        <v>-284</v>
      </c>
      <c r="T27" s="116">
        <v>-424.5</v>
      </c>
      <c r="U27" s="116">
        <v>-340.5</v>
      </c>
      <c r="V27" s="116">
        <v>-249</v>
      </c>
      <c r="W27" s="116">
        <v>-511</v>
      </c>
      <c r="X27" s="116">
        <v>-290</v>
      </c>
      <c r="Y27" s="116">
        <v>-233</v>
      </c>
      <c r="Z27" s="116">
        <v>441</v>
      </c>
      <c r="AA27" s="116">
        <v>-1861</v>
      </c>
      <c r="AB27" s="116">
        <v>118.65799999999999</v>
      </c>
      <c r="AC27" s="116">
        <v>-133.08799999999999</v>
      </c>
      <c r="AD27" s="127">
        <v>-717.10500000000002</v>
      </c>
      <c r="AE27" s="130">
        <v>-87</v>
      </c>
      <c r="AF27" s="130">
        <v>-332</v>
      </c>
      <c r="AG27" s="130">
        <v>-66</v>
      </c>
      <c r="AH27" s="130">
        <v>-165</v>
      </c>
      <c r="AI27" s="130">
        <v>10043.924999999999</v>
      </c>
      <c r="AJ27" s="130">
        <v>-537</v>
      </c>
      <c r="AK27" s="130">
        <v>-718</v>
      </c>
      <c r="AL27" s="130">
        <v>-377</v>
      </c>
      <c r="AM27" s="130">
        <v>-205</v>
      </c>
      <c r="AN27" s="130">
        <v>-1396</v>
      </c>
      <c r="AO27" s="130">
        <v>-168</v>
      </c>
      <c r="AP27" s="130">
        <v>3026</v>
      </c>
      <c r="AQ27" s="130">
        <v>-632</v>
      </c>
      <c r="AR27" s="130">
        <v>-1831</v>
      </c>
      <c r="AS27" s="130">
        <v>-213</v>
      </c>
      <c r="AT27" s="130">
        <v>-5688</v>
      </c>
      <c r="AU27" s="130">
        <v>-406</v>
      </c>
      <c r="AV27" s="130">
        <v>-998</v>
      </c>
      <c r="AW27" s="130">
        <v>-3164.51</v>
      </c>
      <c r="AX27" s="130">
        <v>-8919.6290000000008</v>
      </c>
      <c r="AY27" s="130">
        <v>-595</v>
      </c>
      <c r="AZ27" s="130">
        <v>-1029</v>
      </c>
      <c r="BA27" s="130">
        <v>1319.856</v>
      </c>
      <c r="BB27" s="130">
        <v>-1996.079</v>
      </c>
      <c r="BC27" s="130">
        <v>-472.21499999999997</v>
      </c>
      <c r="BD27" s="130">
        <v>-16403.991000000002</v>
      </c>
      <c r="BE27" s="768">
        <v>-472.35704999999996</v>
      </c>
    </row>
    <row r="28" spans="1:57">
      <c r="A28" s="115" t="s">
        <v>891</v>
      </c>
      <c r="B28" s="115" t="s">
        <v>985</v>
      </c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>
        <v>-479</v>
      </c>
      <c r="S28" s="116"/>
      <c r="T28" s="116"/>
      <c r="U28" s="116">
        <v>0</v>
      </c>
      <c r="V28" s="116">
        <v>0</v>
      </c>
      <c r="W28" s="116">
        <v>0</v>
      </c>
      <c r="X28" s="116"/>
      <c r="Y28" s="116"/>
      <c r="Z28" s="116">
        <v>0</v>
      </c>
      <c r="AA28" s="116">
        <v>0</v>
      </c>
      <c r="AB28" s="116">
        <v>0</v>
      </c>
      <c r="AC28" s="116">
        <v>0</v>
      </c>
      <c r="AD28" s="127">
        <v>0</v>
      </c>
      <c r="AE28" s="127">
        <v>-100152</v>
      </c>
      <c r="AF28" s="127">
        <v>0</v>
      </c>
      <c r="AG28" s="127">
        <v>0</v>
      </c>
      <c r="AH28" s="127"/>
      <c r="AI28" s="127">
        <v>0</v>
      </c>
      <c r="AJ28" s="127"/>
      <c r="AK28" s="127"/>
      <c r="AL28" s="127"/>
      <c r="AM28" s="127"/>
      <c r="AN28" s="127">
        <v>-25</v>
      </c>
      <c r="AO28" s="127"/>
      <c r="AP28" s="127"/>
      <c r="AQ28" s="127"/>
      <c r="AR28" s="127">
        <v>-495</v>
      </c>
      <c r="AS28" s="127">
        <v>-139</v>
      </c>
      <c r="AT28" s="127">
        <v>0</v>
      </c>
      <c r="AU28" s="130">
        <v>0</v>
      </c>
      <c r="AV28" s="130">
        <v>2772</v>
      </c>
      <c r="AW28" s="130">
        <v>-8419.2919999999995</v>
      </c>
      <c r="AX28" s="130">
        <v>-9746.3709999999992</v>
      </c>
      <c r="AY28" s="130">
        <v>-2788</v>
      </c>
      <c r="AZ28" s="130">
        <v>-1543</v>
      </c>
      <c r="BA28" s="130">
        <v>-61.243879999999891</v>
      </c>
      <c r="BB28" s="130">
        <v>4433.6135099999992</v>
      </c>
      <c r="BC28" s="130">
        <v>-132746.83100000001</v>
      </c>
      <c r="BD28" s="130">
        <v>0</v>
      </c>
      <c r="BE28" s="768">
        <v>7952.7050500000005</v>
      </c>
    </row>
    <row r="29" spans="1:57">
      <c r="A29" s="115" t="s">
        <v>998</v>
      </c>
      <c r="B29" s="115" t="s">
        <v>972</v>
      </c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7"/>
      <c r="AT29" s="127"/>
      <c r="AU29" s="130"/>
      <c r="AV29" s="130"/>
      <c r="AW29" s="130">
        <v>464191</v>
      </c>
      <c r="AX29" s="130"/>
      <c r="AY29" s="130"/>
      <c r="AZ29" s="130">
        <v>213691</v>
      </c>
      <c r="BA29" s="130">
        <v>1226705</v>
      </c>
      <c r="BB29" s="130">
        <v>649625</v>
      </c>
      <c r="BC29" s="130">
        <v>-494654</v>
      </c>
      <c r="BD29" s="130">
        <v>523374</v>
      </c>
      <c r="BE29" s="768">
        <v>564778.75399999996</v>
      </c>
    </row>
    <row r="30" spans="1:57">
      <c r="A30" s="448" t="s">
        <v>722</v>
      </c>
      <c r="B30" s="448" t="s">
        <v>722</v>
      </c>
      <c r="D30" s="451">
        <f>D15+D16+D22</f>
        <v>-16555</v>
      </c>
      <c r="E30" s="451">
        <f t="shared" ref="E30:AC30" si="7">E15+E16+E22</f>
        <v>-8959</v>
      </c>
      <c r="F30" s="451">
        <f t="shared" si="7"/>
        <v>-3750.0798500000001</v>
      </c>
      <c r="G30" s="451">
        <f t="shared" si="7"/>
        <v>-7422.5585100000062</v>
      </c>
      <c r="H30" s="451">
        <f t="shared" si="7"/>
        <v>-4039</v>
      </c>
      <c r="I30" s="451">
        <f t="shared" si="7"/>
        <v>-3484</v>
      </c>
      <c r="J30" s="451">
        <f t="shared" si="7"/>
        <v>-10564.19325</v>
      </c>
      <c r="K30" s="451">
        <f t="shared" si="7"/>
        <v>-6715.2463100000023</v>
      </c>
      <c r="L30" s="451">
        <f t="shared" si="7"/>
        <v>-19697.012180000002</v>
      </c>
      <c r="M30" s="451">
        <f t="shared" si="7"/>
        <v>-10858.439409999992</v>
      </c>
      <c r="N30" s="451">
        <f t="shared" si="7"/>
        <v>-5727.4703400000026</v>
      </c>
      <c r="O30" s="451">
        <f t="shared" si="7"/>
        <v>-6775.0642400000061</v>
      </c>
      <c r="P30" s="451">
        <f t="shared" si="7"/>
        <v>-14490.117980000001</v>
      </c>
      <c r="Q30" s="451">
        <f t="shared" si="7"/>
        <v>-6852.8820199999982</v>
      </c>
      <c r="R30" s="451">
        <f t="shared" si="7"/>
        <v>-6708</v>
      </c>
      <c r="S30" s="451">
        <f t="shared" si="7"/>
        <v>-6739</v>
      </c>
      <c r="T30" s="451">
        <f t="shared" si="7"/>
        <v>-7230.5</v>
      </c>
      <c r="U30" s="451">
        <f t="shared" si="7"/>
        <v>-12773.5</v>
      </c>
      <c r="V30" s="451">
        <f t="shared" si="7"/>
        <v>-12233</v>
      </c>
      <c r="W30" s="451">
        <f t="shared" si="7"/>
        <v>-15572</v>
      </c>
      <c r="X30" s="451">
        <f t="shared" si="7"/>
        <v>-8190</v>
      </c>
      <c r="Y30" s="451">
        <f t="shared" si="7"/>
        <v>-13270</v>
      </c>
      <c r="Z30" s="451">
        <f t="shared" si="7"/>
        <v>-7115</v>
      </c>
      <c r="AA30" s="451">
        <f t="shared" si="7"/>
        <v>-10366</v>
      </c>
      <c r="AB30" s="451">
        <f t="shared" si="7"/>
        <v>-6999.3419999999996</v>
      </c>
      <c r="AC30" s="451">
        <f t="shared" si="7"/>
        <v>-8159.0879999999997</v>
      </c>
      <c r="AD30" s="452">
        <v>-6946.1050000000005</v>
      </c>
      <c r="AE30" s="452">
        <v>-111763</v>
      </c>
      <c r="AF30" s="452">
        <v>-19669</v>
      </c>
      <c r="AG30" s="452">
        <v>-20737</v>
      </c>
      <c r="AH30" s="451">
        <f t="shared" ref="AH30:AV30" si="8">AH15+AH16+AH22</f>
        <v>-20376</v>
      </c>
      <c r="AI30" s="451">
        <f t="shared" si="8"/>
        <v>33245.925000000003</v>
      </c>
      <c r="AJ30" s="451">
        <f t="shared" si="8"/>
        <v>-12398</v>
      </c>
      <c r="AK30" s="451">
        <f t="shared" si="8"/>
        <v>-25846</v>
      </c>
      <c r="AL30" s="451">
        <f t="shared" si="8"/>
        <v>-21940</v>
      </c>
      <c r="AM30" s="451">
        <f t="shared" si="8"/>
        <v>-20311</v>
      </c>
      <c r="AN30" s="451">
        <f t="shared" si="8"/>
        <v>-27506</v>
      </c>
      <c r="AO30" s="451">
        <f t="shared" si="8"/>
        <v>-16045</v>
      </c>
      <c r="AP30" s="451">
        <f t="shared" si="8"/>
        <v>-11480</v>
      </c>
      <c r="AQ30" s="451">
        <f t="shared" si="8"/>
        <v>-14601</v>
      </c>
      <c r="AR30" s="451">
        <f t="shared" si="8"/>
        <v>-20356</v>
      </c>
      <c r="AS30" s="451">
        <f t="shared" si="8"/>
        <v>-16910</v>
      </c>
      <c r="AT30" s="451">
        <f t="shared" si="8"/>
        <v>-21316</v>
      </c>
      <c r="AU30" s="451">
        <f t="shared" si="8"/>
        <v>-16089</v>
      </c>
      <c r="AV30" s="451">
        <f t="shared" si="8"/>
        <v>-26591</v>
      </c>
      <c r="AW30" s="451">
        <f>SUM(AW23:AW29)</f>
        <v>422857.08100000001</v>
      </c>
      <c r="AX30" s="451">
        <f>AX14+AX15+AX16+AX22</f>
        <v>-37843.64</v>
      </c>
      <c r="AY30" s="451">
        <f>AY14+AY15+AY16+AY22</f>
        <v>-41390.697</v>
      </c>
      <c r="AZ30" s="451">
        <f t="shared" ref="AZ30:BE30" si="9">SUM(AZ23:AZ29)</f>
        <v>181175.723</v>
      </c>
      <c r="BA30" s="451">
        <f t="shared" si="9"/>
        <v>1207350.5821199999</v>
      </c>
      <c r="BB30" s="451">
        <f t="shared" si="9"/>
        <v>634638.93351</v>
      </c>
      <c r="BC30" s="451">
        <f t="shared" si="9"/>
        <v>-692786.29</v>
      </c>
      <c r="BD30" s="451">
        <f t="shared" si="9"/>
        <v>483373.05099999998</v>
      </c>
      <c r="BE30" s="769">
        <f t="shared" si="9"/>
        <v>551607.13199999998</v>
      </c>
    </row>
    <row r="31" spans="1:57" ht="15" thickBot="1">
      <c r="A31" s="117" t="s">
        <v>893</v>
      </c>
      <c r="B31" s="117" t="s">
        <v>894</v>
      </c>
      <c r="D31" s="116"/>
      <c r="E31" s="116"/>
      <c r="F31" s="116"/>
      <c r="G31" s="116"/>
      <c r="H31" s="116"/>
      <c r="I31" s="116"/>
      <c r="J31" s="116">
        <v>-0.97099999999999997</v>
      </c>
      <c r="K31" s="116"/>
      <c r="L31" s="116"/>
      <c r="M31" s="116">
        <v>-48.585329999999999</v>
      </c>
      <c r="N31" s="116">
        <v>-1.5185999999999993</v>
      </c>
      <c r="O31" s="116">
        <v>-1.5185999999999993</v>
      </c>
      <c r="P31" s="116">
        <v>-1.5185999999999999</v>
      </c>
      <c r="Q31" s="116">
        <v>-1.4814000000000001</v>
      </c>
      <c r="R31" s="116">
        <v>-2</v>
      </c>
      <c r="S31" s="116"/>
      <c r="T31" s="116">
        <v>-2</v>
      </c>
      <c r="U31" s="116">
        <v>-1</v>
      </c>
      <c r="V31" s="116">
        <v>-2</v>
      </c>
      <c r="W31" s="116">
        <v>-1</v>
      </c>
      <c r="X31" s="116">
        <v>-2</v>
      </c>
      <c r="Y31" s="116">
        <v>-2939</v>
      </c>
      <c r="Z31" s="116">
        <v>-2509</v>
      </c>
      <c r="AA31" s="116">
        <v>-12731</v>
      </c>
      <c r="AB31" s="116">
        <v>-2</v>
      </c>
      <c r="AC31" s="116">
        <v>-2</v>
      </c>
      <c r="AD31" s="127">
        <v>-34</v>
      </c>
      <c r="AE31" s="130">
        <v>-118</v>
      </c>
      <c r="AF31" s="130">
        <v>-30</v>
      </c>
      <c r="AG31" s="130">
        <v>-30</v>
      </c>
      <c r="AH31" s="130">
        <v>-29</v>
      </c>
      <c r="AI31" s="130">
        <v>-30</v>
      </c>
      <c r="AJ31" s="130">
        <v>-30</v>
      </c>
      <c r="AK31" s="130">
        <v>-59</v>
      </c>
      <c r="AL31" s="130">
        <v>-68</v>
      </c>
      <c r="AM31" s="130">
        <v>-197</v>
      </c>
      <c r="AN31" s="131">
        <v>-59</v>
      </c>
      <c r="AO31" s="131">
        <v>-24330</v>
      </c>
      <c r="AP31" s="131">
        <v>-18</v>
      </c>
      <c r="AQ31" s="131">
        <v>-18</v>
      </c>
      <c r="AR31" s="131">
        <v>-18</v>
      </c>
      <c r="AS31" s="131">
        <v>-18</v>
      </c>
      <c r="AT31" s="131">
        <v>-18</v>
      </c>
      <c r="AU31" s="131">
        <v>-61</v>
      </c>
      <c r="AV31" s="130">
        <v>-21</v>
      </c>
      <c r="AW31" s="130">
        <v>-20.757999999999999</v>
      </c>
      <c r="AX31" s="130">
        <v>-20.757999999999999</v>
      </c>
      <c r="AY31" s="130">
        <v>-117.514</v>
      </c>
      <c r="AZ31" s="130">
        <v>-329.22500000000002</v>
      </c>
      <c r="BA31" s="130">
        <v>-329.22500000000002</v>
      </c>
      <c r="BB31" s="130">
        <v>-329.22500000000002</v>
      </c>
      <c r="BC31" s="130">
        <v>-329.22500000000002</v>
      </c>
      <c r="BD31" s="130">
        <v>-359.46899999999999</v>
      </c>
      <c r="BE31" s="768">
        <v>-359.46899999999999</v>
      </c>
    </row>
    <row r="32" spans="1:57" ht="15" thickBot="1">
      <c r="A32" s="118" t="s">
        <v>895</v>
      </c>
      <c r="B32" s="118" t="s">
        <v>896</v>
      </c>
      <c r="D32" s="119">
        <f t="shared" ref="D32:AC32" si="10">SUM(D30:D31)</f>
        <v>-16555</v>
      </c>
      <c r="E32" s="119">
        <f t="shared" si="10"/>
        <v>-8959</v>
      </c>
      <c r="F32" s="119">
        <f t="shared" si="10"/>
        <v>-3750.0798500000001</v>
      </c>
      <c r="G32" s="119">
        <f t="shared" si="10"/>
        <v>-7422.5585100000062</v>
      </c>
      <c r="H32" s="119">
        <f t="shared" si="10"/>
        <v>-4039</v>
      </c>
      <c r="I32" s="119">
        <f t="shared" si="10"/>
        <v>-3484</v>
      </c>
      <c r="J32" s="119">
        <f t="shared" si="10"/>
        <v>-10565.16425</v>
      </c>
      <c r="K32" s="119">
        <f t="shared" si="10"/>
        <v>-6715.2463100000023</v>
      </c>
      <c r="L32" s="119">
        <f t="shared" si="10"/>
        <v>-19697.012180000002</v>
      </c>
      <c r="M32" s="119">
        <f t="shared" si="10"/>
        <v>-10907.024739999992</v>
      </c>
      <c r="N32" s="119">
        <f t="shared" si="10"/>
        <v>-5728.9889400000029</v>
      </c>
      <c r="O32" s="119">
        <f t="shared" si="10"/>
        <v>-6776.5828400000064</v>
      </c>
      <c r="P32" s="119">
        <f t="shared" si="10"/>
        <v>-14491.63658</v>
      </c>
      <c r="Q32" s="119">
        <f t="shared" si="10"/>
        <v>-6854.3634199999979</v>
      </c>
      <c r="R32" s="119">
        <f t="shared" si="10"/>
        <v>-6710</v>
      </c>
      <c r="S32" s="119">
        <f t="shared" si="10"/>
        <v>-6739</v>
      </c>
      <c r="T32" s="119">
        <f t="shared" si="10"/>
        <v>-7232.5</v>
      </c>
      <c r="U32" s="119">
        <f t="shared" si="10"/>
        <v>-12774.5</v>
      </c>
      <c r="V32" s="119">
        <f t="shared" si="10"/>
        <v>-12235</v>
      </c>
      <c r="W32" s="119">
        <f t="shared" si="10"/>
        <v>-15573</v>
      </c>
      <c r="X32" s="119">
        <f t="shared" si="10"/>
        <v>-8192</v>
      </c>
      <c r="Y32" s="119">
        <f t="shared" si="10"/>
        <v>-16209</v>
      </c>
      <c r="Z32" s="119">
        <f t="shared" si="10"/>
        <v>-9624</v>
      </c>
      <c r="AA32" s="119">
        <f t="shared" si="10"/>
        <v>-23097</v>
      </c>
      <c r="AB32" s="119">
        <f t="shared" si="10"/>
        <v>-7001.3419999999996</v>
      </c>
      <c r="AC32" s="119">
        <f t="shared" si="10"/>
        <v>-8161.0879999999997</v>
      </c>
      <c r="AD32" s="128">
        <v>-6980.1049999999996</v>
      </c>
      <c r="AE32" s="129">
        <v>-111881</v>
      </c>
      <c r="AF32" s="129">
        <v>-19699</v>
      </c>
      <c r="AG32" s="129">
        <v>-20767</v>
      </c>
      <c r="AH32" s="119">
        <f t="shared" ref="AH32:BA32" si="11">SUM(AH30:AH31)</f>
        <v>-20405</v>
      </c>
      <c r="AI32" s="119">
        <f t="shared" si="11"/>
        <v>33215.925000000003</v>
      </c>
      <c r="AJ32" s="119">
        <f t="shared" si="11"/>
        <v>-12428</v>
      </c>
      <c r="AK32" s="119">
        <f t="shared" si="11"/>
        <v>-25905</v>
      </c>
      <c r="AL32" s="119">
        <f t="shared" si="11"/>
        <v>-22008</v>
      </c>
      <c r="AM32" s="119">
        <f t="shared" si="11"/>
        <v>-20508</v>
      </c>
      <c r="AN32" s="132">
        <f t="shared" si="11"/>
        <v>-27565</v>
      </c>
      <c r="AO32" s="132">
        <f t="shared" si="11"/>
        <v>-40375</v>
      </c>
      <c r="AP32" s="132">
        <f t="shared" si="11"/>
        <v>-11498</v>
      </c>
      <c r="AQ32" s="132">
        <f t="shared" si="11"/>
        <v>-14619</v>
      </c>
      <c r="AR32" s="132">
        <f t="shared" si="11"/>
        <v>-20374</v>
      </c>
      <c r="AS32" s="132">
        <f t="shared" si="11"/>
        <v>-16928</v>
      </c>
      <c r="AT32" s="132">
        <f t="shared" si="11"/>
        <v>-21334</v>
      </c>
      <c r="AU32" s="132">
        <f t="shared" si="11"/>
        <v>-16150</v>
      </c>
      <c r="AV32" s="132">
        <f t="shared" si="11"/>
        <v>-26612</v>
      </c>
      <c r="AW32" s="132">
        <f t="shared" si="11"/>
        <v>422836.32300000003</v>
      </c>
      <c r="AX32" s="132">
        <f t="shared" si="11"/>
        <v>-37864.398000000001</v>
      </c>
      <c r="AY32" s="132">
        <f t="shared" si="11"/>
        <v>-41508.211000000003</v>
      </c>
      <c r="AZ32" s="132">
        <f t="shared" si="11"/>
        <v>180846.49799999999</v>
      </c>
      <c r="BA32" s="132">
        <f t="shared" si="11"/>
        <v>1207021.3571199998</v>
      </c>
      <c r="BB32" s="132">
        <f t="shared" ref="BB32:BD32" si="12">SUM(BB30:BB31)</f>
        <v>634309.70851000003</v>
      </c>
      <c r="BC32" s="132">
        <f t="shared" si="12"/>
        <v>-693115.51500000001</v>
      </c>
      <c r="BD32" s="132">
        <f t="shared" si="12"/>
        <v>483013.58199999999</v>
      </c>
      <c r="BE32" s="767">
        <f>SUM(BE30:BE31)</f>
        <v>551247.66299999994</v>
      </c>
    </row>
    <row r="33" spans="1:57">
      <c r="A33" s="115" t="s">
        <v>998</v>
      </c>
      <c r="B33" s="115" t="s">
        <v>972</v>
      </c>
      <c r="D33" s="116">
        <v>-18074</v>
      </c>
      <c r="E33" s="116">
        <v>-60124.399139999994</v>
      </c>
      <c r="F33" s="116">
        <v>200080.39913999999</v>
      </c>
      <c r="G33" s="116">
        <v>-76731</v>
      </c>
      <c r="H33" s="116">
        <v>3185</v>
      </c>
      <c r="I33" s="116">
        <v>-196894</v>
      </c>
      <c r="J33" s="116">
        <v>275675.0514</v>
      </c>
      <c r="K33" s="116">
        <v>503177.88875000004</v>
      </c>
      <c r="L33" s="116">
        <v>86874</v>
      </c>
      <c r="M33" s="116">
        <v>500039.76731999998</v>
      </c>
      <c r="N33" s="116">
        <v>70473.418680000002</v>
      </c>
      <c r="O33" s="116">
        <v>116621.69929000002</v>
      </c>
      <c r="P33" s="116">
        <v>99791.695909999995</v>
      </c>
      <c r="Q33" s="116">
        <v>173471.30408999999</v>
      </c>
      <c r="R33" s="116">
        <v>183333</v>
      </c>
      <c r="S33" s="116">
        <v>185101</v>
      </c>
      <c r="T33" s="116">
        <v>49443</v>
      </c>
      <c r="U33" s="116">
        <v>123795</v>
      </c>
      <c r="V33" s="116">
        <v>315346</v>
      </c>
      <c r="W33" s="116">
        <v>505434</v>
      </c>
      <c r="X33" s="116">
        <v>79029</v>
      </c>
      <c r="Y33" s="116">
        <v>143536</v>
      </c>
      <c r="Z33" s="116">
        <v>265786</v>
      </c>
      <c r="AA33" s="116">
        <v>679758</v>
      </c>
      <c r="AB33" s="116">
        <v>254358</v>
      </c>
      <c r="AC33" s="116">
        <v>429373</v>
      </c>
      <c r="AD33" s="127">
        <v>610551</v>
      </c>
      <c r="AE33" s="130">
        <v>1418914</v>
      </c>
      <c r="AF33" s="130">
        <v>475508</v>
      </c>
      <c r="AG33" s="130">
        <v>481044</v>
      </c>
      <c r="AH33" s="130">
        <v>789894</v>
      </c>
      <c r="AI33" s="130">
        <v>1401133</v>
      </c>
      <c r="AJ33" s="130">
        <v>397494</v>
      </c>
      <c r="AK33" s="130">
        <v>1053223</v>
      </c>
      <c r="AL33" s="130">
        <v>1369648</v>
      </c>
      <c r="AM33" s="130">
        <v>1186234</v>
      </c>
      <c r="AN33" s="131">
        <v>678638</v>
      </c>
      <c r="AO33" s="131">
        <v>7779</v>
      </c>
      <c r="AP33" s="131">
        <v>652959</v>
      </c>
      <c r="AQ33" s="131">
        <v>555613</v>
      </c>
      <c r="AR33" s="131">
        <v>517741</v>
      </c>
      <c r="AS33" s="131">
        <v>645818</v>
      </c>
      <c r="AT33" s="131">
        <v>926364</v>
      </c>
      <c r="AU33" s="131">
        <v>713073</v>
      </c>
      <c r="AV33" s="130">
        <v>370431</v>
      </c>
      <c r="AW33" s="130"/>
      <c r="AX33" s="130">
        <v>804865</v>
      </c>
      <c r="AY33" s="130">
        <v>1648480</v>
      </c>
      <c r="AZ33" s="130">
        <v>405812</v>
      </c>
      <c r="BA33" s="130"/>
      <c r="BB33" s="130"/>
      <c r="BC33" s="130"/>
      <c r="BD33" s="130"/>
      <c r="BE33" s="768"/>
    </row>
    <row r="34" spans="1:57" ht="15" thickBot="1">
      <c r="A34" s="117" t="s">
        <v>710</v>
      </c>
      <c r="B34" s="117" t="s">
        <v>999</v>
      </c>
      <c r="D34" s="116">
        <v>-1153</v>
      </c>
      <c r="E34" s="116">
        <v>-1153</v>
      </c>
      <c r="F34" s="116">
        <v>-1154.6701200000002</v>
      </c>
      <c r="G34" s="116">
        <v>-1150.8900399999998</v>
      </c>
      <c r="H34" s="116">
        <v>-280.96375999999998</v>
      </c>
      <c r="I34" s="116">
        <v>-277.03624000000002</v>
      </c>
      <c r="J34" s="116">
        <v>-278.89128000000005</v>
      </c>
      <c r="K34" s="116">
        <v>-278.96376000000009</v>
      </c>
      <c r="L34" s="116">
        <v>-1676.8068600000001</v>
      </c>
      <c r="M34" s="116">
        <v>-1676.8068600000001</v>
      </c>
      <c r="N34" s="116">
        <v>-1676.8068599999997</v>
      </c>
      <c r="O34" s="116">
        <v>-1676.8068600000006</v>
      </c>
      <c r="P34" s="116">
        <v>-1593.3617099999999</v>
      </c>
      <c r="Q34" s="116">
        <v>-1593.6382900000001</v>
      </c>
      <c r="R34" s="116">
        <v>-1593</v>
      </c>
      <c r="S34" s="116">
        <v>-1593</v>
      </c>
      <c r="T34" s="116">
        <v>-1481</v>
      </c>
      <c r="U34" s="116">
        <v>-1480</v>
      </c>
      <c r="V34" s="116">
        <v>-1481</v>
      </c>
      <c r="W34" s="116">
        <v>-1481</v>
      </c>
      <c r="X34" s="116">
        <v>-2077</v>
      </c>
      <c r="Y34" s="116"/>
      <c r="Z34" s="116"/>
      <c r="AA34" s="116"/>
      <c r="AB34" s="116">
        <v>-5080</v>
      </c>
      <c r="AC34" s="116">
        <v>-45535</v>
      </c>
      <c r="AD34" s="127">
        <v>-23304</v>
      </c>
      <c r="AE34" s="127">
        <v>73919</v>
      </c>
      <c r="AF34" s="127">
        <v>0</v>
      </c>
      <c r="AG34" s="127">
        <v>-49297</v>
      </c>
      <c r="AH34" s="127">
        <v>-83676</v>
      </c>
      <c r="AI34" s="127">
        <v>-24586</v>
      </c>
      <c r="AJ34" s="127">
        <v>-24237</v>
      </c>
      <c r="AK34" s="127">
        <v>-53473</v>
      </c>
      <c r="AL34" s="127"/>
      <c r="AM34" s="127">
        <v>-24263</v>
      </c>
      <c r="AN34" s="133">
        <v>-24278</v>
      </c>
      <c r="AO34" s="133">
        <v>-36566</v>
      </c>
      <c r="AP34" s="133">
        <v>-24309</v>
      </c>
      <c r="AQ34" s="133">
        <v>-24309</v>
      </c>
      <c r="AR34" s="133">
        <v>-19794</v>
      </c>
      <c r="AS34" s="133">
        <v>-10762</v>
      </c>
      <c r="AT34" s="133">
        <v>-10762</v>
      </c>
      <c r="AU34" s="133">
        <v>-10763</v>
      </c>
      <c r="AV34" s="133">
        <v>-10762</v>
      </c>
      <c r="AW34" s="133">
        <v>-9602.9969999999994</v>
      </c>
      <c r="AX34" s="133">
        <v>-9602.9969999999994</v>
      </c>
      <c r="AY34" s="133">
        <v>-9602.9969999999994</v>
      </c>
      <c r="AZ34" s="133">
        <v>-9602.9969999999994</v>
      </c>
      <c r="BA34" s="133">
        <v>-9602.9969999999994</v>
      </c>
      <c r="BB34" s="133">
        <v>-9602.9969999999994</v>
      </c>
      <c r="BC34" s="133">
        <v>-79518.668999999994</v>
      </c>
      <c r="BD34" s="133">
        <v>-33698.305</v>
      </c>
      <c r="BE34" s="120">
        <v>-50944.396000000001</v>
      </c>
    </row>
    <row r="35" spans="1:57" ht="15" thickBot="1">
      <c r="A35" s="118" t="s">
        <v>725</v>
      </c>
      <c r="B35" s="118" t="s">
        <v>898</v>
      </c>
      <c r="D35" s="119">
        <f>SUM(D36:D37)</f>
        <v>11189</v>
      </c>
      <c r="E35" s="119">
        <f t="shared" ref="E35:AC35" si="13">SUM(E36:E37)</f>
        <v>25907.384850000002</v>
      </c>
      <c r="F35" s="119">
        <f t="shared" si="13"/>
        <v>9771.4728900000009</v>
      </c>
      <c r="G35" s="119">
        <f t="shared" si="13"/>
        <v>29688.964570000007</v>
      </c>
      <c r="H35" s="119">
        <f t="shared" si="13"/>
        <v>19769.874520000001</v>
      </c>
      <c r="I35" s="119">
        <f t="shared" si="13"/>
        <v>19807.125479999999</v>
      </c>
      <c r="J35" s="119">
        <f t="shared" si="13"/>
        <v>21707.856810000005</v>
      </c>
      <c r="K35" s="119">
        <f t="shared" si="13"/>
        <v>21030.612560000001</v>
      </c>
      <c r="L35" s="119">
        <f t="shared" si="13"/>
        <v>23344.658100000001</v>
      </c>
      <c r="M35" s="119">
        <f t="shared" si="13"/>
        <v>18021.564989999995</v>
      </c>
      <c r="N35" s="119">
        <f t="shared" si="13"/>
        <v>21443.580200000004</v>
      </c>
      <c r="O35" s="119">
        <f t="shared" si="13"/>
        <v>20808.742920000008</v>
      </c>
      <c r="P35" s="119">
        <f t="shared" si="13"/>
        <v>17139</v>
      </c>
      <c r="Q35" s="119">
        <f t="shared" si="13"/>
        <v>19029</v>
      </c>
      <c r="R35" s="119">
        <f t="shared" si="13"/>
        <v>20170</v>
      </c>
      <c r="S35" s="119">
        <f t="shared" si="13"/>
        <v>16348</v>
      </c>
      <c r="T35" s="119">
        <f t="shared" si="13"/>
        <v>11048</v>
      </c>
      <c r="U35" s="119">
        <f t="shared" si="13"/>
        <v>18214</v>
      </c>
      <c r="V35" s="119">
        <f t="shared" si="13"/>
        <v>10783</v>
      </c>
      <c r="W35" s="119">
        <f t="shared" si="13"/>
        <v>17018</v>
      </c>
      <c r="X35" s="119">
        <f t="shared" si="13"/>
        <v>-4179</v>
      </c>
      <c r="Y35" s="119">
        <f t="shared" si="13"/>
        <v>-6259</v>
      </c>
      <c r="Z35" s="119">
        <f t="shared" si="13"/>
        <v>-8133</v>
      </c>
      <c r="AA35" s="119">
        <f t="shared" si="13"/>
        <v>-21654</v>
      </c>
      <c r="AB35" s="119">
        <f t="shared" si="13"/>
        <v>-29497</v>
      </c>
      <c r="AC35" s="119">
        <f t="shared" si="13"/>
        <v>-33601</v>
      </c>
      <c r="AD35" s="128">
        <v>-31617.999999999996</v>
      </c>
      <c r="AE35" s="129">
        <v>-68720</v>
      </c>
      <c r="AF35" s="129">
        <v>-15851.999999999998</v>
      </c>
      <c r="AG35" s="129">
        <v>-5249</v>
      </c>
      <c r="AH35" s="119">
        <f t="shared" ref="AH35:BA35" si="14">SUM(AH36:AH37)</f>
        <v>-7153</v>
      </c>
      <c r="AI35" s="119">
        <f t="shared" si="14"/>
        <v>-8244</v>
      </c>
      <c r="AJ35" s="119">
        <f t="shared" si="14"/>
        <v>-7548</v>
      </c>
      <c r="AK35" s="119">
        <f t="shared" si="14"/>
        <v>-110889</v>
      </c>
      <c r="AL35" s="119">
        <f t="shared" si="14"/>
        <v>40748</v>
      </c>
      <c r="AM35" s="119">
        <f t="shared" si="14"/>
        <v>420868</v>
      </c>
      <c r="AN35" s="132">
        <f t="shared" si="14"/>
        <v>-33375</v>
      </c>
      <c r="AO35" s="132">
        <f t="shared" si="14"/>
        <v>-87612</v>
      </c>
      <c r="AP35" s="132">
        <f t="shared" si="14"/>
        <v>-99584</v>
      </c>
      <c r="AQ35" s="132">
        <f t="shared" si="14"/>
        <v>-38380</v>
      </c>
      <c r="AR35" s="132">
        <f t="shared" si="14"/>
        <v>-414419</v>
      </c>
      <c r="AS35" s="132">
        <f t="shared" si="14"/>
        <v>-118143</v>
      </c>
      <c r="AT35" s="132">
        <f t="shared" si="14"/>
        <v>-192861</v>
      </c>
      <c r="AU35" s="132">
        <f t="shared" si="14"/>
        <v>1015</v>
      </c>
      <c r="AV35" s="132">
        <f t="shared" si="14"/>
        <v>-89842</v>
      </c>
      <c r="AW35" s="132">
        <f t="shared" si="14"/>
        <v>112723.80800000002</v>
      </c>
      <c r="AX35" s="132">
        <f t="shared" si="14"/>
        <v>11268.858999999997</v>
      </c>
      <c r="AY35" s="132">
        <f t="shared" si="14"/>
        <v>-379144</v>
      </c>
      <c r="AZ35" s="132">
        <f t="shared" si="14"/>
        <v>-2288</v>
      </c>
      <c r="BA35" s="132">
        <f t="shared" si="14"/>
        <v>-130933.02399999999</v>
      </c>
      <c r="BB35" s="132">
        <f t="shared" ref="BB35:BD35" si="15">SUM(BB36:BB37)</f>
        <v>-164621.44300000003</v>
      </c>
      <c r="BC35" s="132">
        <f t="shared" si="15"/>
        <v>-148857.59599999999</v>
      </c>
      <c r="BD35" s="132">
        <f t="shared" si="15"/>
        <v>-17322.043999999994</v>
      </c>
      <c r="BE35" s="767">
        <f>SUM(BE36:BE37)</f>
        <v>-22259.043000000005</v>
      </c>
    </row>
    <row r="36" spans="1:57">
      <c r="A36" s="115" t="s">
        <v>727</v>
      </c>
      <c r="B36" s="115" t="s">
        <v>898</v>
      </c>
      <c r="D36" s="116">
        <v>23437</v>
      </c>
      <c r="E36" s="116">
        <v>28439.985710000001</v>
      </c>
      <c r="F36" s="116">
        <v>10983.792820000002</v>
      </c>
      <c r="G36" s="116">
        <v>24266.559920000007</v>
      </c>
      <c r="H36" s="116">
        <v>19769.874520000001</v>
      </c>
      <c r="I36" s="116">
        <v>19807.125479999999</v>
      </c>
      <c r="J36" s="116">
        <v>21713.230860000003</v>
      </c>
      <c r="K36" s="116">
        <v>22282.354230000004</v>
      </c>
      <c r="L36" s="116">
        <v>23391.087</v>
      </c>
      <c r="M36" s="116">
        <v>24166.484299999996</v>
      </c>
      <c r="N36" s="116">
        <v>21373.582160000005</v>
      </c>
      <c r="O36" s="116">
        <v>20926.952480000007</v>
      </c>
      <c r="P36" s="116">
        <v>17139</v>
      </c>
      <c r="Q36" s="116">
        <v>19030</v>
      </c>
      <c r="R36" s="116">
        <v>20173</v>
      </c>
      <c r="S36" s="116">
        <v>16351</v>
      </c>
      <c r="T36" s="116">
        <v>15372</v>
      </c>
      <c r="U36" s="116">
        <v>19566</v>
      </c>
      <c r="V36" s="116">
        <v>11016</v>
      </c>
      <c r="W36" s="116">
        <v>22057</v>
      </c>
      <c r="X36" s="116">
        <v>17803</v>
      </c>
      <c r="Y36" s="116">
        <v>15907</v>
      </c>
      <c r="Z36" s="116">
        <v>15750</v>
      </c>
      <c r="AA36" s="116">
        <v>18927</v>
      </c>
      <c r="AB36" s="116">
        <v>9114</v>
      </c>
      <c r="AC36" s="116">
        <v>5658</v>
      </c>
      <c r="AD36" s="127">
        <v>8039</v>
      </c>
      <c r="AE36" s="130">
        <v>10522</v>
      </c>
      <c r="AF36" s="130">
        <v>11830</v>
      </c>
      <c r="AG36" s="130">
        <v>5453</v>
      </c>
      <c r="AH36" s="130">
        <v>3499</v>
      </c>
      <c r="AI36" s="130">
        <v>2251</v>
      </c>
      <c r="AJ36" s="130">
        <v>2011</v>
      </c>
      <c r="AK36" s="130">
        <v>4796</v>
      </c>
      <c r="AL36" s="130">
        <v>13447</v>
      </c>
      <c r="AM36" s="130">
        <v>445500</v>
      </c>
      <c r="AN36" s="131">
        <v>106479</v>
      </c>
      <c r="AO36" s="131">
        <v>62459</v>
      </c>
      <c r="AP36" s="131">
        <v>68874</v>
      </c>
      <c r="AQ36" s="131">
        <v>126815</v>
      </c>
      <c r="AR36" s="131">
        <v>115928</v>
      </c>
      <c r="AS36" s="131">
        <v>94923</v>
      </c>
      <c r="AT36" s="131">
        <v>109967</v>
      </c>
      <c r="AU36" s="131">
        <v>198333</v>
      </c>
      <c r="AV36" s="131">
        <v>106877</v>
      </c>
      <c r="AW36" s="131">
        <v>146058.70800000001</v>
      </c>
      <c r="AX36" s="131">
        <v>120169.209</v>
      </c>
      <c r="AY36" s="131">
        <v>104557</v>
      </c>
      <c r="AZ36" s="131">
        <v>129167</v>
      </c>
      <c r="BA36" s="131">
        <v>42263.156000000003</v>
      </c>
      <c r="BB36" s="131">
        <v>21907.794999999998</v>
      </c>
      <c r="BC36" s="131">
        <v>-6778.424</v>
      </c>
      <c r="BD36" s="131">
        <v>34633.891000000003</v>
      </c>
      <c r="BE36" s="770">
        <v>40120.769999999997</v>
      </c>
    </row>
    <row r="37" spans="1:57" ht="15" thickBot="1">
      <c r="A37" s="117" t="s">
        <v>744</v>
      </c>
      <c r="B37" s="117" t="s">
        <v>745</v>
      </c>
      <c r="D37" s="116">
        <v>-12248</v>
      </c>
      <c r="E37" s="116">
        <v>-2532.6008599999986</v>
      </c>
      <c r="F37" s="116">
        <v>-1212.3199300000015</v>
      </c>
      <c r="G37" s="116">
        <v>5422.4046500000004</v>
      </c>
      <c r="H37" s="116"/>
      <c r="I37" s="116"/>
      <c r="J37" s="116">
        <v>-5.3740500000000004</v>
      </c>
      <c r="K37" s="116">
        <v>-1251.7416700000017</v>
      </c>
      <c r="L37" s="116">
        <v>-46.428899999999999</v>
      </c>
      <c r="M37" s="116">
        <v>-6144.9193100000002</v>
      </c>
      <c r="N37" s="116">
        <v>69.998039999999492</v>
      </c>
      <c r="O37" s="116">
        <v>-118.20955999999933</v>
      </c>
      <c r="P37" s="116"/>
      <c r="Q37" s="116">
        <v>-1</v>
      </c>
      <c r="R37" s="116">
        <v>-3</v>
      </c>
      <c r="S37" s="116">
        <v>-3</v>
      </c>
      <c r="T37" s="116">
        <v>-4324</v>
      </c>
      <c r="U37" s="116">
        <v>-1352</v>
      </c>
      <c r="V37" s="116">
        <v>-233</v>
      </c>
      <c r="W37" s="116">
        <v>-5039</v>
      </c>
      <c r="X37" s="116">
        <v>-21982</v>
      </c>
      <c r="Y37" s="116">
        <v>-22166</v>
      </c>
      <c r="Z37" s="116">
        <v>-23883</v>
      </c>
      <c r="AA37" s="116">
        <v>-40581</v>
      </c>
      <c r="AB37" s="116">
        <v>-38611</v>
      </c>
      <c r="AC37" s="116">
        <v>-39259</v>
      </c>
      <c r="AD37" s="127">
        <v>-39657</v>
      </c>
      <c r="AE37" s="130">
        <v>-79242</v>
      </c>
      <c r="AF37" s="130">
        <v>-27682</v>
      </c>
      <c r="AG37" s="130">
        <v>-10702</v>
      </c>
      <c r="AH37" s="130">
        <v>-10652</v>
      </c>
      <c r="AI37" s="130">
        <v>-10495</v>
      </c>
      <c r="AJ37" s="130">
        <v>-9559</v>
      </c>
      <c r="AK37" s="130">
        <v>-115685</v>
      </c>
      <c r="AL37" s="130">
        <v>27301</v>
      </c>
      <c r="AM37" s="130">
        <v>-24632</v>
      </c>
      <c r="AN37" s="131">
        <v>-139854</v>
      </c>
      <c r="AO37" s="131">
        <v>-150071</v>
      </c>
      <c r="AP37" s="131">
        <v>-168458</v>
      </c>
      <c r="AQ37" s="131">
        <v>-165195</v>
      </c>
      <c r="AR37" s="131">
        <v>-530347</v>
      </c>
      <c r="AS37" s="131">
        <v>-213066</v>
      </c>
      <c r="AT37" s="131">
        <v>-302828</v>
      </c>
      <c r="AU37" s="131">
        <v>-197318</v>
      </c>
      <c r="AV37" s="131">
        <v>-196719</v>
      </c>
      <c r="AW37" s="131">
        <v>-33334.9</v>
      </c>
      <c r="AX37" s="131">
        <v>-108900.35</v>
      </c>
      <c r="AY37" s="131">
        <v>-483701</v>
      </c>
      <c r="AZ37" s="131">
        <v>-131455</v>
      </c>
      <c r="BA37" s="131">
        <v>-173196.18</v>
      </c>
      <c r="BB37" s="131">
        <v>-186529.23800000001</v>
      </c>
      <c r="BC37" s="131">
        <v>-142079.17199999999</v>
      </c>
      <c r="BD37" s="131">
        <v>-51955.934999999998</v>
      </c>
      <c r="BE37" s="770">
        <v>-62379.813000000002</v>
      </c>
    </row>
    <row r="38" spans="1:57" ht="15" thickBot="1">
      <c r="A38" s="123" t="s">
        <v>905</v>
      </c>
      <c r="B38" s="123" t="s">
        <v>988</v>
      </c>
      <c r="D38" s="119">
        <f>D32+D33+D34+D35</f>
        <v>-24593</v>
      </c>
      <c r="E38" s="119">
        <f t="shared" ref="E38:AC38" si="16">E32+E33+E34+E35</f>
        <v>-44329.014289999992</v>
      </c>
      <c r="F38" s="119">
        <f t="shared" si="16"/>
        <v>204947.12205999999</v>
      </c>
      <c r="G38" s="119">
        <f t="shared" si="16"/>
        <v>-55615.48397999999</v>
      </c>
      <c r="H38" s="119">
        <f t="shared" si="16"/>
        <v>18634.910760000002</v>
      </c>
      <c r="I38" s="119">
        <f t="shared" si="16"/>
        <v>-180847.91076</v>
      </c>
      <c r="J38" s="119">
        <f t="shared" si="16"/>
        <v>286538.85268000007</v>
      </c>
      <c r="K38" s="119">
        <f t="shared" si="16"/>
        <v>517214.29123999999</v>
      </c>
      <c r="L38" s="119">
        <f t="shared" si="16"/>
        <v>88844.839059999998</v>
      </c>
      <c r="M38" s="119">
        <f t="shared" si="16"/>
        <v>505477.50070999999</v>
      </c>
      <c r="N38" s="119">
        <f t="shared" si="16"/>
        <v>84511.203080000007</v>
      </c>
      <c r="O38" s="119">
        <f t="shared" si="16"/>
        <v>128977.05251000002</v>
      </c>
      <c r="P38" s="119">
        <f t="shared" si="16"/>
        <v>100845.69761999999</v>
      </c>
      <c r="Q38" s="119">
        <f t="shared" si="16"/>
        <v>184052.30237999998</v>
      </c>
      <c r="R38" s="119">
        <f t="shared" si="16"/>
        <v>195200</v>
      </c>
      <c r="S38" s="119">
        <f t="shared" si="16"/>
        <v>193117</v>
      </c>
      <c r="T38" s="119">
        <f t="shared" si="16"/>
        <v>51777.5</v>
      </c>
      <c r="U38" s="119">
        <f t="shared" si="16"/>
        <v>127754.5</v>
      </c>
      <c r="V38" s="119">
        <f t="shared" si="16"/>
        <v>312413</v>
      </c>
      <c r="W38" s="119">
        <f t="shared" si="16"/>
        <v>505398</v>
      </c>
      <c r="X38" s="119">
        <f t="shared" si="16"/>
        <v>64581</v>
      </c>
      <c r="Y38" s="119">
        <f t="shared" si="16"/>
        <v>121068</v>
      </c>
      <c r="Z38" s="119">
        <f t="shared" si="16"/>
        <v>248029</v>
      </c>
      <c r="AA38" s="119">
        <f t="shared" si="16"/>
        <v>635007</v>
      </c>
      <c r="AB38" s="119">
        <f t="shared" si="16"/>
        <v>212779.658</v>
      </c>
      <c r="AC38" s="119">
        <f t="shared" si="16"/>
        <v>342075.91200000001</v>
      </c>
      <c r="AD38" s="128">
        <v>548648.89500000002</v>
      </c>
      <c r="AE38" s="129">
        <v>1312232</v>
      </c>
      <c r="AF38" s="129">
        <v>439957</v>
      </c>
      <c r="AG38" s="129">
        <v>405730.99999999994</v>
      </c>
      <c r="AH38" s="119">
        <f t="shared" ref="AH38:BA38" si="17">AH32+AH33+AH34+AH35</f>
        <v>678660</v>
      </c>
      <c r="AI38" s="119">
        <f t="shared" si="17"/>
        <v>1401518.925</v>
      </c>
      <c r="AJ38" s="119">
        <f t="shared" si="17"/>
        <v>353281</v>
      </c>
      <c r="AK38" s="119">
        <f t="shared" si="17"/>
        <v>862956</v>
      </c>
      <c r="AL38" s="119">
        <f t="shared" si="17"/>
        <v>1388388</v>
      </c>
      <c r="AM38" s="119">
        <f t="shared" si="17"/>
        <v>1562331</v>
      </c>
      <c r="AN38" s="119">
        <f t="shared" si="17"/>
        <v>593420</v>
      </c>
      <c r="AO38" s="119">
        <f t="shared" si="17"/>
        <v>-156774</v>
      </c>
      <c r="AP38" s="119">
        <f t="shared" si="17"/>
        <v>517568</v>
      </c>
      <c r="AQ38" s="119">
        <f t="shared" si="17"/>
        <v>478305</v>
      </c>
      <c r="AR38" s="119">
        <f t="shared" si="17"/>
        <v>63154</v>
      </c>
      <c r="AS38" s="119">
        <f t="shared" si="17"/>
        <v>499985</v>
      </c>
      <c r="AT38" s="119">
        <f t="shared" si="17"/>
        <v>701407</v>
      </c>
      <c r="AU38" s="119">
        <f t="shared" si="17"/>
        <v>687175</v>
      </c>
      <c r="AV38" s="119">
        <f t="shared" si="17"/>
        <v>243215</v>
      </c>
      <c r="AW38" s="119">
        <f t="shared" si="17"/>
        <v>525957.13400000008</v>
      </c>
      <c r="AX38" s="119">
        <f t="shared" si="17"/>
        <v>768666.46399999992</v>
      </c>
      <c r="AY38" s="119">
        <f t="shared" si="17"/>
        <v>1218224.7920000001</v>
      </c>
      <c r="AZ38" s="119">
        <f t="shared" si="17"/>
        <v>574767.50100000005</v>
      </c>
      <c r="BA38" s="119">
        <f t="shared" si="17"/>
        <v>1066485.3361199999</v>
      </c>
      <c r="BB38" s="119">
        <f t="shared" ref="BB38:BD38" si="18">BB32+BB33+BB34+BB35</f>
        <v>460085.26851000002</v>
      </c>
      <c r="BC38" s="119">
        <f t="shared" si="18"/>
        <v>-921491.78</v>
      </c>
      <c r="BD38" s="119">
        <f t="shared" si="18"/>
        <v>431993.23300000001</v>
      </c>
      <c r="BE38" s="119">
        <f>BE32+BE33+BE34+BE35</f>
        <v>478044.22399999993</v>
      </c>
    </row>
    <row r="39" spans="1:57">
      <c r="A39" s="115" t="s">
        <v>768</v>
      </c>
      <c r="B39" s="115" t="s">
        <v>769</v>
      </c>
      <c r="D39" s="116"/>
      <c r="E39" s="116"/>
      <c r="F39" s="116">
        <v>-1394</v>
      </c>
      <c r="G39" s="116">
        <v>-1728.7580699999999</v>
      </c>
      <c r="H39" s="116">
        <v>-1064.4675099999999</v>
      </c>
      <c r="I39" s="116">
        <v>-1106.3941199999999</v>
      </c>
      <c r="J39" s="116">
        <v>-1111.9614999999999</v>
      </c>
      <c r="K39" s="116">
        <v>2274.8680599999998</v>
      </c>
      <c r="L39" s="116">
        <v>-921.81399999999996</v>
      </c>
      <c r="M39" s="116">
        <v>-1335.8954300000005</v>
      </c>
      <c r="N39" s="116">
        <v>-822.57741999999962</v>
      </c>
      <c r="O39" s="116">
        <v>3251.6011699999999</v>
      </c>
      <c r="P39" s="116">
        <v>-820.04539999999997</v>
      </c>
      <c r="Q39" s="116">
        <v>-1395.9546</v>
      </c>
      <c r="R39" s="116">
        <v>-2291</v>
      </c>
      <c r="S39" s="116">
        <v>3958</v>
      </c>
      <c r="T39" s="116">
        <v>-609.4</v>
      </c>
      <c r="U39" s="116">
        <v>-1007.6</v>
      </c>
      <c r="V39" s="116">
        <v>-195</v>
      </c>
      <c r="W39" s="116">
        <v>957</v>
      </c>
      <c r="X39" s="116">
        <v>0</v>
      </c>
      <c r="Y39" s="116">
        <v>0</v>
      </c>
      <c r="Z39" s="116">
        <v>0</v>
      </c>
      <c r="AA39" s="116">
        <v>0</v>
      </c>
      <c r="AB39" s="116"/>
      <c r="AC39" s="116"/>
      <c r="AD39" s="127">
        <v>0</v>
      </c>
      <c r="AE39" s="127">
        <v>0</v>
      </c>
      <c r="AF39" s="127">
        <v>0</v>
      </c>
      <c r="AG39" s="127">
        <v>0</v>
      </c>
      <c r="AH39" s="127">
        <v>0</v>
      </c>
      <c r="AI39" s="127">
        <v>0</v>
      </c>
      <c r="AJ39" s="127">
        <v>0</v>
      </c>
      <c r="AK39" s="127">
        <v>0</v>
      </c>
      <c r="AL39" s="127">
        <v>0</v>
      </c>
      <c r="AM39" s="127"/>
      <c r="AN39" s="127"/>
      <c r="AO39" s="127"/>
      <c r="AP39" s="127">
        <v>0</v>
      </c>
      <c r="AQ39" s="127"/>
      <c r="AR39" s="127"/>
      <c r="AS39" s="127"/>
      <c r="AT39" s="127"/>
      <c r="AU39" s="131">
        <v>0</v>
      </c>
      <c r="AV39" s="131">
        <v>0</v>
      </c>
      <c r="AW39" s="131">
        <v>0</v>
      </c>
      <c r="AX39" s="131">
        <v>-23.754999999999999</v>
      </c>
      <c r="AY39" s="131">
        <v>0</v>
      </c>
      <c r="AZ39" s="131">
        <v>0</v>
      </c>
      <c r="BA39" s="131">
        <v>0</v>
      </c>
      <c r="BB39" s="131">
        <v>0</v>
      </c>
      <c r="BC39" s="131">
        <v>0</v>
      </c>
      <c r="BD39" s="131">
        <v>-2063.576</v>
      </c>
      <c r="BE39" s="770">
        <v>1993.921</v>
      </c>
    </row>
    <row r="40" spans="1:57">
      <c r="A40" s="115" t="s">
        <v>770</v>
      </c>
      <c r="B40" s="115" t="s">
        <v>771</v>
      </c>
      <c r="D40" s="116"/>
      <c r="E40" s="116"/>
      <c r="F40" s="116">
        <v>-3853.3856700000001</v>
      </c>
      <c r="G40" s="116">
        <v>-4796.6143300000003</v>
      </c>
      <c r="H40" s="116">
        <v>-2950.8541700000001</v>
      </c>
      <c r="I40" s="116">
        <v>-3067.3148899999992</v>
      </c>
      <c r="J40" s="116">
        <v>-3528.4386999999997</v>
      </c>
      <c r="K40" s="116">
        <v>6771.607759999999</v>
      </c>
      <c r="L40" s="116">
        <v>-2554.5944500000001</v>
      </c>
      <c r="M40" s="116">
        <v>-4028.6577299999994</v>
      </c>
      <c r="N40" s="116">
        <v>-3264.8683400000009</v>
      </c>
      <c r="O40" s="116">
        <v>10347.995989999999</v>
      </c>
      <c r="P40" s="116">
        <v>-2271.9038799999998</v>
      </c>
      <c r="Q40" s="116">
        <v>-3872.0961200000002</v>
      </c>
      <c r="R40" s="116">
        <v>-4188</v>
      </c>
      <c r="S40" s="116">
        <v>8832</v>
      </c>
      <c r="T40" s="116">
        <v>-1685</v>
      </c>
      <c r="U40" s="116">
        <v>-2794</v>
      </c>
      <c r="V40" s="116">
        <v>-536</v>
      </c>
      <c r="W40" s="116">
        <v>2656</v>
      </c>
      <c r="X40" s="116">
        <v>0</v>
      </c>
      <c r="Y40" s="116">
        <v>0</v>
      </c>
      <c r="Z40" s="116">
        <v>0</v>
      </c>
      <c r="AA40" s="116">
        <v>0</v>
      </c>
      <c r="AB40" s="116"/>
      <c r="AC40" s="116"/>
      <c r="AD40" s="127">
        <v>0</v>
      </c>
      <c r="AE40" s="127">
        <v>0</v>
      </c>
      <c r="AF40" s="127">
        <v>0</v>
      </c>
      <c r="AG40" s="127">
        <v>0</v>
      </c>
      <c r="AH40" s="127">
        <v>0</v>
      </c>
      <c r="AI40" s="127">
        <v>0</v>
      </c>
      <c r="AJ40" s="127">
        <v>0</v>
      </c>
      <c r="AK40" s="127">
        <v>0</v>
      </c>
      <c r="AL40" s="127">
        <v>0</v>
      </c>
      <c r="AM40" s="127"/>
      <c r="AN40" s="127"/>
      <c r="AO40" s="127"/>
      <c r="AP40" s="127">
        <v>0</v>
      </c>
      <c r="AQ40" s="127"/>
      <c r="AR40" s="127"/>
      <c r="AS40" s="127"/>
      <c r="AT40" s="127"/>
      <c r="AU40" s="131">
        <v>0</v>
      </c>
      <c r="AV40" s="131">
        <v>-111</v>
      </c>
      <c r="AW40" s="131">
        <v>111.77800000000001</v>
      </c>
      <c r="AX40" s="131">
        <v>-65.984999999999999</v>
      </c>
      <c r="AY40" s="131">
        <v>0</v>
      </c>
      <c r="AZ40" s="131">
        <v>0</v>
      </c>
      <c r="BA40" s="131">
        <v>0</v>
      </c>
      <c r="BB40" s="131">
        <v>0</v>
      </c>
      <c r="BC40" s="131">
        <v>0</v>
      </c>
      <c r="BD40" s="131">
        <v>-6208.7569999999996</v>
      </c>
      <c r="BE40" s="770">
        <v>5337.3860000000004</v>
      </c>
    </row>
    <row r="41" spans="1:57">
      <c r="A41" s="115" t="s">
        <v>900</v>
      </c>
      <c r="B41" s="115" t="s">
        <v>901</v>
      </c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>
        <v>0</v>
      </c>
      <c r="S41" s="116"/>
      <c r="T41" s="116">
        <v>0</v>
      </c>
      <c r="U41" s="116">
        <v>3134</v>
      </c>
      <c r="V41" s="116">
        <v>0</v>
      </c>
      <c r="W41" s="116">
        <v>0</v>
      </c>
      <c r="X41" s="116">
        <v>0</v>
      </c>
      <c r="Y41" s="116">
        <v>0</v>
      </c>
      <c r="Z41" s="116">
        <v>0</v>
      </c>
      <c r="AA41" s="116">
        <v>0</v>
      </c>
      <c r="AB41" s="116"/>
      <c r="AC41" s="116"/>
      <c r="AD41" s="127">
        <v>0</v>
      </c>
      <c r="AE41" s="127">
        <v>0</v>
      </c>
      <c r="AF41" s="127">
        <v>0</v>
      </c>
      <c r="AG41" s="127">
        <v>0</v>
      </c>
      <c r="AH41" s="127">
        <v>0</v>
      </c>
      <c r="AI41" s="127">
        <v>0</v>
      </c>
      <c r="AJ41" s="127">
        <v>0</v>
      </c>
      <c r="AK41" s="127">
        <v>0</v>
      </c>
      <c r="AL41" s="127">
        <v>0</v>
      </c>
      <c r="AM41" s="127">
        <v>-140465</v>
      </c>
      <c r="AN41" s="127">
        <v>-13344</v>
      </c>
      <c r="AO41" s="127">
        <v>-13529</v>
      </c>
      <c r="AP41" s="127">
        <v>-13307</v>
      </c>
      <c r="AQ41" s="127">
        <v>-18311</v>
      </c>
      <c r="AR41" s="127">
        <v>100532</v>
      </c>
      <c r="AS41" s="127">
        <v>17714</v>
      </c>
      <c r="AT41" s="127">
        <v>18615</v>
      </c>
      <c r="AU41" s="131">
        <v>-12990</v>
      </c>
      <c r="AV41" s="131">
        <v>36341</v>
      </c>
      <c r="AW41" s="131">
        <v>-17451.008000000002</v>
      </c>
      <c r="AX41" s="131">
        <v>-8506.2559999999994</v>
      </c>
      <c r="AY41" s="131">
        <v>45459.733999999997</v>
      </c>
      <c r="AZ41" s="131">
        <v>-18600.207999999999</v>
      </c>
      <c r="BA41" s="131">
        <v>7114.6819999999998</v>
      </c>
      <c r="BB41" s="131">
        <v>8816.1489999999994</v>
      </c>
      <c r="BC41" s="131">
        <v>30482.521000000001</v>
      </c>
      <c r="BD41" s="131">
        <v>744.51900000000001</v>
      </c>
      <c r="BE41" s="770">
        <v>0</v>
      </c>
    </row>
    <row r="42" spans="1:57" ht="15" thickBot="1">
      <c r="A42" s="117" t="s">
        <v>772</v>
      </c>
      <c r="B42" s="117" t="s">
        <v>902</v>
      </c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>
        <v>0</v>
      </c>
      <c r="S42" s="116"/>
      <c r="T42" s="116">
        <v>0</v>
      </c>
      <c r="U42" s="116">
        <v>0</v>
      </c>
      <c r="V42" s="116">
        <v>0</v>
      </c>
      <c r="W42" s="116">
        <v>0</v>
      </c>
      <c r="X42" s="116">
        <v>0</v>
      </c>
      <c r="Y42" s="116">
        <v>0</v>
      </c>
      <c r="Z42" s="116">
        <v>0</v>
      </c>
      <c r="AA42" s="116">
        <v>0</v>
      </c>
      <c r="AB42" s="116"/>
      <c r="AC42" s="116"/>
      <c r="AD42" s="127">
        <v>0</v>
      </c>
      <c r="AE42" s="127">
        <v>0</v>
      </c>
      <c r="AF42" s="127">
        <v>0</v>
      </c>
      <c r="AG42" s="127">
        <v>0</v>
      </c>
      <c r="AH42" s="127">
        <v>0</v>
      </c>
      <c r="AI42" s="127">
        <v>0</v>
      </c>
      <c r="AJ42" s="127">
        <v>0</v>
      </c>
      <c r="AK42" s="127">
        <v>0</v>
      </c>
      <c r="AL42" s="127">
        <v>0</v>
      </c>
      <c r="AM42" s="127"/>
      <c r="AN42" s="127"/>
      <c r="AO42" s="127"/>
      <c r="AP42" s="127"/>
      <c r="AQ42" s="127"/>
      <c r="AR42" s="127"/>
      <c r="AS42" s="127"/>
      <c r="AT42" s="127"/>
      <c r="AU42" s="131">
        <v>0</v>
      </c>
      <c r="AV42" s="131">
        <v>0</v>
      </c>
      <c r="AW42" s="131">
        <v>0</v>
      </c>
      <c r="AX42" s="131">
        <v>0</v>
      </c>
      <c r="AY42" s="131">
        <v>0</v>
      </c>
      <c r="AZ42" s="131">
        <v>0</v>
      </c>
      <c r="BA42" s="131">
        <v>0</v>
      </c>
      <c r="BB42" s="131">
        <v>0</v>
      </c>
      <c r="BC42" s="131">
        <v>0</v>
      </c>
      <c r="BD42" s="131">
        <v>0</v>
      </c>
      <c r="BE42" s="770">
        <v>0</v>
      </c>
    </row>
    <row r="43" spans="1:57" ht="15" thickBot="1">
      <c r="A43" s="118" t="s">
        <v>903</v>
      </c>
      <c r="B43" s="118" t="s">
        <v>777</v>
      </c>
      <c r="D43" s="119">
        <f>SUM(D38:D42)</f>
        <v>-24593</v>
      </c>
      <c r="E43" s="119">
        <f t="shared" ref="E43:AC43" si="19">SUM(E38:E42)</f>
        <v>-44329.014289999992</v>
      </c>
      <c r="F43" s="119">
        <f t="shared" si="19"/>
        <v>199699.73639000001</v>
      </c>
      <c r="G43" s="119">
        <f t="shared" si="19"/>
        <v>-62140.856379999983</v>
      </c>
      <c r="H43" s="119">
        <f t="shared" si="19"/>
        <v>14619.589080000003</v>
      </c>
      <c r="I43" s="119">
        <f t="shared" si="19"/>
        <v>-185021.61977000002</v>
      </c>
      <c r="J43" s="119">
        <f t="shared" si="19"/>
        <v>281898.45248000009</v>
      </c>
      <c r="K43" s="119">
        <f t="shared" si="19"/>
        <v>526260.76705999998</v>
      </c>
      <c r="L43" s="119">
        <f t="shared" si="19"/>
        <v>85368.430609999996</v>
      </c>
      <c r="M43" s="119">
        <f t="shared" si="19"/>
        <v>500112.94755000004</v>
      </c>
      <c r="N43" s="119">
        <f t="shared" si="19"/>
        <v>80423.757320000004</v>
      </c>
      <c r="O43" s="119">
        <f t="shared" si="19"/>
        <v>142576.64967000001</v>
      </c>
      <c r="P43" s="119">
        <f t="shared" si="19"/>
        <v>97753.748339999991</v>
      </c>
      <c r="Q43" s="119">
        <f t="shared" si="19"/>
        <v>178784.25165999998</v>
      </c>
      <c r="R43" s="119">
        <f t="shared" si="19"/>
        <v>188721</v>
      </c>
      <c r="S43" s="119">
        <f t="shared" si="19"/>
        <v>205907</v>
      </c>
      <c r="T43" s="119">
        <f t="shared" si="19"/>
        <v>49483.1</v>
      </c>
      <c r="U43" s="119">
        <f t="shared" si="19"/>
        <v>127086.9</v>
      </c>
      <c r="V43" s="119">
        <f t="shared" si="19"/>
        <v>311682</v>
      </c>
      <c r="W43" s="119">
        <f t="shared" si="19"/>
        <v>509011</v>
      </c>
      <c r="X43" s="119">
        <f t="shared" si="19"/>
        <v>64581</v>
      </c>
      <c r="Y43" s="119">
        <f t="shared" si="19"/>
        <v>121068</v>
      </c>
      <c r="Z43" s="119">
        <f t="shared" si="19"/>
        <v>248029</v>
      </c>
      <c r="AA43" s="119">
        <f t="shared" si="19"/>
        <v>635007</v>
      </c>
      <c r="AB43" s="119">
        <f t="shared" si="19"/>
        <v>212779.658</v>
      </c>
      <c r="AC43" s="119">
        <f t="shared" si="19"/>
        <v>342075.91200000001</v>
      </c>
      <c r="AD43" s="128">
        <v>548648.89500000002</v>
      </c>
      <c r="AE43" s="129">
        <v>1312232</v>
      </c>
      <c r="AF43" s="129">
        <v>439957</v>
      </c>
      <c r="AG43" s="129">
        <v>405730.99999999994</v>
      </c>
      <c r="AH43" s="119">
        <f t="shared" ref="AH43:BA43" si="20">SUM(AH38:AH42)</f>
        <v>678660</v>
      </c>
      <c r="AI43" s="119">
        <f t="shared" si="20"/>
        <v>1401518.925</v>
      </c>
      <c r="AJ43" s="119">
        <f t="shared" si="20"/>
        <v>353281</v>
      </c>
      <c r="AK43" s="119">
        <f t="shared" si="20"/>
        <v>862956</v>
      </c>
      <c r="AL43" s="119">
        <f t="shared" si="20"/>
        <v>1388388</v>
      </c>
      <c r="AM43" s="119">
        <f t="shared" si="20"/>
        <v>1421866</v>
      </c>
      <c r="AN43" s="119">
        <f t="shared" si="20"/>
        <v>580076</v>
      </c>
      <c r="AO43" s="119">
        <f t="shared" si="20"/>
        <v>-170303</v>
      </c>
      <c r="AP43" s="119">
        <f t="shared" si="20"/>
        <v>504261</v>
      </c>
      <c r="AQ43" s="119">
        <f t="shared" si="20"/>
        <v>459994</v>
      </c>
      <c r="AR43" s="119">
        <f t="shared" si="20"/>
        <v>163686</v>
      </c>
      <c r="AS43" s="119">
        <f t="shared" si="20"/>
        <v>517699</v>
      </c>
      <c r="AT43" s="119">
        <f t="shared" si="20"/>
        <v>720022</v>
      </c>
      <c r="AU43" s="119">
        <f t="shared" si="20"/>
        <v>674185</v>
      </c>
      <c r="AV43" s="119">
        <f t="shared" si="20"/>
        <v>279445</v>
      </c>
      <c r="AW43" s="119">
        <f t="shared" si="20"/>
        <v>508617.9040000001</v>
      </c>
      <c r="AX43" s="119">
        <f t="shared" si="20"/>
        <v>760070.46799999988</v>
      </c>
      <c r="AY43" s="119">
        <f t="shared" si="20"/>
        <v>1263684.5260000001</v>
      </c>
      <c r="AZ43" s="119">
        <f t="shared" si="20"/>
        <v>556167.29300000006</v>
      </c>
      <c r="BA43" s="119">
        <f t="shared" si="20"/>
        <v>1073600.0181199999</v>
      </c>
      <c r="BB43" s="119">
        <f t="shared" ref="BB43:BD43" si="21">SUM(BB38:BB42)</f>
        <v>468901.41751</v>
      </c>
      <c r="BC43" s="119">
        <f t="shared" si="21"/>
        <v>-891009.25900000008</v>
      </c>
      <c r="BD43" s="119">
        <f t="shared" si="21"/>
        <v>424465.41899999999</v>
      </c>
      <c r="BE43" s="119">
        <f>SUM(BE38:BE42)</f>
        <v>485375.5309999999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9" tint="0.79998168889431442"/>
  </sheetPr>
  <dimension ref="A7:AC51"/>
  <sheetViews>
    <sheetView showGridLines="0" zoomScale="85" zoomScaleNormal="85" workbookViewId="0">
      <pane xSplit="2" topLeftCell="T1" activePane="topRight" state="frozen"/>
      <selection pane="topRight" activeCell="AD23" sqref="AD23"/>
    </sheetView>
  </sheetViews>
  <sheetFormatPr defaultColWidth="9.21875" defaultRowHeight="14.4" outlineLevelCol="1"/>
  <cols>
    <col min="1" max="1" width="44.44140625" style="35" bestFit="1" customWidth="1"/>
    <col min="2" max="2" width="44.44140625" style="35" customWidth="1"/>
    <col min="3" max="3" width="0.44140625" customWidth="1"/>
    <col min="4" max="11" width="9.5546875" style="35" hidden="1" customWidth="1" outlineLevel="1"/>
    <col min="12" max="12" width="9.5546875" style="35" customWidth="1" collapsed="1"/>
    <col min="13" max="17" width="9.5546875" style="35" bestFit="1" customWidth="1"/>
    <col min="18" max="18" width="9.77734375" style="35" bestFit="1" customWidth="1"/>
    <col min="19" max="29" width="10" style="35" bestFit="1" customWidth="1"/>
    <col min="30" max="30" width="10.77734375" style="35" bestFit="1" customWidth="1"/>
    <col min="31" max="16384" width="9.21875" style="35"/>
  </cols>
  <sheetData>
    <row r="7" spans="1:29">
      <c r="A7" s="38" t="s">
        <v>1000</v>
      </c>
      <c r="B7" s="38" t="s">
        <v>1001</v>
      </c>
      <c r="C7" s="111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</row>
    <row r="8" spans="1:29" ht="15" thickBot="1">
      <c r="A8" s="448" t="s">
        <v>846</v>
      </c>
      <c r="B8" s="448" t="s">
        <v>992</v>
      </c>
      <c r="C8" s="112"/>
      <c r="D8" s="449" t="s">
        <v>67</v>
      </c>
      <c r="E8" s="449" t="s">
        <v>68</v>
      </c>
      <c r="F8" s="449" t="s">
        <v>69</v>
      </c>
      <c r="G8" s="449" t="s">
        <v>70</v>
      </c>
      <c r="H8" s="449" t="s">
        <v>71</v>
      </c>
      <c r="I8" s="449" t="s">
        <v>72</v>
      </c>
      <c r="J8" s="449" t="s">
        <v>73</v>
      </c>
      <c r="K8" s="449" t="s">
        <v>74</v>
      </c>
      <c r="L8" s="449" t="s">
        <v>75</v>
      </c>
      <c r="M8" s="449" t="s">
        <v>76</v>
      </c>
      <c r="N8" s="449" t="s">
        <v>77</v>
      </c>
      <c r="O8" s="449" t="s">
        <v>78</v>
      </c>
      <c r="P8" s="449" t="s">
        <v>79</v>
      </c>
      <c r="Q8" s="449" t="s">
        <v>80</v>
      </c>
      <c r="R8" s="449" t="s">
        <v>81</v>
      </c>
      <c r="S8" s="449" t="s">
        <v>82</v>
      </c>
      <c r="T8" s="449" t="s">
        <v>83</v>
      </c>
      <c r="U8" s="449" t="s">
        <v>84</v>
      </c>
      <c r="V8" s="449" t="s">
        <v>85</v>
      </c>
      <c r="W8" s="449" t="s">
        <v>86</v>
      </c>
      <c r="X8" s="449" t="s">
        <v>87</v>
      </c>
      <c r="Y8" s="449" t="s">
        <v>88</v>
      </c>
      <c r="Z8" s="449" t="s">
        <v>2074</v>
      </c>
      <c r="AA8" s="449" t="s">
        <v>2127</v>
      </c>
      <c r="AB8" s="449" t="s">
        <v>2360</v>
      </c>
      <c r="AC8" s="453" t="s">
        <v>2494</v>
      </c>
    </row>
    <row r="9" spans="1:29" ht="15" thickBot="1">
      <c r="A9" s="113" t="s">
        <v>596</v>
      </c>
      <c r="B9" s="113" t="s">
        <v>848</v>
      </c>
      <c r="C9" s="112"/>
      <c r="D9" s="114">
        <f t="shared" ref="D9:L9" si="0">SUM(D10:D17)</f>
        <v>5673926</v>
      </c>
      <c r="E9" s="114">
        <f t="shared" si="0"/>
        <v>4604070</v>
      </c>
      <c r="F9" s="114">
        <f t="shared" si="0"/>
        <v>5615179</v>
      </c>
      <c r="G9" s="114">
        <f t="shared" si="0"/>
        <v>7537009</v>
      </c>
      <c r="H9" s="114">
        <f t="shared" si="0"/>
        <v>5564050</v>
      </c>
      <c r="I9" s="114">
        <f t="shared" si="0"/>
        <v>5714631</v>
      </c>
      <c r="J9" s="114">
        <f t="shared" si="0"/>
        <v>9824002</v>
      </c>
      <c r="K9" s="114">
        <f t="shared" si="0"/>
        <v>10739210</v>
      </c>
      <c r="L9" s="114">
        <f t="shared" si="0"/>
        <v>8665672</v>
      </c>
      <c r="M9" s="114">
        <f t="shared" ref="M9:Y9" si="1">SUM(M10:M17)</f>
        <v>9041537</v>
      </c>
      <c r="N9" s="114">
        <f t="shared" si="1"/>
        <v>9019875</v>
      </c>
      <c r="O9" s="114">
        <f t="shared" si="1"/>
        <v>10085102</v>
      </c>
      <c r="P9" s="114">
        <f t="shared" si="1"/>
        <v>13238356</v>
      </c>
      <c r="Q9" s="114">
        <f t="shared" si="1"/>
        <v>12540232</v>
      </c>
      <c r="R9" s="114">
        <f t="shared" si="1"/>
        <v>13839762</v>
      </c>
      <c r="S9" s="114">
        <f t="shared" si="1"/>
        <v>15247257.314999999</v>
      </c>
      <c r="T9" s="114">
        <f t="shared" si="1"/>
        <v>13837155.754999999</v>
      </c>
      <c r="U9" s="114">
        <f t="shared" si="1"/>
        <v>14533209</v>
      </c>
      <c r="V9" s="114">
        <f t="shared" si="1"/>
        <v>16399494.177999999</v>
      </c>
      <c r="W9" s="114">
        <f t="shared" si="1"/>
        <v>16735695.067</v>
      </c>
      <c r="X9" s="114">
        <f t="shared" si="1"/>
        <v>15495516</v>
      </c>
      <c r="Y9" s="114">
        <f t="shared" si="1"/>
        <v>17056438</v>
      </c>
      <c r="Z9" s="114">
        <f t="shared" ref="Z9:AB9" si="2">SUM(Z10:Z17)</f>
        <v>18750185</v>
      </c>
      <c r="AA9" s="114">
        <f t="shared" si="2"/>
        <v>19734498</v>
      </c>
      <c r="AB9" s="114">
        <f t="shared" si="2"/>
        <v>17518534</v>
      </c>
      <c r="AC9" s="114">
        <f>SUM(AC10:AC17)</f>
        <v>18811887</v>
      </c>
    </row>
    <row r="10" spans="1:29">
      <c r="A10" s="115" t="s">
        <v>849</v>
      </c>
      <c r="B10" s="115" t="s">
        <v>850</v>
      </c>
      <c r="C10" s="112"/>
      <c r="D10" s="116">
        <v>3966120</v>
      </c>
      <c r="E10" s="116">
        <v>3370350</v>
      </c>
      <c r="F10" s="116">
        <v>4302851</v>
      </c>
      <c r="G10" s="116">
        <v>5078160</v>
      </c>
      <c r="H10" s="116">
        <v>4408110</v>
      </c>
      <c r="I10" s="116">
        <v>4472232</v>
      </c>
      <c r="J10" s="116">
        <v>7440351</v>
      </c>
      <c r="K10" s="116">
        <v>8017446</v>
      </c>
      <c r="L10" s="116">
        <v>6505347</v>
      </c>
      <c r="M10" s="116">
        <v>6342428</v>
      </c>
      <c r="N10" s="116">
        <v>6442240</v>
      </c>
      <c r="O10" s="116">
        <v>6984645</v>
      </c>
      <c r="P10" s="116">
        <v>9068794</v>
      </c>
      <c r="Q10" s="116">
        <v>8888486</v>
      </c>
      <c r="R10" s="116">
        <v>9566498</v>
      </c>
      <c r="S10" s="116">
        <v>10754000</v>
      </c>
      <c r="T10" s="116">
        <v>10166242</v>
      </c>
      <c r="U10" s="116">
        <v>10377356</v>
      </c>
      <c r="V10" s="116">
        <v>11446331</v>
      </c>
      <c r="W10" s="116">
        <v>11657068</v>
      </c>
      <c r="X10" s="116">
        <v>10654674</v>
      </c>
      <c r="Y10" s="116">
        <v>11785522</v>
      </c>
      <c r="Z10" s="116">
        <v>13006508</v>
      </c>
      <c r="AA10" s="116">
        <v>15098021</v>
      </c>
      <c r="AB10" s="116">
        <v>12362786</v>
      </c>
      <c r="AC10" s="116">
        <v>13806846</v>
      </c>
    </row>
    <row r="11" spans="1:29">
      <c r="A11" s="115" t="s">
        <v>602</v>
      </c>
      <c r="B11" s="115" t="s">
        <v>603</v>
      </c>
      <c r="C11" s="112"/>
      <c r="D11" s="116">
        <v>78321</v>
      </c>
      <c r="E11" s="116">
        <v>27590</v>
      </c>
      <c r="F11" s="116">
        <v>32110</v>
      </c>
      <c r="G11" s="116">
        <v>134333</v>
      </c>
      <c r="H11" s="116">
        <v>33384</v>
      </c>
      <c r="I11" s="116">
        <v>82224</v>
      </c>
      <c r="J11" s="116">
        <v>459085</v>
      </c>
      <c r="K11" s="116">
        <v>496697</v>
      </c>
      <c r="L11" s="116">
        <v>69935</v>
      </c>
      <c r="M11" s="116">
        <v>110486</v>
      </c>
      <c r="N11" s="116">
        <v>93873</v>
      </c>
      <c r="O11" s="116">
        <v>91193</v>
      </c>
      <c r="P11" s="116">
        <v>96740</v>
      </c>
      <c r="Q11" s="116">
        <v>124066</v>
      </c>
      <c r="R11" s="116">
        <v>110338</v>
      </c>
      <c r="S11" s="116">
        <v>179902</v>
      </c>
      <c r="T11" s="116">
        <v>62768</v>
      </c>
      <c r="U11" s="116">
        <v>90433</v>
      </c>
      <c r="V11" s="116">
        <v>301785</v>
      </c>
      <c r="W11" s="116">
        <v>198675</v>
      </c>
      <c r="X11" s="116">
        <v>126838</v>
      </c>
      <c r="Y11" s="116">
        <v>220708</v>
      </c>
      <c r="Z11" s="116">
        <v>380717</v>
      </c>
      <c r="AA11" s="116">
        <v>323589</v>
      </c>
      <c r="AB11" s="116">
        <v>342809</v>
      </c>
      <c r="AC11" s="116">
        <v>59391</v>
      </c>
    </row>
    <row r="12" spans="1:29">
      <c r="A12" s="115" t="s">
        <v>606</v>
      </c>
      <c r="B12" s="115" t="s">
        <v>851</v>
      </c>
      <c r="C12" s="112"/>
      <c r="D12" s="116">
        <v>1233818</v>
      </c>
      <c r="E12" s="116">
        <v>806348</v>
      </c>
      <c r="F12" s="116">
        <v>784006</v>
      </c>
      <c r="G12" s="116">
        <v>1380132</v>
      </c>
      <c r="H12" s="116">
        <v>765529</v>
      </c>
      <c r="I12" s="116">
        <v>505150</v>
      </c>
      <c r="J12" s="116">
        <v>993769</v>
      </c>
      <c r="K12" s="116">
        <v>1041280</v>
      </c>
      <c r="L12" s="116">
        <v>830324</v>
      </c>
      <c r="M12" s="116">
        <v>1114220</v>
      </c>
      <c r="N12" s="116">
        <v>1561609</v>
      </c>
      <c r="O12" s="116">
        <v>1749184</v>
      </c>
      <c r="P12" s="116">
        <v>2345841</v>
      </c>
      <c r="Q12" s="116">
        <v>1790271</v>
      </c>
      <c r="R12" s="116">
        <v>1982832</v>
      </c>
      <c r="S12" s="116">
        <v>2043282</v>
      </c>
      <c r="T12" s="116">
        <v>1564880</v>
      </c>
      <c r="U12" s="116">
        <v>1997953</v>
      </c>
      <c r="V12" s="116">
        <v>2302038</v>
      </c>
      <c r="W12" s="116">
        <v>2677402</v>
      </c>
      <c r="X12" s="116">
        <v>2287533</v>
      </c>
      <c r="Y12" s="116">
        <v>2687110</v>
      </c>
      <c r="Z12" s="116">
        <v>2946149</v>
      </c>
      <c r="AA12" s="116">
        <v>2785568</v>
      </c>
      <c r="AB12" s="116">
        <v>2545304</v>
      </c>
      <c r="AC12" s="116">
        <v>2539276</v>
      </c>
    </row>
    <row r="13" spans="1:29">
      <c r="A13" s="115" t="s">
        <v>608</v>
      </c>
      <c r="B13" s="115" t="s">
        <v>1002</v>
      </c>
      <c r="C13" s="112"/>
      <c r="D13" s="116">
        <v>2554</v>
      </c>
      <c r="E13" s="116">
        <v>-5262</v>
      </c>
      <c r="F13" s="116">
        <v>3303</v>
      </c>
      <c r="G13" s="116">
        <v>-595</v>
      </c>
      <c r="H13" s="116">
        <v>0</v>
      </c>
      <c r="I13" s="116">
        <v>0</v>
      </c>
      <c r="J13" s="116">
        <v>0</v>
      </c>
      <c r="K13" s="116">
        <v>31190</v>
      </c>
      <c r="L13" s="116">
        <v>0</v>
      </c>
      <c r="M13" s="116">
        <v>49828</v>
      </c>
      <c r="N13" s="116">
        <v>-49828</v>
      </c>
      <c r="O13" s="116">
        <v>0</v>
      </c>
      <c r="P13" s="116"/>
      <c r="Q13" s="116">
        <v>0</v>
      </c>
      <c r="R13" s="116">
        <v>0</v>
      </c>
      <c r="S13" s="116">
        <v>0</v>
      </c>
      <c r="T13" s="116">
        <v>0</v>
      </c>
      <c r="U13" s="116">
        <v>0</v>
      </c>
      <c r="V13" s="116">
        <v>0</v>
      </c>
      <c r="W13" s="116">
        <v>0</v>
      </c>
      <c r="X13" s="116">
        <v>0</v>
      </c>
      <c r="Y13" s="116">
        <v>0</v>
      </c>
      <c r="Z13" s="116">
        <v>0</v>
      </c>
      <c r="AA13" s="116">
        <v>0</v>
      </c>
      <c r="AB13" s="116">
        <v>0</v>
      </c>
      <c r="AC13" s="116">
        <v>0</v>
      </c>
    </row>
    <row r="14" spans="1:29">
      <c r="A14" s="112" t="s">
        <v>914</v>
      </c>
      <c r="B14" s="112" t="s">
        <v>1003</v>
      </c>
      <c r="C14" s="112"/>
      <c r="D14" s="116">
        <v>5266</v>
      </c>
      <c r="E14" s="116">
        <v>6390</v>
      </c>
      <c r="F14" s="116">
        <v>8975</v>
      </c>
      <c r="G14" s="116">
        <v>1144</v>
      </c>
      <c r="H14" s="116">
        <v>5566</v>
      </c>
      <c r="I14" s="116">
        <v>7208</v>
      </c>
      <c r="J14" s="116">
        <v>7072</v>
      </c>
      <c r="K14" s="116">
        <v>-55246</v>
      </c>
      <c r="L14" s="116">
        <v>19337</v>
      </c>
      <c r="M14" s="116">
        <v>-19337</v>
      </c>
      <c r="N14" s="116">
        <v>78466</v>
      </c>
      <c r="O14" s="116">
        <v>35974</v>
      </c>
      <c r="P14" s="116">
        <v>28883</v>
      </c>
      <c r="Q14" s="116">
        <v>27885</v>
      </c>
      <c r="R14" s="116">
        <v>50564</v>
      </c>
      <c r="S14" s="116">
        <v>31181</v>
      </c>
      <c r="T14" s="116">
        <v>28220</v>
      </c>
      <c r="U14" s="116">
        <v>27494</v>
      </c>
      <c r="V14" s="116">
        <v>31165</v>
      </c>
      <c r="W14" s="116">
        <v>29627</v>
      </c>
      <c r="X14" s="116">
        <v>30409</v>
      </c>
      <c r="Y14" s="116">
        <v>36018</v>
      </c>
      <c r="Z14" s="116">
        <v>35883</v>
      </c>
      <c r="AA14" s="116">
        <v>0</v>
      </c>
      <c r="AB14" s="116">
        <v>0</v>
      </c>
      <c r="AC14" s="116">
        <v>0</v>
      </c>
    </row>
    <row r="15" spans="1:29">
      <c r="A15" s="112" t="s">
        <v>604</v>
      </c>
      <c r="B15" s="112" t="s">
        <v>1004</v>
      </c>
      <c r="C15" s="112"/>
      <c r="D15" s="116"/>
      <c r="E15" s="116"/>
      <c r="F15" s="116"/>
      <c r="G15" s="116"/>
      <c r="H15" s="116"/>
      <c r="I15" s="116"/>
      <c r="J15" s="116"/>
      <c r="K15" s="116"/>
      <c r="L15" s="116">
        <v>66744</v>
      </c>
      <c r="M15" s="116">
        <v>198875</v>
      </c>
      <c r="N15" s="116">
        <v>307963</v>
      </c>
      <c r="O15" s="116">
        <v>288649</v>
      </c>
      <c r="P15" s="116">
        <v>250025</v>
      </c>
      <c r="Q15" s="116">
        <v>214564</v>
      </c>
      <c r="R15" s="116">
        <v>286339</v>
      </c>
      <c r="S15" s="116">
        <v>316113</v>
      </c>
      <c r="T15" s="116">
        <v>210521</v>
      </c>
      <c r="U15" s="116">
        <v>225846</v>
      </c>
      <c r="V15" s="116">
        <v>403746</v>
      </c>
      <c r="W15" s="116">
        <v>399310</v>
      </c>
      <c r="X15" s="116">
        <v>332134</v>
      </c>
      <c r="Y15" s="116">
        <v>368240</v>
      </c>
      <c r="Z15" s="116">
        <v>429185</v>
      </c>
      <c r="AA15" s="116">
        <v>443491</v>
      </c>
      <c r="AB15" s="116">
        <v>338211</v>
      </c>
      <c r="AC15" s="116">
        <v>318368</v>
      </c>
    </row>
    <row r="16" spans="1:29">
      <c r="A16" s="112" t="s">
        <v>612</v>
      </c>
      <c r="B16" s="112" t="s">
        <v>1005</v>
      </c>
      <c r="C16" s="112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>
        <v>13428</v>
      </c>
      <c r="O16" s="116">
        <v>20660</v>
      </c>
      <c r="P16" s="116">
        <v>27047</v>
      </c>
      <c r="Q16" s="116">
        <v>20634</v>
      </c>
      <c r="R16" s="116">
        <v>18779</v>
      </c>
      <c r="S16" s="116">
        <v>17689</v>
      </c>
      <c r="T16" s="116">
        <v>21842</v>
      </c>
      <c r="U16" s="116">
        <v>22817</v>
      </c>
      <c r="V16" s="116">
        <v>25053</v>
      </c>
      <c r="W16" s="116">
        <v>26159</v>
      </c>
      <c r="X16" s="116">
        <v>25592</v>
      </c>
      <c r="Y16" s="116">
        <v>26471</v>
      </c>
      <c r="Z16" s="116">
        <v>26433</v>
      </c>
      <c r="AA16" s="116">
        <v>29488</v>
      </c>
      <c r="AB16" s="116">
        <v>32115</v>
      </c>
      <c r="AC16" s="116">
        <v>31449</v>
      </c>
    </row>
    <row r="17" spans="1:29" ht="15" thickBot="1">
      <c r="A17" s="117" t="s">
        <v>614</v>
      </c>
      <c r="B17" s="117" t="s">
        <v>615</v>
      </c>
      <c r="C17" s="112"/>
      <c r="D17" s="116">
        <v>387847</v>
      </c>
      <c r="E17" s="116">
        <v>398654</v>
      </c>
      <c r="F17" s="116">
        <v>483934</v>
      </c>
      <c r="G17" s="116">
        <v>943835</v>
      </c>
      <c r="H17" s="116">
        <v>351461</v>
      </c>
      <c r="I17" s="116">
        <v>647817</v>
      </c>
      <c r="J17" s="116">
        <v>923725</v>
      </c>
      <c r="K17" s="116">
        <v>1207843</v>
      </c>
      <c r="L17" s="116">
        <v>1173985</v>
      </c>
      <c r="M17" s="116">
        <v>1245037</v>
      </c>
      <c r="N17" s="116">
        <v>572124</v>
      </c>
      <c r="O17" s="116">
        <v>914797</v>
      </c>
      <c r="P17" s="116">
        <v>1421026</v>
      </c>
      <c r="Q17" s="116">
        <v>1474326</v>
      </c>
      <c r="R17" s="116">
        <v>1824412</v>
      </c>
      <c r="S17" s="116">
        <v>1905090.3149999999</v>
      </c>
      <c r="T17" s="116">
        <v>1782682.7549999999</v>
      </c>
      <c r="U17" s="116">
        <v>1791310</v>
      </c>
      <c r="V17" s="116">
        <v>1889376.1780000001</v>
      </c>
      <c r="W17" s="116">
        <v>1747454.067</v>
      </c>
      <c r="X17" s="116">
        <v>2038336</v>
      </c>
      <c r="Y17" s="116">
        <v>1932369</v>
      </c>
      <c r="Z17" s="116">
        <v>1925310</v>
      </c>
      <c r="AA17" s="116">
        <v>1054341</v>
      </c>
      <c r="AB17" s="116">
        <v>1897309</v>
      </c>
      <c r="AC17" s="116">
        <v>2056557</v>
      </c>
    </row>
    <row r="18" spans="1:29" ht="15" thickBot="1">
      <c r="A18" s="118" t="s">
        <v>1006</v>
      </c>
      <c r="B18" s="118" t="s">
        <v>1007</v>
      </c>
      <c r="C18" s="112"/>
      <c r="D18" s="119">
        <v>-1467424</v>
      </c>
      <c r="E18" s="119">
        <v>-1121860</v>
      </c>
      <c r="F18" s="119">
        <v>-1407150</v>
      </c>
      <c r="G18" s="119">
        <v>-1543681</v>
      </c>
      <c r="H18" s="119">
        <v>-1423880</v>
      </c>
      <c r="I18" s="119">
        <v>-1442369</v>
      </c>
      <c r="J18" s="119">
        <v>-2335166</v>
      </c>
      <c r="K18" s="119">
        <v>-2682016</v>
      </c>
      <c r="L18" s="119">
        <v>-2822483</v>
      </c>
      <c r="M18" s="119">
        <v>-2549431</v>
      </c>
      <c r="N18" s="119">
        <v>-2139598</v>
      </c>
      <c r="O18" s="119">
        <v>-2168167</v>
      </c>
      <c r="P18" s="119">
        <v>-3061782</v>
      </c>
      <c r="Q18" s="119">
        <v>-3338755</v>
      </c>
      <c r="R18" s="119">
        <v>-3478244</v>
      </c>
      <c r="S18" s="119">
        <v>-4001749.3149999999</v>
      </c>
      <c r="T18" s="119">
        <v>-3938997.7549999999</v>
      </c>
      <c r="U18" s="119">
        <v>-4044213</v>
      </c>
      <c r="V18" s="119">
        <v>-4038027.3025000002</v>
      </c>
      <c r="W18" s="119">
        <v>-4117640.9424999999</v>
      </c>
      <c r="X18" s="119">
        <v>-3786423</v>
      </c>
      <c r="Y18" s="119">
        <v>-4261111</v>
      </c>
      <c r="Z18" s="119">
        <v>-4605089</v>
      </c>
      <c r="AA18" s="119">
        <v>-5316271</v>
      </c>
      <c r="AB18" s="119">
        <v>-4768596</v>
      </c>
      <c r="AC18" s="119">
        <v>-5072951</v>
      </c>
    </row>
    <row r="19" spans="1:29" ht="15" thickBot="1">
      <c r="A19" s="118" t="s">
        <v>646</v>
      </c>
      <c r="B19" s="118" t="s">
        <v>860</v>
      </c>
      <c r="C19" s="120"/>
      <c r="D19" s="119">
        <f t="shared" ref="D19:R19" si="3">D9+D18</f>
        <v>4206502</v>
      </c>
      <c r="E19" s="119">
        <f t="shared" si="3"/>
        <v>3482210</v>
      </c>
      <c r="F19" s="119">
        <f t="shared" si="3"/>
        <v>4208029</v>
      </c>
      <c r="G19" s="119">
        <f t="shared" si="3"/>
        <v>5993328</v>
      </c>
      <c r="H19" s="119">
        <f t="shared" si="3"/>
        <v>4140170</v>
      </c>
      <c r="I19" s="119">
        <f t="shared" si="3"/>
        <v>4272262</v>
      </c>
      <c r="J19" s="119">
        <f t="shared" si="3"/>
        <v>7488836</v>
      </c>
      <c r="K19" s="119">
        <f t="shared" si="3"/>
        <v>8057194</v>
      </c>
      <c r="L19" s="119">
        <f t="shared" si="3"/>
        <v>5843189</v>
      </c>
      <c r="M19" s="119">
        <f t="shared" si="3"/>
        <v>6492106</v>
      </c>
      <c r="N19" s="119">
        <f t="shared" si="3"/>
        <v>6880277</v>
      </c>
      <c r="O19" s="119">
        <f t="shared" si="3"/>
        <v>7916935</v>
      </c>
      <c r="P19" s="119">
        <f t="shared" si="3"/>
        <v>10176574</v>
      </c>
      <c r="Q19" s="119">
        <f t="shared" si="3"/>
        <v>9201477</v>
      </c>
      <c r="R19" s="119">
        <f t="shared" si="3"/>
        <v>10361518</v>
      </c>
      <c r="S19" s="119">
        <f t="shared" ref="S19:Y19" si="4">S9+S18</f>
        <v>11245508</v>
      </c>
      <c r="T19" s="119">
        <f t="shared" si="4"/>
        <v>9898158</v>
      </c>
      <c r="U19" s="119">
        <f t="shared" si="4"/>
        <v>10488996</v>
      </c>
      <c r="V19" s="119">
        <f t="shared" si="4"/>
        <v>12361466.875499999</v>
      </c>
      <c r="W19" s="119">
        <f t="shared" si="4"/>
        <v>12618054.124499999</v>
      </c>
      <c r="X19" s="119">
        <f t="shared" si="4"/>
        <v>11709093</v>
      </c>
      <c r="Y19" s="119">
        <f t="shared" si="4"/>
        <v>12795327</v>
      </c>
      <c r="Z19" s="119">
        <f t="shared" ref="Z19:AB19" si="5">Z9+Z18</f>
        <v>14145096</v>
      </c>
      <c r="AA19" s="119">
        <f t="shared" si="5"/>
        <v>14418227</v>
      </c>
      <c r="AB19" s="119">
        <f t="shared" si="5"/>
        <v>12749938</v>
      </c>
      <c r="AC19" s="119">
        <f>AC9+AC18</f>
        <v>13738936</v>
      </c>
    </row>
    <row r="20" spans="1:29" ht="15" thickBot="1">
      <c r="A20" s="118" t="s">
        <v>861</v>
      </c>
      <c r="B20" s="118" t="s">
        <v>1008</v>
      </c>
      <c r="C20" s="120"/>
      <c r="D20" s="119">
        <f t="shared" ref="D20:R20" si="6">SUM(D21:D25)</f>
        <v>-2569298</v>
      </c>
      <c r="E20" s="119">
        <f t="shared" si="6"/>
        <v>-2025621</v>
      </c>
      <c r="F20" s="119">
        <f t="shared" si="6"/>
        <v>-2406145</v>
      </c>
      <c r="G20" s="119">
        <f t="shared" si="6"/>
        <v>-3400428</v>
      </c>
      <c r="H20" s="119">
        <f t="shared" si="6"/>
        <v>-2571370</v>
      </c>
      <c r="I20" s="119">
        <f t="shared" si="6"/>
        <v>-2441894</v>
      </c>
      <c r="J20" s="119">
        <f t="shared" si="6"/>
        <v>-5395258</v>
      </c>
      <c r="K20" s="119">
        <f t="shared" si="6"/>
        <v>-5159861</v>
      </c>
      <c r="L20" s="119">
        <f t="shared" si="6"/>
        <v>-3331189</v>
      </c>
      <c r="M20" s="119">
        <f t="shared" si="6"/>
        <v>-3780258</v>
      </c>
      <c r="N20" s="119">
        <f t="shared" si="6"/>
        <v>-4346028</v>
      </c>
      <c r="O20" s="119">
        <f t="shared" si="6"/>
        <v>-4724277</v>
      </c>
      <c r="P20" s="119">
        <f t="shared" si="6"/>
        <v>-6368762</v>
      </c>
      <c r="Q20" s="119">
        <f t="shared" si="6"/>
        <v>-5707627.5179999992</v>
      </c>
      <c r="R20" s="119">
        <f t="shared" si="6"/>
        <v>-6092935.0021299999</v>
      </c>
      <c r="S20" s="119">
        <f t="shared" ref="S20:Y20" si="7">SUM(S21:S25)</f>
        <v>-7002949.4939299999</v>
      </c>
      <c r="T20" s="119">
        <f t="shared" si="7"/>
        <v>-5704019.2331999997</v>
      </c>
      <c r="U20" s="119">
        <f t="shared" si="7"/>
        <v>-6350161.3638599999</v>
      </c>
      <c r="V20" s="119">
        <f t="shared" si="7"/>
        <v>-7697563.5805500001</v>
      </c>
      <c r="W20" s="119">
        <f t="shared" si="7"/>
        <v>-8376158.1445399998</v>
      </c>
      <c r="X20" s="119">
        <f t="shared" si="7"/>
        <v>-7208396</v>
      </c>
      <c r="Y20" s="119">
        <f t="shared" si="7"/>
        <v>-8156114.5431900006</v>
      </c>
      <c r="Z20" s="119">
        <f t="shared" ref="Z20:AB20" si="8">SUM(Z21:Z25)</f>
        <v>-9581867</v>
      </c>
      <c r="AA20" s="119">
        <f t="shared" si="8"/>
        <v>-9332985</v>
      </c>
      <c r="AB20" s="119">
        <f t="shared" si="8"/>
        <v>-8106082</v>
      </c>
      <c r="AC20" s="119">
        <f>SUM(AC21:AC25)</f>
        <v>-8724419</v>
      </c>
    </row>
    <row r="21" spans="1:29">
      <c r="A21" s="115" t="s">
        <v>863</v>
      </c>
      <c r="B21" s="115" t="s">
        <v>993</v>
      </c>
      <c r="C21" s="120"/>
      <c r="D21" s="116">
        <v>-1672425</v>
      </c>
      <c r="E21" s="116">
        <v>-1363416</v>
      </c>
      <c r="F21" s="116">
        <v>-1786395</v>
      </c>
      <c r="G21" s="116">
        <v>-2470035</v>
      </c>
      <c r="H21" s="116">
        <v>-1934135</v>
      </c>
      <c r="I21" s="116">
        <v>-1892882</v>
      </c>
      <c r="J21" s="116">
        <v>-4360774</v>
      </c>
      <c r="K21" s="116">
        <v>-4205458</v>
      </c>
      <c r="L21" s="116">
        <v>-2502942</v>
      </c>
      <c r="M21" s="116">
        <v>-2632616</v>
      </c>
      <c r="N21" s="116">
        <v>-2810665</v>
      </c>
      <c r="O21" s="116">
        <v>-2975093</v>
      </c>
      <c r="P21" s="116">
        <v>-4023373</v>
      </c>
      <c r="Q21" s="116">
        <v>-3909381</v>
      </c>
      <c r="R21" s="116">
        <v>-3772304.094</v>
      </c>
      <c r="S21" s="116">
        <v>-4962815</v>
      </c>
      <c r="T21" s="116">
        <v>-3756180.9049999998</v>
      </c>
      <c r="U21" s="116">
        <v>-4351932</v>
      </c>
      <c r="V21" s="116">
        <v>-5030990.9859999996</v>
      </c>
      <c r="W21" s="116">
        <v>-5322616.4419999998</v>
      </c>
      <c r="X21" s="116">
        <v>-4525004.8030000003</v>
      </c>
      <c r="Y21" s="116">
        <v>-5079936.6770000001</v>
      </c>
      <c r="Z21" s="116">
        <v>-6236190.2889999999</v>
      </c>
      <c r="AA21" s="116">
        <v>-6144336.227</v>
      </c>
      <c r="AB21" s="116">
        <v>-5154439.4409999996</v>
      </c>
      <c r="AC21" s="116">
        <v>-4986488</v>
      </c>
    </row>
    <row r="22" spans="1:29">
      <c r="A22" s="115" t="s">
        <v>658</v>
      </c>
      <c r="B22" s="115" t="s">
        <v>1009</v>
      </c>
      <c r="C22" s="120"/>
      <c r="D22" s="116"/>
      <c r="E22" s="116"/>
      <c r="F22" s="116"/>
      <c r="G22" s="116"/>
      <c r="H22" s="116"/>
      <c r="I22" s="116">
        <v>-77967</v>
      </c>
      <c r="J22" s="116"/>
      <c r="K22" s="116">
        <v>8848</v>
      </c>
      <c r="L22" s="116"/>
      <c r="M22" s="116">
        <v>-33415</v>
      </c>
      <c r="N22" s="116">
        <v>26246</v>
      </c>
      <c r="O22" s="116">
        <v>0</v>
      </c>
      <c r="P22" s="116"/>
      <c r="Q22" s="116"/>
      <c r="R22" s="116">
        <v>0</v>
      </c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</row>
    <row r="23" spans="1:29">
      <c r="A23" s="115" t="s">
        <v>865</v>
      </c>
      <c r="B23" s="115" t="s">
        <v>866</v>
      </c>
      <c r="C23" s="120"/>
      <c r="D23" s="116">
        <v>0</v>
      </c>
      <c r="E23" s="116"/>
      <c r="F23" s="116">
        <v>0</v>
      </c>
      <c r="G23" s="116">
        <v>0</v>
      </c>
      <c r="H23" s="116">
        <v>0</v>
      </c>
      <c r="I23" s="116">
        <v>0</v>
      </c>
      <c r="J23" s="116">
        <v>0</v>
      </c>
      <c r="K23" s="116"/>
      <c r="L23" s="116">
        <v>-99988</v>
      </c>
      <c r="M23" s="116"/>
      <c r="N23" s="116"/>
      <c r="O23" s="116"/>
      <c r="P23" s="116"/>
      <c r="Q23" s="116"/>
      <c r="R23" s="116">
        <v>-345079.90600000002</v>
      </c>
      <c r="S23" s="116"/>
      <c r="T23" s="116">
        <v>-374307.69900000002</v>
      </c>
      <c r="U23" s="116"/>
      <c r="V23" s="116">
        <v>-356301.01399999997</v>
      </c>
      <c r="W23" s="116">
        <v>-371574.55799999996</v>
      </c>
      <c r="X23" s="116">
        <v>-395858.19699999999</v>
      </c>
      <c r="Y23" s="116">
        <v>-394097.32299999997</v>
      </c>
      <c r="Z23" s="116">
        <v>-399527.71100000001</v>
      </c>
      <c r="AA23" s="116">
        <v>-403079.77299999999</v>
      </c>
      <c r="AB23" s="116">
        <v>-406338.55900000001</v>
      </c>
      <c r="AC23" s="116">
        <v>-1198654</v>
      </c>
    </row>
    <row r="24" spans="1:29">
      <c r="A24" s="115" t="s">
        <v>867</v>
      </c>
      <c r="B24" s="115" t="s">
        <v>868</v>
      </c>
      <c r="C24" s="120"/>
      <c r="D24" s="116">
        <v>-896873</v>
      </c>
      <c r="E24" s="116">
        <v>-662205</v>
      </c>
      <c r="F24" s="116">
        <v>-619750</v>
      </c>
      <c r="G24" s="116"/>
      <c r="H24" s="116">
        <v>-637235</v>
      </c>
      <c r="I24" s="116">
        <v>-471045</v>
      </c>
      <c r="J24" s="116">
        <v>-57606</v>
      </c>
      <c r="K24" s="116">
        <v>-963251</v>
      </c>
      <c r="L24" s="116">
        <v>-728259</v>
      </c>
      <c r="M24" s="116">
        <v>-1114227</v>
      </c>
      <c r="N24" s="116">
        <v>-1561609</v>
      </c>
      <c r="O24" s="116">
        <v>-1749184</v>
      </c>
      <c r="P24" s="116">
        <v>-2345389</v>
      </c>
      <c r="Q24" s="116">
        <v>-1798246.5179999997</v>
      </c>
      <c r="R24" s="116">
        <v>-1975551.0021300002</v>
      </c>
      <c r="S24" s="116">
        <v>-2040134.4939300001</v>
      </c>
      <c r="T24" s="116">
        <v>-1573530.6291999999</v>
      </c>
      <c r="U24" s="116">
        <v>-1998229.3638599999</v>
      </c>
      <c r="V24" s="116">
        <v>-2310271.5805500001</v>
      </c>
      <c r="W24" s="116">
        <v>-2681967.1445399998</v>
      </c>
      <c r="X24" s="116">
        <v>-2287533</v>
      </c>
      <c r="Y24" s="116">
        <v>-2682080.5431900001</v>
      </c>
      <c r="Z24" s="116">
        <v>-2946149</v>
      </c>
      <c r="AA24" s="116">
        <v>-2785569</v>
      </c>
      <c r="AB24" s="116">
        <v>-2545304</v>
      </c>
      <c r="AC24" s="116">
        <v>-2539277</v>
      </c>
    </row>
    <row r="25" spans="1:29" ht="15" thickBot="1">
      <c r="A25" s="117" t="s">
        <v>869</v>
      </c>
      <c r="B25" s="117" t="s">
        <v>997</v>
      </c>
      <c r="C25" s="120"/>
      <c r="D25" s="116">
        <v>0</v>
      </c>
      <c r="E25" s="116"/>
      <c r="F25" s="116"/>
      <c r="G25" s="116">
        <v>-930393</v>
      </c>
      <c r="H25" s="116"/>
      <c r="I25" s="116"/>
      <c r="J25" s="116">
        <v>-976878</v>
      </c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</row>
    <row r="26" spans="1:29" ht="15" thickBot="1">
      <c r="A26" s="121" t="s">
        <v>871</v>
      </c>
      <c r="B26" s="121" t="s">
        <v>872</v>
      </c>
      <c r="C26" s="122"/>
      <c r="D26" s="119">
        <f t="shared" ref="D26:L26" si="9">SUM(D21:D25)+D19</f>
        <v>1637204</v>
      </c>
      <c r="E26" s="119">
        <f t="shared" si="9"/>
        <v>1456589</v>
      </c>
      <c r="F26" s="119">
        <f t="shared" si="9"/>
        <v>1801884</v>
      </c>
      <c r="G26" s="119">
        <f t="shared" si="9"/>
        <v>2592900</v>
      </c>
      <c r="H26" s="119">
        <f t="shared" si="9"/>
        <v>1568800</v>
      </c>
      <c r="I26" s="119">
        <f t="shared" si="9"/>
        <v>1830368</v>
      </c>
      <c r="J26" s="119">
        <f t="shared" si="9"/>
        <v>2093578</v>
      </c>
      <c r="K26" s="119">
        <f t="shared" si="9"/>
        <v>2897333</v>
      </c>
      <c r="L26" s="119">
        <f t="shared" si="9"/>
        <v>2512000</v>
      </c>
      <c r="M26" s="119">
        <f t="shared" ref="M26:R26" si="10">SUM(M21:M25)+M19</f>
        <v>2711848</v>
      </c>
      <c r="N26" s="119">
        <f t="shared" si="10"/>
        <v>2534249</v>
      </c>
      <c r="O26" s="119">
        <f t="shared" si="10"/>
        <v>3192658</v>
      </c>
      <c r="P26" s="119">
        <f t="shared" si="10"/>
        <v>3807812</v>
      </c>
      <c r="Q26" s="119">
        <f t="shared" si="10"/>
        <v>3493849.4820000008</v>
      </c>
      <c r="R26" s="119">
        <f t="shared" si="10"/>
        <v>4268582.9978700001</v>
      </c>
      <c r="S26" s="119">
        <f t="shared" ref="S26:Y26" si="11">SUM(S21:S25)+S19</f>
        <v>4242558.5060700001</v>
      </c>
      <c r="T26" s="119">
        <f t="shared" si="11"/>
        <v>4194138.7668000003</v>
      </c>
      <c r="U26" s="119">
        <f t="shared" si="11"/>
        <v>4138834.6361400001</v>
      </c>
      <c r="V26" s="119">
        <f t="shared" si="11"/>
        <v>4663903.2949499991</v>
      </c>
      <c r="W26" s="119">
        <f t="shared" si="11"/>
        <v>4241895.9799599992</v>
      </c>
      <c r="X26" s="119">
        <f t="shared" si="11"/>
        <v>4500697</v>
      </c>
      <c r="Y26" s="119">
        <f t="shared" si="11"/>
        <v>4639212.4568099994</v>
      </c>
      <c r="Z26" s="119">
        <f t="shared" ref="Z26:AB26" si="12">SUM(Z21:Z25)+Z19</f>
        <v>4563229</v>
      </c>
      <c r="AA26" s="119">
        <f t="shared" si="12"/>
        <v>5085242</v>
      </c>
      <c r="AB26" s="119">
        <f t="shared" si="12"/>
        <v>4643856</v>
      </c>
      <c r="AC26" s="119">
        <f>SUM(AC21:AC25)+AC19</f>
        <v>5014517</v>
      </c>
    </row>
    <row r="27" spans="1:29" ht="15" thickBot="1">
      <c r="A27" s="118" t="s">
        <v>873</v>
      </c>
      <c r="B27" s="118" t="s">
        <v>874</v>
      </c>
      <c r="C27" s="120"/>
      <c r="D27" s="119">
        <f t="shared" ref="D27:K27" si="13">SUM(D28:D34)</f>
        <v>-487939</v>
      </c>
      <c r="E27" s="119">
        <f t="shared" si="13"/>
        <v>-583318</v>
      </c>
      <c r="F27" s="119">
        <f t="shared" si="13"/>
        <v>-530205.96185000008</v>
      </c>
      <c r="G27" s="119">
        <f t="shared" si="13"/>
        <v>-311186.03814999998</v>
      </c>
      <c r="H27" s="119">
        <f t="shared" si="13"/>
        <v>-562318</v>
      </c>
      <c r="I27" s="119">
        <f t="shared" si="13"/>
        <v>-539712</v>
      </c>
      <c r="J27" s="119">
        <f t="shared" si="13"/>
        <v>-745753</v>
      </c>
      <c r="K27" s="119">
        <f t="shared" si="13"/>
        <v>-667267</v>
      </c>
      <c r="L27" s="119">
        <f t="shared" ref="L27:W27" si="14">SUM(L28:L35)</f>
        <v>-920279</v>
      </c>
      <c r="M27" s="119">
        <f t="shared" si="14"/>
        <v>-1062379</v>
      </c>
      <c r="N27" s="119">
        <f t="shared" si="14"/>
        <v>-861059</v>
      </c>
      <c r="O27" s="119">
        <f t="shared" si="14"/>
        <v>-1104707</v>
      </c>
      <c r="P27" s="119">
        <f t="shared" si="14"/>
        <v>-1342978</v>
      </c>
      <c r="Q27" s="119">
        <f t="shared" si="14"/>
        <v>-1123949.673</v>
      </c>
      <c r="R27" s="119">
        <f t="shared" si="14"/>
        <v>-1435722.68857</v>
      </c>
      <c r="S27" s="119">
        <f t="shared" si="14"/>
        <v>-1815788.5060700001</v>
      </c>
      <c r="T27" s="119">
        <f t="shared" si="14"/>
        <v>-1550253.3707999999</v>
      </c>
      <c r="U27" s="119">
        <f t="shared" si="14"/>
        <v>-1542180.6361400001</v>
      </c>
      <c r="V27" s="119">
        <f t="shared" si="14"/>
        <v>-1443183.4194499999</v>
      </c>
      <c r="W27" s="119">
        <f t="shared" si="14"/>
        <v>-1574264.85546</v>
      </c>
      <c r="X27" s="119">
        <f t="shared" ref="X27:AC27" si="15">SUM(X28:X34)</f>
        <v>-1553008</v>
      </c>
      <c r="Y27" s="119">
        <f t="shared" si="15"/>
        <v>-1095854.4568099999</v>
      </c>
      <c r="Z27" s="119">
        <f t="shared" si="15"/>
        <v>-1770247</v>
      </c>
      <c r="AA27" s="119">
        <f t="shared" si="15"/>
        <v>-3436571</v>
      </c>
      <c r="AB27" s="119">
        <f t="shared" si="15"/>
        <v>-1728461</v>
      </c>
      <c r="AC27" s="119">
        <f t="shared" si="15"/>
        <v>-1785818</v>
      </c>
    </row>
    <row r="28" spans="1:29">
      <c r="A28" s="115" t="s">
        <v>875</v>
      </c>
      <c r="B28" s="115" t="s">
        <v>876</v>
      </c>
      <c r="C28" s="120"/>
      <c r="D28" s="116">
        <v>-151362</v>
      </c>
      <c r="E28" s="116">
        <v>-134279</v>
      </c>
      <c r="F28" s="116">
        <v>-150800</v>
      </c>
      <c r="G28" s="116">
        <v>-164569</v>
      </c>
      <c r="H28" s="116">
        <v>-163345</v>
      </c>
      <c r="I28" s="116">
        <v>-146838</v>
      </c>
      <c r="J28" s="116">
        <v>-353966</v>
      </c>
      <c r="K28" s="116">
        <v>-269506</v>
      </c>
      <c r="L28" s="116">
        <v>-254347</v>
      </c>
      <c r="M28" s="116">
        <v>-262831</v>
      </c>
      <c r="N28" s="116">
        <v>-222078</v>
      </c>
      <c r="O28" s="116">
        <v>-281447</v>
      </c>
      <c r="P28" s="116">
        <v>-331753</v>
      </c>
      <c r="Q28" s="116">
        <v>-336687</v>
      </c>
      <c r="R28" s="116">
        <v>-317288</v>
      </c>
      <c r="S28" s="116">
        <v>-300213</v>
      </c>
      <c r="T28" s="116">
        <v>-309615</v>
      </c>
      <c r="U28" s="116">
        <v>-312477</v>
      </c>
      <c r="V28" s="116">
        <v>-291082</v>
      </c>
      <c r="W28" s="116">
        <v>-331092</v>
      </c>
      <c r="X28" s="116">
        <v>-331582</v>
      </c>
      <c r="Y28" s="116">
        <v>-332903</v>
      </c>
      <c r="Z28" s="116">
        <v>-375553</v>
      </c>
      <c r="AA28" s="116">
        <v>-433837</v>
      </c>
      <c r="AB28" s="116">
        <v>-416346</v>
      </c>
      <c r="AC28" s="116">
        <v>-422960</v>
      </c>
    </row>
    <row r="29" spans="1:29">
      <c r="A29" s="115" t="s">
        <v>877</v>
      </c>
      <c r="B29" s="115" t="s">
        <v>877</v>
      </c>
      <c r="C29" s="120"/>
      <c r="D29" s="116">
        <v>-8319</v>
      </c>
      <c r="E29" s="116">
        <v>-6631</v>
      </c>
      <c r="F29" s="116">
        <v>-15274</v>
      </c>
      <c r="G29" s="116">
        <v>-32598</v>
      </c>
      <c r="H29" s="116">
        <v>-15169</v>
      </c>
      <c r="I29" s="116">
        <v>-10835</v>
      </c>
      <c r="J29" s="116">
        <v>-18666</v>
      </c>
      <c r="K29" s="116">
        <v>-39651</v>
      </c>
      <c r="L29" s="116">
        <v>-32109</v>
      </c>
      <c r="M29" s="116">
        <v>-27649</v>
      </c>
      <c r="N29" s="116">
        <v>-35323</v>
      </c>
      <c r="O29" s="116">
        <v>-45020</v>
      </c>
      <c r="P29" s="116">
        <v>-45847</v>
      </c>
      <c r="Q29" s="116">
        <v>-20893</v>
      </c>
      <c r="R29" s="116">
        <v>-41826</v>
      </c>
      <c r="S29" s="116">
        <v>-74670</v>
      </c>
      <c r="T29" s="116">
        <v>-40865</v>
      </c>
      <c r="U29" s="116">
        <v>-46257</v>
      </c>
      <c r="V29" s="116">
        <v>-67285</v>
      </c>
      <c r="W29" s="116">
        <v>-70333</v>
      </c>
      <c r="X29" s="116">
        <v>-51103</v>
      </c>
      <c r="Y29" s="116">
        <v>-54458</v>
      </c>
      <c r="Z29" s="116">
        <v>-50561</v>
      </c>
      <c r="AA29" s="116">
        <v>-39480</v>
      </c>
      <c r="AB29" s="116">
        <v>-59721</v>
      </c>
      <c r="AC29" s="116">
        <v>-34935</v>
      </c>
    </row>
    <row r="30" spans="1:29">
      <c r="A30" s="115" t="s">
        <v>878</v>
      </c>
      <c r="B30" s="115" t="s">
        <v>879</v>
      </c>
      <c r="C30" s="120"/>
      <c r="D30" s="116">
        <v>-194182</v>
      </c>
      <c r="E30" s="116">
        <v>-201125</v>
      </c>
      <c r="F30" s="116">
        <v>-232643</v>
      </c>
      <c r="G30" s="116">
        <v>-245320</v>
      </c>
      <c r="H30" s="116">
        <v>-250980</v>
      </c>
      <c r="I30" s="116">
        <v>-268302</v>
      </c>
      <c r="J30" s="116">
        <v>-259248</v>
      </c>
      <c r="K30" s="116">
        <v>-372722</v>
      </c>
      <c r="L30" s="116">
        <v>-324577</v>
      </c>
      <c r="M30" s="116">
        <v>-398943</v>
      </c>
      <c r="N30" s="116">
        <v>-332046</v>
      </c>
      <c r="O30" s="116">
        <v>-484521</v>
      </c>
      <c r="P30" s="116">
        <v>-660274</v>
      </c>
      <c r="Q30" s="116">
        <v>-494972.48200000008</v>
      </c>
      <c r="R30" s="116">
        <v>-644149.99787000008</v>
      </c>
      <c r="S30" s="116">
        <v>-747478.50607</v>
      </c>
      <c r="T30" s="116">
        <v>-720939.37079999992</v>
      </c>
      <c r="U30" s="116">
        <v>-668470.63614000008</v>
      </c>
      <c r="V30" s="116">
        <v>-650811.41944999993</v>
      </c>
      <c r="W30" s="116">
        <v>-789234.85545999999</v>
      </c>
      <c r="X30" s="116">
        <v>-658663</v>
      </c>
      <c r="Y30" s="116">
        <v>-781854.45681</v>
      </c>
      <c r="Z30" s="116">
        <v>-741922</v>
      </c>
      <c r="AA30" s="116">
        <v>-819136</v>
      </c>
      <c r="AB30" s="116">
        <v>-658083</v>
      </c>
      <c r="AC30" s="116">
        <v>-683562</v>
      </c>
    </row>
    <row r="31" spans="1:29">
      <c r="A31" s="115" t="s">
        <v>880</v>
      </c>
      <c r="B31" s="115" t="s">
        <v>881</v>
      </c>
      <c r="C31" s="120"/>
      <c r="D31" s="116">
        <v>-79132</v>
      </c>
      <c r="E31" s="116">
        <v>-189231</v>
      </c>
      <c r="F31" s="116">
        <v>-46707.96185</v>
      </c>
      <c r="G31" s="116">
        <v>17119.96185</v>
      </c>
      <c r="H31" s="116">
        <v>-83931</v>
      </c>
      <c r="I31" s="116">
        <v>-70686</v>
      </c>
      <c r="J31" s="116">
        <v>-129190</v>
      </c>
      <c r="K31" s="116">
        <v>219001</v>
      </c>
      <c r="L31" s="116">
        <v>-146632</v>
      </c>
      <c r="M31" s="116">
        <v>-95265</v>
      </c>
      <c r="N31" s="116">
        <v>-112242</v>
      </c>
      <c r="O31" s="116">
        <v>-13332</v>
      </c>
      <c r="P31" s="116">
        <v>-172242</v>
      </c>
      <c r="Q31" s="116">
        <v>-78951.190999999992</v>
      </c>
      <c r="R31" s="116">
        <v>-211820.69070000001</v>
      </c>
      <c r="S31" s="116">
        <v>-255003</v>
      </c>
      <c r="T31" s="116">
        <v>-266334</v>
      </c>
      <c r="U31" s="116">
        <v>-279724</v>
      </c>
      <c r="V31" s="116">
        <v>-231270</v>
      </c>
      <c r="W31" s="116">
        <v>-251600</v>
      </c>
      <c r="X31" s="116">
        <v>-281646</v>
      </c>
      <c r="Y31" s="116">
        <v>156925</v>
      </c>
      <c r="Z31" s="116">
        <v>-200314</v>
      </c>
      <c r="AA31" s="116">
        <v>-469781</v>
      </c>
      <c r="AB31" s="116">
        <v>-308260</v>
      </c>
      <c r="AC31" s="116">
        <v>-320218.72149000003</v>
      </c>
    </row>
    <row r="32" spans="1:29">
      <c r="A32" s="115" t="s">
        <v>887</v>
      </c>
      <c r="B32" s="115" t="s">
        <v>1010</v>
      </c>
      <c r="C32" s="120"/>
      <c r="D32" s="116"/>
      <c r="E32" s="116"/>
      <c r="F32" s="116"/>
      <c r="G32" s="116"/>
      <c r="H32" s="116"/>
      <c r="I32" s="116">
        <v>0</v>
      </c>
      <c r="J32" s="116"/>
      <c r="K32" s="116">
        <v>-58726</v>
      </c>
      <c r="L32" s="116">
        <v>-33042</v>
      </c>
      <c r="M32" s="116">
        <v>-19331</v>
      </c>
      <c r="N32" s="116">
        <v>1592</v>
      </c>
      <c r="O32" s="116">
        <v>12512</v>
      </c>
      <c r="P32" s="116">
        <v>-7576</v>
      </c>
      <c r="Q32" s="116">
        <v>-496</v>
      </c>
      <c r="R32" s="116">
        <v>10385</v>
      </c>
      <c r="S32" s="116">
        <v>-21869</v>
      </c>
      <c r="T32" s="116">
        <v>-13998</v>
      </c>
      <c r="U32" s="116">
        <v>-18419</v>
      </c>
      <c r="V32" s="116">
        <v>-18241</v>
      </c>
      <c r="W32" s="116">
        <v>-24969</v>
      </c>
      <c r="X32" s="116">
        <v>-12977</v>
      </c>
      <c r="Y32" s="116">
        <v>-40968</v>
      </c>
      <c r="Z32" s="116">
        <v>-106051</v>
      </c>
      <c r="AA32" s="116">
        <v>-30205</v>
      </c>
      <c r="AB32" s="116">
        <v>-37063</v>
      </c>
      <c r="AC32" s="116">
        <v>-41809</v>
      </c>
    </row>
    <row r="33" spans="1:29">
      <c r="A33" s="115" t="s">
        <v>95</v>
      </c>
      <c r="B33" s="115" t="s">
        <v>96</v>
      </c>
      <c r="C33" s="120"/>
      <c r="D33" s="116">
        <v>-47696</v>
      </c>
      <c r="E33" s="116">
        <v>-52082</v>
      </c>
      <c r="F33" s="116">
        <v>-63071</v>
      </c>
      <c r="G33" s="116">
        <v>-18172</v>
      </c>
      <c r="H33" s="116">
        <v>-30485</v>
      </c>
      <c r="I33" s="116">
        <v>-41542</v>
      </c>
      <c r="J33" s="116">
        <v>15700</v>
      </c>
      <c r="K33" s="116">
        <v>-45226</v>
      </c>
      <c r="L33" s="116">
        <v>-41428</v>
      </c>
      <c r="M33" s="116">
        <v>-121120</v>
      </c>
      <c r="N33" s="116">
        <v>-70245</v>
      </c>
      <c r="O33" s="116">
        <v>-75667</v>
      </c>
      <c r="P33" s="116">
        <v>-111731</v>
      </c>
      <c r="Q33" s="116">
        <v>-59375</v>
      </c>
      <c r="R33" s="116">
        <v>-113672</v>
      </c>
      <c r="S33" s="116">
        <v>-120449</v>
      </c>
      <c r="T33" s="116">
        <v>-132549</v>
      </c>
      <c r="U33" s="116">
        <v>-41619</v>
      </c>
      <c r="V33" s="116">
        <v>-160178</v>
      </c>
      <c r="W33" s="116">
        <v>-282645</v>
      </c>
      <c r="X33" s="116">
        <v>-88357</v>
      </c>
      <c r="Y33" s="116">
        <v>-68194</v>
      </c>
      <c r="Z33" s="116">
        <v>-270359</v>
      </c>
      <c r="AA33" s="116">
        <v>-1629431</v>
      </c>
      <c r="AB33" s="116">
        <v>-154467.71899999998</v>
      </c>
      <c r="AC33" s="116">
        <v>-85941.278510000004</v>
      </c>
    </row>
    <row r="34" spans="1:29">
      <c r="A34" s="115" t="s">
        <v>891</v>
      </c>
      <c r="B34" s="115" t="s">
        <v>1011</v>
      </c>
      <c r="C34" s="112"/>
      <c r="D34" s="116">
        <v>-7248</v>
      </c>
      <c r="E34" s="116">
        <v>30</v>
      </c>
      <c r="F34" s="116">
        <v>-21710</v>
      </c>
      <c r="G34" s="116">
        <v>132353</v>
      </c>
      <c r="H34" s="116">
        <v>-18408</v>
      </c>
      <c r="I34" s="116">
        <v>-1509</v>
      </c>
      <c r="J34" s="116">
        <v>-383</v>
      </c>
      <c r="K34" s="116">
        <v>-100437</v>
      </c>
      <c r="L34" s="116">
        <v>-88144</v>
      </c>
      <c r="M34" s="116">
        <v>-137240</v>
      </c>
      <c r="N34" s="116">
        <v>-90717</v>
      </c>
      <c r="O34" s="116">
        <v>-217232</v>
      </c>
      <c r="P34" s="116">
        <v>-13555</v>
      </c>
      <c r="Q34" s="116">
        <v>-132575</v>
      </c>
      <c r="R34" s="116">
        <v>-117351</v>
      </c>
      <c r="S34" s="116">
        <v>-296106</v>
      </c>
      <c r="T34" s="116">
        <v>-65953</v>
      </c>
      <c r="U34" s="116">
        <v>-175214</v>
      </c>
      <c r="V34" s="116">
        <v>-24316</v>
      </c>
      <c r="W34" s="116">
        <v>175609</v>
      </c>
      <c r="X34" s="116">
        <v>-128680</v>
      </c>
      <c r="Y34" s="116">
        <v>25598</v>
      </c>
      <c r="Z34" s="116">
        <v>-25487</v>
      </c>
      <c r="AA34" s="116">
        <v>-14701</v>
      </c>
      <c r="AB34" s="116">
        <v>-94520.281000000003</v>
      </c>
      <c r="AC34" s="116">
        <v>-196392</v>
      </c>
    </row>
    <row r="35" spans="1:29">
      <c r="A35" s="115" t="s">
        <v>998</v>
      </c>
      <c r="B35" s="115" t="s">
        <v>972</v>
      </c>
      <c r="C35" s="112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>
        <v>213691</v>
      </c>
      <c r="Y35" s="116">
        <v>311457</v>
      </c>
      <c r="Z35" s="116">
        <v>314549</v>
      </c>
      <c r="AA35" s="116">
        <v>415779</v>
      </c>
      <c r="AB35" s="116">
        <v>253732</v>
      </c>
      <c r="AC35" s="116">
        <v>229937</v>
      </c>
    </row>
    <row r="36" spans="1:29">
      <c r="A36" s="448" t="s">
        <v>722</v>
      </c>
      <c r="B36" s="448" t="s">
        <v>722</v>
      </c>
      <c r="C36" s="120"/>
      <c r="D36" s="451">
        <f t="shared" ref="D36:Q36" si="16">D26+D27</f>
        <v>1149265</v>
      </c>
      <c r="E36" s="451">
        <f t="shared" si="16"/>
        <v>873271</v>
      </c>
      <c r="F36" s="451">
        <f t="shared" si="16"/>
        <v>1271678.0381499999</v>
      </c>
      <c r="G36" s="451">
        <f t="shared" si="16"/>
        <v>2281713.9618500001</v>
      </c>
      <c r="H36" s="451">
        <f t="shared" si="16"/>
        <v>1006482</v>
      </c>
      <c r="I36" s="451">
        <f t="shared" si="16"/>
        <v>1290656</v>
      </c>
      <c r="J36" s="451">
        <f t="shared" si="16"/>
        <v>1347825</v>
      </c>
      <c r="K36" s="451">
        <f t="shared" si="16"/>
        <v>2230066</v>
      </c>
      <c r="L36" s="451">
        <f t="shared" si="16"/>
        <v>1591721</v>
      </c>
      <c r="M36" s="451">
        <f t="shared" si="16"/>
        <v>1649469</v>
      </c>
      <c r="N36" s="451">
        <f t="shared" si="16"/>
        <v>1673190</v>
      </c>
      <c r="O36" s="451">
        <f t="shared" si="16"/>
        <v>2087951</v>
      </c>
      <c r="P36" s="451">
        <f t="shared" si="16"/>
        <v>2464834</v>
      </c>
      <c r="Q36" s="451">
        <f t="shared" si="16"/>
        <v>2369899.8090000008</v>
      </c>
      <c r="R36" s="451">
        <f>R26+R27</f>
        <v>2832860.3092999998</v>
      </c>
      <c r="S36" s="451">
        <f>S26+S27</f>
        <v>2426770</v>
      </c>
      <c r="T36" s="451">
        <f>T26+T27</f>
        <v>2643885.3960000006</v>
      </c>
      <c r="U36" s="451">
        <f>U26+U27</f>
        <v>2596654</v>
      </c>
      <c r="V36" s="451">
        <f>V26+V27</f>
        <v>3220719.8754999992</v>
      </c>
      <c r="W36" s="451">
        <f>W26+W27+W39</f>
        <v>2930162.124499999</v>
      </c>
      <c r="X36" s="451">
        <f t="shared" ref="X36:AC36" si="17">X26+X27+X35</f>
        <v>3161380</v>
      </c>
      <c r="Y36" s="451">
        <f t="shared" si="17"/>
        <v>3854814.9999999995</v>
      </c>
      <c r="Z36" s="451">
        <f t="shared" si="17"/>
        <v>3107531</v>
      </c>
      <c r="AA36" s="451">
        <f t="shared" si="17"/>
        <v>2064450</v>
      </c>
      <c r="AB36" s="451">
        <f t="shared" si="17"/>
        <v>3169127</v>
      </c>
      <c r="AC36" s="769">
        <f t="shared" si="17"/>
        <v>3458636</v>
      </c>
    </row>
    <row r="37" spans="1:29" ht="15" thickBot="1">
      <c r="A37" s="117" t="s">
        <v>893</v>
      </c>
      <c r="B37" s="117" t="s">
        <v>894</v>
      </c>
      <c r="C37" s="112"/>
      <c r="D37" s="116">
        <v>-160034</v>
      </c>
      <c r="E37" s="116">
        <v>-161624</v>
      </c>
      <c r="F37" s="116">
        <v>-163198</v>
      </c>
      <c r="G37" s="116">
        <v>-228201</v>
      </c>
      <c r="H37" s="116">
        <v>-164028</v>
      </c>
      <c r="I37" s="116">
        <v>-189578</v>
      </c>
      <c r="J37" s="116">
        <v>-165302</v>
      </c>
      <c r="K37" s="116">
        <v>-264610</v>
      </c>
      <c r="L37" s="116">
        <v>-255660</v>
      </c>
      <c r="M37" s="116">
        <v>-311542</v>
      </c>
      <c r="N37" s="116">
        <v>-299120</v>
      </c>
      <c r="O37" s="116">
        <v>-343394</v>
      </c>
      <c r="P37" s="116">
        <v>-441090</v>
      </c>
      <c r="Q37" s="116">
        <v>-432398</v>
      </c>
      <c r="R37" s="116">
        <v>-487659</v>
      </c>
      <c r="S37" s="116">
        <v>-512372</v>
      </c>
      <c r="T37" s="116">
        <v>-512843</v>
      </c>
      <c r="U37" s="116">
        <v>-515127</v>
      </c>
      <c r="V37" s="116">
        <v>-539489</v>
      </c>
      <c r="W37" s="116">
        <v>-617894</v>
      </c>
      <c r="X37" s="116">
        <v>-619317</v>
      </c>
      <c r="Y37" s="116">
        <v>-747145</v>
      </c>
      <c r="Z37" s="116">
        <v>-573149</v>
      </c>
      <c r="AA37" s="116">
        <v>-817310</v>
      </c>
      <c r="AB37" s="116">
        <v>-749012</v>
      </c>
      <c r="AC37" s="116">
        <v>-831467</v>
      </c>
    </row>
    <row r="38" spans="1:29" ht="15" thickBot="1">
      <c r="A38" s="118" t="s">
        <v>895</v>
      </c>
      <c r="B38" s="118" t="s">
        <v>896</v>
      </c>
      <c r="C38" s="112"/>
      <c r="D38" s="119">
        <f t="shared" ref="D38:L38" si="18">D36+D37+SUM(D39:D40)</f>
        <v>968638</v>
      </c>
      <c r="E38" s="119">
        <f t="shared" si="18"/>
        <v>691476</v>
      </c>
      <c r="F38" s="119">
        <f t="shared" si="18"/>
        <v>1088225.0381499999</v>
      </c>
      <c r="G38" s="119">
        <f t="shared" si="18"/>
        <v>2034087.9618500001</v>
      </c>
      <c r="H38" s="119">
        <f t="shared" si="18"/>
        <v>825514</v>
      </c>
      <c r="I38" s="119">
        <f t="shared" si="18"/>
        <v>1086343</v>
      </c>
      <c r="J38" s="119">
        <f t="shared" si="18"/>
        <v>1149333</v>
      </c>
      <c r="K38" s="119">
        <f t="shared" si="18"/>
        <v>1926302</v>
      </c>
      <c r="L38" s="119">
        <f t="shared" si="18"/>
        <v>1269541</v>
      </c>
      <c r="M38" s="119">
        <f t="shared" ref="M38:V38" si="19">M36+M37+SUM(M39:M40)</f>
        <v>1176223</v>
      </c>
      <c r="N38" s="119">
        <f t="shared" si="19"/>
        <v>1229958</v>
      </c>
      <c r="O38" s="119">
        <f t="shared" si="19"/>
        <v>1601491</v>
      </c>
      <c r="P38" s="119">
        <f t="shared" si="19"/>
        <v>1873691</v>
      </c>
      <c r="Q38" s="119">
        <f t="shared" si="19"/>
        <v>1801775.8090000008</v>
      </c>
      <c r="R38" s="119">
        <f t="shared" si="19"/>
        <v>2201374.3092999998</v>
      </c>
      <c r="S38" s="119">
        <f t="shared" si="19"/>
        <v>1770567</v>
      </c>
      <c r="T38" s="119">
        <f t="shared" si="19"/>
        <v>1987215.3960000006</v>
      </c>
      <c r="U38" s="119">
        <f t="shared" si="19"/>
        <v>1938659</v>
      </c>
      <c r="V38" s="119">
        <f t="shared" si="19"/>
        <v>2540989.8754999992</v>
      </c>
      <c r="W38" s="119">
        <f t="shared" ref="W38:AB38" si="20">W36+W37+SUM(W40)</f>
        <v>2169597.124499999</v>
      </c>
      <c r="X38" s="119">
        <f t="shared" si="20"/>
        <v>2399395</v>
      </c>
      <c r="Y38" s="119">
        <f t="shared" si="20"/>
        <v>2964998.9999999995</v>
      </c>
      <c r="Z38" s="119">
        <f t="shared" si="20"/>
        <v>2391714</v>
      </c>
      <c r="AA38" s="119">
        <f t="shared" si="20"/>
        <v>1077496</v>
      </c>
      <c r="AB38" s="119">
        <f t="shared" si="20"/>
        <v>2324617</v>
      </c>
      <c r="AC38" s="119">
        <f>AC36+AC37+SUM(AC40)</f>
        <v>2514421</v>
      </c>
    </row>
    <row r="39" spans="1:29">
      <c r="A39" s="115" t="s">
        <v>998</v>
      </c>
      <c r="B39" s="115" t="s">
        <v>972</v>
      </c>
      <c r="C39" s="112"/>
      <c r="D39" s="116">
        <v>-20593</v>
      </c>
      <c r="E39" s="116">
        <v>36132</v>
      </c>
      <c r="F39" s="116">
        <v>7895</v>
      </c>
      <c r="G39" s="116">
        <v>10306</v>
      </c>
      <c r="H39" s="116">
        <v>11210</v>
      </c>
      <c r="I39" s="116">
        <v>13424</v>
      </c>
      <c r="J39" s="116">
        <v>22571</v>
      </c>
      <c r="K39" s="116">
        <v>19771</v>
      </c>
      <c r="L39" s="116" t="s">
        <v>447</v>
      </c>
      <c r="M39" s="116">
        <v>0</v>
      </c>
      <c r="N39" s="116">
        <v>0</v>
      </c>
      <c r="O39" s="116">
        <v>0</v>
      </c>
      <c r="P39" s="116"/>
      <c r="Q39" s="116"/>
      <c r="R39" s="116"/>
      <c r="S39" s="116"/>
      <c r="T39" s="116"/>
      <c r="U39" s="116"/>
      <c r="V39" s="116">
        <v>2230</v>
      </c>
      <c r="W39" s="116">
        <v>262531</v>
      </c>
      <c r="X39" s="116"/>
      <c r="Y39" s="116"/>
      <c r="Z39" s="116"/>
      <c r="AA39" s="116"/>
      <c r="AB39" s="116"/>
      <c r="AC39" s="116"/>
    </row>
    <row r="40" spans="1:29" ht="15" thickBot="1">
      <c r="A40" s="117" t="s">
        <v>986</v>
      </c>
      <c r="B40" s="117" t="s">
        <v>999</v>
      </c>
      <c r="C40" s="112"/>
      <c r="D40" s="116">
        <v>0</v>
      </c>
      <c r="E40" s="116">
        <v>-56303</v>
      </c>
      <c r="F40" s="116">
        <v>-28150</v>
      </c>
      <c r="G40" s="116">
        <v>-29731</v>
      </c>
      <c r="H40" s="116">
        <v>-28150</v>
      </c>
      <c r="I40" s="116">
        <v>-28159</v>
      </c>
      <c r="J40" s="116">
        <v>-55761</v>
      </c>
      <c r="K40" s="116">
        <v>-58925</v>
      </c>
      <c r="L40" s="116">
        <v>-66520</v>
      </c>
      <c r="M40" s="116">
        <v>-161704</v>
      </c>
      <c r="N40" s="116">
        <v>-144112</v>
      </c>
      <c r="O40" s="116">
        <v>-143066</v>
      </c>
      <c r="P40" s="116">
        <v>-150053</v>
      </c>
      <c r="Q40" s="116">
        <v>-135726</v>
      </c>
      <c r="R40" s="116">
        <v>-143827</v>
      </c>
      <c r="S40" s="116">
        <v>-143831</v>
      </c>
      <c r="T40" s="116">
        <v>-143827</v>
      </c>
      <c r="U40" s="116">
        <v>-142868</v>
      </c>
      <c r="V40" s="116">
        <v>-142471</v>
      </c>
      <c r="W40" s="116">
        <v>-142671</v>
      </c>
      <c r="X40" s="116">
        <v>-142668</v>
      </c>
      <c r="Y40" s="116">
        <v>-142671</v>
      </c>
      <c r="Z40" s="116">
        <v>-142668</v>
      </c>
      <c r="AA40" s="116">
        <v>-169644</v>
      </c>
      <c r="AB40" s="116">
        <v>-95498</v>
      </c>
      <c r="AC40" s="116">
        <v>-112748</v>
      </c>
    </row>
    <row r="41" spans="1:29" ht="15" thickBot="1">
      <c r="A41" s="118" t="s">
        <v>725</v>
      </c>
      <c r="B41" s="118" t="s">
        <v>898</v>
      </c>
      <c r="C41" s="112"/>
      <c r="D41" s="119">
        <f t="shared" ref="D41:L41" si="21">SUM(D42:D43)</f>
        <v>-153293</v>
      </c>
      <c r="E41" s="119">
        <f t="shared" si="21"/>
        <v>-64551</v>
      </c>
      <c r="F41" s="119">
        <f t="shared" si="21"/>
        <v>-116213</v>
      </c>
      <c r="G41" s="119">
        <f t="shared" si="21"/>
        <v>-90068</v>
      </c>
      <c r="H41" s="119">
        <f t="shared" si="21"/>
        <v>-230661</v>
      </c>
      <c r="I41" s="119">
        <f t="shared" si="21"/>
        <v>-308232</v>
      </c>
      <c r="J41" s="119">
        <f t="shared" si="21"/>
        <v>-445953</v>
      </c>
      <c r="K41" s="119">
        <f t="shared" si="21"/>
        <v>166787.76662999997</v>
      </c>
      <c r="L41" s="119">
        <f t="shared" si="21"/>
        <v>-360477</v>
      </c>
      <c r="M41" s="119">
        <f t="shared" ref="M41:Y41" si="22">SUM(M42:M43)</f>
        <v>-1101244</v>
      </c>
      <c r="N41" s="119">
        <f t="shared" si="22"/>
        <v>-445078</v>
      </c>
      <c r="O41" s="119">
        <f t="shared" si="22"/>
        <v>-677677</v>
      </c>
      <c r="P41" s="119">
        <f t="shared" si="22"/>
        <v>-1500353</v>
      </c>
      <c r="Q41" s="119">
        <f t="shared" si="22"/>
        <v>-1097822.8090000004</v>
      </c>
      <c r="R41" s="119">
        <f t="shared" si="22"/>
        <v>-988149</v>
      </c>
      <c r="S41" s="119">
        <f t="shared" si="22"/>
        <v>-1026295</v>
      </c>
      <c r="T41" s="119">
        <f t="shared" si="22"/>
        <v>-1275764</v>
      </c>
      <c r="U41" s="119">
        <f t="shared" si="22"/>
        <v>-944155</v>
      </c>
      <c r="V41" s="119">
        <f t="shared" si="22"/>
        <v>-1189256</v>
      </c>
      <c r="W41" s="119">
        <f t="shared" si="22"/>
        <v>-1331623</v>
      </c>
      <c r="X41" s="119">
        <f t="shared" si="22"/>
        <v>-1454510</v>
      </c>
      <c r="Y41" s="119">
        <f t="shared" si="22"/>
        <v>-1424147</v>
      </c>
      <c r="Z41" s="119">
        <f t="shared" ref="Z41:AB41" si="23">SUM(Z42:Z43)</f>
        <v>-1573598</v>
      </c>
      <c r="AA41" s="119">
        <f t="shared" si="23"/>
        <v>-1403687</v>
      </c>
      <c r="AB41" s="119">
        <f t="shared" si="23"/>
        <v>-1503968</v>
      </c>
      <c r="AC41" s="119">
        <f>SUM(AC42:AC43)</f>
        <v>-1669592</v>
      </c>
    </row>
    <row r="42" spans="1:29">
      <c r="A42" s="115" t="s">
        <v>727</v>
      </c>
      <c r="B42" s="115" t="s">
        <v>898</v>
      </c>
      <c r="C42" s="112"/>
      <c r="D42" s="116">
        <v>543749</v>
      </c>
      <c r="E42" s="116">
        <v>248646</v>
      </c>
      <c r="F42" s="116">
        <v>249400</v>
      </c>
      <c r="G42" s="116">
        <v>84927</v>
      </c>
      <c r="H42" s="116">
        <v>408119</v>
      </c>
      <c r="I42" s="116">
        <v>234841</v>
      </c>
      <c r="J42" s="116">
        <v>610204</v>
      </c>
      <c r="K42" s="116">
        <v>986539</v>
      </c>
      <c r="L42" s="116">
        <v>1338297</v>
      </c>
      <c r="M42" s="116">
        <v>668969</v>
      </c>
      <c r="N42" s="116">
        <v>772507</v>
      </c>
      <c r="O42" s="116">
        <v>725410</v>
      </c>
      <c r="P42" s="116">
        <v>931568</v>
      </c>
      <c r="Q42" s="116">
        <v>975283</v>
      </c>
      <c r="R42" s="116">
        <v>622798</v>
      </c>
      <c r="S42" s="116">
        <v>865313</v>
      </c>
      <c r="T42" s="116">
        <v>909857</v>
      </c>
      <c r="U42" s="116">
        <v>1062159</v>
      </c>
      <c r="V42" s="116">
        <v>705554</v>
      </c>
      <c r="W42" s="116">
        <v>1723785</v>
      </c>
      <c r="X42" s="116">
        <v>1784199</v>
      </c>
      <c r="Y42" s="116">
        <v>1181518</v>
      </c>
      <c r="Z42" s="116">
        <v>1022117</v>
      </c>
      <c r="AA42" s="116">
        <v>961360</v>
      </c>
      <c r="AB42" s="116">
        <v>2482770</v>
      </c>
      <c r="AC42" s="116">
        <v>1488493</v>
      </c>
    </row>
    <row r="43" spans="1:29" ht="15" thickBot="1">
      <c r="A43" s="117" t="s">
        <v>744</v>
      </c>
      <c r="B43" s="117" t="s">
        <v>745</v>
      </c>
      <c r="C43" s="112"/>
      <c r="D43" s="116">
        <v>-697042</v>
      </c>
      <c r="E43" s="116">
        <v>-313197</v>
      </c>
      <c r="F43" s="116">
        <v>-365613</v>
      </c>
      <c r="G43" s="116">
        <v>-174995</v>
      </c>
      <c r="H43" s="116">
        <v>-638780</v>
      </c>
      <c r="I43" s="116">
        <v>-543073</v>
      </c>
      <c r="J43" s="116">
        <v>-1056157</v>
      </c>
      <c r="K43" s="116">
        <v>-819751.23337000003</v>
      </c>
      <c r="L43" s="116">
        <v>-1698774</v>
      </c>
      <c r="M43" s="116">
        <v>-1770213</v>
      </c>
      <c r="N43" s="116">
        <v>-1217585</v>
      </c>
      <c r="O43" s="116">
        <v>-1403087</v>
      </c>
      <c r="P43" s="116">
        <v>-2431921</v>
      </c>
      <c r="Q43" s="116">
        <v>-2073105.8090000004</v>
      </c>
      <c r="R43" s="116">
        <v>-1610947</v>
      </c>
      <c r="S43" s="116">
        <v>-1891608</v>
      </c>
      <c r="T43" s="116">
        <v>-2185621</v>
      </c>
      <c r="U43" s="116">
        <v>-2006314</v>
      </c>
      <c r="V43" s="116">
        <v>-1894810</v>
      </c>
      <c r="W43" s="116">
        <v>-3055408</v>
      </c>
      <c r="X43" s="116">
        <v>-3238709</v>
      </c>
      <c r="Y43" s="116">
        <v>-2605665</v>
      </c>
      <c r="Z43" s="116">
        <v>-2595715</v>
      </c>
      <c r="AA43" s="116">
        <v>-2365047</v>
      </c>
      <c r="AB43" s="116">
        <v>-3986738</v>
      </c>
      <c r="AC43" s="116">
        <v>-3158085</v>
      </c>
    </row>
    <row r="44" spans="1:29" ht="15" thickBot="1">
      <c r="A44" s="123" t="s">
        <v>905</v>
      </c>
      <c r="B44" s="123" t="s">
        <v>988</v>
      </c>
      <c r="C44" s="112"/>
      <c r="D44" s="119">
        <f t="shared" ref="D44:Y44" si="24">SUM(D38,D41)</f>
        <v>815345</v>
      </c>
      <c r="E44" s="119">
        <f t="shared" si="24"/>
        <v>626925</v>
      </c>
      <c r="F44" s="119">
        <f t="shared" si="24"/>
        <v>972012.03814999992</v>
      </c>
      <c r="G44" s="119">
        <f t="shared" si="24"/>
        <v>1944019.9618500001</v>
      </c>
      <c r="H44" s="119">
        <f t="shared" si="24"/>
        <v>594853</v>
      </c>
      <c r="I44" s="119">
        <f t="shared" si="24"/>
        <v>778111</v>
      </c>
      <c r="J44" s="119">
        <f t="shared" si="24"/>
        <v>703380</v>
      </c>
      <c r="K44" s="119">
        <f t="shared" si="24"/>
        <v>2093089.76663</v>
      </c>
      <c r="L44" s="119">
        <f t="shared" si="24"/>
        <v>909064</v>
      </c>
      <c r="M44" s="119">
        <f t="shared" si="24"/>
        <v>74979</v>
      </c>
      <c r="N44" s="119">
        <f t="shared" si="24"/>
        <v>784880</v>
      </c>
      <c r="O44" s="119">
        <f t="shared" si="24"/>
        <v>923814</v>
      </c>
      <c r="P44" s="119">
        <f t="shared" si="24"/>
        <v>373338</v>
      </c>
      <c r="Q44" s="119">
        <f t="shared" si="24"/>
        <v>703953.00000000047</v>
      </c>
      <c r="R44" s="119">
        <f t="shared" si="24"/>
        <v>1213225.3092999998</v>
      </c>
      <c r="S44" s="119">
        <f t="shared" si="24"/>
        <v>744272</v>
      </c>
      <c r="T44" s="119">
        <f t="shared" si="24"/>
        <v>711451.39600000065</v>
      </c>
      <c r="U44" s="119">
        <f t="shared" si="24"/>
        <v>994504</v>
      </c>
      <c r="V44" s="119">
        <f t="shared" si="24"/>
        <v>1351733.8754999992</v>
      </c>
      <c r="W44" s="119">
        <f t="shared" si="24"/>
        <v>837974.12449999899</v>
      </c>
      <c r="X44" s="119">
        <f t="shared" si="24"/>
        <v>944885</v>
      </c>
      <c r="Y44" s="119">
        <f t="shared" si="24"/>
        <v>1540851.9999999995</v>
      </c>
      <c r="Z44" s="119">
        <f t="shared" ref="Z44:AB44" si="25">SUM(Z38,Z41)</f>
        <v>818116</v>
      </c>
      <c r="AA44" s="119">
        <f t="shared" si="25"/>
        <v>-326191</v>
      </c>
      <c r="AB44" s="119">
        <f t="shared" si="25"/>
        <v>820649</v>
      </c>
      <c r="AC44" s="119">
        <f>SUM(AC38,AC41)</f>
        <v>844829</v>
      </c>
    </row>
    <row r="45" spans="1:29">
      <c r="A45" s="115" t="s">
        <v>768</v>
      </c>
      <c r="B45" s="115" t="s">
        <v>769</v>
      </c>
      <c r="C45" s="112"/>
      <c r="D45" s="116">
        <v>-17548</v>
      </c>
      <c r="E45" s="116">
        <v>-34111</v>
      </c>
      <c r="F45" s="116">
        <v>-41532</v>
      </c>
      <c r="G45" s="116">
        <v>-92287</v>
      </c>
      <c r="H45" s="116">
        <v>-28839</v>
      </c>
      <c r="I45" s="116">
        <v>-78126</v>
      </c>
      <c r="J45" s="116">
        <v>-67224</v>
      </c>
      <c r="K45" s="116">
        <v>-39505</v>
      </c>
      <c r="L45" s="116">
        <v>-87684</v>
      </c>
      <c r="M45" s="116">
        <v>-56633</v>
      </c>
      <c r="N45" s="116">
        <v>-109737</v>
      </c>
      <c r="O45" s="116">
        <v>-102454</v>
      </c>
      <c r="P45" s="116">
        <v>-98588</v>
      </c>
      <c r="Q45" s="116">
        <v>-108458</v>
      </c>
      <c r="R45" s="116">
        <v>-110571</v>
      </c>
      <c r="S45" s="116">
        <v>29362</v>
      </c>
      <c r="T45" s="116">
        <v>-71012</v>
      </c>
      <c r="U45" s="116">
        <v>-74687</v>
      </c>
      <c r="V45" s="116">
        <v>-120978</v>
      </c>
      <c r="W45" s="116">
        <v>-2037</v>
      </c>
      <c r="X45" s="116">
        <v>-72215</v>
      </c>
      <c r="Y45" s="116">
        <v>-116214</v>
      </c>
      <c r="Z45" s="116">
        <v>-114456</v>
      </c>
      <c r="AA45" s="116">
        <v>-126166</v>
      </c>
      <c r="AB45" s="116">
        <v>-80528</v>
      </c>
      <c r="AC45" s="116">
        <v>-69794</v>
      </c>
    </row>
    <row r="46" spans="1:29">
      <c r="A46" s="115" t="s">
        <v>770</v>
      </c>
      <c r="B46" s="115" t="s">
        <v>771</v>
      </c>
      <c r="C46" s="112"/>
      <c r="D46" s="116">
        <v>-41525</v>
      </c>
      <c r="E46" s="116">
        <v>-101069</v>
      </c>
      <c r="F46" s="116">
        <v>-122106</v>
      </c>
      <c r="G46" s="116">
        <v>-278095</v>
      </c>
      <c r="H46" s="116">
        <v>-93589</v>
      </c>
      <c r="I46" s="116">
        <v>-223889</v>
      </c>
      <c r="J46" s="116">
        <v>-172727</v>
      </c>
      <c r="K46" s="116">
        <v>-128049</v>
      </c>
      <c r="L46" s="116">
        <v>-260158</v>
      </c>
      <c r="M46" s="116">
        <v>-152000</v>
      </c>
      <c r="N46" s="116">
        <v>-312043</v>
      </c>
      <c r="O46" s="116">
        <v>-313899</v>
      </c>
      <c r="P46" s="116">
        <v>-284953</v>
      </c>
      <c r="Q46" s="116">
        <v>-312146</v>
      </c>
      <c r="R46" s="116">
        <v>-311220</v>
      </c>
      <c r="S46" s="116">
        <v>-8958</v>
      </c>
      <c r="T46" s="116">
        <v>-215219</v>
      </c>
      <c r="U46" s="116">
        <v>-229127</v>
      </c>
      <c r="V46" s="116">
        <v>-345692</v>
      </c>
      <c r="W46" s="116">
        <v>-110051</v>
      </c>
      <c r="X46" s="116">
        <v>-205917</v>
      </c>
      <c r="Y46" s="116">
        <v>-332232</v>
      </c>
      <c r="Z46" s="116">
        <v>-287149</v>
      </c>
      <c r="AA46" s="116">
        <v>-350147</v>
      </c>
      <c r="AB46" s="116">
        <v>-228235</v>
      </c>
      <c r="AC46" s="116">
        <v>-196854</v>
      </c>
    </row>
    <row r="47" spans="1:29">
      <c r="A47" s="115" t="s">
        <v>900</v>
      </c>
      <c r="B47" s="115" t="s">
        <v>901</v>
      </c>
      <c r="C47" s="112"/>
      <c r="D47" s="116">
        <v>-271484.26</v>
      </c>
      <c r="E47" s="116">
        <v>-77462.140000000014</v>
      </c>
      <c r="F47" s="116">
        <v>-73985.572970999987</v>
      </c>
      <c r="G47" s="116">
        <v>-181915.02702899999</v>
      </c>
      <c r="H47" s="116">
        <v>-90858</v>
      </c>
      <c r="I47" s="116">
        <v>21944</v>
      </c>
      <c r="J47" s="116">
        <v>984382</v>
      </c>
      <c r="K47" s="116">
        <v>-426295</v>
      </c>
      <c r="L47" s="116">
        <v>-13439</v>
      </c>
      <c r="M47" s="116">
        <v>-114403</v>
      </c>
      <c r="N47" s="116">
        <v>5825</v>
      </c>
      <c r="O47" s="116">
        <v>-43058</v>
      </c>
      <c r="P47" s="116">
        <v>226845</v>
      </c>
      <c r="Q47" s="116">
        <v>175203</v>
      </c>
      <c r="R47" s="116">
        <v>-108900</v>
      </c>
      <c r="S47" s="116">
        <v>-47688</v>
      </c>
      <c r="T47" s="116">
        <v>-21737</v>
      </c>
      <c r="U47" s="116">
        <v>-166213</v>
      </c>
      <c r="V47" s="116">
        <v>-144769</v>
      </c>
      <c r="W47" s="116">
        <v>413192</v>
      </c>
      <c r="X47" s="116">
        <v>-99765</v>
      </c>
      <c r="Y47" s="116">
        <v>-4469</v>
      </c>
      <c r="Z47" s="116">
        <v>27002</v>
      </c>
      <c r="AA47" s="116">
        <v>326359</v>
      </c>
      <c r="AB47" s="116">
        <v>-61732</v>
      </c>
      <c r="AC47" s="116">
        <v>-88514</v>
      </c>
    </row>
    <row r="48" spans="1:29" ht="15" thickBot="1">
      <c r="A48" s="117" t="s">
        <v>772</v>
      </c>
      <c r="B48" s="117" t="s">
        <v>902</v>
      </c>
      <c r="C48" s="112"/>
      <c r="D48" s="116">
        <v>29902</v>
      </c>
      <c r="E48" s="116">
        <v>59918</v>
      </c>
      <c r="F48" s="116">
        <v>112822</v>
      </c>
      <c r="G48" s="116">
        <v>219829</v>
      </c>
      <c r="H48" s="116">
        <v>71089</v>
      </c>
      <c r="I48" s="116">
        <v>133969</v>
      </c>
      <c r="J48" s="116">
        <v>143568</v>
      </c>
      <c r="K48" s="116">
        <v>127224</v>
      </c>
      <c r="L48" s="116">
        <v>130814</v>
      </c>
      <c r="M48" s="116">
        <v>135589</v>
      </c>
      <c r="N48" s="116">
        <v>215595</v>
      </c>
      <c r="O48" s="116">
        <v>306951</v>
      </c>
      <c r="P48" s="116">
        <v>71237</v>
      </c>
      <c r="Q48" s="116">
        <v>212098</v>
      </c>
      <c r="R48" s="116">
        <v>245150</v>
      </c>
      <c r="S48" s="116">
        <v>273082</v>
      </c>
      <c r="T48" s="116">
        <v>175948</v>
      </c>
      <c r="U48" s="116">
        <v>170618</v>
      </c>
      <c r="V48" s="116">
        <v>250179</v>
      </c>
      <c r="W48" s="116">
        <v>363725</v>
      </c>
      <c r="X48" s="116">
        <v>139293</v>
      </c>
      <c r="Y48" s="116">
        <v>201698</v>
      </c>
      <c r="Z48" s="116">
        <v>166292</v>
      </c>
      <c r="AA48" s="116">
        <v>282297</v>
      </c>
      <c r="AB48" s="116">
        <v>156602</v>
      </c>
      <c r="AC48" s="116">
        <v>163340</v>
      </c>
    </row>
    <row r="49" spans="1:29" ht="15" thickBot="1">
      <c r="A49" s="118" t="s">
        <v>903</v>
      </c>
      <c r="B49" s="118" t="s">
        <v>777</v>
      </c>
      <c r="C49" s="112"/>
      <c r="D49" s="119">
        <f t="shared" ref="D49:L49" si="26">SUM(D44:D48)</f>
        <v>514689.74</v>
      </c>
      <c r="E49" s="119">
        <f t="shared" si="26"/>
        <v>474200.86</v>
      </c>
      <c r="F49" s="119">
        <f t="shared" si="26"/>
        <v>847210.46517899993</v>
      </c>
      <c r="G49" s="119">
        <f t="shared" si="26"/>
        <v>1611551.9348210001</v>
      </c>
      <c r="H49" s="119">
        <f t="shared" si="26"/>
        <v>452656</v>
      </c>
      <c r="I49" s="119">
        <f t="shared" si="26"/>
        <v>632009</v>
      </c>
      <c r="J49" s="119">
        <f t="shared" si="26"/>
        <v>1591379</v>
      </c>
      <c r="K49" s="119">
        <f t="shared" si="26"/>
        <v>1626464.76663</v>
      </c>
      <c r="L49" s="119">
        <f t="shared" si="26"/>
        <v>678597</v>
      </c>
      <c r="M49" s="119">
        <f t="shared" ref="M49:Y49" si="27">SUM(M44:M48)</f>
        <v>-112468</v>
      </c>
      <c r="N49" s="119">
        <f t="shared" si="27"/>
        <v>584520</v>
      </c>
      <c r="O49" s="119">
        <f t="shared" si="27"/>
        <v>771354</v>
      </c>
      <c r="P49" s="119">
        <f t="shared" si="27"/>
        <v>287879</v>
      </c>
      <c r="Q49" s="119">
        <f t="shared" si="27"/>
        <v>670650.00000000047</v>
      </c>
      <c r="R49" s="119">
        <f t="shared" si="27"/>
        <v>927684.30929999985</v>
      </c>
      <c r="S49" s="119">
        <f t="shared" si="27"/>
        <v>990070</v>
      </c>
      <c r="T49" s="119">
        <f t="shared" si="27"/>
        <v>579431.39600000065</v>
      </c>
      <c r="U49" s="119">
        <f t="shared" si="27"/>
        <v>695095</v>
      </c>
      <c r="V49" s="119">
        <f t="shared" si="27"/>
        <v>990473.87549999915</v>
      </c>
      <c r="W49" s="119">
        <f t="shared" si="27"/>
        <v>1502803.124499999</v>
      </c>
      <c r="X49" s="119">
        <f t="shared" si="27"/>
        <v>706281</v>
      </c>
      <c r="Y49" s="119">
        <f t="shared" si="27"/>
        <v>1289634.9999999995</v>
      </c>
      <c r="Z49" s="119">
        <f t="shared" ref="Z49:AB49" si="28">SUM(Z44:Z48)</f>
        <v>609805</v>
      </c>
      <c r="AA49" s="119">
        <f t="shared" si="28"/>
        <v>-193848</v>
      </c>
      <c r="AB49" s="119">
        <f t="shared" si="28"/>
        <v>606756</v>
      </c>
      <c r="AC49" s="119">
        <f>SUM(AC44:AC48)</f>
        <v>653007</v>
      </c>
    </row>
    <row r="50" spans="1:29" ht="15" thickBot="1">
      <c r="A50" s="124" t="s">
        <v>1012</v>
      </c>
      <c r="B50" s="124" t="s">
        <v>1013</v>
      </c>
      <c r="C50" s="112"/>
      <c r="D50" s="125">
        <v>-74732</v>
      </c>
      <c r="E50" s="125">
        <v>-68471</v>
      </c>
      <c r="F50" s="125">
        <v>-119253</v>
      </c>
      <c r="G50" s="125">
        <v>-210108</v>
      </c>
      <c r="H50" s="125">
        <v>-99430</v>
      </c>
      <c r="I50" s="125">
        <v>-122279</v>
      </c>
      <c r="J50" s="125">
        <v>-180984</v>
      </c>
      <c r="K50" s="125">
        <v>-205288.72273598076</v>
      </c>
      <c r="L50" s="125">
        <v>-98521</v>
      </c>
      <c r="M50" s="125">
        <v>-57833.573726359173</v>
      </c>
      <c r="N50" s="125">
        <v>-80259.226386072114</v>
      </c>
      <c r="O50" s="125">
        <v>-311449.13035226823</v>
      </c>
      <c r="P50" s="125">
        <v>-124193</v>
      </c>
      <c r="Q50" s="125">
        <v>-152951</v>
      </c>
      <c r="R50" s="125">
        <v>-207661.92636018206</v>
      </c>
      <c r="S50" s="125">
        <v>-315885.07016494643</v>
      </c>
      <c r="T50" s="125">
        <v>-299987.0387105</v>
      </c>
      <c r="U50" s="125">
        <v>-186620.72133250002</v>
      </c>
      <c r="V50" s="125">
        <v>-230403.63547500002</v>
      </c>
      <c r="W50" s="125">
        <v>-239119</v>
      </c>
      <c r="X50" s="125">
        <v>-150113</v>
      </c>
      <c r="Y50" s="125">
        <v>-216033</v>
      </c>
      <c r="Z50" s="125">
        <v>-140904</v>
      </c>
      <c r="AA50" s="125">
        <v>-318528</v>
      </c>
      <c r="AB50" s="125">
        <v>-182291</v>
      </c>
      <c r="AC50" s="125">
        <v>-167632</v>
      </c>
    </row>
    <row r="51" spans="1:29" ht="15" thickBot="1">
      <c r="A51" s="118" t="s">
        <v>1014</v>
      </c>
      <c r="B51" s="118" t="s">
        <v>1015</v>
      </c>
      <c r="C51" s="112"/>
      <c r="D51" s="126">
        <f t="shared" ref="D51:Y51" si="29">SUM(D49:D50)</f>
        <v>439957.74</v>
      </c>
      <c r="E51" s="126">
        <f t="shared" si="29"/>
        <v>405729.86</v>
      </c>
      <c r="F51" s="126">
        <f t="shared" si="29"/>
        <v>727957.46517899993</v>
      </c>
      <c r="G51" s="126">
        <f t="shared" si="29"/>
        <v>1401443.9348210001</v>
      </c>
      <c r="H51" s="126">
        <f t="shared" si="29"/>
        <v>353226</v>
      </c>
      <c r="I51" s="126">
        <f t="shared" si="29"/>
        <v>509730</v>
      </c>
      <c r="J51" s="126">
        <f t="shared" si="29"/>
        <v>1410395</v>
      </c>
      <c r="K51" s="126">
        <f t="shared" si="29"/>
        <v>1421176.0438940192</v>
      </c>
      <c r="L51" s="126">
        <f t="shared" si="29"/>
        <v>580076</v>
      </c>
      <c r="M51" s="126">
        <f t="shared" si="29"/>
        <v>-170301.57372635917</v>
      </c>
      <c r="N51" s="126">
        <f t="shared" si="29"/>
        <v>504260.77361392789</v>
      </c>
      <c r="O51" s="126">
        <f t="shared" si="29"/>
        <v>459904.86964773177</v>
      </c>
      <c r="P51" s="126">
        <f>SUM(P49:P50)</f>
        <v>163686</v>
      </c>
      <c r="Q51" s="126">
        <f t="shared" si="29"/>
        <v>517699.00000000047</v>
      </c>
      <c r="R51" s="126">
        <f t="shared" si="29"/>
        <v>720022.38293981785</v>
      </c>
      <c r="S51" s="126">
        <f t="shared" si="29"/>
        <v>674184.92983505363</v>
      </c>
      <c r="T51" s="126">
        <f t="shared" si="29"/>
        <v>279444.35728950065</v>
      </c>
      <c r="U51" s="126">
        <f t="shared" si="29"/>
        <v>508474.27866750001</v>
      </c>
      <c r="V51" s="126">
        <f t="shared" si="29"/>
        <v>760070.24002499913</v>
      </c>
      <c r="W51" s="126">
        <f t="shared" si="29"/>
        <v>1263684.124499999</v>
      </c>
      <c r="X51" s="126">
        <f t="shared" si="29"/>
        <v>556168</v>
      </c>
      <c r="Y51" s="126">
        <f t="shared" si="29"/>
        <v>1073601.9999999995</v>
      </c>
      <c r="Z51" s="126">
        <f t="shared" ref="Z51:AA51" si="30">SUM(Z49:Z50)</f>
        <v>468901</v>
      </c>
      <c r="AA51" s="126">
        <f t="shared" si="30"/>
        <v>-512376</v>
      </c>
      <c r="AB51" s="126">
        <v>424465</v>
      </c>
      <c r="AC51" s="126">
        <f>SUM(AC49:AC50)</f>
        <v>485375</v>
      </c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L9:T9" formulaRange="1"/>
  </ignoredErrors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theme="9" tint="0.79998168889431442"/>
  </sheetPr>
  <dimension ref="B7:U94"/>
  <sheetViews>
    <sheetView showGridLines="0" zoomScale="85" zoomScaleNormal="85" workbookViewId="0">
      <pane xSplit="3" topLeftCell="D1" activePane="topRight" state="frozen"/>
      <selection pane="topRight" activeCell="F10" sqref="F10"/>
    </sheetView>
  </sheetViews>
  <sheetFormatPr defaultColWidth="8.5546875" defaultRowHeight="13.8"/>
  <cols>
    <col min="1" max="1" width="8.5546875" style="104"/>
    <col min="2" max="3" width="33.5546875" style="104" customWidth="1"/>
    <col min="4" max="21" width="13.44140625" style="104" customWidth="1"/>
    <col min="22" max="16384" width="8.5546875" style="104"/>
  </cols>
  <sheetData>
    <row r="7" spans="2:21">
      <c r="B7" s="134" t="s">
        <v>2507</v>
      </c>
      <c r="C7" s="134" t="s">
        <v>2501</v>
      </c>
      <c r="D7" s="529"/>
    </row>
    <row r="8" spans="2:21" ht="28.05" customHeight="1">
      <c r="B8" s="446" t="s">
        <v>991</v>
      </c>
      <c r="C8" s="457" t="s">
        <v>1016</v>
      </c>
      <c r="D8" s="447" t="s">
        <v>89</v>
      </c>
      <c r="E8" s="447" t="s">
        <v>110</v>
      </c>
      <c r="F8" s="447" t="s">
        <v>113</v>
      </c>
      <c r="G8" s="447" t="s">
        <v>116</v>
      </c>
      <c r="H8" s="447" t="s">
        <v>119</v>
      </c>
      <c r="I8" s="447" t="s">
        <v>122</v>
      </c>
      <c r="J8" s="447" t="s">
        <v>125</v>
      </c>
      <c r="K8" s="447" t="s">
        <v>577</v>
      </c>
      <c r="L8" s="447" t="s">
        <v>2150</v>
      </c>
      <c r="M8" s="447" t="s">
        <v>2149</v>
      </c>
      <c r="N8" s="447" t="s">
        <v>1018</v>
      </c>
      <c r="O8" s="447" t="s">
        <v>1019</v>
      </c>
      <c r="P8" s="447" t="s">
        <v>1020</v>
      </c>
      <c r="Q8" s="447" t="s">
        <v>1021</v>
      </c>
      <c r="R8" s="447" t="s">
        <v>1022</v>
      </c>
      <c r="S8" s="447" t="s">
        <v>1023</v>
      </c>
      <c r="T8" s="447" t="s">
        <v>95</v>
      </c>
      <c r="U8" s="447" t="s">
        <v>1024</v>
      </c>
    </row>
    <row r="9" spans="2:21" s="496" customFormat="1">
      <c r="B9" s="497" t="s">
        <v>1025</v>
      </c>
      <c r="C9" s="497" t="s">
        <v>848</v>
      </c>
      <c r="D9" s="136">
        <f>SUM(D10:D17)</f>
        <v>2802.8922119999997</v>
      </c>
      <c r="E9" s="136">
        <f>SUM(E10:E17)</f>
        <v>4209.5038160000004</v>
      </c>
      <c r="F9" s="136">
        <f t="shared" ref="F9:T9" si="0">SUM(F10:F17)</f>
        <v>1573.9862210000001</v>
      </c>
      <c r="G9" s="136">
        <f t="shared" si="0"/>
        <v>1348.337233</v>
      </c>
      <c r="H9" s="136">
        <f t="shared" si="0"/>
        <v>2652.9648089999996</v>
      </c>
      <c r="I9" s="136">
        <f t="shared" si="0"/>
        <v>675.68774000000008</v>
      </c>
      <c r="J9" s="136">
        <f t="shared" si="0"/>
        <v>4656.1850029999996</v>
      </c>
      <c r="K9" s="136">
        <f t="shared" si="0"/>
        <v>0</v>
      </c>
      <c r="L9" s="136">
        <f t="shared" si="0"/>
        <v>237.67000000000002</v>
      </c>
      <c r="M9" s="136">
        <f t="shared" si="0"/>
        <v>85.161999999999992</v>
      </c>
      <c r="N9" s="136">
        <f t="shared" si="0"/>
        <v>586.74800000000005</v>
      </c>
      <c r="O9" s="136">
        <f t="shared" si="0"/>
        <v>44.889000000000003</v>
      </c>
      <c r="P9" s="136">
        <f t="shared" si="0"/>
        <v>0</v>
      </c>
      <c r="Q9" s="136">
        <f t="shared" si="0"/>
        <v>0</v>
      </c>
      <c r="R9" s="136">
        <f t="shared" si="0"/>
        <v>0</v>
      </c>
      <c r="S9" s="136">
        <f t="shared" si="0"/>
        <v>-62.142000000000003</v>
      </c>
      <c r="T9" s="136">
        <f t="shared" si="0"/>
        <v>0</v>
      </c>
      <c r="U9" s="136">
        <f>SUM(U10:U17)</f>
        <v>18811.884034000002</v>
      </c>
    </row>
    <row r="10" spans="2:21">
      <c r="B10" s="137" t="s">
        <v>849</v>
      </c>
      <c r="C10" s="137" t="s">
        <v>850</v>
      </c>
      <c r="D10" s="138">
        <v>2286.7757449999999</v>
      </c>
      <c r="E10" s="138">
        <v>3133.9733990000004</v>
      </c>
      <c r="F10" s="138">
        <v>1270.5188270000001</v>
      </c>
      <c r="G10" s="138">
        <v>1077.035901</v>
      </c>
      <c r="H10" s="138">
        <v>1773.2978899999998</v>
      </c>
      <c r="I10" s="138">
        <v>470.01846</v>
      </c>
      <c r="J10" s="138">
        <v>3288.7714339999998</v>
      </c>
      <c r="K10" s="138">
        <v>0</v>
      </c>
      <c r="L10" s="138">
        <v>0</v>
      </c>
      <c r="M10" s="138">
        <v>0</v>
      </c>
      <c r="N10" s="138">
        <v>507.67599999999999</v>
      </c>
      <c r="O10" s="138">
        <v>0</v>
      </c>
      <c r="P10" s="138">
        <v>0</v>
      </c>
      <c r="Q10" s="138">
        <v>0</v>
      </c>
      <c r="R10" s="138">
        <v>0</v>
      </c>
      <c r="S10" s="138">
        <v>0</v>
      </c>
      <c r="T10" s="138">
        <v>0</v>
      </c>
      <c r="U10" s="138">
        <v>13808.067655999999</v>
      </c>
    </row>
    <row r="11" spans="2:21">
      <c r="B11" s="137" t="s">
        <v>602</v>
      </c>
      <c r="C11" s="137" t="s">
        <v>603</v>
      </c>
      <c r="D11" s="138">
        <v>-24.372644000000001</v>
      </c>
      <c r="E11" s="138">
        <v>-38.843423999999999</v>
      </c>
      <c r="F11" s="138">
        <v>-29.488876999999999</v>
      </c>
      <c r="G11" s="138">
        <v>-1.3674120000000001</v>
      </c>
      <c r="H11" s="138">
        <v>-31.650229</v>
      </c>
      <c r="I11" s="138">
        <v>66.93850900000001</v>
      </c>
      <c r="J11" s="138">
        <v>118.17514999999999</v>
      </c>
      <c r="K11" s="138">
        <v>0</v>
      </c>
      <c r="L11" s="138">
        <v>0</v>
      </c>
      <c r="M11" s="138">
        <v>0</v>
      </c>
      <c r="N11" s="138">
        <v>0</v>
      </c>
      <c r="O11" s="138">
        <v>0</v>
      </c>
      <c r="P11" s="138">
        <v>0</v>
      </c>
      <c r="Q11" s="138">
        <v>0</v>
      </c>
      <c r="R11" s="138">
        <v>0</v>
      </c>
      <c r="S11" s="138">
        <v>0</v>
      </c>
      <c r="T11" s="138">
        <v>0</v>
      </c>
      <c r="U11" s="138">
        <v>59.391073000000006</v>
      </c>
    </row>
    <row r="12" spans="2:21">
      <c r="B12" s="137" t="s">
        <v>606</v>
      </c>
      <c r="C12" s="137" t="s">
        <v>851</v>
      </c>
      <c r="D12" s="138">
        <v>330.49541299999999</v>
      </c>
      <c r="E12" s="138">
        <v>716.05277599999999</v>
      </c>
      <c r="F12" s="138">
        <v>238.96029199999998</v>
      </c>
      <c r="G12" s="138">
        <v>187.84398100000001</v>
      </c>
      <c r="H12" s="138">
        <v>281.74955699999998</v>
      </c>
      <c r="I12" s="138">
        <v>97.164929999999998</v>
      </c>
      <c r="J12" s="138">
        <v>675.01792599999999</v>
      </c>
      <c r="K12" s="138">
        <v>0</v>
      </c>
      <c r="L12" s="138">
        <v>0</v>
      </c>
      <c r="M12" s="138">
        <v>0</v>
      </c>
      <c r="N12" s="138">
        <v>0</v>
      </c>
      <c r="O12" s="138">
        <v>11.992000000000001</v>
      </c>
      <c r="P12" s="138">
        <v>0</v>
      </c>
      <c r="Q12" s="138">
        <v>0</v>
      </c>
      <c r="R12" s="138">
        <v>0</v>
      </c>
      <c r="S12" s="138">
        <v>0</v>
      </c>
      <c r="T12" s="138">
        <v>0</v>
      </c>
      <c r="U12" s="138">
        <v>2539.276875</v>
      </c>
    </row>
    <row r="13" spans="2:21">
      <c r="B13" s="137" t="s">
        <v>608</v>
      </c>
      <c r="C13" s="137" t="s">
        <v>1002</v>
      </c>
      <c r="D13" s="138">
        <v>0</v>
      </c>
      <c r="E13" s="138">
        <v>0</v>
      </c>
      <c r="F13" s="138">
        <v>0</v>
      </c>
      <c r="G13" s="138">
        <v>0</v>
      </c>
      <c r="H13" s="138">
        <v>0</v>
      </c>
      <c r="I13" s="138">
        <v>0</v>
      </c>
      <c r="J13" s="138">
        <v>0</v>
      </c>
      <c r="K13" s="138">
        <v>0</v>
      </c>
      <c r="L13" s="138">
        <v>0</v>
      </c>
      <c r="M13" s="138">
        <v>0</v>
      </c>
      <c r="N13" s="138">
        <v>0</v>
      </c>
      <c r="O13" s="138">
        <v>0</v>
      </c>
      <c r="P13" s="138">
        <v>0</v>
      </c>
      <c r="Q13" s="138">
        <v>0</v>
      </c>
      <c r="R13" s="138">
        <v>0</v>
      </c>
      <c r="S13" s="138">
        <v>0</v>
      </c>
      <c r="T13" s="138">
        <v>0</v>
      </c>
      <c r="U13" s="138">
        <v>0</v>
      </c>
    </row>
    <row r="14" spans="2:21">
      <c r="B14" s="137" t="s">
        <v>914</v>
      </c>
      <c r="C14" s="137" t="s">
        <v>1003</v>
      </c>
      <c r="D14" s="138">
        <v>0</v>
      </c>
      <c r="E14" s="138">
        <v>0</v>
      </c>
      <c r="F14" s="138">
        <v>0</v>
      </c>
      <c r="G14" s="138">
        <v>0</v>
      </c>
      <c r="H14" s="138">
        <v>0</v>
      </c>
      <c r="I14" s="138">
        <v>0</v>
      </c>
      <c r="J14" s="138">
        <v>0</v>
      </c>
      <c r="K14" s="138">
        <v>0</v>
      </c>
      <c r="L14" s="138">
        <v>0</v>
      </c>
      <c r="M14" s="138">
        <v>0</v>
      </c>
      <c r="N14" s="138">
        <v>0</v>
      </c>
      <c r="O14" s="138">
        <v>0</v>
      </c>
      <c r="P14" s="138">
        <v>0</v>
      </c>
      <c r="Q14" s="138">
        <v>0</v>
      </c>
      <c r="R14" s="138">
        <v>0</v>
      </c>
      <c r="S14" s="138">
        <v>0</v>
      </c>
      <c r="T14" s="138">
        <v>0</v>
      </c>
      <c r="U14" s="138">
        <v>0</v>
      </c>
    </row>
    <row r="15" spans="2:21">
      <c r="B15" s="137" t="s">
        <v>604</v>
      </c>
      <c r="C15" s="137" t="s">
        <v>1004</v>
      </c>
      <c r="D15" s="138">
        <v>0</v>
      </c>
      <c r="E15" s="138">
        <v>0</v>
      </c>
      <c r="F15" s="138">
        <v>0</v>
      </c>
      <c r="G15" s="138">
        <v>0</v>
      </c>
      <c r="H15" s="138">
        <v>0</v>
      </c>
      <c r="I15" s="138">
        <v>0</v>
      </c>
      <c r="J15" s="138">
        <v>0</v>
      </c>
      <c r="K15" s="138">
        <v>0</v>
      </c>
      <c r="L15" s="138">
        <v>233.16900000000001</v>
      </c>
      <c r="M15" s="138">
        <v>85.198999999999998</v>
      </c>
      <c r="N15" s="138">
        <v>0</v>
      </c>
      <c r="O15" s="138">
        <v>0</v>
      </c>
      <c r="P15" s="138">
        <v>0</v>
      </c>
      <c r="Q15" s="138">
        <v>0</v>
      </c>
      <c r="R15" s="138">
        <v>0</v>
      </c>
      <c r="S15" s="138">
        <v>0</v>
      </c>
      <c r="T15" s="138">
        <v>0</v>
      </c>
      <c r="U15" s="138">
        <v>318.36799999999999</v>
      </c>
    </row>
    <row r="16" spans="2:21">
      <c r="B16" s="137" t="s">
        <v>612</v>
      </c>
      <c r="C16" s="137" t="s">
        <v>1005</v>
      </c>
      <c r="D16" s="138">
        <v>0</v>
      </c>
      <c r="E16" s="138">
        <v>0</v>
      </c>
      <c r="F16" s="138">
        <v>0</v>
      </c>
      <c r="G16" s="138">
        <v>0</v>
      </c>
      <c r="H16" s="138">
        <v>0</v>
      </c>
      <c r="I16" s="138">
        <v>0</v>
      </c>
      <c r="J16" s="138">
        <v>0</v>
      </c>
      <c r="K16" s="138">
        <v>0</v>
      </c>
      <c r="L16" s="138">
        <v>0</v>
      </c>
      <c r="M16" s="138">
        <v>0</v>
      </c>
      <c r="N16" s="138">
        <v>0</v>
      </c>
      <c r="O16" s="138">
        <v>31.449000000000002</v>
      </c>
      <c r="P16" s="138">
        <v>0</v>
      </c>
      <c r="Q16" s="138">
        <v>0</v>
      </c>
      <c r="R16" s="138">
        <v>0</v>
      </c>
      <c r="S16" s="138">
        <v>0</v>
      </c>
      <c r="T16" s="138">
        <v>0</v>
      </c>
      <c r="U16" s="138">
        <v>31.449000000000002</v>
      </c>
    </row>
    <row r="17" spans="2:21">
      <c r="B17" s="137" t="s">
        <v>614</v>
      </c>
      <c r="C17" s="137" t="s">
        <v>615</v>
      </c>
      <c r="D17" s="138">
        <v>209.99369799999999</v>
      </c>
      <c r="E17" s="138">
        <v>398.32106499999998</v>
      </c>
      <c r="F17" s="138">
        <v>93.995979000000005</v>
      </c>
      <c r="G17" s="138">
        <v>84.824763000000004</v>
      </c>
      <c r="H17" s="138">
        <v>629.56759099999999</v>
      </c>
      <c r="I17" s="138">
        <v>41.565840999999999</v>
      </c>
      <c r="J17" s="138">
        <v>574.22049300000003</v>
      </c>
      <c r="K17" s="138">
        <v>0</v>
      </c>
      <c r="L17" s="138">
        <v>4.5010000000000003</v>
      </c>
      <c r="M17" s="138">
        <v>-3.6999999999999998E-2</v>
      </c>
      <c r="N17" s="138">
        <v>79.072000000000003</v>
      </c>
      <c r="O17" s="138">
        <v>1.448</v>
      </c>
      <c r="P17" s="138">
        <v>0</v>
      </c>
      <c r="Q17" s="138">
        <v>0</v>
      </c>
      <c r="R17" s="138">
        <v>0</v>
      </c>
      <c r="S17" s="138">
        <v>-62.142000000000003</v>
      </c>
      <c r="T17" s="138">
        <v>0</v>
      </c>
      <c r="U17" s="138">
        <v>2055.3314300000002</v>
      </c>
    </row>
    <row r="18" spans="2:21" s="134" customFormat="1">
      <c r="B18" s="139" t="s">
        <v>858</v>
      </c>
      <c r="C18" s="139" t="s">
        <v>859</v>
      </c>
      <c r="D18" s="140">
        <v>-809.01427699999999</v>
      </c>
      <c r="E18" s="140">
        <v>-969.12797</v>
      </c>
      <c r="F18" s="140">
        <v>-483.550141</v>
      </c>
      <c r="G18" s="140">
        <v>-352.74416600000001</v>
      </c>
      <c r="H18" s="140">
        <v>-792.58437500000002</v>
      </c>
      <c r="I18" s="140">
        <v>-134.19374100000002</v>
      </c>
      <c r="J18" s="140">
        <v>-1426.810403</v>
      </c>
      <c r="K18" s="140">
        <v>0</v>
      </c>
      <c r="L18" s="140">
        <v>-16.05</v>
      </c>
      <c r="M18" s="140">
        <v>-5.556</v>
      </c>
      <c r="N18" s="140">
        <v>-80.269000000000005</v>
      </c>
      <c r="O18" s="140">
        <v>-3.0529999999999999</v>
      </c>
      <c r="P18" s="140">
        <v>0</v>
      </c>
      <c r="Q18" s="140">
        <v>0</v>
      </c>
      <c r="R18" s="140">
        <v>0</v>
      </c>
      <c r="S18" s="140">
        <v>0</v>
      </c>
      <c r="T18" s="140">
        <v>0</v>
      </c>
      <c r="U18" s="140">
        <v>-5072.9530729999997</v>
      </c>
    </row>
    <row r="19" spans="2:21" s="134" customFormat="1">
      <c r="B19" s="135" t="s">
        <v>646</v>
      </c>
      <c r="C19" s="135" t="s">
        <v>860</v>
      </c>
      <c r="D19" s="136">
        <f>+D9+D18</f>
        <v>1993.8779349999998</v>
      </c>
      <c r="E19" s="136">
        <f t="shared" ref="E19:T19" si="1">+E9+E18</f>
        <v>3240.3758460000004</v>
      </c>
      <c r="F19" s="136">
        <f t="shared" si="1"/>
        <v>1090.4360800000002</v>
      </c>
      <c r="G19" s="136">
        <f t="shared" si="1"/>
        <v>995.59306700000002</v>
      </c>
      <c r="H19" s="136">
        <f t="shared" si="1"/>
        <v>1860.3804339999997</v>
      </c>
      <c r="I19" s="136">
        <f t="shared" si="1"/>
        <v>541.49399900000003</v>
      </c>
      <c r="J19" s="136">
        <f t="shared" si="1"/>
        <v>3229.3745999999996</v>
      </c>
      <c r="K19" s="136">
        <f t="shared" si="1"/>
        <v>0</v>
      </c>
      <c r="L19" s="136">
        <f t="shared" si="1"/>
        <v>221.62</v>
      </c>
      <c r="M19" s="136">
        <f t="shared" si="1"/>
        <v>79.605999999999995</v>
      </c>
      <c r="N19" s="136">
        <f t="shared" si="1"/>
        <v>506.47900000000004</v>
      </c>
      <c r="O19" s="136">
        <f t="shared" si="1"/>
        <v>41.836000000000006</v>
      </c>
      <c r="P19" s="136">
        <f t="shared" si="1"/>
        <v>0</v>
      </c>
      <c r="Q19" s="136">
        <f t="shared" si="1"/>
        <v>0</v>
      </c>
      <c r="R19" s="136">
        <f t="shared" si="1"/>
        <v>0</v>
      </c>
      <c r="S19" s="136">
        <f t="shared" si="1"/>
        <v>-62.142000000000003</v>
      </c>
      <c r="T19" s="136">
        <f t="shared" si="1"/>
        <v>0</v>
      </c>
      <c r="U19" s="136">
        <f>+U9+U18</f>
        <v>13738.930961000002</v>
      </c>
    </row>
    <row r="20" spans="2:21" s="134" customFormat="1">
      <c r="B20" s="139" t="s">
        <v>861</v>
      </c>
      <c r="C20" s="139" t="s">
        <v>862</v>
      </c>
      <c r="D20" s="140">
        <f>+SUM(D21:D25)</f>
        <v>-1219.2908619999998</v>
      </c>
      <c r="E20" s="140">
        <f t="shared" ref="E20:T20" si="2">+SUM(E21:E25)</f>
        <v>-2018.1390820000001</v>
      </c>
      <c r="F20" s="140">
        <f t="shared" si="2"/>
        <v>-658.61770300000001</v>
      </c>
      <c r="G20" s="140">
        <f t="shared" si="2"/>
        <v>-656.72216100000003</v>
      </c>
      <c r="H20" s="140">
        <f t="shared" si="2"/>
        <v>-1123.843439</v>
      </c>
      <c r="I20" s="140">
        <f t="shared" si="2"/>
        <v>-369.30636700000002</v>
      </c>
      <c r="J20" s="140">
        <f t="shared" si="2"/>
        <v>-2118.5896419999999</v>
      </c>
      <c r="K20" s="140">
        <f t="shared" si="2"/>
        <v>0</v>
      </c>
      <c r="L20" s="140">
        <f t="shared" si="2"/>
        <v>-53.665999999999997</v>
      </c>
      <c r="M20" s="140">
        <f t="shared" si="2"/>
        <v>-24.959</v>
      </c>
      <c r="N20" s="140">
        <f t="shared" si="2"/>
        <v>-469.29300000000001</v>
      </c>
      <c r="O20" s="140">
        <f t="shared" si="2"/>
        <v>-11.992000000000001</v>
      </c>
      <c r="P20" s="140">
        <f t="shared" si="2"/>
        <v>0</v>
      </c>
      <c r="Q20" s="140">
        <f t="shared" si="2"/>
        <v>0</v>
      </c>
      <c r="R20" s="140">
        <f t="shared" si="2"/>
        <v>0</v>
      </c>
      <c r="S20" s="140">
        <f t="shared" si="2"/>
        <v>0</v>
      </c>
      <c r="T20" s="140">
        <f t="shared" si="2"/>
        <v>0</v>
      </c>
      <c r="U20" s="140">
        <f>+SUM(U21:U25)</f>
        <v>-8724.4192559999992</v>
      </c>
    </row>
    <row r="21" spans="2:21">
      <c r="B21" s="137" t="s">
        <v>863</v>
      </c>
      <c r="C21" s="137" t="s">
        <v>864</v>
      </c>
      <c r="D21" s="138">
        <v>-745.55551800000001</v>
      </c>
      <c r="E21" s="138">
        <v>-1057.5230240000001</v>
      </c>
      <c r="F21" s="138">
        <v>-336.45452</v>
      </c>
      <c r="G21" s="138">
        <v>-377.428989</v>
      </c>
      <c r="H21" s="138">
        <v>-590.84301300000004</v>
      </c>
      <c r="I21" s="138">
        <v>-248.20960600000001</v>
      </c>
      <c r="J21" s="138">
        <v>-1113.846151</v>
      </c>
      <c r="K21" s="138">
        <v>0</v>
      </c>
      <c r="L21" s="138">
        <v>-32.79</v>
      </c>
      <c r="M21" s="138">
        <v>-14.542999999999999</v>
      </c>
      <c r="N21" s="138">
        <v>-469.29300000000001</v>
      </c>
      <c r="O21" s="138">
        <v>0</v>
      </c>
      <c r="P21" s="138">
        <v>0</v>
      </c>
      <c r="Q21" s="138">
        <v>0</v>
      </c>
      <c r="R21" s="138">
        <v>0</v>
      </c>
      <c r="S21" s="138">
        <v>0</v>
      </c>
      <c r="T21" s="138">
        <v>0</v>
      </c>
      <c r="U21" s="138">
        <v>-4986.4868209999995</v>
      </c>
    </row>
    <row r="22" spans="2:21">
      <c r="B22" s="137" t="s">
        <v>865</v>
      </c>
      <c r="C22" s="137" t="s">
        <v>866</v>
      </c>
      <c r="D22" s="138">
        <v>-143.23993100000001</v>
      </c>
      <c r="E22" s="138">
        <v>-244.56328200000002</v>
      </c>
      <c r="F22" s="138">
        <v>-83.202891000000008</v>
      </c>
      <c r="G22" s="138">
        <v>-91.449191000000013</v>
      </c>
      <c r="H22" s="138">
        <v>-251.25086899999999</v>
      </c>
      <c r="I22" s="138">
        <v>-23.931830999999999</v>
      </c>
      <c r="J22" s="138">
        <v>-329.72556500000002</v>
      </c>
      <c r="K22" s="138">
        <v>0</v>
      </c>
      <c r="L22" s="138">
        <v>-20.876000000000001</v>
      </c>
      <c r="M22" s="138">
        <v>-10.416</v>
      </c>
      <c r="N22" s="138">
        <v>0</v>
      </c>
      <c r="O22" s="138">
        <v>0</v>
      </c>
      <c r="P22" s="138">
        <v>0</v>
      </c>
      <c r="Q22" s="138">
        <v>0</v>
      </c>
      <c r="R22" s="138">
        <v>0</v>
      </c>
      <c r="S22" s="138">
        <v>0</v>
      </c>
      <c r="T22" s="138">
        <v>0</v>
      </c>
      <c r="U22" s="138">
        <v>-1198.6555599999999</v>
      </c>
    </row>
    <row r="23" spans="2:21">
      <c r="B23" s="137" t="s">
        <v>658</v>
      </c>
      <c r="C23" s="137" t="s">
        <v>1009</v>
      </c>
      <c r="D23" s="138">
        <v>0</v>
      </c>
      <c r="E23" s="138">
        <v>0</v>
      </c>
      <c r="F23" s="138">
        <v>0</v>
      </c>
      <c r="G23" s="138">
        <v>0</v>
      </c>
      <c r="H23" s="138">
        <v>0</v>
      </c>
      <c r="I23" s="138">
        <v>0</v>
      </c>
      <c r="J23" s="138">
        <v>0</v>
      </c>
      <c r="K23" s="138">
        <v>0</v>
      </c>
      <c r="L23" s="138">
        <v>0</v>
      </c>
      <c r="M23" s="138">
        <v>0</v>
      </c>
      <c r="N23" s="138">
        <v>0</v>
      </c>
      <c r="O23" s="138">
        <v>0</v>
      </c>
      <c r="P23" s="138">
        <v>0</v>
      </c>
      <c r="Q23" s="138">
        <v>0</v>
      </c>
      <c r="R23" s="138">
        <v>0</v>
      </c>
      <c r="S23" s="138">
        <v>0</v>
      </c>
      <c r="T23" s="138">
        <v>0</v>
      </c>
      <c r="U23" s="138">
        <v>0</v>
      </c>
    </row>
    <row r="24" spans="2:21">
      <c r="B24" s="137" t="s">
        <v>654</v>
      </c>
      <c r="C24" s="137" t="s">
        <v>655</v>
      </c>
      <c r="D24" s="138">
        <v>0</v>
      </c>
      <c r="E24" s="138">
        <v>0</v>
      </c>
      <c r="F24" s="138">
        <v>0</v>
      </c>
      <c r="G24" s="138">
        <v>0</v>
      </c>
      <c r="H24" s="138">
        <v>0</v>
      </c>
      <c r="I24" s="138">
        <v>0</v>
      </c>
      <c r="J24" s="138">
        <v>0</v>
      </c>
      <c r="K24" s="138">
        <v>0</v>
      </c>
      <c r="L24" s="138">
        <v>0</v>
      </c>
      <c r="M24" s="138">
        <v>0</v>
      </c>
      <c r="N24" s="138">
        <v>0</v>
      </c>
      <c r="O24" s="138">
        <v>0</v>
      </c>
      <c r="P24" s="138">
        <v>0</v>
      </c>
      <c r="Q24" s="138">
        <v>0</v>
      </c>
      <c r="R24" s="138">
        <v>0</v>
      </c>
      <c r="S24" s="138">
        <v>0</v>
      </c>
      <c r="T24" s="138">
        <v>0</v>
      </c>
      <c r="U24" s="138">
        <v>0</v>
      </c>
    </row>
    <row r="25" spans="2:21">
      <c r="B25" s="137" t="s">
        <v>867</v>
      </c>
      <c r="C25" s="137" t="s">
        <v>868</v>
      </c>
      <c r="D25" s="138">
        <v>-330.49541299999999</v>
      </c>
      <c r="E25" s="138">
        <v>-716.05277599999999</v>
      </c>
      <c r="F25" s="138">
        <v>-238.96029199999998</v>
      </c>
      <c r="G25" s="138">
        <v>-187.84398100000001</v>
      </c>
      <c r="H25" s="138">
        <v>-281.74955699999998</v>
      </c>
      <c r="I25" s="138">
        <v>-97.164929999999998</v>
      </c>
      <c r="J25" s="138">
        <v>-675.01792599999999</v>
      </c>
      <c r="K25" s="138">
        <v>0</v>
      </c>
      <c r="L25" s="138">
        <v>0</v>
      </c>
      <c r="M25" s="138">
        <v>0</v>
      </c>
      <c r="N25" s="138">
        <v>0</v>
      </c>
      <c r="O25" s="138">
        <v>-11.992000000000001</v>
      </c>
      <c r="P25" s="138">
        <v>0</v>
      </c>
      <c r="Q25" s="138">
        <v>0</v>
      </c>
      <c r="R25" s="138">
        <v>0</v>
      </c>
      <c r="S25" s="138">
        <v>0</v>
      </c>
      <c r="T25" s="138">
        <v>0</v>
      </c>
      <c r="U25" s="138">
        <v>-2539.276875</v>
      </c>
    </row>
    <row r="26" spans="2:21" s="134" customFormat="1">
      <c r="B26" s="135" t="s">
        <v>871</v>
      </c>
      <c r="C26" s="135" t="s">
        <v>872</v>
      </c>
      <c r="D26" s="136">
        <f>+D19+D20</f>
        <v>774.58707299999992</v>
      </c>
      <c r="E26" s="136">
        <f t="shared" ref="E26:T26" si="3">+E19+E20</f>
        <v>1222.2367640000002</v>
      </c>
      <c r="F26" s="136">
        <f t="shared" si="3"/>
        <v>431.81837700000017</v>
      </c>
      <c r="G26" s="136">
        <f t="shared" si="3"/>
        <v>338.87090599999999</v>
      </c>
      <c r="H26" s="136">
        <f t="shared" si="3"/>
        <v>736.53699499999971</v>
      </c>
      <c r="I26" s="136">
        <f t="shared" si="3"/>
        <v>172.18763200000001</v>
      </c>
      <c r="J26" s="136">
        <f t="shared" si="3"/>
        <v>1110.7849579999997</v>
      </c>
      <c r="K26" s="136">
        <f t="shared" si="3"/>
        <v>0</v>
      </c>
      <c r="L26" s="136">
        <f t="shared" si="3"/>
        <v>167.95400000000001</v>
      </c>
      <c r="M26" s="136">
        <f t="shared" si="3"/>
        <v>54.646999999999991</v>
      </c>
      <c r="N26" s="136">
        <f t="shared" si="3"/>
        <v>37.186000000000035</v>
      </c>
      <c r="O26" s="136">
        <f t="shared" si="3"/>
        <v>29.844000000000005</v>
      </c>
      <c r="P26" s="136">
        <f t="shared" si="3"/>
        <v>0</v>
      </c>
      <c r="Q26" s="136">
        <f t="shared" si="3"/>
        <v>0</v>
      </c>
      <c r="R26" s="136">
        <f t="shared" si="3"/>
        <v>0</v>
      </c>
      <c r="S26" s="136">
        <f t="shared" si="3"/>
        <v>-62.142000000000003</v>
      </c>
      <c r="T26" s="136">
        <f t="shared" si="3"/>
        <v>0</v>
      </c>
      <c r="U26" s="136">
        <f>+U19+U20</f>
        <v>5014.5117050000026</v>
      </c>
    </row>
    <row r="27" spans="2:21" s="134" customFormat="1">
      <c r="B27" s="135" t="s">
        <v>873</v>
      </c>
      <c r="C27" s="135" t="s">
        <v>874</v>
      </c>
      <c r="D27" s="136">
        <f t="shared" ref="D27:T27" si="4">SUM(D28:D35)</f>
        <v>-257.40436399999999</v>
      </c>
      <c r="E27" s="136">
        <f t="shared" si="4"/>
        <v>-369.89558299999999</v>
      </c>
      <c r="F27" s="136">
        <f t="shared" si="4"/>
        <v>-140.11297300000001</v>
      </c>
      <c r="G27" s="136">
        <f t="shared" si="4"/>
        <v>-88.55687300000001</v>
      </c>
      <c r="H27" s="136">
        <f t="shared" si="4"/>
        <v>-286.869844</v>
      </c>
      <c r="I27" s="136">
        <f t="shared" si="4"/>
        <v>-55.040145000000003</v>
      </c>
      <c r="J27" s="136">
        <f t="shared" si="4"/>
        <v>-459.69510200000002</v>
      </c>
      <c r="K27" s="136">
        <f t="shared" si="4"/>
        <v>0</v>
      </c>
      <c r="L27" s="136">
        <f t="shared" si="4"/>
        <v>-74.962000000000003</v>
      </c>
      <c r="M27" s="136">
        <f t="shared" si="4"/>
        <v>-12.348000000000001</v>
      </c>
      <c r="N27" s="136">
        <f t="shared" si="4"/>
        <v>-67.977999999999994</v>
      </c>
      <c r="O27" s="136">
        <f t="shared" si="4"/>
        <v>-23.263000000000002</v>
      </c>
      <c r="P27" s="136">
        <f t="shared" si="4"/>
        <v>551.60713199999998</v>
      </c>
      <c r="Q27" s="136">
        <f t="shared" si="4"/>
        <v>2.3209999999999997</v>
      </c>
      <c r="R27" s="136">
        <f t="shared" si="4"/>
        <v>584.46100000000001</v>
      </c>
      <c r="S27" s="136">
        <f t="shared" si="4"/>
        <v>-857.4</v>
      </c>
      <c r="T27" s="136">
        <f t="shared" si="4"/>
        <v>-0.747</v>
      </c>
      <c r="U27" s="136">
        <f>SUM(U28:U35)</f>
        <v>-1555.8837520000002</v>
      </c>
    </row>
    <row r="28" spans="2:21">
      <c r="B28" s="137" t="s">
        <v>875</v>
      </c>
      <c r="C28" s="137" t="s">
        <v>876</v>
      </c>
      <c r="D28" s="138">
        <v>-49.548807999999994</v>
      </c>
      <c r="E28" s="138">
        <v>-62.054644000000003</v>
      </c>
      <c r="F28" s="138">
        <v>-34.742745999999997</v>
      </c>
      <c r="G28" s="138">
        <v>-37.370563000000004</v>
      </c>
      <c r="H28" s="138">
        <v>-42.517234999999999</v>
      </c>
      <c r="I28" s="138">
        <v>-13.13233</v>
      </c>
      <c r="J28" s="138">
        <v>-97.582639</v>
      </c>
      <c r="K28" s="138">
        <v>0</v>
      </c>
      <c r="L28" s="138">
        <v>-15.757999999999999</v>
      </c>
      <c r="M28" s="138">
        <v>-7.0389999999999997</v>
      </c>
      <c r="N28" s="138">
        <v>-42.366</v>
      </c>
      <c r="O28" s="138">
        <v>-5.5940000000000003</v>
      </c>
      <c r="P28" s="138">
        <v>-15.256102</v>
      </c>
      <c r="Q28" s="138">
        <v>0</v>
      </c>
      <c r="R28" s="138">
        <v>0</v>
      </c>
      <c r="S28" s="138">
        <v>0</v>
      </c>
      <c r="T28" s="138">
        <v>0</v>
      </c>
      <c r="U28" s="138">
        <v>-422.96206699999999</v>
      </c>
    </row>
    <row r="29" spans="2:21">
      <c r="B29" s="141" t="s">
        <v>877</v>
      </c>
      <c r="C29" s="141" t="s">
        <v>877</v>
      </c>
      <c r="D29" s="138">
        <v>-8.3352880000000003</v>
      </c>
      <c r="E29" s="138">
        <v>-8.6576249999999995</v>
      </c>
      <c r="F29" s="138">
        <v>-4.1857850000000001</v>
      </c>
      <c r="G29" s="138">
        <v>-3.6610140000000002</v>
      </c>
      <c r="H29" s="138">
        <v>11.155876000000001</v>
      </c>
      <c r="I29" s="138">
        <v>-1.26329</v>
      </c>
      <c r="J29" s="138">
        <v>-11.179649999999999</v>
      </c>
      <c r="K29" s="138">
        <v>0</v>
      </c>
      <c r="L29" s="138">
        <v>-4.202</v>
      </c>
      <c r="M29" s="138">
        <v>-0.92600000000000005</v>
      </c>
      <c r="N29" s="138">
        <v>-0.92700000000000005</v>
      </c>
      <c r="O29" s="138">
        <v>-2.6230000000000002</v>
      </c>
      <c r="P29" s="138">
        <v>-0.136934</v>
      </c>
      <c r="Q29" s="138">
        <v>0</v>
      </c>
      <c r="R29" s="138">
        <v>0</v>
      </c>
      <c r="S29" s="138">
        <v>0</v>
      </c>
      <c r="T29" s="138">
        <v>0</v>
      </c>
      <c r="U29" s="138">
        <v>-34.941709999999993</v>
      </c>
    </row>
    <row r="30" spans="2:21">
      <c r="B30" s="137" t="s">
        <v>878</v>
      </c>
      <c r="C30" s="137" t="s">
        <v>879</v>
      </c>
      <c r="D30" s="138">
        <v>-108.986045</v>
      </c>
      <c r="E30" s="138">
        <v>-143.500722</v>
      </c>
      <c r="F30" s="138">
        <v>-63.881762000000002</v>
      </c>
      <c r="G30" s="138">
        <v>-39.403033000000001</v>
      </c>
      <c r="H30" s="138">
        <v>-114.95535700000001</v>
      </c>
      <c r="I30" s="138">
        <v>-15.583785000000001</v>
      </c>
      <c r="J30" s="138">
        <v>-202.112212</v>
      </c>
      <c r="K30" s="138">
        <v>0</v>
      </c>
      <c r="L30" s="138">
        <v>-44.530999999999999</v>
      </c>
      <c r="M30" s="138">
        <v>-2.8029999999999999</v>
      </c>
      <c r="N30" s="138">
        <v>1.5289999999999999</v>
      </c>
      <c r="O30" s="138">
        <v>-5.7229999999999999</v>
      </c>
      <c r="P30" s="138">
        <v>-5.258934</v>
      </c>
      <c r="Q30" s="138">
        <v>0</v>
      </c>
      <c r="R30" s="138">
        <v>-0.184</v>
      </c>
      <c r="S30" s="138">
        <v>62.142000000000003</v>
      </c>
      <c r="T30" s="138">
        <v>-0.29099999999999998</v>
      </c>
      <c r="U30" s="138">
        <v>-683.54284999999982</v>
      </c>
    </row>
    <row r="31" spans="2:21">
      <c r="B31" s="137" t="s">
        <v>880</v>
      </c>
      <c r="C31" s="137" t="s">
        <v>881</v>
      </c>
      <c r="D31" s="138">
        <v>-63.523699999999998</v>
      </c>
      <c r="E31" s="138">
        <v>-79.003827000000001</v>
      </c>
      <c r="F31" s="138">
        <v>-31.832006</v>
      </c>
      <c r="G31" s="138">
        <v>-1.915392</v>
      </c>
      <c r="H31" s="138">
        <v>-17.295811</v>
      </c>
      <c r="I31" s="138">
        <v>-4.0104350000000002</v>
      </c>
      <c r="J31" s="138">
        <v>-116.937853</v>
      </c>
      <c r="K31" s="138">
        <v>0</v>
      </c>
      <c r="L31" s="138">
        <v>0</v>
      </c>
      <c r="M31" s="138">
        <v>0</v>
      </c>
      <c r="N31" s="138">
        <v>-1.3049999999999999</v>
      </c>
      <c r="O31" s="138">
        <v>-5.68</v>
      </c>
      <c r="P31" s="138">
        <v>0</v>
      </c>
      <c r="Q31" s="138">
        <v>1.288</v>
      </c>
      <c r="R31" s="138">
        <v>0</v>
      </c>
      <c r="S31" s="138">
        <v>0</v>
      </c>
      <c r="T31" s="138">
        <v>0</v>
      </c>
      <c r="U31" s="138">
        <v>-320.216024</v>
      </c>
    </row>
    <row r="32" spans="2:21" s="134" customFormat="1">
      <c r="B32" s="137" t="s">
        <v>95</v>
      </c>
      <c r="C32" s="137" t="s">
        <v>96</v>
      </c>
      <c r="D32" s="138">
        <v>-7.4446409999999998</v>
      </c>
      <c r="E32" s="138">
        <v>-14.220690000000001</v>
      </c>
      <c r="F32" s="138">
        <v>-6.3153729999999992</v>
      </c>
      <c r="G32" s="138">
        <v>-3.841221</v>
      </c>
      <c r="H32" s="138">
        <v>-8.7799500000000013</v>
      </c>
      <c r="I32" s="138">
        <v>-1.908461</v>
      </c>
      <c r="J32" s="138">
        <v>-2.644485</v>
      </c>
      <c r="K32" s="138">
        <v>0</v>
      </c>
      <c r="L32" s="138">
        <v>-10.471</v>
      </c>
      <c r="M32" s="138">
        <v>-1.58</v>
      </c>
      <c r="N32" s="138">
        <v>-25.367999999999999</v>
      </c>
      <c r="O32" s="138">
        <v>-3.4430000000000001</v>
      </c>
      <c r="P32" s="138">
        <v>-0.47235704999999995</v>
      </c>
      <c r="Q32" s="138">
        <v>1.0329999999999999</v>
      </c>
      <c r="R32" s="138">
        <v>-3.7999999999999999E-2</v>
      </c>
      <c r="S32" s="138">
        <v>0</v>
      </c>
      <c r="T32" s="138">
        <v>-0.45600000000000002</v>
      </c>
      <c r="U32" s="138">
        <v>-85.950178050000005</v>
      </c>
    </row>
    <row r="33" spans="2:21">
      <c r="B33" s="142" t="s">
        <v>891</v>
      </c>
      <c r="C33" s="142" t="s">
        <v>1011</v>
      </c>
      <c r="D33" s="138">
        <v>-19.309146000000002</v>
      </c>
      <c r="E33" s="138">
        <v>-27.558505</v>
      </c>
      <c r="F33" s="138">
        <v>0.84469899999999998</v>
      </c>
      <c r="G33" s="138">
        <v>-2.36565</v>
      </c>
      <c r="H33" s="138">
        <v>-114.477367</v>
      </c>
      <c r="I33" s="138">
        <v>-12.489368000000001</v>
      </c>
      <c r="J33" s="138">
        <v>-29.238263</v>
      </c>
      <c r="K33" s="138">
        <v>0</v>
      </c>
      <c r="L33" s="138">
        <v>0</v>
      </c>
      <c r="M33" s="138">
        <v>0</v>
      </c>
      <c r="N33" s="138">
        <v>0.45900000000000002</v>
      </c>
      <c r="O33" s="138">
        <v>-0.2</v>
      </c>
      <c r="P33" s="138">
        <v>7.9527050500000005</v>
      </c>
      <c r="Q33" s="138">
        <v>0</v>
      </c>
      <c r="R33" s="138">
        <v>0</v>
      </c>
      <c r="S33" s="138">
        <v>0</v>
      </c>
      <c r="T33" s="138">
        <v>0</v>
      </c>
      <c r="U33" s="138">
        <v>-196.38189495</v>
      </c>
    </row>
    <row r="34" spans="2:21" s="134" customFormat="1">
      <c r="B34" s="142" t="s">
        <v>1026</v>
      </c>
      <c r="C34" s="142" t="s">
        <v>1027</v>
      </c>
      <c r="D34" s="138">
        <v>-0.25673599999999996</v>
      </c>
      <c r="E34" s="138">
        <v>-34.899569999999997</v>
      </c>
      <c r="F34" s="138">
        <v>0</v>
      </c>
      <c r="G34" s="138">
        <v>0</v>
      </c>
      <c r="H34" s="138">
        <v>0</v>
      </c>
      <c r="I34" s="138">
        <v>-6.6524760000000001</v>
      </c>
      <c r="J34" s="138">
        <v>0</v>
      </c>
      <c r="K34" s="138">
        <v>0</v>
      </c>
      <c r="L34" s="138">
        <v>0</v>
      </c>
      <c r="M34" s="138">
        <v>0</v>
      </c>
      <c r="N34" s="138">
        <v>0</v>
      </c>
      <c r="O34" s="138">
        <v>0</v>
      </c>
      <c r="P34" s="138">
        <v>0</v>
      </c>
      <c r="Q34" s="138">
        <v>0</v>
      </c>
      <c r="R34" s="138">
        <v>0</v>
      </c>
      <c r="S34" s="138">
        <v>0</v>
      </c>
      <c r="T34" s="138">
        <v>0</v>
      </c>
      <c r="U34" s="138">
        <v>-41.808781999999994</v>
      </c>
    </row>
    <row r="35" spans="2:21" s="134" customFormat="1">
      <c r="B35" s="142" t="s">
        <v>998</v>
      </c>
      <c r="C35" s="142"/>
      <c r="D35" s="138">
        <v>0</v>
      </c>
      <c r="E35" s="138">
        <v>0</v>
      </c>
      <c r="F35" s="138">
        <v>0</v>
      </c>
      <c r="G35" s="138">
        <v>0</v>
      </c>
      <c r="H35" s="138">
        <v>0</v>
      </c>
      <c r="I35" s="138">
        <v>0</v>
      </c>
      <c r="J35" s="138">
        <v>0</v>
      </c>
      <c r="K35" s="138">
        <v>0</v>
      </c>
      <c r="L35" s="138">
        <v>0</v>
      </c>
      <c r="M35" s="138">
        <v>0</v>
      </c>
      <c r="N35" s="138">
        <v>0</v>
      </c>
      <c r="O35" s="138">
        <v>0</v>
      </c>
      <c r="P35" s="138">
        <v>564.77875399999994</v>
      </c>
      <c r="Q35" s="138">
        <v>0</v>
      </c>
      <c r="R35" s="138">
        <v>584.68299999999999</v>
      </c>
      <c r="S35" s="138">
        <v>-919.54200000000003</v>
      </c>
      <c r="T35" s="138">
        <v>0</v>
      </c>
      <c r="U35" s="138">
        <v>229.9197539999999</v>
      </c>
    </row>
    <row r="36" spans="2:21" s="134" customFormat="1">
      <c r="B36" s="139" t="s">
        <v>722</v>
      </c>
      <c r="C36" s="139" t="s">
        <v>722</v>
      </c>
      <c r="D36" s="140">
        <f>+D26+D27</f>
        <v>517.18270899999993</v>
      </c>
      <c r="E36" s="140">
        <f t="shared" ref="E36:T36" si="5">+E26+E27</f>
        <v>852.34118100000023</v>
      </c>
      <c r="F36" s="140">
        <f t="shared" si="5"/>
        <v>291.70540400000016</v>
      </c>
      <c r="G36" s="140">
        <f t="shared" si="5"/>
        <v>250.31403299999999</v>
      </c>
      <c r="H36" s="140">
        <f t="shared" si="5"/>
        <v>449.66715099999971</v>
      </c>
      <c r="I36" s="140">
        <f t="shared" si="5"/>
        <v>117.14748700000001</v>
      </c>
      <c r="J36" s="140">
        <f t="shared" si="5"/>
        <v>651.08985599999971</v>
      </c>
      <c r="K36" s="140">
        <f t="shared" si="5"/>
        <v>0</v>
      </c>
      <c r="L36" s="140">
        <f t="shared" si="5"/>
        <v>92.992000000000004</v>
      </c>
      <c r="M36" s="140">
        <f t="shared" si="5"/>
        <v>42.298999999999992</v>
      </c>
      <c r="N36" s="140">
        <f t="shared" si="5"/>
        <v>-30.791999999999959</v>
      </c>
      <c r="O36" s="140">
        <f t="shared" si="5"/>
        <v>6.5810000000000031</v>
      </c>
      <c r="P36" s="140">
        <f t="shared" si="5"/>
        <v>551.60713199999998</v>
      </c>
      <c r="Q36" s="140">
        <f t="shared" si="5"/>
        <v>2.3209999999999997</v>
      </c>
      <c r="R36" s="140">
        <f t="shared" si="5"/>
        <v>584.46100000000001</v>
      </c>
      <c r="S36" s="140">
        <f t="shared" si="5"/>
        <v>-919.54200000000003</v>
      </c>
      <c r="T36" s="140">
        <f t="shared" si="5"/>
        <v>-0.747</v>
      </c>
      <c r="U36" s="140">
        <f>+U26+U27</f>
        <v>3458.6279530000024</v>
      </c>
    </row>
    <row r="37" spans="2:21">
      <c r="B37" s="143" t="s">
        <v>893</v>
      </c>
      <c r="C37" s="143" t="s">
        <v>1028</v>
      </c>
      <c r="D37" s="138">
        <v>-103.143912</v>
      </c>
      <c r="E37" s="138">
        <v>-174.13205400000001</v>
      </c>
      <c r="F37" s="138">
        <v>-57.567571999999998</v>
      </c>
      <c r="G37" s="138">
        <v>-45.611561999999999</v>
      </c>
      <c r="H37" s="138">
        <v>-117.49693600000001</v>
      </c>
      <c r="I37" s="138">
        <v>-33.054370999999996</v>
      </c>
      <c r="J37" s="138">
        <v>-212.36342000000002</v>
      </c>
      <c r="K37" s="138">
        <v>0</v>
      </c>
      <c r="L37" s="138">
        <v>-57.116</v>
      </c>
      <c r="M37" s="138">
        <v>-19.384</v>
      </c>
      <c r="N37" s="138">
        <v>-8.1630000000000003</v>
      </c>
      <c r="O37" s="138">
        <v>-2.8809999999999998</v>
      </c>
      <c r="P37" s="138">
        <v>-0.35946899999999998</v>
      </c>
      <c r="Q37" s="138">
        <v>-0.32700000000000001</v>
      </c>
      <c r="R37" s="138">
        <v>0</v>
      </c>
      <c r="S37" s="138">
        <v>0</v>
      </c>
      <c r="T37" s="138">
        <v>0.13700000000000001</v>
      </c>
      <c r="U37" s="138">
        <v>-831.46329600000001</v>
      </c>
    </row>
    <row r="38" spans="2:21">
      <c r="B38" s="143" t="s">
        <v>986</v>
      </c>
      <c r="C38" s="143" t="s">
        <v>1029</v>
      </c>
      <c r="D38" s="138">
        <v>0</v>
      </c>
      <c r="E38" s="138">
        <v>0</v>
      </c>
      <c r="F38" s="138">
        <v>0</v>
      </c>
      <c r="G38" s="138">
        <v>0</v>
      </c>
      <c r="H38" s="138">
        <v>0</v>
      </c>
      <c r="I38" s="138">
        <v>0</v>
      </c>
      <c r="J38" s="138">
        <v>0</v>
      </c>
      <c r="K38" s="138">
        <v>0</v>
      </c>
      <c r="L38" s="138">
        <v>-9.44</v>
      </c>
      <c r="M38" s="138">
        <v>0</v>
      </c>
      <c r="N38" s="138">
        <v>0</v>
      </c>
      <c r="O38" s="138">
        <v>-6.7359999999999998</v>
      </c>
      <c r="P38" s="138">
        <v>-50.944395999999998</v>
      </c>
      <c r="Q38" s="138">
        <v>9.44</v>
      </c>
      <c r="R38" s="138">
        <v>-55.066000000000003</v>
      </c>
      <c r="S38" s="138">
        <v>0</v>
      </c>
      <c r="T38" s="138">
        <v>0</v>
      </c>
      <c r="U38" s="138">
        <v>-112.746396</v>
      </c>
    </row>
    <row r="39" spans="2:21">
      <c r="B39" s="143" t="s">
        <v>998</v>
      </c>
      <c r="C39" s="143" t="s">
        <v>972</v>
      </c>
      <c r="D39" s="138">
        <v>0</v>
      </c>
      <c r="E39" s="138">
        <v>0</v>
      </c>
      <c r="F39" s="138">
        <v>0</v>
      </c>
      <c r="G39" s="138">
        <v>0</v>
      </c>
      <c r="H39" s="138">
        <v>0</v>
      </c>
      <c r="I39" s="138">
        <v>0</v>
      </c>
      <c r="J39" s="138">
        <v>0</v>
      </c>
      <c r="K39" s="138">
        <v>0</v>
      </c>
      <c r="L39" s="138">
        <v>0</v>
      </c>
      <c r="M39" s="138">
        <v>0</v>
      </c>
      <c r="N39" s="138">
        <v>0</v>
      </c>
      <c r="O39" s="138">
        <v>0</v>
      </c>
      <c r="P39" s="138">
        <v>0</v>
      </c>
      <c r="Q39" s="138">
        <v>0</v>
      </c>
      <c r="R39" s="138">
        <v>0</v>
      </c>
      <c r="S39" s="138">
        <v>0</v>
      </c>
      <c r="T39" s="138">
        <v>0</v>
      </c>
      <c r="U39" s="138">
        <v>0</v>
      </c>
    </row>
    <row r="40" spans="2:21" s="134" customFormat="1">
      <c r="B40" s="139" t="s">
        <v>895</v>
      </c>
      <c r="C40" s="139" t="s">
        <v>896</v>
      </c>
      <c r="D40" s="140">
        <f>SUM(D36:D39)</f>
        <v>414.03879699999993</v>
      </c>
      <c r="E40" s="140">
        <f t="shared" ref="E40:T40" si="6">SUM(E36:E39)</f>
        <v>678.20912700000019</v>
      </c>
      <c r="F40" s="140">
        <f t="shared" si="6"/>
        <v>234.13783200000017</v>
      </c>
      <c r="G40" s="140">
        <f t="shared" si="6"/>
        <v>204.702471</v>
      </c>
      <c r="H40" s="140">
        <f t="shared" si="6"/>
        <v>332.1702149999997</v>
      </c>
      <c r="I40" s="140">
        <f t="shared" si="6"/>
        <v>84.093116000000009</v>
      </c>
      <c r="J40" s="140">
        <f t="shared" si="6"/>
        <v>438.72643599999969</v>
      </c>
      <c r="K40" s="140">
        <f t="shared" si="6"/>
        <v>0</v>
      </c>
      <c r="L40" s="140">
        <f t="shared" si="6"/>
        <v>26.436000000000007</v>
      </c>
      <c r="M40" s="140">
        <f t="shared" si="6"/>
        <v>22.914999999999992</v>
      </c>
      <c r="N40" s="140">
        <f t="shared" si="6"/>
        <v>-38.954999999999956</v>
      </c>
      <c r="O40" s="140">
        <f t="shared" si="6"/>
        <v>-3.0359999999999965</v>
      </c>
      <c r="P40" s="140">
        <f t="shared" si="6"/>
        <v>500.30326700000001</v>
      </c>
      <c r="Q40" s="140">
        <f t="shared" si="6"/>
        <v>11.433999999999999</v>
      </c>
      <c r="R40" s="140">
        <f t="shared" si="6"/>
        <v>529.39499999999998</v>
      </c>
      <c r="S40" s="140">
        <f t="shared" si="6"/>
        <v>-919.54200000000003</v>
      </c>
      <c r="T40" s="140">
        <f t="shared" si="6"/>
        <v>-0.61</v>
      </c>
      <c r="U40" s="140">
        <f>SUM(U36:U39)</f>
        <v>2514.4182610000025</v>
      </c>
    </row>
    <row r="41" spans="2:21" s="134" customFormat="1">
      <c r="B41" s="135" t="s">
        <v>725</v>
      </c>
      <c r="C41" s="135" t="s">
        <v>898</v>
      </c>
      <c r="D41" s="136">
        <f>+SUM(D42:D43)</f>
        <v>-113.85308699999997</v>
      </c>
      <c r="E41" s="136">
        <f t="shared" ref="E41:T41" si="7">+SUM(E42:E43)</f>
        <v>-207.96068099999991</v>
      </c>
      <c r="F41" s="136">
        <f t="shared" si="7"/>
        <v>-98.35541000000002</v>
      </c>
      <c r="G41" s="136">
        <f t="shared" si="7"/>
        <v>-87.021796000000009</v>
      </c>
      <c r="H41" s="136">
        <f t="shared" si="7"/>
        <v>-258.782488</v>
      </c>
      <c r="I41" s="136">
        <f t="shared" si="7"/>
        <v>-78.021466000000004</v>
      </c>
      <c r="J41" s="136">
        <f t="shared" si="7"/>
        <v>-579.04874299999994</v>
      </c>
      <c r="K41" s="136">
        <f t="shared" si="7"/>
        <v>0</v>
      </c>
      <c r="L41" s="136">
        <f t="shared" si="7"/>
        <v>-68.295000000000002</v>
      </c>
      <c r="M41" s="136">
        <f t="shared" si="7"/>
        <v>-75.763000000000005</v>
      </c>
      <c r="N41" s="136">
        <f t="shared" si="7"/>
        <v>-0.55299999999999994</v>
      </c>
      <c r="O41" s="136">
        <f t="shared" si="7"/>
        <v>-51.003</v>
      </c>
      <c r="P41" s="136">
        <f t="shared" si="7"/>
        <v>-22.259042999999998</v>
      </c>
      <c r="Q41" s="136">
        <f t="shared" si="7"/>
        <v>3.0880000000000001</v>
      </c>
      <c r="R41" s="136">
        <f t="shared" si="7"/>
        <v>0.438</v>
      </c>
      <c r="S41" s="136">
        <f t="shared" si="7"/>
        <v>0</v>
      </c>
      <c r="T41" s="136">
        <f t="shared" si="7"/>
        <v>-32.196000000000005</v>
      </c>
      <c r="U41" s="136">
        <f>+SUM(U42:U43)</f>
        <v>-1669.5867139999996</v>
      </c>
    </row>
    <row r="42" spans="2:21">
      <c r="B42" s="143" t="s">
        <v>727</v>
      </c>
      <c r="C42" s="143" t="s">
        <v>898</v>
      </c>
      <c r="D42" s="138">
        <v>103.92996000000001</v>
      </c>
      <c r="E42" s="138">
        <v>326.60685699999999</v>
      </c>
      <c r="F42" s="138">
        <v>109.682644</v>
      </c>
      <c r="G42" s="138">
        <v>121.55134299999999</v>
      </c>
      <c r="H42" s="138">
        <v>412.47642400000001</v>
      </c>
      <c r="I42" s="138">
        <v>48.055529</v>
      </c>
      <c r="J42" s="138">
        <v>252.13148000000001</v>
      </c>
      <c r="K42" s="138">
        <v>0</v>
      </c>
      <c r="L42" s="138">
        <v>42.908000000000001</v>
      </c>
      <c r="M42" s="138">
        <v>3.2530000000000001</v>
      </c>
      <c r="N42" s="138">
        <v>5.7830000000000004</v>
      </c>
      <c r="O42" s="138">
        <v>1.262</v>
      </c>
      <c r="P42" s="138">
        <v>40.12077</v>
      </c>
      <c r="Q42" s="138">
        <v>0</v>
      </c>
      <c r="R42" s="138">
        <v>0.44400000000000001</v>
      </c>
      <c r="S42" s="138">
        <v>-8.7720000000000002</v>
      </c>
      <c r="T42" s="138">
        <v>4.1319999999999997</v>
      </c>
      <c r="U42" s="138">
        <v>1463.5650069999997</v>
      </c>
    </row>
    <row r="43" spans="2:21">
      <c r="B43" s="143" t="s">
        <v>744</v>
      </c>
      <c r="C43" s="143" t="s">
        <v>745</v>
      </c>
      <c r="D43" s="138">
        <v>-217.78304699999998</v>
      </c>
      <c r="E43" s="138">
        <v>-534.5675379999999</v>
      </c>
      <c r="F43" s="138">
        <v>-208.03805400000002</v>
      </c>
      <c r="G43" s="138">
        <v>-208.573139</v>
      </c>
      <c r="H43" s="138">
        <v>-671.25891200000001</v>
      </c>
      <c r="I43" s="138">
        <v>-126.076995</v>
      </c>
      <c r="J43" s="138">
        <v>-831.18022299999996</v>
      </c>
      <c r="K43" s="138">
        <v>0</v>
      </c>
      <c r="L43" s="138">
        <v>-111.203</v>
      </c>
      <c r="M43" s="138">
        <v>-79.016000000000005</v>
      </c>
      <c r="N43" s="138">
        <v>-6.3360000000000003</v>
      </c>
      <c r="O43" s="138">
        <v>-52.265000000000001</v>
      </c>
      <c r="P43" s="138">
        <v>-62.379812999999999</v>
      </c>
      <c r="Q43" s="138">
        <v>3.0880000000000001</v>
      </c>
      <c r="R43" s="138">
        <v>-6.0000000000000001E-3</v>
      </c>
      <c r="S43" s="138">
        <v>8.7720000000000002</v>
      </c>
      <c r="T43" s="138">
        <v>-36.328000000000003</v>
      </c>
      <c r="U43" s="138">
        <v>-3133.1517209999993</v>
      </c>
    </row>
    <row r="44" spans="2:21" s="134" customFormat="1">
      <c r="B44" s="135" t="s">
        <v>899</v>
      </c>
      <c r="C44" s="135" t="s">
        <v>724</v>
      </c>
      <c r="D44" s="136">
        <f>D40+D41</f>
        <v>300.18570999999997</v>
      </c>
      <c r="E44" s="136">
        <f t="shared" ref="E44:T44" si="8">E40+E41</f>
        <v>470.24844600000029</v>
      </c>
      <c r="F44" s="136">
        <f t="shared" si="8"/>
        <v>135.78242200000017</v>
      </c>
      <c r="G44" s="136">
        <f t="shared" si="8"/>
        <v>117.68067499999999</v>
      </c>
      <c r="H44" s="136">
        <f t="shared" si="8"/>
        <v>73.3877269999997</v>
      </c>
      <c r="I44" s="136">
        <f t="shared" si="8"/>
        <v>6.0716500000000053</v>
      </c>
      <c r="J44" s="136">
        <f t="shared" si="8"/>
        <v>-140.32230700000025</v>
      </c>
      <c r="K44" s="136">
        <f t="shared" si="8"/>
        <v>0</v>
      </c>
      <c r="L44" s="136">
        <f t="shared" si="8"/>
        <v>-41.858999999999995</v>
      </c>
      <c r="M44" s="136">
        <f t="shared" si="8"/>
        <v>-52.848000000000013</v>
      </c>
      <c r="N44" s="136">
        <f t="shared" si="8"/>
        <v>-39.507999999999953</v>
      </c>
      <c r="O44" s="136">
        <f t="shared" si="8"/>
        <v>-54.038999999999994</v>
      </c>
      <c r="P44" s="136">
        <f t="shared" si="8"/>
        <v>478.04422399999999</v>
      </c>
      <c r="Q44" s="136">
        <f t="shared" si="8"/>
        <v>14.521999999999998</v>
      </c>
      <c r="R44" s="136">
        <f t="shared" si="8"/>
        <v>529.83299999999997</v>
      </c>
      <c r="S44" s="136">
        <f t="shared" si="8"/>
        <v>-919.54200000000003</v>
      </c>
      <c r="T44" s="136">
        <f t="shared" si="8"/>
        <v>-32.806000000000004</v>
      </c>
      <c r="U44" s="136">
        <f>U40+U41</f>
        <v>844.83154700000296</v>
      </c>
    </row>
    <row r="45" spans="2:21">
      <c r="B45" s="137" t="s">
        <v>768</v>
      </c>
      <c r="C45" s="137" t="s">
        <v>769</v>
      </c>
      <c r="D45" s="138">
        <v>-17.785511</v>
      </c>
      <c r="E45" s="138">
        <v>-28.370301999999999</v>
      </c>
      <c r="F45" s="138">
        <v>-6.5097740000000002</v>
      </c>
      <c r="G45" s="138">
        <v>-6.40069</v>
      </c>
      <c r="H45" s="138">
        <v>0</v>
      </c>
      <c r="I45" s="138">
        <v>-3.151707</v>
      </c>
      <c r="J45" s="138">
        <v>0</v>
      </c>
      <c r="K45" s="138">
        <v>0</v>
      </c>
      <c r="L45" s="138">
        <v>-5.9809999999999999</v>
      </c>
      <c r="M45" s="138">
        <v>-1.294</v>
      </c>
      <c r="N45" s="138">
        <v>-2.2829999999999999</v>
      </c>
      <c r="O45" s="138">
        <v>0</v>
      </c>
      <c r="P45" s="138">
        <v>1.9939210000000001</v>
      </c>
      <c r="Q45" s="138">
        <v>0</v>
      </c>
      <c r="R45" s="138">
        <v>-1.4E-2</v>
      </c>
      <c r="S45" s="138">
        <v>0</v>
      </c>
      <c r="T45" s="138">
        <v>0</v>
      </c>
      <c r="U45" s="138">
        <v>-69.79606299999999</v>
      </c>
    </row>
    <row r="46" spans="2:21">
      <c r="B46" s="137" t="s">
        <v>770</v>
      </c>
      <c r="C46" s="137" t="s">
        <v>771</v>
      </c>
      <c r="D46" s="138">
        <v>-53.861255</v>
      </c>
      <c r="E46" s="138">
        <v>-81.143304000000001</v>
      </c>
      <c r="F46" s="138">
        <v>-17.874029</v>
      </c>
      <c r="G46" s="138">
        <v>-17.545693</v>
      </c>
      <c r="H46" s="138">
        <v>0</v>
      </c>
      <c r="I46" s="138">
        <v>-8.5435920000000003</v>
      </c>
      <c r="J46" s="138">
        <v>0</v>
      </c>
      <c r="K46" s="138">
        <v>0</v>
      </c>
      <c r="L46" s="138">
        <v>-13.882</v>
      </c>
      <c r="M46" s="138">
        <v>-2.64</v>
      </c>
      <c r="N46" s="138">
        <v>-6.6669999999999998</v>
      </c>
      <c r="O46" s="138">
        <v>0</v>
      </c>
      <c r="P46" s="138">
        <v>5.3373860000000004</v>
      </c>
      <c r="Q46" s="138">
        <v>0</v>
      </c>
      <c r="R46" s="138">
        <v>-3.6999999999999998E-2</v>
      </c>
      <c r="S46" s="138">
        <v>0</v>
      </c>
      <c r="T46" s="138">
        <v>0</v>
      </c>
      <c r="U46" s="138">
        <v>-196.85648699999999</v>
      </c>
    </row>
    <row r="47" spans="2:21">
      <c r="B47" s="137" t="s">
        <v>900</v>
      </c>
      <c r="C47" s="137" t="s">
        <v>901</v>
      </c>
      <c r="D47" s="138">
        <v>-29.714276000000002</v>
      </c>
      <c r="E47" s="138">
        <v>-49.212240000000001</v>
      </c>
      <c r="F47" s="138">
        <v>-21.935312000000003</v>
      </c>
      <c r="G47" s="138">
        <v>-51.654540999999995</v>
      </c>
      <c r="H47" s="138">
        <v>0</v>
      </c>
      <c r="I47" s="138">
        <v>0</v>
      </c>
      <c r="J47" s="138">
        <v>56.432978000000006</v>
      </c>
      <c r="K47" s="138">
        <v>0</v>
      </c>
      <c r="L47" s="138">
        <v>2.2469999999999999</v>
      </c>
      <c r="M47" s="138">
        <v>1.0999999999999999E-2</v>
      </c>
      <c r="N47" s="138">
        <v>8.9949999999999992</v>
      </c>
      <c r="O47" s="138">
        <v>0</v>
      </c>
      <c r="P47" s="138">
        <v>0</v>
      </c>
      <c r="Q47" s="138">
        <v>-3.681</v>
      </c>
      <c r="R47" s="138">
        <v>0</v>
      </c>
      <c r="S47" s="138">
        <v>0</v>
      </c>
      <c r="T47" s="138">
        <v>0</v>
      </c>
      <c r="U47" s="138">
        <v>-88.511390999999989</v>
      </c>
    </row>
    <row r="48" spans="2:21">
      <c r="B48" s="137" t="s">
        <v>772</v>
      </c>
      <c r="C48" s="137" t="s">
        <v>902</v>
      </c>
      <c r="D48" s="138">
        <v>52.467312</v>
      </c>
      <c r="E48" s="138">
        <v>74.875314000000003</v>
      </c>
      <c r="F48" s="138">
        <v>21.979914000000001</v>
      </c>
      <c r="G48" s="138">
        <v>13.767785999999999</v>
      </c>
      <c r="H48" s="138">
        <v>0</v>
      </c>
      <c r="I48" s="138">
        <v>0</v>
      </c>
      <c r="J48" s="138">
        <v>0</v>
      </c>
      <c r="K48" s="138">
        <v>0</v>
      </c>
      <c r="L48" s="138">
        <v>0</v>
      </c>
      <c r="M48" s="138">
        <v>0</v>
      </c>
      <c r="N48" s="138">
        <v>0.249</v>
      </c>
      <c r="O48" s="138">
        <v>0</v>
      </c>
      <c r="P48" s="138">
        <v>0</v>
      </c>
      <c r="Q48" s="138">
        <v>0</v>
      </c>
      <c r="R48" s="138">
        <v>0</v>
      </c>
      <c r="S48" s="138">
        <v>0</v>
      </c>
      <c r="T48" s="138">
        <v>0</v>
      </c>
      <c r="U48" s="138">
        <v>163.339326</v>
      </c>
    </row>
    <row r="49" spans="2:21" s="134" customFormat="1">
      <c r="B49" s="135" t="s">
        <v>903</v>
      </c>
      <c r="C49" s="135" t="s">
        <v>777</v>
      </c>
      <c r="D49" s="136">
        <f>+D44+SUM(D45:D48)</f>
        <v>251.29197999999997</v>
      </c>
      <c r="E49" s="136">
        <f t="shared" ref="E49:T49" si="9">+E44+SUM(E45:E48)</f>
        <v>386.3979140000003</v>
      </c>
      <c r="F49" s="136">
        <f t="shared" si="9"/>
        <v>111.44322100000016</v>
      </c>
      <c r="G49" s="136">
        <f t="shared" si="9"/>
        <v>55.847537000000003</v>
      </c>
      <c r="H49" s="136">
        <f t="shared" si="9"/>
        <v>73.3877269999997</v>
      </c>
      <c r="I49" s="136">
        <f t="shared" si="9"/>
        <v>-5.623648999999995</v>
      </c>
      <c r="J49" s="136">
        <f t="shared" si="9"/>
        <v>-83.889329000000245</v>
      </c>
      <c r="K49" s="136">
        <f t="shared" si="9"/>
        <v>0</v>
      </c>
      <c r="L49" s="136">
        <f t="shared" si="9"/>
        <v>-59.474999999999994</v>
      </c>
      <c r="M49" s="136">
        <f t="shared" si="9"/>
        <v>-56.771000000000015</v>
      </c>
      <c r="N49" s="136">
        <f t="shared" si="9"/>
        <v>-39.213999999999956</v>
      </c>
      <c r="O49" s="136">
        <f t="shared" si="9"/>
        <v>-54.038999999999994</v>
      </c>
      <c r="P49" s="136">
        <f t="shared" si="9"/>
        <v>485.37553099999997</v>
      </c>
      <c r="Q49" s="136">
        <f t="shared" si="9"/>
        <v>10.840999999999998</v>
      </c>
      <c r="R49" s="136">
        <f t="shared" si="9"/>
        <v>529.78199999999993</v>
      </c>
      <c r="S49" s="136">
        <f t="shared" si="9"/>
        <v>-919.54200000000003</v>
      </c>
      <c r="T49" s="136">
        <f t="shared" si="9"/>
        <v>-32.806000000000004</v>
      </c>
      <c r="U49" s="136">
        <f>+U44+SUM(U45:U48)</f>
        <v>653.00693200000296</v>
      </c>
    </row>
    <row r="50" spans="2:21" s="270" customFormat="1">
      <c r="F50" s="499"/>
      <c r="M50" s="496"/>
      <c r="U50" s="498"/>
    </row>
    <row r="51" spans="2:21">
      <c r="M51" s="495"/>
      <c r="U51" s="495"/>
    </row>
    <row r="53" spans="2:21">
      <c r="B53" s="134" t="s">
        <v>2502</v>
      </c>
      <c r="C53" s="134" t="s">
        <v>2503</v>
      </c>
    </row>
    <row r="54" spans="2:21" ht="27.6">
      <c r="B54" s="446" t="s">
        <v>991</v>
      </c>
      <c r="C54" s="457" t="s">
        <v>992</v>
      </c>
      <c r="D54" s="447" t="s">
        <v>89</v>
      </c>
      <c r="E54" s="447" t="s">
        <v>110</v>
      </c>
      <c r="F54" s="447" t="s">
        <v>113</v>
      </c>
      <c r="G54" s="447" t="s">
        <v>116</v>
      </c>
      <c r="H54" s="447" t="s">
        <v>119</v>
      </c>
      <c r="I54" s="447" t="s">
        <v>122</v>
      </c>
      <c r="J54" s="447" t="s">
        <v>125</v>
      </c>
      <c r="K54" s="447" t="s">
        <v>577</v>
      </c>
      <c r="L54" s="447" t="s">
        <v>2150</v>
      </c>
      <c r="M54" s="447" t="s">
        <v>2149</v>
      </c>
      <c r="N54" s="447" t="s">
        <v>1018</v>
      </c>
      <c r="O54" s="447" t="s">
        <v>1019</v>
      </c>
      <c r="P54" s="447" t="s">
        <v>1020</v>
      </c>
      <c r="Q54" s="447" t="s">
        <v>1021</v>
      </c>
      <c r="R54" s="447" t="s">
        <v>1022</v>
      </c>
      <c r="S54" s="447" t="s">
        <v>1023</v>
      </c>
      <c r="T54" s="447" t="s">
        <v>95</v>
      </c>
      <c r="U54" s="447" t="s">
        <v>1024</v>
      </c>
    </row>
    <row r="55" spans="2:21" s="496" customFormat="1">
      <c r="B55" s="497" t="s">
        <v>1025</v>
      </c>
      <c r="C55" s="497" t="s">
        <v>848</v>
      </c>
      <c r="D55" s="136">
        <f>SUM(D56:D63)</f>
        <v>2304.8778750000001</v>
      </c>
      <c r="E55" s="136">
        <f t="shared" ref="E55:T55" si="10">SUM(E56:E63)</f>
        <v>3889.4713049999996</v>
      </c>
      <c r="F55" s="136">
        <f t="shared" si="10"/>
        <v>1362.997795</v>
      </c>
      <c r="G55" s="136">
        <f t="shared" si="10"/>
        <v>1206.5849079999998</v>
      </c>
      <c r="H55" s="136">
        <f t="shared" si="10"/>
        <v>2040.385</v>
      </c>
      <c r="I55" s="136">
        <f t="shared" si="10"/>
        <v>537.33899999999994</v>
      </c>
      <c r="J55" s="136">
        <f t="shared" si="10"/>
        <v>4343.1620000000003</v>
      </c>
      <c r="K55" s="136">
        <f t="shared" si="10"/>
        <v>0</v>
      </c>
      <c r="L55" s="136">
        <f t="shared" si="10"/>
        <v>262.97399999999999</v>
      </c>
      <c r="M55" s="136">
        <f t="shared" si="10"/>
        <v>116.61999999999999</v>
      </c>
      <c r="N55" s="136">
        <f t="shared" si="10"/>
        <v>659.91800000000001</v>
      </c>
      <c r="O55" s="136">
        <f t="shared" si="10"/>
        <v>41.59</v>
      </c>
      <c r="P55" s="136">
        <f t="shared" si="10"/>
        <v>0</v>
      </c>
      <c r="Q55" s="136">
        <f t="shared" si="10"/>
        <v>0</v>
      </c>
      <c r="R55" s="136">
        <f t="shared" si="10"/>
        <v>0</v>
      </c>
      <c r="S55" s="136">
        <f t="shared" si="10"/>
        <v>-70.106999999999999</v>
      </c>
      <c r="T55" s="136">
        <f t="shared" si="10"/>
        <v>0</v>
      </c>
      <c r="U55" s="136">
        <f>SUM(U56:U63)</f>
        <v>16695.812883000002</v>
      </c>
    </row>
    <row r="56" spans="2:21">
      <c r="B56" s="137" t="s">
        <v>849</v>
      </c>
      <c r="C56" s="137" t="s">
        <v>850</v>
      </c>
      <c r="D56" s="138">
        <v>1763.8599140000001</v>
      </c>
      <c r="E56" s="138">
        <v>2696.1469259999999</v>
      </c>
      <c r="F56" s="138">
        <v>1049.589966</v>
      </c>
      <c r="G56" s="138">
        <v>908.63582299999996</v>
      </c>
      <c r="H56" s="138">
        <v>1455.078</v>
      </c>
      <c r="I56" s="138">
        <v>350.78</v>
      </c>
      <c r="J56" s="138">
        <v>2974.4850000000001</v>
      </c>
      <c r="K56" s="138">
        <v>0</v>
      </c>
      <c r="L56" s="138">
        <v>0</v>
      </c>
      <c r="M56" s="138">
        <v>0</v>
      </c>
      <c r="N56" s="138">
        <v>588.55700000000002</v>
      </c>
      <c r="O56" s="138">
        <v>0</v>
      </c>
      <c r="P56" s="138">
        <v>0</v>
      </c>
      <c r="Q56" s="138">
        <v>0</v>
      </c>
      <c r="R56" s="138">
        <v>0</v>
      </c>
      <c r="S56" s="138">
        <v>0</v>
      </c>
      <c r="T56" s="138">
        <v>0</v>
      </c>
      <c r="U56" s="138">
        <v>11787.132629000002</v>
      </c>
    </row>
    <row r="57" spans="2:21">
      <c r="B57" s="137" t="s">
        <v>602</v>
      </c>
      <c r="C57" s="137" t="s">
        <v>603</v>
      </c>
      <c r="D57" s="138">
        <v>10.461986999999999</v>
      </c>
      <c r="E57" s="138">
        <v>46.363538999999996</v>
      </c>
      <c r="F57" s="138">
        <v>15.241196</v>
      </c>
      <c r="G57" s="138">
        <v>24.580924</v>
      </c>
      <c r="H57" s="138">
        <v>21.510999999999999</v>
      </c>
      <c r="I57" s="138">
        <v>34.235999999999997</v>
      </c>
      <c r="J57" s="138">
        <v>66.701999999999998</v>
      </c>
      <c r="K57" s="138">
        <v>0</v>
      </c>
      <c r="L57" s="138">
        <v>0</v>
      </c>
      <c r="M57" s="138">
        <v>0</v>
      </c>
      <c r="N57" s="138">
        <v>0</v>
      </c>
      <c r="O57" s="138">
        <v>0</v>
      </c>
      <c r="P57" s="138">
        <v>0</v>
      </c>
      <c r="Q57" s="138">
        <v>0</v>
      </c>
      <c r="R57" s="138">
        <v>0</v>
      </c>
      <c r="S57" s="138">
        <v>0</v>
      </c>
      <c r="T57" s="138">
        <v>0</v>
      </c>
      <c r="U57" s="138">
        <v>219.09664599999999</v>
      </c>
    </row>
    <row r="58" spans="2:21">
      <c r="B58" s="137" t="s">
        <v>606</v>
      </c>
      <c r="C58" s="137" t="s">
        <v>851</v>
      </c>
      <c r="D58" s="138">
        <v>303.29323700000003</v>
      </c>
      <c r="E58" s="138">
        <v>856.16457100000002</v>
      </c>
      <c r="F58" s="138">
        <v>224.03873300000001</v>
      </c>
      <c r="G58" s="138">
        <v>178.63298499999999</v>
      </c>
      <c r="H58" s="138">
        <v>302.30799999999999</v>
      </c>
      <c r="I58" s="138">
        <v>101.78400000000001</v>
      </c>
      <c r="J58" s="138">
        <v>708.02200000000005</v>
      </c>
      <c r="K58" s="138">
        <v>0</v>
      </c>
      <c r="L58" s="138">
        <v>0</v>
      </c>
      <c r="M58" s="138">
        <v>0</v>
      </c>
      <c r="N58" s="138">
        <v>0</v>
      </c>
      <c r="O58" s="138">
        <v>12.867000000000001</v>
      </c>
      <c r="P58" s="138">
        <v>0</v>
      </c>
      <c r="Q58" s="138">
        <v>0</v>
      </c>
      <c r="R58" s="138">
        <v>0</v>
      </c>
      <c r="S58" s="138">
        <v>0</v>
      </c>
      <c r="T58" s="138">
        <v>0</v>
      </c>
      <c r="U58" s="138">
        <v>2687.1105260000004</v>
      </c>
    </row>
    <row r="59" spans="2:21">
      <c r="B59" s="137" t="s">
        <v>608</v>
      </c>
      <c r="C59" s="137" t="s">
        <v>1002</v>
      </c>
      <c r="D59" s="138">
        <v>0</v>
      </c>
      <c r="E59" s="138">
        <v>0</v>
      </c>
      <c r="F59" s="138">
        <v>0</v>
      </c>
      <c r="G59" s="138">
        <v>0</v>
      </c>
      <c r="H59" s="138">
        <v>0</v>
      </c>
      <c r="I59" s="138">
        <v>0</v>
      </c>
      <c r="J59" s="138">
        <v>0</v>
      </c>
      <c r="K59" s="138">
        <v>0</v>
      </c>
      <c r="L59" s="138">
        <v>0</v>
      </c>
      <c r="M59" s="138">
        <v>0</v>
      </c>
      <c r="N59" s="138">
        <v>0</v>
      </c>
      <c r="O59" s="138">
        <v>0</v>
      </c>
      <c r="P59" s="138">
        <v>0</v>
      </c>
      <c r="Q59" s="138">
        <v>0</v>
      </c>
      <c r="R59" s="138">
        <v>0</v>
      </c>
      <c r="S59" s="138">
        <v>0</v>
      </c>
      <c r="T59" s="138">
        <v>0</v>
      </c>
      <c r="U59" s="138">
        <v>0</v>
      </c>
    </row>
    <row r="60" spans="2:21">
      <c r="B60" s="137" t="s">
        <v>914</v>
      </c>
      <c r="C60" s="137" t="s">
        <v>1003</v>
      </c>
      <c r="D60" s="138">
        <v>0</v>
      </c>
      <c r="E60" s="138">
        <v>0</v>
      </c>
      <c r="F60" s="138">
        <v>0</v>
      </c>
      <c r="G60" s="138">
        <v>0</v>
      </c>
      <c r="H60" s="138">
        <v>0</v>
      </c>
      <c r="I60" s="138">
        <v>0</v>
      </c>
      <c r="J60" s="138">
        <v>0</v>
      </c>
      <c r="K60" s="138">
        <v>0</v>
      </c>
      <c r="L60" s="138">
        <v>0</v>
      </c>
      <c r="M60" s="138">
        <v>0</v>
      </c>
      <c r="N60" s="138">
        <v>0</v>
      </c>
      <c r="O60" s="138">
        <v>0</v>
      </c>
      <c r="P60" s="138">
        <v>0</v>
      </c>
      <c r="Q60" s="138">
        <v>0</v>
      </c>
      <c r="R60" s="138">
        <v>0</v>
      </c>
      <c r="S60" s="138">
        <v>0</v>
      </c>
      <c r="T60" s="138">
        <v>0</v>
      </c>
      <c r="U60" s="138">
        <v>0</v>
      </c>
    </row>
    <row r="61" spans="2:21">
      <c r="B61" s="137" t="s">
        <v>604</v>
      </c>
      <c r="C61" s="137" t="s">
        <v>1004</v>
      </c>
      <c r="D61" s="138">
        <v>0</v>
      </c>
      <c r="E61" s="138">
        <v>0</v>
      </c>
      <c r="F61" s="138">
        <v>0</v>
      </c>
      <c r="G61" s="138">
        <v>0</v>
      </c>
      <c r="H61" s="138">
        <v>0</v>
      </c>
      <c r="I61" s="138">
        <v>0</v>
      </c>
      <c r="J61" s="138">
        <v>0</v>
      </c>
      <c r="K61" s="138">
        <v>0</v>
      </c>
      <c r="L61" s="138">
        <v>251.506</v>
      </c>
      <c r="M61" s="138">
        <v>116.73399999999999</v>
      </c>
      <c r="N61" s="138">
        <v>0</v>
      </c>
      <c r="O61" s="138">
        <v>0</v>
      </c>
      <c r="P61" s="138">
        <v>0</v>
      </c>
      <c r="Q61" s="138">
        <v>0</v>
      </c>
      <c r="R61" s="138">
        <v>0</v>
      </c>
      <c r="S61" s="138">
        <v>0</v>
      </c>
      <c r="T61" s="138">
        <v>0</v>
      </c>
      <c r="U61" s="138">
        <v>368.24</v>
      </c>
    </row>
    <row r="62" spans="2:21">
      <c r="B62" s="137" t="s">
        <v>612</v>
      </c>
      <c r="C62" s="137" t="s">
        <v>1005</v>
      </c>
      <c r="D62" s="138">
        <v>0</v>
      </c>
      <c r="E62" s="138">
        <v>0</v>
      </c>
      <c r="F62" s="138">
        <v>0</v>
      </c>
      <c r="G62" s="138">
        <v>0</v>
      </c>
      <c r="H62" s="138">
        <v>0</v>
      </c>
      <c r="I62" s="138">
        <v>0</v>
      </c>
      <c r="J62" s="138">
        <v>0</v>
      </c>
      <c r="K62" s="138">
        <v>0</v>
      </c>
      <c r="L62" s="138">
        <v>0</v>
      </c>
      <c r="M62" s="138">
        <v>0</v>
      </c>
      <c r="N62" s="138">
        <v>0</v>
      </c>
      <c r="O62" s="138">
        <v>26.471</v>
      </c>
      <c r="P62" s="138">
        <v>0</v>
      </c>
      <c r="Q62" s="138">
        <v>0</v>
      </c>
      <c r="R62" s="138">
        <v>0</v>
      </c>
      <c r="S62" s="138">
        <v>0</v>
      </c>
      <c r="T62" s="138">
        <v>0</v>
      </c>
      <c r="U62" s="138">
        <v>26.471</v>
      </c>
    </row>
    <row r="63" spans="2:21">
      <c r="B63" s="137" t="s">
        <v>614</v>
      </c>
      <c r="C63" s="137" t="s">
        <v>615</v>
      </c>
      <c r="D63" s="138">
        <v>227.26273699999999</v>
      </c>
      <c r="E63" s="138">
        <v>290.796269</v>
      </c>
      <c r="F63" s="138">
        <v>74.127899999999997</v>
      </c>
      <c r="G63" s="138">
        <v>94.73517600000001</v>
      </c>
      <c r="H63" s="138">
        <v>261.488</v>
      </c>
      <c r="I63" s="138">
        <v>50.539000000000001</v>
      </c>
      <c r="J63" s="138">
        <v>593.95299999999997</v>
      </c>
      <c r="K63" s="138">
        <v>0</v>
      </c>
      <c r="L63" s="138">
        <v>11.468</v>
      </c>
      <c r="M63" s="138">
        <v>-0.114</v>
      </c>
      <c r="N63" s="138">
        <v>71.361000000000004</v>
      </c>
      <c r="O63" s="138">
        <v>2.2519999999999998</v>
      </c>
      <c r="P63" s="138">
        <v>0</v>
      </c>
      <c r="Q63" s="138">
        <v>0</v>
      </c>
      <c r="R63" s="138">
        <v>0</v>
      </c>
      <c r="S63" s="138">
        <v>-70.106999999999999</v>
      </c>
      <c r="T63" s="138">
        <v>0</v>
      </c>
      <c r="U63" s="138">
        <v>1607.762082</v>
      </c>
    </row>
    <row r="64" spans="2:21" s="134" customFormat="1">
      <c r="B64" s="139" t="s">
        <v>858</v>
      </c>
      <c r="C64" s="139" t="s">
        <v>859</v>
      </c>
      <c r="D64" s="138">
        <v>-619.07355700000005</v>
      </c>
      <c r="E64" s="138">
        <v>-876.64122299999997</v>
      </c>
      <c r="F64" s="138">
        <v>-352.223795</v>
      </c>
      <c r="G64" s="138">
        <v>-308.88652200000001</v>
      </c>
      <c r="H64" s="138">
        <v>-634.14400000000001</v>
      </c>
      <c r="I64" s="138">
        <v>-112.627</v>
      </c>
      <c r="J64" s="138">
        <v>-1223.441</v>
      </c>
      <c r="K64" s="138">
        <v>0</v>
      </c>
      <c r="L64" s="138">
        <v>-14.436</v>
      </c>
      <c r="M64" s="138">
        <v>-5.2370000000000001</v>
      </c>
      <c r="N64" s="138">
        <v>-80.361000000000004</v>
      </c>
      <c r="O64" s="138">
        <v>-2.7650000000000001</v>
      </c>
      <c r="P64" s="138">
        <v>0</v>
      </c>
      <c r="Q64" s="138">
        <v>0</v>
      </c>
      <c r="R64" s="138">
        <v>0</v>
      </c>
      <c r="S64" s="138">
        <v>0</v>
      </c>
      <c r="T64" s="138">
        <v>0</v>
      </c>
      <c r="U64" s="138">
        <v>-4229.8360970000003</v>
      </c>
    </row>
    <row r="65" spans="2:21" s="134" customFormat="1">
      <c r="B65" s="135" t="s">
        <v>646</v>
      </c>
      <c r="C65" s="135" t="s">
        <v>860</v>
      </c>
      <c r="D65" s="136">
        <f>+D55+D64</f>
        <v>1685.804318</v>
      </c>
      <c r="E65" s="136">
        <f t="shared" ref="E65:T65" si="11">+E55+E64</f>
        <v>3012.8300819999995</v>
      </c>
      <c r="F65" s="136">
        <f t="shared" si="11"/>
        <v>1010.774</v>
      </c>
      <c r="G65" s="136">
        <f t="shared" si="11"/>
        <v>897.6983859999998</v>
      </c>
      <c r="H65" s="136">
        <f t="shared" si="11"/>
        <v>1406.241</v>
      </c>
      <c r="I65" s="136">
        <f t="shared" si="11"/>
        <v>424.71199999999993</v>
      </c>
      <c r="J65" s="136">
        <f t="shared" si="11"/>
        <v>3119.7210000000005</v>
      </c>
      <c r="K65" s="136">
        <f t="shared" si="11"/>
        <v>0</v>
      </c>
      <c r="L65" s="136">
        <f t="shared" si="11"/>
        <v>248.53799999999998</v>
      </c>
      <c r="M65" s="136">
        <f t="shared" si="11"/>
        <v>111.383</v>
      </c>
      <c r="N65" s="136">
        <f t="shared" si="11"/>
        <v>579.55700000000002</v>
      </c>
      <c r="O65" s="136">
        <f t="shared" si="11"/>
        <v>38.825000000000003</v>
      </c>
      <c r="P65" s="136">
        <f t="shared" si="11"/>
        <v>0</v>
      </c>
      <c r="Q65" s="136">
        <f t="shared" si="11"/>
        <v>0</v>
      </c>
      <c r="R65" s="136">
        <f t="shared" si="11"/>
        <v>0</v>
      </c>
      <c r="S65" s="136">
        <f t="shared" si="11"/>
        <v>-70.106999999999999</v>
      </c>
      <c r="T65" s="136">
        <f t="shared" si="11"/>
        <v>0</v>
      </c>
      <c r="U65" s="136">
        <f>+U55+U64</f>
        <v>12465.976786000003</v>
      </c>
    </row>
    <row r="66" spans="2:21" s="134" customFormat="1">
      <c r="B66" s="139" t="s">
        <v>861</v>
      </c>
      <c r="C66" s="139" t="s">
        <v>862</v>
      </c>
      <c r="D66" s="140">
        <f>+SUM(D67:D71)</f>
        <v>-997.00405100000012</v>
      </c>
      <c r="E66" s="140">
        <f t="shared" ref="E66:T66" si="12">+SUM(E67:E71)</f>
        <v>-1896.7285870000001</v>
      </c>
      <c r="F66" s="140">
        <f t="shared" si="12"/>
        <v>-615.87764300000003</v>
      </c>
      <c r="G66" s="140">
        <f t="shared" si="12"/>
        <v>-552.48672799999997</v>
      </c>
      <c r="H66" s="140">
        <f t="shared" si="12"/>
        <v>-1098.9929999999999</v>
      </c>
      <c r="I66" s="140">
        <f t="shared" si="12"/>
        <v>-263.471</v>
      </c>
      <c r="J66" s="140">
        <f t="shared" si="12"/>
        <v>-2152.9879999999998</v>
      </c>
      <c r="K66" s="140">
        <f t="shared" si="12"/>
        <v>0</v>
      </c>
      <c r="L66" s="140">
        <f t="shared" si="12"/>
        <v>-19.513000000000002</v>
      </c>
      <c r="M66" s="140">
        <f t="shared" si="12"/>
        <v>-49.037999999999997</v>
      </c>
      <c r="N66" s="140">
        <f t="shared" si="12"/>
        <v>-502.17700000000002</v>
      </c>
      <c r="O66" s="140">
        <f t="shared" si="12"/>
        <v>-12.867000000000001</v>
      </c>
      <c r="P66" s="140">
        <f t="shared" si="12"/>
        <v>0</v>
      </c>
      <c r="Q66" s="140">
        <f t="shared" si="12"/>
        <v>0</v>
      </c>
      <c r="R66" s="140">
        <f t="shared" si="12"/>
        <v>0</v>
      </c>
      <c r="S66" s="140">
        <f t="shared" si="12"/>
        <v>0</v>
      </c>
      <c r="T66" s="140">
        <f t="shared" si="12"/>
        <v>0</v>
      </c>
      <c r="U66" s="140">
        <f>+SUM(U67:U71)</f>
        <v>-8161.1440090000015</v>
      </c>
    </row>
    <row r="67" spans="2:21">
      <c r="B67" s="137" t="s">
        <v>863</v>
      </c>
      <c r="C67" s="137" t="s">
        <v>864</v>
      </c>
      <c r="D67" s="138">
        <v>-557.83573200000001</v>
      </c>
      <c r="E67" s="138">
        <v>-812.94933700000001</v>
      </c>
      <c r="F67" s="138">
        <v>-309.72977800000001</v>
      </c>
      <c r="G67" s="138">
        <v>-292.38974899999999</v>
      </c>
      <c r="H67" s="138">
        <v>-574.27099999999996</v>
      </c>
      <c r="I67" s="138">
        <v>-137.38300000000001</v>
      </c>
      <c r="J67" s="138">
        <v>-1115.085</v>
      </c>
      <c r="K67" s="138">
        <v>0</v>
      </c>
      <c r="L67" s="138">
        <v>-19.513000000000002</v>
      </c>
      <c r="M67" s="138">
        <v>-49.037999999999997</v>
      </c>
      <c r="N67" s="138">
        <v>-502.17700000000002</v>
      </c>
      <c r="O67" s="138">
        <v>0</v>
      </c>
      <c r="P67" s="138">
        <v>0</v>
      </c>
      <c r="Q67" s="138">
        <v>0</v>
      </c>
      <c r="R67" s="138">
        <v>0</v>
      </c>
      <c r="S67" s="138">
        <v>0</v>
      </c>
      <c r="T67" s="138">
        <v>0</v>
      </c>
      <c r="U67" s="138">
        <v>-4370.371596</v>
      </c>
    </row>
    <row r="68" spans="2:21">
      <c r="B68" s="137" t="s">
        <v>865</v>
      </c>
      <c r="C68" s="137" t="s">
        <v>866</v>
      </c>
      <c r="D68" s="138">
        <v>-135.87508199999999</v>
      </c>
      <c r="E68" s="138">
        <v>-227.614679</v>
      </c>
      <c r="F68" s="138">
        <v>-82.10997900000001</v>
      </c>
      <c r="G68" s="138">
        <v>-81.463994</v>
      </c>
      <c r="H68" s="138">
        <v>-222.41399999999999</v>
      </c>
      <c r="I68" s="138">
        <v>-24.303999999999998</v>
      </c>
      <c r="J68" s="138">
        <v>-329.88099999999997</v>
      </c>
      <c r="K68" s="138">
        <v>0</v>
      </c>
      <c r="L68" s="138">
        <v>0</v>
      </c>
      <c r="M68" s="138">
        <v>0</v>
      </c>
      <c r="N68" s="138">
        <v>0</v>
      </c>
      <c r="O68" s="138">
        <v>0</v>
      </c>
      <c r="P68" s="138">
        <v>0</v>
      </c>
      <c r="Q68" s="138">
        <v>0</v>
      </c>
      <c r="R68" s="138">
        <v>0</v>
      </c>
      <c r="S68" s="138">
        <v>0</v>
      </c>
      <c r="T68" s="138">
        <v>0</v>
      </c>
      <c r="U68" s="138">
        <v>-1103.662734</v>
      </c>
    </row>
    <row r="69" spans="2:21">
      <c r="B69" s="137" t="s">
        <v>658</v>
      </c>
      <c r="C69" s="137" t="s">
        <v>1009</v>
      </c>
      <c r="D69" s="138">
        <v>0</v>
      </c>
      <c r="E69" s="138">
        <v>0</v>
      </c>
      <c r="F69" s="138">
        <v>0</v>
      </c>
      <c r="G69" s="138">
        <v>0</v>
      </c>
      <c r="H69" s="138">
        <v>0</v>
      </c>
      <c r="I69" s="138">
        <v>0</v>
      </c>
      <c r="J69" s="138">
        <v>0</v>
      </c>
      <c r="K69" s="138">
        <v>0</v>
      </c>
      <c r="L69" s="138">
        <v>0</v>
      </c>
      <c r="M69" s="138">
        <v>0</v>
      </c>
      <c r="N69" s="138">
        <v>0</v>
      </c>
      <c r="O69" s="138">
        <v>0</v>
      </c>
      <c r="P69" s="138">
        <v>0</v>
      </c>
      <c r="Q69" s="138">
        <v>0</v>
      </c>
      <c r="R69" s="138">
        <v>0</v>
      </c>
      <c r="S69" s="138">
        <v>0</v>
      </c>
      <c r="T69" s="138">
        <v>0</v>
      </c>
      <c r="U69" s="138">
        <v>0</v>
      </c>
    </row>
    <row r="70" spans="2:21">
      <c r="B70" s="137" t="s">
        <v>654</v>
      </c>
      <c r="C70" s="137" t="s">
        <v>655</v>
      </c>
      <c r="D70" s="138">
        <v>0</v>
      </c>
      <c r="E70" s="138">
        <v>0</v>
      </c>
      <c r="F70" s="138">
        <v>0</v>
      </c>
      <c r="G70" s="138">
        <v>0</v>
      </c>
      <c r="H70" s="138">
        <v>0</v>
      </c>
      <c r="I70" s="138">
        <v>0</v>
      </c>
      <c r="J70" s="138">
        <v>0</v>
      </c>
      <c r="K70" s="138">
        <v>0</v>
      </c>
      <c r="L70" s="138">
        <v>0</v>
      </c>
      <c r="M70" s="138">
        <v>0</v>
      </c>
      <c r="N70" s="138">
        <v>0</v>
      </c>
      <c r="O70" s="138">
        <v>0</v>
      </c>
      <c r="P70" s="138">
        <v>0</v>
      </c>
      <c r="Q70" s="138">
        <v>0</v>
      </c>
      <c r="R70" s="138">
        <v>0</v>
      </c>
      <c r="S70" s="138">
        <v>0</v>
      </c>
      <c r="T70" s="138">
        <v>0</v>
      </c>
      <c r="U70" s="138">
        <v>0</v>
      </c>
    </row>
    <row r="71" spans="2:21">
      <c r="B71" s="137" t="s">
        <v>867</v>
      </c>
      <c r="C71" s="137" t="s">
        <v>868</v>
      </c>
      <c r="D71" s="138">
        <v>-303.29323700000003</v>
      </c>
      <c r="E71" s="138">
        <v>-856.16457100000002</v>
      </c>
      <c r="F71" s="138">
        <v>-224.03788599999999</v>
      </c>
      <c r="G71" s="138">
        <v>-178.63298499999999</v>
      </c>
      <c r="H71" s="138">
        <v>-302.30799999999999</v>
      </c>
      <c r="I71" s="138">
        <v>-101.78400000000001</v>
      </c>
      <c r="J71" s="138">
        <v>-708.02200000000005</v>
      </c>
      <c r="K71" s="138">
        <v>0</v>
      </c>
      <c r="L71" s="138">
        <v>0</v>
      </c>
      <c r="M71" s="138">
        <v>0</v>
      </c>
      <c r="N71" s="138">
        <v>0</v>
      </c>
      <c r="O71" s="138">
        <v>-12.867000000000001</v>
      </c>
      <c r="P71" s="138">
        <v>0</v>
      </c>
      <c r="Q71" s="138">
        <v>0</v>
      </c>
      <c r="R71" s="138">
        <v>0</v>
      </c>
      <c r="S71" s="138">
        <v>0</v>
      </c>
      <c r="T71" s="138">
        <v>0</v>
      </c>
      <c r="U71" s="138">
        <v>-2687.1096790000006</v>
      </c>
    </row>
    <row r="72" spans="2:21" s="134" customFormat="1">
      <c r="B72" s="135" t="s">
        <v>871</v>
      </c>
      <c r="C72" s="135" t="s">
        <v>872</v>
      </c>
      <c r="D72" s="136">
        <f>+D65+D66</f>
        <v>688.80026699999985</v>
      </c>
      <c r="E72" s="136">
        <f t="shared" ref="E72:T72" si="13">+E65+E66</f>
        <v>1116.1014949999994</v>
      </c>
      <c r="F72" s="136">
        <f t="shared" si="13"/>
        <v>394.89635699999997</v>
      </c>
      <c r="G72" s="136">
        <f t="shared" si="13"/>
        <v>345.21165799999983</v>
      </c>
      <c r="H72" s="136">
        <f t="shared" si="13"/>
        <v>307.24800000000005</v>
      </c>
      <c r="I72" s="136">
        <f t="shared" si="13"/>
        <v>161.24099999999993</v>
      </c>
      <c r="J72" s="136">
        <f t="shared" si="13"/>
        <v>966.73300000000063</v>
      </c>
      <c r="K72" s="136">
        <f t="shared" si="13"/>
        <v>0</v>
      </c>
      <c r="L72" s="136">
        <f t="shared" si="13"/>
        <v>229.02499999999998</v>
      </c>
      <c r="M72" s="136">
        <f t="shared" si="13"/>
        <v>62.344999999999999</v>
      </c>
      <c r="N72" s="136">
        <f t="shared" si="13"/>
        <v>77.38</v>
      </c>
      <c r="O72" s="136">
        <f t="shared" si="13"/>
        <v>25.958000000000002</v>
      </c>
      <c r="P72" s="136">
        <f t="shared" si="13"/>
        <v>0</v>
      </c>
      <c r="Q72" s="136">
        <f t="shared" si="13"/>
        <v>0</v>
      </c>
      <c r="R72" s="136">
        <f t="shared" si="13"/>
        <v>0</v>
      </c>
      <c r="S72" s="136">
        <f t="shared" si="13"/>
        <v>-70.106999999999999</v>
      </c>
      <c r="T72" s="136">
        <f t="shared" si="13"/>
        <v>0</v>
      </c>
      <c r="U72" s="136">
        <f>+U65+U66</f>
        <v>4304.8327770000014</v>
      </c>
    </row>
    <row r="73" spans="2:21" s="134" customFormat="1">
      <c r="B73" s="135" t="s">
        <v>873</v>
      </c>
      <c r="C73" s="135" t="s">
        <v>874</v>
      </c>
      <c r="D73" s="136">
        <f>SUM(D74:D80)</f>
        <v>-181.25697299999999</v>
      </c>
      <c r="E73" s="136">
        <f t="shared" ref="E73:T73" si="14">SUM(E74:E80)</f>
        <v>-340.42703700000004</v>
      </c>
      <c r="F73" s="136">
        <f t="shared" si="14"/>
        <v>-126.02701099999999</v>
      </c>
      <c r="G73" s="136">
        <f t="shared" si="14"/>
        <v>-103.65329100000001</v>
      </c>
      <c r="H73" s="136">
        <f t="shared" si="14"/>
        <v>-190.72600000000006</v>
      </c>
      <c r="I73" s="136">
        <f t="shared" si="14"/>
        <v>-52.593000000000004</v>
      </c>
      <c r="J73" s="136">
        <f t="shared" si="14"/>
        <v>-373.774</v>
      </c>
      <c r="K73" s="136">
        <f t="shared" si="14"/>
        <v>0</v>
      </c>
      <c r="L73" s="136">
        <f t="shared" si="14"/>
        <v>-104.834</v>
      </c>
      <c r="M73" s="136">
        <f t="shared" si="14"/>
        <v>-11.786999999999999</v>
      </c>
      <c r="N73" s="136">
        <f t="shared" si="14"/>
        <v>-54.040999999999997</v>
      </c>
      <c r="O73" s="136">
        <f t="shared" si="14"/>
        <v>-18.617000000000001</v>
      </c>
      <c r="P73" s="136">
        <f t="shared" si="14"/>
        <v>-19.354418000000003</v>
      </c>
      <c r="Q73" s="136">
        <f t="shared" si="14"/>
        <v>444.08699999999999</v>
      </c>
      <c r="R73" s="136">
        <f t="shared" si="14"/>
        <v>-0.248</v>
      </c>
      <c r="S73" s="136">
        <f t="shared" si="14"/>
        <v>70.106999999999999</v>
      </c>
      <c r="T73" s="136">
        <f t="shared" si="14"/>
        <v>0</v>
      </c>
      <c r="U73" s="136">
        <f>SUM(U74:U80)</f>
        <v>-1063.14473</v>
      </c>
    </row>
    <row r="74" spans="2:21">
      <c r="B74" s="137" t="s">
        <v>875</v>
      </c>
      <c r="C74" s="137" t="s">
        <v>876</v>
      </c>
      <c r="D74" s="138">
        <v>-44.475328000000005</v>
      </c>
      <c r="E74" s="138">
        <v>-56.938368000000004</v>
      </c>
      <c r="F74" s="138">
        <v>-25.09637</v>
      </c>
      <c r="G74" s="138">
        <v>-25.250416000000001</v>
      </c>
      <c r="H74" s="138">
        <v>-33.479999999999997</v>
      </c>
      <c r="I74" s="138">
        <v>-13.814</v>
      </c>
      <c r="J74" s="138">
        <v>-53.686</v>
      </c>
      <c r="K74" s="138">
        <v>0</v>
      </c>
      <c r="L74" s="138">
        <v>-14.51</v>
      </c>
      <c r="M74" s="138">
        <v>-4.274</v>
      </c>
      <c r="N74" s="138">
        <v>-33.902000000000001</v>
      </c>
      <c r="O74" s="138">
        <v>-5.1459999999999999</v>
      </c>
      <c r="P74" s="138">
        <v>-14.35276</v>
      </c>
      <c r="Q74" s="138">
        <v>0</v>
      </c>
      <c r="R74" s="138">
        <v>0</v>
      </c>
      <c r="S74" s="138">
        <v>0</v>
      </c>
      <c r="T74" s="138">
        <v>0</v>
      </c>
      <c r="U74" s="138">
        <v>-324.92524200000003</v>
      </c>
    </row>
    <row r="75" spans="2:21">
      <c r="B75" s="141" t="s">
        <v>877</v>
      </c>
      <c r="C75" s="141" t="s">
        <v>877</v>
      </c>
      <c r="D75" s="138">
        <v>-5.0959700000000003</v>
      </c>
      <c r="E75" s="138">
        <v>-6.7997550000000002</v>
      </c>
      <c r="F75" s="138">
        <v>-2.1659119999999996</v>
      </c>
      <c r="G75" s="138">
        <v>-4.6048270000000002</v>
      </c>
      <c r="H75" s="138">
        <v>-5.3979999999999997</v>
      </c>
      <c r="I75" s="138">
        <v>-2.1080000000000001</v>
      </c>
      <c r="J75" s="138">
        <v>-19.318999999999999</v>
      </c>
      <c r="K75" s="138">
        <v>0</v>
      </c>
      <c r="L75" s="138">
        <v>-4.2699999999999996</v>
      </c>
      <c r="M75" s="138">
        <v>-0.48299999999999998</v>
      </c>
      <c r="N75" s="138">
        <v>-1.0489999999999999</v>
      </c>
      <c r="O75" s="138">
        <v>-2.1779999999999999</v>
      </c>
      <c r="P75" s="138">
        <v>-6.1536E-2</v>
      </c>
      <c r="Q75" s="138">
        <v>0</v>
      </c>
      <c r="R75" s="138">
        <v>0</v>
      </c>
      <c r="S75" s="138">
        <v>0</v>
      </c>
      <c r="T75" s="138">
        <v>0</v>
      </c>
      <c r="U75" s="138">
        <v>-53.532999999999994</v>
      </c>
    </row>
    <row r="76" spans="2:21">
      <c r="B76" s="137" t="s">
        <v>878</v>
      </c>
      <c r="C76" s="137" t="s">
        <v>879</v>
      </c>
      <c r="D76" s="138">
        <v>-106.530985</v>
      </c>
      <c r="E76" s="138">
        <v>-150.98748900000001</v>
      </c>
      <c r="F76" s="138">
        <v>-69.230181000000002</v>
      </c>
      <c r="G76" s="138">
        <v>-44.866996</v>
      </c>
      <c r="H76" s="138">
        <v>-115.53700000000001</v>
      </c>
      <c r="I76" s="138">
        <v>-20.876000000000001</v>
      </c>
      <c r="J76" s="138">
        <v>-242.62799999999999</v>
      </c>
      <c r="K76" s="138">
        <v>0</v>
      </c>
      <c r="L76" s="138">
        <v>-64.013000000000005</v>
      </c>
      <c r="M76" s="138">
        <v>-3.3210000000000002</v>
      </c>
      <c r="N76" s="138">
        <v>0.747</v>
      </c>
      <c r="O76" s="138">
        <v>-4.0590000000000002</v>
      </c>
      <c r="P76" s="138">
        <v>-6.198734</v>
      </c>
      <c r="Q76" s="138">
        <v>0</v>
      </c>
      <c r="R76" s="138">
        <v>-0.18</v>
      </c>
      <c r="S76" s="138">
        <v>70.106999999999999</v>
      </c>
      <c r="T76" s="138">
        <v>0</v>
      </c>
      <c r="U76" s="138">
        <v>-757.57438500000001</v>
      </c>
    </row>
    <row r="77" spans="2:21">
      <c r="B77" s="137" t="s">
        <v>880</v>
      </c>
      <c r="C77" s="137" t="s">
        <v>881</v>
      </c>
      <c r="D77" s="138">
        <v>-24.801606</v>
      </c>
      <c r="E77" s="138">
        <v>-77.135960000000011</v>
      </c>
      <c r="F77" s="138">
        <v>-18.853218000000002</v>
      </c>
      <c r="G77" s="138">
        <v>-15.348925999999999</v>
      </c>
      <c r="H77" s="138">
        <v>-25.795000000000002</v>
      </c>
      <c r="I77" s="138">
        <v>-5.2720000000000002</v>
      </c>
      <c r="J77" s="138">
        <v>-97.397000000000006</v>
      </c>
      <c r="K77" s="138">
        <v>0</v>
      </c>
      <c r="L77" s="138">
        <v>0</v>
      </c>
      <c r="M77" s="138">
        <v>0</v>
      </c>
      <c r="N77" s="138">
        <v>-0.93600000000000005</v>
      </c>
      <c r="O77" s="138">
        <v>-5.016</v>
      </c>
      <c r="P77" s="138">
        <v>0</v>
      </c>
      <c r="Q77" s="138">
        <v>427.20600000000002</v>
      </c>
      <c r="R77" s="138">
        <v>0</v>
      </c>
      <c r="S77" s="138">
        <v>0</v>
      </c>
      <c r="T77" s="138">
        <v>0</v>
      </c>
      <c r="U77" s="138">
        <v>156.65029000000004</v>
      </c>
    </row>
    <row r="78" spans="2:21" s="134" customFormat="1">
      <c r="B78" s="137" t="s">
        <v>95</v>
      </c>
      <c r="C78" s="137" t="s">
        <v>96</v>
      </c>
      <c r="D78" s="138">
        <v>-10.326834000000002</v>
      </c>
      <c r="E78" s="138">
        <v>-6.489052</v>
      </c>
      <c r="F78" s="138">
        <v>-6.3939759999999994</v>
      </c>
      <c r="G78" s="138">
        <v>-4.4331260000000006</v>
      </c>
      <c r="H78" s="138">
        <v>-1.5249999999999999</v>
      </c>
      <c r="I78" s="138">
        <v>-0.749</v>
      </c>
      <c r="J78" s="138">
        <v>-6.66</v>
      </c>
      <c r="K78" s="138">
        <v>0</v>
      </c>
      <c r="L78" s="138">
        <v>-22.041</v>
      </c>
      <c r="M78" s="138">
        <v>-3.7090000000000001</v>
      </c>
      <c r="N78" s="138">
        <v>-18.866</v>
      </c>
      <c r="O78" s="138">
        <v>-4.0890000000000004</v>
      </c>
      <c r="P78" s="138">
        <v>1.2586120000000001</v>
      </c>
      <c r="Q78" s="138">
        <v>16.881</v>
      </c>
      <c r="R78" s="138">
        <v>-6.8000000000000005E-2</v>
      </c>
      <c r="S78" s="138">
        <v>0</v>
      </c>
      <c r="T78" s="138">
        <v>0</v>
      </c>
      <c r="U78" s="138">
        <v>-67.210375999999997</v>
      </c>
    </row>
    <row r="79" spans="2:21">
      <c r="B79" s="142" t="s">
        <v>891</v>
      </c>
      <c r="C79" s="142" t="s">
        <v>1011</v>
      </c>
      <c r="D79" s="138">
        <v>22.362062999999999</v>
      </c>
      <c r="E79" s="138">
        <v>-17.123567999999999</v>
      </c>
      <c r="F79" s="138">
        <v>-4.2873540000000006</v>
      </c>
      <c r="G79" s="138">
        <v>-9.1489999999999991</v>
      </c>
      <c r="H79" s="138">
        <v>-8.9909999999999997</v>
      </c>
      <c r="I79" s="138">
        <v>-6.1820000000000004</v>
      </c>
      <c r="J79" s="138">
        <v>45.96</v>
      </c>
      <c r="K79" s="138">
        <v>0</v>
      </c>
      <c r="L79" s="138">
        <v>0</v>
      </c>
      <c r="M79" s="138">
        <v>0</v>
      </c>
      <c r="N79" s="138">
        <v>0</v>
      </c>
      <c r="O79" s="138">
        <v>1.871</v>
      </c>
      <c r="P79" s="138">
        <v>0</v>
      </c>
      <c r="Q79" s="138">
        <v>0</v>
      </c>
      <c r="R79" s="138">
        <v>0</v>
      </c>
      <c r="S79" s="138">
        <v>0</v>
      </c>
      <c r="T79" s="138">
        <v>0</v>
      </c>
      <c r="U79" s="138">
        <v>24.460140999999997</v>
      </c>
    </row>
    <row r="80" spans="2:21" s="134" customFormat="1">
      <c r="B80" s="142" t="s">
        <v>1026</v>
      </c>
      <c r="C80" s="142" t="s">
        <v>1027</v>
      </c>
      <c r="D80" s="138">
        <v>-12.388313</v>
      </c>
      <c r="E80" s="138">
        <v>-24.952845</v>
      </c>
      <c r="F80" s="138">
        <v>0</v>
      </c>
      <c r="G80" s="138">
        <v>0</v>
      </c>
      <c r="H80" s="138">
        <v>0</v>
      </c>
      <c r="I80" s="138">
        <v>-3.5920000000000001</v>
      </c>
      <c r="J80" s="138">
        <v>-4.3999999999999997E-2</v>
      </c>
      <c r="K80" s="138">
        <v>0</v>
      </c>
      <c r="L80" s="138">
        <v>0</v>
      </c>
      <c r="M80" s="138">
        <v>0</v>
      </c>
      <c r="N80" s="138">
        <v>-3.5000000000000003E-2</v>
      </c>
      <c r="O80" s="138">
        <v>0</v>
      </c>
      <c r="P80" s="138">
        <v>0</v>
      </c>
      <c r="Q80" s="138">
        <v>0</v>
      </c>
      <c r="R80" s="138">
        <v>0</v>
      </c>
      <c r="S80" s="138">
        <v>0</v>
      </c>
      <c r="T80" s="138">
        <v>0</v>
      </c>
      <c r="U80" s="138">
        <v>-41.012157999999992</v>
      </c>
    </row>
    <row r="81" spans="2:21" s="134" customFormat="1">
      <c r="B81" s="139" t="s">
        <v>722</v>
      </c>
      <c r="C81" s="139" t="s">
        <v>722</v>
      </c>
      <c r="D81" s="140">
        <f>+D72+D73</f>
        <v>507.54329399999983</v>
      </c>
      <c r="E81" s="140">
        <f t="shared" ref="E81:T81" si="15">+E72+E73</f>
        <v>775.67445799999939</v>
      </c>
      <c r="F81" s="140">
        <f t="shared" si="15"/>
        <v>268.86934599999995</v>
      </c>
      <c r="G81" s="140">
        <f t="shared" si="15"/>
        <v>241.55836699999981</v>
      </c>
      <c r="H81" s="140">
        <f t="shared" si="15"/>
        <v>116.52199999999999</v>
      </c>
      <c r="I81" s="140">
        <f t="shared" si="15"/>
        <v>108.64799999999993</v>
      </c>
      <c r="J81" s="140">
        <f t="shared" si="15"/>
        <v>592.95900000000063</v>
      </c>
      <c r="K81" s="140">
        <f t="shared" si="15"/>
        <v>0</v>
      </c>
      <c r="L81" s="140">
        <f t="shared" si="15"/>
        <v>124.19099999999997</v>
      </c>
      <c r="M81" s="140">
        <f t="shared" si="15"/>
        <v>50.558</v>
      </c>
      <c r="N81" s="140">
        <f t="shared" si="15"/>
        <v>23.338999999999999</v>
      </c>
      <c r="O81" s="140">
        <f t="shared" si="15"/>
        <v>7.3410000000000011</v>
      </c>
      <c r="P81" s="140">
        <f t="shared" si="15"/>
        <v>-19.354418000000003</v>
      </c>
      <c r="Q81" s="140">
        <f t="shared" si="15"/>
        <v>444.08699999999999</v>
      </c>
      <c r="R81" s="140">
        <f t="shared" si="15"/>
        <v>-0.248</v>
      </c>
      <c r="S81" s="140">
        <f t="shared" si="15"/>
        <v>0</v>
      </c>
      <c r="T81" s="140">
        <f t="shared" si="15"/>
        <v>0</v>
      </c>
      <c r="U81" s="140">
        <f>+U72+U73</f>
        <v>3241.6880470000015</v>
      </c>
    </row>
    <row r="82" spans="2:21">
      <c r="B82" s="143" t="s">
        <v>893</v>
      </c>
      <c r="C82" s="143" t="s">
        <v>1028</v>
      </c>
      <c r="D82" s="138">
        <v>-90.644064</v>
      </c>
      <c r="E82" s="138">
        <v>-222.84662700000001</v>
      </c>
      <c r="F82" s="138">
        <v>-45.841208999999999</v>
      </c>
      <c r="G82" s="138">
        <v>-35.136955999999998</v>
      </c>
      <c r="H82" s="138">
        <v>-66.73</v>
      </c>
      <c r="I82" s="138">
        <v>-15.694000000000001</v>
      </c>
      <c r="J82" s="138">
        <v>-185.12899999999999</v>
      </c>
      <c r="K82" s="138">
        <v>0</v>
      </c>
      <c r="L82" s="138">
        <v>-56.262</v>
      </c>
      <c r="M82" s="138">
        <v>-19.385999999999999</v>
      </c>
      <c r="N82" s="138">
        <v>-7.4249999999999998</v>
      </c>
      <c r="O82" s="138">
        <v>-0.88300000000000001</v>
      </c>
      <c r="P82" s="138">
        <v>-0.32922500000000005</v>
      </c>
      <c r="Q82" s="138">
        <v>-0.32800000000000001</v>
      </c>
      <c r="R82" s="138">
        <v>0</v>
      </c>
      <c r="S82" s="138">
        <v>0</v>
      </c>
      <c r="T82" s="138">
        <v>0</v>
      </c>
      <c r="U82" s="138">
        <v>-746.6350809999999</v>
      </c>
    </row>
    <row r="83" spans="2:21">
      <c r="B83" s="143" t="s">
        <v>986</v>
      </c>
      <c r="C83" s="143" t="s">
        <v>1029</v>
      </c>
      <c r="D83" s="138">
        <v>0</v>
      </c>
      <c r="E83" s="138">
        <v>0</v>
      </c>
      <c r="F83" s="138">
        <v>0</v>
      </c>
      <c r="G83" s="138">
        <v>0</v>
      </c>
      <c r="H83" s="138">
        <v>0</v>
      </c>
      <c r="I83" s="138">
        <v>0</v>
      </c>
      <c r="J83" s="138">
        <v>0</v>
      </c>
      <c r="K83" s="138">
        <v>0</v>
      </c>
      <c r="L83" s="138">
        <v>-9.44</v>
      </c>
      <c r="M83" s="138">
        <v>0</v>
      </c>
      <c r="N83" s="138">
        <v>0</v>
      </c>
      <c r="O83" s="138">
        <v>-6.7359999999999998</v>
      </c>
      <c r="P83" s="138">
        <v>-9.6029970000000002</v>
      </c>
      <c r="Q83" s="138">
        <v>0</v>
      </c>
      <c r="R83" s="138">
        <v>-55.066000000000003</v>
      </c>
      <c r="S83" s="138">
        <v>0</v>
      </c>
      <c r="T83" s="138">
        <v>0</v>
      </c>
      <c r="U83" s="138">
        <v>-80.844997000000006</v>
      </c>
    </row>
    <row r="84" spans="2:21">
      <c r="B84" s="143" t="s">
        <v>998</v>
      </c>
      <c r="C84" s="143" t="s">
        <v>972</v>
      </c>
      <c r="D84" s="138">
        <v>0</v>
      </c>
      <c r="E84" s="138">
        <v>0</v>
      </c>
      <c r="F84" s="138">
        <v>0</v>
      </c>
      <c r="G84" s="138">
        <v>0</v>
      </c>
      <c r="H84" s="138">
        <v>0</v>
      </c>
      <c r="I84" s="138">
        <v>0</v>
      </c>
      <c r="J84" s="138">
        <v>0</v>
      </c>
      <c r="K84" s="138">
        <v>0</v>
      </c>
      <c r="L84" s="138">
        <v>0</v>
      </c>
      <c r="M84" s="138">
        <v>0</v>
      </c>
      <c r="N84" s="138">
        <v>0</v>
      </c>
      <c r="O84" s="138">
        <v>0</v>
      </c>
      <c r="P84" s="138">
        <v>1112.115767</v>
      </c>
      <c r="Q84" s="138">
        <v>0</v>
      </c>
      <c r="R84" s="138">
        <v>944.58500000000004</v>
      </c>
      <c r="S84" s="138">
        <v>-1744.9290000000001</v>
      </c>
      <c r="T84" s="138">
        <v>0</v>
      </c>
      <c r="U84" s="138">
        <v>311.77176700000018</v>
      </c>
    </row>
    <row r="85" spans="2:21" s="134" customFormat="1">
      <c r="B85" s="139" t="s">
        <v>895</v>
      </c>
      <c r="C85" s="139" t="s">
        <v>896</v>
      </c>
      <c r="D85" s="140">
        <f>SUM(D81:D84)</f>
        <v>416.89922999999982</v>
      </c>
      <c r="E85" s="140">
        <f t="shared" ref="E85:T85" si="16">SUM(E81:E84)</f>
        <v>552.82783099999938</v>
      </c>
      <c r="F85" s="140">
        <f t="shared" si="16"/>
        <v>223.02813699999996</v>
      </c>
      <c r="G85" s="140">
        <f t="shared" si="16"/>
        <v>206.42141099999981</v>
      </c>
      <c r="H85" s="140">
        <f t="shared" si="16"/>
        <v>49.791999999999987</v>
      </c>
      <c r="I85" s="140">
        <f t="shared" si="16"/>
        <v>92.953999999999922</v>
      </c>
      <c r="J85" s="140">
        <f t="shared" si="16"/>
        <v>407.83000000000061</v>
      </c>
      <c r="K85" s="140">
        <f t="shared" si="16"/>
        <v>0</v>
      </c>
      <c r="L85" s="140">
        <f t="shared" si="16"/>
        <v>58.488999999999976</v>
      </c>
      <c r="M85" s="140">
        <f t="shared" si="16"/>
        <v>31.172000000000001</v>
      </c>
      <c r="N85" s="140">
        <f t="shared" si="16"/>
        <v>15.913999999999998</v>
      </c>
      <c r="O85" s="140">
        <f t="shared" si="16"/>
        <v>-0.27799999999999869</v>
      </c>
      <c r="P85" s="140">
        <f t="shared" si="16"/>
        <v>1082.829127</v>
      </c>
      <c r="Q85" s="140">
        <f t="shared" si="16"/>
        <v>443.75900000000001</v>
      </c>
      <c r="R85" s="140">
        <f t="shared" si="16"/>
        <v>889.27100000000007</v>
      </c>
      <c r="S85" s="140">
        <f t="shared" si="16"/>
        <v>-1744.9290000000001</v>
      </c>
      <c r="T85" s="140">
        <f t="shared" si="16"/>
        <v>0</v>
      </c>
      <c r="U85" s="140">
        <f>SUM(U81:U84)</f>
        <v>2725.9797360000016</v>
      </c>
    </row>
    <row r="86" spans="2:21" s="134" customFormat="1">
      <c r="B86" s="135" t="s">
        <v>725</v>
      </c>
      <c r="C86" s="135" t="s">
        <v>898</v>
      </c>
      <c r="D86" s="136">
        <f>+SUM(D87:D88)</f>
        <v>-101.13533500000005</v>
      </c>
      <c r="E86" s="136">
        <f t="shared" ref="E86:T86" si="17">+SUM(E87:E88)</f>
        <v>-127.87533200000001</v>
      </c>
      <c r="F86" s="136">
        <f t="shared" si="17"/>
        <v>-86.207972999999996</v>
      </c>
      <c r="G86" s="136">
        <f t="shared" si="17"/>
        <v>-66.292918000000014</v>
      </c>
      <c r="H86" s="136">
        <f t="shared" si="17"/>
        <v>-285.12</v>
      </c>
      <c r="I86" s="136">
        <f t="shared" si="17"/>
        <v>-73.396999999999991</v>
      </c>
      <c r="J86" s="136">
        <f t="shared" si="17"/>
        <v>-411.80700000000002</v>
      </c>
      <c r="K86" s="136">
        <f t="shared" si="17"/>
        <v>0</v>
      </c>
      <c r="L86" s="136">
        <f t="shared" si="17"/>
        <v>-65.302999999999997</v>
      </c>
      <c r="M86" s="136">
        <f t="shared" si="17"/>
        <v>-67.063999999999993</v>
      </c>
      <c r="N86" s="136">
        <f t="shared" si="17"/>
        <v>-2.7800000000000002</v>
      </c>
      <c r="O86" s="136">
        <f t="shared" si="17"/>
        <v>-46.814</v>
      </c>
      <c r="P86" s="136">
        <f t="shared" si="17"/>
        <v>-130.93302399999999</v>
      </c>
      <c r="Q86" s="136">
        <f t="shared" si="17"/>
        <v>113.619</v>
      </c>
      <c r="R86" s="136">
        <f t="shared" si="17"/>
        <v>0.72199999999999998</v>
      </c>
      <c r="S86" s="136">
        <f t="shared" si="17"/>
        <v>0</v>
      </c>
      <c r="T86" s="136">
        <f t="shared" si="17"/>
        <v>0</v>
      </c>
      <c r="U86" s="136">
        <f>+SUM(U87:U88)</f>
        <v>-1350.3885819999991</v>
      </c>
    </row>
    <row r="87" spans="2:21">
      <c r="B87" s="143" t="s">
        <v>727</v>
      </c>
      <c r="C87" s="143" t="s">
        <v>898</v>
      </c>
      <c r="D87" s="138">
        <v>173.75577299999998</v>
      </c>
      <c r="E87" s="138">
        <v>273.65442400000001</v>
      </c>
      <c r="F87" s="138">
        <v>111.68894899999999</v>
      </c>
      <c r="G87" s="138">
        <v>125.48599400000001</v>
      </c>
      <c r="H87" s="138">
        <v>202.60900000000001</v>
      </c>
      <c r="I87" s="138">
        <v>37.442</v>
      </c>
      <c r="J87" s="138">
        <v>162.756</v>
      </c>
      <c r="K87" s="138">
        <v>0</v>
      </c>
      <c r="L87" s="138">
        <v>31.289000000000001</v>
      </c>
      <c r="M87" s="138">
        <v>-18.347999999999999</v>
      </c>
      <c r="N87" s="138">
        <v>4.0339999999999998</v>
      </c>
      <c r="O87" s="138">
        <v>1.4430000000000001</v>
      </c>
      <c r="P87" s="138">
        <v>42.263156000000002</v>
      </c>
      <c r="Q87" s="138">
        <v>0</v>
      </c>
      <c r="R87" s="138">
        <v>0.755</v>
      </c>
      <c r="S87" s="138">
        <v>-20.077000000000002</v>
      </c>
      <c r="T87" s="138">
        <v>0</v>
      </c>
      <c r="U87" s="138">
        <v>1128.7512960000004</v>
      </c>
    </row>
    <row r="88" spans="2:21">
      <c r="B88" s="143" t="s">
        <v>744</v>
      </c>
      <c r="C88" s="143" t="s">
        <v>745</v>
      </c>
      <c r="D88" s="138">
        <v>-274.89110800000003</v>
      </c>
      <c r="E88" s="138">
        <v>-401.52975600000002</v>
      </c>
      <c r="F88" s="138">
        <v>-197.89692199999999</v>
      </c>
      <c r="G88" s="138">
        <v>-191.77891200000002</v>
      </c>
      <c r="H88" s="138">
        <v>-487.72899999999998</v>
      </c>
      <c r="I88" s="138">
        <v>-110.839</v>
      </c>
      <c r="J88" s="138">
        <v>-574.56299999999999</v>
      </c>
      <c r="K88" s="138">
        <v>0</v>
      </c>
      <c r="L88" s="138">
        <v>-96.591999999999999</v>
      </c>
      <c r="M88" s="138">
        <v>-48.716000000000001</v>
      </c>
      <c r="N88" s="138">
        <v>-6.8140000000000001</v>
      </c>
      <c r="O88" s="138">
        <v>-48.256999999999998</v>
      </c>
      <c r="P88" s="138">
        <v>-173.19618</v>
      </c>
      <c r="Q88" s="138">
        <v>113.619</v>
      </c>
      <c r="R88" s="138">
        <v>-3.3000000000000002E-2</v>
      </c>
      <c r="S88" s="138">
        <v>20.077000000000002</v>
      </c>
      <c r="T88" s="138">
        <v>0</v>
      </c>
      <c r="U88" s="138">
        <v>-2479.1398779999995</v>
      </c>
    </row>
    <row r="89" spans="2:21" s="134" customFormat="1">
      <c r="B89" s="135" t="s">
        <v>899</v>
      </c>
      <c r="C89" s="135" t="s">
        <v>724</v>
      </c>
      <c r="D89" s="136">
        <f>D85+D86</f>
        <v>315.76389499999976</v>
      </c>
      <c r="E89" s="136">
        <f t="shared" ref="E89:T89" si="18">E85+E86</f>
        <v>424.95249899999936</v>
      </c>
      <c r="F89" s="136">
        <f t="shared" si="18"/>
        <v>136.82016399999998</v>
      </c>
      <c r="G89" s="136">
        <f t="shared" si="18"/>
        <v>140.12849299999979</v>
      </c>
      <c r="H89" s="136">
        <f t="shared" si="18"/>
        <v>-235.32800000000003</v>
      </c>
      <c r="I89" s="136">
        <f t="shared" si="18"/>
        <v>19.556999999999931</v>
      </c>
      <c r="J89" s="136">
        <f t="shared" si="18"/>
        <v>-3.976999999999407</v>
      </c>
      <c r="K89" s="136">
        <f t="shared" si="18"/>
        <v>0</v>
      </c>
      <c r="L89" s="136">
        <f t="shared" si="18"/>
        <v>-6.8140000000000214</v>
      </c>
      <c r="M89" s="136">
        <f t="shared" si="18"/>
        <v>-35.891999999999996</v>
      </c>
      <c r="N89" s="136">
        <f t="shared" si="18"/>
        <v>13.133999999999997</v>
      </c>
      <c r="O89" s="136">
        <f t="shared" si="18"/>
        <v>-47.091999999999999</v>
      </c>
      <c r="P89" s="136">
        <f t="shared" si="18"/>
        <v>951.89610300000004</v>
      </c>
      <c r="Q89" s="136">
        <f t="shared" si="18"/>
        <v>557.37800000000004</v>
      </c>
      <c r="R89" s="136">
        <f t="shared" si="18"/>
        <v>889.99300000000005</v>
      </c>
      <c r="S89" s="136">
        <f t="shared" si="18"/>
        <v>-1744.9290000000001</v>
      </c>
      <c r="T89" s="136">
        <f t="shared" si="18"/>
        <v>0</v>
      </c>
      <c r="U89" s="136">
        <f>U85+U86</f>
        <v>1375.5911540000025</v>
      </c>
    </row>
    <row r="90" spans="2:21">
      <c r="B90" s="137" t="s">
        <v>768</v>
      </c>
      <c r="C90" s="137" t="s">
        <v>769</v>
      </c>
      <c r="D90" s="138">
        <v>-29.722515999999999</v>
      </c>
      <c r="E90" s="138">
        <v>-37.135197999999995</v>
      </c>
      <c r="F90" s="138">
        <v>-4.9024570000000001</v>
      </c>
      <c r="G90" s="138">
        <v>-13.36464</v>
      </c>
      <c r="H90" s="138">
        <v>0</v>
      </c>
      <c r="I90" s="138">
        <v>-1.8420000000000001</v>
      </c>
      <c r="J90" s="138">
        <v>-8.6620000000000008</v>
      </c>
      <c r="K90" s="138">
        <v>0</v>
      </c>
      <c r="L90" s="138">
        <v>-5.3289999999999997</v>
      </c>
      <c r="M90" s="138">
        <v>-1.571</v>
      </c>
      <c r="N90" s="138">
        <v>-2.4969999999999999</v>
      </c>
      <c r="O90" s="138">
        <v>0</v>
      </c>
      <c r="P90" s="138">
        <v>0</v>
      </c>
      <c r="Q90" s="138">
        <v>0</v>
      </c>
      <c r="R90" s="138">
        <v>-4.1000000000000002E-2</v>
      </c>
      <c r="S90" s="138">
        <v>0</v>
      </c>
      <c r="T90" s="138">
        <v>0</v>
      </c>
      <c r="U90" s="138">
        <v>-105.06681099999997</v>
      </c>
    </row>
    <row r="91" spans="2:21">
      <c r="B91" s="137" t="s">
        <v>770</v>
      </c>
      <c r="C91" s="137" t="s">
        <v>771</v>
      </c>
      <c r="D91" s="138">
        <v>-90.838639999999998</v>
      </c>
      <c r="E91" s="138">
        <v>-107.62992200000001</v>
      </c>
      <c r="F91" s="138">
        <v>-13.562961</v>
      </c>
      <c r="G91" s="138">
        <v>-36.372273999999997</v>
      </c>
      <c r="H91" s="138">
        <v>0</v>
      </c>
      <c r="I91" s="138">
        <v>-5.7679999999999998</v>
      </c>
      <c r="J91" s="138">
        <v>-23.477</v>
      </c>
      <c r="K91" s="138">
        <v>0</v>
      </c>
      <c r="L91" s="138">
        <v>-12.035</v>
      </c>
      <c r="M91" s="138">
        <v>-3.1640000000000001</v>
      </c>
      <c r="N91" s="138">
        <v>-6.758</v>
      </c>
      <c r="O91" s="138">
        <v>0</v>
      </c>
      <c r="P91" s="138">
        <v>0</v>
      </c>
      <c r="Q91" s="138">
        <v>0</v>
      </c>
      <c r="R91" s="138">
        <v>-0.10100000000000001</v>
      </c>
      <c r="S91" s="138">
        <v>0</v>
      </c>
      <c r="T91" s="138">
        <v>0</v>
      </c>
      <c r="U91" s="138">
        <v>-299.70679699999999</v>
      </c>
    </row>
    <row r="92" spans="2:21">
      <c r="B92" s="137" t="s">
        <v>900</v>
      </c>
      <c r="C92" s="137" t="s">
        <v>901</v>
      </c>
      <c r="D92" s="138">
        <v>11.098447</v>
      </c>
      <c r="E92" s="138">
        <v>-0.72404100000000005</v>
      </c>
      <c r="F92" s="138">
        <v>-28.640034</v>
      </c>
      <c r="G92" s="138">
        <v>2.4608910000000002</v>
      </c>
      <c r="H92" s="138">
        <v>0</v>
      </c>
      <c r="I92" s="138">
        <v>0</v>
      </c>
      <c r="J92" s="138">
        <v>41.063000000000002</v>
      </c>
      <c r="K92" s="138">
        <v>0</v>
      </c>
      <c r="L92" s="138">
        <v>1.284</v>
      </c>
      <c r="M92" s="138">
        <v>3.5999999999999997E-2</v>
      </c>
      <c r="N92" s="138">
        <v>2.7639999999999998</v>
      </c>
      <c r="O92" s="138">
        <v>0</v>
      </c>
      <c r="P92" s="138">
        <v>7.1146820000000002</v>
      </c>
      <c r="Q92" s="138">
        <v>-2.4569999999999999</v>
      </c>
      <c r="R92" s="138">
        <v>0</v>
      </c>
      <c r="S92" s="138">
        <v>0</v>
      </c>
      <c r="T92" s="138">
        <v>0</v>
      </c>
      <c r="U92" s="138">
        <v>33.999945000000004</v>
      </c>
    </row>
    <row r="93" spans="2:21">
      <c r="B93" s="137" t="s">
        <v>772</v>
      </c>
      <c r="C93" s="137" t="s">
        <v>902</v>
      </c>
      <c r="D93" s="138">
        <v>69.756298000000001</v>
      </c>
      <c r="E93" s="138">
        <v>81.216251</v>
      </c>
      <c r="F93" s="138">
        <v>6.1231090000000004</v>
      </c>
      <c r="G93" s="138">
        <v>13.337005</v>
      </c>
      <c r="H93" s="138">
        <v>0</v>
      </c>
      <c r="I93" s="138">
        <v>0</v>
      </c>
      <c r="J93" s="138">
        <v>0</v>
      </c>
      <c r="K93" s="138">
        <v>0</v>
      </c>
      <c r="L93" s="138">
        <v>0</v>
      </c>
      <c r="M93" s="138">
        <v>0</v>
      </c>
      <c r="N93" s="138">
        <v>0</v>
      </c>
      <c r="O93" s="138">
        <v>0</v>
      </c>
      <c r="P93" s="138">
        <v>0</v>
      </c>
      <c r="Q93" s="138">
        <v>0</v>
      </c>
      <c r="R93" s="138">
        <v>0</v>
      </c>
      <c r="S93" s="138">
        <v>0</v>
      </c>
      <c r="T93" s="138">
        <v>0</v>
      </c>
      <c r="U93" s="138">
        <v>170.43266300000002</v>
      </c>
    </row>
    <row r="94" spans="2:21" s="134" customFormat="1">
      <c r="B94" s="135" t="s">
        <v>903</v>
      </c>
      <c r="C94" s="135" t="s">
        <v>777</v>
      </c>
      <c r="D94" s="136">
        <f>+D89+SUM(D90:D93)</f>
        <v>276.05748399999976</v>
      </c>
      <c r="E94" s="136">
        <f t="shared" ref="E94:T94" si="19">+E89+SUM(E90:E93)</f>
        <v>360.6795889999994</v>
      </c>
      <c r="F94" s="136">
        <f t="shared" si="19"/>
        <v>95.837820999999977</v>
      </c>
      <c r="G94" s="136">
        <f t="shared" si="19"/>
        <v>106.18947499999979</v>
      </c>
      <c r="H94" s="136">
        <f t="shared" si="19"/>
        <v>-235.32800000000003</v>
      </c>
      <c r="I94" s="136">
        <f t="shared" si="19"/>
        <v>11.946999999999932</v>
      </c>
      <c r="J94" s="136">
        <f t="shared" si="19"/>
        <v>4.9470000000005925</v>
      </c>
      <c r="K94" s="136">
        <f t="shared" si="19"/>
        <v>0</v>
      </c>
      <c r="L94" s="136">
        <f t="shared" si="19"/>
        <v>-22.894000000000023</v>
      </c>
      <c r="M94" s="136">
        <f t="shared" si="19"/>
        <v>-40.590999999999994</v>
      </c>
      <c r="N94" s="136">
        <f t="shared" si="19"/>
        <v>6.6429999999999971</v>
      </c>
      <c r="O94" s="136">
        <f t="shared" si="19"/>
        <v>-47.091999999999999</v>
      </c>
      <c r="P94" s="136">
        <f t="shared" si="19"/>
        <v>959.01078500000006</v>
      </c>
      <c r="Q94" s="136">
        <f t="shared" si="19"/>
        <v>554.92100000000005</v>
      </c>
      <c r="R94" s="136">
        <f t="shared" si="19"/>
        <v>889.851</v>
      </c>
      <c r="S94" s="136">
        <f t="shared" si="19"/>
        <v>-1744.9290000000001</v>
      </c>
      <c r="T94" s="136">
        <f t="shared" si="19"/>
        <v>0</v>
      </c>
      <c r="U94" s="136">
        <f>+U89+SUM(U90:U93)</f>
        <v>1175.2501540000026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9" tint="0.79998168889431442"/>
  </sheetPr>
  <dimension ref="B5:AG58"/>
  <sheetViews>
    <sheetView showGridLines="0" topLeftCell="B15" zoomScaleNormal="100" workbookViewId="0">
      <pane xSplit="2" topLeftCell="P1" activePane="topRight" state="frozen"/>
      <selection activeCell="B1" sqref="B1"/>
      <selection pane="topRight" activeCell="AG7" sqref="AG7"/>
    </sheetView>
  </sheetViews>
  <sheetFormatPr defaultColWidth="7.21875" defaultRowHeight="11.1" customHeight="1" outlineLevelCol="1"/>
  <cols>
    <col min="1" max="1" width="7.21875" style="35"/>
    <col min="2" max="3" width="37" style="57" customWidth="1"/>
    <col min="4" max="10" width="7.21875" style="482" hidden="1" customWidth="1" outlineLevel="1"/>
    <col min="11" max="15" width="7.21875" style="57" hidden="1" customWidth="1" outlineLevel="1"/>
    <col min="16" max="16" width="7.21875" style="57" collapsed="1"/>
    <col min="17" max="19" width="7.21875" style="57"/>
    <col min="20" max="20" width="7.21875" style="57" customWidth="1"/>
    <col min="21" max="33" width="7.21875" style="57"/>
    <col min="34" max="16384" width="7.21875" style="35"/>
  </cols>
  <sheetData>
    <row r="5" spans="2:33" ht="15" customHeight="1">
      <c r="B5" s="106"/>
      <c r="C5" s="106"/>
      <c r="D5" s="449" t="s">
        <v>63</v>
      </c>
      <c r="E5" s="449" t="s">
        <v>64</v>
      </c>
      <c r="F5" s="449" t="s">
        <v>65</v>
      </c>
      <c r="G5" s="449" t="s">
        <v>66</v>
      </c>
      <c r="H5" s="449" t="s">
        <v>67</v>
      </c>
      <c r="I5" s="449" t="s">
        <v>68</v>
      </c>
      <c r="J5" s="449" t="s">
        <v>69</v>
      </c>
      <c r="K5" s="449" t="s">
        <v>70</v>
      </c>
      <c r="L5" s="449" t="s">
        <v>71</v>
      </c>
      <c r="M5" s="449" t="s">
        <v>72</v>
      </c>
      <c r="N5" s="449" t="s">
        <v>73</v>
      </c>
      <c r="O5" s="449" t="s">
        <v>74</v>
      </c>
      <c r="P5" s="449" t="s">
        <v>75</v>
      </c>
      <c r="Q5" s="449" t="s">
        <v>76</v>
      </c>
      <c r="R5" s="449" t="s">
        <v>77</v>
      </c>
      <c r="S5" s="449" t="s">
        <v>78</v>
      </c>
      <c r="T5" s="449" t="s">
        <v>79</v>
      </c>
      <c r="U5" s="449" t="s">
        <v>80</v>
      </c>
      <c r="V5" s="449" t="s">
        <v>81</v>
      </c>
      <c r="W5" s="449" t="s">
        <v>82</v>
      </c>
      <c r="X5" s="449" t="s">
        <v>83</v>
      </c>
      <c r="Y5" s="449" t="s">
        <v>84</v>
      </c>
      <c r="Z5" s="449" t="s">
        <v>85</v>
      </c>
      <c r="AA5" s="449" t="s">
        <v>86</v>
      </c>
      <c r="AB5" s="449" t="s">
        <v>87</v>
      </c>
      <c r="AC5" s="449" t="s">
        <v>88</v>
      </c>
      <c r="AD5" s="449" t="s">
        <v>2074</v>
      </c>
      <c r="AE5" s="449" t="s">
        <v>2127</v>
      </c>
      <c r="AF5" s="449" t="s">
        <v>2360</v>
      </c>
      <c r="AG5" s="453" t="s">
        <v>2494</v>
      </c>
    </row>
    <row r="6" spans="2:33" ht="11.1" customHeight="1">
      <c r="B6" s="479" t="s">
        <v>89</v>
      </c>
      <c r="C6" s="479" t="s">
        <v>89</v>
      </c>
      <c r="D6" s="480"/>
      <c r="E6" s="480"/>
      <c r="F6" s="480"/>
      <c r="G6" s="480"/>
      <c r="H6" s="480"/>
      <c r="I6" s="480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0"/>
      <c r="AA6" s="480"/>
      <c r="AB6" s="480"/>
      <c r="AC6" s="480"/>
      <c r="AD6" s="480"/>
      <c r="AE6" s="480"/>
      <c r="AF6" s="480"/>
      <c r="AG6" s="480"/>
    </row>
    <row r="7" spans="2:33" ht="11.1" customHeight="1">
      <c r="B7" s="42" t="s">
        <v>1031</v>
      </c>
      <c r="C7" s="42" t="s">
        <v>1032</v>
      </c>
      <c r="D7" s="116">
        <v>115</v>
      </c>
      <c r="E7" s="116">
        <v>114</v>
      </c>
      <c r="F7" s="116">
        <v>125</v>
      </c>
      <c r="G7" s="116">
        <v>123</v>
      </c>
      <c r="H7" s="116">
        <v>117</v>
      </c>
      <c r="I7" s="116">
        <v>118</v>
      </c>
      <c r="J7" s="116">
        <v>119</v>
      </c>
      <c r="K7" s="116">
        <v>128</v>
      </c>
      <c r="L7" s="116">
        <v>122</v>
      </c>
      <c r="M7" s="116">
        <v>121</v>
      </c>
      <c r="N7" s="116">
        <v>119</v>
      </c>
      <c r="O7" s="116">
        <v>152.08821210000002</v>
      </c>
      <c r="P7" s="116">
        <v>134.68118720000004</v>
      </c>
      <c r="Q7" s="116">
        <v>152.93286319000001</v>
      </c>
      <c r="R7" s="116">
        <v>134.90533648999997</v>
      </c>
      <c r="S7" s="116">
        <v>147.20778170000003</v>
      </c>
      <c r="T7" s="116">
        <v>151.75990287000002</v>
      </c>
      <c r="U7" s="116">
        <v>169.23448573999997</v>
      </c>
      <c r="V7" s="116">
        <v>164.60691398</v>
      </c>
      <c r="W7" s="116">
        <v>172.45370916069999</v>
      </c>
      <c r="X7" s="116">
        <v>175.13742489000003</v>
      </c>
      <c r="Y7" s="116">
        <v>184.37657832000002</v>
      </c>
      <c r="Z7" s="116">
        <v>173.72528323999998</v>
      </c>
      <c r="AA7" s="116">
        <v>177.75387345000007</v>
      </c>
      <c r="AB7" s="116">
        <v>178.22264142981481</v>
      </c>
      <c r="AC7" s="116">
        <v>166.42911701000006</v>
      </c>
      <c r="AD7" s="116">
        <v>184.84562510000001</v>
      </c>
      <c r="AE7" s="116">
        <v>202.26313887000006</v>
      </c>
      <c r="AF7" s="116">
        <v>185.56939911000006</v>
      </c>
      <c r="AG7" s="116">
        <v>174.31478226999994</v>
      </c>
    </row>
    <row r="8" spans="2:33" ht="11.1" customHeight="1">
      <c r="B8" s="42" t="s">
        <v>1033</v>
      </c>
      <c r="C8" s="42" t="s">
        <v>1034</v>
      </c>
      <c r="D8" s="116">
        <v>200</v>
      </c>
      <c r="E8" s="116">
        <v>248</v>
      </c>
      <c r="F8" s="116">
        <v>232</v>
      </c>
      <c r="G8" s="116">
        <v>285</v>
      </c>
      <c r="H8" s="116">
        <v>228</v>
      </c>
      <c r="I8" s="116">
        <v>204</v>
      </c>
      <c r="J8" s="116">
        <v>281</v>
      </c>
      <c r="K8" s="116">
        <v>397</v>
      </c>
      <c r="L8" s="116">
        <v>334</v>
      </c>
      <c r="M8" s="116">
        <v>302</v>
      </c>
      <c r="N8" s="116">
        <v>356</v>
      </c>
      <c r="O8" s="116">
        <v>334.18978444055642</v>
      </c>
      <c r="P8" s="116">
        <v>270.75587900000005</v>
      </c>
      <c r="Q8" s="116">
        <v>236.32612950000001</v>
      </c>
      <c r="R8" s="120">
        <v>309</v>
      </c>
      <c r="S8" s="116">
        <v>506.14419854486249</v>
      </c>
      <c r="T8" s="116">
        <v>285.70003076</v>
      </c>
      <c r="U8" s="116">
        <v>306.75671946000006</v>
      </c>
      <c r="V8" s="116">
        <v>368.06375334070782</v>
      </c>
      <c r="W8" s="116">
        <v>358.57030846931735</v>
      </c>
      <c r="X8" s="116">
        <v>284.14682081000024</v>
      </c>
      <c r="Y8" s="116">
        <v>317.53877846</v>
      </c>
      <c r="Z8" s="116">
        <v>355.94776885483947</v>
      </c>
      <c r="AA8" s="116">
        <v>379.31441279627501</v>
      </c>
      <c r="AB8" s="116">
        <v>289.23986339018541</v>
      </c>
      <c r="AC8" s="116">
        <v>381.91077337000007</v>
      </c>
      <c r="AD8" s="116">
        <v>435.34455871000006</v>
      </c>
      <c r="AE8" s="116">
        <v>517.97679976999962</v>
      </c>
      <c r="AF8" s="116">
        <v>410.71011545262184</v>
      </c>
      <c r="AG8" s="116">
        <v>458.96271575000031</v>
      </c>
    </row>
    <row r="9" spans="2:33" ht="11.1" customHeight="1">
      <c r="B9" s="42" t="s">
        <v>1035</v>
      </c>
      <c r="C9" s="42" t="s">
        <v>1036</v>
      </c>
      <c r="D9" s="116">
        <v>-8</v>
      </c>
      <c r="E9" s="116">
        <v>-21</v>
      </c>
      <c r="F9" s="116">
        <v>1</v>
      </c>
      <c r="G9" s="116">
        <v>3</v>
      </c>
      <c r="H9" s="116">
        <v>-16</v>
      </c>
      <c r="I9" s="116">
        <v>4</v>
      </c>
      <c r="J9" s="116">
        <v>-10</v>
      </c>
      <c r="K9" s="116">
        <v>-20</v>
      </c>
      <c r="L9" s="116">
        <v>-22</v>
      </c>
      <c r="M9" s="116">
        <v>-11</v>
      </c>
      <c r="N9" s="116">
        <v>-20</v>
      </c>
      <c r="O9" s="116">
        <v>-23.8985804</v>
      </c>
      <c r="P9" s="116">
        <v>-16.501282710000005</v>
      </c>
      <c r="Q9" s="116">
        <v>-26.683753270000025</v>
      </c>
      <c r="R9" s="116">
        <v>9.2984909500000299</v>
      </c>
      <c r="S9" s="116">
        <v>7.7192684199999793</v>
      </c>
      <c r="T9" s="116">
        <v>-41.294240439999989</v>
      </c>
      <c r="U9" s="116">
        <v>-45.159548740000012</v>
      </c>
      <c r="V9" s="116">
        <v>-18.755156129999996</v>
      </c>
      <c r="W9" s="116">
        <v>-40.889614569999964</v>
      </c>
      <c r="X9" s="116">
        <v>-62.018052469999994</v>
      </c>
      <c r="Y9" s="116">
        <v>-50.306138050000015</v>
      </c>
      <c r="Z9" s="116">
        <v>-56.096964889999967</v>
      </c>
      <c r="AA9" s="116">
        <v>-42.433056140000033</v>
      </c>
      <c r="AB9" s="116">
        <v>-92.99596425</v>
      </c>
      <c r="AC9" s="116">
        <v>-101.13533547000002</v>
      </c>
      <c r="AD9" s="116">
        <v>-70.750122959999999</v>
      </c>
      <c r="AE9" s="116">
        <v>-98.568502453567916</v>
      </c>
      <c r="AF9" s="116">
        <v>-97.31552661000002</v>
      </c>
      <c r="AG9" s="116">
        <v>-113.85308614999995</v>
      </c>
    </row>
    <row r="10" spans="2:33" ht="11.1" customHeight="1">
      <c r="B10" s="42" t="s">
        <v>1037</v>
      </c>
      <c r="C10" s="42" t="s">
        <v>1038</v>
      </c>
      <c r="D10" s="116">
        <v>76</v>
      </c>
      <c r="E10" s="116">
        <v>92</v>
      </c>
      <c r="F10" s="116">
        <v>103</v>
      </c>
      <c r="G10" s="116">
        <v>130</v>
      </c>
      <c r="H10" s="116">
        <v>79</v>
      </c>
      <c r="I10" s="116">
        <v>82</v>
      </c>
      <c r="J10" s="116">
        <v>108</v>
      </c>
      <c r="K10" s="116">
        <v>146</v>
      </c>
      <c r="L10" s="116">
        <v>123</v>
      </c>
      <c r="M10" s="116">
        <v>117</v>
      </c>
      <c r="N10" s="116">
        <v>131</v>
      </c>
      <c r="O10" s="116">
        <v>129</v>
      </c>
      <c r="P10" s="116">
        <v>125.48382014000001</v>
      </c>
      <c r="Q10" s="116">
        <v>215.45420168999999</v>
      </c>
      <c r="R10" s="116">
        <v>193.75796285831001</v>
      </c>
      <c r="S10" s="116">
        <v>373.88941369664923</v>
      </c>
      <c r="T10" s="116">
        <v>148.82682799029484</v>
      </c>
      <c r="U10" s="116">
        <v>177.19344072447998</v>
      </c>
      <c r="V10" s="116">
        <v>243.48749530674846</v>
      </c>
      <c r="W10" s="116">
        <v>273.48402844974953</v>
      </c>
      <c r="X10" s="116">
        <v>117.77640316710026</v>
      </c>
      <c r="Y10" s="116">
        <v>141.29513294097106</v>
      </c>
      <c r="Z10" s="116">
        <v>187.53829621394712</v>
      </c>
      <c r="AA10" s="116">
        <v>193.55734808794139</v>
      </c>
      <c r="AB10" s="116">
        <v>68.48649991390576</v>
      </c>
      <c r="AC10" s="116">
        <v>207.32098031156553</v>
      </c>
      <c r="AD10" s="116">
        <v>193.26273063852886</v>
      </c>
      <c r="AE10" s="116">
        <v>257.56711763102811</v>
      </c>
      <c r="AF10" s="116">
        <v>194.03842518767561</v>
      </c>
      <c r="AG10" s="116">
        <v>205.47584068600025</v>
      </c>
    </row>
    <row r="11" spans="2:33" ht="11.1" customHeight="1">
      <c r="B11" s="165"/>
      <c r="C11" s="165"/>
      <c r="D11" s="481"/>
      <c r="E11" s="481"/>
      <c r="F11" s="481"/>
      <c r="G11" s="481"/>
      <c r="H11" s="481"/>
      <c r="I11" s="481"/>
      <c r="J11" s="481"/>
      <c r="K11" s="481"/>
      <c r="L11" s="481"/>
      <c r="M11" s="481"/>
      <c r="N11" s="481"/>
      <c r="O11" s="481"/>
      <c r="P11" s="481"/>
      <c r="Q11" s="481"/>
      <c r="R11" s="481"/>
      <c r="S11" s="481"/>
      <c r="T11" s="481"/>
      <c r="U11" s="481"/>
      <c r="V11" s="481"/>
      <c r="W11" s="481"/>
      <c r="X11" s="481"/>
      <c r="Y11" s="481"/>
      <c r="Z11" s="481"/>
      <c r="AA11" s="481"/>
      <c r="AB11" s="481"/>
      <c r="AC11" s="481"/>
      <c r="AD11" s="481"/>
      <c r="AE11" s="481"/>
      <c r="AF11" s="481"/>
      <c r="AG11" s="481"/>
    </row>
    <row r="12" spans="2:33" ht="11.1" customHeight="1">
      <c r="B12" s="479" t="s">
        <v>110</v>
      </c>
      <c r="C12" s="479" t="s">
        <v>110</v>
      </c>
      <c r="D12" s="480"/>
      <c r="E12" s="480"/>
      <c r="F12" s="480"/>
      <c r="G12" s="480"/>
      <c r="H12" s="480"/>
      <c r="I12" s="480"/>
      <c r="J12" s="480"/>
      <c r="K12" s="480"/>
      <c r="L12" s="480"/>
      <c r="M12" s="480"/>
      <c r="N12" s="480"/>
      <c r="O12" s="480"/>
      <c r="P12" s="480"/>
      <c r="Q12" s="480"/>
      <c r="R12" s="480"/>
      <c r="S12" s="480"/>
      <c r="T12" s="480"/>
      <c r="U12" s="480"/>
      <c r="V12" s="480"/>
      <c r="W12" s="480"/>
      <c r="X12" s="480"/>
      <c r="Y12" s="480"/>
      <c r="Z12" s="480"/>
      <c r="AA12" s="480"/>
      <c r="AB12" s="480"/>
      <c r="AC12" s="480"/>
      <c r="AD12" s="480"/>
      <c r="AE12" s="480"/>
      <c r="AF12" s="480"/>
      <c r="AG12" s="480"/>
    </row>
    <row r="13" spans="2:33" ht="11.1" customHeight="1">
      <c r="B13" s="42" t="s">
        <v>1031</v>
      </c>
      <c r="C13" s="42" t="s">
        <v>1032</v>
      </c>
      <c r="D13" s="116">
        <v>122</v>
      </c>
      <c r="E13" s="116">
        <v>119</v>
      </c>
      <c r="F13" s="116">
        <v>130</v>
      </c>
      <c r="G13" s="116">
        <v>137</v>
      </c>
      <c r="H13" s="116">
        <v>118</v>
      </c>
      <c r="I13" s="116">
        <v>119</v>
      </c>
      <c r="J13" s="116">
        <v>126</v>
      </c>
      <c r="K13" s="116">
        <v>134</v>
      </c>
      <c r="L13" s="116">
        <v>145</v>
      </c>
      <c r="M13" s="116">
        <v>153</v>
      </c>
      <c r="N13" s="116">
        <v>155</v>
      </c>
      <c r="O13" s="116">
        <v>179.98808645</v>
      </c>
      <c r="P13" s="116">
        <v>155.88792090000004</v>
      </c>
      <c r="Q13" s="116">
        <v>179.26961717999998</v>
      </c>
      <c r="R13" s="116">
        <v>175.91454458000004</v>
      </c>
      <c r="S13" s="116">
        <v>194.20963617999999</v>
      </c>
      <c r="T13" s="116">
        <v>176.16056269000001</v>
      </c>
      <c r="U13" s="116">
        <v>170.68025748660017</v>
      </c>
      <c r="V13" s="116">
        <v>169.17747648000002</v>
      </c>
      <c r="W13" s="116">
        <v>191.28088822000001</v>
      </c>
      <c r="X13" s="116">
        <v>171.19410956000002</v>
      </c>
      <c r="Y13" s="116">
        <v>176.62681658999992</v>
      </c>
      <c r="Z13" s="116">
        <v>178.55618814999997</v>
      </c>
      <c r="AA13" s="116">
        <v>180.71361466999997</v>
      </c>
      <c r="AB13" s="116">
        <v>181.91816597999994</v>
      </c>
      <c r="AC13" s="116">
        <v>199.36986129000002</v>
      </c>
      <c r="AD13" s="116">
        <v>197.03356398</v>
      </c>
      <c r="AE13" s="116">
        <v>210.49837346000004</v>
      </c>
      <c r="AF13" s="116">
        <v>209.85872158000009</v>
      </c>
      <c r="AG13" s="116">
        <v>228.43368055000005</v>
      </c>
    </row>
    <row r="14" spans="2:33" ht="11.1" customHeight="1">
      <c r="B14" s="42" t="s">
        <v>1033</v>
      </c>
      <c r="C14" s="42" t="s">
        <v>1034</v>
      </c>
      <c r="D14" s="116">
        <v>199</v>
      </c>
      <c r="E14" s="116">
        <v>267</v>
      </c>
      <c r="F14" s="116">
        <v>293</v>
      </c>
      <c r="G14" s="116">
        <v>322</v>
      </c>
      <c r="H14" s="116">
        <v>311</v>
      </c>
      <c r="I14" s="116">
        <v>119</v>
      </c>
      <c r="J14" s="116">
        <v>370</v>
      </c>
      <c r="K14" s="116">
        <v>462</v>
      </c>
      <c r="L14" s="116">
        <v>402</v>
      </c>
      <c r="M14" s="116">
        <v>415</v>
      </c>
      <c r="N14" s="116">
        <v>663</v>
      </c>
      <c r="O14" s="116">
        <v>655.35464995188488</v>
      </c>
      <c r="P14" s="116">
        <v>598.04399999999998</v>
      </c>
      <c r="Q14" s="116">
        <v>608.72054637000008</v>
      </c>
      <c r="R14" s="120">
        <v>700</v>
      </c>
      <c r="S14" s="116">
        <v>874.40853732398546</v>
      </c>
      <c r="T14" s="116">
        <v>676.37121115000014</v>
      </c>
      <c r="U14" s="116">
        <v>752.01214857339983</v>
      </c>
      <c r="V14" s="120">
        <v>806.60546074726676</v>
      </c>
      <c r="W14" s="120">
        <v>740.9537984479357</v>
      </c>
      <c r="X14" s="120">
        <v>650.15672313999926</v>
      </c>
      <c r="Y14" s="120">
        <v>705.6472100699998</v>
      </c>
      <c r="Z14" s="120">
        <v>758.99569421423496</v>
      </c>
      <c r="AA14" s="120">
        <v>752.88837733000014</v>
      </c>
      <c r="AB14" s="120">
        <v>617.15001533000031</v>
      </c>
      <c r="AC14" s="120">
        <v>757.56106895999937</v>
      </c>
      <c r="AD14" s="120">
        <v>733.65680401000009</v>
      </c>
      <c r="AE14" s="120">
        <v>784.69846262196904</v>
      </c>
      <c r="AF14" s="120">
        <v>628.15836538600684</v>
      </c>
      <c r="AG14" s="120">
        <v>722.7018079500009</v>
      </c>
    </row>
    <row r="15" spans="2:33" ht="11.1" customHeight="1">
      <c r="B15" s="42" t="s">
        <v>1035</v>
      </c>
      <c r="C15" s="42" t="s">
        <v>1036</v>
      </c>
      <c r="D15" s="116">
        <v>-80</v>
      </c>
      <c r="E15" s="116">
        <v>-48</v>
      </c>
      <c r="F15" s="116">
        <v>-41</v>
      </c>
      <c r="G15" s="116">
        <v>-51</v>
      </c>
      <c r="H15" s="116">
        <v>-56</v>
      </c>
      <c r="I15" s="116">
        <v>-27</v>
      </c>
      <c r="J15" s="116">
        <v>-66</v>
      </c>
      <c r="K15" s="116">
        <v>-55</v>
      </c>
      <c r="L15" s="116">
        <v>-104</v>
      </c>
      <c r="M15" s="116">
        <v>-46</v>
      </c>
      <c r="N15" s="116">
        <v>-54</v>
      </c>
      <c r="O15" s="116">
        <v>-84.706230421791616</v>
      </c>
      <c r="P15" s="116">
        <v>-90.043243049999973</v>
      </c>
      <c r="Q15" s="116">
        <v>-107.55135353</v>
      </c>
      <c r="R15" s="116">
        <v>6.5849397599999691</v>
      </c>
      <c r="S15" s="116">
        <v>6.566128790000036</v>
      </c>
      <c r="T15" s="116">
        <v>-103.29426476</v>
      </c>
      <c r="U15" s="116">
        <v>-109.76312460999998</v>
      </c>
      <c r="V15" s="116">
        <v>-64.985119810000029</v>
      </c>
      <c r="W15" s="116">
        <v>-77.691156130000053</v>
      </c>
      <c r="X15" s="116">
        <v>-97.115513499999992</v>
      </c>
      <c r="Y15" s="116">
        <v>-61.053054408334987</v>
      </c>
      <c r="Z15" s="116">
        <v>-72.338612810000029</v>
      </c>
      <c r="AA15" s="116">
        <v>-46.086895520000049</v>
      </c>
      <c r="AB15" s="116">
        <v>-147.24612074000001</v>
      </c>
      <c r="AC15" s="116">
        <v>-127.87533231</v>
      </c>
      <c r="AD15" s="116">
        <v>-125.92631632</v>
      </c>
      <c r="AE15" s="116">
        <v>-135.57682390285166</v>
      </c>
      <c r="AF15" s="116">
        <v>-175.88879288000001</v>
      </c>
      <c r="AG15" s="116">
        <v>-207.96068125000005</v>
      </c>
    </row>
    <row r="16" spans="2:33" ht="11.1" customHeight="1">
      <c r="B16" s="42" t="s">
        <v>1037</v>
      </c>
      <c r="C16" s="42" t="s">
        <v>1038</v>
      </c>
      <c r="D16" s="116">
        <v>42</v>
      </c>
      <c r="E16" s="116">
        <v>113</v>
      </c>
      <c r="F16" s="116">
        <v>122</v>
      </c>
      <c r="G16" s="116">
        <v>109</v>
      </c>
      <c r="H16" s="116">
        <v>76</v>
      </c>
      <c r="I16" s="116">
        <v>83</v>
      </c>
      <c r="J16" s="116">
        <v>115</v>
      </c>
      <c r="K16" s="116">
        <v>203</v>
      </c>
      <c r="L16" s="116">
        <v>140</v>
      </c>
      <c r="M16" s="116">
        <v>193</v>
      </c>
      <c r="N16" s="116">
        <v>361</v>
      </c>
      <c r="O16" s="116">
        <v>286</v>
      </c>
      <c r="P16" s="116">
        <v>314.80200000000002</v>
      </c>
      <c r="Q16" s="116">
        <v>387.91066871999999</v>
      </c>
      <c r="R16" s="116">
        <v>399.44632396536883</v>
      </c>
      <c r="S16" s="116">
        <v>565.57914804237032</v>
      </c>
      <c r="T16" s="116">
        <v>430.56379161339953</v>
      </c>
      <c r="U16" s="116">
        <v>484.64729756200057</v>
      </c>
      <c r="V16" s="116">
        <v>676.16059881333763</v>
      </c>
      <c r="W16" s="116">
        <v>582.07894694199297</v>
      </c>
      <c r="X16" s="116">
        <v>363.48707493239931</v>
      </c>
      <c r="Y16" s="116">
        <v>424.84769478374409</v>
      </c>
      <c r="Z16" s="116">
        <v>537.33834453340501</v>
      </c>
      <c r="AA16" s="116">
        <v>556.39625213199997</v>
      </c>
      <c r="AB16" s="116">
        <v>298.29090848232556</v>
      </c>
      <c r="AC16" s="116">
        <v>355.75477654076576</v>
      </c>
      <c r="AD16" s="116">
        <v>453.85856937517542</v>
      </c>
      <c r="AE16" s="116">
        <v>348.84074057575151</v>
      </c>
      <c r="AF16" s="116">
        <v>259.26288293437045</v>
      </c>
      <c r="AG16" s="116">
        <v>293.8645507238009</v>
      </c>
    </row>
    <row r="18" spans="2:33" ht="11.1" customHeight="1">
      <c r="B18" s="479" t="s">
        <v>113</v>
      </c>
      <c r="C18" s="479" t="s">
        <v>113</v>
      </c>
      <c r="D18" s="480"/>
      <c r="E18" s="480"/>
      <c r="F18" s="480"/>
      <c r="G18" s="480"/>
      <c r="H18" s="480"/>
      <c r="I18" s="480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0"/>
      <c r="AA18" s="480"/>
      <c r="AB18" s="480"/>
      <c r="AC18" s="480"/>
      <c r="AD18" s="480"/>
      <c r="AE18" s="480"/>
      <c r="AF18" s="480"/>
      <c r="AG18" s="480"/>
    </row>
    <row r="19" spans="2:33" ht="11.1" customHeight="1">
      <c r="B19" s="42" t="s">
        <v>1031</v>
      </c>
      <c r="C19" s="42" t="s">
        <v>1032</v>
      </c>
      <c r="D19" s="116">
        <v>66</v>
      </c>
      <c r="E19" s="116">
        <v>69</v>
      </c>
      <c r="F19" s="116">
        <v>81</v>
      </c>
      <c r="G19" s="116">
        <v>69</v>
      </c>
      <c r="H19" s="116">
        <v>62</v>
      </c>
      <c r="I19" s="116">
        <v>58</v>
      </c>
      <c r="J19" s="116">
        <v>58</v>
      </c>
      <c r="K19" s="116">
        <v>64</v>
      </c>
      <c r="L19" s="116">
        <v>70</v>
      </c>
      <c r="M19" s="116">
        <v>71</v>
      </c>
      <c r="N19" s="116">
        <v>72</v>
      </c>
      <c r="O19" s="116">
        <v>85.83938516000002</v>
      </c>
      <c r="P19" s="116">
        <v>82.871397289999976</v>
      </c>
      <c r="Q19" s="116">
        <v>86.884994589999991</v>
      </c>
      <c r="R19" s="116">
        <v>81.759679459999987</v>
      </c>
      <c r="S19" s="116">
        <v>85.03792963506524</v>
      </c>
      <c r="T19" s="116">
        <v>85.372841379999983</v>
      </c>
      <c r="U19" s="116">
        <v>93.774107389999955</v>
      </c>
      <c r="V19" s="116">
        <v>86.66526236</v>
      </c>
      <c r="W19" s="116">
        <v>98.259295150937348</v>
      </c>
      <c r="X19" s="116">
        <v>90.815713360000032</v>
      </c>
      <c r="Y19" s="116">
        <v>92.062694280000017</v>
      </c>
      <c r="Z19" s="116">
        <v>101.68634149000002</v>
      </c>
      <c r="AA19" s="116">
        <v>95.820851699999992</v>
      </c>
      <c r="AB19" s="116">
        <v>92.910874010000001</v>
      </c>
      <c r="AC19" s="116">
        <v>100.24731745000004</v>
      </c>
      <c r="AD19" s="116">
        <v>100.25789392000001</v>
      </c>
      <c r="AE19" s="116">
        <v>116.18409163999995</v>
      </c>
      <c r="AF19" s="116">
        <v>114.67917233999998</v>
      </c>
      <c r="AG19" s="116">
        <v>109.12566673000001</v>
      </c>
    </row>
    <row r="20" spans="2:33" ht="11.1" customHeight="1">
      <c r="B20" s="42" t="s">
        <v>1033</v>
      </c>
      <c r="C20" s="42" t="s">
        <v>1034</v>
      </c>
      <c r="D20" s="116">
        <v>34</v>
      </c>
      <c r="E20" s="116">
        <v>30</v>
      </c>
      <c r="F20" s="116">
        <v>74</v>
      </c>
      <c r="G20" s="116">
        <v>68</v>
      </c>
      <c r="H20" s="116">
        <v>54</v>
      </c>
      <c r="I20" s="116">
        <v>41</v>
      </c>
      <c r="J20" s="116">
        <v>80</v>
      </c>
      <c r="K20" s="116">
        <v>185</v>
      </c>
      <c r="L20" s="116">
        <v>131</v>
      </c>
      <c r="M20" s="116">
        <v>156</v>
      </c>
      <c r="N20" s="116">
        <v>160</v>
      </c>
      <c r="O20" s="116">
        <v>273.08236808556228</v>
      </c>
      <c r="P20" s="116">
        <v>131.53500000000003</v>
      </c>
      <c r="Q20" s="116">
        <v>164.10570949000001</v>
      </c>
      <c r="R20" s="120">
        <v>153</v>
      </c>
      <c r="S20" s="116">
        <v>172.20845783493473</v>
      </c>
      <c r="T20" s="116">
        <v>158.55304339</v>
      </c>
      <c r="U20" s="116">
        <v>195.57480963</v>
      </c>
      <c r="V20" s="116">
        <v>185.46361720000016</v>
      </c>
      <c r="W20" s="116">
        <v>229.22258414541895</v>
      </c>
      <c r="X20" s="116">
        <v>216.37149739000023</v>
      </c>
      <c r="Y20" s="116">
        <v>221.41696704000012</v>
      </c>
      <c r="Z20" s="116">
        <v>252.8762797</v>
      </c>
      <c r="AA20" s="116">
        <v>305.25969458999987</v>
      </c>
      <c r="AB20" s="116">
        <v>211.65310135000004</v>
      </c>
      <c r="AC20" s="116">
        <v>272.96972311000007</v>
      </c>
      <c r="AD20" s="116">
        <v>300.28127187999962</v>
      </c>
      <c r="AE20" s="116">
        <v>283.04696415697691</v>
      </c>
      <c r="AF20" s="116">
        <v>246.59826439033725</v>
      </c>
      <c r="AG20" s="116">
        <v>280.17339975999988</v>
      </c>
    </row>
    <row r="21" spans="2:33" ht="11.1" customHeight="1">
      <c r="B21" s="42" t="s">
        <v>1035</v>
      </c>
      <c r="C21" s="42" t="s">
        <v>1036</v>
      </c>
      <c r="D21" s="116">
        <v>-35</v>
      </c>
      <c r="E21" s="116">
        <v>-20</v>
      </c>
      <c r="F21" s="116">
        <v>11</v>
      </c>
      <c r="G21" s="116">
        <v>16</v>
      </c>
      <c r="H21" s="116">
        <v>-23</v>
      </c>
      <c r="I21" s="116">
        <v>-27</v>
      </c>
      <c r="J21" s="116">
        <v>-17</v>
      </c>
      <c r="K21" s="116">
        <v>-15</v>
      </c>
      <c r="L21" s="116">
        <v>-17</v>
      </c>
      <c r="M21" s="116">
        <v>-16</v>
      </c>
      <c r="N21" s="116">
        <v>118</v>
      </c>
      <c r="O21" s="116">
        <v>-48.235317680000009</v>
      </c>
      <c r="P21" s="116">
        <v>-43.752990459999999</v>
      </c>
      <c r="Q21" s="116">
        <v>-55.654582539999957</v>
      </c>
      <c r="R21" s="116">
        <v>-32.234174360000011</v>
      </c>
      <c r="S21" s="116">
        <v>-39.619110610000014</v>
      </c>
      <c r="T21" s="116">
        <v>-94.133378600000015</v>
      </c>
      <c r="U21" s="116">
        <v>-87.607925379999998</v>
      </c>
      <c r="V21" s="116">
        <v>-71.793520510000008</v>
      </c>
      <c r="W21" s="116">
        <v>-101.88735151000002</v>
      </c>
      <c r="X21" s="116">
        <v>-90.055518600000013</v>
      </c>
      <c r="Y21" s="116">
        <v>-75.721279640000006</v>
      </c>
      <c r="Z21" s="116">
        <v>-78.338992650000037</v>
      </c>
      <c r="AA21" s="116">
        <v>-88.869038009999997</v>
      </c>
      <c r="AB21" s="116">
        <v>-105.95682957999999</v>
      </c>
      <c r="AC21" s="116">
        <v>-86.20797269000002</v>
      </c>
      <c r="AD21" s="116">
        <v>-112.20071925000001</v>
      </c>
      <c r="AE21" s="116">
        <v>-111.39402991519702</v>
      </c>
      <c r="AF21" s="116">
        <v>-96.45946136000002</v>
      </c>
      <c r="AG21" s="116">
        <v>-99.188510569999977</v>
      </c>
    </row>
    <row r="22" spans="2:33" ht="11.1" customHeight="1">
      <c r="B22" s="42" t="s">
        <v>1037</v>
      </c>
      <c r="C22" s="42" t="s">
        <v>1038</v>
      </c>
      <c r="D22" s="116">
        <v>-19</v>
      </c>
      <c r="E22" s="116">
        <v>-20</v>
      </c>
      <c r="F22" s="116">
        <v>50</v>
      </c>
      <c r="G22" s="116">
        <v>13</v>
      </c>
      <c r="H22" s="116">
        <v>7</v>
      </c>
      <c r="I22" s="116">
        <v>-11</v>
      </c>
      <c r="J22" s="116">
        <v>40</v>
      </c>
      <c r="K22" s="116">
        <v>213</v>
      </c>
      <c r="L22" s="116">
        <v>65</v>
      </c>
      <c r="M22" s="116">
        <v>108</v>
      </c>
      <c r="N22" s="116">
        <v>162</v>
      </c>
      <c r="O22" s="116">
        <v>135</v>
      </c>
      <c r="P22" s="116">
        <v>62.727517166200009</v>
      </c>
      <c r="Q22" s="116">
        <v>36.535580143999987</v>
      </c>
      <c r="R22" s="116">
        <v>71.775000000000006</v>
      </c>
      <c r="S22" s="116">
        <v>86.255684823220491</v>
      </c>
      <c r="T22" s="116">
        <v>23.792413637400049</v>
      </c>
      <c r="U22" s="116">
        <v>43.10017400000001</v>
      </c>
      <c r="V22" s="116">
        <v>58.941731500000152</v>
      </c>
      <c r="W22" s="116">
        <v>87.779446795976554</v>
      </c>
      <c r="X22" s="116">
        <v>64.659642817400183</v>
      </c>
      <c r="Y22" s="116">
        <v>66.488753095865476</v>
      </c>
      <c r="Z22" s="116">
        <v>108.06845760816655</v>
      </c>
      <c r="AA22" s="116">
        <v>157.39558036775855</v>
      </c>
      <c r="AB22" s="116">
        <v>43.894962985838013</v>
      </c>
      <c r="AC22" s="116">
        <v>113.99202489955958</v>
      </c>
      <c r="AD22" s="116">
        <v>101.77168256384019</v>
      </c>
      <c r="AE22" s="116">
        <v>36.812071675501457</v>
      </c>
      <c r="AF22" s="116">
        <v>-15.14926785374206</v>
      </c>
      <c r="AG22" s="116">
        <v>106.53078732219988</v>
      </c>
    </row>
    <row r="23" spans="2:33" ht="11.1" customHeight="1">
      <c r="B23" s="165"/>
      <c r="C23" s="165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</row>
    <row r="24" spans="2:33" ht="11.1" customHeight="1">
      <c r="B24" s="479" t="s">
        <v>116</v>
      </c>
      <c r="C24" s="479" t="s">
        <v>116</v>
      </c>
      <c r="D24" s="480"/>
      <c r="E24" s="480"/>
      <c r="F24" s="480"/>
      <c r="G24" s="480"/>
      <c r="H24" s="480"/>
      <c r="I24" s="480"/>
      <c r="J24" s="480"/>
      <c r="K24" s="480"/>
      <c r="L24" s="480"/>
      <c r="M24" s="480"/>
      <c r="N24" s="480"/>
      <c r="O24" s="480"/>
      <c r="P24" s="480"/>
      <c r="Q24" s="480"/>
      <c r="R24" s="480"/>
      <c r="S24" s="480"/>
      <c r="T24" s="480"/>
      <c r="U24" s="480"/>
      <c r="V24" s="480"/>
      <c r="W24" s="480"/>
      <c r="X24" s="480"/>
      <c r="Y24" s="480"/>
      <c r="Z24" s="480"/>
      <c r="AA24" s="480"/>
      <c r="AB24" s="480"/>
      <c r="AC24" s="480"/>
      <c r="AD24" s="480"/>
      <c r="AE24" s="480"/>
      <c r="AF24" s="480"/>
      <c r="AG24" s="480"/>
    </row>
    <row r="25" spans="2:33" ht="11.1" customHeight="1">
      <c r="B25" s="42" t="s">
        <v>1031</v>
      </c>
      <c r="C25" s="42" t="s">
        <v>1032</v>
      </c>
      <c r="D25" s="116">
        <v>0</v>
      </c>
      <c r="E25" s="116">
        <v>76</v>
      </c>
      <c r="F25" s="116">
        <v>62</v>
      </c>
      <c r="G25" s="116">
        <v>50</v>
      </c>
      <c r="H25" s="116">
        <v>53</v>
      </c>
      <c r="I25" s="116">
        <v>48</v>
      </c>
      <c r="J25" s="116">
        <v>54</v>
      </c>
      <c r="K25" s="116">
        <v>61</v>
      </c>
      <c r="L25" s="116">
        <v>57</v>
      </c>
      <c r="M25" s="116">
        <v>57</v>
      </c>
      <c r="N25" s="116">
        <v>57</v>
      </c>
      <c r="O25" s="116">
        <v>74.676378380000003</v>
      </c>
      <c r="P25" s="116">
        <v>64.336769320000002</v>
      </c>
      <c r="Q25" s="116">
        <v>62.478592800000015</v>
      </c>
      <c r="R25" s="116">
        <v>64.164567949999977</v>
      </c>
      <c r="S25" s="116">
        <v>77.727170690000037</v>
      </c>
      <c r="T25" s="116">
        <v>68.822960409999979</v>
      </c>
      <c r="U25" s="116">
        <v>65.181820320000014</v>
      </c>
      <c r="V25" s="116">
        <v>69.257868919999979</v>
      </c>
      <c r="W25" s="116">
        <v>75.734457309999996</v>
      </c>
      <c r="X25" s="116">
        <v>71.00978376999997</v>
      </c>
      <c r="Y25" s="116">
        <v>66.778769220000015</v>
      </c>
      <c r="Z25" s="116">
        <v>73.600701179999987</v>
      </c>
      <c r="AA25" s="116">
        <v>82.568188580000054</v>
      </c>
      <c r="AB25" s="116">
        <v>74.058251970000001</v>
      </c>
      <c r="AC25" s="116">
        <v>75.552365509999987</v>
      </c>
      <c r="AD25" s="116">
        <v>82.241308740000022</v>
      </c>
      <c r="AE25" s="116">
        <v>95.937597819999965</v>
      </c>
      <c r="AF25" s="116">
        <v>83.692204010000026</v>
      </c>
      <c r="AG25" s="116">
        <v>84.275830249999984</v>
      </c>
    </row>
    <row r="26" spans="2:33" ht="11.1" customHeight="1">
      <c r="B26" s="42" t="s">
        <v>1033</v>
      </c>
      <c r="C26" s="42" t="s">
        <v>1034</v>
      </c>
      <c r="D26" s="116">
        <v>0</v>
      </c>
      <c r="E26" s="116">
        <v>59</v>
      </c>
      <c r="F26" s="116">
        <v>52</v>
      </c>
      <c r="G26" s="116">
        <v>88</v>
      </c>
      <c r="H26" s="116">
        <v>55</v>
      </c>
      <c r="I26" s="116">
        <v>56</v>
      </c>
      <c r="J26" s="116">
        <v>84</v>
      </c>
      <c r="K26" s="116">
        <v>144</v>
      </c>
      <c r="L26" s="116">
        <v>108</v>
      </c>
      <c r="M26" s="116">
        <v>97</v>
      </c>
      <c r="N26" s="116">
        <v>122</v>
      </c>
      <c r="O26" s="116">
        <v>149.39206409999997</v>
      </c>
      <c r="P26" s="116">
        <v>109.55399999999999</v>
      </c>
      <c r="Q26" s="116">
        <v>139.27718044</v>
      </c>
      <c r="R26" s="116">
        <v>117.62299999999999</v>
      </c>
      <c r="S26" s="116">
        <v>181.20045200000001</v>
      </c>
      <c r="T26" s="116">
        <v>162.15512439999998</v>
      </c>
      <c r="U26" s="116">
        <v>169.82942357000002</v>
      </c>
      <c r="V26" s="116">
        <v>166.27925786000009</v>
      </c>
      <c r="W26" s="116">
        <v>185.53931441268108</v>
      </c>
      <c r="X26" s="116">
        <v>205.07512623999986</v>
      </c>
      <c r="Y26" s="116">
        <v>203.4283368799999</v>
      </c>
      <c r="Z26" s="116">
        <v>209.74185388999967</v>
      </c>
      <c r="AA26" s="116">
        <v>191.10173425800093</v>
      </c>
      <c r="AB26" s="116">
        <v>201.51807172862212</v>
      </c>
      <c r="AC26" s="116">
        <v>252.04172233999975</v>
      </c>
      <c r="AD26" s="116">
        <v>204.73667914000012</v>
      </c>
      <c r="AE26" s="116">
        <v>226.51463299610302</v>
      </c>
      <c r="AF26" s="116">
        <v>256.99552056434703</v>
      </c>
      <c r="AG26" s="116">
        <v>242.71903343000002</v>
      </c>
    </row>
    <row r="27" spans="2:33" ht="11.1" customHeight="1">
      <c r="B27" s="42" t="s">
        <v>1035</v>
      </c>
      <c r="C27" s="42" t="s">
        <v>1036</v>
      </c>
      <c r="D27" s="116">
        <v>0</v>
      </c>
      <c r="E27" s="116">
        <v>-4</v>
      </c>
      <c r="F27" s="116">
        <v>-12</v>
      </c>
      <c r="G27" s="116">
        <v>-28</v>
      </c>
      <c r="H27" s="116">
        <v>-18</v>
      </c>
      <c r="I27" s="116">
        <v>-9</v>
      </c>
      <c r="J27" s="116">
        <v>-2</v>
      </c>
      <c r="K27" s="116">
        <v>21</v>
      </c>
      <c r="L27" s="116">
        <v>-14</v>
      </c>
      <c r="M27" s="116">
        <v>16</v>
      </c>
      <c r="N27" s="116">
        <v>18</v>
      </c>
      <c r="O27" s="116">
        <v>13.762366140000001</v>
      </c>
      <c r="P27" s="116">
        <v>2.1482528299999979</v>
      </c>
      <c r="Q27" s="116">
        <v>5.6714242000000077</v>
      </c>
      <c r="R27" s="116">
        <v>5.2616585499999884</v>
      </c>
      <c r="S27" s="116">
        <v>-18.924251760000001</v>
      </c>
      <c r="T27" s="116">
        <v>-45.066733170000013</v>
      </c>
      <c r="U27" s="116">
        <v>-37.203229549999996</v>
      </c>
      <c r="V27" s="116">
        <v>-30.756495170000001</v>
      </c>
      <c r="W27" s="116">
        <v>-46.033414309999984</v>
      </c>
      <c r="X27" s="116">
        <v>-48.693110200000007</v>
      </c>
      <c r="Y27" s="116">
        <v>-35.255552520000016</v>
      </c>
      <c r="Z27" s="116">
        <v>-41.655816500000007</v>
      </c>
      <c r="AA27" s="116">
        <v>-42.126882869999974</v>
      </c>
      <c r="AB27" s="116">
        <v>-62.137838469999963</v>
      </c>
      <c r="AC27" s="116">
        <v>-66.292918269999973</v>
      </c>
      <c r="AD27" s="116">
        <v>-58.123420489999951</v>
      </c>
      <c r="AE27" s="116">
        <v>-66.993728180914843</v>
      </c>
      <c r="AF27" s="116">
        <v>-55.290603079999983</v>
      </c>
      <c r="AG27" s="116">
        <v>-87.021795969999999</v>
      </c>
    </row>
    <row r="28" spans="2:33" ht="11.1" customHeight="1">
      <c r="B28" s="42" t="s">
        <v>1037</v>
      </c>
      <c r="C28" s="42" t="s">
        <v>1038</v>
      </c>
      <c r="D28" s="116">
        <v>0</v>
      </c>
      <c r="E28" s="116">
        <v>7</v>
      </c>
      <c r="F28" s="116">
        <v>20</v>
      </c>
      <c r="G28" s="116">
        <v>233</v>
      </c>
      <c r="H28" s="116">
        <v>14</v>
      </c>
      <c r="I28" s="116">
        <v>32</v>
      </c>
      <c r="J28" s="116">
        <v>75</v>
      </c>
      <c r="K28" s="116">
        <v>148</v>
      </c>
      <c r="L28" s="116">
        <v>67</v>
      </c>
      <c r="M28" s="116">
        <v>86</v>
      </c>
      <c r="N28" s="116">
        <v>118</v>
      </c>
      <c r="O28" s="116">
        <v>115</v>
      </c>
      <c r="P28" s="116">
        <v>73.570999999999998</v>
      </c>
      <c r="Q28" s="116">
        <v>97.248999999999995</v>
      </c>
      <c r="R28" s="116">
        <v>75.787999999999997</v>
      </c>
      <c r="S28" s="116">
        <v>139.443161508</v>
      </c>
      <c r="T28" s="116">
        <v>81.54834419912018</v>
      </c>
      <c r="U28" s="116">
        <v>94.385892489919996</v>
      </c>
      <c r="V28" s="116">
        <v>84.830465000000075</v>
      </c>
      <c r="W28" s="116">
        <v>105.47737666236954</v>
      </c>
      <c r="X28" s="116">
        <v>103.30567553839985</v>
      </c>
      <c r="Y28" s="116">
        <v>110.51373336154519</v>
      </c>
      <c r="Z28" s="116">
        <v>108.6721637399254</v>
      </c>
      <c r="AA28" s="116">
        <v>51.470168231708499</v>
      </c>
      <c r="AB28" s="116">
        <v>64.665298560890562</v>
      </c>
      <c r="AC28" s="116">
        <v>121.48345827246975</v>
      </c>
      <c r="AD28" s="116">
        <v>91.494874582643575</v>
      </c>
      <c r="AE28" s="116">
        <v>85.60259949800259</v>
      </c>
      <c r="AF28" s="116">
        <v>114.87084713375205</v>
      </c>
      <c r="AG28" s="116">
        <v>89.589201867600053</v>
      </c>
    </row>
    <row r="29" spans="2:33" ht="11.1" customHeight="1">
      <c r="B29" s="48"/>
      <c r="C29" s="48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</row>
    <row r="30" spans="2:33" ht="11.1" customHeight="1">
      <c r="B30" s="479" t="s">
        <v>119</v>
      </c>
      <c r="C30" s="479" t="s">
        <v>119</v>
      </c>
      <c r="D30" s="480"/>
      <c r="E30" s="480"/>
      <c r="F30" s="480"/>
      <c r="G30" s="480"/>
      <c r="H30" s="480"/>
      <c r="I30" s="480"/>
      <c r="J30" s="480"/>
      <c r="K30" s="480"/>
      <c r="L30" s="480"/>
      <c r="M30" s="480"/>
      <c r="N30" s="480"/>
      <c r="O30" s="480"/>
      <c r="P30" s="480"/>
      <c r="Q30" s="480"/>
      <c r="R30" s="480"/>
      <c r="S30" s="480"/>
      <c r="T30" s="480"/>
      <c r="U30" s="480"/>
      <c r="V30" s="480"/>
      <c r="W30" s="480"/>
      <c r="X30" s="480"/>
      <c r="Y30" s="480"/>
      <c r="Z30" s="480"/>
      <c r="AA30" s="480"/>
      <c r="AB30" s="480"/>
      <c r="AC30" s="480"/>
      <c r="AD30" s="480"/>
      <c r="AE30" s="480"/>
      <c r="AF30" s="480"/>
      <c r="AG30" s="480"/>
    </row>
    <row r="31" spans="2:33" ht="11.1" customHeight="1">
      <c r="B31" s="42" t="s">
        <v>1031</v>
      </c>
      <c r="C31" s="42" t="s">
        <v>1032</v>
      </c>
      <c r="D31" s="116">
        <v>0</v>
      </c>
      <c r="E31" s="116">
        <v>0</v>
      </c>
      <c r="F31" s="116">
        <v>0</v>
      </c>
      <c r="G31" s="116">
        <v>0</v>
      </c>
      <c r="H31" s="116">
        <v>0</v>
      </c>
      <c r="I31" s="116">
        <v>0</v>
      </c>
      <c r="J31" s="116">
        <v>0</v>
      </c>
      <c r="K31" s="116">
        <v>0</v>
      </c>
      <c r="L31" s="116">
        <v>0</v>
      </c>
      <c r="M31" s="116">
        <v>0</v>
      </c>
      <c r="N31" s="116">
        <v>158</v>
      </c>
      <c r="O31" s="116">
        <v>154.14938911373054</v>
      </c>
      <c r="P31" s="116">
        <v>123.75847544000001</v>
      </c>
      <c r="Q31" s="116">
        <v>158.06888241000001</v>
      </c>
      <c r="R31" s="116">
        <v>136.53592540000005</v>
      </c>
      <c r="S31" s="116">
        <v>146.52961728000002</v>
      </c>
      <c r="T31" s="116">
        <v>135.14212488999996</v>
      </c>
      <c r="U31" s="116">
        <v>146.41705758999998</v>
      </c>
      <c r="V31" s="116">
        <v>145.26245301000003</v>
      </c>
      <c r="W31" s="116">
        <v>155.59791840406729</v>
      </c>
      <c r="X31" s="116">
        <v>136.30973587999995</v>
      </c>
      <c r="Y31" s="116">
        <v>137.89758209000001</v>
      </c>
      <c r="Z31" s="116">
        <v>141.95519750999992</v>
      </c>
      <c r="AA31" s="116">
        <v>157.56518257599998</v>
      </c>
      <c r="AB31" s="116">
        <v>151.24628518</v>
      </c>
      <c r="AC31" s="116">
        <v>161.44382374</v>
      </c>
      <c r="AD31" s="116">
        <v>159.78154149000002</v>
      </c>
      <c r="AE31" s="116">
        <v>179.71744225999998</v>
      </c>
      <c r="AF31" s="116">
        <v>163.29538286999997</v>
      </c>
      <c r="AG31" s="116">
        <v>155.09666580000001</v>
      </c>
    </row>
    <row r="32" spans="2:33" ht="11.1" customHeight="1">
      <c r="B32" s="42" t="s">
        <v>1033</v>
      </c>
      <c r="C32" s="42" t="s">
        <v>1034</v>
      </c>
      <c r="D32" s="116">
        <v>0</v>
      </c>
      <c r="E32" s="116">
        <v>0</v>
      </c>
      <c r="F32" s="116">
        <v>0</v>
      </c>
      <c r="G32" s="116">
        <v>0</v>
      </c>
      <c r="H32" s="116">
        <v>0</v>
      </c>
      <c r="I32" s="116">
        <v>0</v>
      </c>
      <c r="J32" s="116">
        <v>0</v>
      </c>
      <c r="K32" s="116">
        <v>0</v>
      </c>
      <c r="L32" s="116">
        <v>0</v>
      </c>
      <c r="M32" s="116">
        <v>0</v>
      </c>
      <c r="N32" s="116">
        <v>-104</v>
      </c>
      <c r="O32" s="116">
        <v>57.106857461347332</v>
      </c>
      <c r="P32" s="116">
        <v>170.89200000000002</v>
      </c>
      <c r="Q32" s="116">
        <v>-69.580731049999997</v>
      </c>
      <c r="R32" s="120">
        <v>77</v>
      </c>
      <c r="S32" s="116">
        <v>114.65863787456186</v>
      </c>
      <c r="T32" s="116">
        <v>221.94840378410734</v>
      </c>
      <c r="U32" s="116">
        <v>59.150440889999985</v>
      </c>
      <c r="V32" s="116">
        <v>110.07382515000008</v>
      </c>
      <c r="W32" s="116">
        <v>131.91028250813332</v>
      </c>
      <c r="X32" s="116">
        <v>212.39888191000014</v>
      </c>
      <c r="Y32" s="116">
        <v>59.150955129999971</v>
      </c>
      <c r="Z32" s="116">
        <v>134.78039345000002</v>
      </c>
      <c r="AA32" s="116">
        <v>152.89104576399998</v>
      </c>
      <c r="AB32" s="116">
        <v>245.42392249</v>
      </c>
      <c r="AC32" s="116">
        <v>83.846467018000212</v>
      </c>
      <c r="AD32" s="116">
        <v>142.59990019</v>
      </c>
      <c r="AE32" s="116">
        <v>247.33833980999998</v>
      </c>
      <c r="AF32" s="116">
        <v>285.69204973199788</v>
      </c>
      <c r="AG32" s="116">
        <v>147.52521914157481</v>
      </c>
    </row>
    <row r="33" spans="2:33" ht="11.1" customHeight="1">
      <c r="B33" s="42" t="s">
        <v>1035</v>
      </c>
      <c r="C33" s="42" t="s">
        <v>1036</v>
      </c>
      <c r="D33" s="116">
        <v>0</v>
      </c>
      <c r="E33" s="116">
        <v>0</v>
      </c>
      <c r="F33" s="116">
        <v>0</v>
      </c>
      <c r="G33" s="116">
        <v>0</v>
      </c>
      <c r="H33" s="116">
        <v>0</v>
      </c>
      <c r="I33" s="116">
        <v>0</v>
      </c>
      <c r="J33" s="116">
        <v>0</v>
      </c>
      <c r="K33" s="116">
        <v>0</v>
      </c>
      <c r="L33" s="116">
        <v>0</v>
      </c>
      <c r="M33" s="116">
        <v>0</v>
      </c>
      <c r="N33" s="116">
        <v>-174</v>
      </c>
      <c r="O33" s="116">
        <v>-41.019105089999925</v>
      </c>
      <c r="P33" s="116">
        <v>-93.067466000000024</v>
      </c>
      <c r="Q33" s="116">
        <v>-59.957709250000022</v>
      </c>
      <c r="R33" s="116">
        <v>-68.132193590000043</v>
      </c>
      <c r="S33" s="116">
        <v>-146.43924496469594</v>
      </c>
      <c r="T33" s="116">
        <v>-182.06474529000002</v>
      </c>
      <c r="U33" s="116">
        <v>-177.79738279999998</v>
      </c>
      <c r="V33" s="116">
        <v>-175.17937571000004</v>
      </c>
      <c r="W33" s="116">
        <v>-197.00550413000002</v>
      </c>
      <c r="X33" s="116">
        <v>-243.58105866</v>
      </c>
      <c r="Y33" s="116">
        <v>-192.63368112999996</v>
      </c>
      <c r="Z33" s="116">
        <v>-208.73123817000004</v>
      </c>
      <c r="AA33" s="116">
        <v>-267.47124735999989</v>
      </c>
      <c r="AB33" s="116">
        <v>-254.80595377</v>
      </c>
      <c r="AC33" s="116">
        <v>-285.12003345000005</v>
      </c>
      <c r="AD33" s="116">
        <v>-302.11808488999998</v>
      </c>
      <c r="AE33" s="116">
        <v>-313.84690435000005</v>
      </c>
      <c r="AF33" s="116">
        <v>-306.15937214000007</v>
      </c>
      <c r="AG33" s="116">
        <v>-337.3008145</v>
      </c>
    </row>
    <row r="34" spans="2:33" ht="11.1" customHeight="1">
      <c r="B34" s="42" t="s">
        <v>1037</v>
      </c>
      <c r="C34" s="42" t="s">
        <v>1038</v>
      </c>
      <c r="D34" s="116">
        <v>0</v>
      </c>
      <c r="E34" s="116">
        <v>0</v>
      </c>
      <c r="F34" s="116">
        <v>0</v>
      </c>
      <c r="G34" s="116">
        <v>0</v>
      </c>
      <c r="H34" s="116">
        <v>0</v>
      </c>
      <c r="I34" s="116">
        <v>0</v>
      </c>
      <c r="J34" s="116">
        <v>0</v>
      </c>
      <c r="K34" s="116">
        <v>0</v>
      </c>
      <c r="L34" s="116">
        <v>0</v>
      </c>
      <c r="M34" s="116">
        <v>0</v>
      </c>
      <c r="N34" s="116">
        <v>-304</v>
      </c>
      <c r="O34" s="116">
        <v>-24</v>
      </c>
      <c r="P34" s="116">
        <v>37.02044094</v>
      </c>
      <c r="Q34" s="116">
        <v>-101.035</v>
      </c>
      <c r="R34" s="116">
        <v>-29.343401862795545</v>
      </c>
      <c r="S34" s="116">
        <v>-81.167227600134083</v>
      </c>
      <c r="T34" s="116">
        <v>14.472759139195471</v>
      </c>
      <c r="U34" s="116">
        <v>-159.44800000000001</v>
      </c>
      <c r="V34" s="116">
        <v>-98.287772769999904</v>
      </c>
      <c r="W34" s="116">
        <v>-151.81711096863205</v>
      </c>
      <c r="X34" s="116">
        <v>-12.696729510399887</v>
      </c>
      <c r="Y34" s="116">
        <v>-218.60814179420007</v>
      </c>
      <c r="Z34" s="116">
        <v>-138.11506610039999</v>
      </c>
      <c r="AA34" s="116">
        <v>-105.0782675104</v>
      </c>
      <c r="AB34" s="116">
        <v>-28.525352836600053</v>
      </c>
      <c r="AC34" s="116">
        <v>-263.16783802811983</v>
      </c>
      <c r="AD34" s="116">
        <v>-250.10869353219994</v>
      </c>
      <c r="AE34" s="116">
        <v>-206.46398878719998</v>
      </c>
      <c r="AF34" s="116">
        <v>-75.390359969802063</v>
      </c>
      <c r="AG34" s="116">
        <v>-342.45548399042514</v>
      </c>
    </row>
    <row r="35" spans="2:33" ht="11.1" customHeight="1">
      <c r="B35" s="48"/>
      <c r="C35" s="48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</row>
    <row r="36" spans="2:33" ht="11.1" customHeight="1">
      <c r="B36" s="479" t="s">
        <v>122</v>
      </c>
      <c r="C36" s="479" t="s">
        <v>122</v>
      </c>
      <c r="D36" s="480"/>
      <c r="E36" s="480"/>
      <c r="F36" s="480"/>
      <c r="G36" s="480"/>
      <c r="H36" s="480"/>
      <c r="I36" s="480"/>
      <c r="J36" s="480"/>
      <c r="K36" s="480"/>
      <c r="L36" s="480"/>
      <c r="M36" s="480"/>
      <c r="N36" s="480"/>
      <c r="O36" s="480"/>
      <c r="P36" s="480"/>
      <c r="Q36" s="480"/>
      <c r="R36" s="480"/>
      <c r="S36" s="480"/>
      <c r="T36" s="480"/>
      <c r="U36" s="480"/>
      <c r="V36" s="480"/>
      <c r="W36" s="480"/>
      <c r="X36" s="480"/>
      <c r="Y36" s="480"/>
      <c r="Z36" s="480"/>
      <c r="AA36" s="480"/>
      <c r="AB36" s="480"/>
      <c r="AC36" s="480"/>
      <c r="AD36" s="480"/>
      <c r="AE36" s="480"/>
      <c r="AF36" s="480"/>
      <c r="AG36" s="480"/>
    </row>
    <row r="37" spans="2:33" ht="11.1" customHeight="1">
      <c r="B37" s="42" t="s">
        <v>1031</v>
      </c>
      <c r="C37" s="42" t="s">
        <v>1032</v>
      </c>
      <c r="D37" s="116">
        <v>0</v>
      </c>
      <c r="E37" s="116">
        <v>0</v>
      </c>
      <c r="F37" s="116">
        <v>0</v>
      </c>
      <c r="G37" s="116">
        <v>0</v>
      </c>
      <c r="H37" s="116">
        <v>0</v>
      </c>
      <c r="I37" s="116">
        <v>0</v>
      </c>
      <c r="J37" s="116">
        <v>0</v>
      </c>
      <c r="K37" s="116">
        <v>0</v>
      </c>
      <c r="L37" s="116">
        <v>0</v>
      </c>
      <c r="M37" s="116">
        <v>0</v>
      </c>
      <c r="N37" s="116">
        <v>0</v>
      </c>
      <c r="O37" s="116">
        <v>32.660326940000012</v>
      </c>
      <c r="P37" s="116">
        <v>28.171214580000015</v>
      </c>
      <c r="Q37" s="116">
        <v>25.196733999999992</v>
      </c>
      <c r="R37" s="116">
        <v>38.874070239999973</v>
      </c>
      <c r="S37" s="116">
        <v>31.661954000000016</v>
      </c>
      <c r="T37" s="116">
        <v>36.953767389999996</v>
      </c>
      <c r="U37" s="116">
        <v>31.615554899999999</v>
      </c>
      <c r="V37" s="116">
        <v>32.433372029999994</v>
      </c>
      <c r="W37" s="116">
        <v>35.875060439999984</v>
      </c>
      <c r="X37" s="116">
        <v>35.543944789999998</v>
      </c>
      <c r="Y37" s="116">
        <v>32.97591997</v>
      </c>
      <c r="Z37" s="116">
        <v>32.554607610000005</v>
      </c>
      <c r="AA37" s="116">
        <v>38.887288710000007</v>
      </c>
      <c r="AB37" s="116">
        <v>35.971266500000006</v>
      </c>
      <c r="AC37" s="116">
        <v>32.09615286999999</v>
      </c>
      <c r="AD37" s="116">
        <v>31.807103160000011</v>
      </c>
      <c r="AE37" s="116">
        <v>40.122379049999992</v>
      </c>
      <c r="AF37" s="116">
        <v>33.733891879999995</v>
      </c>
      <c r="AG37" s="116">
        <v>31.887866320000001</v>
      </c>
    </row>
    <row r="38" spans="2:33" ht="11.1" customHeight="1">
      <c r="B38" s="42" t="s">
        <v>1033</v>
      </c>
      <c r="C38" s="42" t="s">
        <v>1034</v>
      </c>
      <c r="D38" s="116">
        <v>0</v>
      </c>
      <c r="E38" s="116">
        <v>0</v>
      </c>
      <c r="F38" s="116">
        <v>0</v>
      </c>
      <c r="G38" s="116">
        <v>0</v>
      </c>
      <c r="H38" s="116">
        <v>0</v>
      </c>
      <c r="I38" s="116">
        <v>0</v>
      </c>
      <c r="J38" s="116">
        <v>0</v>
      </c>
      <c r="K38" s="116">
        <v>0</v>
      </c>
      <c r="L38" s="116">
        <v>0</v>
      </c>
      <c r="M38" s="116">
        <v>0</v>
      </c>
      <c r="N38" s="116">
        <v>0</v>
      </c>
      <c r="O38" s="116">
        <v>-49.082000000000001</v>
      </c>
      <c r="P38" s="116">
        <v>23.293941999999994</v>
      </c>
      <c r="Q38" s="116">
        <v>51.82937849999999</v>
      </c>
      <c r="R38" s="120">
        <v>35</v>
      </c>
      <c r="S38" s="116">
        <v>66.737385671938583</v>
      </c>
      <c r="T38" s="116">
        <v>39.036002250000003</v>
      </c>
      <c r="U38" s="116">
        <v>69.936743230000005</v>
      </c>
      <c r="V38" s="116">
        <v>78.294027050000011</v>
      </c>
      <c r="W38" s="116">
        <v>59.383340268626412</v>
      </c>
      <c r="X38" s="116">
        <v>63.663792547913793</v>
      </c>
      <c r="Y38" s="116">
        <v>61.894668061834999</v>
      </c>
      <c r="Z38" s="116">
        <v>120.16731227999992</v>
      </c>
      <c r="AA38" s="116">
        <v>100.95123276406909</v>
      </c>
      <c r="AB38" s="116">
        <v>100.50365553000005</v>
      </c>
      <c r="AC38" s="116">
        <v>119.10482338000003</v>
      </c>
      <c r="AD38" s="116">
        <v>125.41025574532675</v>
      </c>
      <c r="AE38" s="116">
        <v>119.49676038000005</v>
      </c>
      <c r="AF38" s="116">
        <v>101.64734212859449</v>
      </c>
      <c r="AG38" s="116">
        <v>116.83149033999999</v>
      </c>
    </row>
    <row r="39" spans="2:33" ht="11.1" customHeight="1">
      <c r="B39" s="42" t="s">
        <v>1035</v>
      </c>
      <c r="C39" s="42" t="s">
        <v>1036</v>
      </c>
      <c r="D39" s="116">
        <v>0</v>
      </c>
      <c r="E39" s="116">
        <v>0</v>
      </c>
      <c r="F39" s="116">
        <v>0</v>
      </c>
      <c r="G39" s="116">
        <v>0</v>
      </c>
      <c r="H39" s="116">
        <v>0</v>
      </c>
      <c r="I39" s="116">
        <v>0</v>
      </c>
      <c r="J39" s="116">
        <v>0</v>
      </c>
      <c r="K39" s="116">
        <v>0</v>
      </c>
      <c r="L39" s="116">
        <v>0</v>
      </c>
      <c r="M39" s="116">
        <v>0</v>
      </c>
      <c r="N39" s="116">
        <v>0</v>
      </c>
      <c r="O39" s="116">
        <v>0.8378345299999943</v>
      </c>
      <c r="P39" s="116">
        <v>-25.657153120000061</v>
      </c>
      <c r="Q39" s="116">
        <v>6.6185012899999744</v>
      </c>
      <c r="R39" s="116">
        <v>-39.74286977999995</v>
      </c>
      <c r="S39" s="116">
        <v>-45.229018329999995</v>
      </c>
      <c r="T39" s="116">
        <v>-44.38509882000001</v>
      </c>
      <c r="U39" s="116">
        <v>-45.019457699999982</v>
      </c>
      <c r="V39" s="116">
        <v>-65.834861389999986</v>
      </c>
      <c r="W39" s="116">
        <v>-63.851213280000024</v>
      </c>
      <c r="X39" s="116">
        <v>-66.8118695</v>
      </c>
      <c r="Y39" s="116">
        <v>-66.42684629999998</v>
      </c>
      <c r="Z39" s="116">
        <v>-66.979390969999997</v>
      </c>
      <c r="AA39" s="116">
        <v>-64.090224690000028</v>
      </c>
      <c r="AB39" s="116">
        <v>-77.012936020000026</v>
      </c>
      <c r="AC39" s="116">
        <v>-73.39765598000001</v>
      </c>
      <c r="AD39" s="116">
        <v>-94.045378460000009</v>
      </c>
      <c r="AE39" s="116">
        <v>-81.745838959999958</v>
      </c>
      <c r="AF39" s="116">
        <v>-76.361425219999987</v>
      </c>
      <c r="AG39" s="116">
        <v>-78.021465810000009</v>
      </c>
    </row>
    <row r="40" spans="2:33" ht="11.1" customHeight="1">
      <c r="B40" s="42" t="s">
        <v>1037</v>
      </c>
      <c r="C40" s="42" t="s">
        <v>1038</v>
      </c>
      <c r="D40" s="116">
        <v>0</v>
      </c>
      <c r="E40" s="116">
        <v>0</v>
      </c>
      <c r="F40" s="116">
        <v>0</v>
      </c>
      <c r="G40" s="116">
        <v>0</v>
      </c>
      <c r="H40" s="116">
        <v>0</v>
      </c>
      <c r="I40" s="116">
        <v>0</v>
      </c>
      <c r="J40" s="116">
        <v>0</v>
      </c>
      <c r="K40" s="116">
        <v>0</v>
      </c>
      <c r="L40" s="116">
        <v>0</v>
      </c>
      <c r="M40" s="116">
        <v>0</v>
      </c>
      <c r="N40" s="116">
        <v>0</v>
      </c>
      <c r="O40" s="116">
        <v>0</v>
      </c>
      <c r="P40" s="116">
        <v>-4.8897790000000327</v>
      </c>
      <c r="Q40" s="116">
        <v>43.645498359999998</v>
      </c>
      <c r="R40" s="116">
        <v>-8.8476149345499948</v>
      </c>
      <c r="S40" s="116">
        <v>2.6008757530794657</v>
      </c>
      <c r="T40" s="116">
        <v>-11.9869456165</v>
      </c>
      <c r="U40" s="116">
        <v>-10.757</v>
      </c>
      <c r="V40" s="116">
        <v>7.334491000000015</v>
      </c>
      <c r="W40" s="116">
        <v>-30.231957776173584</v>
      </c>
      <c r="X40" s="116">
        <v>-14.287238438376892</v>
      </c>
      <c r="Y40" s="116">
        <v>-9.2346283465649801</v>
      </c>
      <c r="Z40" s="116">
        <v>39.722177830399922</v>
      </c>
      <c r="AA40" s="116">
        <v>18.888056551452568</v>
      </c>
      <c r="AB40" s="116">
        <v>5.9095780498000252</v>
      </c>
      <c r="AC40" s="116">
        <v>15.584924397901139</v>
      </c>
      <c r="AD40" s="116">
        <v>-5.0137229155715781</v>
      </c>
      <c r="AE40" s="116">
        <v>-15.78384110039997</v>
      </c>
      <c r="AF40" s="116">
        <v>0.43006256441051915</v>
      </c>
      <c r="AG40" s="116">
        <v>-6.7540661318000064</v>
      </c>
    </row>
    <row r="41" spans="2:33" ht="11.1" customHeight="1">
      <c r="B41" s="165"/>
      <c r="C41" s="165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/>
      <c r="AE41" s="116"/>
      <c r="AF41" s="116"/>
      <c r="AG41" s="116"/>
    </row>
    <row r="42" spans="2:33" ht="11.1" customHeight="1">
      <c r="B42" s="479" t="s">
        <v>125</v>
      </c>
      <c r="C42" s="479" t="s">
        <v>125</v>
      </c>
      <c r="D42" s="480"/>
      <c r="E42" s="480"/>
      <c r="F42" s="480"/>
      <c r="G42" s="480"/>
      <c r="H42" s="480"/>
      <c r="I42" s="480"/>
      <c r="J42" s="480"/>
      <c r="K42" s="480"/>
      <c r="L42" s="480"/>
      <c r="M42" s="480"/>
      <c r="N42" s="480"/>
      <c r="O42" s="480"/>
      <c r="P42" s="480"/>
      <c r="Q42" s="480"/>
      <c r="R42" s="480"/>
      <c r="S42" s="480"/>
      <c r="T42" s="480"/>
      <c r="U42" s="480"/>
      <c r="V42" s="480"/>
      <c r="W42" s="480"/>
      <c r="X42" s="480"/>
      <c r="Y42" s="480"/>
      <c r="Z42" s="480"/>
      <c r="AA42" s="480"/>
      <c r="AB42" s="480"/>
      <c r="AC42" s="480"/>
      <c r="AD42" s="480"/>
      <c r="AE42" s="480"/>
      <c r="AF42" s="480"/>
      <c r="AG42" s="480"/>
    </row>
    <row r="43" spans="2:33" ht="11.1" customHeight="1">
      <c r="B43" s="42" t="s">
        <v>1031</v>
      </c>
      <c r="C43" s="42" t="s">
        <v>1032</v>
      </c>
      <c r="D43" s="116">
        <v>0</v>
      </c>
      <c r="E43" s="116">
        <v>0</v>
      </c>
      <c r="F43" s="116">
        <v>0</v>
      </c>
      <c r="G43" s="116">
        <v>0</v>
      </c>
      <c r="H43" s="116">
        <v>0</v>
      </c>
      <c r="I43" s="116">
        <v>0</v>
      </c>
      <c r="J43" s="116">
        <v>0</v>
      </c>
      <c r="K43" s="116">
        <v>0</v>
      </c>
      <c r="L43" s="116">
        <v>0</v>
      </c>
      <c r="M43" s="116">
        <v>0</v>
      </c>
      <c r="N43" s="116">
        <v>0</v>
      </c>
      <c r="O43" s="116">
        <v>0</v>
      </c>
      <c r="P43" s="116">
        <v>0</v>
      </c>
      <c r="Q43" s="116">
        <v>0</v>
      </c>
      <c r="R43" s="116">
        <v>0</v>
      </c>
      <c r="S43" s="116">
        <v>0</v>
      </c>
      <c r="T43" s="116">
        <v>340.6752975855876</v>
      </c>
      <c r="U43" s="116">
        <v>288.09135498000029</v>
      </c>
      <c r="V43" s="116">
        <v>286.74285362000012</v>
      </c>
      <c r="W43" s="116">
        <v>255.37047407999992</v>
      </c>
      <c r="X43" s="116">
        <v>344.00064206999997</v>
      </c>
      <c r="Y43" s="116">
        <v>284.06617211999998</v>
      </c>
      <c r="Z43" s="116">
        <v>291.8211002000001</v>
      </c>
      <c r="AA43" s="116">
        <v>333.70022345999996</v>
      </c>
      <c r="AB43" s="116">
        <v>290.15186299999999</v>
      </c>
      <c r="AC43" s="116">
        <v>298.73524114000014</v>
      </c>
      <c r="AD43" s="116">
        <v>284.02804741000006</v>
      </c>
      <c r="AE43" s="116">
        <v>304.63956072000002</v>
      </c>
      <c r="AF43" s="116">
        <v>309.65386155000004</v>
      </c>
      <c r="AG43" s="116">
        <v>313.51898607000004</v>
      </c>
    </row>
    <row r="44" spans="2:33" ht="11.1" customHeight="1">
      <c r="B44" s="42" t="s">
        <v>1033</v>
      </c>
      <c r="C44" s="42" t="s">
        <v>1034</v>
      </c>
      <c r="D44" s="116">
        <v>0</v>
      </c>
      <c r="E44" s="116">
        <v>0</v>
      </c>
      <c r="F44" s="116">
        <v>0</v>
      </c>
      <c r="G44" s="116">
        <v>0</v>
      </c>
      <c r="H44" s="116">
        <v>0</v>
      </c>
      <c r="I44" s="116">
        <v>0</v>
      </c>
      <c r="J44" s="116">
        <v>0</v>
      </c>
      <c r="K44" s="116">
        <v>0</v>
      </c>
      <c r="L44" s="116">
        <v>0</v>
      </c>
      <c r="M44" s="116">
        <v>0</v>
      </c>
      <c r="N44" s="116">
        <v>0</v>
      </c>
      <c r="O44" s="116">
        <v>0</v>
      </c>
      <c r="P44" s="116">
        <v>0</v>
      </c>
      <c r="Q44" s="116">
        <v>0</v>
      </c>
      <c r="R44" s="116">
        <v>0</v>
      </c>
      <c r="S44" s="116">
        <v>0</v>
      </c>
      <c r="T44" s="116">
        <v>290.67784483441233</v>
      </c>
      <c r="U44" s="116">
        <v>212.90303214767928</v>
      </c>
      <c r="V44" s="116">
        <v>316.4933306528751</v>
      </c>
      <c r="W44" s="116">
        <v>569.1136714714288</v>
      </c>
      <c r="X44" s="116">
        <v>475.49994876029513</v>
      </c>
      <c r="Y44" s="116">
        <v>497.93727424999963</v>
      </c>
      <c r="Z44" s="116">
        <v>622.2498235700001</v>
      </c>
      <c r="AA44" s="116">
        <v>585.2206086777478</v>
      </c>
      <c r="AB44" s="116">
        <v>628.41300099999989</v>
      </c>
      <c r="AC44" s="116">
        <v>587.03210879000039</v>
      </c>
      <c r="AD44" s="116">
        <v>712.83777756000029</v>
      </c>
      <c r="AE44" s="116">
        <v>742.25688910947349</v>
      </c>
      <c r="AF44" s="116">
        <v>614.28929304156952</v>
      </c>
      <c r="AG44" s="116">
        <v>600.64707343999976</v>
      </c>
    </row>
    <row r="45" spans="2:33" ht="11.1" customHeight="1">
      <c r="B45" s="42" t="s">
        <v>1035</v>
      </c>
      <c r="C45" s="42" t="s">
        <v>1036</v>
      </c>
      <c r="D45" s="116">
        <v>0</v>
      </c>
      <c r="E45" s="116">
        <v>0</v>
      </c>
      <c r="F45" s="116">
        <v>0</v>
      </c>
      <c r="G45" s="116">
        <v>0</v>
      </c>
      <c r="H45" s="116">
        <v>0</v>
      </c>
      <c r="I45" s="116">
        <v>0</v>
      </c>
      <c r="J45" s="116">
        <v>0</v>
      </c>
      <c r="K45" s="116">
        <v>0</v>
      </c>
      <c r="L45" s="116">
        <v>0</v>
      </c>
      <c r="M45" s="116">
        <v>0</v>
      </c>
      <c r="N45" s="116">
        <v>0</v>
      </c>
      <c r="O45" s="116">
        <v>0</v>
      </c>
      <c r="P45" s="116">
        <v>0</v>
      </c>
      <c r="Q45" s="116">
        <v>0</v>
      </c>
      <c r="R45" s="116">
        <v>0</v>
      </c>
      <c r="S45" s="116">
        <v>0</v>
      </c>
      <c r="T45" s="116">
        <v>-368.33623520000003</v>
      </c>
      <c r="U45" s="116">
        <v>-223.34931656999998</v>
      </c>
      <c r="V45" s="116">
        <v>-327.86506484000006</v>
      </c>
      <c r="W45" s="116">
        <v>-400.53320555999994</v>
      </c>
      <c r="X45" s="116">
        <v>-370.25292923999996</v>
      </c>
      <c r="Y45" s="116">
        <v>-357.33797364000014</v>
      </c>
      <c r="Z45" s="116">
        <v>-358.73245811999988</v>
      </c>
      <c r="AA45" s="116">
        <v>-399.36309985999998</v>
      </c>
      <c r="AB45" s="116">
        <v>-430.58206999999993</v>
      </c>
      <c r="AC45" s="116">
        <v>-411.80705102999997</v>
      </c>
      <c r="AD45" s="116">
        <v>-486.14540657000009</v>
      </c>
      <c r="AE45" s="116">
        <v>-462.63674157999969</v>
      </c>
      <c r="AF45" s="116">
        <v>-531.36713034000002</v>
      </c>
      <c r="AG45" s="116">
        <v>-579.04874257999995</v>
      </c>
    </row>
    <row r="46" spans="2:33" ht="11.1" customHeight="1">
      <c r="B46" s="42" t="s">
        <v>1037</v>
      </c>
      <c r="C46" s="42" t="s">
        <v>1038</v>
      </c>
      <c r="D46" s="116">
        <v>0</v>
      </c>
      <c r="E46" s="116">
        <v>0</v>
      </c>
      <c r="F46" s="116">
        <v>0</v>
      </c>
      <c r="G46" s="116">
        <v>0</v>
      </c>
      <c r="H46" s="116">
        <v>0</v>
      </c>
      <c r="I46" s="116">
        <v>0</v>
      </c>
      <c r="J46" s="116">
        <v>0</v>
      </c>
      <c r="K46" s="116">
        <v>0</v>
      </c>
      <c r="L46" s="116">
        <v>0</v>
      </c>
      <c r="M46" s="116">
        <v>0</v>
      </c>
      <c r="N46" s="116">
        <v>0</v>
      </c>
      <c r="O46" s="116">
        <v>0</v>
      </c>
      <c r="P46" s="116">
        <v>0</v>
      </c>
      <c r="Q46" s="116">
        <v>0</v>
      </c>
      <c r="R46" s="116">
        <v>0</v>
      </c>
      <c r="S46" s="116">
        <v>0</v>
      </c>
      <c r="T46" s="116">
        <v>-138.52584649198465</v>
      </c>
      <c r="U46" s="116">
        <v>-103.58675377408537</v>
      </c>
      <c r="V46" s="116">
        <v>-134.06714460712496</v>
      </c>
      <c r="W46" s="116">
        <v>182.88719418294295</v>
      </c>
      <c r="X46" s="116">
        <v>-40.704172272205113</v>
      </c>
      <c r="Y46" s="116">
        <v>-84.24133249500035</v>
      </c>
      <c r="Z46" s="116">
        <v>69.335779446989875</v>
      </c>
      <c r="AA46" s="116">
        <v>-18.995594002452236</v>
      </c>
      <c r="AB46" s="116">
        <v>-23.707845099999972</v>
      </c>
      <c r="AC46" s="116">
        <v>-20.947360498599522</v>
      </c>
      <c r="AD46" s="116">
        <v>19.508467489600157</v>
      </c>
      <c r="AE46" s="116">
        <v>60.969644554368493</v>
      </c>
      <c r="AF46" s="116">
        <v>-58.395894234298936</v>
      </c>
      <c r="AG46" s="116">
        <v>-117.61123643240037</v>
      </c>
    </row>
    <row r="47" spans="2:33" ht="11.1" customHeight="1">
      <c r="B47" s="165"/>
      <c r="C47" s="165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</row>
    <row r="48" spans="2:33" ht="11.1" customHeight="1">
      <c r="B48" s="479" t="s">
        <v>1039</v>
      </c>
      <c r="C48" s="479" t="s">
        <v>1040</v>
      </c>
      <c r="D48" s="480"/>
      <c r="E48" s="480"/>
      <c r="F48" s="480"/>
      <c r="G48" s="480"/>
      <c r="H48" s="480"/>
      <c r="I48" s="480"/>
      <c r="J48" s="480"/>
      <c r="K48" s="480"/>
      <c r="L48" s="480"/>
      <c r="M48" s="480"/>
      <c r="N48" s="480"/>
      <c r="O48" s="480"/>
      <c r="P48" s="480"/>
      <c r="Q48" s="480"/>
      <c r="R48" s="480"/>
      <c r="S48" s="480"/>
      <c r="T48" s="480"/>
      <c r="U48" s="480"/>
      <c r="V48" s="480"/>
      <c r="W48" s="480"/>
      <c r="X48" s="480"/>
      <c r="Y48" s="480"/>
      <c r="Z48" s="480"/>
      <c r="AA48" s="480"/>
      <c r="AB48" s="480"/>
      <c r="AC48" s="480"/>
      <c r="AD48" s="480"/>
      <c r="AE48" s="480"/>
      <c r="AF48" s="480"/>
      <c r="AG48" s="480"/>
    </row>
    <row r="49" spans="2:33" ht="11.1" customHeight="1">
      <c r="B49" s="42" t="s">
        <v>1031</v>
      </c>
      <c r="C49" s="42" t="s">
        <v>1032</v>
      </c>
      <c r="D49" s="116">
        <f t="shared" ref="D49:S52" si="0">SUM(D7,D13,D19,D25,D31,D37)</f>
        <v>303</v>
      </c>
      <c r="E49" s="116">
        <f t="shared" si="0"/>
        <v>378</v>
      </c>
      <c r="F49" s="116">
        <f t="shared" si="0"/>
        <v>398</v>
      </c>
      <c r="G49" s="116">
        <f t="shared" si="0"/>
        <v>379</v>
      </c>
      <c r="H49" s="116">
        <f t="shared" si="0"/>
        <v>350</v>
      </c>
      <c r="I49" s="116">
        <f t="shared" si="0"/>
        <v>343</v>
      </c>
      <c r="J49" s="116">
        <f t="shared" si="0"/>
        <v>357</v>
      </c>
      <c r="K49" s="116">
        <f t="shared" si="0"/>
        <v>387</v>
      </c>
      <c r="L49" s="116">
        <f t="shared" si="0"/>
        <v>394</v>
      </c>
      <c r="M49" s="116">
        <f t="shared" si="0"/>
        <v>402</v>
      </c>
      <c r="N49" s="116">
        <f t="shared" si="0"/>
        <v>561</v>
      </c>
      <c r="O49" s="116">
        <f t="shared" si="0"/>
        <v>679.40177814373055</v>
      </c>
      <c r="P49" s="116">
        <f t="shared" si="0"/>
        <v>589.7069647300001</v>
      </c>
      <c r="Q49" s="116">
        <f t="shared" si="0"/>
        <v>664.83168417000002</v>
      </c>
      <c r="R49" s="116">
        <f t="shared" si="0"/>
        <v>632.15412411999989</v>
      </c>
      <c r="S49" s="116">
        <f t="shared" si="0"/>
        <v>682.37408948506538</v>
      </c>
      <c r="T49" s="116">
        <f t="shared" ref="T49:Y49" si="1">SUM(T7,T13,T19,T25,T31,T37,T43)</f>
        <v>994.88745721558746</v>
      </c>
      <c r="U49" s="116">
        <f t="shared" si="1"/>
        <v>964.99463840660042</v>
      </c>
      <c r="V49" s="116">
        <f t="shared" si="1"/>
        <v>954.14620040000011</v>
      </c>
      <c r="W49" s="116">
        <f t="shared" si="1"/>
        <v>984.57180276570455</v>
      </c>
      <c r="X49" s="116">
        <f t="shared" si="1"/>
        <v>1024.01135432</v>
      </c>
      <c r="Y49" s="116">
        <f t="shared" si="1"/>
        <v>974.7845325899998</v>
      </c>
      <c r="Z49" s="116">
        <f t="shared" ref="Z49:AC52" si="2">SUM(Z7,Z13,Z19,Z25,Z31,Z37,Z43)</f>
        <v>993.89941937999993</v>
      </c>
      <c r="AA49" s="116">
        <f t="shared" si="2"/>
        <v>1067.0092231460001</v>
      </c>
      <c r="AB49" s="116">
        <f t="shared" si="2"/>
        <v>1004.4793480698147</v>
      </c>
      <c r="AC49" s="116">
        <f t="shared" si="2"/>
        <v>1033.8738790100001</v>
      </c>
      <c r="AD49" s="116">
        <f t="shared" ref="AD49:AF52" si="3">SUM(AD7,AD13,AD19,AD25,AD31,AD37,AD43)</f>
        <v>1039.9950838000002</v>
      </c>
      <c r="AE49" s="116">
        <f t="shared" si="3"/>
        <v>1149.3625838199998</v>
      </c>
      <c r="AF49" s="116">
        <f t="shared" si="3"/>
        <v>1100.4826333400001</v>
      </c>
      <c r="AG49" s="116">
        <f>SUM(AG7,AG13,AG19,AG25,AG31,AG37,AG43)</f>
        <v>1096.6534779900001</v>
      </c>
    </row>
    <row r="50" spans="2:33" ht="11.1" customHeight="1">
      <c r="B50" s="42" t="s">
        <v>1033</v>
      </c>
      <c r="C50" s="42" t="s">
        <v>1034</v>
      </c>
      <c r="D50" s="116">
        <f t="shared" si="0"/>
        <v>433</v>
      </c>
      <c r="E50" s="116">
        <f t="shared" si="0"/>
        <v>604</v>
      </c>
      <c r="F50" s="116">
        <f t="shared" si="0"/>
        <v>651</v>
      </c>
      <c r="G50" s="116">
        <f t="shared" si="0"/>
        <v>763</v>
      </c>
      <c r="H50" s="116">
        <f t="shared" si="0"/>
        <v>648</v>
      </c>
      <c r="I50" s="116">
        <f t="shared" si="0"/>
        <v>420</v>
      </c>
      <c r="J50" s="116">
        <f t="shared" si="0"/>
        <v>815</v>
      </c>
      <c r="K50" s="116">
        <f t="shared" si="0"/>
        <v>1188</v>
      </c>
      <c r="L50" s="116">
        <f t="shared" si="0"/>
        <v>975</v>
      </c>
      <c r="M50" s="116">
        <f t="shared" si="0"/>
        <v>970</v>
      </c>
      <c r="N50" s="116">
        <f t="shared" si="0"/>
        <v>1197</v>
      </c>
      <c r="O50" s="116">
        <f t="shared" si="0"/>
        <v>1420.0437240393508</v>
      </c>
      <c r="P50" s="116">
        <f t="shared" si="0"/>
        <v>1304.0748210000002</v>
      </c>
      <c r="Q50" s="116">
        <f t="shared" si="0"/>
        <v>1130.6782132500002</v>
      </c>
      <c r="R50" s="120">
        <f t="shared" si="0"/>
        <v>1391.623</v>
      </c>
      <c r="S50" s="116">
        <f t="shared" si="0"/>
        <v>1915.3576692502834</v>
      </c>
      <c r="T50" s="116">
        <f t="shared" ref="T50:V52" si="4">SUM(T8,T14,T20,T26,T32,T38,T44)</f>
        <v>1834.4416605685196</v>
      </c>
      <c r="U50" s="116">
        <f t="shared" si="4"/>
        <v>1766.1633175010793</v>
      </c>
      <c r="V50" s="120">
        <f t="shared" si="4"/>
        <v>2031.2732720008501</v>
      </c>
      <c r="W50" s="120">
        <f t="shared" ref="W50:X52" si="5">SUM(W8,W14,W20,W26,W32,W38,W44)</f>
        <v>2274.6932997235417</v>
      </c>
      <c r="X50" s="120">
        <f t="shared" si="5"/>
        <v>2107.3127907982089</v>
      </c>
      <c r="Y50" s="120">
        <f>SUM(Y8,Y14,Y20,Y26,Y32,Y38,Y44)</f>
        <v>2067.0141898918346</v>
      </c>
      <c r="Z50" s="120">
        <f t="shared" si="2"/>
        <v>2454.759125959074</v>
      </c>
      <c r="AA50" s="120">
        <f t="shared" si="2"/>
        <v>2467.6271061800926</v>
      </c>
      <c r="AB50" s="120">
        <f t="shared" si="2"/>
        <v>2293.9016308188079</v>
      </c>
      <c r="AC50" s="120">
        <f t="shared" si="2"/>
        <v>2454.4666869679995</v>
      </c>
      <c r="AD50" s="120">
        <f t="shared" ref="AD50" si="6">SUM(AD8,AD14,AD20,AD26,AD32,AD38,AD44)</f>
        <v>2654.8672472353269</v>
      </c>
      <c r="AE50" s="120">
        <f t="shared" si="3"/>
        <v>2921.3288488445219</v>
      </c>
      <c r="AF50" s="120">
        <f t="shared" si="3"/>
        <v>2544.0909506954749</v>
      </c>
      <c r="AG50" s="120">
        <f>SUM(AG8,AG14,AG20,AG26,AG32,AG38,AG44)</f>
        <v>2569.5607398115758</v>
      </c>
    </row>
    <row r="51" spans="2:33" ht="11.1" customHeight="1">
      <c r="B51" s="42" t="s">
        <v>1035</v>
      </c>
      <c r="C51" s="42" t="s">
        <v>1036</v>
      </c>
      <c r="D51" s="116">
        <f t="shared" si="0"/>
        <v>-123</v>
      </c>
      <c r="E51" s="116">
        <f t="shared" si="0"/>
        <v>-93</v>
      </c>
      <c r="F51" s="116">
        <f t="shared" si="0"/>
        <v>-41</v>
      </c>
      <c r="G51" s="116">
        <f t="shared" si="0"/>
        <v>-60</v>
      </c>
      <c r="H51" s="116">
        <f t="shared" si="0"/>
        <v>-113</v>
      </c>
      <c r="I51" s="116">
        <f t="shared" si="0"/>
        <v>-59</v>
      </c>
      <c r="J51" s="116">
        <f t="shared" si="0"/>
        <v>-95</v>
      </c>
      <c r="K51" s="116">
        <f t="shared" si="0"/>
        <v>-69</v>
      </c>
      <c r="L51" s="116">
        <f t="shared" si="0"/>
        <v>-157</v>
      </c>
      <c r="M51" s="116">
        <f t="shared" si="0"/>
        <v>-57</v>
      </c>
      <c r="N51" s="116">
        <f t="shared" si="0"/>
        <v>-112</v>
      </c>
      <c r="O51" s="116">
        <f t="shared" si="0"/>
        <v>-183.25903292179157</v>
      </c>
      <c r="P51" s="116">
        <f t="shared" si="0"/>
        <v>-266.87388251000004</v>
      </c>
      <c r="Q51" s="116">
        <f t="shared" si="0"/>
        <v>-237.55747310000001</v>
      </c>
      <c r="R51" s="116">
        <f t="shared" si="0"/>
        <v>-118.96414847000001</v>
      </c>
      <c r="S51" s="116">
        <f t="shared" si="0"/>
        <v>-235.92622845469594</v>
      </c>
      <c r="T51" s="116">
        <f>SUM(T9,T15,T21,T27,T33,T39,T45)</f>
        <v>-878.57469628000013</v>
      </c>
      <c r="U51" s="116">
        <f>SUM(U9,U15,U21,U27,U33,U39,U45)</f>
        <v>-725.89998534999995</v>
      </c>
      <c r="V51" s="116">
        <f>SUM(V9,V15,V21,V27,V33,V39,V45)</f>
        <v>-755.16959356000018</v>
      </c>
      <c r="W51" s="116">
        <f t="shared" si="5"/>
        <v>-927.89145948999999</v>
      </c>
      <c r="X51" s="116">
        <f t="shared" si="5"/>
        <v>-978.52805216999991</v>
      </c>
      <c r="Y51" s="116">
        <f>SUM(Y9,Y15,Y21,Y27,Y33,Y39,Y45)</f>
        <v>-838.734525688335</v>
      </c>
      <c r="Z51" s="116">
        <f t="shared" si="2"/>
        <v>-882.87347410999996</v>
      </c>
      <c r="AA51" s="116">
        <f t="shared" si="2"/>
        <v>-950.44044444999986</v>
      </c>
      <c r="AB51" s="116">
        <f t="shared" si="2"/>
        <v>-1170.73771283</v>
      </c>
      <c r="AC51" s="116">
        <f t="shared" si="2"/>
        <v>-1151.8362992</v>
      </c>
      <c r="AD51" s="116">
        <f t="shared" ref="AD51" si="7">SUM(AD9,AD15,AD21,AD27,AD33,AD39,AD45)</f>
        <v>-1249.30944894</v>
      </c>
      <c r="AE51" s="116">
        <f t="shared" si="3"/>
        <v>-1270.7625693425312</v>
      </c>
      <c r="AF51" s="116">
        <f t="shared" si="3"/>
        <v>-1338.84231163</v>
      </c>
      <c r="AG51" s="116">
        <f>SUM(AG9,AG15,AG21,AG27,AG33,AG39,AG45)</f>
        <v>-1502.3950968300001</v>
      </c>
    </row>
    <row r="52" spans="2:33" ht="11.1" customHeight="1">
      <c r="B52" s="42" t="s">
        <v>1037</v>
      </c>
      <c r="C52" s="42" t="s">
        <v>1038</v>
      </c>
      <c r="D52" s="116">
        <f t="shared" si="0"/>
        <v>99</v>
      </c>
      <c r="E52" s="116">
        <f t="shared" si="0"/>
        <v>192</v>
      </c>
      <c r="F52" s="116">
        <f t="shared" si="0"/>
        <v>295</v>
      </c>
      <c r="G52" s="116">
        <f t="shared" si="0"/>
        <v>485</v>
      </c>
      <c r="H52" s="116">
        <f t="shared" si="0"/>
        <v>176</v>
      </c>
      <c r="I52" s="116">
        <f t="shared" si="0"/>
        <v>186</v>
      </c>
      <c r="J52" s="116">
        <f t="shared" si="0"/>
        <v>338</v>
      </c>
      <c r="K52" s="116">
        <f t="shared" si="0"/>
        <v>710</v>
      </c>
      <c r="L52" s="116">
        <f t="shared" si="0"/>
        <v>395</v>
      </c>
      <c r="M52" s="116">
        <f t="shared" si="0"/>
        <v>504</v>
      </c>
      <c r="N52" s="116">
        <f t="shared" si="0"/>
        <v>468</v>
      </c>
      <c r="O52" s="116">
        <f t="shared" si="0"/>
        <v>641</v>
      </c>
      <c r="P52" s="116">
        <f t="shared" si="0"/>
        <v>608.71499924620002</v>
      </c>
      <c r="Q52" s="116">
        <f t="shared" si="0"/>
        <v>679.75994891400001</v>
      </c>
      <c r="R52" s="116">
        <f t="shared" si="0"/>
        <v>702.5762700263333</v>
      </c>
      <c r="S52" s="116">
        <f t="shared" si="0"/>
        <v>1086.6010562231854</v>
      </c>
      <c r="T52" s="116">
        <f t="shared" si="4"/>
        <v>548.6913444709254</v>
      </c>
      <c r="U52" s="116">
        <f t="shared" si="4"/>
        <v>525.53505100231541</v>
      </c>
      <c r="V52" s="116">
        <f t="shared" si="4"/>
        <v>838.39986424296137</v>
      </c>
      <c r="W52" s="116">
        <f t="shared" si="5"/>
        <v>1049.6579242882258</v>
      </c>
      <c r="X52" s="116">
        <f t="shared" si="5"/>
        <v>581.54065623431768</v>
      </c>
      <c r="Y52" s="116">
        <f>SUM(Y10,Y16,Y22,Y28,Y34,Y40,Y46)</f>
        <v>431.06121154636054</v>
      </c>
      <c r="Z52" s="116">
        <f t="shared" si="2"/>
        <v>912.56015327243381</v>
      </c>
      <c r="AA52" s="116">
        <f t="shared" si="2"/>
        <v>853.63354385800881</v>
      </c>
      <c r="AB52" s="116">
        <f t="shared" si="2"/>
        <v>429.01405005615982</v>
      </c>
      <c r="AC52" s="116">
        <f t="shared" si="2"/>
        <v>530.02096589554242</v>
      </c>
      <c r="AD52" s="116">
        <f t="shared" ref="AD52" si="8">SUM(AD10,AD16,AD22,AD28,AD34,AD40,AD46)</f>
        <v>604.77390820201663</v>
      </c>
      <c r="AE52" s="116">
        <f t="shared" si="3"/>
        <v>567.54434404705228</v>
      </c>
      <c r="AF52" s="116">
        <f t="shared" si="3"/>
        <v>419.66669576236563</v>
      </c>
      <c r="AG52" s="116">
        <f>SUM(AG10,AG16,AG22,AG28,AG34,AG40,AG46)</f>
        <v>228.63959404497555</v>
      </c>
    </row>
    <row r="54" spans="2:33" ht="11.1" customHeight="1">
      <c r="B54" s="479" t="s">
        <v>1041</v>
      </c>
      <c r="C54" s="479" t="s">
        <v>1042</v>
      </c>
      <c r="D54" s="480"/>
      <c r="E54" s="480"/>
      <c r="F54" s="480"/>
      <c r="G54" s="480"/>
      <c r="H54" s="480"/>
      <c r="I54" s="480"/>
      <c r="J54" s="480"/>
      <c r="K54" s="480"/>
      <c r="L54" s="480"/>
      <c r="M54" s="480"/>
      <c r="N54" s="480"/>
      <c r="O54" s="480"/>
      <c r="P54" s="480"/>
      <c r="Q54" s="480"/>
      <c r="R54" s="480"/>
      <c r="S54" s="480"/>
      <c r="T54" s="480"/>
      <c r="U54" s="480"/>
      <c r="V54" s="480"/>
      <c r="W54" s="480"/>
      <c r="X54" s="480"/>
      <c r="Y54" s="480"/>
      <c r="Z54" s="480"/>
      <c r="AA54" s="480"/>
      <c r="AB54" s="480"/>
      <c r="AC54" s="480"/>
      <c r="AD54" s="480"/>
      <c r="AE54" s="480"/>
      <c r="AF54" s="480"/>
      <c r="AG54" s="480"/>
    </row>
    <row r="55" spans="2:33" ht="11.1" customHeight="1">
      <c r="B55" s="42" t="s">
        <v>1043</v>
      </c>
      <c r="C55" s="42" t="s">
        <v>1044</v>
      </c>
      <c r="D55" s="116"/>
      <c r="E55" s="116"/>
      <c r="F55" s="116"/>
      <c r="G55" s="116"/>
      <c r="H55" s="116"/>
      <c r="I55" s="116"/>
      <c r="J55" s="116"/>
      <c r="K55" s="116">
        <v>423.281887432975</v>
      </c>
      <c r="L55" s="116">
        <v>436.35238162000002</v>
      </c>
      <c r="M55" s="116">
        <v>434.75121757329913</v>
      </c>
      <c r="N55" s="116">
        <v>508.63528183727806</v>
      </c>
      <c r="O55" s="116">
        <v>707.50388625373057</v>
      </c>
      <c r="P55" s="116">
        <v>646.58117900000002</v>
      </c>
      <c r="Q55" s="116">
        <v>773.90200000000004</v>
      </c>
      <c r="R55" s="116">
        <v>733.73871460999999</v>
      </c>
      <c r="S55" s="116">
        <v>851.50005517506531</v>
      </c>
      <c r="T55" s="116">
        <v>1149.4965275455879</v>
      </c>
      <c r="U55" s="116">
        <v>1043.0442237466004</v>
      </c>
      <c r="V55" s="116">
        <v>1087.07505997</v>
      </c>
      <c r="W55" s="116">
        <v>1172.2686714457045</v>
      </c>
      <c r="X55" s="116">
        <v>1179.3575287399997</v>
      </c>
      <c r="Y55" s="120">
        <v>1126.6149687200002</v>
      </c>
      <c r="Z55" s="116">
        <v>1138.1149850199999</v>
      </c>
      <c r="AA55" s="120">
        <v>1234.221144736</v>
      </c>
      <c r="AB55" s="116">
        <v>1105.6331959598147</v>
      </c>
      <c r="AC55" s="116">
        <v>1180.4456178799999</v>
      </c>
      <c r="AD55" s="116">
        <v>1145.6386112499999</v>
      </c>
      <c r="AE55" s="116">
        <v>1155.6789133099999</v>
      </c>
      <c r="AF55" s="116">
        <v>1288.6177190000001</v>
      </c>
      <c r="AG55" s="116">
        <v>1227.39827851</v>
      </c>
    </row>
    <row r="56" spans="2:33" ht="11.1" customHeight="1">
      <c r="B56" s="42" t="s">
        <v>1045</v>
      </c>
      <c r="C56" s="42" t="s">
        <v>722</v>
      </c>
      <c r="D56" s="116"/>
      <c r="E56" s="116"/>
      <c r="F56" s="116"/>
      <c r="G56" s="116"/>
      <c r="H56" s="116"/>
      <c r="I56" s="116"/>
      <c r="J56" s="116"/>
      <c r="K56" s="116">
        <v>1677.1891431594565</v>
      </c>
      <c r="L56" s="116">
        <v>1081.372808347613</v>
      </c>
      <c r="M56" s="116">
        <v>1222.6478025925321</v>
      </c>
      <c r="N56" s="116">
        <v>1442.1308522805377</v>
      </c>
      <c r="O56" s="116">
        <v>1716.2973680324926</v>
      </c>
      <c r="P56" s="116">
        <v>1685.2178210000004</v>
      </c>
      <c r="Q56" s="116">
        <v>1521.6762950100001</v>
      </c>
      <c r="R56" s="116">
        <v>1900.8091278373438</v>
      </c>
      <c r="S56" s="116">
        <v>2197.3942508566829</v>
      </c>
      <c r="T56" s="116">
        <v>2267.0302763685195</v>
      </c>
      <c r="U56" s="116">
        <v>2185.3214766375299</v>
      </c>
      <c r="V56" s="116">
        <v>2521.9054314208506</v>
      </c>
      <c r="W56" s="116">
        <v>2757.2745072035418</v>
      </c>
      <c r="X56" s="116">
        <v>2522.7115327582092</v>
      </c>
      <c r="Y56" s="116">
        <v>2427.7914286918349</v>
      </c>
      <c r="Z56" s="116">
        <v>2932.9632402690727</v>
      </c>
      <c r="AA56" s="116">
        <v>3204.2454929400919</v>
      </c>
      <c r="AB56" s="116">
        <v>2889.1339640088077</v>
      </c>
      <c r="AC56" s="116">
        <v>3213.934124637999</v>
      </c>
      <c r="AD56" s="116">
        <v>3478.0661923602029</v>
      </c>
      <c r="AE56" s="116">
        <v>3540.6389776845226</v>
      </c>
      <c r="AF56" s="116">
        <v>2878.5191498154759</v>
      </c>
      <c r="AG56" s="116">
        <v>2925.1702288115753</v>
      </c>
    </row>
    <row r="57" spans="2:33" ht="11.1" customHeight="1">
      <c r="B57" s="42" t="s">
        <v>994</v>
      </c>
      <c r="C57" s="42" t="s">
        <v>1046</v>
      </c>
      <c r="D57" s="116"/>
      <c r="E57" s="116"/>
      <c r="F57" s="116"/>
      <c r="G57" s="116"/>
      <c r="H57" s="116"/>
      <c r="I57" s="116"/>
      <c r="J57" s="116"/>
      <c r="K57" s="116">
        <v>-117.55884285999997</v>
      </c>
      <c r="L57" s="116">
        <v>-225.63514533000006</v>
      </c>
      <c r="M57" s="116">
        <v>-310.12696189000013</v>
      </c>
      <c r="N57" s="116">
        <v>-398.45142779999992</v>
      </c>
      <c r="O57" s="116">
        <v>-424.66055568179172</v>
      </c>
      <c r="P57" s="116">
        <v>-494.2616155302502</v>
      </c>
      <c r="Q57" s="116">
        <v>-727.23343012999976</v>
      </c>
      <c r="R57" s="116">
        <v>-372.84625067000007</v>
      </c>
      <c r="S57" s="116">
        <v>-458.47032929469572</v>
      </c>
      <c r="T57" s="116">
        <v>-1240.55145718122</v>
      </c>
      <c r="U57" s="116">
        <v>-1045.72345761</v>
      </c>
      <c r="V57" s="116">
        <v>-941.69880489000059</v>
      </c>
      <c r="W57" s="116">
        <v>-1087.7283749800001</v>
      </c>
      <c r="X57" s="116">
        <v>-1338.1982282200001</v>
      </c>
      <c r="Y57" s="116">
        <v>-985.06154850833548</v>
      </c>
      <c r="Z57" s="116">
        <v>-1186.2266983599998</v>
      </c>
      <c r="AA57" s="116">
        <v>-1323.7961338499999</v>
      </c>
      <c r="AB57" s="116">
        <v>-1509.2048486800002</v>
      </c>
      <c r="AC57" s="116">
        <v>-1405.3239358853755</v>
      </c>
      <c r="AD57" s="116">
        <v>-1526.9701441391755</v>
      </c>
      <c r="AE57" s="116">
        <v>-1498.9970667125317</v>
      </c>
      <c r="AF57" s="116">
        <v>-1510.6763580600004</v>
      </c>
      <c r="AG57" s="116">
        <v>-1748.6526803499999</v>
      </c>
    </row>
    <row r="58" spans="2:33" ht="11.1" customHeight="1">
      <c r="B58" s="42" t="s">
        <v>1037</v>
      </c>
      <c r="C58" s="42" t="s">
        <v>1038</v>
      </c>
      <c r="D58" s="116"/>
      <c r="E58" s="116"/>
      <c r="F58" s="116"/>
      <c r="G58" s="116"/>
      <c r="H58" s="116"/>
      <c r="I58" s="116"/>
      <c r="J58" s="116"/>
      <c r="K58" s="116">
        <v>927.54700126344608</v>
      </c>
      <c r="L58" s="116">
        <v>400.81451118858672</v>
      </c>
      <c r="M58" s="116">
        <v>445.55458216827896</v>
      </c>
      <c r="N58" s="116">
        <v>494.43017519208911</v>
      </c>
      <c r="O58" s="116">
        <v>573.48176655182363</v>
      </c>
      <c r="P58" s="116">
        <v>505.39427947927572</v>
      </c>
      <c r="Q58" s="116">
        <v>151.92005600971939</v>
      </c>
      <c r="R58" s="116">
        <v>677.53714560816695</v>
      </c>
      <c r="S58" s="116">
        <v>877.87360715150498</v>
      </c>
      <c r="T58" s="116">
        <v>272.5255334309258</v>
      </c>
      <c r="U58" s="116">
        <v>261.89301052051599</v>
      </c>
      <c r="V58" s="116">
        <v>850.63140458296198</v>
      </c>
      <c r="W58" s="116">
        <v>1058.7021513490256</v>
      </c>
      <c r="X58" s="116">
        <v>384.03981116951832</v>
      </c>
      <c r="Y58" s="116">
        <v>305.84051056476085</v>
      </c>
      <c r="Z58" s="116">
        <v>790.37445284363264</v>
      </c>
      <c r="AA58" s="116">
        <v>1010.7757709972075</v>
      </c>
      <c r="AB58" s="116">
        <v>355.11448056095946</v>
      </c>
      <c r="AC58" s="116">
        <v>613.97706730816662</v>
      </c>
      <c r="AD58" s="116">
        <v>829.70611784155983</v>
      </c>
      <c r="AE58" s="116">
        <v>801.90921790465393</v>
      </c>
      <c r="AF58" s="116">
        <v>358.69274459156622</v>
      </c>
      <c r="AG58" s="116">
        <v>110.22925764497492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002060"/>
  </sheetPr>
  <dimension ref="B4:AA8"/>
  <sheetViews>
    <sheetView showGridLines="0" zoomScale="85" zoomScaleNormal="85" workbookViewId="0">
      <selection activeCell="X8" sqref="X8:AA8"/>
    </sheetView>
  </sheetViews>
  <sheetFormatPr defaultRowHeight="14.4"/>
  <cols>
    <col min="2" max="2" width="1.44140625" customWidth="1"/>
    <col min="8" max="8" width="2" customWidth="1"/>
    <col min="13" max="13" width="2" customWidth="1"/>
    <col min="18" max="18" width="2" customWidth="1"/>
    <col min="23" max="23" width="2" customWidth="1"/>
  </cols>
  <sheetData>
    <row r="4" spans="2:27" s="2" customFormat="1" ht="32.549999999999997" customHeight="1">
      <c r="B4" s="3" t="s">
        <v>1047</v>
      </c>
    </row>
    <row r="8" spans="2:27" ht="30.3" customHeight="1">
      <c r="D8" s="33" t="s">
        <v>30</v>
      </c>
      <c r="E8" s="34"/>
      <c r="F8" s="34"/>
      <c r="G8" s="34"/>
      <c r="I8" s="33" t="s">
        <v>577</v>
      </c>
      <c r="J8" s="34"/>
      <c r="K8" s="34"/>
      <c r="L8" s="34"/>
      <c r="N8" s="33" t="s">
        <v>31</v>
      </c>
      <c r="O8" s="34"/>
      <c r="P8" s="34"/>
      <c r="Q8" s="34"/>
      <c r="S8" s="33" t="s">
        <v>32</v>
      </c>
      <c r="T8" s="34"/>
      <c r="U8" s="34"/>
      <c r="V8" s="34"/>
      <c r="X8" s="806" t="s">
        <v>578</v>
      </c>
      <c r="Y8" s="806"/>
      <c r="Z8" s="806"/>
      <c r="AA8" s="806"/>
    </row>
  </sheetData>
  <mergeCells count="1">
    <mergeCell ref="X8:AA8"/>
  </mergeCells>
  <pageMargins left="0.511811024" right="0.511811024" top="0.78740157499999996" bottom="0.78740157499999996" header="0.31496062000000002" footer="0.31496062000000002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002060"/>
  </sheetPr>
  <dimension ref="B4:AA8"/>
  <sheetViews>
    <sheetView showGridLines="0" zoomScale="85" zoomScaleNormal="85" workbookViewId="0">
      <selection activeCell="S8" sqref="S8"/>
    </sheetView>
  </sheetViews>
  <sheetFormatPr defaultRowHeight="14.4"/>
  <cols>
    <col min="2" max="2" width="1.44140625" customWidth="1"/>
    <col min="8" max="8" width="2" customWidth="1"/>
    <col min="13" max="13" width="2" customWidth="1"/>
    <col min="18" max="18" width="2" customWidth="1"/>
    <col min="23" max="23" width="2" customWidth="1"/>
  </cols>
  <sheetData>
    <row r="4" spans="2:27" s="2" customFormat="1" ht="32.549999999999997" customHeight="1">
      <c r="B4" s="3" t="s">
        <v>1048</v>
      </c>
    </row>
    <row r="8" spans="2:27" ht="30.3" customHeight="1">
      <c r="D8" s="33" t="s">
        <v>34</v>
      </c>
      <c r="E8" s="34"/>
      <c r="F8" s="34"/>
      <c r="G8" s="34"/>
      <c r="I8" s="33" t="s">
        <v>580</v>
      </c>
      <c r="J8" s="34"/>
      <c r="K8" s="34"/>
      <c r="L8" s="34"/>
      <c r="N8" s="33" t="s">
        <v>35</v>
      </c>
      <c r="O8" s="34"/>
      <c r="P8" s="34"/>
      <c r="Q8" s="34"/>
      <c r="S8" s="33" t="s">
        <v>36</v>
      </c>
      <c r="T8" s="34"/>
      <c r="U8" s="34"/>
      <c r="V8" s="34"/>
      <c r="X8" s="806" t="s">
        <v>96</v>
      </c>
      <c r="Y8" s="806"/>
      <c r="Z8" s="806"/>
      <c r="AA8" s="806"/>
    </row>
  </sheetData>
  <mergeCells count="1">
    <mergeCell ref="X8:AA8"/>
  </mergeCells>
  <pageMargins left="0.511811024" right="0.511811024" top="0.78740157499999996" bottom="0.78740157499999996" header="0.31496062000000002" footer="0.31496062000000002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theme="9" tint="0.79998168889431442"/>
  </sheetPr>
  <dimension ref="A6:AC87"/>
  <sheetViews>
    <sheetView showGridLines="0" topLeftCell="A4" zoomScale="85" zoomScaleNormal="85" workbookViewId="0">
      <pane xSplit="2" topLeftCell="U1" activePane="topRight" state="frozen"/>
      <selection pane="topRight" activeCell="AC18" sqref="AC18"/>
    </sheetView>
  </sheetViews>
  <sheetFormatPr defaultColWidth="9.21875" defaultRowHeight="14.4" outlineLevelCol="1"/>
  <cols>
    <col min="1" max="1" width="47.5546875" style="35" bestFit="1" customWidth="1"/>
    <col min="2" max="2" width="47.5546875" style="35" customWidth="1"/>
    <col min="3" max="3" width="0.5546875" style="35" customWidth="1"/>
    <col min="4" max="5" width="10.5546875" style="35" hidden="1" customWidth="1" outlineLevel="1"/>
    <col min="6" max="10" width="11.44140625" style="35" hidden="1" customWidth="1" outlineLevel="1"/>
    <col min="11" max="11" width="0.21875" style="35" hidden="1" customWidth="1" outlineLevel="1"/>
    <col min="12" max="12" width="11.44140625" style="35" bestFit="1" customWidth="1" collapsed="1"/>
    <col min="13" max="29" width="11.44140625" style="35" bestFit="1" customWidth="1"/>
    <col min="30" max="16384" width="9.21875" style="35"/>
  </cols>
  <sheetData>
    <row r="6" spans="1:29">
      <c r="A6" s="38" t="s">
        <v>89</v>
      </c>
      <c r="B6" s="38" t="s">
        <v>89</v>
      </c>
      <c r="C6" s="144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</row>
    <row r="7" spans="1:29" ht="15" thickBot="1">
      <c r="A7" s="6" t="s">
        <v>1049</v>
      </c>
      <c r="B7" s="6" t="s">
        <v>1050</v>
      </c>
      <c r="C7" s="146"/>
      <c r="D7" s="434" t="s">
        <v>67</v>
      </c>
      <c r="E7" s="434" t="s">
        <v>68</v>
      </c>
      <c r="F7" s="434" t="s">
        <v>69</v>
      </c>
      <c r="G7" s="434" t="s">
        <v>70</v>
      </c>
      <c r="H7" s="434" t="s">
        <v>71</v>
      </c>
      <c r="I7" s="434" t="s">
        <v>72</v>
      </c>
      <c r="J7" s="434" t="s">
        <v>73</v>
      </c>
      <c r="K7" s="434" t="s">
        <v>74</v>
      </c>
      <c r="L7" s="434" t="s">
        <v>75</v>
      </c>
      <c r="M7" s="434" t="s">
        <v>76</v>
      </c>
      <c r="N7" s="434" t="s">
        <v>77</v>
      </c>
      <c r="O7" s="434" t="s">
        <v>78</v>
      </c>
      <c r="P7" s="434" t="s">
        <v>79</v>
      </c>
      <c r="Q7" s="434" t="s">
        <v>80</v>
      </c>
      <c r="R7" s="434" t="s">
        <v>81</v>
      </c>
      <c r="S7" s="434" t="s">
        <v>82</v>
      </c>
      <c r="T7" s="434" t="s">
        <v>83</v>
      </c>
      <c r="U7" s="434" t="s">
        <v>84</v>
      </c>
      <c r="V7" s="434" t="s">
        <v>85</v>
      </c>
      <c r="W7" s="434" t="s">
        <v>86</v>
      </c>
      <c r="X7" s="434" t="s">
        <v>87</v>
      </c>
      <c r="Y7" s="434" t="s">
        <v>88</v>
      </c>
      <c r="Z7" s="434" t="s">
        <v>2074</v>
      </c>
      <c r="AA7" s="434" t="s">
        <v>2127</v>
      </c>
      <c r="AB7" s="434" t="s">
        <v>2360</v>
      </c>
      <c r="AC7" s="434" t="s">
        <v>2494</v>
      </c>
    </row>
    <row r="8" spans="1:29" ht="15" thickBot="1">
      <c r="A8" s="147" t="s">
        <v>1051</v>
      </c>
      <c r="B8" s="147" t="s">
        <v>1052</v>
      </c>
      <c r="C8" s="326"/>
      <c r="D8" s="149">
        <v>2693800</v>
      </c>
      <c r="E8" s="149">
        <f t="shared" ref="E8:Q8" si="0">SUM(E9:E23)</f>
        <v>2762309</v>
      </c>
      <c r="F8" s="149">
        <f t="shared" si="0"/>
        <v>3377922</v>
      </c>
      <c r="G8" s="149">
        <f t="shared" si="0"/>
        <v>3277130</v>
      </c>
      <c r="H8" s="149">
        <f t="shared" si="0"/>
        <v>2760175</v>
      </c>
      <c r="I8" s="149">
        <f t="shared" si="0"/>
        <v>2812800</v>
      </c>
      <c r="J8" s="149">
        <f t="shared" si="0"/>
        <v>2939768</v>
      </c>
      <c r="K8" s="149">
        <f t="shared" si="0"/>
        <v>2701698</v>
      </c>
      <c r="L8" s="149">
        <f t="shared" si="0"/>
        <v>2452995</v>
      </c>
      <c r="M8" s="149">
        <f t="shared" si="0"/>
        <v>2707220</v>
      </c>
      <c r="N8" s="149">
        <f t="shared" si="0"/>
        <v>2412783</v>
      </c>
      <c r="O8" s="149">
        <f t="shared" si="0"/>
        <v>2636138</v>
      </c>
      <c r="P8" s="149">
        <f t="shared" si="0"/>
        <v>2361064</v>
      </c>
      <c r="Q8" s="149">
        <f t="shared" si="0"/>
        <v>2607427</v>
      </c>
      <c r="R8" s="149">
        <f t="shared" ref="R8:Y8" si="1">SUM(R9:R23)</f>
        <v>2608153</v>
      </c>
      <c r="S8" s="149">
        <f t="shared" si="1"/>
        <v>2567345</v>
      </c>
      <c r="T8" s="149">
        <f t="shared" si="1"/>
        <v>2285850</v>
      </c>
      <c r="U8" s="149">
        <f t="shared" si="1"/>
        <v>2817586</v>
      </c>
      <c r="V8" s="149">
        <f t="shared" si="1"/>
        <v>2401899</v>
      </c>
      <c r="W8" s="149">
        <f t="shared" si="1"/>
        <v>3400863</v>
      </c>
      <c r="X8" s="149">
        <f t="shared" si="1"/>
        <v>2819338</v>
      </c>
      <c r="Y8" s="149">
        <f t="shared" si="1"/>
        <v>2817395</v>
      </c>
      <c r="Z8" s="149">
        <f t="shared" ref="Z8:AB8" si="2">SUM(Z9:Z23)</f>
        <v>2898703</v>
      </c>
      <c r="AA8" s="149">
        <f t="shared" si="2"/>
        <v>2515499</v>
      </c>
      <c r="AB8" s="149">
        <f t="shared" si="2"/>
        <v>2728786</v>
      </c>
      <c r="AC8" s="149">
        <f>SUM(AC9:AC23)</f>
        <v>2614688</v>
      </c>
    </row>
    <row r="9" spans="1:29">
      <c r="A9" s="151" t="s">
        <v>1053</v>
      </c>
      <c r="B9" s="151" t="s">
        <v>1054</v>
      </c>
      <c r="C9" s="151"/>
      <c r="D9" s="167">
        <v>645437</v>
      </c>
      <c r="E9" s="167">
        <v>153949</v>
      </c>
      <c r="F9" s="167">
        <v>595193</v>
      </c>
      <c r="G9" s="167">
        <v>295458</v>
      </c>
      <c r="H9" s="167">
        <v>259150</v>
      </c>
      <c r="I9" s="167">
        <v>542267</v>
      </c>
      <c r="J9" s="167">
        <v>399659</v>
      </c>
      <c r="K9" s="167">
        <v>79999</v>
      </c>
      <c r="L9" s="167">
        <v>94214</v>
      </c>
      <c r="M9" s="167">
        <v>202717</v>
      </c>
      <c r="N9" s="167">
        <v>160112</v>
      </c>
      <c r="O9" s="167">
        <v>103361</v>
      </c>
      <c r="P9" s="167">
        <v>20127</v>
      </c>
      <c r="Q9" s="167">
        <v>28789</v>
      </c>
      <c r="R9" s="167">
        <v>351297</v>
      </c>
      <c r="S9" s="167">
        <v>320582</v>
      </c>
      <c r="T9" s="167">
        <v>90873</v>
      </c>
      <c r="U9" s="167">
        <v>422748</v>
      </c>
      <c r="V9" s="167">
        <v>69531</v>
      </c>
      <c r="W9" s="167">
        <v>130195</v>
      </c>
      <c r="X9" s="167">
        <v>114249</v>
      </c>
      <c r="Y9" s="167">
        <v>336867</v>
      </c>
      <c r="Z9" s="167">
        <v>66389</v>
      </c>
      <c r="AA9" s="167">
        <v>41861</v>
      </c>
      <c r="AB9" s="167">
        <v>274734</v>
      </c>
      <c r="AC9" s="167">
        <v>26268</v>
      </c>
    </row>
    <row r="10" spans="1:29">
      <c r="A10" s="151" t="s">
        <v>1055</v>
      </c>
      <c r="B10" s="151" t="s">
        <v>1056</v>
      </c>
      <c r="C10" s="151"/>
      <c r="D10" s="167">
        <v>659321</v>
      </c>
      <c r="E10" s="167">
        <v>1139417</v>
      </c>
      <c r="F10" s="167">
        <v>1227114</v>
      </c>
      <c r="G10" s="167">
        <v>1328205</v>
      </c>
      <c r="H10" s="167">
        <v>922455</v>
      </c>
      <c r="I10" s="167">
        <v>646832</v>
      </c>
      <c r="J10" s="167">
        <v>638239</v>
      </c>
      <c r="K10" s="167">
        <v>671705</v>
      </c>
      <c r="L10" s="167">
        <v>726744</v>
      </c>
      <c r="M10" s="167">
        <v>1062360</v>
      </c>
      <c r="N10" s="167">
        <v>616633</v>
      </c>
      <c r="O10" s="167">
        <v>948101</v>
      </c>
      <c r="P10" s="167">
        <v>853449</v>
      </c>
      <c r="Q10" s="167">
        <v>977551</v>
      </c>
      <c r="R10" s="167">
        <v>515753</v>
      </c>
      <c r="S10" s="167">
        <v>647502</v>
      </c>
      <c r="T10" s="167">
        <v>611536</v>
      </c>
      <c r="U10" s="167">
        <v>715355</v>
      </c>
      <c r="V10" s="167">
        <v>563585</v>
      </c>
      <c r="W10" s="167">
        <v>1455123</v>
      </c>
      <c r="X10" s="167">
        <v>1055733</v>
      </c>
      <c r="Y10" s="167">
        <v>686960</v>
      </c>
      <c r="Z10" s="167">
        <v>827158</v>
      </c>
      <c r="AA10" s="167">
        <v>540036</v>
      </c>
      <c r="AB10" s="167">
        <v>465312</v>
      </c>
      <c r="AC10" s="167">
        <v>340017</v>
      </c>
    </row>
    <row r="11" spans="1:29">
      <c r="A11" s="151" t="s">
        <v>1057</v>
      </c>
      <c r="B11" s="151" t="s">
        <v>1058</v>
      </c>
      <c r="C11" s="151"/>
      <c r="D11" s="167">
        <v>1344164</v>
      </c>
      <c r="E11" s="167">
        <v>900745</v>
      </c>
      <c r="F11" s="167">
        <v>941191</v>
      </c>
      <c r="G11" s="167">
        <v>1007636</v>
      </c>
      <c r="H11" s="167">
        <v>942434</v>
      </c>
      <c r="I11" s="167">
        <f>939998</f>
        <v>939998</v>
      </c>
      <c r="J11" s="167">
        <v>1040855</v>
      </c>
      <c r="K11" s="167">
        <v>1098871</v>
      </c>
      <c r="L11" s="167">
        <v>1045762</v>
      </c>
      <c r="M11" s="167">
        <v>986014</v>
      </c>
      <c r="N11" s="167">
        <v>1049252</v>
      </c>
      <c r="O11" s="167">
        <v>1063888</v>
      </c>
      <c r="P11" s="167">
        <v>1062080</v>
      </c>
      <c r="Q11" s="167">
        <v>1124059.0000000002</v>
      </c>
      <c r="R11" s="167">
        <v>1250130</v>
      </c>
      <c r="S11" s="167">
        <v>1161741</v>
      </c>
      <c r="T11" s="167">
        <v>1154513</v>
      </c>
      <c r="U11" s="167">
        <v>1177030</v>
      </c>
      <c r="V11" s="167">
        <v>1206464</v>
      </c>
      <c r="W11" s="167">
        <v>1204264</v>
      </c>
      <c r="X11" s="167">
        <v>1084785</v>
      </c>
      <c r="Y11" s="167">
        <v>1218431</v>
      </c>
      <c r="Z11" s="167">
        <v>1378550</v>
      </c>
      <c r="AA11" s="167">
        <v>1435898</v>
      </c>
      <c r="AB11" s="167">
        <v>1400994</v>
      </c>
      <c r="AC11" s="167">
        <v>1496693</v>
      </c>
    </row>
    <row r="12" spans="1:29">
      <c r="A12" s="151" t="s">
        <v>1059</v>
      </c>
      <c r="B12" s="151" t="s">
        <v>1060</v>
      </c>
      <c r="C12" s="151"/>
      <c r="D12" s="167">
        <v>37141</v>
      </c>
      <c r="E12" s="167"/>
      <c r="F12" s="167"/>
      <c r="G12" s="167"/>
      <c r="H12" s="167"/>
      <c r="I12" s="167"/>
      <c r="J12" s="167"/>
      <c r="K12" s="167"/>
      <c r="L12" s="167"/>
      <c r="M12" s="167"/>
      <c r="N12" s="167"/>
      <c r="O12" s="167"/>
      <c r="P12" s="167"/>
      <c r="Q12" s="167">
        <v>0</v>
      </c>
      <c r="R12" s="167"/>
      <c r="S12" s="167"/>
      <c r="T12" s="167"/>
      <c r="U12" s="167"/>
      <c r="V12" s="167"/>
      <c r="W12" s="167"/>
      <c r="X12" s="167"/>
      <c r="Y12" s="167"/>
      <c r="Z12" s="167"/>
      <c r="AA12" s="167"/>
      <c r="AB12" s="167"/>
      <c r="AC12" s="167"/>
    </row>
    <row r="13" spans="1:29">
      <c r="A13" s="151" t="s">
        <v>1061</v>
      </c>
      <c r="B13" s="151" t="s">
        <v>1062</v>
      </c>
      <c r="C13" s="151"/>
      <c r="D13" s="167">
        <v>734</v>
      </c>
      <c r="E13" s="167">
        <v>878</v>
      </c>
      <c r="F13" s="167">
        <v>1337</v>
      </c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>
        <v>0</v>
      </c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</row>
    <row r="14" spans="1:29">
      <c r="A14" s="151" t="s">
        <v>1063</v>
      </c>
      <c r="B14" s="151" t="s">
        <v>1064</v>
      </c>
      <c r="C14" s="151"/>
      <c r="D14" s="167">
        <v>91988</v>
      </c>
      <c r="E14" s="167">
        <v>96996</v>
      </c>
      <c r="F14" s="167">
        <v>108145</v>
      </c>
      <c r="G14" s="167">
        <v>107339</v>
      </c>
      <c r="H14" s="167">
        <v>103989</v>
      </c>
      <c r="I14" s="167">
        <v>118302</v>
      </c>
      <c r="J14" s="167">
        <v>108669</v>
      </c>
      <c r="K14" s="167">
        <v>143282</v>
      </c>
      <c r="L14" s="167">
        <v>97671</v>
      </c>
      <c r="M14" s="167">
        <v>99325</v>
      </c>
      <c r="N14" s="167">
        <v>110467</v>
      </c>
      <c r="O14" s="167">
        <v>150824</v>
      </c>
      <c r="P14" s="167">
        <v>118320</v>
      </c>
      <c r="Q14" s="167">
        <v>123977</v>
      </c>
      <c r="R14" s="167">
        <v>112037</v>
      </c>
      <c r="S14" s="167">
        <v>97987</v>
      </c>
      <c r="T14" s="167">
        <v>106711</v>
      </c>
      <c r="U14" s="167">
        <v>110101</v>
      </c>
      <c r="V14" s="167">
        <v>114795</v>
      </c>
      <c r="W14" s="167">
        <v>87569</v>
      </c>
      <c r="X14" s="167">
        <v>74566</v>
      </c>
      <c r="Y14" s="167">
        <v>86429</v>
      </c>
      <c r="Z14" s="167">
        <v>93610</v>
      </c>
      <c r="AA14" s="167">
        <v>84439</v>
      </c>
      <c r="AB14" s="167">
        <v>90840</v>
      </c>
      <c r="AC14" s="167">
        <v>107921</v>
      </c>
    </row>
    <row r="15" spans="1:29">
      <c r="A15" s="151" t="s">
        <v>1065</v>
      </c>
      <c r="B15" s="151" t="s">
        <v>753</v>
      </c>
      <c r="C15" s="151"/>
      <c r="D15" s="167">
        <f>E15*1000</f>
        <v>0</v>
      </c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>
        <v>0</v>
      </c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7"/>
      <c r="AC15" s="167"/>
    </row>
    <row r="16" spans="1:29">
      <c r="A16" s="151" t="s">
        <v>1066</v>
      </c>
      <c r="B16" s="151" t="s">
        <v>1067</v>
      </c>
      <c r="C16" s="151"/>
      <c r="D16" s="167">
        <f>E16*1000</f>
        <v>0</v>
      </c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>
        <v>0</v>
      </c>
      <c r="P16" s="167"/>
      <c r="Q16" s="167">
        <v>0</v>
      </c>
      <c r="R16" s="167"/>
      <c r="S16" s="167"/>
      <c r="T16" s="167"/>
      <c r="U16" s="167"/>
      <c r="V16" s="167"/>
      <c r="W16" s="167"/>
      <c r="X16" s="167">
        <v>6839</v>
      </c>
      <c r="Y16" s="167">
        <v>4209</v>
      </c>
      <c r="Z16" s="167">
        <v>3944</v>
      </c>
      <c r="AA16" s="167">
        <v>3901</v>
      </c>
      <c r="AB16" s="167">
        <v>4046</v>
      </c>
      <c r="AC16" s="167">
        <v>1377</v>
      </c>
    </row>
    <row r="17" spans="1:29">
      <c r="A17" s="151" t="s">
        <v>1068</v>
      </c>
      <c r="B17" s="151" t="s">
        <v>1069</v>
      </c>
      <c r="C17" s="151"/>
      <c r="D17" s="167">
        <v>2943</v>
      </c>
      <c r="E17" s="167">
        <v>2934</v>
      </c>
      <c r="F17" s="167">
        <v>5013</v>
      </c>
      <c r="G17" s="167">
        <v>3503</v>
      </c>
      <c r="H17" s="167">
        <v>3517</v>
      </c>
      <c r="I17" s="167">
        <v>3517</v>
      </c>
      <c r="J17" s="167">
        <v>3515</v>
      </c>
      <c r="K17" s="167">
        <v>3530</v>
      </c>
      <c r="L17" s="167">
        <v>3487</v>
      </c>
      <c r="M17" s="167">
        <v>4410</v>
      </c>
      <c r="N17" s="167">
        <v>5495</v>
      </c>
      <c r="O17" s="167">
        <v>4511</v>
      </c>
      <c r="P17" s="167">
        <v>4511</v>
      </c>
      <c r="Q17" s="167">
        <v>4530</v>
      </c>
      <c r="R17" s="167">
        <v>4253</v>
      </c>
      <c r="S17" s="167">
        <v>4253</v>
      </c>
      <c r="T17" s="167">
        <v>4253</v>
      </c>
      <c r="U17" s="167">
        <v>4253</v>
      </c>
      <c r="V17" s="167">
        <v>9757</v>
      </c>
      <c r="W17" s="167">
        <v>4345</v>
      </c>
      <c r="X17" s="167">
        <v>4349</v>
      </c>
      <c r="Y17" s="167">
        <v>4351</v>
      </c>
      <c r="Z17" s="167">
        <v>4348</v>
      </c>
      <c r="AA17" s="167">
        <v>844</v>
      </c>
      <c r="AB17" s="167">
        <v>729</v>
      </c>
      <c r="AC17" s="167">
        <v>557</v>
      </c>
    </row>
    <row r="18" spans="1:29">
      <c r="A18" s="151" t="s">
        <v>1070</v>
      </c>
      <c r="B18" s="151" t="s">
        <v>1071</v>
      </c>
      <c r="C18" s="151"/>
      <c r="D18" s="167">
        <f>E18*1000</f>
        <v>0</v>
      </c>
      <c r="E18" s="167"/>
      <c r="F18" s="167"/>
      <c r="G18" s="167"/>
      <c r="H18" s="167"/>
      <c r="I18" s="167"/>
      <c r="J18" s="167">
        <v>116826</v>
      </c>
      <c r="K18" s="167">
        <v>135965</v>
      </c>
      <c r="L18" s="167">
        <v>29003</v>
      </c>
      <c r="M18" s="167">
        <v>9400</v>
      </c>
      <c r="N18" s="167">
        <v>151519</v>
      </c>
      <c r="O18" s="167"/>
      <c r="P18" s="167"/>
      <c r="Q18" s="167">
        <v>0</v>
      </c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>
        <v>99093</v>
      </c>
    </row>
    <row r="19" spans="1:29">
      <c r="A19" s="151" t="s">
        <v>1072</v>
      </c>
      <c r="B19" s="151" t="s">
        <v>1073</v>
      </c>
      <c r="C19" s="151"/>
      <c r="D19" s="167">
        <f>E19*1000</f>
        <v>0</v>
      </c>
      <c r="E19" s="167"/>
      <c r="F19" s="167"/>
      <c r="G19" s="167"/>
      <c r="H19" s="167">
        <v>3</v>
      </c>
      <c r="I19" s="167"/>
      <c r="J19" s="167"/>
      <c r="K19" s="167"/>
      <c r="L19" s="167"/>
      <c r="M19" s="167"/>
      <c r="N19" s="167"/>
      <c r="O19" s="167"/>
      <c r="P19" s="167"/>
      <c r="Q19" s="167">
        <v>0</v>
      </c>
      <c r="R19" s="167"/>
      <c r="S19" s="167"/>
      <c r="T19" s="167"/>
      <c r="U19" s="167">
        <v>46166</v>
      </c>
      <c r="V19" s="167">
        <v>35940</v>
      </c>
      <c r="W19" s="167">
        <v>120044</v>
      </c>
      <c r="X19" s="167">
        <v>58076</v>
      </c>
      <c r="Z19" s="167"/>
      <c r="AA19" s="167"/>
      <c r="AB19" s="167"/>
      <c r="AC19" s="167"/>
    </row>
    <row r="20" spans="1:29">
      <c r="A20" s="151" t="s">
        <v>1074</v>
      </c>
      <c r="B20" s="151" t="s">
        <v>1075</v>
      </c>
      <c r="C20" s="151"/>
      <c r="D20" s="167">
        <v>11311</v>
      </c>
      <c r="E20" s="167">
        <v>14329</v>
      </c>
      <c r="F20" s="167">
        <v>15626</v>
      </c>
      <c r="G20" s="167">
        <v>10484</v>
      </c>
      <c r="H20" s="167">
        <v>17763</v>
      </c>
      <c r="I20" s="167">
        <v>24337</v>
      </c>
      <c r="J20" s="167">
        <v>28380</v>
      </c>
      <c r="K20" s="167">
        <v>34483</v>
      </c>
      <c r="L20" s="167">
        <v>36672</v>
      </c>
      <c r="M20" s="167">
        <v>40184</v>
      </c>
      <c r="N20" s="167">
        <v>45114</v>
      </c>
      <c r="O20" s="167">
        <v>40492</v>
      </c>
      <c r="P20" s="167">
        <v>33656</v>
      </c>
      <c r="Q20" s="167">
        <v>34764</v>
      </c>
      <c r="R20" s="167">
        <v>39931</v>
      </c>
      <c r="S20" s="167">
        <v>11310</v>
      </c>
      <c r="T20" s="167">
        <v>12542</v>
      </c>
      <c r="U20" s="167">
        <v>12821</v>
      </c>
      <c r="V20" s="167">
        <v>12702</v>
      </c>
      <c r="W20" s="167">
        <v>14244</v>
      </c>
      <c r="X20" s="167">
        <v>18996</v>
      </c>
      <c r="Y20" s="167">
        <v>24328</v>
      </c>
      <c r="Z20" s="167">
        <v>24251</v>
      </c>
      <c r="AA20" s="167">
        <v>21808</v>
      </c>
      <c r="AB20" s="167">
        <v>25067</v>
      </c>
      <c r="AC20" s="167">
        <v>26586</v>
      </c>
    </row>
    <row r="21" spans="1:29">
      <c r="A21" s="151" t="s">
        <v>1076</v>
      </c>
      <c r="B21" s="151" t="s">
        <v>1077</v>
      </c>
      <c r="C21" s="151"/>
      <c r="D21" s="167">
        <v>307555</v>
      </c>
      <c r="E21" s="167">
        <v>325522</v>
      </c>
      <c r="F21" s="167">
        <v>343280</v>
      </c>
      <c r="G21" s="167">
        <v>361904</v>
      </c>
      <c r="H21" s="167">
        <v>339423</v>
      </c>
      <c r="I21" s="167">
        <v>340500</v>
      </c>
      <c r="J21" s="167">
        <v>329034</v>
      </c>
      <c r="K21" s="167">
        <v>223330</v>
      </c>
      <c r="L21" s="167">
        <v>161806</v>
      </c>
      <c r="M21" s="167">
        <v>85840</v>
      </c>
      <c r="N21" s="167">
        <v>45575</v>
      </c>
      <c r="O21" s="167">
        <v>96576</v>
      </c>
      <c r="P21" s="167">
        <v>76263</v>
      </c>
      <c r="Q21" s="167">
        <v>74551</v>
      </c>
      <c r="R21" s="167">
        <v>66857</v>
      </c>
      <c r="S21" s="167">
        <v>66794</v>
      </c>
      <c r="T21" s="167">
        <v>70270</v>
      </c>
      <c r="U21" s="167">
        <v>71868</v>
      </c>
      <c r="V21" s="167">
        <v>81065</v>
      </c>
      <c r="W21" s="167">
        <v>128533</v>
      </c>
      <c r="X21" s="167">
        <v>126909</v>
      </c>
      <c r="Y21" s="167">
        <v>128138</v>
      </c>
      <c r="Z21" s="167">
        <v>102929</v>
      </c>
      <c r="AA21" s="167">
        <v>111606</v>
      </c>
      <c r="AB21" s="167">
        <v>111647</v>
      </c>
      <c r="AC21" s="167">
        <v>123133</v>
      </c>
    </row>
    <row r="22" spans="1:29">
      <c r="A22" s="151" t="s">
        <v>1078</v>
      </c>
      <c r="B22" s="151" t="s">
        <v>1079</v>
      </c>
      <c r="C22" s="151"/>
      <c r="D22" s="167">
        <v>48543</v>
      </c>
      <c r="E22" s="167">
        <v>50914</v>
      </c>
      <c r="F22" s="167">
        <v>52117</v>
      </c>
      <c r="G22" s="167">
        <v>53464</v>
      </c>
      <c r="H22" s="167">
        <v>55065</v>
      </c>
      <c r="I22" s="167">
        <v>57227</v>
      </c>
      <c r="J22" s="167">
        <v>61151</v>
      </c>
      <c r="K22" s="167">
        <v>64924</v>
      </c>
      <c r="L22" s="167">
        <v>66366</v>
      </c>
      <c r="M22" s="167">
        <v>74282</v>
      </c>
      <c r="N22" s="167">
        <v>82061</v>
      </c>
      <c r="O22" s="167">
        <v>67354</v>
      </c>
      <c r="P22" s="167">
        <v>69692</v>
      </c>
      <c r="Q22" s="167">
        <v>99207</v>
      </c>
      <c r="R22" s="167">
        <v>140103</v>
      </c>
      <c r="S22" s="167">
        <v>90549</v>
      </c>
      <c r="T22" s="167">
        <v>94376</v>
      </c>
      <c r="U22" s="167">
        <v>108866</v>
      </c>
      <c r="V22" s="167">
        <v>86378</v>
      </c>
      <c r="W22" s="167">
        <v>113481</v>
      </c>
      <c r="X22" s="167">
        <v>110143</v>
      </c>
      <c r="Y22" s="167">
        <v>145615</v>
      </c>
      <c r="Z22" s="167">
        <v>179969</v>
      </c>
      <c r="AA22" s="167">
        <v>75349</v>
      </c>
      <c r="AB22" s="167">
        <v>106401</v>
      </c>
      <c r="AC22" s="167">
        <v>139903</v>
      </c>
    </row>
    <row r="23" spans="1:29" ht="15" thickBot="1">
      <c r="A23" s="154" t="s">
        <v>1080</v>
      </c>
      <c r="B23" s="154" t="s">
        <v>96</v>
      </c>
      <c r="C23" s="151"/>
      <c r="D23" s="167">
        <v>53092</v>
      </c>
      <c r="E23" s="167">
        <v>76625</v>
      </c>
      <c r="F23" s="167">
        <v>88906</v>
      </c>
      <c r="G23" s="167">
        <v>109137</v>
      </c>
      <c r="H23" s="167">
        <v>116376</v>
      </c>
      <c r="I23" s="167">
        <v>139820</v>
      </c>
      <c r="J23" s="167">
        <v>213440</v>
      </c>
      <c r="K23" s="167">
        <v>245609</v>
      </c>
      <c r="L23" s="167">
        <v>191270</v>
      </c>
      <c r="M23" s="167">
        <v>142688</v>
      </c>
      <c r="N23" s="167">
        <v>146555</v>
      </c>
      <c r="O23" s="167">
        <v>161031</v>
      </c>
      <c r="P23" s="167">
        <v>122966</v>
      </c>
      <c r="Q23" s="167">
        <v>139999</v>
      </c>
      <c r="R23" s="167">
        <v>127792</v>
      </c>
      <c r="S23" s="167">
        <v>166627</v>
      </c>
      <c r="T23" s="167">
        <v>140776</v>
      </c>
      <c r="U23" s="167">
        <v>148378</v>
      </c>
      <c r="V23" s="167">
        <v>221682</v>
      </c>
      <c r="W23" s="167">
        <v>143065</v>
      </c>
      <c r="X23" s="167">
        <v>164693</v>
      </c>
      <c r="Y23" s="167">
        <v>182067</v>
      </c>
      <c r="Z23" s="167">
        <v>217555</v>
      </c>
      <c r="AA23" s="167">
        <v>199757</v>
      </c>
      <c r="AB23" s="167">
        <v>249016</v>
      </c>
      <c r="AC23" s="167">
        <v>253140</v>
      </c>
    </row>
    <row r="24" spans="1:29" ht="15" thickBot="1">
      <c r="A24" s="155" t="s">
        <v>1081</v>
      </c>
      <c r="B24" s="155" t="s">
        <v>1082</v>
      </c>
      <c r="C24" s="326"/>
      <c r="D24" s="156">
        <f t="shared" ref="D24:M24" si="3">SUM(D25:D41)</f>
        <v>4516905</v>
      </c>
      <c r="E24" s="156">
        <f t="shared" si="3"/>
        <v>4489000</v>
      </c>
      <c r="F24" s="156">
        <f t="shared" si="3"/>
        <v>4439686</v>
      </c>
      <c r="G24" s="156">
        <f t="shared" si="3"/>
        <v>4617166</v>
      </c>
      <c r="H24" s="156">
        <f t="shared" si="3"/>
        <v>4608331</v>
      </c>
      <c r="I24" s="156">
        <f t="shared" si="3"/>
        <v>4573693</v>
      </c>
      <c r="J24" s="156">
        <f t="shared" si="3"/>
        <v>4695883</v>
      </c>
      <c r="K24" s="156">
        <f t="shared" si="3"/>
        <v>5117625</v>
      </c>
      <c r="L24" s="156">
        <f t="shared" si="3"/>
        <v>5202949</v>
      </c>
      <c r="M24" s="156">
        <f t="shared" si="3"/>
        <v>5369792</v>
      </c>
      <c r="N24" s="156">
        <f t="shared" ref="N24:Y24" si="4">SUM(N25:N41)</f>
        <v>5510953</v>
      </c>
      <c r="O24" s="156">
        <f t="shared" si="4"/>
        <v>5776721</v>
      </c>
      <c r="P24" s="156">
        <f t="shared" si="4"/>
        <v>5953552</v>
      </c>
      <c r="Q24" s="156">
        <f t="shared" si="4"/>
        <v>6114967</v>
      </c>
      <c r="R24" s="156">
        <f t="shared" si="4"/>
        <v>6412625</v>
      </c>
      <c r="S24" s="156">
        <f t="shared" si="4"/>
        <v>6783068</v>
      </c>
      <c r="T24" s="156">
        <f t="shared" si="4"/>
        <v>7025969</v>
      </c>
      <c r="U24" s="156">
        <f t="shared" si="4"/>
        <v>7292106</v>
      </c>
      <c r="V24" s="156">
        <f t="shared" si="4"/>
        <v>7562096</v>
      </c>
      <c r="W24" s="156">
        <f t="shared" si="4"/>
        <v>7849147</v>
      </c>
      <c r="X24" s="156">
        <f t="shared" si="4"/>
        <v>8177845</v>
      </c>
      <c r="Y24" s="156">
        <f t="shared" si="4"/>
        <v>8503833</v>
      </c>
      <c r="Z24" s="156">
        <f t="shared" ref="Z24:AB24" si="5">SUM(Z25:Z41)</f>
        <v>8647360</v>
      </c>
      <c r="AA24" s="156">
        <f t="shared" si="5"/>
        <v>8583702</v>
      </c>
      <c r="AB24" s="156">
        <f t="shared" si="5"/>
        <v>8855084</v>
      </c>
      <c r="AC24" s="156">
        <f>SUM(AC25:AC41)</f>
        <v>9174390</v>
      </c>
    </row>
    <row r="25" spans="1:29">
      <c r="A25" s="151" t="s">
        <v>1055</v>
      </c>
      <c r="B25" s="151" t="s">
        <v>1056</v>
      </c>
      <c r="C25" s="326"/>
      <c r="D25" s="167">
        <v>57186</v>
      </c>
      <c r="E25" s="167">
        <v>57508</v>
      </c>
      <c r="F25" s="167">
        <v>57651</v>
      </c>
      <c r="G25" s="167">
        <v>57854</v>
      </c>
      <c r="H25" s="167">
        <v>58010</v>
      </c>
      <c r="I25" s="167">
        <v>51205</v>
      </c>
      <c r="J25" s="167">
        <v>51755</v>
      </c>
      <c r="K25" s="167">
        <v>52184</v>
      </c>
      <c r="L25" s="167">
        <v>53275</v>
      </c>
      <c r="M25" s="167">
        <v>31467</v>
      </c>
      <c r="N25" s="167">
        <v>314</v>
      </c>
      <c r="O25" s="167">
        <v>1036</v>
      </c>
      <c r="P25" s="167">
        <v>1053</v>
      </c>
      <c r="Q25" s="167">
        <v>1089</v>
      </c>
      <c r="R25" s="167">
        <v>1122</v>
      </c>
      <c r="S25" s="167">
        <v>1143</v>
      </c>
      <c r="T25" s="167">
        <v>1172</v>
      </c>
      <c r="U25" s="167">
        <v>1192</v>
      </c>
      <c r="V25" s="167">
        <v>1212</v>
      </c>
      <c r="W25" s="167">
        <v>1234</v>
      </c>
      <c r="X25" s="167">
        <v>1273</v>
      </c>
      <c r="Y25" s="167">
        <v>1402</v>
      </c>
      <c r="Z25" s="167">
        <v>1446</v>
      </c>
      <c r="AA25" s="167">
        <v>1489</v>
      </c>
      <c r="AB25" s="167">
        <v>0</v>
      </c>
      <c r="AC25" s="167">
        <v>0</v>
      </c>
    </row>
    <row r="26" spans="1:29">
      <c r="A26" s="151" t="s">
        <v>1057</v>
      </c>
      <c r="B26" s="151" t="s">
        <v>1058</v>
      </c>
      <c r="C26" s="151"/>
      <c r="D26" s="167">
        <v>108206</v>
      </c>
      <c r="E26" s="167">
        <v>92289</v>
      </c>
      <c r="F26" s="167">
        <v>93721</v>
      </c>
      <c r="G26" s="167">
        <v>48889</v>
      </c>
      <c r="H26" s="167">
        <v>49683</v>
      </c>
      <c r="I26" s="167">
        <v>107843</v>
      </c>
      <c r="J26" s="167">
        <v>103866</v>
      </c>
      <c r="K26" s="167">
        <v>97717</v>
      </c>
      <c r="L26" s="167">
        <v>79090</v>
      </c>
      <c r="M26" s="167">
        <v>80311</v>
      </c>
      <c r="N26" s="167">
        <v>71619</v>
      </c>
      <c r="O26" s="167">
        <v>74793</v>
      </c>
      <c r="P26" s="167">
        <v>66906</v>
      </c>
      <c r="Q26" s="167">
        <v>62379</v>
      </c>
      <c r="R26" s="167">
        <v>65881</v>
      </c>
      <c r="S26" s="167">
        <v>62030</v>
      </c>
      <c r="T26" s="167">
        <v>60431</v>
      </c>
      <c r="U26" s="167">
        <v>60848</v>
      </c>
      <c r="V26" s="167">
        <v>66978</v>
      </c>
      <c r="W26" s="167">
        <v>66770</v>
      </c>
      <c r="X26" s="167">
        <v>66387</v>
      </c>
      <c r="Y26" s="167">
        <v>67829</v>
      </c>
      <c r="Z26" s="167">
        <v>73748</v>
      </c>
      <c r="AA26" s="167">
        <v>68245</v>
      </c>
      <c r="AB26" s="167">
        <v>69611</v>
      </c>
      <c r="AC26" s="167">
        <v>74697</v>
      </c>
    </row>
    <row r="27" spans="1:29">
      <c r="A27" s="151" t="s">
        <v>1070</v>
      </c>
      <c r="B27" s="151" t="s">
        <v>1071</v>
      </c>
      <c r="C27" s="151"/>
      <c r="D27" s="167">
        <v>5172</v>
      </c>
      <c r="E27" s="167"/>
      <c r="F27" s="167"/>
      <c r="G27" s="167"/>
      <c r="H27" s="167">
        <v>28011</v>
      </c>
      <c r="I27" s="167">
        <v>21636</v>
      </c>
      <c r="J27" s="167">
        <v>54950</v>
      </c>
      <c r="K27" s="167">
        <v>105514</v>
      </c>
      <c r="L27" s="167">
        <v>63058</v>
      </c>
      <c r="M27" s="167">
        <v>6546</v>
      </c>
      <c r="N27" s="167">
        <v>0</v>
      </c>
      <c r="O27" s="167">
        <v>0</v>
      </c>
      <c r="P27" s="167"/>
      <c r="Q27" s="167">
        <v>0</v>
      </c>
      <c r="R27" s="167"/>
      <c r="S27" s="167"/>
      <c r="T27" s="167"/>
      <c r="U27" s="167"/>
      <c r="V27" s="167"/>
      <c r="W27" s="167">
        <v>0</v>
      </c>
      <c r="X27" s="167"/>
      <c r="Y27" s="167"/>
      <c r="Z27" s="167"/>
      <c r="AA27" s="167"/>
      <c r="AB27" s="167"/>
      <c r="AC27" s="167">
        <v>49703</v>
      </c>
    </row>
    <row r="28" spans="1:29">
      <c r="A28" s="151" t="s">
        <v>1083</v>
      </c>
      <c r="B28" s="151" t="s">
        <v>1067</v>
      </c>
      <c r="C28" s="151"/>
      <c r="D28" s="167">
        <f>E28*1000</f>
        <v>0</v>
      </c>
      <c r="E28" s="167"/>
      <c r="F28" s="167"/>
      <c r="G28" s="167">
        <v>108587</v>
      </c>
      <c r="H28" s="167"/>
      <c r="I28" s="167"/>
      <c r="J28" s="167"/>
      <c r="K28" s="167"/>
      <c r="L28" s="167"/>
      <c r="M28" s="167"/>
      <c r="N28" s="167"/>
      <c r="O28" s="167"/>
      <c r="P28" s="167"/>
      <c r="Q28" s="167">
        <v>0</v>
      </c>
      <c r="R28" s="167"/>
      <c r="S28" s="167"/>
      <c r="T28" s="167"/>
      <c r="U28" s="167"/>
      <c r="V28" s="167"/>
      <c r="W28" s="167"/>
      <c r="X28" s="167"/>
      <c r="Y28" s="167"/>
      <c r="Z28" s="167"/>
      <c r="AA28" s="167"/>
      <c r="AB28" s="167"/>
      <c r="AC28" s="167"/>
    </row>
    <row r="29" spans="1:29">
      <c r="A29" s="151" t="s">
        <v>1063</v>
      </c>
      <c r="B29" s="151" t="s">
        <v>1064</v>
      </c>
      <c r="C29" s="151"/>
      <c r="D29" s="167">
        <v>2086</v>
      </c>
      <c r="E29" s="167">
        <v>2086</v>
      </c>
      <c r="F29" s="167">
        <v>2086</v>
      </c>
      <c r="G29" s="167">
        <v>104290</v>
      </c>
      <c r="H29" s="167">
        <v>25077</v>
      </c>
      <c r="I29" s="167">
        <v>25077</v>
      </c>
      <c r="J29" s="167">
        <v>25077</v>
      </c>
      <c r="K29" s="167">
        <v>7070</v>
      </c>
      <c r="L29" s="167">
        <v>7070</v>
      </c>
      <c r="M29" s="167">
        <v>7070</v>
      </c>
      <c r="N29" s="167">
        <v>7070</v>
      </c>
      <c r="O29" s="167">
        <v>5012</v>
      </c>
      <c r="P29" s="167">
        <v>5012</v>
      </c>
      <c r="Q29" s="167">
        <v>5012</v>
      </c>
      <c r="R29" s="167">
        <v>5012</v>
      </c>
      <c r="S29" s="167">
        <v>11569</v>
      </c>
      <c r="T29" s="167">
        <v>11569</v>
      </c>
      <c r="U29" s="167">
        <v>11569</v>
      </c>
      <c r="V29" s="167">
        <v>11569</v>
      </c>
      <c r="W29" s="167">
        <v>11562</v>
      </c>
      <c r="X29" s="167">
        <v>11562</v>
      </c>
      <c r="Y29" s="167">
        <v>11562</v>
      </c>
      <c r="Z29" s="167">
        <v>11562</v>
      </c>
      <c r="AA29" s="167">
        <v>16001</v>
      </c>
      <c r="AB29" s="167">
        <v>16096</v>
      </c>
      <c r="AC29" s="167">
        <v>16096</v>
      </c>
    </row>
    <row r="30" spans="1:29">
      <c r="A30" s="151" t="s">
        <v>1068</v>
      </c>
      <c r="B30" s="151" t="s">
        <v>1069</v>
      </c>
      <c r="C30" s="151"/>
      <c r="D30" s="167">
        <v>96554</v>
      </c>
      <c r="E30" s="167">
        <v>97361</v>
      </c>
      <c r="F30" s="167">
        <v>98765</v>
      </c>
      <c r="G30" s="167">
        <v>25077</v>
      </c>
      <c r="H30" s="167">
        <v>107062</v>
      </c>
      <c r="I30" s="179">
        <v>108797</v>
      </c>
      <c r="J30" s="179">
        <v>112043</v>
      </c>
      <c r="K30" s="167">
        <v>115051</v>
      </c>
      <c r="L30" s="179">
        <v>118715</v>
      </c>
      <c r="M30" s="179">
        <v>119789</v>
      </c>
      <c r="N30" s="167">
        <v>121530</v>
      </c>
      <c r="O30" s="167">
        <v>125641</v>
      </c>
      <c r="P30" s="167">
        <v>127679</v>
      </c>
      <c r="Q30" s="167">
        <v>130570</v>
      </c>
      <c r="R30" s="167">
        <v>134757</v>
      </c>
      <c r="S30" s="167">
        <v>137660</v>
      </c>
      <c r="T30" s="167">
        <v>164120</v>
      </c>
      <c r="U30" s="167">
        <v>171841</v>
      </c>
      <c r="V30" s="167">
        <v>176317</v>
      </c>
      <c r="W30" s="167">
        <v>187987</v>
      </c>
      <c r="X30" s="167">
        <v>195359</v>
      </c>
      <c r="Y30" s="167">
        <v>196925</v>
      </c>
      <c r="Z30" s="167">
        <v>195843</v>
      </c>
      <c r="AA30" s="167">
        <v>147065</v>
      </c>
      <c r="AB30" s="167">
        <v>153111</v>
      </c>
      <c r="AC30" s="167">
        <v>156425</v>
      </c>
    </row>
    <row r="31" spans="1:29">
      <c r="A31" s="151" t="s">
        <v>1084</v>
      </c>
      <c r="B31" s="151" t="s">
        <v>1085</v>
      </c>
      <c r="C31" s="151"/>
      <c r="D31" s="167"/>
      <c r="E31" s="167"/>
      <c r="F31" s="167"/>
      <c r="G31" s="167"/>
      <c r="H31" s="167"/>
      <c r="I31" s="179"/>
      <c r="J31" s="179"/>
      <c r="K31" s="167">
        <v>3012</v>
      </c>
      <c r="L31" s="179">
        <v>3012</v>
      </c>
      <c r="M31" s="179">
        <v>3012</v>
      </c>
      <c r="N31" s="167">
        <v>3012</v>
      </c>
      <c r="O31" s="167">
        <v>3670</v>
      </c>
      <c r="P31" s="167">
        <v>3618</v>
      </c>
      <c r="Q31" s="167">
        <v>3565</v>
      </c>
      <c r="R31" s="167">
        <v>3512</v>
      </c>
      <c r="S31" s="167">
        <v>4229</v>
      </c>
      <c r="T31" s="167">
        <v>4366</v>
      </c>
      <c r="U31" s="167">
        <v>4503</v>
      </c>
      <c r="V31" s="167">
        <v>4640</v>
      </c>
      <c r="W31" s="167">
        <v>5693</v>
      </c>
      <c r="X31" s="167">
        <v>5897</v>
      </c>
      <c r="Y31" s="167">
        <v>6101</v>
      </c>
      <c r="Z31" s="167">
        <v>6306</v>
      </c>
      <c r="AA31" s="167">
        <v>6949</v>
      </c>
      <c r="AB31" s="167">
        <v>7182</v>
      </c>
      <c r="AC31" s="167">
        <v>7416</v>
      </c>
    </row>
    <row r="32" spans="1:29">
      <c r="A32" s="151" t="s">
        <v>1072</v>
      </c>
      <c r="B32" s="151" t="s">
        <v>1073</v>
      </c>
      <c r="C32" s="151"/>
      <c r="D32" s="167">
        <f>E32*1000</f>
        <v>0</v>
      </c>
      <c r="E32" s="167"/>
      <c r="F32" s="167"/>
      <c r="G32" s="167"/>
      <c r="H32" s="167">
        <v>2021</v>
      </c>
      <c r="I32" s="167"/>
      <c r="J32" s="167"/>
      <c r="K32" s="167"/>
      <c r="L32" s="167"/>
      <c r="M32" s="167"/>
      <c r="N32" s="167"/>
      <c r="O32" s="167"/>
      <c r="P32" s="167"/>
      <c r="Q32" s="167">
        <v>0</v>
      </c>
      <c r="R32" s="167"/>
      <c r="S32" s="167"/>
      <c r="T32" s="167">
        <v>1518</v>
      </c>
      <c r="U32" s="167">
        <v>0</v>
      </c>
      <c r="V32" s="167"/>
      <c r="W32" s="167"/>
      <c r="X32" s="167"/>
      <c r="Y32" s="167"/>
      <c r="Z32" s="167"/>
      <c r="AA32" s="167"/>
      <c r="AB32" s="167"/>
      <c r="AC32" s="167"/>
    </row>
    <row r="33" spans="1:29">
      <c r="A33" s="151" t="s">
        <v>1076</v>
      </c>
      <c r="B33" s="151" t="s">
        <v>1077</v>
      </c>
      <c r="C33" s="151"/>
      <c r="D33" s="167">
        <v>534590</v>
      </c>
      <c r="E33" s="167">
        <v>494525</v>
      </c>
      <c r="F33" s="167">
        <v>387100</v>
      </c>
      <c r="G33" s="167">
        <v>282872</v>
      </c>
      <c r="H33" s="167">
        <v>218467</v>
      </c>
      <c r="I33" s="167">
        <v>144960</v>
      </c>
      <c r="J33" s="167">
        <v>59057</v>
      </c>
      <c r="K33" s="167">
        <v>60470</v>
      </c>
      <c r="L33" s="167">
        <v>61200</v>
      </c>
      <c r="M33" s="167">
        <v>80264</v>
      </c>
      <c r="N33" s="167">
        <v>92130</v>
      </c>
      <c r="O33" s="167">
        <v>86229</v>
      </c>
      <c r="P33" s="167">
        <v>94611</v>
      </c>
      <c r="Q33" s="167">
        <v>100042</v>
      </c>
      <c r="R33" s="167">
        <v>116046</v>
      </c>
      <c r="S33" s="167">
        <v>106531</v>
      </c>
      <c r="T33" s="167">
        <v>111593</v>
      </c>
      <c r="U33" s="167">
        <v>126773</v>
      </c>
      <c r="V33" s="167">
        <v>127262</v>
      </c>
      <c r="W33" s="167">
        <v>134943</v>
      </c>
      <c r="X33" s="167">
        <v>156539</v>
      </c>
      <c r="Y33" s="167">
        <v>162228</v>
      </c>
      <c r="Z33" s="167">
        <v>184309</v>
      </c>
      <c r="AA33" s="167">
        <v>162564</v>
      </c>
      <c r="AB33" s="167">
        <v>176938</v>
      </c>
      <c r="AC33" s="167">
        <v>164505</v>
      </c>
    </row>
    <row r="34" spans="1:29">
      <c r="A34" s="151" t="s">
        <v>1078</v>
      </c>
      <c r="B34" s="151" t="s">
        <v>1079</v>
      </c>
      <c r="C34" s="151"/>
      <c r="D34" s="167">
        <f>E34*1000</f>
        <v>0</v>
      </c>
      <c r="E34" s="167"/>
      <c r="F34" s="167"/>
      <c r="G34" s="167"/>
      <c r="H34" s="167"/>
      <c r="I34" s="167"/>
      <c r="J34" s="167"/>
      <c r="K34" s="167">
        <v>32510</v>
      </c>
      <c r="L34" s="167">
        <v>32510</v>
      </c>
      <c r="M34" s="167">
        <v>32510</v>
      </c>
      <c r="N34" s="167">
        <v>32510</v>
      </c>
      <c r="O34" s="167">
        <v>32510</v>
      </c>
      <c r="P34" s="167">
        <v>32510</v>
      </c>
      <c r="Q34" s="167">
        <v>32509.999999999996</v>
      </c>
      <c r="R34" s="167">
        <v>32510</v>
      </c>
      <c r="S34" s="167">
        <v>103866</v>
      </c>
      <c r="T34" s="167">
        <v>105721</v>
      </c>
      <c r="U34" s="167">
        <v>107191</v>
      </c>
      <c r="V34" s="167">
        <v>109169</v>
      </c>
      <c r="W34" s="167">
        <v>95661</v>
      </c>
      <c r="X34" s="167">
        <v>97656</v>
      </c>
      <c r="Y34" s="167">
        <v>78758</v>
      </c>
      <c r="Z34" s="167">
        <v>57049</v>
      </c>
      <c r="AA34" s="167">
        <v>34818</v>
      </c>
      <c r="AB34" s="167">
        <v>12013</v>
      </c>
      <c r="AC34" s="167">
        <v>4329</v>
      </c>
    </row>
    <row r="35" spans="1:29">
      <c r="A35" s="151" t="s">
        <v>1080</v>
      </c>
      <c r="B35" s="151" t="s">
        <v>96</v>
      </c>
      <c r="C35" s="151"/>
      <c r="D35" s="167">
        <v>26902</v>
      </c>
      <c r="E35" s="167">
        <v>22773</v>
      </c>
      <c r="F35" s="167">
        <v>22742</v>
      </c>
      <c r="G35" s="167">
        <v>23545</v>
      </c>
      <c r="H35" s="167">
        <v>23555</v>
      </c>
      <c r="I35" s="167">
        <v>23544</v>
      </c>
      <c r="J35" s="167">
        <v>23528</v>
      </c>
      <c r="K35" s="167">
        <v>22536</v>
      </c>
      <c r="L35" s="167">
        <v>21622</v>
      </c>
      <c r="M35" s="167">
        <v>21955</v>
      </c>
      <c r="N35" s="167">
        <v>21943</v>
      </c>
      <c r="O35" s="167">
        <v>22065</v>
      </c>
      <c r="P35" s="167">
        <v>21959</v>
      </c>
      <c r="Q35" s="167">
        <v>21924</v>
      </c>
      <c r="R35" s="167">
        <v>21922</v>
      </c>
      <c r="S35" s="167">
        <v>21190</v>
      </c>
      <c r="T35" s="167">
        <v>21161</v>
      </c>
      <c r="U35" s="167">
        <v>24862</v>
      </c>
      <c r="V35" s="167">
        <v>24871</v>
      </c>
      <c r="W35" s="167">
        <v>24849</v>
      </c>
      <c r="X35" s="167">
        <v>24841</v>
      </c>
      <c r="Y35" s="167">
        <v>24902</v>
      </c>
      <c r="Z35" s="167">
        <v>25546</v>
      </c>
      <c r="AA35" s="167">
        <v>31389</v>
      </c>
      <c r="AB35" s="167">
        <v>29358</v>
      </c>
      <c r="AC35" s="167">
        <v>28224</v>
      </c>
    </row>
    <row r="36" spans="1:29">
      <c r="A36" s="151" t="s">
        <v>1086</v>
      </c>
      <c r="B36" s="151" t="s">
        <v>1087</v>
      </c>
      <c r="C36" s="151"/>
      <c r="D36" s="327">
        <v>1693285</v>
      </c>
      <c r="E36" s="327">
        <v>1704452</v>
      </c>
      <c r="F36" s="327">
        <v>1796713</v>
      </c>
      <c r="G36" s="327">
        <v>1960726</v>
      </c>
      <c r="H36" s="327">
        <v>2320895</v>
      </c>
      <c r="I36" s="327">
        <v>2304544</v>
      </c>
      <c r="J36" s="327">
        <v>2415968</v>
      </c>
      <c r="K36" s="167">
        <v>2762771</v>
      </c>
      <c r="L36" s="327">
        <v>2915709</v>
      </c>
      <c r="M36" s="327">
        <v>3040513</v>
      </c>
      <c r="N36" s="327">
        <v>3068809</v>
      </c>
      <c r="O36" s="327">
        <v>3332039</v>
      </c>
      <c r="P36" s="327">
        <v>3437045</v>
      </c>
      <c r="Q36" s="167">
        <v>3551720</v>
      </c>
      <c r="R36" s="167">
        <v>3687611</v>
      </c>
      <c r="S36" s="167">
        <v>4020878</v>
      </c>
      <c r="T36" s="167">
        <v>4179444</v>
      </c>
      <c r="U36" s="167">
        <v>4361637</v>
      </c>
      <c r="V36" s="167">
        <v>4551367</v>
      </c>
      <c r="W36" s="167">
        <v>4887009</v>
      </c>
      <c r="X36" s="167">
        <v>5497967</v>
      </c>
      <c r="Y36" s="167">
        <v>5661434</v>
      </c>
      <c r="Z36" s="167">
        <v>5711253</v>
      </c>
      <c r="AA36" s="167">
        <v>5943147</v>
      </c>
      <c r="AB36" s="167">
        <v>6139997</v>
      </c>
      <c r="AC36" s="167">
        <v>154602</v>
      </c>
    </row>
    <row r="37" spans="1:29">
      <c r="A37" s="151" t="s">
        <v>1088</v>
      </c>
      <c r="B37" s="151" t="s">
        <v>1089</v>
      </c>
      <c r="C37" s="151"/>
      <c r="D37" s="167">
        <f>E37*1000</f>
        <v>0</v>
      </c>
      <c r="E37" s="167"/>
      <c r="F37" s="167"/>
      <c r="G37" s="167"/>
      <c r="H37" s="167"/>
      <c r="I37" s="167"/>
      <c r="J37" s="167"/>
      <c r="K37" s="167">
        <v>623</v>
      </c>
      <c r="L37" s="167">
        <v>4038</v>
      </c>
      <c r="M37" s="167">
        <v>4396</v>
      </c>
      <c r="N37" s="167">
        <v>4848</v>
      </c>
      <c r="O37" s="167">
        <v>4839</v>
      </c>
      <c r="P37" s="167">
        <v>4831</v>
      </c>
      <c r="Q37" s="167">
        <v>4822</v>
      </c>
      <c r="R37" s="167">
        <v>4813</v>
      </c>
      <c r="S37" s="167">
        <v>4700</v>
      </c>
      <c r="T37" s="167">
        <v>4670</v>
      </c>
      <c r="U37" s="167">
        <v>4670</v>
      </c>
      <c r="V37" s="167">
        <v>4442</v>
      </c>
      <c r="W37" s="167">
        <v>463</v>
      </c>
      <c r="X37" s="167">
        <v>510</v>
      </c>
      <c r="Y37" s="167">
        <v>509</v>
      </c>
      <c r="Z37" s="167">
        <v>508</v>
      </c>
      <c r="AA37" s="167">
        <v>62</v>
      </c>
      <c r="AB37" s="167">
        <v>61</v>
      </c>
      <c r="AC37" s="167">
        <v>60</v>
      </c>
    </row>
    <row r="38" spans="1:29">
      <c r="A38" s="151" t="s">
        <v>1090</v>
      </c>
      <c r="B38" s="151" t="s">
        <v>1091</v>
      </c>
      <c r="C38" s="151"/>
      <c r="D38" s="167">
        <f>E38*1000</f>
        <v>0</v>
      </c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>
        <v>0</v>
      </c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7"/>
      <c r="AC38" s="167"/>
    </row>
    <row r="39" spans="1:29">
      <c r="A39" s="151" t="s">
        <v>1092</v>
      </c>
      <c r="B39" s="151" t="s">
        <v>1093</v>
      </c>
      <c r="C39" s="151"/>
      <c r="D39" s="167">
        <v>1500947</v>
      </c>
      <c r="E39" s="167">
        <v>1472959</v>
      </c>
      <c r="F39" s="167">
        <v>1477410</v>
      </c>
      <c r="G39" s="167">
        <v>1527700</v>
      </c>
      <c r="H39" s="167">
        <v>1559666</v>
      </c>
      <c r="I39" s="167">
        <v>1568552</v>
      </c>
      <c r="J39" s="167">
        <v>1534450</v>
      </c>
      <c r="K39" s="167">
        <v>1520602</v>
      </c>
      <c r="L39" s="167">
        <v>1529669</v>
      </c>
      <c r="M39" s="167">
        <v>1521712</v>
      </c>
      <c r="N39" s="167">
        <v>1495676</v>
      </c>
      <c r="O39" s="167">
        <v>1482194</v>
      </c>
      <c r="P39" s="167">
        <v>1511927</v>
      </c>
      <c r="Q39" s="167">
        <v>1504355</v>
      </c>
      <c r="R39" s="167">
        <v>1487225</v>
      </c>
      <c r="S39" s="167">
        <v>1568871</v>
      </c>
      <c r="T39" s="167">
        <v>1541088</v>
      </c>
      <c r="U39" s="167">
        <v>1529209</v>
      </c>
      <c r="V39" s="167">
        <v>1542532</v>
      </c>
      <c r="W39" s="167">
        <v>1622683</v>
      </c>
      <c r="X39" s="167">
        <v>1711520</v>
      </c>
      <c r="Y39" s="167">
        <v>1666438</v>
      </c>
      <c r="Z39" s="167">
        <v>1701498</v>
      </c>
      <c r="AA39" s="167">
        <v>1689840</v>
      </c>
      <c r="AB39" s="167">
        <v>1596108</v>
      </c>
      <c r="AC39" s="167">
        <v>7840279</v>
      </c>
    </row>
    <row r="40" spans="1:29">
      <c r="A40" s="151" t="s">
        <v>1094</v>
      </c>
      <c r="B40" s="151" t="s">
        <v>1095</v>
      </c>
      <c r="C40" s="151"/>
      <c r="D40" s="167">
        <v>488893</v>
      </c>
      <c r="E40" s="167">
        <v>542735</v>
      </c>
      <c r="F40" s="167">
        <v>501711</v>
      </c>
      <c r="G40" s="167">
        <v>476246</v>
      </c>
      <c r="H40" s="167">
        <v>213975</v>
      </c>
      <c r="I40" s="167">
        <v>216950</v>
      </c>
      <c r="J40" s="167">
        <v>314284</v>
      </c>
      <c r="K40" s="167">
        <v>336004</v>
      </c>
      <c r="L40" s="167">
        <v>312662</v>
      </c>
      <c r="M40" s="167">
        <v>419361</v>
      </c>
      <c r="N40" s="167">
        <v>590716</v>
      </c>
      <c r="O40" s="167">
        <v>605601</v>
      </c>
      <c r="P40" s="167">
        <v>645503</v>
      </c>
      <c r="Q40" s="167">
        <v>696276</v>
      </c>
      <c r="R40" s="167">
        <v>851717</v>
      </c>
      <c r="S40" s="167">
        <v>740007</v>
      </c>
      <c r="T40" s="167">
        <v>818813</v>
      </c>
      <c r="U40" s="167">
        <v>887415</v>
      </c>
      <c r="V40" s="167">
        <v>941427</v>
      </c>
      <c r="W40" s="167">
        <v>809748</v>
      </c>
      <c r="X40" s="167">
        <v>407862</v>
      </c>
      <c r="Y40" s="167">
        <v>625305</v>
      </c>
      <c r="Z40" s="167">
        <v>677911</v>
      </c>
      <c r="AA40" s="167">
        <v>481791</v>
      </c>
      <c r="AB40" s="167">
        <v>653558</v>
      </c>
      <c r="AC40" s="167">
        <v>677109</v>
      </c>
    </row>
    <row r="41" spans="1:29" ht="15" thickBot="1">
      <c r="A41" s="151" t="s">
        <v>1096</v>
      </c>
      <c r="B41" s="151" t="s">
        <v>1097</v>
      </c>
      <c r="C41" s="151"/>
      <c r="D41" s="167">
        <v>3084</v>
      </c>
      <c r="E41" s="167">
        <v>2312</v>
      </c>
      <c r="F41" s="167">
        <v>1787</v>
      </c>
      <c r="G41" s="167">
        <v>1380</v>
      </c>
      <c r="H41" s="167">
        <v>1909</v>
      </c>
      <c r="I41" s="167">
        <v>585</v>
      </c>
      <c r="J41" s="167">
        <v>905</v>
      </c>
      <c r="K41" s="167">
        <v>1561</v>
      </c>
      <c r="L41" s="167">
        <v>1319</v>
      </c>
      <c r="M41" s="167">
        <v>886</v>
      </c>
      <c r="N41" s="167">
        <v>776</v>
      </c>
      <c r="O41" s="167">
        <v>1092</v>
      </c>
      <c r="P41" s="167">
        <v>898</v>
      </c>
      <c r="Q41" s="167">
        <v>703</v>
      </c>
      <c r="R41" s="167">
        <v>497</v>
      </c>
      <c r="S41" s="167">
        <v>394</v>
      </c>
      <c r="T41" s="167">
        <v>303</v>
      </c>
      <c r="U41" s="167">
        <v>396</v>
      </c>
      <c r="V41" s="167">
        <v>310</v>
      </c>
      <c r="W41" s="167">
        <v>545</v>
      </c>
      <c r="X41" s="167">
        <v>472</v>
      </c>
      <c r="Y41" s="167">
        <v>440</v>
      </c>
      <c r="Z41" s="167">
        <v>381</v>
      </c>
      <c r="AA41" s="167">
        <v>342</v>
      </c>
      <c r="AB41" s="167">
        <v>1051</v>
      </c>
      <c r="AC41" s="167">
        <v>945</v>
      </c>
    </row>
    <row r="42" spans="1:29" ht="15" thickBot="1">
      <c r="A42" s="155" t="s">
        <v>1098</v>
      </c>
      <c r="B42" s="155" t="s">
        <v>1099</v>
      </c>
      <c r="C42" s="326"/>
      <c r="D42" s="156">
        <f t="shared" ref="D42:M42" si="6">D8+D24</f>
        <v>7210705</v>
      </c>
      <c r="E42" s="156">
        <f t="shared" si="6"/>
        <v>7251309</v>
      </c>
      <c r="F42" s="156">
        <f t="shared" si="6"/>
        <v>7817608</v>
      </c>
      <c r="G42" s="156">
        <f t="shared" si="6"/>
        <v>7894296</v>
      </c>
      <c r="H42" s="156">
        <f t="shared" si="6"/>
        <v>7368506</v>
      </c>
      <c r="I42" s="156">
        <f t="shared" si="6"/>
        <v>7386493</v>
      </c>
      <c r="J42" s="156">
        <f t="shared" si="6"/>
        <v>7635651</v>
      </c>
      <c r="K42" s="156">
        <f t="shared" si="6"/>
        <v>7819323</v>
      </c>
      <c r="L42" s="156">
        <f t="shared" si="6"/>
        <v>7655944</v>
      </c>
      <c r="M42" s="156">
        <f t="shared" si="6"/>
        <v>8077012</v>
      </c>
      <c r="N42" s="156">
        <f t="shared" ref="N42:Y42" si="7">N8+N24</f>
        <v>7923736</v>
      </c>
      <c r="O42" s="156">
        <f t="shared" si="7"/>
        <v>8412859</v>
      </c>
      <c r="P42" s="156">
        <f t="shared" si="7"/>
        <v>8314616</v>
      </c>
      <c r="Q42" s="156">
        <f t="shared" si="7"/>
        <v>8722394</v>
      </c>
      <c r="R42" s="156">
        <f t="shared" si="7"/>
        <v>9020778</v>
      </c>
      <c r="S42" s="156">
        <f t="shared" si="7"/>
        <v>9350413</v>
      </c>
      <c r="T42" s="156">
        <f t="shared" si="7"/>
        <v>9311819</v>
      </c>
      <c r="U42" s="156">
        <f t="shared" si="7"/>
        <v>10109692</v>
      </c>
      <c r="V42" s="156">
        <f t="shared" si="7"/>
        <v>9963995</v>
      </c>
      <c r="W42" s="156">
        <f t="shared" si="7"/>
        <v>11250010</v>
      </c>
      <c r="X42" s="156">
        <f t="shared" si="7"/>
        <v>10997183</v>
      </c>
      <c r="Y42" s="156">
        <f t="shared" si="7"/>
        <v>11321228</v>
      </c>
      <c r="Z42" s="156">
        <f t="shared" ref="Z42:AB42" si="8">Z8+Z24</f>
        <v>11546063</v>
      </c>
      <c r="AA42" s="156">
        <f t="shared" si="8"/>
        <v>11099201</v>
      </c>
      <c r="AB42" s="156">
        <f t="shared" si="8"/>
        <v>11583870</v>
      </c>
      <c r="AC42" s="156">
        <f>AC8+AC24</f>
        <v>11789078</v>
      </c>
    </row>
    <row r="43" spans="1:29">
      <c r="A43" s="151"/>
      <c r="B43" s="151"/>
      <c r="C43" s="151"/>
    </row>
    <row r="44" spans="1:29" ht="15" thickBot="1">
      <c r="A44" s="6" t="s">
        <v>1100</v>
      </c>
      <c r="B44" s="6" t="s">
        <v>1101</v>
      </c>
      <c r="C44" s="146"/>
      <c r="D44" s="434" t="str">
        <f t="shared" ref="D44:N44" si="9">D7</f>
        <v>1T20</v>
      </c>
      <c r="E44" s="434" t="str">
        <f t="shared" si="9"/>
        <v>2T20</v>
      </c>
      <c r="F44" s="434" t="str">
        <f t="shared" si="9"/>
        <v>3T20</v>
      </c>
      <c r="G44" s="434" t="str">
        <f t="shared" si="9"/>
        <v>4T20</v>
      </c>
      <c r="H44" s="434" t="str">
        <f t="shared" si="9"/>
        <v>1T21</v>
      </c>
      <c r="I44" s="434" t="str">
        <f t="shared" si="9"/>
        <v>2T21</v>
      </c>
      <c r="J44" s="434" t="str">
        <f t="shared" si="9"/>
        <v>3T21</v>
      </c>
      <c r="K44" s="434" t="str">
        <f t="shared" si="9"/>
        <v>4T21</v>
      </c>
      <c r="L44" s="434" t="str">
        <f t="shared" si="9"/>
        <v>1T22</v>
      </c>
      <c r="M44" s="434" t="str">
        <f t="shared" si="9"/>
        <v>2T22</v>
      </c>
      <c r="N44" s="434" t="str">
        <f t="shared" si="9"/>
        <v>3T22</v>
      </c>
      <c r="O44" s="434" t="str">
        <f>O7</f>
        <v>4T22</v>
      </c>
      <c r="P44" s="434" t="str">
        <f>P7</f>
        <v>1T23</v>
      </c>
      <c r="Q44" s="434" t="s">
        <v>80</v>
      </c>
      <c r="R44" s="434" t="str">
        <f>R7</f>
        <v>3T23</v>
      </c>
      <c r="S44" s="434" t="s">
        <v>82</v>
      </c>
      <c r="T44" s="434" t="s">
        <v>83</v>
      </c>
      <c r="U44" s="434" t="s">
        <v>84</v>
      </c>
      <c r="V44" s="434" t="s">
        <v>85</v>
      </c>
      <c r="W44" s="434" t="s">
        <v>86</v>
      </c>
      <c r="X44" s="434" t="s">
        <v>87</v>
      </c>
      <c r="Y44" s="434" t="str">
        <f>+Y7</f>
        <v>2T25</v>
      </c>
      <c r="Z44" s="434" t="str">
        <f>+Z7</f>
        <v>3T25</v>
      </c>
      <c r="AA44" s="434" t="str">
        <f>+AA7</f>
        <v>4T25</v>
      </c>
      <c r="AB44" s="434" t="str">
        <f>+AB7</f>
        <v>1T26</v>
      </c>
      <c r="AC44" s="434" t="str">
        <f>+AC7</f>
        <v>2T26</v>
      </c>
    </row>
    <row r="45" spans="1:29" ht="15" thickBot="1">
      <c r="A45" s="147" t="s">
        <v>1051</v>
      </c>
      <c r="B45" s="147" t="s">
        <v>1052</v>
      </c>
      <c r="C45" s="326"/>
      <c r="D45" s="149">
        <f>SUM(D46:D62)</f>
        <v>1606180</v>
      </c>
      <c r="E45" s="149">
        <f>SUM(E46:E62)</f>
        <v>1781724</v>
      </c>
      <c r="F45" s="149">
        <f>SUM(F46:F62)</f>
        <v>1992275</v>
      </c>
      <c r="G45" s="149">
        <f>SUM(G46:G62)</f>
        <v>2232872</v>
      </c>
      <c r="H45" s="149">
        <f t="shared" ref="H45:Q45" si="10">SUM(H46:H62)</f>
        <v>1251597</v>
      </c>
      <c r="I45" s="149">
        <f t="shared" si="10"/>
        <v>1236488</v>
      </c>
      <c r="J45" s="149">
        <f t="shared" si="10"/>
        <v>2030531</v>
      </c>
      <c r="K45" s="149">
        <f t="shared" si="10"/>
        <v>2079877</v>
      </c>
      <c r="L45" s="149">
        <f t="shared" si="10"/>
        <v>1772913</v>
      </c>
      <c r="M45" s="149">
        <f t="shared" si="10"/>
        <v>1561691</v>
      </c>
      <c r="N45" s="149">
        <f t="shared" si="10"/>
        <v>1756074</v>
      </c>
      <c r="O45" s="149">
        <f t="shared" si="10"/>
        <v>1885048</v>
      </c>
      <c r="P45" s="149">
        <f t="shared" si="10"/>
        <v>1874893</v>
      </c>
      <c r="Q45" s="149">
        <f t="shared" si="10"/>
        <v>1995544</v>
      </c>
      <c r="R45" s="149">
        <f t="shared" ref="R45:Y45" si="11">SUM(R46:R62)</f>
        <v>2268438</v>
      </c>
      <c r="S45" s="149">
        <f t="shared" si="11"/>
        <v>1789774</v>
      </c>
      <c r="T45" s="149">
        <f t="shared" si="11"/>
        <v>1795463</v>
      </c>
      <c r="U45" s="149">
        <f t="shared" si="11"/>
        <v>2659369</v>
      </c>
      <c r="V45" s="149">
        <f t="shared" si="11"/>
        <v>2279702</v>
      </c>
      <c r="W45" s="149">
        <f t="shared" si="11"/>
        <v>2506315</v>
      </c>
      <c r="X45" s="149">
        <f t="shared" si="11"/>
        <v>2009419</v>
      </c>
      <c r="Y45" s="149">
        <f t="shared" si="11"/>
        <v>2102938</v>
      </c>
      <c r="Z45" s="149">
        <f t="shared" ref="Z45:AB45" si="12">SUM(Z46:Z62)</f>
        <v>2226315</v>
      </c>
      <c r="AA45" s="149">
        <f t="shared" si="12"/>
        <v>1813094</v>
      </c>
      <c r="AB45" s="149">
        <f t="shared" si="12"/>
        <v>1735552</v>
      </c>
      <c r="AC45" s="149">
        <f>SUM(AC46:AC62)</f>
        <v>1671604</v>
      </c>
    </row>
    <row r="46" spans="1:29">
      <c r="A46" s="160" t="s">
        <v>1102</v>
      </c>
      <c r="B46" s="160" t="s">
        <v>1103</v>
      </c>
      <c r="C46" s="160"/>
      <c r="D46" s="167">
        <v>350514</v>
      </c>
      <c r="E46" s="167">
        <v>331778</v>
      </c>
      <c r="F46" s="167">
        <v>368468</v>
      </c>
      <c r="G46" s="167">
        <v>578534</v>
      </c>
      <c r="H46" s="167">
        <v>411738</v>
      </c>
      <c r="I46" s="167">
        <v>390308</v>
      </c>
      <c r="J46" s="167">
        <v>632123</v>
      </c>
      <c r="K46" s="167">
        <v>610836</v>
      </c>
      <c r="L46" s="167">
        <v>418238</v>
      </c>
      <c r="M46" s="167">
        <v>515332</v>
      </c>
      <c r="N46" s="167">
        <v>516907</v>
      </c>
      <c r="O46" s="167">
        <v>509919</v>
      </c>
      <c r="P46" s="167">
        <v>441076</v>
      </c>
      <c r="Q46" s="167">
        <v>493764</v>
      </c>
      <c r="R46" s="167">
        <v>535625</v>
      </c>
      <c r="S46" s="167">
        <v>609375</v>
      </c>
      <c r="T46" s="167">
        <v>521910</v>
      </c>
      <c r="U46" s="167">
        <v>560997</v>
      </c>
      <c r="V46" s="167">
        <v>581462</v>
      </c>
      <c r="W46" s="167">
        <v>607699</v>
      </c>
      <c r="X46" s="167">
        <v>541049</v>
      </c>
      <c r="Y46" s="167">
        <v>627542</v>
      </c>
      <c r="Z46" s="167">
        <v>697971</v>
      </c>
      <c r="AA46" s="167">
        <v>699491</v>
      </c>
      <c r="AB46" s="167">
        <v>565450</v>
      </c>
      <c r="AC46" s="167">
        <v>708333</v>
      </c>
    </row>
    <row r="47" spans="1:29">
      <c r="A47" s="160" t="s">
        <v>1104</v>
      </c>
      <c r="B47" s="160" t="s">
        <v>876</v>
      </c>
      <c r="C47" s="160"/>
      <c r="D47" s="167">
        <v>15333</v>
      </c>
      <c r="E47" s="167">
        <v>18601</v>
      </c>
      <c r="F47" s="167">
        <v>21306</v>
      </c>
      <c r="G47" s="167">
        <v>16347</v>
      </c>
      <c r="H47" s="167">
        <v>17115</v>
      </c>
      <c r="I47" s="167">
        <v>19907</v>
      </c>
      <c r="J47" s="167">
        <v>21396</v>
      </c>
      <c r="K47" s="167">
        <v>19136</v>
      </c>
      <c r="L47" s="167">
        <v>20846</v>
      </c>
      <c r="M47" s="167">
        <v>24285</v>
      </c>
      <c r="N47" s="167">
        <v>27637</v>
      </c>
      <c r="O47" s="167">
        <v>22719</v>
      </c>
      <c r="P47" s="167">
        <v>30708</v>
      </c>
      <c r="Q47" s="167">
        <v>29860</v>
      </c>
      <c r="R47" s="167">
        <v>31360</v>
      </c>
      <c r="S47" s="167">
        <v>26166</v>
      </c>
      <c r="T47" s="167">
        <v>35588</v>
      </c>
      <c r="U47" s="167">
        <v>33604</v>
      </c>
      <c r="V47" s="167">
        <v>36382</v>
      </c>
      <c r="W47" s="167">
        <v>29394</v>
      </c>
      <c r="X47" s="167">
        <v>42855</v>
      </c>
      <c r="Y47" s="167">
        <v>39863</v>
      </c>
      <c r="Z47" s="167">
        <v>43978</v>
      </c>
      <c r="AA47" s="167">
        <v>40677</v>
      </c>
      <c r="AB47" s="167">
        <v>41099</v>
      </c>
      <c r="AC47" s="167">
        <v>50180</v>
      </c>
    </row>
    <row r="48" spans="1:29">
      <c r="A48" s="151" t="s">
        <v>1105</v>
      </c>
      <c r="B48" s="151" t="s">
        <v>1106</v>
      </c>
      <c r="C48" s="151"/>
      <c r="D48" s="167">
        <v>774326</v>
      </c>
      <c r="E48" s="167">
        <v>773685</v>
      </c>
      <c r="F48" s="167">
        <v>785996</v>
      </c>
      <c r="G48" s="167">
        <v>776546</v>
      </c>
      <c r="H48" s="167">
        <v>91899</v>
      </c>
      <c r="I48" s="167">
        <v>100348</v>
      </c>
      <c r="J48" s="167">
        <v>106725</v>
      </c>
      <c r="K48" s="167">
        <v>112167</v>
      </c>
      <c r="L48" s="167">
        <v>112827</v>
      </c>
      <c r="M48" s="167">
        <v>117426</v>
      </c>
      <c r="N48" s="167">
        <v>113354</v>
      </c>
      <c r="O48" s="167">
        <v>109680</v>
      </c>
      <c r="P48" s="167">
        <v>288601</v>
      </c>
      <c r="Q48" s="167">
        <v>298360</v>
      </c>
      <c r="R48" s="167">
        <v>334507</v>
      </c>
      <c r="S48" s="167">
        <v>357899</v>
      </c>
      <c r="T48" s="167">
        <v>373779</v>
      </c>
      <c r="U48" s="167">
        <v>829537</v>
      </c>
      <c r="V48" s="167">
        <v>829878</v>
      </c>
      <c r="W48" s="167">
        <v>906039</v>
      </c>
      <c r="X48" s="167">
        <v>679395</v>
      </c>
      <c r="Y48" s="167">
        <v>223190</v>
      </c>
      <c r="Z48" s="167">
        <v>223348</v>
      </c>
      <c r="AA48" s="167">
        <v>222419</v>
      </c>
      <c r="AB48" s="167">
        <v>225845</v>
      </c>
      <c r="AC48" s="167">
        <v>230772</v>
      </c>
    </row>
    <row r="49" spans="1:29">
      <c r="A49" s="151" t="s">
        <v>1107</v>
      </c>
      <c r="B49" s="151" t="s">
        <v>1108</v>
      </c>
      <c r="C49" s="151"/>
      <c r="D49" s="167">
        <v>102332</v>
      </c>
      <c r="E49" s="167">
        <v>14611</v>
      </c>
      <c r="F49" s="167">
        <v>14781</v>
      </c>
      <c r="G49" s="167">
        <v>184784</v>
      </c>
      <c r="H49" s="167">
        <v>191233</v>
      </c>
      <c r="I49" s="167">
        <v>203782</v>
      </c>
      <c r="J49" s="167">
        <v>709962</v>
      </c>
      <c r="K49" s="167">
        <v>511204</v>
      </c>
      <c r="L49" s="167">
        <v>504958</v>
      </c>
      <c r="M49" s="167">
        <v>525655</v>
      </c>
      <c r="N49" s="167">
        <v>20617</v>
      </c>
      <c r="O49" s="167">
        <v>161969</v>
      </c>
      <c r="P49" s="167">
        <v>179126</v>
      </c>
      <c r="Q49" s="167">
        <v>172804</v>
      </c>
      <c r="R49" s="167">
        <v>186912</v>
      </c>
      <c r="S49" s="167">
        <v>4628</v>
      </c>
      <c r="T49" s="167">
        <v>17189</v>
      </c>
      <c r="U49" s="167">
        <v>8761</v>
      </c>
      <c r="V49" s="167">
        <v>37235</v>
      </c>
      <c r="W49" s="167">
        <v>18820</v>
      </c>
      <c r="X49" s="167">
        <v>26915</v>
      </c>
      <c r="Y49" s="167">
        <v>17185</v>
      </c>
      <c r="Z49" s="167">
        <v>33716</v>
      </c>
      <c r="AA49" s="167">
        <v>17886</v>
      </c>
      <c r="AB49" s="167">
        <v>31875</v>
      </c>
      <c r="AC49" s="167">
        <v>17860</v>
      </c>
    </row>
    <row r="50" spans="1:29">
      <c r="A50" s="151" t="s">
        <v>1109</v>
      </c>
      <c r="B50" s="151" t="s">
        <v>1110</v>
      </c>
      <c r="C50" s="151"/>
      <c r="D50" s="167">
        <v>10685</v>
      </c>
      <c r="E50" s="167">
        <v>64361</v>
      </c>
      <c r="F50" s="167">
        <v>182292</v>
      </c>
      <c r="G50" s="167">
        <v>253490</v>
      </c>
      <c r="H50" s="167">
        <v>123769</v>
      </c>
      <c r="I50" s="167">
        <v>132775</v>
      </c>
      <c r="J50" s="167"/>
      <c r="K50" s="167"/>
      <c r="L50" s="167"/>
      <c r="M50" s="167"/>
      <c r="N50" s="167"/>
      <c r="O50" s="167">
        <v>25005</v>
      </c>
      <c r="P50" s="167">
        <v>117048</v>
      </c>
      <c r="Q50" s="167">
        <v>263655</v>
      </c>
      <c r="R50" s="167">
        <v>159604</v>
      </c>
      <c r="S50" s="167">
        <v>193941</v>
      </c>
      <c r="T50" s="167">
        <v>260660</v>
      </c>
      <c r="U50" s="167">
        <v>357195</v>
      </c>
      <c r="V50" s="167">
        <v>226101</v>
      </c>
      <c r="W50" s="167">
        <v>222306</v>
      </c>
      <c r="X50" s="167">
        <v>108757</v>
      </c>
      <c r="Y50" s="167">
        <v>153580</v>
      </c>
      <c r="Z50" s="167">
        <v>102734</v>
      </c>
      <c r="AA50" s="167">
        <v>63652</v>
      </c>
      <c r="AB50" s="167">
        <v>67225</v>
      </c>
      <c r="AC50" s="167">
        <v>0</v>
      </c>
    </row>
    <row r="51" spans="1:29">
      <c r="A51" s="151" t="s">
        <v>1111</v>
      </c>
      <c r="B51" s="151" t="s">
        <v>1112</v>
      </c>
      <c r="C51" s="151"/>
      <c r="D51" s="167">
        <v>83757</v>
      </c>
      <c r="E51" s="167">
        <v>108742</v>
      </c>
      <c r="F51" s="167">
        <v>122633</v>
      </c>
      <c r="G51" s="167">
        <v>109053</v>
      </c>
      <c r="H51" s="167">
        <v>89308</v>
      </c>
      <c r="I51" s="167">
        <v>95519</v>
      </c>
      <c r="J51" s="167">
        <v>142003</v>
      </c>
      <c r="K51" s="167">
        <v>123121</v>
      </c>
      <c r="L51" s="167">
        <v>112290</v>
      </c>
      <c r="M51" s="167">
        <v>106645</v>
      </c>
      <c r="N51" s="167">
        <v>109827</v>
      </c>
      <c r="O51" s="167">
        <v>106221</v>
      </c>
      <c r="P51" s="167">
        <v>100856</v>
      </c>
      <c r="Q51" s="167">
        <v>113884</v>
      </c>
      <c r="R51" s="167">
        <v>131475</v>
      </c>
      <c r="S51" s="167">
        <v>132076</v>
      </c>
      <c r="T51" s="167">
        <v>131382</v>
      </c>
      <c r="U51" s="167">
        <v>150456</v>
      </c>
      <c r="V51" s="167">
        <v>151869</v>
      </c>
      <c r="W51" s="167">
        <v>162156</v>
      </c>
      <c r="X51" s="167">
        <v>147582</v>
      </c>
      <c r="Y51" s="167">
        <v>177882</v>
      </c>
      <c r="Z51" s="167">
        <v>218376</v>
      </c>
      <c r="AA51" s="167">
        <v>204579</v>
      </c>
      <c r="AB51" s="167">
        <v>190574</v>
      </c>
      <c r="AC51" s="167">
        <v>206052</v>
      </c>
    </row>
    <row r="52" spans="1:29">
      <c r="A52" s="151" t="s">
        <v>1113</v>
      </c>
      <c r="B52" s="151" t="s">
        <v>1114</v>
      </c>
      <c r="C52" s="151"/>
      <c r="D52" s="167">
        <v>23250</v>
      </c>
      <c r="E52" s="167">
        <v>29557</v>
      </c>
      <c r="F52" s="167">
        <v>35249</v>
      </c>
      <c r="G52" s="167">
        <v>66144</v>
      </c>
      <c r="H52" s="167">
        <v>55021</v>
      </c>
      <c r="I52" s="167">
        <v>92590</v>
      </c>
      <c r="J52" s="167">
        <v>82049</v>
      </c>
      <c r="K52" s="167">
        <v>86017</v>
      </c>
      <c r="L52" s="167">
        <v>88704</v>
      </c>
      <c r="M52" s="167">
        <v>41936</v>
      </c>
      <c r="N52" s="167">
        <v>51795</v>
      </c>
      <c r="O52" s="167">
        <v>75693</v>
      </c>
      <c r="P52" s="167">
        <v>7081</v>
      </c>
      <c r="Q52" s="167">
        <v>50651</v>
      </c>
      <c r="R52" s="167">
        <v>81494</v>
      </c>
      <c r="S52" s="167">
        <v>1212</v>
      </c>
      <c r="T52" s="167">
        <v>7865</v>
      </c>
      <c r="U52" s="167">
        <v>15636</v>
      </c>
      <c r="V52" s="167">
        <v>42947</v>
      </c>
      <c r="W52" s="167">
        <v>1646</v>
      </c>
      <c r="X52" s="167">
        <v>7218</v>
      </c>
      <c r="Y52" s="167">
        <v>52711</v>
      </c>
      <c r="Z52" s="167">
        <v>142639</v>
      </c>
      <c r="AA52" s="167">
        <v>6354</v>
      </c>
      <c r="AB52" s="167">
        <v>41509</v>
      </c>
      <c r="AC52" s="167">
        <v>59795</v>
      </c>
    </row>
    <row r="53" spans="1:29">
      <c r="A53" s="151" t="s">
        <v>1115</v>
      </c>
      <c r="B53" s="151" t="s">
        <v>1116</v>
      </c>
      <c r="C53" s="151"/>
      <c r="D53" s="167">
        <v>28493</v>
      </c>
      <c r="E53" s="167">
        <v>1090</v>
      </c>
      <c r="F53" s="167">
        <v>1091</v>
      </c>
      <c r="G53" s="167">
        <v>73635</v>
      </c>
      <c r="H53" s="167">
        <v>73635</v>
      </c>
      <c r="I53" s="167">
        <v>1234</v>
      </c>
      <c r="J53" s="167">
        <v>1310</v>
      </c>
      <c r="K53" s="167">
        <v>191072</v>
      </c>
      <c r="L53" s="167">
        <v>191072</v>
      </c>
      <c r="M53" s="167">
        <v>1430</v>
      </c>
      <c r="N53" s="167">
        <v>1430</v>
      </c>
      <c r="O53" s="167">
        <v>116055</v>
      </c>
      <c r="P53" s="167">
        <v>116054</v>
      </c>
      <c r="Q53" s="167">
        <v>116054</v>
      </c>
      <c r="R53" s="167">
        <v>459925</v>
      </c>
      <c r="S53" s="167">
        <v>142884</v>
      </c>
      <c r="T53" s="167">
        <v>142884</v>
      </c>
      <c r="U53" s="167">
        <v>392297</v>
      </c>
      <c r="V53" s="167">
        <v>1631</v>
      </c>
      <c r="W53" s="167">
        <v>132608</v>
      </c>
      <c r="X53" s="167">
        <v>132608</v>
      </c>
      <c r="Y53" s="167">
        <v>451495</v>
      </c>
      <c r="Z53" s="167">
        <v>451495</v>
      </c>
      <c r="AA53" s="167">
        <v>141704</v>
      </c>
      <c r="AB53" s="167">
        <v>141705</v>
      </c>
      <c r="AC53" s="167">
        <v>1779</v>
      </c>
    </row>
    <row r="54" spans="1:29">
      <c r="A54" s="151" t="s">
        <v>1117</v>
      </c>
      <c r="B54" s="151" t="s">
        <v>1118</v>
      </c>
      <c r="C54" s="151"/>
      <c r="D54" s="167">
        <f>E54*1000</f>
        <v>0</v>
      </c>
      <c r="E54" s="167"/>
      <c r="F54" s="167"/>
      <c r="G54" s="167"/>
      <c r="H54" s="167"/>
      <c r="I54" s="167"/>
      <c r="J54" s="167"/>
      <c r="K54" s="167">
        <v>85698</v>
      </c>
      <c r="L54" s="167">
        <v>89740</v>
      </c>
      <c r="M54" s="167">
        <v>73479</v>
      </c>
      <c r="N54" s="167">
        <v>70732</v>
      </c>
      <c r="O54" s="167">
        <v>93975</v>
      </c>
      <c r="P54" s="167">
        <v>94961</v>
      </c>
      <c r="Q54" s="167">
        <v>93502</v>
      </c>
      <c r="R54" s="167">
        <v>90870</v>
      </c>
      <c r="S54" s="167">
        <v>97254</v>
      </c>
      <c r="T54" s="167">
        <v>95326</v>
      </c>
      <c r="U54" s="167">
        <v>95610</v>
      </c>
      <c r="V54" s="167">
        <v>97050</v>
      </c>
      <c r="W54" s="167">
        <v>80847</v>
      </c>
      <c r="X54" s="167">
        <v>66808</v>
      </c>
      <c r="Y54" s="167">
        <v>66043</v>
      </c>
      <c r="Z54" s="167">
        <v>64976</v>
      </c>
      <c r="AA54" s="167">
        <v>72055</v>
      </c>
      <c r="AB54" s="167">
        <v>69655</v>
      </c>
      <c r="AC54" s="167">
        <v>71968</v>
      </c>
    </row>
    <row r="55" spans="1:29">
      <c r="A55" s="151" t="s">
        <v>1119</v>
      </c>
      <c r="B55" s="151" t="s">
        <v>1120</v>
      </c>
      <c r="C55" s="151"/>
      <c r="D55" s="167">
        <v>12891</v>
      </c>
      <c r="E55" s="167">
        <v>13743</v>
      </c>
      <c r="F55" s="167">
        <v>18429</v>
      </c>
      <c r="G55" s="167">
        <v>17288</v>
      </c>
      <c r="H55" s="167">
        <v>18059</v>
      </c>
      <c r="I55" s="167">
        <v>20211</v>
      </c>
      <c r="J55" s="167">
        <v>11198</v>
      </c>
      <c r="K55" s="167">
        <v>13394</v>
      </c>
      <c r="L55" s="167">
        <v>8336</v>
      </c>
      <c r="M55" s="167">
        <v>11098</v>
      </c>
      <c r="N55" s="167">
        <v>13535</v>
      </c>
      <c r="O55" s="167">
        <v>16837</v>
      </c>
      <c r="P55" s="167">
        <v>16346</v>
      </c>
      <c r="Q55" s="167">
        <v>22179</v>
      </c>
      <c r="R55" s="167">
        <v>16888</v>
      </c>
      <c r="S55" s="167">
        <v>17559</v>
      </c>
      <c r="T55" s="167">
        <v>26165</v>
      </c>
      <c r="U55" s="167">
        <v>44589</v>
      </c>
      <c r="V55" s="167">
        <v>51196</v>
      </c>
      <c r="W55" s="167">
        <v>44290</v>
      </c>
      <c r="X55" s="167">
        <v>38204</v>
      </c>
      <c r="Y55" s="167">
        <v>37954</v>
      </c>
      <c r="Z55" s="167">
        <v>41015</v>
      </c>
      <c r="AA55" s="167">
        <v>48681</v>
      </c>
      <c r="AB55" s="167">
        <v>45631</v>
      </c>
      <c r="AC55" s="167">
        <v>50504</v>
      </c>
    </row>
    <row r="56" spans="1:29">
      <c r="A56" s="151" t="s">
        <v>1121</v>
      </c>
      <c r="B56" s="151" t="s">
        <v>1122</v>
      </c>
      <c r="C56" s="151"/>
      <c r="D56" s="167">
        <v>57133</v>
      </c>
      <c r="E56" s="167">
        <v>56186</v>
      </c>
      <c r="F56" s="167">
        <v>53834</v>
      </c>
      <c r="G56" s="167">
        <v>55695</v>
      </c>
      <c r="H56" s="167">
        <v>66370</v>
      </c>
      <c r="I56" s="167">
        <v>59195</v>
      </c>
      <c r="J56" s="167">
        <v>51237</v>
      </c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  <c r="Y56" s="167"/>
      <c r="Z56" s="167"/>
      <c r="AA56" s="167"/>
      <c r="AB56" s="167"/>
      <c r="AC56" s="167"/>
    </row>
    <row r="57" spans="1:29">
      <c r="A57" s="151" t="s">
        <v>1123</v>
      </c>
      <c r="B57" s="151" t="s">
        <v>1124</v>
      </c>
      <c r="C57" s="151"/>
      <c r="D57" s="167">
        <v>36388</v>
      </c>
      <c r="E57" s="167">
        <v>22785</v>
      </c>
      <c r="F57" s="167">
        <v>23915</v>
      </c>
      <c r="G57" s="167">
        <v>32267</v>
      </c>
      <c r="H57" s="167">
        <v>39484</v>
      </c>
      <c r="I57" s="167">
        <v>21874</v>
      </c>
      <c r="J57" s="167">
        <v>30008</v>
      </c>
      <c r="K57" s="167">
        <v>37799</v>
      </c>
      <c r="L57" s="167">
        <v>35548</v>
      </c>
      <c r="M57" s="167">
        <v>18748</v>
      </c>
      <c r="N57" s="167">
        <v>27793</v>
      </c>
      <c r="O57" s="167">
        <v>37628</v>
      </c>
      <c r="P57" s="167">
        <v>14975</v>
      </c>
      <c r="Q57" s="167">
        <v>19350</v>
      </c>
      <c r="R57" s="167">
        <v>30946</v>
      </c>
      <c r="S57" s="167">
        <v>42410</v>
      </c>
      <c r="T57" s="167">
        <v>15445</v>
      </c>
      <c r="U57" s="167">
        <v>18020</v>
      </c>
      <c r="V57" s="167">
        <v>32472</v>
      </c>
      <c r="W57" s="167">
        <v>46855</v>
      </c>
      <c r="X57" s="167">
        <v>15338</v>
      </c>
      <c r="Y57" s="167">
        <v>20328</v>
      </c>
      <c r="Z57" s="167">
        <v>38427</v>
      </c>
      <c r="AA57" s="167">
        <v>56524</v>
      </c>
      <c r="AB57" s="167">
        <v>78677</v>
      </c>
      <c r="AC57" s="167">
        <v>30584</v>
      </c>
    </row>
    <row r="58" spans="1:29">
      <c r="A58" s="151" t="s">
        <v>1072</v>
      </c>
      <c r="B58" s="151" t="s">
        <v>1073</v>
      </c>
      <c r="C58" s="151"/>
      <c r="D58" s="167">
        <f>E58*1000</f>
        <v>0</v>
      </c>
      <c r="E58" s="167"/>
      <c r="F58" s="167"/>
      <c r="G58" s="167"/>
      <c r="H58" s="167"/>
      <c r="I58" s="167">
        <v>214</v>
      </c>
      <c r="J58" s="167">
        <v>16</v>
      </c>
      <c r="K58" s="167">
        <v>45</v>
      </c>
      <c r="L58" s="167">
        <v>100</v>
      </c>
      <c r="M58" s="167">
        <v>271</v>
      </c>
      <c r="N58" s="167">
        <v>66</v>
      </c>
      <c r="O58" s="167">
        <v>283</v>
      </c>
      <c r="P58" s="167">
        <v>24317</v>
      </c>
      <c r="Q58" s="167">
        <v>38113</v>
      </c>
      <c r="R58" s="167">
        <v>22675</v>
      </c>
      <c r="S58" s="167">
        <v>30503</v>
      </c>
      <c r="T58" s="167">
        <v>22637</v>
      </c>
      <c r="U58" s="167">
        <v>0</v>
      </c>
      <c r="V58" s="167"/>
      <c r="W58" s="167"/>
      <c r="X58" s="167"/>
      <c r="Y58" s="167">
        <v>3325</v>
      </c>
      <c r="Z58" s="167">
        <v>1750</v>
      </c>
      <c r="AA58" s="167">
        <v>1245</v>
      </c>
      <c r="AB58" s="167">
        <v>2154</v>
      </c>
      <c r="AC58" s="167">
        <v>3214</v>
      </c>
    </row>
    <row r="59" spans="1:29">
      <c r="A59" s="151" t="s">
        <v>1125</v>
      </c>
      <c r="B59" s="151" t="s">
        <v>1126</v>
      </c>
      <c r="C59" s="151"/>
      <c r="D59" s="167">
        <v>26747</v>
      </c>
      <c r="E59" s="167">
        <v>19809</v>
      </c>
      <c r="F59" s="167">
        <v>9969</v>
      </c>
      <c r="G59" s="167">
        <v>22974</v>
      </c>
      <c r="H59" s="167">
        <v>22946</v>
      </c>
      <c r="I59" s="167">
        <v>22791</v>
      </c>
      <c r="J59" s="167">
        <v>23462</v>
      </c>
      <c r="K59" s="167">
        <v>30910</v>
      </c>
      <c r="L59" s="167">
        <v>22406</v>
      </c>
      <c r="M59" s="167">
        <v>22018</v>
      </c>
      <c r="N59" s="167">
        <v>21084</v>
      </c>
      <c r="O59" s="167">
        <v>18758</v>
      </c>
      <c r="P59" s="167">
        <v>18637</v>
      </c>
      <c r="Q59" s="167">
        <v>18360</v>
      </c>
      <c r="R59" s="167">
        <v>17813</v>
      </c>
      <c r="S59" s="167">
        <v>27789</v>
      </c>
      <c r="T59" s="167">
        <v>28234</v>
      </c>
      <c r="U59" s="167">
        <v>19611</v>
      </c>
      <c r="V59" s="167">
        <v>28308</v>
      </c>
      <c r="W59" s="167">
        <v>29282</v>
      </c>
      <c r="X59" s="167">
        <v>23501</v>
      </c>
      <c r="Y59" s="167">
        <v>29336</v>
      </c>
      <c r="Z59" s="167">
        <v>20728</v>
      </c>
      <c r="AA59" s="167">
        <v>20738</v>
      </c>
      <c r="AB59" s="167">
        <v>20785</v>
      </c>
      <c r="AC59" s="167">
        <v>10407</v>
      </c>
    </row>
    <row r="60" spans="1:29">
      <c r="A60" s="151" t="s">
        <v>1127</v>
      </c>
      <c r="B60" s="151" t="s">
        <v>1128</v>
      </c>
      <c r="C60" s="151"/>
      <c r="D60" s="167">
        <v>56233</v>
      </c>
      <c r="E60" s="167">
        <v>292821</v>
      </c>
      <c r="F60" s="167">
        <v>310684</v>
      </c>
      <c r="G60" s="167"/>
      <c r="H60" s="167"/>
      <c r="I60" s="167"/>
      <c r="J60" s="167">
        <v>115527</v>
      </c>
      <c r="K60" s="167">
        <v>81925</v>
      </c>
      <c r="L60" s="167">
        <v>52074</v>
      </c>
      <c r="M60" s="167">
        <v>20761</v>
      </c>
      <c r="N60" s="167">
        <v>686222</v>
      </c>
      <c r="O60" s="167">
        <v>488834</v>
      </c>
      <c r="P60" s="167">
        <v>307388</v>
      </c>
      <c r="Q60" s="167">
        <v>113101</v>
      </c>
      <c r="R60" s="167">
        <v>0</v>
      </c>
      <c r="S60" s="167" t="s">
        <v>447</v>
      </c>
      <c r="T60" s="167"/>
      <c r="U60" s="167"/>
      <c r="V60" s="167"/>
      <c r="W60" s="167"/>
      <c r="X60" s="167"/>
      <c r="Y60" s="167"/>
      <c r="Z60" s="167"/>
      <c r="AA60" s="167"/>
      <c r="AB60" s="167"/>
      <c r="AC60" s="167"/>
    </row>
    <row r="61" spans="1:29">
      <c r="A61" s="151" t="s">
        <v>1129</v>
      </c>
      <c r="B61" s="151" t="s">
        <v>96</v>
      </c>
      <c r="C61" s="151"/>
      <c r="D61" s="167">
        <v>26430</v>
      </c>
      <c r="E61" s="167">
        <v>32893</v>
      </c>
      <c r="F61" s="167">
        <v>42867</v>
      </c>
      <c r="G61" s="167">
        <v>45173</v>
      </c>
      <c r="H61" s="167">
        <v>49509</v>
      </c>
      <c r="I61" s="167">
        <v>75442</v>
      </c>
      <c r="J61" s="167">
        <v>103025</v>
      </c>
      <c r="K61" s="167">
        <v>175717</v>
      </c>
      <c r="L61" s="167">
        <v>115022</v>
      </c>
      <c r="M61" s="167">
        <v>82013</v>
      </c>
      <c r="N61" s="167">
        <v>94524</v>
      </c>
      <c r="O61" s="167">
        <v>100816</v>
      </c>
      <c r="P61" s="167">
        <v>117156</v>
      </c>
      <c r="Q61" s="167">
        <v>151448</v>
      </c>
      <c r="R61" s="167">
        <v>168005</v>
      </c>
      <c r="S61" s="167">
        <v>105780</v>
      </c>
      <c r="T61" s="167">
        <v>116151</v>
      </c>
      <c r="U61" s="167">
        <v>132787</v>
      </c>
      <c r="V61" s="167">
        <v>162949</v>
      </c>
      <c r="W61" s="167">
        <v>224142</v>
      </c>
      <c r="X61" s="167">
        <v>178999</v>
      </c>
      <c r="Y61" s="167">
        <v>202382</v>
      </c>
      <c r="Z61" s="167">
        <v>145027</v>
      </c>
      <c r="AA61" s="167">
        <v>216965</v>
      </c>
      <c r="AB61" s="167">
        <v>212977</v>
      </c>
      <c r="AC61" s="167">
        <v>229780</v>
      </c>
    </row>
    <row r="62" spans="1:29" ht="15" thickBot="1">
      <c r="A62" s="151" t="s">
        <v>1130</v>
      </c>
      <c r="B62" s="151" t="s">
        <v>1131</v>
      </c>
      <c r="C62" s="151"/>
      <c r="D62" s="167">
        <v>1668</v>
      </c>
      <c r="E62" s="167">
        <v>1062</v>
      </c>
      <c r="F62" s="167">
        <v>761</v>
      </c>
      <c r="G62" s="167">
        <v>942</v>
      </c>
      <c r="H62" s="167">
        <v>1511</v>
      </c>
      <c r="I62" s="167">
        <v>298</v>
      </c>
      <c r="J62" s="167">
        <v>490</v>
      </c>
      <c r="K62" s="167">
        <v>836</v>
      </c>
      <c r="L62" s="167">
        <v>752</v>
      </c>
      <c r="M62" s="167">
        <v>594</v>
      </c>
      <c r="N62" s="167">
        <v>551</v>
      </c>
      <c r="O62" s="167">
        <v>656</v>
      </c>
      <c r="P62" s="167">
        <v>563</v>
      </c>
      <c r="Q62" s="167">
        <v>459</v>
      </c>
      <c r="R62" s="167">
        <v>339</v>
      </c>
      <c r="S62" s="167">
        <v>298</v>
      </c>
      <c r="T62" s="167">
        <v>248</v>
      </c>
      <c r="U62" s="167">
        <v>269</v>
      </c>
      <c r="V62" s="167">
        <v>222</v>
      </c>
      <c r="W62" s="167">
        <v>231</v>
      </c>
      <c r="X62" s="167">
        <v>190</v>
      </c>
      <c r="Y62" s="167">
        <v>122</v>
      </c>
      <c r="Z62" s="167">
        <v>135</v>
      </c>
      <c r="AA62" s="167">
        <v>124</v>
      </c>
      <c r="AB62" s="167">
        <v>391</v>
      </c>
      <c r="AC62" s="167">
        <v>376</v>
      </c>
    </row>
    <row r="63" spans="1:29" ht="15" thickBot="1">
      <c r="A63" s="155" t="s">
        <v>1081</v>
      </c>
      <c r="B63" s="155" t="s">
        <v>1082</v>
      </c>
      <c r="C63" s="326"/>
      <c r="D63" s="156">
        <f t="shared" ref="D63:M63" si="13">SUM(D64:D77)</f>
        <v>2671306</v>
      </c>
      <c r="E63" s="156">
        <f t="shared" si="13"/>
        <v>2432635</v>
      </c>
      <c r="F63" s="156">
        <f t="shared" si="13"/>
        <v>2595328</v>
      </c>
      <c r="G63" s="156">
        <f t="shared" si="13"/>
        <v>2664181</v>
      </c>
      <c r="H63" s="156">
        <f t="shared" si="13"/>
        <v>2945167</v>
      </c>
      <c r="I63" s="156">
        <f t="shared" si="13"/>
        <v>2908429</v>
      </c>
      <c r="J63" s="156">
        <f t="shared" si="13"/>
        <v>2485236</v>
      </c>
      <c r="K63" s="156">
        <f t="shared" si="13"/>
        <v>2675600</v>
      </c>
      <c r="L63" s="156">
        <f t="shared" si="13"/>
        <v>2692444</v>
      </c>
      <c r="M63" s="156">
        <f t="shared" si="13"/>
        <v>3442521</v>
      </c>
      <c r="N63" s="156">
        <f t="shared" ref="N63:Y63" si="14">SUM(N64:N77)</f>
        <v>3005694</v>
      </c>
      <c r="O63" s="156">
        <f t="shared" si="14"/>
        <v>3077560</v>
      </c>
      <c r="P63" s="156">
        <f t="shared" si="14"/>
        <v>2827872</v>
      </c>
      <c r="Q63" s="156">
        <f t="shared" si="14"/>
        <v>2942896</v>
      </c>
      <c r="R63" s="156">
        <f t="shared" si="14"/>
        <v>3094710</v>
      </c>
      <c r="S63" s="156">
        <f t="shared" si="14"/>
        <v>3804173</v>
      </c>
      <c r="T63" s="156">
        <f t="shared" si="14"/>
        <v>3600524</v>
      </c>
      <c r="U63" s="156">
        <f t="shared" si="14"/>
        <v>3628361</v>
      </c>
      <c r="V63" s="156">
        <f t="shared" si="14"/>
        <v>3651642</v>
      </c>
      <c r="W63" s="156">
        <f t="shared" si="14"/>
        <v>4655474</v>
      </c>
      <c r="X63" s="156">
        <f t="shared" si="14"/>
        <v>4756688</v>
      </c>
      <c r="Y63" s="156">
        <f t="shared" si="14"/>
        <v>4991601</v>
      </c>
      <c r="Z63" s="156">
        <f t="shared" ref="Z63" si="15">SUM(Z64:Z77)</f>
        <v>4918691</v>
      </c>
      <c r="AA63" s="156">
        <f t="shared" ref="AA63:AB63" si="16">SUM(AA64:AA77)</f>
        <v>4863137</v>
      </c>
      <c r="AB63" s="156">
        <f t="shared" si="16"/>
        <v>5161530</v>
      </c>
      <c r="AC63" s="156">
        <f>SUM(AC64:AC77)</f>
        <v>5177147</v>
      </c>
    </row>
    <row r="64" spans="1:29">
      <c r="A64" s="151" t="s">
        <v>1084</v>
      </c>
      <c r="B64" s="151" t="s">
        <v>1085</v>
      </c>
      <c r="C64" s="326"/>
      <c r="D64" s="177"/>
      <c r="E64" s="177"/>
      <c r="F64" s="177"/>
      <c r="G64" s="177"/>
      <c r="H64" s="177"/>
      <c r="I64" s="177"/>
      <c r="J64" s="177"/>
      <c r="K64" s="177">
        <v>5763</v>
      </c>
      <c r="L64" s="177">
        <v>5763</v>
      </c>
      <c r="M64" s="177">
        <v>5763</v>
      </c>
      <c r="N64" s="177">
        <v>5763</v>
      </c>
      <c r="O64" s="177"/>
      <c r="P64" s="177">
        <v>9010</v>
      </c>
      <c r="Q64" s="177">
        <v>9112</v>
      </c>
      <c r="R64" s="178">
        <v>9215</v>
      </c>
      <c r="S64" s="178">
        <v>13030</v>
      </c>
      <c r="T64" s="178">
        <v>13269</v>
      </c>
      <c r="U64" s="178">
        <v>13508</v>
      </c>
      <c r="V64" s="178">
        <v>13747</v>
      </c>
      <c r="W64" s="178">
        <v>15405</v>
      </c>
      <c r="X64" s="178">
        <v>15769</v>
      </c>
      <c r="Y64" s="178">
        <v>16134</v>
      </c>
      <c r="Z64" s="178">
        <v>16498</v>
      </c>
      <c r="AA64" s="178">
        <v>21136</v>
      </c>
      <c r="AB64" s="178">
        <v>21595</v>
      </c>
      <c r="AC64" s="178">
        <v>22053</v>
      </c>
    </row>
    <row r="65" spans="1:29">
      <c r="A65" s="151" t="s">
        <v>1102</v>
      </c>
      <c r="B65" s="151" t="s">
        <v>1103</v>
      </c>
      <c r="C65" s="326"/>
      <c r="D65" s="177">
        <v>6740</v>
      </c>
      <c r="E65" s="177">
        <v>6731</v>
      </c>
      <c r="F65" s="177">
        <v>6731</v>
      </c>
      <c r="G65" s="177">
        <v>6695</v>
      </c>
      <c r="H65" s="177">
        <v>19736</v>
      </c>
      <c r="I65" s="177">
        <v>19280</v>
      </c>
      <c r="J65" s="177">
        <v>18746</v>
      </c>
      <c r="K65" s="177">
        <v>10849</v>
      </c>
      <c r="L65" s="177">
        <v>10693</v>
      </c>
      <c r="M65" s="177">
        <v>10537</v>
      </c>
      <c r="N65" s="177">
        <v>10381</v>
      </c>
      <c r="O65" s="177">
        <v>10223</v>
      </c>
      <c r="P65" s="177">
        <v>10067</v>
      </c>
      <c r="Q65" s="177">
        <v>21398</v>
      </c>
      <c r="R65" s="178">
        <v>20823</v>
      </c>
      <c r="S65" s="178">
        <v>20774</v>
      </c>
      <c r="T65" s="178">
        <v>24861</v>
      </c>
      <c r="U65" s="178">
        <v>15256</v>
      </c>
      <c r="V65" s="178">
        <v>14613</v>
      </c>
      <c r="W65" s="178">
        <v>15485</v>
      </c>
      <c r="X65" s="178">
        <v>15054</v>
      </c>
      <c r="Y65" s="178">
        <v>14848</v>
      </c>
      <c r="Z65" s="178">
        <v>15622</v>
      </c>
      <c r="AA65" s="178">
        <v>23003</v>
      </c>
      <c r="AB65" s="178">
        <v>22117</v>
      </c>
      <c r="AC65" s="178">
        <v>21544</v>
      </c>
    </row>
    <row r="66" spans="1:29">
      <c r="A66" s="151" t="s">
        <v>1105</v>
      </c>
      <c r="B66" s="151" t="s">
        <v>1106</v>
      </c>
      <c r="C66" s="151"/>
      <c r="D66" s="167">
        <v>781662</v>
      </c>
      <c r="E66" s="167">
        <v>734263</v>
      </c>
      <c r="F66" s="167">
        <v>874164</v>
      </c>
      <c r="G66" s="167">
        <v>856508</v>
      </c>
      <c r="H66" s="167">
        <v>1117347</v>
      </c>
      <c r="I66" s="167">
        <v>1050158</v>
      </c>
      <c r="J66" s="167">
        <v>1243496</v>
      </c>
      <c r="K66" s="177">
        <v>1398815</v>
      </c>
      <c r="L66" s="167">
        <v>1340566</v>
      </c>
      <c r="M66" s="167">
        <v>1601209</v>
      </c>
      <c r="N66" s="177">
        <v>1588471</v>
      </c>
      <c r="O66" s="177">
        <v>1879903</v>
      </c>
      <c r="P66" s="177">
        <v>1697120</v>
      </c>
      <c r="Q66" s="177">
        <v>1856252</v>
      </c>
      <c r="R66" s="178">
        <v>1848510</v>
      </c>
      <c r="S66" s="178">
        <v>2194867</v>
      </c>
      <c r="T66" s="178">
        <v>2025636</v>
      </c>
      <c r="U66" s="178">
        <v>1596765</v>
      </c>
      <c r="V66" s="178">
        <v>1561549</v>
      </c>
      <c r="W66" s="178">
        <v>1993488</v>
      </c>
      <c r="X66" s="178">
        <v>2234154</v>
      </c>
      <c r="Y66" s="178">
        <v>2531633</v>
      </c>
      <c r="Z66" s="178">
        <v>2512652</v>
      </c>
      <c r="AA66" s="178">
        <v>2501060</v>
      </c>
      <c r="AB66" s="178">
        <v>2696485</v>
      </c>
      <c r="AC66" s="178">
        <v>2658318</v>
      </c>
    </row>
    <row r="67" spans="1:29">
      <c r="A67" s="151" t="s">
        <v>1107</v>
      </c>
      <c r="B67" s="151" t="s">
        <v>1108</v>
      </c>
      <c r="C67" s="151"/>
      <c r="D67" s="167">
        <v>800272</v>
      </c>
      <c r="E67" s="167">
        <v>797842</v>
      </c>
      <c r="F67" s="167">
        <v>801834</v>
      </c>
      <c r="G67" s="167">
        <v>630704</v>
      </c>
      <c r="H67" s="167">
        <v>634436</v>
      </c>
      <c r="I67" s="167">
        <v>637637</v>
      </c>
      <c r="J67" s="167"/>
      <c r="K67" s="177">
        <v>146729</v>
      </c>
      <c r="L67" s="167">
        <v>150541</v>
      </c>
      <c r="M67" s="167">
        <v>454746</v>
      </c>
      <c r="N67" s="177">
        <v>453901</v>
      </c>
      <c r="O67" s="177">
        <v>298957</v>
      </c>
      <c r="P67" s="177">
        <v>299016</v>
      </c>
      <c r="Q67" s="177">
        <v>299075</v>
      </c>
      <c r="R67" s="178">
        <v>299134</v>
      </c>
      <c r="S67" s="178">
        <v>590896</v>
      </c>
      <c r="T67" s="178">
        <v>598251</v>
      </c>
      <c r="U67" s="178">
        <v>1099575</v>
      </c>
      <c r="V67" s="178">
        <v>1101338</v>
      </c>
      <c r="W67" s="178">
        <v>1642609</v>
      </c>
      <c r="X67" s="178">
        <v>1366462</v>
      </c>
      <c r="Y67" s="178">
        <v>1357549</v>
      </c>
      <c r="Z67" s="178">
        <v>1336754</v>
      </c>
      <c r="AA67" s="178">
        <v>1364099</v>
      </c>
      <c r="AB67" s="178">
        <v>1368440</v>
      </c>
      <c r="AC67" s="178">
        <v>1376815</v>
      </c>
    </row>
    <row r="68" spans="1:29">
      <c r="A68" s="151" t="s">
        <v>1111</v>
      </c>
      <c r="B68" s="151" t="s">
        <v>1112</v>
      </c>
      <c r="C68" s="151"/>
      <c r="D68" s="167">
        <v>3183</v>
      </c>
      <c r="E68" s="167">
        <v>3200</v>
      </c>
      <c r="F68" s="167">
        <v>3220</v>
      </c>
      <c r="G68" s="167">
        <v>3268</v>
      </c>
      <c r="H68" s="167">
        <v>3312</v>
      </c>
      <c r="I68" s="167">
        <v>3601</v>
      </c>
      <c r="J68" s="167">
        <v>3656</v>
      </c>
      <c r="K68" s="177">
        <v>3712</v>
      </c>
      <c r="L68" s="167">
        <v>3762</v>
      </c>
      <c r="M68" s="167">
        <v>3806</v>
      </c>
      <c r="N68" s="177">
        <v>3869</v>
      </c>
      <c r="O68" s="177">
        <v>3912</v>
      </c>
      <c r="P68" s="177">
        <v>3968</v>
      </c>
      <c r="Q68" s="177">
        <v>4025.0000000000005</v>
      </c>
      <c r="R68" s="178">
        <v>4087</v>
      </c>
      <c r="S68" s="178">
        <v>4147</v>
      </c>
      <c r="T68" s="178">
        <v>4197</v>
      </c>
      <c r="U68" s="178">
        <v>6240</v>
      </c>
      <c r="V68" s="178">
        <v>6161</v>
      </c>
      <c r="W68" s="178">
        <v>6116</v>
      </c>
      <c r="X68" s="178">
        <v>5960</v>
      </c>
      <c r="Y68" s="178">
        <v>5855</v>
      </c>
      <c r="Z68" s="178">
        <v>5748</v>
      </c>
      <c r="AA68" s="178">
        <v>5627</v>
      </c>
      <c r="AB68" s="178">
        <v>5482</v>
      </c>
      <c r="AC68" s="178">
        <v>5255</v>
      </c>
    </row>
    <row r="69" spans="1:29">
      <c r="A69" s="151" t="s">
        <v>1132</v>
      </c>
      <c r="B69" s="151" t="s">
        <v>1133</v>
      </c>
      <c r="C69" s="151"/>
      <c r="D69" s="167">
        <v>373787</v>
      </c>
      <c r="E69" s="167">
        <v>366165</v>
      </c>
      <c r="F69" s="167">
        <v>366902</v>
      </c>
      <c r="G69" s="167">
        <v>376374</v>
      </c>
      <c r="H69" s="167">
        <v>397254</v>
      </c>
      <c r="I69" s="167">
        <v>372802</v>
      </c>
      <c r="J69" s="167">
        <v>399106</v>
      </c>
      <c r="K69" s="177">
        <v>476104</v>
      </c>
      <c r="L69" s="167">
        <v>480363</v>
      </c>
      <c r="M69" s="167">
        <v>480538</v>
      </c>
      <c r="N69" s="177">
        <v>486153</v>
      </c>
      <c r="O69" s="177">
        <v>516165</v>
      </c>
      <c r="P69" s="177">
        <v>529547</v>
      </c>
      <c r="Q69" s="177">
        <v>515424</v>
      </c>
      <c r="R69" s="178">
        <v>516529</v>
      </c>
      <c r="S69" s="178">
        <v>563065</v>
      </c>
      <c r="T69" s="178">
        <v>595521</v>
      </c>
      <c r="U69" s="178">
        <v>623201</v>
      </c>
      <c r="V69" s="178">
        <v>626974</v>
      </c>
      <c r="W69" s="178">
        <v>645479</v>
      </c>
      <c r="X69" s="178">
        <v>674299</v>
      </c>
      <c r="Y69" s="178">
        <v>682591</v>
      </c>
      <c r="Z69" s="178">
        <v>646609</v>
      </c>
      <c r="AA69" s="178">
        <v>611459</v>
      </c>
      <c r="AB69" s="178">
        <v>621807</v>
      </c>
      <c r="AC69" s="178">
        <v>651372</v>
      </c>
    </row>
    <row r="70" spans="1:29">
      <c r="A70" s="151" t="s">
        <v>1117</v>
      </c>
      <c r="B70" s="151" t="s">
        <v>1118</v>
      </c>
      <c r="C70" s="151"/>
      <c r="D70" s="167"/>
      <c r="E70" s="167"/>
      <c r="F70" s="167"/>
      <c r="G70" s="167"/>
      <c r="H70" s="167"/>
      <c r="I70" s="167"/>
      <c r="J70" s="167"/>
      <c r="K70" s="177">
        <v>17248</v>
      </c>
      <c r="L70" s="167">
        <v>13523</v>
      </c>
      <c r="M70" s="167">
        <v>24421</v>
      </c>
      <c r="N70" s="177">
        <v>28521</v>
      </c>
      <c r="O70" s="177">
        <v>10890</v>
      </c>
      <c r="P70" s="177">
        <v>14448</v>
      </c>
      <c r="Q70" s="177">
        <v>18113</v>
      </c>
      <c r="R70" s="178">
        <v>28175</v>
      </c>
      <c r="S70" s="178">
        <v>22058</v>
      </c>
      <c r="T70" s="178">
        <v>26612</v>
      </c>
      <c r="U70" s="178">
        <v>31507</v>
      </c>
      <c r="V70" s="178">
        <v>37009</v>
      </c>
      <c r="W70" s="178">
        <v>24131</v>
      </c>
      <c r="X70" s="178">
        <v>28996</v>
      </c>
      <c r="Y70" s="178">
        <v>34399</v>
      </c>
      <c r="Z70" s="178">
        <v>40790</v>
      </c>
      <c r="AA70" s="178">
        <v>27624</v>
      </c>
      <c r="AB70" s="178">
        <v>34006</v>
      </c>
      <c r="AC70" s="178">
        <v>43586</v>
      </c>
    </row>
    <row r="71" spans="1:29">
      <c r="A71" s="151" t="s">
        <v>1125</v>
      </c>
      <c r="B71" s="151" t="s">
        <v>1126</v>
      </c>
      <c r="C71" s="151"/>
      <c r="D71" s="167">
        <v>94733</v>
      </c>
      <c r="E71" s="167">
        <v>101336</v>
      </c>
      <c r="F71" s="167">
        <v>110619</v>
      </c>
      <c r="G71" s="167">
        <v>100600</v>
      </c>
      <c r="H71" s="167">
        <v>103733</v>
      </c>
      <c r="I71" s="167">
        <v>104530</v>
      </c>
      <c r="J71" s="167">
        <v>107131</v>
      </c>
      <c r="K71" s="177">
        <v>98499</v>
      </c>
      <c r="L71" s="167">
        <v>108334</v>
      </c>
      <c r="M71" s="167">
        <v>107777</v>
      </c>
      <c r="N71" s="177">
        <v>107075</v>
      </c>
      <c r="O71" s="177">
        <v>104159</v>
      </c>
      <c r="P71" s="177">
        <v>105498</v>
      </c>
      <c r="Q71" s="177">
        <v>105246</v>
      </c>
      <c r="R71" s="178">
        <v>104899</v>
      </c>
      <c r="S71" s="178">
        <v>117019</v>
      </c>
      <c r="T71" s="178">
        <v>131405</v>
      </c>
      <c r="U71" s="178">
        <v>140864</v>
      </c>
      <c r="V71" s="178">
        <v>130259</v>
      </c>
      <c r="W71" s="178">
        <v>126465</v>
      </c>
      <c r="X71" s="178">
        <v>133012</v>
      </c>
      <c r="Y71" s="178">
        <v>127069</v>
      </c>
      <c r="Z71" s="178">
        <v>135834</v>
      </c>
      <c r="AA71" s="178">
        <v>132835</v>
      </c>
      <c r="AB71" s="178">
        <v>134035</v>
      </c>
      <c r="AC71" s="178">
        <v>145053</v>
      </c>
    </row>
    <row r="72" spans="1:29">
      <c r="A72" s="151" t="s">
        <v>1070</v>
      </c>
      <c r="B72" s="151" t="s">
        <v>1071</v>
      </c>
      <c r="C72" s="151"/>
      <c r="D72" s="167"/>
      <c r="E72" s="167">
        <v>41129</v>
      </c>
      <c r="F72" s="167">
        <v>60294</v>
      </c>
      <c r="G72" s="167"/>
      <c r="H72" s="167"/>
      <c r="I72" s="167"/>
      <c r="J72" s="167"/>
      <c r="K72" s="177">
        <v>0</v>
      </c>
      <c r="L72" s="167"/>
      <c r="M72" s="167"/>
      <c r="N72" s="177">
        <v>271114</v>
      </c>
      <c r="O72" s="177">
        <v>176841</v>
      </c>
      <c r="P72" s="177">
        <v>115724</v>
      </c>
      <c r="Q72" s="177">
        <v>52652</v>
      </c>
      <c r="R72" s="178">
        <v>212162</v>
      </c>
      <c r="S72" s="178">
        <v>196978</v>
      </c>
      <c r="T72" s="178">
        <v>142557</v>
      </c>
      <c r="U72" s="178">
        <v>64895</v>
      </c>
      <c r="V72" s="178">
        <v>121823</v>
      </c>
      <c r="W72" s="178">
        <v>125232</v>
      </c>
      <c r="X72" s="178">
        <v>180262</v>
      </c>
      <c r="Y72" s="178">
        <v>84993</v>
      </c>
      <c r="Z72" s="178">
        <v>18626</v>
      </c>
      <c r="AA72" s="178">
        <v>18143</v>
      </c>
      <c r="AB72" s="178">
        <v>19973</v>
      </c>
      <c r="AC72" s="178">
        <v>0</v>
      </c>
    </row>
    <row r="73" spans="1:29">
      <c r="A73" s="151" t="s">
        <v>1072</v>
      </c>
      <c r="B73" s="151" t="s">
        <v>1073</v>
      </c>
      <c r="C73" s="151"/>
      <c r="D73" s="167"/>
      <c r="E73" s="167"/>
      <c r="F73" s="167"/>
      <c r="G73" s="167"/>
      <c r="H73" s="167"/>
      <c r="I73" s="167"/>
      <c r="J73" s="167"/>
      <c r="K73" s="177">
        <v>8166</v>
      </c>
      <c r="L73" s="167">
        <v>65789</v>
      </c>
      <c r="M73" s="167">
        <v>51550</v>
      </c>
      <c r="N73" s="177">
        <v>38294</v>
      </c>
      <c r="O73" s="177">
        <v>51779</v>
      </c>
      <c r="P73" s="177">
        <v>24243</v>
      </c>
      <c r="Q73" s="177">
        <v>37716</v>
      </c>
      <c r="R73" s="178">
        <v>22603</v>
      </c>
      <c r="S73" s="178">
        <v>37505</v>
      </c>
      <c r="T73" s="178">
        <v>0</v>
      </c>
      <c r="U73" s="178"/>
      <c r="V73" s="178"/>
      <c r="W73" s="178">
        <v>24154</v>
      </c>
      <c r="X73" s="178">
        <v>63307</v>
      </c>
      <c r="Y73" s="178">
        <v>112898</v>
      </c>
      <c r="Z73" s="178">
        <v>132492</v>
      </c>
      <c r="AA73" s="178">
        <v>94476</v>
      </c>
      <c r="AB73" s="178">
        <v>158844</v>
      </c>
      <c r="AC73" s="178">
        <v>193168</v>
      </c>
    </row>
    <row r="74" spans="1:29">
      <c r="A74" s="151" t="s">
        <v>1121</v>
      </c>
      <c r="B74" s="151" t="s">
        <v>1122</v>
      </c>
      <c r="C74" s="151"/>
      <c r="D74" s="167">
        <v>41271</v>
      </c>
      <c r="E74" s="167">
        <v>45475</v>
      </c>
      <c r="F74" s="167">
        <v>50764</v>
      </c>
      <c r="G74" s="167">
        <v>56784</v>
      </c>
      <c r="H74" s="167">
        <v>48164</v>
      </c>
      <c r="I74" s="167"/>
      <c r="J74" s="167"/>
      <c r="K74" s="177"/>
      <c r="L74" s="167"/>
      <c r="M74" s="167"/>
      <c r="N74" s="177"/>
      <c r="O74" s="177"/>
      <c r="P74" s="177"/>
      <c r="Q74" s="177">
        <v>0</v>
      </c>
      <c r="R74" s="178"/>
      <c r="S74" s="178"/>
      <c r="T74" s="178"/>
      <c r="U74" s="178"/>
      <c r="V74" s="178"/>
      <c r="W74" s="178"/>
      <c r="X74" s="178"/>
      <c r="Y74" s="178"/>
      <c r="Z74" s="178"/>
      <c r="AA74" s="178"/>
      <c r="AB74" s="178"/>
      <c r="AC74" s="178"/>
    </row>
    <row r="75" spans="1:29">
      <c r="A75" s="151" t="s">
        <v>1127</v>
      </c>
      <c r="B75" s="151" t="s">
        <v>1128</v>
      </c>
      <c r="C75" s="151"/>
      <c r="D75" s="167">
        <v>555015</v>
      </c>
      <c r="E75" s="167">
        <v>322112</v>
      </c>
      <c r="F75" s="167">
        <v>306650</v>
      </c>
      <c r="G75" s="167">
        <v>619293</v>
      </c>
      <c r="H75" s="167">
        <v>620923</v>
      </c>
      <c r="I75" s="167">
        <v>623140</v>
      </c>
      <c r="J75" s="167">
        <v>497899</v>
      </c>
      <c r="K75" s="177">
        <v>501158</v>
      </c>
      <c r="L75" s="167">
        <v>504182</v>
      </c>
      <c r="M75" s="167">
        <v>691692</v>
      </c>
      <c r="N75" s="177">
        <v>0</v>
      </c>
      <c r="O75" s="177">
        <v>0</v>
      </c>
      <c r="P75" s="177"/>
      <c r="Q75" s="177">
        <v>0</v>
      </c>
      <c r="R75" s="178"/>
      <c r="S75" s="178"/>
      <c r="T75" s="178"/>
      <c r="U75" s="178"/>
      <c r="V75" s="178"/>
      <c r="W75" s="178"/>
      <c r="X75" s="178"/>
      <c r="Y75" s="178"/>
      <c r="Z75" s="178"/>
      <c r="AA75" s="178"/>
      <c r="AB75" s="178"/>
      <c r="AC75" s="178"/>
    </row>
    <row r="76" spans="1:29">
      <c r="A76" s="151" t="s">
        <v>1130</v>
      </c>
      <c r="B76" s="151" t="s">
        <v>1131</v>
      </c>
      <c r="C76" s="151"/>
      <c r="D76" s="167">
        <v>650</v>
      </c>
      <c r="E76" s="167">
        <v>549</v>
      </c>
      <c r="F76" s="167">
        <v>475</v>
      </c>
      <c r="G76" s="167">
        <v>434</v>
      </c>
      <c r="H76" s="167">
        <v>239</v>
      </c>
      <c r="I76" s="167">
        <v>716</v>
      </c>
      <c r="J76" s="167">
        <v>472</v>
      </c>
      <c r="K76" s="177">
        <v>789</v>
      </c>
      <c r="L76" s="167">
        <v>631</v>
      </c>
      <c r="M76" s="167">
        <v>328</v>
      </c>
      <c r="N76" s="177">
        <v>257</v>
      </c>
      <c r="O76" s="177">
        <v>470</v>
      </c>
      <c r="P76" s="177">
        <v>367</v>
      </c>
      <c r="Q76" s="177">
        <v>273</v>
      </c>
      <c r="R76" s="178">
        <v>164</v>
      </c>
      <c r="S76" s="178">
        <v>104</v>
      </c>
      <c r="T76" s="178">
        <v>63</v>
      </c>
      <c r="U76" s="178">
        <v>142</v>
      </c>
      <c r="V76" s="178">
        <v>103</v>
      </c>
      <c r="W76" s="178">
        <v>337</v>
      </c>
      <c r="X76" s="178">
        <v>307</v>
      </c>
      <c r="Y76" s="178">
        <v>343</v>
      </c>
      <c r="Z76" s="178">
        <v>271</v>
      </c>
      <c r="AA76" s="178">
        <v>244</v>
      </c>
      <c r="AB76" s="178">
        <v>723</v>
      </c>
      <c r="AC76" s="178">
        <v>634</v>
      </c>
    </row>
    <row r="77" spans="1:29" ht="15" thickBot="1">
      <c r="A77" s="151" t="s">
        <v>1129</v>
      </c>
      <c r="B77" s="151" t="s">
        <v>96</v>
      </c>
      <c r="C77" s="151"/>
      <c r="D77" s="167">
        <v>13993</v>
      </c>
      <c r="E77" s="167">
        <v>13833</v>
      </c>
      <c r="F77" s="167">
        <v>13675</v>
      </c>
      <c r="G77" s="167">
        <v>13521</v>
      </c>
      <c r="H77" s="167">
        <v>23</v>
      </c>
      <c r="I77" s="179">
        <v>96565</v>
      </c>
      <c r="J77" s="179">
        <v>214730</v>
      </c>
      <c r="K77" s="177">
        <v>7768</v>
      </c>
      <c r="L77" s="179">
        <v>8297</v>
      </c>
      <c r="M77" s="179">
        <v>10154</v>
      </c>
      <c r="N77" s="177">
        <v>11895</v>
      </c>
      <c r="O77" s="177">
        <v>24261</v>
      </c>
      <c r="P77" s="177">
        <v>18864</v>
      </c>
      <c r="Q77" s="177">
        <v>23610</v>
      </c>
      <c r="R77" s="178">
        <v>28409</v>
      </c>
      <c r="S77" s="178">
        <v>43730</v>
      </c>
      <c r="T77" s="178">
        <v>38152</v>
      </c>
      <c r="U77" s="178">
        <v>36408</v>
      </c>
      <c r="V77" s="178">
        <v>38066</v>
      </c>
      <c r="W77" s="178">
        <v>36573</v>
      </c>
      <c r="X77" s="178">
        <v>39106</v>
      </c>
      <c r="Y77" s="178">
        <v>23289</v>
      </c>
      <c r="Z77" s="178">
        <v>56795</v>
      </c>
      <c r="AA77" s="178">
        <v>63431</v>
      </c>
      <c r="AB77" s="178">
        <v>78023</v>
      </c>
      <c r="AC77" s="178">
        <v>59349</v>
      </c>
    </row>
    <row r="78" spans="1:29" ht="15" thickBot="1">
      <c r="A78" s="164" t="s">
        <v>1134</v>
      </c>
      <c r="B78" s="164" t="s">
        <v>1013</v>
      </c>
      <c r="C78" s="326"/>
      <c r="D78" s="185"/>
      <c r="E78" s="185"/>
      <c r="F78" s="185"/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185"/>
      <c r="R78" s="185"/>
      <c r="S78" s="185"/>
      <c r="T78" s="185"/>
      <c r="U78" s="185"/>
      <c r="V78" s="185"/>
      <c r="W78" s="185"/>
      <c r="X78" s="185"/>
      <c r="Y78" s="185"/>
      <c r="Z78" s="185"/>
      <c r="AA78" s="185"/>
      <c r="AB78" s="185"/>
      <c r="AC78" s="185"/>
    </row>
    <row r="79" spans="1:29" ht="15" thickBot="1">
      <c r="A79" s="155" t="s">
        <v>1135</v>
      </c>
      <c r="B79" s="155" t="s">
        <v>1136</v>
      </c>
      <c r="C79" s="326"/>
      <c r="D79" s="156">
        <f t="shared" ref="D79:Y79" si="17">SUM(D80:D85)</f>
        <v>2933219</v>
      </c>
      <c r="E79" s="156">
        <f t="shared" si="17"/>
        <v>3036950</v>
      </c>
      <c r="F79" s="156">
        <f t="shared" si="17"/>
        <v>3230005</v>
      </c>
      <c r="G79" s="156">
        <f t="shared" si="17"/>
        <v>2997243</v>
      </c>
      <c r="H79" s="156">
        <f t="shared" si="17"/>
        <v>3171742</v>
      </c>
      <c r="I79" s="156">
        <f t="shared" si="17"/>
        <v>3241576</v>
      </c>
      <c r="J79" s="156">
        <f t="shared" si="17"/>
        <v>3119884</v>
      </c>
      <c r="K79" s="156">
        <f t="shared" si="17"/>
        <v>3063846</v>
      </c>
      <c r="L79" s="156">
        <f t="shared" si="17"/>
        <v>3190587</v>
      </c>
      <c r="M79" s="156">
        <f t="shared" si="17"/>
        <v>3072800</v>
      </c>
      <c r="N79" s="156">
        <f t="shared" si="17"/>
        <v>3161968</v>
      </c>
      <c r="O79" s="156">
        <f t="shared" si="17"/>
        <v>3450251</v>
      </c>
      <c r="P79" s="156">
        <f t="shared" si="17"/>
        <v>3611851</v>
      </c>
      <c r="Q79" s="156">
        <f t="shared" si="17"/>
        <v>3783954</v>
      </c>
      <c r="R79" s="156">
        <f t="shared" si="17"/>
        <v>3657630</v>
      </c>
      <c r="S79" s="156">
        <f t="shared" si="17"/>
        <v>3756466</v>
      </c>
      <c r="T79" s="156">
        <f t="shared" si="17"/>
        <v>3915832</v>
      </c>
      <c r="U79" s="156">
        <f t="shared" si="17"/>
        <v>3821962</v>
      </c>
      <c r="V79" s="156">
        <f t="shared" si="17"/>
        <v>4032651</v>
      </c>
      <c r="W79" s="156">
        <f t="shared" si="17"/>
        <v>4088221</v>
      </c>
      <c r="X79" s="156">
        <f t="shared" si="17"/>
        <v>4231076</v>
      </c>
      <c r="Y79" s="156">
        <f t="shared" si="17"/>
        <v>4226689</v>
      </c>
      <c r="Z79" s="156">
        <f t="shared" ref="Z79" si="18">SUM(Z80:Z85)</f>
        <v>4401057</v>
      </c>
      <c r="AA79" s="156">
        <f t="shared" ref="AA79:AB79" si="19">SUM(AA80:AA85)</f>
        <v>4422970</v>
      </c>
      <c r="AB79" s="156">
        <f t="shared" si="19"/>
        <v>4686788</v>
      </c>
      <c r="AC79" s="156">
        <f>SUM(AC80:AC85)</f>
        <v>4940327</v>
      </c>
    </row>
    <row r="80" spans="1:29">
      <c r="A80" s="151" t="s">
        <v>1137</v>
      </c>
      <c r="B80" s="151" t="s">
        <v>1138</v>
      </c>
      <c r="C80" s="151"/>
      <c r="D80" s="167">
        <v>1312534</v>
      </c>
      <c r="E80" s="167">
        <v>1321534</v>
      </c>
      <c r="F80" s="167">
        <v>1321534</v>
      </c>
      <c r="G80" s="167">
        <v>1479713</v>
      </c>
      <c r="H80" s="167">
        <v>1479713</v>
      </c>
      <c r="I80" s="167">
        <v>1651592</v>
      </c>
      <c r="J80" s="167">
        <v>1651592</v>
      </c>
      <c r="K80" s="167">
        <v>1651592</v>
      </c>
      <c r="L80" s="167">
        <v>1651592</v>
      </c>
      <c r="M80" s="167">
        <v>1651592</v>
      </c>
      <c r="N80" s="167">
        <v>1651592</v>
      </c>
      <c r="O80" s="167">
        <v>1651592</v>
      </c>
      <c r="P80" s="167">
        <v>1651592</v>
      </c>
      <c r="Q80" s="167">
        <v>1651592</v>
      </c>
      <c r="R80" s="167">
        <v>1651592</v>
      </c>
      <c r="S80" s="167">
        <v>1651592</v>
      </c>
      <c r="T80" s="167">
        <v>1651592</v>
      </c>
      <c r="U80" s="167">
        <v>1863606</v>
      </c>
      <c r="V80" s="167">
        <v>1863606</v>
      </c>
      <c r="W80" s="167">
        <v>1863606</v>
      </c>
      <c r="X80" s="167">
        <v>1863606</v>
      </c>
      <c r="Y80" s="167">
        <v>1863606</v>
      </c>
      <c r="Z80" s="167">
        <v>1863606</v>
      </c>
      <c r="AA80" s="167">
        <v>1863606</v>
      </c>
      <c r="AB80" s="167">
        <v>1863606</v>
      </c>
      <c r="AC80" s="167">
        <v>1863606</v>
      </c>
    </row>
    <row r="81" spans="1:29">
      <c r="A81" s="151" t="s">
        <v>1139</v>
      </c>
      <c r="B81" s="151" t="s">
        <v>1140</v>
      </c>
      <c r="C81" s="151"/>
      <c r="D81" s="167">
        <f>E81*1000</f>
        <v>0</v>
      </c>
      <c r="E81" s="167"/>
      <c r="F81" s="167"/>
      <c r="G81" s="167">
        <v>27160</v>
      </c>
      <c r="H81" s="167">
        <v>31927</v>
      </c>
      <c r="I81" s="167">
        <v>32923</v>
      </c>
      <c r="J81" s="167">
        <v>36060</v>
      </c>
      <c r="K81" s="167">
        <v>39099</v>
      </c>
      <c r="L81" s="167">
        <v>41072</v>
      </c>
      <c r="M81" s="167">
        <v>43450</v>
      </c>
      <c r="N81" s="167">
        <v>45930</v>
      </c>
      <c r="O81" s="167">
        <v>48268</v>
      </c>
      <c r="P81" s="167">
        <v>49770</v>
      </c>
      <c r="Q81" s="167">
        <v>51465</v>
      </c>
      <c r="R81" s="167">
        <v>53676</v>
      </c>
      <c r="S81" s="167">
        <v>48568</v>
      </c>
      <c r="T81" s="167">
        <v>49527</v>
      </c>
      <c r="U81" s="167">
        <v>50496</v>
      </c>
      <c r="V81" s="167">
        <v>51714</v>
      </c>
      <c r="W81" s="167">
        <v>52353</v>
      </c>
      <c r="X81" s="167">
        <v>52910</v>
      </c>
      <c r="Y81" s="167">
        <v>53711</v>
      </c>
      <c r="Z81" s="167">
        <v>54652</v>
      </c>
      <c r="AA81" s="167">
        <v>55475</v>
      </c>
      <c r="AB81" s="167">
        <v>56095</v>
      </c>
      <c r="AC81" s="167">
        <v>58631</v>
      </c>
    </row>
    <row r="82" spans="1:29">
      <c r="A82" s="151" t="s">
        <v>1141</v>
      </c>
      <c r="B82" s="151" t="s">
        <v>1142</v>
      </c>
      <c r="C82" s="151"/>
      <c r="D82" s="167">
        <v>1481059</v>
      </c>
      <c r="E82" s="167">
        <v>1446315</v>
      </c>
      <c r="F82" s="167">
        <v>1446315</v>
      </c>
      <c r="G82" s="167">
        <v>1489080</v>
      </c>
      <c r="H82" s="167">
        <v>1489080</v>
      </c>
      <c r="I82" s="167">
        <v>1174569</v>
      </c>
      <c r="J82" s="167">
        <v>1135657</v>
      </c>
      <c r="K82" s="167">
        <v>1384827</v>
      </c>
      <c r="L82" s="167">
        <v>1384827</v>
      </c>
      <c r="M82" s="167">
        <v>1241250</v>
      </c>
      <c r="N82" s="167">
        <v>1241250</v>
      </c>
      <c r="O82" s="167">
        <v>1774771</v>
      </c>
      <c r="P82" s="167">
        <v>1774772</v>
      </c>
      <c r="Q82" s="167">
        <v>1807714</v>
      </c>
      <c r="R82" s="167">
        <v>1463842</v>
      </c>
      <c r="S82" s="167">
        <v>2066946</v>
      </c>
      <c r="T82" s="167">
        <v>2066946</v>
      </c>
      <c r="U82" s="167">
        <v>1605520</v>
      </c>
      <c r="V82" s="167">
        <v>1605519</v>
      </c>
      <c r="W82" s="167">
        <v>2215879</v>
      </c>
      <c r="X82" s="167">
        <v>2215879</v>
      </c>
      <c r="Y82" s="167">
        <v>1896992</v>
      </c>
      <c r="Z82" s="167">
        <v>1896992</v>
      </c>
      <c r="AA82" s="167">
        <v>2508706</v>
      </c>
      <c r="AB82" s="167">
        <v>2508706</v>
      </c>
      <c r="AC82" s="167">
        <v>2508706</v>
      </c>
    </row>
    <row r="83" spans="1:29">
      <c r="A83" s="151" t="s">
        <v>1143</v>
      </c>
      <c r="B83" s="151" t="s">
        <v>1144</v>
      </c>
      <c r="C83" s="151"/>
      <c r="D83" s="167">
        <v>651</v>
      </c>
      <c r="E83" s="167">
        <v>651</v>
      </c>
      <c r="F83" s="167">
        <v>651</v>
      </c>
      <c r="G83" s="167">
        <v>1290</v>
      </c>
      <c r="H83" s="167">
        <v>-22623</v>
      </c>
      <c r="I83" s="167">
        <v>-7919</v>
      </c>
      <c r="J83" s="167">
        <v>-309030</v>
      </c>
      <c r="K83" s="167">
        <v>-11672</v>
      </c>
      <c r="L83" s="167">
        <v>-20002</v>
      </c>
      <c r="M83" s="167">
        <v>-26679</v>
      </c>
      <c r="N83" s="167">
        <v>-32939</v>
      </c>
      <c r="O83" s="167">
        <v>-24380</v>
      </c>
      <c r="P83" s="167">
        <v>-25950</v>
      </c>
      <c r="Q83" s="167">
        <v>-24855</v>
      </c>
      <c r="R83" s="167">
        <v>-12152</v>
      </c>
      <c r="S83" s="167">
        <v>-10640</v>
      </c>
      <c r="T83" s="167">
        <v>-7461</v>
      </c>
      <c r="U83" s="167">
        <v>-3519</v>
      </c>
      <c r="V83" s="167">
        <v>-4731</v>
      </c>
      <c r="W83" s="167">
        <v>-43617</v>
      </c>
      <c r="X83" s="167">
        <v>-43506</v>
      </c>
      <c r="Y83" s="167">
        <v>-5865</v>
      </c>
      <c r="Z83" s="167">
        <v>-2857</v>
      </c>
      <c r="AA83" s="167">
        <v>-4817</v>
      </c>
      <c r="AB83" s="167">
        <v>-13930</v>
      </c>
      <c r="AC83" s="167">
        <v>-14219</v>
      </c>
    </row>
    <row r="84" spans="1:29">
      <c r="A84" s="151" t="s">
        <v>1145</v>
      </c>
      <c r="B84" s="151" t="s">
        <v>1146</v>
      </c>
      <c r="C84" s="151"/>
      <c r="D84" s="167">
        <v>138975</v>
      </c>
      <c r="E84" s="167">
        <v>268450</v>
      </c>
      <c r="F84" s="167">
        <v>461505</v>
      </c>
      <c r="G84" s="167"/>
      <c r="H84" s="167">
        <v>193645</v>
      </c>
      <c r="I84" s="167">
        <v>390411</v>
      </c>
      <c r="J84" s="167">
        <v>605605</v>
      </c>
      <c r="K84" s="167">
        <v>0</v>
      </c>
      <c r="L84" s="167">
        <v>133098</v>
      </c>
      <c r="M84" s="167">
        <v>163187</v>
      </c>
      <c r="N84" s="167">
        <v>256135</v>
      </c>
      <c r="O84" s="167">
        <v>0</v>
      </c>
      <c r="P84" s="167">
        <v>161667</v>
      </c>
      <c r="Q84" s="167">
        <v>298038</v>
      </c>
      <c r="R84" s="167">
        <v>0</v>
      </c>
      <c r="S84" s="167"/>
      <c r="T84" s="167"/>
      <c r="U84" s="167"/>
      <c r="V84" s="167"/>
      <c r="W84" s="167"/>
      <c r="X84" s="167"/>
      <c r="Y84" s="167"/>
      <c r="Z84" s="167"/>
      <c r="AA84" s="167"/>
      <c r="AB84" s="167"/>
      <c r="AC84" s="167"/>
    </row>
    <row r="85" spans="1:29" ht="15" thickBot="1">
      <c r="A85" s="151" t="s">
        <v>903</v>
      </c>
      <c r="B85" s="151" t="s">
        <v>777</v>
      </c>
      <c r="C85" s="151"/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67"/>
      <c r="O85" s="167"/>
      <c r="P85" s="167"/>
      <c r="Q85" s="167"/>
      <c r="R85" s="167">
        <v>500672</v>
      </c>
      <c r="S85" s="167">
        <v>0</v>
      </c>
      <c r="T85" s="167">
        <v>155228</v>
      </c>
      <c r="U85" s="167">
        <v>305859</v>
      </c>
      <c r="V85" s="167">
        <v>516543</v>
      </c>
      <c r="W85" s="167"/>
      <c r="X85" s="167">
        <v>142187</v>
      </c>
      <c r="Y85" s="167">
        <v>418245</v>
      </c>
      <c r="Z85" s="167">
        <v>588664</v>
      </c>
      <c r="AA85" s="167">
        <v>0</v>
      </c>
      <c r="AB85" s="167">
        <v>272311</v>
      </c>
      <c r="AC85" s="167">
        <v>523603</v>
      </c>
    </row>
    <row r="86" spans="1:29" ht="15" thickBot="1">
      <c r="A86" s="155" t="s">
        <v>1147</v>
      </c>
      <c r="B86" s="155" t="s">
        <v>1148</v>
      </c>
      <c r="C86" s="326"/>
      <c r="D86" s="156">
        <f t="shared" ref="D86:Q86" si="20">D79+D63+D45</f>
        <v>7210705</v>
      </c>
      <c r="E86" s="156">
        <f>E79+E63+E45</f>
        <v>7251309</v>
      </c>
      <c r="F86" s="156">
        <f t="shared" si="20"/>
        <v>7817608</v>
      </c>
      <c r="G86" s="156">
        <f t="shared" si="20"/>
        <v>7894296</v>
      </c>
      <c r="H86" s="156">
        <f t="shared" si="20"/>
        <v>7368506</v>
      </c>
      <c r="I86" s="156">
        <f t="shared" si="20"/>
        <v>7386493</v>
      </c>
      <c r="J86" s="156">
        <f t="shared" si="20"/>
        <v>7635651</v>
      </c>
      <c r="K86" s="156">
        <f t="shared" si="20"/>
        <v>7819323</v>
      </c>
      <c r="L86" s="156">
        <f t="shared" si="20"/>
        <v>7655944</v>
      </c>
      <c r="M86" s="156">
        <f t="shared" si="20"/>
        <v>8077012</v>
      </c>
      <c r="N86" s="156">
        <f t="shared" si="20"/>
        <v>7923736</v>
      </c>
      <c r="O86" s="156">
        <f t="shared" si="20"/>
        <v>8412859</v>
      </c>
      <c r="P86" s="156">
        <f t="shared" si="20"/>
        <v>8314616</v>
      </c>
      <c r="Q86" s="156">
        <f t="shared" si="20"/>
        <v>8722394</v>
      </c>
      <c r="R86" s="156">
        <f t="shared" ref="R86:W86" si="21">R79+R63+R45</f>
        <v>9020778</v>
      </c>
      <c r="S86" s="156">
        <f t="shared" si="21"/>
        <v>9350413</v>
      </c>
      <c r="T86" s="156">
        <f t="shared" si="21"/>
        <v>9311819</v>
      </c>
      <c r="U86" s="156">
        <f t="shared" si="21"/>
        <v>10109692</v>
      </c>
      <c r="V86" s="156">
        <f t="shared" si="21"/>
        <v>9963995</v>
      </c>
      <c r="W86" s="156">
        <f t="shared" si="21"/>
        <v>11250010</v>
      </c>
      <c r="X86" s="156">
        <f t="shared" ref="X86:AC86" si="22">X79+X63+X45</f>
        <v>10997183</v>
      </c>
      <c r="Y86" s="156">
        <f t="shared" si="22"/>
        <v>11321228</v>
      </c>
      <c r="Z86" s="156">
        <f t="shared" si="22"/>
        <v>11546063</v>
      </c>
      <c r="AA86" s="156">
        <f t="shared" si="22"/>
        <v>11099201</v>
      </c>
      <c r="AB86" s="156">
        <f t="shared" si="22"/>
        <v>11583870</v>
      </c>
      <c r="AC86" s="156">
        <f t="shared" si="22"/>
        <v>11789078</v>
      </c>
    </row>
    <row r="87" spans="1:29" s="165" customFormat="1">
      <c r="B87" s="35"/>
      <c r="D87" s="166">
        <f t="shared" ref="D87:O87" si="23">D86-D42</f>
        <v>0</v>
      </c>
      <c r="E87" s="166">
        <f t="shared" si="23"/>
        <v>0</v>
      </c>
      <c r="F87" s="166">
        <f t="shared" si="23"/>
        <v>0</v>
      </c>
      <c r="G87" s="166">
        <f t="shared" si="23"/>
        <v>0</v>
      </c>
      <c r="H87" s="166">
        <f t="shared" si="23"/>
        <v>0</v>
      </c>
      <c r="I87" s="166">
        <f t="shared" si="23"/>
        <v>0</v>
      </c>
      <c r="J87" s="166">
        <f t="shared" si="23"/>
        <v>0</v>
      </c>
      <c r="K87" s="166">
        <f t="shared" si="23"/>
        <v>0</v>
      </c>
      <c r="L87" s="166">
        <f t="shared" si="23"/>
        <v>0</v>
      </c>
      <c r="M87" s="166">
        <f t="shared" si="23"/>
        <v>0</v>
      </c>
      <c r="N87" s="166">
        <f t="shared" si="23"/>
        <v>0</v>
      </c>
      <c r="O87" s="166">
        <f t="shared" si="23"/>
        <v>0</v>
      </c>
      <c r="P87" s="166">
        <f t="shared" ref="P87:U87" si="24">P86-P42</f>
        <v>0</v>
      </c>
      <c r="Q87" s="166">
        <f t="shared" si="24"/>
        <v>0</v>
      </c>
      <c r="R87" s="166">
        <f t="shared" si="24"/>
        <v>0</v>
      </c>
      <c r="S87" s="166">
        <f t="shared" si="24"/>
        <v>0</v>
      </c>
      <c r="T87" s="166">
        <f t="shared" si="24"/>
        <v>0</v>
      </c>
      <c r="U87" s="166">
        <f t="shared" si="24"/>
        <v>0</v>
      </c>
      <c r="V87" s="166">
        <f t="shared" ref="V87:AB87" si="25">V86-V42</f>
        <v>0</v>
      </c>
      <c r="W87" s="166">
        <f t="shared" si="25"/>
        <v>0</v>
      </c>
      <c r="X87" s="166">
        <f t="shared" si="25"/>
        <v>0</v>
      </c>
      <c r="Y87" s="166">
        <f t="shared" si="25"/>
        <v>0</v>
      </c>
      <c r="Z87" s="166">
        <f t="shared" si="25"/>
        <v>0</v>
      </c>
      <c r="AA87" s="166">
        <f t="shared" si="25"/>
        <v>0</v>
      </c>
      <c r="AB87" s="166">
        <f t="shared" si="25"/>
        <v>0</v>
      </c>
      <c r="AC87" s="166">
        <f>AC86-AC42</f>
        <v>0</v>
      </c>
    </row>
  </sheetData>
  <pageMargins left="0.511811024" right="0.511811024" top="0.78740157499999996" bottom="0.78740157499999996" header="0.31496062000000002" footer="0.31496062000000002"/>
  <ignoredErrors>
    <ignoredError sqref="O44:S44" unlockedFormula="1"/>
  </ignoredErrors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theme="9" tint="0.79998168889431442"/>
  </sheetPr>
  <dimension ref="A6:AC96"/>
  <sheetViews>
    <sheetView showGridLines="0" zoomScale="90" zoomScaleNormal="90" workbookViewId="0">
      <pane xSplit="2" topLeftCell="V1" activePane="topRight" state="frozen"/>
      <selection pane="topRight" activeCell="AC93" sqref="AC93"/>
    </sheetView>
  </sheetViews>
  <sheetFormatPr defaultColWidth="9.21875" defaultRowHeight="14.4" outlineLevelCol="1"/>
  <cols>
    <col min="1" max="1" width="47.5546875" style="35" bestFit="1" customWidth="1"/>
    <col min="2" max="2" width="47.5546875" style="35" customWidth="1"/>
    <col min="3" max="3" width="0.5546875" style="35" customWidth="1"/>
    <col min="4" max="6" width="10.44140625" style="35" hidden="1" customWidth="1" outlineLevel="1"/>
    <col min="7" max="11" width="9.5546875" style="168" hidden="1" customWidth="1" outlineLevel="1"/>
    <col min="12" max="12" width="9.5546875" style="168" bestFit="1" customWidth="1" collapsed="1"/>
    <col min="13" max="17" width="9.5546875" style="168" bestFit="1" customWidth="1"/>
    <col min="18" max="20" width="9.5546875" style="328" bestFit="1" customWidth="1"/>
    <col min="21" max="29" width="10.44140625" style="328" bestFit="1" customWidth="1"/>
    <col min="30" max="16384" width="9.21875" style="35"/>
  </cols>
  <sheetData>
    <row r="6" spans="1:29">
      <c r="A6" s="38" t="s">
        <v>110</v>
      </c>
      <c r="B6" s="38" t="s">
        <v>110</v>
      </c>
      <c r="C6" s="144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</row>
    <row r="7" spans="1:29" ht="15" thickBot="1">
      <c r="A7" s="6" t="s">
        <v>1049</v>
      </c>
      <c r="B7" s="6" t="s">
        <v>1050</v>
      </c>
      <c r="C7" s="146"/>
      <c r="D7" s="468" t="s">
        <v>67</v>
      </c>
      <c r="E7" s="468" t="s">
        <v>68</v>
      </c>
      <c r="F7" s="468" t="s">
        <v>69</v>
      </c>
      <c r="G7" s="468" t="s">
        <v>70</v>
      </c>
      <c r="H7" s="468" t="s">
        <v>71</v>
      </c>
      <c r="I7" s="468" t="s">
        <v>72</v>
      </c>
      <c r="J7" s="468" t="s">
        <v>73</v>
      </c>
      <c r="K7" s="468" t="s">
        <v>74</v>
      </c>
      <c r="L7" s="468" t="s">
        <v>75</v>
      </c>
      <c r="M7" s="468" t="s">
        <v>76</v>
      </c>
      <c r="N7" s="468" t="s">
        <v>77</v>
      </c>
      <c r="O7" s="468" t="s">
        <v>78</v>
      </c>
      <c r="P7" s="468" t="s">
        <v>79</v>
      </c>
      <c r="Q7" s="468" t="s">
        <v>80</v>
      </c>
      <c r="R7" s="468" t="s">
        <v>81</v>
      </c>
      <c r="S7" s="468" t="s">
        <v>82</v>
      </c>
      <c r="T7" s="468" t="s">
        <v>83</v>
      </c>
      <c r="U7" s="468" t="s">
        <v>84</v>
      </c>
      <c r="V7" s="468" t="s">
        <v>85</v>
      </c>
      <c r="W7" s="468" t="s">
        <v>86</v>
      </c>
      <c r="X7" s="468" t="s">
        <v>87</v>
      </c>
      <c r="Y7" s="468" t="s">
        <v>88</v>
      </c>
      <c r="Z7" s="468" t="s">
        <v>2074</v>
      </c>
      <c r="AA7" s="468" t="s">
        <v>2127</v>
      </c>
      <c r="AB7" s="468" t="s">
        <v>2360</v>
      </c>
      <c r="AC7" s="468" t="s">
        <v>2494</v>
      </c>
    </row>
    <row r="8" spans="1:29" ht="15" thickBot="1">
      <c r="A8" s="147" t="s">
        <v>1051</v>
      </c>
      <c r="B8" s="147" t="s">
        <v>1052</v>
      </c>
      <c r="C8" s="326"/>
      <c r="D8" s="149">
        <f t="shared" ref="D8:AB8" si="0">SUM(D9:D25)</f>
        <v>3701660</v>
      </c>
      <c r="E8" s="149">
        <f t="shared" si="0"/>
        <v>4272061</v>
      </c>
      <c r="F8" s="149">
        <f t="shared" si="0"/>
        <v>5079156</v>
      </c>
      <c r="G8" s="149">
        <f t="shared" si="0"/>
        <v>4970063</v>
      </c>
      <c r="H8" s="149">
        <f t="shared" si="0"/>
        <v>5461221</v>
      </c>
      <c r="I8" s="149">
        <f t="shared" si="0"/>
        <v>5593227</v>
      </c>
      <c r="J8" s="149">
        <f t="shared" si="0"/>
        <v>5716612</v>
      </c>
      <c r="K8" s="149">
        <f t="shared" si="0"/>
        <v>4748546</v>
      </c>
      <c r="L8" s="149">
        <f t="shared" si="0"/>
        <v>4572617</v>
      </c>
      <c r="M8" s="149">
        <f t="shared" si="0"/>
        <v>5021149</v>
      </c>
      <c r="N8" s="149">
        <f t="shared" si="0"/>
        <v>4691950</v>
      </c>
      <c r="O8" s="149">
        <f t="shared" si="0"/>
        <v>4422557</v>
      </c>
      <c r="P8" s="149">
        <f t="shared" si="0"/>
        <v>4165290</v>
      </c>
      <c r="Q8" s="149">
        <f t="shared" si="0"/>
        <v>4374043</v>
      </c>
      <c r="R8" s="149">
        <f t="shared" si="0"/>
        <v>4882121</v>
      </c>
      <c r="S8" s="149">
        <f t="shared" si="0"/>
        <v>4303949</v>
      </c>
      <c r="T8" s="149">
        <f t="shared" si="0"/>
        <v>4296154</v>
      </c>
      <c r="U8" s="149">
        <f t="shared" si="0"/>
        <v>5177070</v>
      </c>
      <c r="V8" s="149">
        <f t="shared" si="0"/>
        <v>6418541</v>
      </c>
      <c r="W8" s="149">
        <f t="shared" si="0"/>
        <v>6838508</v>
      </c>
      <c r="X8" s="149">
        <f t="shared" si="0"/>
        <v>5686944</v>
      </c>
      <c r="Y8" s="149">
        <f t="shared" si="0"/>
        <v>5693219</v>
      </c>
      <c r="Z8" s="149">
        <f t="shared" si="0"/>
        <v>9299616</v>
      </c>
      <c r="AA8" s="149">
        <f t="shared" si="0"/>
        <v>6293150</v>
      </c>
      <c r="AB8" s="149">
        <f t="shared" si="0"/>
        <v>6637414</v>
      </c>
      <c r="AC8" s="149">
        <f>SUM(AC9:AC25)</f>
        <v>6291818</v>
      </c>
    </row>
    <row r="9" spans="1:29">
      <c r="A9" s="151" t="s">
        <v>1053</v>
      </c>
      <c r="B9" s="151" t="s">
        <v>1054</v>
      </c>
      <c r="C9" s="151"/>
      <c r="D9" s="168">
        <v>1188056</v>
      </c>
      <c r="E9" s="168">
        <v>221678</v>
      </c>
      <c r="F9" s="168">
        <v>1313686</v>
      </c>
      <c r="G9" s="168">
        <v>957597</v>
      </c>
      <c r="H9" s="168">
        <v>1325232</v>
      </c>
      <c r="I9" s="168">
        <v>1243540</v>
      </c>
      <c r="J9" s="168">
        <v>698414</v>
      </c>
      <c r="K9" s="168">
        <v>173988</v>
      </c>
      <c r="L9" s="168">
        <v>407157</v>
      </c>
      <c r="M9" s="168">
        <v>1053115</v>
      </c>
      <c r="N9" s="168">
        <v>403593</v>
      </c>
      <c r="O9" s="168">
        <v>220828</v>
      </c>
      <c r="P9" s="168">
        <v>187249</v>
      </c>
      <c r="Q9" s="168">
        <v>161147</v>
      </c>
      <c r="R9" s="328">
        <v>762358</v>
      </c>
      <c r="S9" s="328">
        <v>478744</v>
      </c>
      <c r="T9" s="328">
        <v>468413</v>
      </c>
      <c r="U9" s="328">
        <v>187004</v>
      </c>
      <c r="V9" s="328">
        <v>300889</v>
      </c>
      <c r="W9" s="328">
        <v>1318174</v>
      </c>
      <c r="X9" s="328">
        <v>274728</v>
      </c>
      <c r="Y9" s="328">
        <v>264892</v>
      </c>
      <c r="Z9" s="328">
        <v>2767695</v>
      </c>
      <c r="AA9" s="328">
        <v>807202</v>
      </c>
      <c r="AB9" s="328">
        <v>1382948</v>
      </c>
      <c r="AC9" s="328">
        <v>773740</v>
      </c>
    </row>
    <row r="10" spans="1:29">
      <c r="A10" s="329" t="s">
        <v>1149</v>
      </c>
      <c r="B10" s="329" t="s">
        <v>1056</v>
      </c>
      <c r="C10" s="151"/>
      <c r="D10" s="168">
        <v>497854</v>
      </c>
      <c r="E10" s="168">
        <v>1675909</v>
      </c>
      <c r="F10" s="168">
        <v>1279720</v>
      </c>
      <c r="G10" s="168">
        <v>1496268</v>
      </c>
      <c r="H10" s="168">
        <v>1540390</v>
      </c>
      <c r="I10" s="168">
        <v>1620922</v>
      </c>
      <c r="J10" s="168">
        <v>1903019</v>
      </c>
      <c r="K10" s="168">
        <v>1380238</v>
      </c>
      <c r="L10" s="168">
        <v>1316628</v>
      </c>
      <c r="M10" s="168">
        <v>1258888</v>
      </c>
      <c r="N10" s="168">
        <v>1530600</v>
      </c>
      <c r="O10" s="168">
        <v>1461164</v>
      </c>
      <c r="P10" s="168">
        <v>1287213</v>
      </c>
      <c r="Q10" s="168">
        <v>1211582</v>
      </c>
      <c r="R10" s="328">
        <v>852897</v>
      </c>
      <c r="S10" s="328">
        <v>812488</v>
      </c>
      <c r="T10" s="328">
        <v>774445</v>
      </c>
      <c r="U10" s="328">
        <v>1786053</v>
      </c>
      <c r="V10" s="328">
        <v>2816559</v>
      </c>
      <c r="W10" s="328">
        <v>2295368</v>
      </c>
      <c r="X10" s="328">
        <v>2288139</v>
      </c>
      <c r="Y10" s="328">
        <v>1880957</v>
      </c>
      <c r="Z10" s="328">
        <v>2664885</v>
      </c>
      <c r="AA10" s="328">
        <v>1923169</v>
      </c>
      <c r="AB10" s="328">
        <v>1695082</v>
      </c>
      <c r="AC10" s="328">
        <v>1660947</v>
      </c>
    </row>
    <row r="11" spans="1:29">
      <c r="A11" s="151" t="s">
        <v>1057</v>
      </c>
      <c r="B11" s="151" t="s">
        <v>1058</v>
      </c>
      <c r="C11" s="151"/>
      <c r="D11" s="168">
        <v>2316357</v>
      </c>
      <c r="E11" s="168">
        <v>2799636</v>
      </c>
      <c r="F11" s="168">
        <v>2870248</v>
      </c>
      <c r="G11" s="168">
        <v>2819633</v>
      </c>
      <c r="H11" s="168">
        <v>2796158</v>
      </c>
      <c r="I11" s="168">
        <v>2888731</v>
      </c>
      <c r="J11" s="168">
        <v>3129276</v>
      </c>
      <c r="K11" s="168">
        <v>1696392</v>
      </c>
      <c r="L11" s="168">
        <v>1666325</v>
      </c>
      <c r="M11" s="168">
        <v>1621328</v>
      </c>
      <c r="N11" s="168">
        <v>1762105</v>
      </c>
      <c r="O11" s="168">
        <v>1784284</v>
      </c>
      <c r="P11" s="168">
        <v>1756553</v>
      </c>
      <c r="Q11" s="168">
        <v>1886549</v>
      </c>
      <c r="R11" s="328">
        <v>2138386</v>
      </c>
      <c r="S11" s="328">
        <v>2103484</v>
      </c>
      <c r="T11" s="328">
        <v>2086588</v>
      </c>
      <c r="U11" s="328">
        <v>2134154</v>
      </c>
      <c r="V11" s="328">
        <v>2161992</v>
      </c>
      <c r="W11" s="328">
        <v>2069354</v>
      </c>
      <c r="X11" s="328">
        <v>1933191</v>
      </c>
      <c r="Y11" s="328">
        <v>2133948</v>
      </c>
      <c r="Z11" s="328">
        <v>2249902</v>
      </c>
      <c r="AA11" s="328">
        <v>2272072</v>
      </c>
      <c r="AB11" s="328">
        <v>2153670</v>
      </c>
      <c r="AC11" s="328">
        <v>2309965</v>
      </c>
    </row>
    <row r="12" spans="1:29">
      <c r="A12" s="151" t="s">
        <v>1059</v>
      </c>
      <c r="B12" s="151" t="s">
        <v>1060</v>
      </c>
      <c r="C12" s="151"/>
      <c r="D12" s="168">
        <v>32762</v>
      </c>
      <c r="E12" s="168">
        <v>49326</v>
      </c>
      <c r="F12" s="168">
        <v>40702</v>
      </c>
      <c r="G12" s="168">
        <v>43821</v>
      </c>
      <c r="H12" s="168">
        <v>44484</v>
      </c>
      <c r="I12" s="168">
        <v>45969</v>
      </c>
      <c r="J12" s="168">
        <v>49835</v>
      </c>
      <c r="Q12" s="168">
        <v>0</v>
      </c>
    </row>
    <row r="13" spans="1:29">
      <c r="A13" s="151" t="s">
        <v>1150</v>
      </c>
      <c r="B13" s="151" t="s">
        <v>1151</v>
      </c>
      <c r="C13" s="151"/>
      <c r="D13" s="168">
        <v>-1166087</v>
      </c>
      <c r="E13" s="168">
        <v>-1278064</v>
      </c>
      <c r="F13" s="168">
        <v>-1302925</v>
      </c>
      <c r="G13" s="168">
        <v>-1350336</v>
      </c>
      <c r="H13" s="168">
        <v>-1387253</v>
      </c>
      <c r="I13" s="168">
        <v>-1429457</v>
      </c>
      <c r="J13" s="168">
        <v>-1472345</v>
      </c>
      <c r="Q13" s="168">
        <v>0</v>
      </c>
    </row>
    <row r="14" spans="1:29">
      <c r="A14" s="151" t="s">
        <v>1061</v>
      </c>
      <c r="B14" s="151" t="s">
        <v>1062</v>
      </c>
      <c r="C14" s="151"/>
      <c r="D14" s="168">
        <v>1594</v>
      </c>
      <c r="E14" s="168">
        <v>1796</v>
      </c>
      <c r="F14" s="168"/>
      <c r="Q14" s="168">
        <v>0</v>
      </c>
    </row>
    <row r="15" spans="1:29">
      <c r="A15" s="151" t="s">
        <v>1066</v>
      </c>
      <c r="B15" s="151" t="s">
        <v>1067</v>
      </c>
      <c r="C15" s="151"/>
      <c r="D15" s="168">
        <v>46949</v>
      </c>
      <c r="E15" s="168">
        <v>20403</v>
      </c>
      <c r="F15" s="168">
        <v>39208</v>
      </c>
      <c r="G15" s="168">
        <v>29855</v>
      </c>
      <c r="H15" s="168">
        <v>26777</v>
      </c>
      <c r="I15" s="168">
        <v>41873</v>
      </c>
      <c r="J15" s="168">
        <v>61541</v>
      </c>
      <c r="K15" s="168">
        <v>63197</v>
      </c>
      <c r="L15" s="168">
        <v>51714</v>
      </c>
      <c r="M15" s="168">
        <v>67519</v>
      </c>
      <c r="N15" s="168">
        <v>75992</v>
      </c>
      <c r="O15" s="168">
        <v>72882</v>
      </c>
      <c r="P15" s="168">
        <v>55130</v>
      </c>
      <c r="Q15" s="168">
        <v>48338</v>
      </c>
      <c r="R15" s="328">
        <v>59502</v>
      </c>
      <c r="S15" s="328">
        <v>54402</v>
      </c>
      <c r="T15" s="328">
        <v>50304</v>
      </c>
      <c r="U15" s="328">
        <v>47856</v>
      </c>
      <c r="V15" s="328">
        <v>57615</v>
      </c>
      <c r="W15" s="328">
        <v>60200</v>
      </c>
      <c r="X15" s="328">
        <v>51666</v>
      </c>
      <c r="Y15" s="328">
        <v>61800</v>
      </c>
      <c r="Z15" s="328">
        <v>70911</v>
      </c>
      <c r="AA15" s="328">
        <v>117440</v>
      </c>
      <c r="AB15" s="328">
        <v>110773</v>
      </c>
      <c r="AC15" s="328">
        <v>121653</v>
      </c>
    </row>
    <row r="16" spans="1:29">
      <c r="A16" s="151" t="s">
        <v>1063</v>
      </c>
      <c r="B16" s="151" t="s">
        <v>1064</v>
      </c>
      <c r="C16" s="151"/>
      <c r="D16" s="168">
        <v>157221</v>
      </c>
      <c r="E16" s="168">
        <v>180392</v>
      </c>
      <c r="F16" s="168">
        <v>174332</v>
      </c>
      <c r="G16" s="168">
        <v>217578</v>
      </c>
      <c r="H16" s="168">
        <v>205587</v>
      </c>
      <c r="I16" s="168">
        <v>202148</v>
      </c>
      <c r="J16" s="168">
        <v>183161</v>
      </c>
      <c r="K16" s="168">
        <v>220938</v>
      </c>
      <c r="L16" s="168">
        <v>185976</v>
      </c>
      <c r="M16" s="168">
        <v>198508</v>
      </c>
      <c r="N16" s="168">
        <v>219484</v>
      </c>
      <c r="O16" s="168">
        <v>170107</v>
      </c>
      <c r="P16" s="168">
        <v>162089</v>
      </c>
      <c r="Q16" s="168">
        <v>184136</v>
      </c>
      <c r="R16" s="328">
        <v>146466</v>
      </c>
      <c r="S16" s="328">
        <v>161798</v>
      </c>
      <c r="T16" s="328">
        <v>159170</v>
      </c>
      <c r="U16" s="328">
        <v>172304</v>
      </c>
      <c r="V16" s="328">
        <v>173583</v>
      </c>
      <c r="W16" s="328">
        <v>161927</v>
      </c>
      <c r="X16" s="328">
        <v>175811</v>
      </c>
      <c r="Y16" s="328">
        <v>197651</v>
      </c>
      <c r="Z16" s="328">
        <v>209446</v>
      </c>
      <c r="AA16" s="328">
        <v>200192</v>
      </c>
      <c r="AB16" s="328">
        <v>187078</v>
      </c>
      <c r="AC16" s="328">
        <v>211348</v>
      </c>
    </row>
    <row r="17" spans="1:29">
      <c r="A17" s="151" t="s">
        <v>1068</v>
      </c>
      <c r="B17" s="151" t="s">
        <v>1069</v>
      </c>
      <c r="C17" s="151"/>
      <c r="D17" s="168"/>
      <c r="E17" s="168"/>
      <c r="F17" s="168"/>
      <c r="J17" s="168">
        <v>197039</v>
      </c>
      <c r="Q17" s="168">
        <v>0</v>
      </c>
      <c r="AA17" s="328">
        <v>5497</v>
      </c>
      <c r="AB17" s="328">
        <v>0</v>
      </c>
      <c r="AC17" s="328">
        <v>341</v>
      </c>
    </row>
    <row r="18" spans="1:29">
      <c r="A18" s="151" t="s">
        <v>1152</v>
      </c>
      <c r="B18" s="151" t="s">
        <v>1071</v>
      </c>
      <c r="C18" s="151"/>
      <c r="D18" s="168">
        <v>44635</v>
      </c>
      <c r="E18" s="168">
        <v>7953</v>
      </c>
      <c r="F18" s="168">
        <v>49743</v>
      </c>
      <c r="H18" s="168">
        <v>28759</v>
      </c>
      <c r="K18" s="168">
        <v>65682</v>
      </c>
      <c r="L18" s="168">
        <v>15638</v>
      </c>
      <c r="M18" s="168">
        <v>43634</v>
      </c>
      <c r="N18" s="168">
        <v>0</v>
      </c>
      <c r="P18" s="168">
        <v>5423</v>
      </c>
      <c r="Q18" s="168">
        <v>145507</v>
      </c>
      <c r="R18" s="328">
        <v>123684</v>
      </c>
      <c r="S18" s="328">
        <v>20234</v>
      </c>
      <c r="T18" s="328">
        <v>0</v>
      </c>
      <c r="AC18" s="328">
        <v>106455</v>
      </c>
    </row>
    <row r="19" spans="1:29">
      <c r="A19" s="151" t="s">
        <v>1072</v>
      </c>
      <c r="B19" s="151" t="s">
        <v>1073</v>
      </c>
      <c r="C19" s="151"/>
      <c r="D19" s="168">
        <v>2161</v>
      </c>
      <c r="E19" s="168">
        <v>4474</v>
      </c>
      <c r="F19" s="168">
        <v>828</v>
      </c>
      <c r="G19" s="168">
        <v>100448</v>
      </c>
      <c r="H19" s="168">
        <v>183850</v>
      </c>
      <c r="I19" s="168">
        <v>141346</v>
      </c>
      <c r="J19" s="168">
        <v>52653</v>
      </c>
      <c r="K19" s="168">
        <v>164999</v>
      </c>
      <c r="L19" s="168">
        <v>58075</v>
      </c>
      <c r="M19" s="168">
        <v>119133</v>
      </c>
      <c r="N19" s="168">
        <v>93401</v>
      </c>
      <c r="O19" s="168">
        <v>88965</v>
      </c>
      <c r="P19" s="168">
        <v>73400</v>
      </c>
      <c r="Q19" s="168">
        <v>0</v>
      </c>
      <c r="U19" s="328">
        <v>46</v>
      </c>
    </row>
    <row r="20" spans="1:29">
      <c r="A20" s="151" t="s">
        <v>1074</v>
      </c>
      <c r="B20" s="151" t="s">
        <v>1075</v>
      </c>
      <c r="C20" s="151"/>
      <c r="D20" s="168">
        <v>10868</v>
      </c>
      <c r="E20" s="168">
        <v>11113</v>
      </c>
      <c r="F20" s="168">
        <v>18235</v>
      </c>
      <c r="G20" s="168">
        <v>17008</v>
      </c>
      <c r="H20" s="168">
        <v>21212</v>
      </c>
      <c r="I20" s="168">
        <v>36916</v>
      </c>
      <c r="K20" s="168">
        <v>94819</v>
      </c>
      <c r="L20" s="168">
        <v>97915</v>
      </c>
      <c r="M20" s="168">
        <v>92381</v>
      </c>
      <c r="N20" s="168">
        <v>77394</v>
      </c>
      <c r="O20" s="168">
        <v>71019</v>
      </c>
      <c r="P20" s="168">
        <v>71851</v>
      </c>
      <c r="Q20" s="168">
        <v>43635</v>
      </c>
      <c r="R20" s="328">
        <v>39608</v>
      </c>
      <c r="S20" s="328">
        <v>12097</v>
      </c>
      <c r="T20" s="328">
        <v>9596</v>
      </c>
      <c r="U20" s="328">
        <v>9300</v>
      </c>
      <c r="V20" s="328">
        <v>11074</v>
      </c>
      <c r="W20" s="328">
        <v>19267</v>
      </c>
      <c r="X20" s="328">
        <v>21732</v>
      </c>
      <c r="Y20" s="328">
        <v>27053</v>
      </c>
      <c r="Z20" s="328">
        <v>27276</v>
      </c>
      <c r="AA20" s="328">
        <v>28545</v>
      </c>
      <c r="AB20" s="328">
        <v>40771</v>
      </c>
      <c r="AC20" s="328">
        <v>40116</v>
      </c>
    </row>
    <row r="21" spans="1:29">
      <c r="A21" s="151" t="s">
        <v>1076</v>
      </c>
      <c r="B21" s="151" t="s">
        <v>1077</v>
      </c>
      <c r="C21" s="151"/>
      <c r="D21" s="168">
        <v>394898</v>
      </c>
      <c r="E21" s="168">
        <v>398644</v>
      </c>
      <c r="F21" s="168">
        <v>398375</v>
      </c>
      <c r="G21" s="168">
        <v>419732</v>
      </c>
      <c r="H21" s="168">
        <v>444519</v>
      </c>
      <c r="I21" s="168">
        <v>459353</v>
      </c>
      <c r="J21" s="168">
        <v>483310</v>
      </c>
      <c r="K21" s="168">
        <v>386999</v>
      </c>
      <c r="L21" s="168">
        <v>289887</v>
      </c>
      <c r="M21" s="168">
        <v>85629</v>
      </c>
      <c r="N21" s="168">
        <v>79196</v>
      </c>
      <c r="O21" s="168">
        <v>93502</v>
      </c>
      <c r="P21" s="168">
        <v>93638</v>
      </c>
      <c r="Q21" s="168">
        <v>111205</v>
      </c>
      <c r="R21" s="328">
        <v>126159</v>
      </c>
      <c r="S21" s="328">
        <v>114263</v>
      </c>
      <c r="T21" s="328">
        <v>114394</v>
      </c>
      <c r="U21" s="328">
        <v>114284</v>
      </c>
      <c r="V21" s="328">
        <v>127311</v>
      </c>
      <c r="W21" s="328">
        <v>223039</v>
      </c>
      <c r="X21" s="328">
        <v>224286</v>
      </c>
      <c r="Y21" s="328">
        <v>204704</v>
      </c>
      <c r="Z21" s="328">
        <v>155382</v>
      </c>
      <c r="AA21" s="328">
        <v>146243</v>
      </c>
      <c r="AB21" s="328">
        <v>150653</v>
      </c>
      <c r="AC21" s="328">
        <v>158086</v>
      </c>
    </row>
    <row r="22" spans="1:29">
      <c r="A22" s="151" t="s">
        <v>1078</v>
      </c>
      <c r="B22" s="151" t="s">
        <v>1079</v>
      </c>
      <c r="C22" s="151"/>
      <c r="D22" s="168">
        <v>60654</v>
      </c>
      <c r="E22" s="168">
        <v>66488</v>
      </c>
      <c r="F22" s="168">
        <v>57511</v>
      </c>
      <c r="G22" s="168">
        <v>75424</v>
      </c>
      <c r="H22" s="168">
        <v>79011</v>
      </c>
      <c r="I22" s="168">
        <v>87159</v>
      </c>
      <c r="J22" s="168">
        <v>99030</v>
      </c>
      <c r="K22" s="168">
        <v>100457</v>
      </c>
      <c r="L22" s="168">
        <v>116366</v>
      </c>
      <c r="M22" s="168">
        <v>131814</v>
      </c>
      <c r="N22" s="168">
        <v>123622</v>
      </c>
      <c r="O22" s="168">
        <v>131778</v>
      </c>
      <c r="P22" s="168">
        <v>152736</v>
      </c>
      <c r="Q22" s="168">
        <v>227561</v>
      </c>
      <c r="R22" s="328">
        <v>304088</v>
      </c>
      <c r="S22" s="328">
        <v>178231</v>
      </c>
      <c r="T22" s="328">
        <v>236806</v>
      </c>
      <c r="U22" s="328">
        <v>297796</v>
      </c>
      <c r="V22" s="328">
        <v>273604</v>
      </c>
      <c r="W22" s="328">
        <v>191411</v>
      </c>
      <c r="X22" s="328">
        <v>182274</v>
      </c>
      <c r="Y22" s="328">
        <v>239745</v>
      </c>
      <c r="Z22" s="328">
        <v>251559</v>
      </c>
      <c r="AA22" s="328">
        <v>145076</v>
      </c>
      <c r="AB22" s="328">
        <v>199009</v>
      </c>
      <c r="AC22" s="328">
        <v>243255</v>
      </c>
    </row>
    <row r="23" spans="1:29">
      <c r="A23" s="151" t="s">
        <v>1153</v>
      </c>
      <c r="B23" s="151" t="s">
        <v>1154</v>
      </c>
      <c r="C23" s="151"/>
      <c r="D23" s="168"/>
      <c r="E23" s="168"/>
      <c r="F23" s="168"/>
      <c r="K23" s="168">
        <v>125237</v>
      </c>
      <c r="L23" s="168">
        <v>138855</v>
      </c>
      <c r="M23" s="168">
        <v>110781</v>
      </c>
      <c r="N23" s="168">
        <v>46278</v>
      </c>
      <c r="Q23" s="168">
        <v>0</v>
      </c>
    </row>
    <row r="24" spans="1:29">
      <c r="A24" s="151" t="s">
        <v>1155</v>
      </c>
      <c r="B24" s="151" t="s">
        <v>96</v>
      </c>
      <c r="C24" s="151"/>
      <c r="D24" s="168">
        <v>113738</v>
      </c>
      <c r="E24" s="168">
        <v>112313</v>
      </c>
      <c r="F24" s="168">
        <v>139493</v>
      </c>
      <c r="G24" s="168">
        <v>143035</v>
      </c>
      <c r="H24" s="168">
        <v>152495</v>
      </c>
      <c r="I24" s="168">
        <v>254727</v>
      </c>
      <c r="J24" s="168">
        <v>331679</v>
      </c>
      <c r="K24" s="168">
        <v>275600</v>
      </c>
      <c r="L24" s="168">
        <v>228081</v>
      </c>
      <c r="M24" s="168">
        <v>238419</v>
      </c>
      <c r="N24" s="168">
        <v>280285</v>
      </c>
      <c r="O24" s="168">
        <v>328028</v>
      </c>
      <c r="P24" s="168">
        <v>320008</v>
      </c>
      <c r="Q24" s="168">
        <v>354383</v>
      </c>
      <c r="R24" s="328">
        <v>328973</v>
      </c>
      <c r="S24" s="328">
        <v>368208</v>
      </c>
      <c r="T24" s="328">
        <v>396438</v>
      </c>
      <c r="U24" s="328">
        <v>428273</v>
      </c>
      <c r="V24" s="328">
        <v>495914</v>
      </c>
      <c r="W24" s="328">
        <v>499768</v>
      </c>
      <c r="X24" s="328">
        <v>535117</v>
      </c>
      <c r="Y24" s="328">
        <v>682469</v>
      </c>
      <c r="Z24" s="328">
        <v>902560</v>
      </c>
      <c r="AA24" s="328">
        <v>647714</v>
      </c>
      <c r="AB24" s="328">
        <v>717430</v>
      </c>
      <c r="AC24" s="328">
        <v>665912</v>
      </c>
    </row>
    <row r="25" spans="1:29" ht="15" thickBot="1">
      <c r="A25" s="154" t="s">
        <v>1156</v>
      </c>
      <c r="B25" s="154" t="s">
        <v>1157</v>
      </c>
      <c r="C25" s="151"/>
      <c r="D25" s="168"/>
      <c r="E25" s="168"/>
      <c r="F25" s="168"/>
    </row>
    <row r="26" spans="1:29" ht="15" thickBot="1">
      <c r="A26" s="155" t="s">
        <v>1081</v>
      </c>
      <c r="B26" s="155" t="s">
        <v>1082</v>
      </c>
      <c r="C26" s="326"/>
      <c r="D26" s="156">
        <v>7530449</v>
      </c>
      <c r="E26" s="156">
        <f t="shared" ref="E26" si="1">SUM(E27:E44)</f>
        <v>7211783</v>
      </c>
      <c r="F26" s="156">
        <f t="shared" ref="F26" si="2">SUM(F27:F44)</f>
        <v>7411782</v>
      </c>
      <c r="G26" s="156">
        <f t="shared" ref="G26" si="3">SUM(G27:G44)</f>
        <v>7271204</v>
      </c>
      <c r="H26" s="156">
        <f t="shared" ref="H26" si="4">SUM(H27:H44)</f>
        <v>7148242</v>
      </c>
      <c r="I26" s="156">
        <f t="shared" ref="I26" si="5">SUM(I27:I44)</f>
        <v>6881710</v>
      </c>
      <c r="J26" s="156">
        <f t="shared" ref="J26" si="6">SUM(J27:J44)</f>
        <v>7077729</v>
      </c>
      <c r="K26" s="156">
        <f t="shared" ref="K26" si="7">SUM(K27:K44)</f>
        <v>7372198</v>
      </c>
      <c r="L26" s="156">
        <f t="shared" ref="L26" si="8">SUM(L27:L44)</f>
        <v>7489015</v>
      </c>
      <c r="M26" s="156">
        <f t="shared" ref="M26" si="9">SUM(M27:M44)</f>
        <v>7758701</v>
      </c>
      <c r="N26" s="156">
        <f t="shared" ref="N26" si="10">SUM(N27:N44)</f>
        <v>8016455</v>
      </c>
      <c r="O26" s="156">
        <f t="shared" ref="O26" si="11">SUM(O27:O44)</f>
        <v>8367982</v>
      </c>
      <c r="P26" s="156">
        <f t="shared" ref="P26" si="12">SUM(P27:P44)</f>
        <v>8735757</v>
      </c>
      <c r="Q26" s="156">
        <f t="shared" ref="Q26" si="13">SUM(Q27:Q44)</f>
        <v>8787225</v>
      </c>
      <c r="R26" s="156">
        <f t="shared" ref="R26" si="14">SUM(R27:R44)</f>
        <v>9457870</v>
      </c>
      <c r="S26" s="156">
        <f t="shared" ref="S26" si="15">SUM(S27:S44)</f>
        <v>9969370</v>
      </c>
      <c r="T26" s="156">
        <f t="shared" ref="T26" si="16">SUM(T27:T44)</f>
        <v>10319481</v>
      </c>
      <c r="U26" s="156">
        <f t="shared" ref="U26" si="17">SUM(U27:U44)</f>
        <v>10146068</v>
      </c>
      <c r="V26" s="156">
        <f t="shared" ref="V26" si="18">SUM(V27:V44)</f>
        <v>10698397</v>
      </c>
      <c r="W26" s="156">
        <f t="shared" ref="W26" si="19">SUM(W27:W44)</f>
        <v>10986391</v>
      </c>
      <c r="X26" s="156">
        <f t="shared" ref="X26" si="20">SUM(X27:X44)</f>
        <v>11611917</v>
      </c>
      <c r="Y26" s="156">
        <f t="shared" ref="Y26" si="21">SUM(Y27:Y44)</f>
        <v>12242282</v>
      </c>
      <c r="Z26" s="156">
        <f t="shared" ref="Z26" si="22">SUM(Z27:Z44)</f>
        <v>12845303</v>
      </c>
      <c r="AA26" s="156">
        <f t="shared" ref="AA26:AB26" si="23">SUM(AA27:AA44)</f>
        <v>12516409</v>
      </c>
      <c r="AB26" s="156">
        <f t="shared" si="23"/>
        <v>13191091</v>
      </c>
      <c r="AC26" s="156">
        <f>SUM(AC27:AC44)</f>
        <v>13702146</v>
      </c>
    </row>
    <row r="27" spans="1:29">
      <c r="A27" s="329" t="s">
        <v>1149</v>
      </c>
      <c r="B27" s="329" t="s">
        <v>1056</v>
      </c>
      <c r="C27" s="326"/>
      <c r="D27" s="168">
        <v>24464</v>
      </c>
      <c r="E27" s="168">
        <v>24309</v>
      </c>
      <c r="F27" s="168">
        <v>24380</v>
      </c>
      <c r="G27" s="168">
        <v>24471</v>
      </c>
      <c r="H27" s="168">
        <v>24559</v>
      </c>
      <c r="I27" s="168">
        <v>24713</v>
      </c>
      <c r="J27" s="168">
        <v>24956</v>
      </c>
      <c r="K27" s="168">
        <v>25411</v>
      </c>
      <c r="L27" s="168">
        <v>25656</v>
      </c>
      <c r="M27" s="168">
        <v>26236</v>
      </c>
      <c r="N27" s="168">
        <v>13645</v>
      </c>
      <c r="O27" s="168">
        <v>13981</v>
      </c>
      <c r="P27" s="168">
        <v>14392</v>
      </c>
      <c r="Q27" s="168">
        <v>17876</v>
      </c>
      <c r="R27" s="328">
        <v>18352</v>
      </c>
      <c r="S27" s="328">
        <v>18761</v>
      </c>
      <c r="T27" s="328">
        <v>19259</v>
      </c>
      <c r="U27" s="328">
        <v>19666</v>
      </c>
      <c r="V27" s="328">
        <v>20119</v>
      </c>
      <c r="W27" s="328">
        <v>20556</v>
      </c>
      <c r="X27" s="328">
        <v>21257</v>
      </c>
      <c r="Y27" s="328">
        <v>21845</v>
      </c>
      <c r="Z27" s="328">
        <v>22507</v>
      </c>
      <c r="AA27" s="328">
        <v>23185</v>
      </c>
      <c r="AB27" s="328">
        <v>23806</v>
      </c>
      <c r="AC27" s="328">
        <v>20206</v>
      </c>
    </row>
    <row r="28" spans="1:29">
      <c r="A28" s="151" t="s">
        <v>1057</v>
      </c>
      <c r="B28" s="151" t="s">
        <v>1058</v>
      </c>
      <c r="C28" s="151"/>
      <c r="D28" s="168">
        <v>798550</v>
      </c>
      <c r="E28" s="168">
        <v>382740</v>
      </c>
      <c r="F28" s="168">
        <v>374314</v>
      </c>
      <c r="G28" s="168">
        <v>348444</v>
      </c>
      <c r="H28" s="168">
        <v>343883</v>
      </c>
      <c r="I28" s="168">
        <v>336946</v>
      </c>
      <c r="J28" s="168">
        <v>334679</v>
      </c>
      <c r="K28" s="168">
        <v>322647</v>
      </c>
      <c r="L28" s="168">
        <v>314533</v>
      </c>
      <c r="M28" s="168">
        <v>310075</v>
      </c>
      <c r="N28" s="168">
        <v>307054</v>
      </c>
      <c r="O28" s="168">
        <v>246765</v>
      </c>
      <c r="P28" s="168">
        <v>262960</v>
      </c>
      <c r="Q28" s="168">
        <v>242668</v>
      </c>
      <c r="R28" s="328">
        <v>235193</v>
      </c>
      <c r="S28" s="328">
        <v>224615</v>
      </c>
      <c r="T28" s="328">
        <v>224175</v>
      </c>
      <c r="U28" s="328">
        <v>216490</v>
      </c>
      <c r="V28" s="328">
        <v>214251</v>
      </c>
      <c r="W28" s="328">
        <v>243931</v>
      </c>
      <c r="X28" s="328">
        <v>229599</v>
      </c>
      <c r="Y28" s="328">
        <v>216704</v>
      </c>
      <c r="Z28" s="328">
        <v>205031</v>
      </c>
      <c r="AA28" s="328">
        <v>217165</v>
      </c>
      <c r="AB28" s="328">
        <v>210573</v>
      </c>
      <c r="AC28" s="328">
        <v>211322</v>
      </c>
    </row>
    <row r="29" spans="1:29">
      <c r="A29" s="151" t="s">
        <v>1160</v>
      </c>
      <c r="B29" s="151" t="s">
        <v>1161</v>
      </c>
      <c r="C29" s="151"/>
      <c r="D29" s="168">
        <v>85120</v>
      </c>
      <c r="E29" s="168">
        <v>85120</v>
      </c>
      <c r="F29" s="168">
        <v>85120</v>
      </c>
      <c r="H29" s="168">
        <v>121825</v>
      </c>
      <c r="J29" s="168">
        <v>67971</v>
      </c>
      <c r="K29" s="168">
        <v>85120</v>
      </c>
      <c r="L29" s="168">
        <v>74350</v>
      </c>
      <c r="M29" s="168">
        <v>69351</v>
      </c>
      <c r="N29" s="168">
        <v>85120</v>
      </c>
      <c r="P29" s="168">
        <v>20444</v>
      </c>
      <c r="Q29" s="168">
        <v>20444</v>
      </c>
      <c r="R29" s="328">
        <v>20444</v>
      </c>
      <c r="S29" s="328">
        <v>20444</v>
      </c>
      <c r="T29" s="328">
        <v>20444</v>
      </c>
      <c r="U29" s="328">
        <v>402238</v>
      </c>
      <c r="V29" s="328">
        <v>353341</v>
      </c>
      <c r="W29" s="328">
        <v>349930</v>
      </c>
      <c r="X29" s="328">
        <v>349930</v>
      </c>
      <c r="Y29" s="328">
        <v>349930</v>
      </c>
      <c r="Z29" s="328">
        <v>349930</v>
      </c>
      <c r="AA29" s="328">
        <v>349930</v>
      </c>
      <c r="AB29" s="328">
        <v>334434</v>
      </c>
      <c r="AC29" s="328">
        <v>334434</v>
      </c>
    </row>
    <row r="30" spans="1:29">
      <c r="A30" s="151" t="s">
        <v>1152</v>
      </c>
      <c r="B30" s="151" t="s">
        <v>1071</v>
      </c>
      <c r="C30" s="151"/>
      <c r="D30" s="168"/>
      <c r="E30" s="168"/>
      <c r="F30" s="168"/>
      <c r="K30" s="168">
        <v>91184</v>
      </c>
      <c r="L30" s="168">
        <v>1372</v>
      </c>
      <c r="N30" s="168">
        <v>71706</v>
      </c>
      <c r="O30" s="168">
        <v>61921</v>
      </c>
      <c r="P30" s="168">
        <v>23276</v>
      </c>
      <c r="Q30" s="168">
        <v>0</v>
      </c>
      <c r="U30" s="328">
        <v>3273</v>
      </c>
      <c r="V30" s="328">
        <v>0</v>
      </c>
      <c r="W30" s="328">
        <v>0</v>
      </c>
      <c r="AC30" s="328">
        <v>67448</v>
      </c>
    </row>
    <row r="31" spans="1:29">
      <c r="A31" s="151" t="s">
        <v>1083</v>
      </c>
      <c r="B31" s="151" t="s">
        <v>1067</v>
      </c>
      <c r="C31" s="151"/>
      <c r="D31" s="168"/>
      <c r="E31" s="168"/>
      <c r="F31" s="168"/>
      <c r="G31" s="168">
        <v>85120</v>
      </c>
      <c r="I31" s="168">
        <v>91688</v>
      </c>
      <c r="O31" s="168">
        <v>85120</v>
      </c>
      <c r="Q31" s="168">
        <v>0</v>
      </c>
    </row>
    <row r="32" spans="1:29">
      <c r="A32" s="329" t="s">
        <v>1063</v>
      </c>
      <c r="B32" s="329" t="s">
        <v>1064</v>
      </c>
      <c r="C32" s="151"/>
      <c r="D32" s="168">
        <v>4505</v>
      </c>
      <c r="E32" s="168">
        <v>4505</v>
      </c>
      <c r="F32" s="168">
        <v>4505</v>
      </c>
      <c r="G32" s="168">
        <v>572</v>
      </c>
      <c r="H32" s="168">
        <v>572</v>
      </c>
      <c r="I32" s="168">
        <v>572</v>
      </c>
      <c r="J32" s="168">
        <v>572</v>
      </c>
      <c r="K32" s="168">
        <v>5713</v>
      </c>
      <c r="L32" s="168">
        <v>5713</v>
      </c>
      <c r="M32" s="168">
        <v>5713</v>
      </c>
      <c r="N32" s="168">
        <v>6422</v>
      </c>
      <c r="O32" s="168">
        <v>13958</v>
      </c>
      <c r="P32" s="168">
        <v>13958</v>
      </c>
      <c r="Q32" s="168">
        <v>13958</v>
      </c>
      <c r="R32" s="328">
        <v>13958</v>
      </c>
      <c r="S32" s="328">
        <v>13958</v>
      </c>
      <c r="T32" s="328">
        <v>13958</v>
      </c>
      <c r="U32" s="328">
        <v>13958</v>
      </c>
      <c r="V32" s="328">
        <v>13958</v>
      </c>
      <c r="W32" s="328">
        <v>23447</v>
      </c>
      <c r="X32" s="328">
        <v>23447</v>
      </c>
      <c r="Y32" s="328">
        <v>23447</v>
      </c>
      <c r="Z32" s="328">
        <v>23447</v>
      </c>
      <c r="AA32" s="328">
        <v>38033</v>
      </c>
      <c r="AB32" s="328">
        <v>38033</v>
      </c>
      <c r="AC32" s="328">
        <v>38033</v>
      </c>
    </row>
    <row r="33" spans="1:29">
      <c r="A33" s="151" t="s">
        <v>1068</v>
      </c>
      <c r="B33" s="151" t="s">
        <v>1069</v>
      </c>
      <c r="C33" s="151"/>
      <c r="D33" s="168">
        <v>96180</v>
      </c>
      <c r="E33" s="168">
        <v>63766</v>
      </c>
      <c r="F33" s="168">
        <v>64514</v>
      </c>
      <c r="G33" s="168">
        <v>71208</v>
      </c>
      <c r="H33" s="168">
        <v>76435</v>
      </c>
      <c r="I33" s="168">
        <v>79041</v>
      </c>
      <c r="J33" s="168">
        <v>84241</v>
      </c>
      <c r="K33" s="168">
        <v>85797</v>
      </c>
      <c r="L33" s="168">
        <v>90808</v>
      </c>
      <c r="M33" s="168">
        <v>92757</v>
      </c>
      <c r="N33" s="168">
        <v>98439</v>
      </c>
      <c r="O33" s="168">
        <v>100972</v>
      </c>
      <c r="P33" s="168">
        <v>104944</v>
      </c>
      <c r="Q33" s="168">
        <v>105424</v>
      </c>
      <c r="R33" s="328">
        <v>109575</v>
      </c>
      <c r="S33" s="328">
        <v>115228</v>
      </c>
      <c r="T33" s="328">
        <v>142315</v>
      </c>
      <c r="U33" s="328">
        <v>147277</v>
      </c>
      <c r="V33" s="328">
        <v>152306</v>
      </c>
      <c r="W33" s="328">
        <v>157701</v>
      </c>
      <c r="X33" s="328">
        <v>165209</v>
      </c>
      <c r="Y33" s="328">
        <v>175962</v>
      </c>
      <c r="Z33" s="328">
        <v>182178</v>
      </c>
      <c r="AA33" s="328">
        <v>138481</v>
      </c>
      <c r="AB33" s="328">
        <v>145459</v>
      </c>
      <c r="AC33" s="328">
        <v>152532</v>
      </c>
    </row>
    <row r="34" spans="1:29">
      <c r="A34" s="151" t="s">
        <v>1076</v>
      </c>
      <c r="B34" s="151" t="s">
        <v>1077</v>
      </c>
      <c r="C34" s="151"/>
      <c r="D34" s="168">
        <v>681914</v>
      </c>
      <c r="E34" s="168">
        <v>687397</v>
      </c>
      <c r="F34" s="168">
        <v>600978</v>
      </c>
      <c r="G34" s="168">
        <v>444640</v>
      </c>
      <c r="H34" s="168">
        <v>349094</v>
      </c>
      <c r="I34" s="168">
        <v>264087</v>
      </c>
      <c r="J34" s="168">
        <v>163862</v>
      </c>
      <c r="K34" s="168">
        <v>88003</v>
      </c>
      <c r="L34" s="168">
        <v>98524</v>
      </c>
      <c r="M34" s="168">
        <v>112685</v>
      </c>
      <c r="N34" s="168">
        <v>150524</v>
      </c>
      <c r="O34" s="168">
        <v>164547</v>
      </c>
      <c r="P34" s="168">
        <v>186613</v>
      </c>
      <c r="Q34" s="168">
        <v>213001</v>
      </c>
      <c r="R34" s="328">
        <v>236561</v>
      </c>
      <c r="S34" s="328">
        <v>262112</v>
      </c>
      <c r="T34" s="328">
        <v>277535</v>
      </c>
      <c r="U34" s="328">
        <v>293906</v>
      </c>
      <c r="V34" s="328">
        <v>316158</v>
      </c>
      <c r="W34" s="328">
        <v>336240</v>
      </c>
      <c r="X34" s="328">
        <v>394209</v>
      </c>
      <c r="Y34" s="328">
        <v>405894</v>
      </c>
      <c r="Z34" s="328">
        <v>433484</v>
      </c>
      <c r="AA34" s="328">
        <v>440688</v>
      </c>
      <c r="AB34" s="328">
        <v>464354</v>
      </c>
      <c r="AC34" s="328">
        <v>457252</v>
      </c>
    </row>
    <row r="35" spans="1:29">
      <c r="A35" s="151" t="s">
        <v>1078</v>
      </c>
      <c r="B35" s="151" t="s">
        <v>1079</v>
      </c>
      <c r="C35" s="151"/>
      <c r="D35" s="168">
        <v>49229</v>
      </c>
      <c r="E35" s="168">
        <v>49229</v>
      </c>
      <c r="F35" s="168">
        <v>49520</v>
      </c>
      <c r="G35" s="168">
        <v>49520</v>
      </c>
      <c r="H35" s="168">
        <v>49520</v>
      </c>
      <c r="I35" s="168">
        <v>49520</v>
      </c>
      <c r="J35" s="168">
        <v>49690</v>
      </c>
      <c r="K35" s="168">
        <v>49690</v>
      </c>
      <c r="L35" s="168">
        <v>49690</v>
      </c>
      <c r="M35" s="168">
        <v>49690</v>
      </c>
      <c r="N35" s="168">
        <v>49690</v>
      </c>
      <c r="O35" s="168">
        <v>49690</v>
      </c>
      <c r="P35" s="168">
        <v>49690</v>
      </c>
      <c r="Q35" s="168">
        <v>49690</v>
      </c>
      <c r="R35" s="328">
        <v>49690</v>
      </c>
      <c r="S35" s="328">
        <v>123530</v>
      </c>
      <c r="T35" s="328">
        <v>125076</v>
      </c>
      <c r="U35" s="328">
        <v>126568</v>
      </c>
      <c r="V35" s="328">
        <v>128126</v>
      </c>
      <c r="W35" s="328">
        <v>91054</v>
      </c>
      <c r="X35" s="328">
        <v>91947</v>
      </c>
      <c r="Y35" s="328">
        <v>85893</v>
      </c>
      <c r="Z35" s="328">
        <v>70686</v>
      </c>
      <c r="AA35" s="328">
        <v>61251</v>
      </c>
      <c r="AB35" s="328">
        <v>51560</v>
      </c>
      <c r="AC35" s="328">
        <v>43683</v>
      </c>
    </row>
    <row r="36" spans="1:29">
      <c r="A36" s="151" t="s">
        <v>1162</v>
      </c>
      <c r="B36" s="151" t="s">
        <v>1133</v>
      </c>
      <c r="C36" s="151"/>
      <c r="D36" s="168"/>
      <c r="E36" s="168"/>
      <c r="F36" s="168"/>
      <c r="M36" s="329"/>
      <c r="Q36" s="168">
        <v>0</v>
      </c>
    </row>
    <row r="37" spans="1:29">
      <c r="A37" s="151" t="s">
        <v>1072</v>
      </c>
      <c r="B37" s="151" t="s">
        <v>1073</v>
      </c>
      <c r="C37" s="151"/>
      <c r="D37" s="168">
        <v>310138</v>
      </c>
      <c r="E37" s="168">
        <v>367547</v>
      </c>
      <c r="F37" s="168">
        <v>413338</v>
      </c>
      <c r="G37" s="168">
        <v>213533</v>
      </c>
      <c r="H37" s="168">
        <v>235758</v>
      </c>
      <c r="I37" s="168">
        <v>100872</v>
      </c>
      <c r="J37" s="168">
        <v>97534</v>
      </c>
      <c r="K37" s="168">
        <v>107017</v>
      </c>
      <c r="L37" s="168">
        <v>53406</v>
      </c>
      <c r="N37" s="168">
        <v>0</v>
      </c>
      <c r="U37" s="328">
        <v>9526</v>
      </c>
      <c r="V37" s="328">
        <v>0</v>
      </c>
      <c r="W37" s="328">
        <v>110126</v>
      </c>
      <c r="Y37" s="328">
        <v>30902</v>
      </c>
    </row>
    <row r="38" spans="1:29">
      <c r="A38" s="329" t="s">
        <v>1163</v>
      </c>
      <c r="B38" s="329" t="s">
        <v>1085</v>
      </c>
      <c r="C38" s="151"/>
      <c r="D38" s="168">
        <v>5873</v>
      </c>
      <c r="E38" s="168">
        <v>5873</v>
      </c>
      <c r="F38" s="168"/>
      <c r="G38" s="168">
        <v>5873</v>
      </c>
      <c r="H38" s="168">
        <v>5840</v>
      </c>
      <c r="I38" s="168">
        <v>5840</v>
      </c>
      <c r="J38" s="168">
        <v>5840</v>
      </c>
      <c r="K38" s="168">
        <v>7187</v>
      </c>
      <c r="L38" s="168">
        <v>7187</v>
      </c>
      <c r="M38" s="168">
        <v>7187</v>
      </c>
      <c r="N38" s="168">
        <v>7187</v>
      </c>
      <c r="O38" s="168">
        <v>7911</v>
      </c>
      <c r="P38" s="168">
        <v>7911</v>
      </c>
      <c r="Q38" s="168">
        <v>7911</v>
      </c>
      <c r="R38" s="328">
        <v>8672</v>
      </c>
      <c r="S38" s="328">
        <v>8265</v>
      </c>
      <c r="T38" s="328">
        <v>8488</v>
      </c>
      <c r="U38" s="328">
        <v>8712</v>
      </c>
      <c r="V38" s="328">
        <v>8935</v>
      </c>
      <c r="W38" s="328">
        <v>9872</v>
      </c>
      <c r="X38" s="328">
        <v>10202</v>
      </c>
      <c r="Y38" s="328">
        <v>10524</v>
      </c>
      <c r="Z38" s="328">
        <v>10863</v>
      </c>
      <c r="AA38" s="328">
        <v>12193</v>
      </c>
      <c r="AB38" s="328">
        <v>12574</v>
      </c>
      <c r="AC38" s="328">
        <v>12955</v>
      </c>
    </row>
    <row r="39" spans="1:29">
      <c r="A39" s="151" t="s">
        <v>1080</v>
      </c>
      <c r="B39" s="151" t="s">
        <v>96</v>
      </c>
      <c r="C39" s="151"/>
      <c r="D39" s="168">
        <v>25932</v>
      </c>
      <c r="E39" s="168">
        <v>18932</v>
      </c>
      <c r="F39" s="168">
        <v>174805</v>
      </c>
      <c r="G39" s="168">
        <v>270151</v>
      </c>
      <c r="H39" s="168">
        <v>165082</v>
      </c>
      <c r="I39" s="168">
        <v>61346</v>
      </c>
      <c r="J39" s="168">
        <v>933</v>
      </c>
      <c r="K39" s="168">
        <v>2105</v>
      </c>
      <c r="L39" s="168">
        <v>2005</v>
      </c>
      <c r="M39" s="168">
        <v>1901</v>
      </c>
      <c r="N39" s="168">
        <v>1730</v>
      </c>
      <c r="O39" s="168">
        <v>1915</v>
      </c>
      <c r="P39" s="168">
        <v>1739</v>
      </c>
      <c r="Q39" s="168">
        <v>2529</v>
      </c>
      <c r="R39" s="328">
        <v>2520</v>
      </c>
      <c r="S39" s="328">
        <v>2204</v>
      </c>
      <c r="T39" s="328">
        <v>2205</v>
      </c>
      <c r="U39" s="328">
        <v>1865</v>
      </c>
      <c r="V39" s="328">
        <v>1638</v>
      </c>
      <c r="W39" s="328">
        <v>1586</v>
      </c>
      <c r="X39" s="328">
        <v>1474</v>
      </c>
      <c r="Y39" s="328">
        <v>1438</v>
      </c>
      <c r="Z39" s="328">
        <v>1071</v>
      </c>
      <c r="AA39" s="328">
        <v>4364</v>
      </c>
      <c r="AB39" s="328">
        <v>3348</v>
      </c>
      <c r="AC39" s="328">
        <v>3318</v>
      </c>
    </row>
    <row r="40" spans="1:29">
      <c r="A40" s="151" t="s">
        <v>1086</v>
      </c>
      <c r="B40" s="151" t="s">
        <v>1087</v>
      </c>
      <c r="C40" s="151"/>
      <c r="D40" s="168">
        <v>3210461</v>
      </c>
      <c r="E40" s="168">
        <v>3225181</v>
      </c>
      <c r="F40" s="168">
        <v>3314520</v>
      </c>
      <c r="G40" s="168">
        <v>3613371</v>
      </c>
      <c r="H40" s="168">
        <v>3659935</v>
      </c>
      <c r="I40" s="168">
        <v>3736549</v>
      </c>
      <c r="J40" s="168">
        <v>3987461</v>
      </c>
      <c r="K40" s="168">
        <v>4189879</v>
      </c>
      <c r="L40" s="168">
        <v>4334510</v>
      </c>
      <c r="M40" s="168">
        <v>4716810</v>
      </c>
      <c r="N40" s="168">
        <v>4538731</v>
      </c>
      <c r="O40" s="168">
        <v>5195393</v>
      </c>
      <c r="P40" s="168">
        <v>5808583</v>
      </c>
      <c r="Q40" s="168">
        <v>5918641</v>
      </c>
      <c r="R40" s="328">
        <v>6297294</v>
      </c>
      <c r="S40" s="328">
        <v>6572654</v>
      </c>
      <c r="T40" s="328">
        <v>6845260</v>
      </c>
      <c r="U40" s="328">
        <v>7110742</v>
      </c>
      <c r="V40" s="328">
        <v>7298159</v>
      </c>
      <c r="W40" s="328">
        <v>7716194</v>
      </c>
      <c r="X40" s="328">
        <v>7980150</v>
      </c>
      <c r="Y40" s="328">
        <v>7795889</v>
      </c>
      <c r="Z40" s="328">
        <v>8376548</v>
      </c>
      <c r="AA40" s="328">
        <v>8877170</v>
      </c>
      <c r="AB40" s="328">
        <v>9281886</v>
      </c>
      <c r="AC40" s="328">
        <v>301073</v>
      </c>
    </row>
    <row r="41" spans="1:29">
      <c r="A41" s="151" t="s">
        <v>1088</v>
      </c>
      <c r="B41" s="151" t="s">
        <v>1089</v>
      </c>
      <c r="C41" s="151"/>
      <c r="D41" s="168">
        <v>14328</v>
      </c>
      <c r="E41" s="168">
        <v>11853</v>
      </c>
      <c r="F41" s="168">
        <v>13739</v>
      </c>
      <c r="G41" s="168">
        <v>13938</v>
      </c>
      <c r="H41" s="168">
        <v>33164</v>
      </c>
      <c r="I41" s="168">
        <v>32776</v>
      </c>
      <c r="J41" s="168">
        <v>32461</v>
      </c>
      <c r="K41" s="168">
        <v>32239</v>
      </c>
      <c r="L41" s="168">
        <v>12123</v>
      </c>
      <c r="M41" s="168">
        <v>11877</v>
      </c>
      <c r="N41" s="168">
        <v>11443</v>
      </c>
      <c r="O41" s="168">
        <v>11009</v>
      </c>
      <c r="P41" s="168">
        <v>10575</v>
      </c>
      <c r="Q41" s="168">
        <v>9943</v>
      </c>
      <c r="R41" s="328">
        <v>9475</v>
      </c>
      <c r="S41" s="328">
        <v>9358</v>
      </c>
      <c r="T41" s="328">
        <v>8763</v>
      </c>
      <c r="U41" s="328">
        <v>8336</v>
      </c>
      <c r="V41" s="328">
        <v>7898</v>
      </c>
      <c r="W41" s="328">
        <v>7283</v>
      </c>
      <c r="X41" s="328">
        <v>6856</v>
      </c>
      <c r="Y41" s="328">
        <v>6427</v>
      </c>
      <c r="Z41" s="328">
        <v>5999</v>
      </c>
      <c r="AA41" s="328">
        <v>5565</v>
      </c>
      <c r="AB41" s="328">
        <v>5145</v>
      </c>
      <c r="AC41" s="328">
        <v>4731</v>
      </c>
    </row>
    <row r="42" spans="1:29">
      <c r="A42" s="151" t="s">
        <v>1094</v>
      </c>
      <c r="B42" s="151" t="s">
        <v>1095</v>
      </c>
      <c r="C42" s="151"/>
      <c r="D42" s="168">
        <v>148147</v>
      </c>
      <c r="E42" s="168">
        <v>287624</v>
      </c>
      <c r="F42" s="168">
        <v>300054</v>
      </c>
      <c r="G42" s="168">
        <v>134781</v>
      </c>
      <c r="H42" s="168">
        <v>1880928</v>
      </c>
      <c r="I42" s="168">
        <v>1824298</v>
      </c>
      <c r="J42" s="168">
        <v>1737462</v>
      </c>
      <c r="K42" s="168">
        <v>668193</v>
      </c>
      <c r="L42" s="168">
        <v>719545</v>
      </c>
      <c r="M42" s="168">
        <v>776754</v>
      </c>
      <c r="N42" s="168">
        <v>1660976</v>
      </c>
      <c r="O42" s="168">
        <v>849215</v>
      </c>
      <c r="P42" s="168">
        <v>364034</v>
      </c>
      <c r="Q42" s="168">
        <v>406268</v>
      </c>
      <c r="R42" s="328">
        <v>753899</v>
      </c>
      <c r="S42" s="328">
        <v>927346</v>
      </c>
      <c r="T42" s="328">
        <v>1081348</v>
      </c>
      <c r="U42" s="328">
        <v>227781</v>
      </c>
      <c r="V42" s="328">
        <v>671763</v>
      </c>
      <c r="W42" s="328">
        <v>439194</v>
      </c>
      <c r="X42" s="328">
        <v>936729</v>
      </c>
      <c r="Y42" s="328">
        <v>1438366</v>
      </c>
      <c r="Z42" s="328">
        <v>1794160</v>
      </c>
      <c r="AA42" s="328">
        <v>913973</v>
      </c>
      <c r="AB42" s="328">
        <v>1184798</v>
      </c>
      <c r="AC42" s="328">
        <v>861989</v>
      </c>
    </row>
    <row r="43" spans="1:29">
      <c r="A43" s="151" t="s">
        <v>1092</v>
      </c>
      <c r="B43" s="151" t="s">
        <v>1093</v>
      </c>
      <c r="C43" s="151"/>
      <c r="D43" s="168">
        <v>2054923</v>
      </c>
      <c r="E43" s="168">
        <v>1975088</v>
      </c>
      <c r="F43" s="168">
        <v>1971769</v>
      </c>
      <c r="G43" s="168">
        <v>1973425</v>
      </c>
      <c r="H43" s="168">
        <v>182242</v>
      </c>
      <c r="I43" s="168">
        <v>256809</v>
      </c>
      <c r="J43" s="168">
        <v>473784</v>
      </c>
      <c r="K43" s="168">
        <v>1595322</v>
      </c>
      <c r="L43" s="168">
        <v>1683643</v>
      </c>
      <c r="M43" s="168">
        <v>1562425</v>
      </c>
      <c r="N43" s="168">
        <v>999141</v>
      </c>
      <c r="O43" s="168">
        <v>1551245</v>
      </c>
      <c r="P43" s="168">
        <v>1853063</v>
      </c>
      <c r="Q43" s="168">
        <v>1766051</v>
      </c>
      <c r="R43" s="328">
        <v>1690155</v>
      </c>
      <c r="S43" s="328">
        <v>1651853</v>
      </c>
      <c r="T43" s="328">
        <v>1532771</v>
      </c>
      <c r="U43" s="328">
        <v>1539047</v>
      </c>
      <c r="V43" s="328">
        <v>1496093</v>
      </c>
      <c r="W43" s="328">
        <v>1464478</v>
      </c>
      <c r="X43" s="328">
        <v>1386596</v>
      </c>
      <c r="Y43" s="328">
        <v>1665723</v>
      </c>
      <c r="Z43" s="328">
        <v>1357127</v>
      </c>
      <c r="AA43" s="328">
        <v>1422477</v>
      </c>
      <c r="AB43" s="328">
        <v>1424407</v>
      </c>
      <c r="AC43" s="328">
        <v>11183679</v>
      </c>
    </row>
    <row r="44" spans="1:29" ht="15" thickBot="1">
      <c r="A44" s="163" t="s">
        <v>1166</v>
      </c>
      <c r="B44" s="163" t="s">
        <v>1097</v>
      </c>
      <c r="C44" s="151"/>
      <c r="D44" s="168">
        <v>20685</v>
      </c>
      <c r="E44" s="168">
        <v>22619</v>
      </c>
      <c r="F44" s="168">
        <v>20226</v>
      </c>
      <c r="G44" s="168">
        <v>22157</v>
      </c>
      <c r="H44" s="168">
        <v>19405</v>
      </c>
      <c r="I44" s="168">
        <v>16653</v>
      </c>
      <c r="J44" s="168">
        <v>16283</v>
      </c>
      <c r="K44" s="168">
        <v>16691</v>
      </c>
      <c r="L44" s="168">
        <v>15950</v>
      </c>
      <c r="M44" s="168">
        <v>15240</v>
      </c>
      <c r="N44" s="168">
        <v>14647</v>
      </c>
      <c r="O44" s="168">
        <v>14340</v>
      </c>
      <c r="P44" s="168">
        <v>13575</v>
      </c>
      <c r="Q44" s="168">
        <v>12821</v>
      </c>
      <c r="R44" s="328">
        <v>12082</v>
      </c>
      <c r="S44" s="328">
        <v>19042</v>
      </c>
      <c r="T44" s="328">
        <v>17884</v>
      </c>
      <c r="U44" s="328">
        <v>16683</v>
      </c>
      <c r="V44" s="328">
        <v>15652</v>
      </c>
      <c r="W44" s="328">
        <v>14799</v>
      </c>
      <c r="X44" s="328">
        <v>14312</v>
      </c>
      <c r="Y44" s="328">
        <v>13338</v>
      </c>
      <c r="Z44" s="328">
        <v>12272</v>
      </c>
      <c r="AA44" s="328">
        <v>11934</v>
      </c>
      <c r="AB44" s="328">
        <v>10714</v>
      </c>
      <c r="AC44" s="328">
        <v>9491</v>
      </c>
    </row>
    <row r="45" spans="1:29" ht="15" thickBot="1">
      <c r="A45" s="155" t="s">
        <v>1098</v>
      </c>
      <c r="B45" s="155" t="s">
        <v>1099</v>
      </c>
      <c r="C45" s="326"/>
      <c r="D45" s="156">
        <f t="shared" ref="D45:AB45" si="24">D26+D8</f>
        <v>11232109</v>
      </c>
      <c r="E45" s="156">
        <f t="shared" si="24"/>
        <v>11483844</v>
      </c>
      <c r="F45" s="156">
        <f t="shared" si="24"/>
        <v>12490938</v>
      </c>
      <c r="G45" s="156">
        <f t="shared" si="24"/>
        <v>12241267</v>
      </c>
      <c r="H45" s="156">
        <f t="shared" si="24"/>
        <v>12609463</v>
      </c>
      <c r="I45" s="156">
        <f t="shared" si="24"/>
        <v>12474937</v>
      </c>
      <c r="J45" s="156">
        <f t="shared" si="24"/>
        <v>12794341</v>
      </c>
      <c r="K45" s="156">
        <f t="shared" si="24"/>
        <v>12120744</v>
      </c>
      <c r="L45" s="156">
        <f t="shared" si="24"/>
        <v>12061632</v>
      </c>
      <c r="M45" s="156">
        <f t="shared" si="24"/>
        <v>12779850</v>
      </c>
      <c r="N45" s="156">
        <f t="shared" si="24"/>
        <v>12708405</v>
      </c>
      <c r="O45" s="156">
        <f t="shared" si="24"/>
        <v>12790539</v>
      </c>
      <c r="P45" s="156">
        <f t="shared" si="24"/>
        <v>12901047</v>
      </c>
      <c r="Q45" s="156">
        <f t="shared" si="24"/>
        <v>13161268</v>
      </c>
      <c r="R45" s="156">
        <f t="shared" si="24"/>
        <v>14339991</v>
      </c>
      <c r="S45" s="156">
        <f t="shared" si="24"/>
        <v>14273319</v>
      </c>
      <c r="T45" s="156">
        <f t="shared" si="24"/>
        <v>14615635</v>
      </c>
      <c r="U45" s="156">
        <f t="shared" si="24"/>
        <v>15323138</v>
      </c>
      <c r="V45" s="156">
        <f t="shared" si="24"/>
        <v>17116938</v>
      </c>
      <c r="W45" s="156">
        <f t="shared" si="24"/>
        <v>17824899</v>
      </c>
      <c r="X45" s="156">
        <f t="shared" si="24"/>
        <v>17298861</v>
      </c>
      <c r="Y45" s="156">
        <f t="shared" si="24"/>
        <v>17935501</v>
      </c>
      <c r="Z45" s="156">
        <f t="shared" si="24"/>
        <v>22144919</v>
      </c>
      <c r="AA45" s="156">
        <f t="shared" si="24"/>
        <v>18809559</v>
      </c>
      <c r="AB45" s="156">
        <f t="shared" si="24"/>
        <v>19828505</v>
      </c>
      <c r="AC45" s="156">
        <f>AC26+AC8</f>
        <v>19993964</v>
      </c>
    </row>
    <row r="46" spans="1:29">
      <c r="A46" s="151"/>
      <c r="B46" s="151"/>
      <c r="C46" s="151"/>
      <c r="D46" s="249"/>
      <c r="E46" s="249"/>
      <c r="F46" s="249"/>
    </row>
    <row r="47" spans="1:29" ht="15" thickBot="1">
      <c r="A47" s="6" t="s">
        <v>1167</v>
      </c>
      <c r="B47" s="6" t="s">
        <v>1101</v>
      </c>
      <c r="C47" s="146"/>
      <c r="D47" s="468" t="str">
        <f>D7</f>
        <v>1T20</v>
      </c>
      <c r="E47" s="434" t="s">
        <v>68</v>
      </c>
      <c r="F47" s="468" t="s">
        <v>69</v>
      </c>
      <c r="G47" s="468" t="s">
        <v>70</v>
      </c>
      <c r="H47" s="468" t="s">
        <v>71</v>
      </c>
      <c r="I47" s="468" t="s">
        <v>72</v>
      </c>
      <c r="J47" s="468" t="s">
        <v>73</v>
      </c>
      <c r="K47" s="468" t="s">
        <v>74</v>
      </c>
      <c r="L47" s="468" t="s">
        <v>75</v>
      </c>
      <c r="M47" s="468" t="s">
        <v>76</v>
      </c>
      <c r="N47" s="468" t="s">
        <v>77</v>
      </c>
      <c r="O47" s="468" t="str">
        <f>O7</f>
        <v>4T22</v>
      </c>
      <c r="P47" s="468" t="str">
        <f>P7</f>
        <v>1T23</v>
      </c>
      <c r="Q47" s="468" t="str">
        <f>Q7</f>
        <v>2T23</v>
      </c>
      <c r="R47" s="468" t="str">
        <f>R7</f>
        <v>3T23</v>
      </c>
      <c r="S47" s="468" t="s">
        <v>82</v>
      </c>
      <c r="T47" s="468" t="s">
        <v>83</v>
      </c>
      <c r="U47" s="468" t="s">
        <v>84</v>
      </c>
      <c r="V47" s="468" t="s">
        <v>85</v>
      </c>
      <c r="W47" s="468" t="s">
        <v>86</v>
      </c>
      <c r="X47" s="468" t="s">
        <v>87</v>
      </c>
      <c r="Y47" s="468" t="str">
        <f>+Y7</f>
        <v>2T25</v>
      </c>
      <c r="Z47" s="468" t="str">
        <f>+Z7</f>
        <v>3T25</v>
      </c>
      <c r="AA47" s="468" t="str">
        <f>+AA7</f>
        <v>4T25</v>
      </c>
      <c r="AB47" s="468" t="str">
        <f>+AB7</f>
        <v>1T26</v>
      </c>
      <c r="AC47" s="468" t="str">
        <f>+AC7</f>
        <v>2T26</v>
      </c>
    </row>
    <row r="48" spans="1:29" ht="15" thickBot="1">
      <c r="A48" s="147" t="s">
        <v>1051</v>
      </c>
      <c r="B48" s="147" t="s">
        <v>1052</v>
      </c>
      <c r="C48" s="326"/>
      <c r="D48" s="149">
        <f t="shared" ref="D48:Y48" si="25">SUM(D49:D68)</f>
        <v>1529193</v>
      </c>
      <c r="E48" s="149">
        <f t="shared" si="25"/>
        <v>1637747</v>
      </c>
      <c r="F48" s="149">
        <f t="shared" si="25"/>
        <v>2032517</v>
      </c>
      <c r="G48" s="149">
        <f t="shared" si="25"/>
        <v>2535530</v>
      </c>
      <c r="H48" s="149">
        <f t="shared" si="25"/>
        <v>2654028</v>
      </c>
      <c r="I48" s="149">
        <f t="shared" si="25"/>
        <v>2735668</v>
      </c>
      <c r="J48" s="149">
        <f t="shared" si="25"/>
        <v>3669213</v>
      </c>
      <c r="K48" s="149">
        <f t="shared" si="25"/>
        <v>3287767</v>
      </c>
      <c r="L48" s="149">
        <f t="shared" si="25"/>
        <v>2680053</v>
      </c>
      <c r="M48" s="149">
        <f t="shared" si="25"/>
        <v>2898246</v>
      </c>
      <c r="N48" s="149">
        <f t="shared" si="25"/>
        <v>3008198</v>
      </c>
      <c r="O48" s="149">
        <f t="shared" si="25"/>
        <v>3259203</v>
      </c>
      <c r="P48" s="149">
        <f t="shared" si="25"/>
        <v>3038337</v>
      </c>
      <c r="Q48" s="149">
        <f t="shared" si="25"/>
        <v>2824565</v>
      </c>
      <c r="R48" s="149">
        <f t="shared" si="25"/>
        <v>3324553</v>
      </c>
      <c r="S48" s="149">
        <f t="shared" si="25"/>
        <v>2925100</v>
      </c>
      <c r="T48" s="149">
        <f t="shared" si="25"/>
        <v>2856050</v>
      </c>
      <c r="U48" s="149">
        <f t="shared" si="25"/>
        <v>4367814</v>
      </c>
      <c r="V48" s="149">
        <f t="shared" si="25"/>
        <v>4475614</v>
      </c>
      <c r="W48" s="149">
        <f t="shared" si="25"/>
        <v>4395233</v>
      </c>
      <c r="X48" s="149">
        <f t="shared" si="25"/>
        <v>4209817</v>
      </c>
      <c r="Y48" s="149">
        <f t="shared" si="25"/>
        <v>5795026</v>
      </c>
      <c r="Z48" s="149">
        <f t="shared" ref="Z48:AB48" si="26">SUM(Z49:Z68)</f>
        <v>6249750</v>
      </c>
      <c r="AA48" s="149">
        <f t="shared" si="26"/>
        <v>3329664</v>
      </c>
      <c r="AB48" s="149">
        <f t="shared" si="26"/>
        <v>3232219</v>
      </c>
      <c r="AC48" s="149">
        <f>SUM(AC49:AC68)</f>
        <v>3672811</v>
      </c>
    </row>
    <row r="49" spans="1:29">
      <c r="A49" s="160" t="s">
        <v>1163</v>
      </c>
      <c r="B49" s="160" t="s">
        <v>1085</v>
      </c>
      <c r="C49" s="160"/>
      <c r="D49" s="168"/>
      <c r="E49" s="168"/>
      <c r="F49" s="168"/>
      <c r="M49" s="168">
        <v>756</v>
      </c>
      <c r="N49" s="168">
        <v>756</v>
      </c>
      <c r="O49" s="168">
        <v>862</v>
      </c>
      <c r="P49" s="168">
        <v>862</v>
      </c>
      <c r="Q49" s="168">
        <v>1306</v>
      </c>
      <c r="R49" s="328">
        <v>1319</v>
      </c>
      <c r="S49" s="328">
        <v>1336</v>
      </c>
      <c r="T49" s="328">
        <v>1373</v>
      </c>
      <c r="U49" s="328">
        <v>1493</v>
      </c>
      <c r="V49" s="328">
        <v>1512</v>
      </c>
      <c r="W49" s="328">
        <v>1546</v>
      </c>
      <c r="X49" s="328">
        <v>1589</v>
      </c>
      <c r="Y49" s="328">
        <v>1666</v>
      </c>
      <c r="Z49" s="328">
        <v>1684</v>
      </c>
      <c r="AA49" s="328">
        <v>1708</v>
      </c>
      <c r="AB49" s="328">
        <v>1741</v>
      </c>
      <c r="AC49" s="328">
        <v>1794</v>
      </c>
    </row>
    <row r="50" spans="1:29">
      <c r="A50" s="160" t="s">
        <v>1102</v>
      </c>
      <c r="B50" s="160" t="s">
        <v>1103</v>
      </c>
      <c r="C50" s="160"/>
      <c r="D50" s="168">
        <v>524989</v>
      </c>
      <c r="E50" s="168">
        <v>513779</v>
      </c>
      <c r="F50" s="168">
        <v>593980</v>
      </c>
      <c r="G50" s="168">
        <v>750901</v>
      </c>
      <c r="H50" s="168">
        <v>650369</v>
      </c>
      <c r="I50" s="168">
        <v>708538</v>
      </c>
      <c r="J50" s="168">
        <v>958745</v>
      </c>
      <c r="K50" s="168">
        <v>1090256</v>
      </c>
      <c r="L50" s="168">
        <v>780193</v>
      </c>
      <c r="M50" s="168">
        <v>868670</v>
      </c>
      <c r="N50" s="168">
        <v>930702</v>
      </c>
      <c r="O50" s="168">
        <v>999203</v>
      </c>
      <c r="P50" s="168">
        <v>893611</v>
      </c>
      <c r="Q50" s="168">
        <v>906470</v>
      </c>
      <c r="R50" s="328">
        <v>1093094</v>
      </c>
      <c r="S50" s="328">
        <v>1218385</v>
      </c>
      <c r="T50" s="328">
        <v>969012</v>
      </c>
      <c r="U50" s="328">
        <v>1063030</v>
      </c>
      <c r="V50" s="328">
        <v>1217483</v>
      </c>
      <c r="W50" s="328">
        <v>1270140</v>
      </c>
      <c r="X50" s="328">
        <v>1084104</v>
      </c>
      <c r="Y50" s="328">
        <v>1247922</v>
      </c>
      <c r="Z50" s="328">
        <v>1459294</v>
      </c>
      <c r="AA50" s="328">
        <v>1313924</v>
      </c>
      <c r="AB50" s="328">
        <v>1190971</v>
      </c>
      <c r="AC50" s="328">
        <v>1202700</v>
      </c>
    </row>
    <row r="51" spans="1:29">
      <c r="A51" s="160" t="s">
        <v>1104</v>
      </c>
      <c r="B51" s="160" t="s">
        <v>876</v>
      </c>
      <c r="C51" s="160"/>
      <c r="D51" s="168">
        <v>15142</v>
      </c>
      <c r="E51" s="168">
        <v>22128</v>
      </c>
      <c r="F51" s="168">
        <v>21823</v>
      </c>
      <c r="G51" s="168">
        <v>15794</v>
      </c>
      <c r="H51" s="168">
        <v>18158</v>
      </c>
      <c r="I51" s="168">
        <v>19535</v>
      </c>
      <c r="J51" s="168">
        <v>21853</v>
      </c>
      <c r="K51" s="168">
        <v>21735</v>
      </c>
      <c r="L51" s="168">
        <v>22375</v>
      </c>
      <c r="M51" s="168">
        <v>20349</v>
      </c>
      <c r="N51" s="168">
        <v>22514</v>
      </c>
      <c r="O51" s="168">
        <v>19162</v>
      </c>
      <c r="P51" s="168">
        <v>23077</v>
      </c>
      <c r="Q51" s="168">
        <v>22207</v>
      </c>
      <c r="R51" s="328">
        <v>23525</v>
      </c>
      <c r="S51" s="328">
        <v>20297</v>
      </c>
      <c r="T51" s="328">
        <v>25831</v>
      </c>
      <c r="U51" s="328">
        <v>23784</v>
      </c>
      <c r="V51" s="328">
        <v>24175</v>
      </c>
      <c r="W51" s="328">
        <v>20538</v>
      </c>
      <c r="X51" s="328">
        <v>27313</v>
      </c>
      <c r="Y51" s="328">
        <v>26461</v>
      </c>
      <c r="Z51" s="328">
        <v>29676</v>
      </c>
      <c r="AA51" s="328">
        <v>26064</v>
      </c>
      <c r="AB51" s="328">
        <v>27548</v>
      </c>
      <c r="AC51" s="328">
        <v>30530</v>
      </c>
    </row>
    <row r="52" spans="1:29">
      <c r="A52" s="151" t="s">
        <v>1168</v>
      </c>
      <c r="B52" s="151" t="s">
        <v>1106</v>
      </c>
      <c r="C52" s="151"/>
      <c r="D52" s="168">
        <v>52257</v>
      </c>
      <c r="E52" s="168">
        <v>199441</v>
      </c>
      <c r="F52" s="168">
        <v>419032</v>
      </c>
      <c r="G52" s="168">
        <v>779981</v>
      </c>
      <c r="H52" s="168">
        <v>991010</v>
      </c>
      <c r="I52" s="168">
        <v>1031968</v>
      </c>
      <c r="J52" s="168">
        <v>1100331</v>
      </c>
      <c r="K52" s="168">
        <v>767272</v>
      </c>
      <c r="L52" s="168">
        <v>554876</v>
      </c>
      <c r="M52" s="168">
        <v>709851</v>
      </c>
      <c r="N52" s="168">
        <v>573263</v>
      </c>
      <c r="O52" s="168">
        <v>569787</v>
      </c>
      <c r="P52" s="168">
        <v>604165</v>
      </c>
      <c r="Q52" s="168">
        <v>281258</v>
      </c>
      <c r="R52" s="328">
        <v>318975</v>
      </c>
      <c r="S52" s="328">
        <v>327982</v>
      </c>
      <c r="T52" s="328">
        <v>346948</v>
      </c>
      <c r="U52" s="328">
        <v>337180</v>
      </c>
      <c r="V52" s="328">
        <v>355509</v>
      </c>
      <c r="W52" s="328">
        <v>1584144</v>
      </c>
      <c r="X52" s="328">
        <v>1523791</v>
      </c>
      <c r="Y52" s="328">
        <v>1458253</v>
      </c>
      <c r="Z52" s="328">
        <v>1449290</v>
      </c>
      <c r="AA52" s="328">
        <v>353380</v>
      </c>
      <c r="AB52" s="328">
        <v>360931</v>
      </c>
      <c r="AC52" s="328">
        <v>372253</v>
      </c>
    </row>
    <row r="53" spans="1:29">
      <c r="A53" s="151" t="s">
        <v>1107</v>
      </c>
      <c r="B53" s="151" t="s">
        <v>1108</v>
      </c>
      <c r="C53" s="151"/>
      <c r="D53" s="168">
        <v>28065</v>
      </c>
      <c r="E53" s="168">
        <v>18387</v>
      </c>
      <c r="F53" s="168">
        <v>34644</v>
      </c>
      <c r="G53" s="168">
        <v>240462</v>
      </c>
      <c r="H53" s="168">
        <v>286509</v>
      </c>
      <c r="I53" s="168">
        <v>295738</v>
      </c>
      <c r="J53" s="168">
        <v>323650</v>
      </c>
      <c r="K53" s="168">
        <v>52871</v>
      </c>
      <c r="L53" s="168">
        <v>81387</v>
      </c>
      <c r="M53" s="168">
        <v>522501</v>
      </c>
      <c r="N53" s="168">
        <v>106849</v>
      </c>
      <c r="O53" s="168">
        <v>199033</v>
      </c>
      <c r="P53" s="168">
        <v>253266</v>
      </c>
      <c r="Q53" s="168">
        <v>209457</v>
      </c>
      <c r="R53" s="328">
        <v>262183</v>
      </c>
      <c r="S53" s="328">
        <v>59398</v>
      </c>
      <c r="T53" s="328">
        <v>60275</v>
      </c>
      <c r="U53" s="328">
        <v>17851</v>
      </c>
      <c r="V53" s="328">
        <v>74668</v>
      </c>
      <c r="W53" s="328">
        <v>60967</v>
      </c>
      <c r="X53" s="328">
        <v>73679</v>
      </c>
      <c r="Y53" s="328">
        <v>274569</v>
      </c>
      <c r="Z53" s="328">
        <v>319649</v>
      </c>
      <c r="AA53" s="328">
        <v>135770</v>
      </c>
      <c r="AB53" s="328">
        <v>88408</v>
      </c>
      <c r="AC53" s="328">
        <v>154741</v>
      </c>
    </row>
    <row r="54" spans="1:29">
      <c r="A54" s="151" t="s">
        <v>1109</v>
      </c>
      <c r="B54" s="151" t="s">
        <v>1110</v>
      </c>
      <c r="C54" s="151"/>
      <c r="D54" s="168"/>
      <c r="E54" s="168"/>
      <c r="F54" s="168"/>
      <c r="G54" s="168">
        <v>80984</v>
      </c>
      <c r="I54" s="168">
        <v>8542</v>
      </c>
      <c r="J54" s="168">
        <v>50</v>
      </c>
      <c r="N54" s="168">
        <v>37850</v>
      </c>
      <c r="O54" s="168">
        <v>169408</v>
      </c>
      <c r="Q54" s="168">
        <v>0</v>
      </c>
      <c r="T54" s="328">
        <v>98821</v>
      </c>
      <c r="U54" s="328">
        <v>255842</v>
      </c>
      <c r="V54" s="328">
        <v>5893</v>
      </c>
      <c r="W54" s="328">
        <v>82762</v>
      </c>
      <c r="X54" s="328">
        <v>164603</v>
      </c>
      <c r="Y54" s="328">
        <v>197588</v>
      </c>
      <c r="Z54" s="328">
        <v>65272</v>
      </c>
      <c r="AA54" s="328">
        <v>100644</v>
      </c>
      <c r="AB54" s="328">
        <v>102445</v>
      </c>
      <c r="AC54" s="328">
        <v>0</v>
      </c>
    </row>
    <row r="55" spans="1:29">
      <c r="A55" s="151" t="s">
        <v>1111</v>
      </c>
      <c r="B55" s="151" t="s">
        <v>1112</v>
      </c>
      <c r="C55" s="151"/>
      <c r="D55" s="168">
        <v>198756</v>
      </c>
      <c r="E55" s="168">
        <v>229647</v>
      </c>
      <c r="F55" s="168">
        <v>233934</v>
      </c>
      <c r="G55" s="168">
        <v>152601</v>
      </c>
      <c r="H55" s="168">
        <v>149987</v>
      </c>
      <c r="I55" s="168">
        <v>136539</v>
      </c>
      <c r="J55" s="168">
        <v>201066</v>
      </c>
      <c r="K55" s="168">
        <v>206427</v>
      </c>
      <c r="L55" s="168">
        <v>191892</v>
      </c>
      <c r="M55" s="168">
        <v>182353</v>
      </c>
      <c r="N55" s="168">
        <v>175168</v>
      </c>
      <c r="O55" s="168">
        <v>189798</v>
      </c>
      <c r="P55" s="168">
        <v>174667</v>
      </c>
      <c r="Q55" s="168">
        <v>191444</v>
      </c>
      <c r="R55" s="328">
        <v>233246</v>
      </c>
      <c r="S55" s="328">
        <v>222362</v>
      </c>
      <c r="T55" s="328">
        <v>229648</v>
      </c>
      <c r="U55" s="328">
        <v>250668</v>
      </c>
      <c r="V55" s="328">
        <v>260465</v>
      </c>
      <c r="W55" s="328">
        <v>245474</v>
      </c>
      <c r="X55" s="328">
        <v>215087</v>
      </c>
      <c r="Y55" s="328">
        <v>238943</v>
      </c>
      <c r="Z55" s="328">
        <v>253361</v>
      </c>
      <c r="AA55" s="328">
        <v>245569</v>
      </c>
      <c r="AB55" s="328">
        <v>247827</v>
      </c>
      <c r="AC55" s="328">
        <v>267567</v>
      </c>
    </row>
    <row r="56" spans="1:29">
      <c r="A56" s="151" t="s">
        <v>1169</v>
      </c>
      <c r="B56" s="151" t="s">
        <v>1170</v>
      </c>
      <c r="C56" s="151"/>
      <c r="D56" s="168">
        <v>1257</v>
      </c>
      <c r="E56" s="168">
        <v>7834</v>
      </c>
      <c r="F56" s="168">
        <v>21020</v>
      </c>
      <c r="G56" s="168">
        <v>36183</v>
      </c>
      <c r="H56" s="168">
        <v>5809</v>
      </c>
      <c r="I56" s="168">
        <v>68077</v>
      </c>
      <c r="J56" s="168">
        <v>66554</v>
      </c>
      <c r="K56" s="168">
        <v>43531</v>
      </c>
      <c r="L56" s="168">
        <v>134663</v>
      </c>
      <c r="M56" s="168">
        <v>76178</v>
      </c>
      <c r="N56" s="168">
        <v>148839</v>
      </c>
      <c r="O56" s="168">
        <v>69396</v>
      </c>
      <c r="P56" s="168">
        <v>111433</v>
      </c>
      <c r="Q56" s="168">
        <v>232788</v>
      </c>
      <c r="R56" s="328">
        <v>308297</v>
      </c>
      <c r="S56" s="328">
        <v>2650</v>
      </c>
      <c r="T56" s="328">
        <v>64132</v>
      </c>
      <c r="U56" s="328">
        <v>90802</v>
      </c>
      <c r="V56" s="328">
        <v>186936</v>
      </c>
      <c r="W56" s="328">
        <v>5230</v>
      </c>
      <c r="X56" s="328">
        <v>31854</v>
      </c>
      <c r="Y56" s="328">
        <v>92395</v>
      </c>
      <c r="Z56" s="328">
        <v>139142</v>
      </c>
      <c r="AA56" s="328">
        <v>5792</v>
      </c>
      <c r="AB56" s="328">
        <v>28723</v>
      </c>
      <c r="AC56" s="328">
        <v>62360</v>
      </c>
    </row>
    <row r="57" spans="1:29">
      <c r="A57" s="151" t="s">
        <v>1115</v>
      </c>
      <c r="B57" s="151" t="s">
        <v>1116</v>
      </c>
      <c r="C57" s="151"/>
      <c r="D57" s="168">
        <v>22120</v>
      </c>
      <c r="E57" s="168">
        <v>328</v>
      </c>
      <c r="F57" s="168">
        <v>249</v>
      </c>
      <c r="G57" s="168">
        <v>66559</v>
      </c>
      <c r="H57" s="168">
        <v>66559</v>
      </c>
      <c r="I57" s="168">
        <v>459</v>
      </c>
      <c r="J57" s="168">
        <v>582</v>
      </c>
      <c r="K57" s="168">
        <v>204071</v>
      </c>
      <c r="L57" s="168">
        <v>204071</v>
      </c>
      <c r="M57" s="168">
        <v>808</v>
      </c>
      <c r="N57" s="168">
        <v>808</v>
      </c>
      <c r="O57" s="168">
        <v>277586</v>
      </c>
      <c r="P57" s="168">
        <v>277586</v>
      </c>
      <c r="Q57" s="168">
        <v>277457</v>
      </c>
      <c r="R57" s="328">
        <v>327081</v>
      </c>
      <c r="S57" s="328">
        <v>419562</v>
      </c>
      <c r="T57" s="328">
        <v>419562</v>
      </c>
      <c r="U57" s="328">
        <v>1679760</v>
      </c>
      <c r="V57" s="328">
        <v>1679759</v>
      </c>
      <c r="W57" s="328">
        <v>363228</v>
      </c>
      <c r="X57" s="328">
        <v>363175</v>
      </c>
      <c r="Y57" s="328">
        <v>1456757</v>
      </c>
      <c r="Z57" s="328">
        <v>1456757</v>
      </c>
      <c r="AA57" s="328">
        <v>299250</v>
      </c>
      <c r="AB57" s="328">
        <v>299251</v>
      </c>
      <c r="AC57" s="328">
        <v>702512</v>
      </c>
    </row>
    <row r="58" spans="1:29">
      <c r="A58" s="151" t="s">
        <v>1117</v>
      </c>
      <c r="B58" s="151" t="s">
        <v>1118</v>
      </c>
      <c r="C58" s="151"/>
      <c r="D58" s="168"/>
      <c r="E58" s="168"/>
      <c r="F58" s="168"/>
      <c r="J58" s="168">
        <v>109771</v>
      </c>
      <c r="K58" s="168">
        <v>99922</v>
      </c>
      <c r="L58" s="168">
        <v>103356</v>
      </c>
      <c r="M58" s="168">
        <v>91894</v>
      </c>
      <c r="N58" s="168">
        <v>91837</v>
      </c>
      <c r="O58" s="168">
        <v>99897</v>
      </c>
      <c r="P58" s="168">
        <v>107812</v>
      </c>
      <c r="Q58" s="168">
        <v>112385</v>
      </c>
      <c r="R58" s="328">
        <v>112578</v>
      </c>
      <c r="S58" s="328">
        <v>128473</v>
      </c>
      <c r="T58" s="328">
        <v>119381</v>
      </c>
      <c r="U58" s="328">
        <v>116644</v>
      </c>
      <c r="V58" s="328">
        <v>116653</v>
      </c>
      <c r="W58" s="328">
        <v>96887</v>
      </c>
      <c r="X58" s="328">
        <v>96812</v>
      </c>
      <c r="Y58" s="328">
        <v>90582</v>
      </c>
      <c r="Z58" s="328">
        <v>82760</v>
      </c>
      <c r="AA58" s="328">
        <v>79548</v>
      </c>
      <c r="AB58" s="328">
        <v>76533</v>
      </c>
      <c r="AC58" s="328">
        <v>79853</v>
      </c>
    </row>
    <row r="59" spans="1:29">
      <c r="A59" s="151" t="s">
        <v>1119</v>
      </c>
      <c r="B59" s="151" t="s">
        <v>1120</v>
      </c>
      <c r="C59" s="151"/>
      <c r="D59" s="168">
        <v>19589</v>
      </c>
      <c r="E59" s="168">
        <v>22457</v>
      </c>
      <c r="F59" s="168">
        <v>32918</v>
      </c>
      <c r="G59" s="168">
        <v>28820</v>
      </c>
      <c r="H59" s="168">
        <v>27094</v>
      </c>
      <c r="I59" s="168">
        <v>28488</v>
      </c>
      <c r="J59" s="168">
        <v>22745</v>
      </c>
      <c r="K59" s="168">
        <v>24313</v>
      </c>
      <c r="L59" s="168">
        <v>23165</v>
      </c>
      <c r="M59" s="168">
        <v>25341</v>
      </c>
      <c r="N59" s="168">
        <v>31548</v>
      </c>
      <c r="O59" s="168">
        <v>37156</v>
      </c>
      <c r="P59" s="168">
        <v>33247</v>
      </c>
      <c r="Q59" s="168">
        <v>31490</v>
      </c>
      <c r="R59" s="328">
        <v>39007</v>
      </c>
      <c r="S59" s="328">
        <v>49666</v>
      </c>
      <c r="T59" s="328">
        <v>44048</v>
      </c>
      <c r="U59" s="328">
        <v>50886</v>
      </c>
      <c r="V59" s="328">
        <v>53951</v>
      </c>
      <c r="W59" s="328">
        <v>51781</v>
      </c>
      <c r="X59" s="328">
        <v>48338</v>
      </c>
      <c r="Y59" s="328">
        <v>51709</v>
      </c>
      <c r="Z59" s="328">
        <v>55402</v>
      </c>
      <c r="AA59" s="328">
        <v>60632</v>
      </c>
      <c r="AB59" s="328">
        <v>62775</v>
      </c>
      <c r="AC59" s="328">
        <v>57492</v>
      </c>
    </row>
    <row r="60" spans="1:29">
      <c r="A60" s="151" t="s">
        <v>1171</v>
      </c>
      <c r="B60" s="151" t="s">
        <v>1122</v>
      </c>
      <c r="C60" s="151"/>
      <c r="D60" s="168">
        <v>115802</v>
      </c>
      <c r="E60" s="168">
        <v>120345</v>
      </c>
      <c r="F60" s="168">
        <v>101041</v>
      </c>
      <c r="G60" s="168">
        <v>123194</v>
      </c>
      <c r="H60" s="168">
        <v>181196</v>
      </c>
      <c r="I60" s="168">
        <v>155438</v>
      </c>
      <c r="Q60" s="168">
        <v>0</v>
      </c>
    </row>
    <row r="61" spans="1:29">
      <c r="A61" s="151" t="s">
        <v>1172</v>
      </c>
      <c r="B61" s="151" t="s">
        <v>1124</v>
      </c>
      <c r="C61" s="151"/>
      <c r="D61" s="168">
        <v>43721</v>
      </c>
      <c r="E61" s="168">
        <v>31525</v>
      </c>
      <c r="F61" s="168">
        <v>32854</v>
      </c>
      <c r="G61" s="168">
        <v>37924</v>
      </c>
      <c r="H61" s="168">
        <v>43645</v>
      </c>
      <c r="I61" s="168">
        <v>30799</v>
      </c>
      <c r="J61" s="168">
        <v>37178</v>
      </c>
      <c r="K61" s="168">
        <v>43100</v>
      </c>
      <c r="L61" s="168">
        <v>49231</v>
      </c>
      <c r="M61" s="168">
        <v>30193</v>
      </c>
      <c r="N61" s="168">
        <v>36661</v>
      </c>
      <c r="O61" s="168">
        <v>43151</v>
      </c>
      <c r="P61" s="168">
        <v>25743</v>
      </c>
      <c r="Q61" s="168">
        <v>23813</v>
      </c>
      <c r="R61" s="328">
        <v>30595</v>
      </c>
      <c r="S61" s="328">
        <v>37384</v>
      </c>
      <c r="T61" s="328">
        <v>20320</v>
      </c>
      <c r="U61" s="328">
        <v>18666</v>
      </c>
      <c r="V61" s="328">
        <v>28715</v>
      </c>
      <c r="W61" s="328">
        <v>38764</v>
      </c>
      <c r="X61" s="328">
        <v>20655</v>
      </c>
      <c r="Y61" s="328">
        <v>23705</v>
      </c>
      <c r="Z61" s="328">
        <v>34767</v>
      </c>
      <c r="AA61" s="328">
        <v>44768</v>
      </c>
      <c r="AB61" s="328">
        <v>51111</v>
      </c>
      <c r="AC61" s="328">
        <v>18116</v>
      </c>
    </row>
    <row r="62" spans="1:29">
      <c r="A62" s="151" t="s">
        <v>1173</v>
      </c>
      <c r="B62" s="151" t="s">
        <v>753</v>
      </c>
      <c r="C62" s="151"/>
      <c r="D62" s="168"/>
      <c r="E62" s="168"/>
      <c r="F62" s="168"/>
    </row>
    <row r="63" spans="1:29">
      <c r="A63" s="151" t="s">
        <v>1072</v>
      </c>
      <c r="B63" s="151" t="s">
        <v>1073</v>
      </c>
      <c r="C63" s="151"/>
      <c r="D63" s="168"/>
      <c r="E63" s="168"/>
      <c r="F63" s="168"/>
      <c r="Q63" s="168">
        <v>883</v>
      </c>
      <c r="R63" s="328">
        <v>2699</v>
      </c>
      <c r="S63" s="328">
        <v>650</v>
      </c>
      <c r="T63" s="328">
        <v>2316</v>
      </c>
      <c r="U63" s="328">
        <v>0</v>
      </c>
      <c r="V63" s="328">
        <v>303</v>
      </c>
      <c r="W63" s="328">
        <v>51</v>
      </c>
      <c r="X63" s="328">
        <v>796</v>
      </c>
      <c r="Y63" s="328">
        <v>1151</v>
      </c>
      <c r="Z63" s="328">
        <v>52900</v>
      </c>
      <c r="AA63" s="328">
        <v>91</v>
      </c>
      <c r="AB63" s="328">
        <v>921</v>
      </c>
      <c r="AC63" s="328">
        <v>1983</v>
      </c>
    </row>
    <row r="64" spans="1:29">
      <c r="A64" s="151" t="s">
        <v>1174</v>
      </c>
      <c r="B64" s="151" t="s">
        <v>1175</v>
      </c>
      <c r="C64" s="151"/>
      <c r="D64" s="168">
        <v>8142</v>
      </c>
      <c r="E64" s="168">
        <v>19078</v>
      </c>
      <c r="F64" s="168">
        <v>88037</v>
      </c>
      <c r="G64" s="168">
        <v>30652</v>
      </c>
      <c r="H64" s="168">
        <v>27585</v>
      </c>
      <c r="I64" s="168">
        <v>46194</v>
      </c>
      <c r="J64" s="168">
        <v>42792</v>
      </c>
      <c r="K64" s="168">
        <v>43686</v>
      </c>
      <c r="L64" s="168">
        <v>39745</v>
      </c>
      <c r="M64" s="168">
        <v>52023</v>
      </c>
      <c r="N64" s="168">
        <v>230098</v>
      </c>
      <c r="O64" s="168">
        <v>52923</v>
      </c>
      <c r="P64" s="168">
        <v>38379</v>
      </c>
      <c r="Q64" s="168">
        <v>49756</v>
      </c>
      <c r="R64" s="328">
        <v>67214</v>
      </c>
      <c r="S64" s="328">
        <v>74869</v>
      </c>
      <c r="T64" s="328">
        <v>86999</v>
      </c>
      <c r="U64" s="328">
        <v>94807</v>
      </c>
      <c r="V64" s="328">
        <v>99919</v>
      </c>
      <c r="W64" s="328">
        <v>112764</v>
      </c>
      <c r="X64" s="328">
        <v>121285</v>
      </c>
      <c r="Y64" s="328">
        <v>133910</v>
      </c>
      <c r="Z64" s="328">
        <v>142882</v>
      </c>
      <c r="AA64" s="328">
        <v>155691</v>
      </c>
      <c r="AB64" s="328">
        <v>192709</v>
      </c>
      <c r="AC64" s="328">
        <v>204086</v>
      </c>
    </row>
    <row r="65" spans="1:29">
      <c r="A65" s="151" t="s">
        <v>1176</v>
      </c>
      <c r="B65" s="151" t="s">
        <v>1126</v>
      </c>
      <c r="C65" s="151"/>
      <c r="D65" s="168">
        <v>3642</v>
      </c>
      <c r="E65" s="168">
        <v>4306</v>
      </c>
      <c r="F65" s="168">
        <v>5070</v>
      </c>
      <c r="G65" s="168">
        <v>5533</v>
      </c>
      <c r="H65" s="168">
        <v>6213</v>
      </c>
      <c r="I65" s="168">
        <v>6542</v>
      </c>
      <c r="J65" s="168">
        <v>6574</v>
      </c>
      <c r="K65" s="168">
        <v>21485</v>
      </c>
      <c r="L65" s="168">
        <v>22258</v>
      </c>
      <c r="M65" s="168">
        <v>23333</v>
      </c>
      <c r="N65" s="168">
        <v>8709</v>
      </c>
      <c r="O65" s="168">
        <v>8297</v>
      </c>
      <c r="P65" s="168">
        <v>8996</v>
      </c>
      <c r="Q65" s="168">
        <v>8780</v>
      </c>
      <c r="R65" s="328">
        <v>8413</v>
      </c>
      <c r="S65" s="328">
        <v>9305</v>
      </c>
      <c r="T65" s="328">
        <v>10320</v>
      </c>
      <c r="U65" s="328">
        <v>10114</v>
      </c>
      <c r="V65" s="328">
        <v>9981</v>
      </c>
      <c r="W65" s="328">
        <v>9693</v>
      </c>
      <c r="X65" s="328">
        <v>9720</v>
      </c>
      <c r="Y65" s="328">
        <v>10419</v>
      </c>
      <c r="Z65" s="328">
        <v>10062</v>
      </c>
      <c r="AA65" s="328">
        <v>10063</v>
      </c>
      <c r="AB65" s="328">
        <v>10615</v>
      </c>
      <c r="AC65" s="328">
        <v>10339</v>
      </c>
    </row>
    <row r="66" spans="1:29">
      <c r="A66" s="151" t="s">
        <v>1127</v>
      </c>
      <c r="B66" s="151" t="s">
        <v>1128</v>
      </c>
      <c r="C66" s="151"/>
      <c r="D66" s="168">
        <v>324596</v>
      </c>
      <c r="E66" s="168">
        <v>325523</v>
      </c>
      <c r="F66" s="168">
        <v>326263</v>
      </c>
      <c r="J66" s="168">
        <v>525558</v>
      </c>
      <c r="K66" s="168">
        <v>369478</v>
      </c>
      <c r="L66" s="168">
        <v>226432</v>
      </c>
      <c r="M66" s="168">
        <v>70438</v>
      </c>
      <c r="N66" s="168">
        <v>332501</v>
      </c>
      <c r="O66" s="168">
        <v>233218</v>
      </c>
      <c r="P66" s="168">
        <v>144570</v>
      </c>
      <c r="Q66" s="168">
        <v>39128</v>
      </c>
      <c r="R66" s="328">
        <v>9654</v>
      </c>
      <c r="S66" s="328">
        <v>9654</v>
      </c>
      <c r="T66" s="328">
        <v>9654</v>
      </c>
      <c r="U66" s="328">
        <v>9654</v>
      </c>
      <c r="V66" s="328">
        <v>9654</v>
      </c>
      <c r="W66" s="328">
        <v>9654</v>
      </c>
      <c r="X66" s="328">
        <v>9654</v>
      </c>
      <c r="Y66" s="328">
        <v>9654</v>
      </c>
      <c r="Z66" s="328">
        <v>0</v>
      </c>
      <c r="AA66" s="328">
        <v>0</v>
      </c>
      <c r="AB66" s="328">
        <v>0</v>
      </c>
      <c r="AC66" s="328">
        <v>0</v>
      </c>
    </row>
    <row r="67" spans="1:29">
      <c r="A67" s="151" t="s">
        <v>1130</v>
      </c>
      <c r="B67" s="151" t="s">
        <v>1131</v>
      </c>
      <c r="C67" s="151"/>
      <c r="D67" s="168">
        <v>3669</v>
      </c>
      <c r="E67" s="168">
        <v>5208</v>
      </c>
      <c r="F67" s="168">
        <v>5092</v>
      </c>
      <c r="G67" s="168">
        <v>7132</v>
      </c>
      <c r="H67" s="168">
        <v>6460</v>
      </c>
      <c r="I67" s="168">
        <v>5710</v>
      </c>
      <c r="J67" s="168">
        <v>2283</v>
      </c>
      <c r="K67" s="168">
        <v>2505</v>
      </c>
      <c r="L67" s="168">
        <v>2491</v>
      </c>
      <c r="M67" s="168">
        <v>2513</v>
      </c>
      <c r="N67" s="168">
        <v>2601</v>
      </c>
      <c r="O67" s="168">
        <v>2872</v>
      </c>
      <c r="P67" s="168">
        <v>2897</v>
      </c>
      <c r="Q67" s="168">
        <v>2930</v>
      </c>
      <c r="R67" s="328">
        <v>2965</v>
      </c>
      <c r="S67" s="328">
        <v>4816</v>
      </c>
      <c r="T67" s="328">
        <v>4855</v>
      </c>
      <c r="U67" s="328">
        <v>4795</v>
      </c>
      <c r="V67" s="328">
        <v>4790</v>
      </c>
      <c r="W67" s="328">
        <v>4872</v>
      </c>
      <c r="X67" s="328">
        <v>4996</v>
      </c>
      <c r="Y67" s="328">
        <v>5075</v>
      </c>
      <c r="Z67" s="328">
        <v>5129</v>
      </c>
      <c r="AA67" s="328">
        <v>5288</v>
      </c>
      <c r="AB67" s="328">
        <v>5660</v>
      </c>
      <c r="AC67" s="328">
        <v>8128</v>
      </c>
    </row>
    <row r="68" spans="1:29" ht="15" thickBot="1">
      <c r="A68" s="151" t="s">
        <v>1129</v>
      </c>
      <c r="B68" s="151" t="s">
        <v>96</v>
      </c>
      <c r="C68" s="151"/>
      <c r="D68" s="168">
        <v>167446</v>
      </c>
      <c r="E68" s="168">
        <v>117761</v>
      </c>
      <c r="F68" s="168">
        <v>116560</v>
      </c>
      <c r="G68" s="168">
        <v>178810</v>
      </c>
      <c r="H68" s="168">
        <v>193434</v>
      </c>
      <c r="I68" s="168">
        <v>193101</v>
      </c>
      <c r="J68" s="168">
        <v>249481</v>
      </c>
      <c r="K68" s="168">
        <v>297115</v>
      </c>
      <c r="L68" s="168">
        <v>243918</v>
      </c>
      <c r="M68" s="168">
        <v>221045</v>
      </c>
      <c r="N68" s="168">
        <v>277494</v>
      </c>
      <c r="O68" s="168">
        <v>287454</v>
      </c>
      <c r="P68" s="168">
        <v>338026</v>
      </c>
      <c r="Q68" s="168">
        <v>433013</v>
      </c>
      <c r="R68" s="328">
        <v>483708</v>
      </c>
      <c r="S68" s="328">
        <v>338311</v>
      </c>
      <c r="T68" s="328">
        <v>342555</v>
      </c>
      <c r="U68" s="328">
        <v>341838</v>
      </c>
      <c r="V68" s="328">
        <v>345248</v>
      </c>
      <c r="W68" s="328">
        <v>436738</v>
      </c>
      <c r="X68" s="328">
        <v>412366</v>
      </c>
      <c r="Y68" s="328">
        <v>474267</v>
      </c>
      <c r="Z68" s="328">
        <v>691723</v>
      </c>
      <c r="AA68" s="328">
        <v>491482</v>
      </c>
      <c r="AB68" s="328">
        <v>484050</v>
      </c>
      <c r="AC68" s="328">
        <v>498357</v>
      </c>
    </row>
    <row r="69" spans="1:29" ht="15" thickBot="1">
      <c r="A69" s="155" t="s">
        <v>1081</v>
      </c>
      <c r="B69" s="155" t="s">
        <v>1082</v>
      </c>
      <c r="C69" s="326"/>
      <c r="D69" s="156">
        <f t="shared" ref="D69:N69" si="27">SUM(D70:D84)</f>
        <v>6284814</v>
      </c>
      <c r="E69" s="156">
        <f t="shared" si="27"/>
        <v>6490029</v>
      </c>
      <c r="F69" s="156">
        <f t="shared" si="27"/>
        <v>6825895</v>
      </c>
      <c r="G69" s="156">
        <f t="shared" si="27"/>
        <v>6332559</v>
      </c>
      <c r="H69" s="156">
        <f t="shared" si="27"/>
        <v>6473338</v>
      </c>
      <c r="I69" s="156">
        <f t="shared" si="27"/>
        <v>6176390</v>
      </c>
      <c r="J69" s="156">
        <f t="shared" si="27"/>
        <v>5517933</v>
      </c>
      <c r="K69" s="156">
        <f t="shared" si="27"/>
        <v>5483062</v>
      </c>
      <c r="L69" s="156">
        <f t="shared" si="27"/>
        <v>5704638</v>
      </c>
      <c r="M69" s="156">
        <f t="shared" si="27"/>
        <v>5901565</v>
      </c>
      <c r="N69" s="156">
        <f t="shared" si="27"/>
        <v>5350218</v>
      </c>
      <c r="O69" s="156">
        <f>SUM(O70:O84)</f>
        <v>6641262</v>
      </c>
      <c r="P69" s="156">
        <f>SUM(P70:P84)</f>
        <v>6564415</v>
      </c>
      <c r="Q69" s="156">
        <f>SUM(Q70:Q84)</f>
        <v>6524043</v>
      </c>
      <c r="R69" s="156">
        <f t="shared" ref="R69:Y69" si="28">SUM(R70:R84)</f>
        <v>6562709</v>
      </c>
      <c r="S69" s="156">
        <f t="shared" si="28"/>
        <v>6701372</v>
      </c>
      <c r="T69" s="156">
        <f t="shared" si="28"/>
        <v>6684450</v>
      </c>
      <c r="U69" s="156">
        <f t="shared" si="28"/>
        <v>6656122</v>
      </c>
      <c r="V69" s="156">
        <f t="shared" si="28"/>
        <v>7779853</v>
      </c>
      <c r="W69" s="156">
        <f t="shared" si="28"/>
        <v>8441165</v>
      </c>
      <c r="X69" s="156">
        <f t="shared" si="28"/>
        <v>7703431</v>
      </c>
      <c r="Y69" s="156">
        <f t="shared" si="28"/>
        <v>7466409</v>
      </c>
      <c r="Z69" s="156">
        <f t="shared" ref="Z69" si="29">SUM(Z70:Z84)</f>
        <v>10821641</v>
      </c>
      <c r="AA69" s="156">
        <f t="shared" ref="AA69:AB69" si="30">SUM(AA70:AA84)</f>
        <v>10300850</v>
      </c>
      <c r="AB69" s="156">
        <f t="shared" si="30"/>
        <v>11032706</v>
      </c>
      <c r="AC69" s="156">
        <f>SUM(AC70:AC84)</f>
        <v>11069369</v>
      </c>
    </row>
    <row r="70" spans="1:29">
      <c r="A70" s="151" t="s">
        <v>1105</v>
      </c>
      <c r="B70" s="151" t="s">
        <v>1106</v>
      </c>
      <c r="C70" s="151"/>
      <c r="D70" s="180">
        <v>2262724</v>
      </c>
      <c r="E70" s="180">
        <v>2393305</v>
      </c>
      <c r="F70" s="180">
        <v>2445339</v>
      </c>
      <c r="G70" s="168">
        <v>1976662</v>
      </c>
      <c r="H70" s="168">
        <v>2004717</v>
      </c>
      <c r="I70" s="168">
        <v>1711019</v>
      </c>
      <c r="J70" s="168">
        <v>2084316</v>
      </c>
      <c r="K70" s="168">
        <v>2100412</v>
      </c>
      <c r="L70" s="168">
        <v>2382603</v>
      </c>
      <c r="M70" s="168">
        <v>2089432</v>
      </c>
      <c r="N70" s="168">
        <v>2035911</v>
      </c>
      <c r="O70" s="168">
        <v>3430039</v>
      </c>
      <c r="P70" s="168">
        <v>3377134</v>
      </c>
      <c r="Q70" s="168">
        <v>3287388</v>
      </c>
      <c r="R70" s="328">
        <v>3252299</v>
      </c>
      <c r="S70" s="328">
        <v>3148356</v>
      </c>
      <c r="T70" s="328">
        <v>3128961</v>
      </c>
      <c r="U70" s="328">
        <v>3178693</v>
      </c>
      <c r="V70" s="328">
        <v>3098122</v>
      </c>
      <c r="W70" s="328">
        <v>2260019</v>
      </c>
      <c r="X70" s="328">
        <v>2181960</v>
      </c>
      <c r="Y70" s="328">
        <v>2118158</v>
      </c>
      <c r="Z70" s="328">
        <v>2033832</v>
      </c>
      <c r="AA70" s="328">
        <v>1968891</v>
      </c>
      <c r="AB70" s="328">
        <v>1882795</v>
      </c>
      <c r="AC70" s="328">
        <v>1824832</v>
      </c>
    </row>
    <row r="71" spans="1:29">
      <c r="A71" s="151" t="s">
        <v>1107</v>
      </c>
      <c r="B71" s="151" t="s">
        <v>1108</v>
      </c>
      <c r="C71" s="151"/>
      <c r="D71" s="180">
        <v>1423806</v>
      </c>
      <c r="E71" s="180">
        <v>1421021</v>
      </c>
      <c r="F71" s="180">
        <v>1426647</v>
      </c>
      <c r="G71" s="168">
        <v>1209270</v>
      </c>
      <c r="H71" s="168">
        <v>1182877</v>
      </c>
      <c r="I71" s="168">
        <v>1186497</v>
      </c>
      <c r="J71" s="168">
        <v>1192254</v>
      </c>
      <c r="K71" s="168">
        <v>1199231</v>
      </c>
      <c r="L71" s="168">
        <v>1168056</v>
      </c>
      <c r="M71" s="168">
        <v>1519373</v>
      </c>
      <c r="N71" s="168">
        <v>1518332</v>
      </c>
      <c r="O71" s="168">
        <v>1382776</v>
      </c>
      <c r="P71" s="168">
        <v>1345751</v>
      </c>
      <c r="Q71" s="168">
        <v>1346006</v>
      </c>
      <c r="R71" s="328">
        <v>1346260</v>
      </c>
      <c r="S71" s="328">
        <v>1346515</v>
      </c>
      <c r="T71" s="328">
        <v>1346770</v>
      </c>
      <c r="U71" s="328">
        <v>1347025</v>
      </c>
      <c r="V71" s="328">
        <v>2344157</v>
      </c>
      <c r="W71" s="328">
        <v>3770276</v>
      </c>
      <c r="X71" s="328">
        <v>3085303</v>
      </c>
      <c r="Y71" s="328">
        <v>2956958</v>
      </c>
      <c r="Z71" s="328">
        <v>6125311</v>
      </c>
      <c r="AA71" s="328">
        <v>5738109</v>
      </c>
      <c r="AB71" s="328">
        <v>6611216</v>
      </c>
      <c r="AC71" s="328">
        <v>6516271</v>
      </c>
    </row>
    <row r="72" spans="1:29">
      <c r="A72" s="151" t="s">
        <v>1111</v>
      </c>
      <c r="B72" s="151" t="s">
        <v>1112</v>
      </c>
      <c r="C72" s="151"/>
      <c r="D72" s="180">
        <v>179091</v>
      </c>
      <c r="E72" s="180">
        <v>176632</v>
      </c>
      <c r="F72" s="180">
        <v>174001</v>
      </c>
      <c r="G72" s="168">
        <v>171306</v>
      </c>
      <c r="H72" s="168">
        <v>168589</v>
      </c>
      <c r="I72" s="168">
        <v>165979</v>
      </c>
      <c r="J72" s="168">
        <v>163429</v>
      </c>
      <c r="K72" s="168">
        <v>102032</v>
      </c>
      <c r="L72" s="168">
        <v>94251</v>
      </c>
      <c r="M72" s="168">
        <v>92158</v>
      </c>
      <c r="N72" s="168">
        <v>94974</v>
      </c>
      <c r="O72" s="168">
        <v>92198</v>
      </c>
      <c r="P72" s="168">
        <v>90802</v>
      </c>
      <c r="Q72" s="168">
        <v>89215</v>
      </c>
      <c r="R72" s="328">
        <v>86978</v>
      </c>
      <c r="S72" s="328">
        <v>104898</v>
      </c>
      <c r="T72" s="328">
        <v>106503</v>
      </c>
      <c r="U72" s="328">
        <v>113278</v>
      </c>
      <c r="V72" s="328">
        <v>113533</v>
      </c>
      <c r="W72" s="328">
        <v>127448</v>
      </c>
      <c r="X72" s="328">
        <v>126758</v>
      </c>
      <c r="Y72" s="328">
        <v>128185</v>
      </c>
      <c r="Z72" s="328">
        <v>130180</v>
      </c>
      <c r="AA72" s="328">
        <v>134474</v>
      </c>
      <c r="AB72" s="328">
        <v>131602</v>
      </c>
      <c r="AC72" s="328">
        <v>129605</v>
      </c>
    </row>
    <row r="73" spans="1:29">
      <c r="A73" s="151" t="s">
        <v>1132</v>
      </c>
      <c r="B73" s="151" t="s">
        <v>1133</v>
      </c>
      <c r="C73" s="151"/>
      <c r="D73" s="180">
        <v>271664</v>
      </c>
      <c r="E73" s="180">
        <v>286198</v>
      </c>
      <c r="F73" s="180">
        <v>342351</v>
      </c>
      <c r="G73" s="168">
        <v>372621</v>
      </c>
      <c r="H73" s="168">
        <v>416285</v>
      </c>
      <c r="I73" s="168">
        <v>401812</v>
      </c>
      <c r="J73" s="168">
        <v>456431</v>
      </c>
      <c r="K73" s="168">
        <v>497385</v>
      </c>
      <c r="L73" s="168">
        <v>456959</v>
      </c>
      <c r="M73" s="168">
        <v>499317</v>
      </c>
      <c r="N73" s="168">
        <v>429448</v>
      </c>
      <c r="O73" s="168">
        <v>410085</v>
      </c>
      <c r="P73" s="168">
        <v>362565</v>
      </c>
      <c r="Q73" s="168">
        <v>343854</v>
      </c>
      <c r="R73" s="328">
        <v>429890</v>
      </c>
      <c r="S73" s="328">
        <v>619427</v>
      </c>
      <c r="T73" s="328">
        <v>651049</v>
      </c>
      <c r="U73" s="328">
        <v>724114</v>
      </c>
      <c r="V73" s="328">
        <v>723871</v>
      </c>
      <c r="W73" s="328">
        <v>744776</v>
      </c>
      <c r="X73" s="328">
        <v>811683</v>
      </c>
      <c r="Y73" s="328">
        <v>822896</v>
      </c>
      <c r="Z73" s="328">
        <v>844381</v>
      </c>
      <c r="AA73" s="328">
        <v>810503</v>
      </c>
      <c r="AB73" s="328">
        <v>854259</v>
      </c>
      <c r="AC73" s="328">
        <v>903700</v>
      </c>
    </row>
    <row r="74" spans="1:29">
      <c r="A74" s="151" t="s">
        <v>1072</v>
      </c>
      <c r="B74" s="151" t="s">
        <v>1073</v>
      </c>
      <c r="C74" s="151"/>
      <c r="D74" s="180"/>
      <c r="E74" s="180"/>
      <c r="F74" s="180"/>
      <c r="O74" s="168">
        <v>47724</v>
      </c>
      <c r="P74" s="168">
        <v>107991</v>
      </c>
      <c r="Q74" s="168">
        <v>155880</v>
      </c>
      <c r="R74" s="328">
        <v>135051</v>
      </c>
      <c r="S74" s="328">
        <v>129131</v>
      </c>
      <c r="T74" s="328">
        <v>120626</v>
      </c>
      <c r="U74" s="328">
        <v>0</v>
      </c>
      <c r="V74" s="328">
        <v>15426</v>
      </c>
      <c r="W74" s="328">
        <v>0</v>
      </c>
      <c r="X74" s="328">
        <v>6396</v>
      </c>
      <c r="Y74" s="328">
        <v>0</v>
      </c>
      <c r="Z74" s="328">
        <v>118141</v>
      </c>
      <c r="AA74" s="328">
        <v>116329</v>
      </c>
      <c r="AB74" s="328">
        <v>98633</v>
      </c>
      <c r="AC74" s="328">
        <v>266923</v>
      </c>
    </row>
    <row r="75" spans="1:29">
      <c r="A75" s="151" t="s">
        <v>1176</v>
      </c>
      <c r="B75" s="151" t="s">
        <v>1126</v>
      </c>
      <c r="C75" s="151"/>
      <c r="D75" s="180">
        <v>131427</v>
      </c>
      <c r="E75" s="180">
        <v>126218</v>
      </c>
      <c r="F75" s="180">
        <v>125016</v>
      </c>
      <c r="G75" s="168">
        <v>123479</v>
      </c>
      <c r="H75" s="168">
        <v>124552</v>
      </c>
      <c r="I75" s="168">
        <v>119955</v>
      </c>
      <c r="J75" s="168">
        <v>120023</v>
      </c>
      <c r="K75" s="168">
        <v>119838</v>
      </c>
      <c r="L75" s="168">
        <v>119999</v>
      </c>
      <c r="M75" s="168">
        <v>119089</v>
      </c>
      <c r="N75" s="168">
        <v>120679</v>
      </c>
      <c r="O75" s="168">
        <v>130178</v>
      </c>
      <c r="P75" s="168">
        <v>130202</v>
      </c>
      <c r="Q75" s="168">
        <v>127029</v>
      </c>
      <c r="R75" s="328">
        <v>126995</v>
      </c>
      <c r="S75" s="328">
        <v>124879</v>
      </c>
      <c r="T75" s="328">
        <v>125432</v>
      </c>
      <c r="U75" s="328">
        <v>124198</v>
      </c>
      <c r="V75" s="328">
        <v>122227</v>
      </c>
      <c r="W75" s="328">
        <v>121168</v>
      </c>
      <c r="X75" s="328">
        <v>146050</v>
      </c>
      <c r="Y75" s="328">
        <v>143730</v>
      </c>
      <c r="Z75" s="328">
        <v>142647</v>
      </c>
      <c r="AA75" s="328">
        <v>140944</v>
      </c>
      <c r="AB75" s="328">
        <v>140463</v>
      </c>
      <c r="AC75" s="328">
        <v>140296</v>
      </c>
    </row>
    <row r="76" spans="1:29">
      <c r="A76" s="151" t="s">
        <v>1109</v>
      </c>
      <c r="B76" s="151" t="s">
        <v>1110</v>
      </c>
      <c r="C76" s="151"/>
      <c r="D76" s="180">
        <v>102646</v>
      </c>
      <c r="E76" s="180">
        <v>155794</v>
      </c>
      <c r="F76" s="180">
        <v>418179</v>
      </c>
      <c r="G76" s="168">
        <v>170307</v>
      </c>
      <c r="H76" s="168">
        <v>271397</v>
      </c>
      <c r="I76" s="168">
        <v>256303</v>
      </c>
      <c r="J76" s="168">
        <v>49614</v>
      </c>
      <c r="M76" s="168">
        <v>75492</v>
      </c>
      <c r="Q76" s="168">
        <v>40427</v>
      </c>
      <c r="R76" s="328">
        <v>58883</v>
      </c>
      <c r="S76" s="328">
        <v>78871</v>
      </c>
      <c r="T76" s="328">
        <v>51878</v>
      </c>
      <c r="U76" s="328">
        <v>0</v>
      </c>
      <c r="V76" s="328">
        <v>178605</v>
      </c>
      <c r="W76" s="328">
        <v>186559</v>
      </c>
      <c r="X76" s="328">
        <v>99300</v>
      </c>
      <c r="Y76" s="328">
        <v>49775</v>
      </c>
      <c r="Z76" s="328">
        <v>170386</v>
      </c>
      <c r="AA76" s="328">
        <v>116036</v>
      </c>
      <c r="AB76" s="328">
        <v>50724</v>
      </c>
      <c r="AC76" s="328">
        <v>0</v>
      </c>
    </row>
    <row r="77" spans="1:29">
      <c r="A77" s="151" t="s">
        <v>1173</v>
      </c>
      <c r="B77" s="151" t="s">
        <v>753</v>
      </c>
      <c r="C77" s="151"/>
      <c r="D77" s="180"/>
      <c r="E77" s="180"/>
      <c r="F77" s="180"/>
      <c r="Q77" s="168">
        <v>0</v>
      </c>
    </row>
    <row r="78" spans="1:29" ht="15" customHeight="1">
      <c r="A78" s="151" t="s">
        <v>1171</v>
      </c>
      <c r="B78" s="151" t="s">
        <v>1122</v>
      </c>
      <c r="C78" s="151"/>
      <c r="D78" s="180">
        <v>76357</v>
      </c>
      <c r="E78" s="180">
        <v>76916</v>
      </c>
      <c r="F78" s="180">
        <v>77309</v>
      </c>
      <c r="G78" s="168">
        <v>67545</v>
      </c>
      <c r="H78" s="168">
        <v>15147</v>
      </c>
      <c r="Q78" s="168">
        <v>0</v>
      </c>
    </row>
    <row r="79" spans="1:29">
      <c r="A79" s="151" t="s">
        <v>1174</v>
      </c>
      <c r="B79" s="151" t="s">
        <v>1175</v>
      </c>
      <c r="C79" s="151"/>
      <c r="D79" s="180">
        <v>870065</v>
      </c>
      <c r="E79" s="180">
        <v>882137</v>
      </c>
      <c r="F79" s="180">
        <v>834627</v>
      </c>
      <c r="G79" s="168">
        <v>940279</v>
      </c>
      <c r="H79" s="168">
        <v>965449</v>
      </c>
      <c r="I79" s="168">
        <v>985703</v>
      </c>
      <c r="J79" s="168">
        <v>988436</v>
      </c>
      <c r="K79" s="168">
        <v>1008514</v>
      </c>
      <c r="L79" s="168">
        <v>1025901</v>
      </c>
      <c r="M79" s="168">
        <v>1039032</v>
      </c>
      <c r="N79" s="168">
        <v>1035850</v>
      </c>
      <c r="O79" s="168">
        <v>1027434</v>
      </c>
      <c r="P79" s="168">
        <v>1027538</v>
      </c>
      <c r="Q79" s="168">
        <v>1010551</v>
      </c>
      <c r="R79" s="328">
        <v>1000800</v>
      </c>
      <c r="S79" s="328">
        <v>1005699</v>
      </c>
      <c r="T79" s="328">
        <v>1002264</v>
      </c>
      <c r="U79" s="328">
        <v>1006326</v>
      </c>
      <c r="V79" s="328">
        <v>1010944</v>
      </c>
      <c r="W79" s="328">
        <v>1023836</v>
      </c>
      <c r="X79" s="328">
        <v>1028503</v>
      </c>
      <c r="Y79" s="328">
        <v>1021460</v>
      </c>
      <c r="Z79" s="328">
        <v>1018720</v>
      </c>
      <c r="AA79" s="328">
        <v>1014917</v>
      </c>
      <c r="AB79" s="328">
        <v>985041</v>
      </c>
      <c r="AC79" s="328">
        <v>999859</v>
      </c>
    </row>
    <row r="80" spans="1:29">
      <c r="A80" s="151" t="s">
        <v>1163</v>
      </c>
      <c r="B80" s="151" t="s">
        <v>1085</v>
      </c>
      <c r="C80" s="151"/>
      <c r="D80" s="180">
        <v>40308</v>
      </c>
      <c r="E80" s="180">
        <v>40308</v>
      </c>
      <c r="F80" s="180">
        <v>40308</v>
      </c>
      <c r="G80" s="168">
        <v>41435</v>
      </c>
      <c r="H80" s="168">
        <v>53233</v>
      </c>
      <c r="I80" s="168">
        <v>53233</v>
      </c>
      <c r="J80" s="168">
        <v>53233</v>
      </c>
      <c r="K80" s="168">
        <v>52375</v>
      </c>
      <c r="L80" s="168">
        <v>52375</v>
      </c>
      <c r="M80" s="168">
        <v>57778</v>
      </c>
      <c r="N80" s="168">
        <v>57778</v>
      </c>
      <c r="O80" s="168">
        <v>63329</v>
      </c>
      <c r="P80" s="168">
        <v>64575</v>
      </c>
      <c r="Q80" s="168">
        <v>65340.999999999993</v>
      </c>
      <c r="R80" s="328">
        <v>67077</v>
      </c>
      <c r="S80" s="328">
        <v>78566</v>
      </c>
      <c r="T80" s="328">
        <v>79926</v>
      </c>
      <c r="U80" s="328">
        <v>81099</v>
      </c>
      <c r="V80" s="328">
        <v>82305</v>
      </c>
      <c r="W80" s="328">
        <v>64114</v>
      </c>
      <c r="X80" s="328">
        <v>64995</v>
      </c>
      <c r="Y80" s="328">
        <v>65768</v>
      </c>
      <c r="Z80" s="328">
        <v>66492</v>
      </c>
      <c r="AA80" s="328">
        <v>79512</v>
      </c>
      <c r="AB80" s="328">
        <v>80520</v>
      </c>
      <c r="AC80" s="328">
        <v>81591</v>
      </c>
    </row>
    <row r="81" spans="1:29">
      <c r="A81" s="151" t="s">
        <v>1129</v>
      </c>
      <c r="B81" s="151" t="s">
        <v>96</v>
      </c>
      <c r="C81" s="151"/>
      <c r="D81" s="180">
        <v>42262</v>
      </c>
      <c r="E81" s="180">
        <v>41300</v>
      </c>
      <c r="F81" s="180">
        <v>40736</v>
      </c>
      <c r="G81" s="168">
        <v>30187</v>
      </c>
      <c r="H81" s="168">
        <v>29664</v>
      </c>
      <c r="I81" s="168">
        <v>31386</v>
      </c>
      <c r="J81" s="168">
        <v>31219</v>
      </c>
      <c r="K81" s="168">
        <v>31213</v>
      </c>
      <c r="L81" s="168">
        <v>30310</v>
      </c>
      <c r="M81" s="168">
        <v>26264</v>
      </c>
      <c r="N81" s="168">
        <v>26135</v>
      </c>
      <c r="O81" s="168">
        <v>26607</v>
      </c>
      <c r="P81" s="168">
        <v>27699</v>
      </c>
      <c r="Q81" s="168">
        <v>28560</v>
      </c>
      <c r="R81" s="328">
        <v>28865</v>
      </c>
      <c r="S81" s="328">
        <v>31427</v>
      </c>
      <c r="T81" s="328">
        <v>30807</v>
      </c>
      <c r="U81" s="328">
        <v>34180</v>
      </c>
      <c r="V81" s="328">
        <v>34659</v>
      </c>
      <c r="W81" s="328">
        <v>78558</v>
      </c>
      <c r="X81" s="328">
        <v>80120</v>
      </c>
      <c r="Y81" s="328">
        <v>77431</v>
      </c>
      <c r="Z81" s="328">
        <v>80345</v>
      </c>
      <c r="AA81" s="328">
        <v>81072</v>
      </c>
      <c r="AB81" s="328">
        <v>87035</v>
      </c>
      <c r="AC81" s="328">
        <v>85588</v>
      </c>
    </row>
    <row r="82" spans="1:29">
      <c r="A82" s="151" t="s">
        <v>1127</v>
      </c>
      <c r="B82" s="151" t="s">
        <v>1128</v>
      </c>
      <c r="C82" s="151"/>
      <c r="D82" s="180">
        <v>610542</v>
      </c>
      <c r="E82" s="180">
        <v>615947</v>
      </c>
      <c r="F82" s="180">
        <v>619226</v>
      </c>
      <c r="G82" s="168">
        <v>948552</v>
      </c>
      <c r="H82" s="168">
        <v>951077</v>
      </c>
      <c r="I82" s="168">
        <v>953697</v>
      </c>
      <c r="J82" s="168">
        <v>337390</v>
      </c>
      <c r="K82" s="168">
        <v>343408</v>
      </c>
      <c r="L82" s="168">
        <v>348983</v>
      </c>
      <c r="M82" s="168">
        <v>351867</v>
      </c>
      <c r="N82" s="168">
        <v>0</v>
      </c>
      <c r="Q82" s="168">
        <v>0</v>
      </c>
    </row>
    <row r="83" spans="1:29">
      <c r="A83" s="151" t="s">
        <v>1130</v>
      </c>
      <c r="B83" s="151" t="s">
        <v>1131</v>
      </c>
      <c r="C83" s="151"/>
      <c r="D83" s="180">
        <v>15111</v>
      </c>
      <c r="E83" s="180">
        <v>16368</v>
      </c>
      <c r="F83" s="180">
        <v>15140</v>
      </c>
      <c r="G83" s="168">
        <v>14558</v>
      </c>
      <c r="H83" s="168">
        <v>13344</v>
      </c>
      <c r="I83" s="168">
        <v>12168</v>
      </c>
      <c r="J83" s="168">
        <v>15649</v>
      </c>
      <c r="K83" s="168">
        <v>15942</v>
      </c>
      <c r="L83" s="168">
        <v>15310</v>
      </c>
      <c r="M83" s="168">
        <v>14663</v>
      </c>
      <c r="N83" s="168">
        <v>14060</v>
      </c>
      <c r="O83" s="168">
        <v>13559</v>
      </c>
      <c r="P83" s="168">
        <v>12820</v>
      </c>
      <c r="Q83" s="168">
        <v>12069</v>
      </c>
      <c r="R83" s="328">
        <v>11318</v>
      </c>
      <c r="S83" s="328">
        <v>16487</v>
      </c>
      <c r="T83" s="328">
        <v>15352</v>
      </c>
      <c r="U83" s="328">
        <v>14249</v>
      </c>
      <c r="V83" s="328">
        <v>13238</v>
      </c>
      <c r="W83" s="328">
        <v>12302</v>
      </c>
      <c r="X83" s="328">
        <v>11677</v>
      </c>
      <c r="Y83" s="328">
        <v>10587</v>
      </c>
      <c r="Z83" s="328">
        <v>9410</v>
      </c>
      <c r="AA83" s="328">
        <v>8845</v>
      </c>
      <c r="AB83" s="328">
        <v>7164</v>
      </c>
      <c r="AC83" s="328">
        <v>3358</v>
      </c>
    </row>
    <row r="84" spans="1:29" ht="15" thickBot="1">
      <c r="A84" s="329" t="s">
        <v>1117</v>
      </c>
      <c r="B84" s="329" t="s">
        <v>1118</v>
      </c>
      <c r="C84" s="151"/>
      <c r="D84" s="180">
        <v>258811</v>
      </c>
      <c r="E84" s="180">
        <v>257885</v>
      </c>
      <c r="F84" s="180">
        <v>267016</v>
      </c>
      <c r="G84" s="168">
        <v>266358</v>
      </c>
      <c r="H84" s="168">
        <v>277007</v>
      </c>
      <c r="I84" s="168">
        <v>298638</v>
      </c>
      <c r="J84" s="168">
        <v>25939</v>
      </c>
      <c r="K84" s="168">
        <v>12712</v>
      </c>
      <c r="L84" s="168">
        <v>9891</v>
      </c>
      <c r="M84" s="168">
        <v>17100</v>
      </c>
      <c r="N84" s="168">
        <v>17051</v>
      </c>
      <c r="O84" s="168">
        <v>17333</v>
      </c>
      <c r="P84" s="168">
        <v>17338</v>
      </c>
      <c r="Q84" s="168">
        <v>17723</v>
      </c>
      <c r="R84" s="328">
        <v>18293</v>
      </c>
      <c r="S84" s="328">
        <v>17116</v>
      </c>
      <c r="T84" s="328">
        <v>24882</v>
      </c>
      <c r="U84" s="328">
        <v>32960</v>
      </c>
      <c r="V84" s="328">
        <v>42766</v>
      </c>
      <c r="W84" s="328">
        <v>52109</v>
      </c>
      <c r="X84" s="328">
        <v>60686</v>
      </c>
      <c r="Y84" s="328">
        <v>71461</v>
      </c>
      <c r="Z84" s="328">
        <v>81796</v>
      </c>
      <c r="AA84" s="328">
        <v>91218</v>
      </c>
      <c r="AB84" s="328">
        <v>103254</v>
      </c>
      <c r="AC84" s="328">
        <v>117346</v>
      </c>
    </row>
    <row r="85" spans="1:29" ht="15" thickBot="1">
      <c r="A85" s="164" t="s">
        <v>1134</v>
      </c>
      <c r="B85" s="164" t="s">
        <v>1013</v>
      </c>
      <c r="C85" s="326"/>
      <c r="D85" s="186"/>
      <c r="E85" s="186"/>
      <c r="F85" s="186"/>
      <c r="G85" s="186"/>
      <c r="H85" s="186"/>
      <c r="I85" s="186"/>
      <c r="J85" s="186"/>
      <c r="K85" s="186"/>
      <c r="L85" s="186"/>
      <c r="M85" s="186"/>
      <c r="N85" s="186"/>
      <c r="O85" s="186"/>
      <c r="P85" s="186"/>
      <c r="Q85" s="186"/>
      <c r="R85" s="330"/>
      <c r="S85" s="330"/>
      <c r="T85" s="330"/>
      <c r="U85" s="330"/>
      <c r="V85" s="330"/>
      <c r="W85" s="330"/>
      <c r="X85" s="330"/>
      <c r="Y85" s="330"/>
      <c r="Z85" s="330"/>
      <c r="AA85" s="330"/>
      <c r="AB85" s="330"/>
      <c r="AC85" s="330"/>
    </row>
    <row r="86" spans="1:29" ht="15" thickBot="1">
      <c r="A86" s="155" t="s">
        <v>1135</v>
      </c>
      <c r="B86" s="155" t="s">
        <v>1136</v>
      </c>
      <c r="C86" s="326"/>
      <c r="D86" s="156">
        <f t="shared" ref="D86:Q86" si="31">SUM(D87:D92)</f>
        <v>3418102</v>
      </c>
      <c r="E86" s="156">
        <f t="shared" si="31"/>
        <v>3356068</v>
      </c>
      <c r="F86" s="156">
        <f t="shared" si="31"/>
        <v>3632526</v>
      </c>
      <c r="G86" s="156">
        <f t="shared" si="31"/>
        <v>3373178</v>
      </c>
      <c r="H86" s="156">
        <f t="shared" si="31"/>
        <v>3482097</v>
      </c>
      <c r="I86" s="156">
        <f t="shared" si="31"/>
        <v>3562879</v>
      </c>
      <c r="J86" s="156">
        <f t="shared" si="31"/>
        <v>3607195</v>
      </c>
      <c r="K86" s="156">
        <f t="shared" si="31"/>
        <v>3359915</v>
      </c>
      <c r="L86" s="156">
        <f t="shared" si="31"/>
        <v>3676942</v>
      </c>
      <c r="M86" s="156">
        <f t="shared" si="31"/>
        <v>3980039</v>
      </c>
      <c r="N86" s="156">
        <f t="shared" si="31"/>
        <v>4349989</v>
      </c>
      <c r="O86" s="156">
        <f t="shared" si="31"/>
        <v>2890074</v>
      </c>
      <c r="P86" s="156">
        <f t="shared" si="31"/>
        <v>3298295</v>
      </c>
      <c r="Q86" s="156">
        <f t="shared" si="31"/>
        <v>3812660</v>
      </c>
      <c r="R86" s="156">
        <f t="shared" ref="R86:Y86" si="32">SUM(R87:R94)</f>
        <v>4452729</v>
      </c>
      <c r="S86" s="156">
        <f t="shared" si="32"/>
        <v>4646847</v>
      </c>
      <c r="T86" s="156">
        <f t="shared" si="32"/>
        <v>5075135</v>
      </c>
      <c r="U86" s="156">
        <f t="shared" si="32"/>
        <v>4299202</v>
      </c>
      <c r="V86" s="156">
        <f t="shared" si="32"/>
        <v>4861471</v>
      </c>
      <c r="W86" s="156">
        <f t="shared" si="32"/>
        <v>4988501</v>
      </c>
      <c r="X86" s="156">
        <f t="shared" si="32"/>
        <v>5385613</v>
      </c>
      <c r="Y86" s="156">
        <f t="shared" si="32"/>
        <v>4674066</v>
      </c>
      <c r="Z86" s="156">
        <f t="shared" ref="Z86" si="33">SUM(Z87:Z94)</f>
        <v>5073528</v>
      </c>
      <c r="AA86" s="156">
        <f t="shared" ref="AA86:AB86" si="34">SUM(AA87:AA94)</f>
        <v>5179045</v>
      </c>
      <c r="AB86" s="156">
        <f t="shared" si="34"/>
        <v>5563580</v>
      </c>
      <c r="AC86" s="156">
        <f>SUM(AC87:AC94)</f>
        <v>5251784</v>
      </c>
    </row>
    <row r="87" spans="1:29">
      <c r="A87" s="151" t="s">
        <v>1177</v>
      </c>
      <c r="B87" s="151" t="s">
        <v>1138</v>
      </c>
      <c r="C87" s="151"/>
      <c r="D87" s="168">
        <v>1624459</v>
      </c>
      <c r="E87" s="168">
        <v>1624459</v>
      </c>
      <c r="F87" s="168">
        <v>1624459</v>
      </c>
      <c r="G87" s="168">
        <v>1624459</v>
      </c>
      <c r="H87" s="168">
        <v>1624459</v>
      </c>
      <c r="I87" s="168">
        <v>1624459</v>
      </c>
      <c r="J87" s="168">
        <v>1624459</v>
      </c>
      <c r="K87" s="168">
        <v>1624459</v>
      </c>
      <c r="L87" s="168">
        <v>1624459</v>
      </c>
      <c r="M87" s="168">
        <v>1624459</v>
      </c>
      <c r="N87" s="168">
        <v>1624459</v>
      </c>
      <c r="O87" s="168">
        <v>1624459</v>
      </c>
      <c r="P87" s="168">
        <v>1624459</v>
      </c>
      <c r="Q87" s="168">
        <v>1624459</v>
      </c>
      <c r="R87" s="328">
        <v>1624459</v>
      </c>
      <c r="S87" s="328">
        <v>1624459</v>
      </c>
      <c r="T87" s="328">
        <v>1624459</v>
      </c>
      <c r="U87" s="328">
        <v>1624459</v>
      </c>
      <c r="V87" s="328">
        <v>1624459</v>
      </c>
      <c r="W87" s="328">
        <v>1624459</v>
      </c>
      <c r="X87" s="328">
        <v>1624459</v>
      </c>
      <c r="Y87" s="328">
        <v>1624459</v>
      </c>
      <c r="Z87" s="328">
        <v>1633607</v>
      </c>
      <c r="AA87" s="328">
        <v>1633607</v>
      </c>
      <c r="AB87" s="328">
        <v>1633752</v>
      </c>
      <c r="AC87" s="328">
        <v>1633752</v>
      </c>
    </row>
    <row r="88" spans="1:29">
      <c r="A88" s="151" t="s">
        <v>1178</v>
      </c>
      <c r="B88" s="151" t="s">
        <v>1179</v>
      </c>
      <c r="C88" s="151"/>
      <c r="D88" s="168">
        <v>90392</v>
      </c>
      <c r="E88" s="168">
        <v>86452</v>
      </c>
      <c r="F88" s="168">
        <v>85158</v>
      </c>
      <c r="G88" s="168">
        <v>96294</v>
      </c>
      <c r="H88" s="168">
        <v>81269</v>
      </c>
      <c r="I88" s="168">
        <v>74589</v>
      </c>
      <c r="J88" s="168">
        <v>91158</v>
      </c>
      <c r="K88" s="168">
        <v>67939</v>
      </c>
      <c r="L88" s="168">
        <v>65267</v>
      </c>
      <c r="M88" s="168">
        <v>63485</v>
      </c>
      <c r="N88" s="168">
        <v>26866</v>
      </c>
      <c r="O88" s="168">
        <v>60828</v>
      </c>
      <c r="P88" s="168">
        <v>59202</v>
      </c>
      <c r="Q88" s="168">
        <v>51328</v>
      </c>
      <c r="R88" s="328">
        <v>48494</v>
      </c>
      <c r="S88" s="328">
        <v>35681</v>
      </c>
      <c r="T88" s="328">
        <v>34172</v>
      </c>
      <c r="U88" s="328">
        <v>31170</v>
      </c>
      <c r="V88" s="328">
        <v>28922</v>
      </c>
      <c r="W88" s="328">
        <v>26676</v>
      </c>
      <c r="X88" s="328">
        <v>24523</v>
      </c>
      <c r="Y88" s="328">
        <v>22374</v>
      </c>
      <c r="Z88" s="328">
        <v>20228</v>
      </c>
      <c r="AA88" s="328">
        <v>18088</v>
      </c>
      <c r="AB88" s="328">
        <v>16165</v>
      </c>
      <c r="AC88" s="328">
        <v>14328</v>
      </c>
    </row>
    <row r="89" spans="1:29">
      <c r="A89" s="151" t="s">
        <v>1180</v>
      </c>
      <c r="B89" s="151" t="s">
        <v>1140</v>
      </c>
      <c r="C89" s="151"/>
      <c r="D89" s="168"/>
      <c r="E89" s="168"/>
      <c r="F89" s="168"/>
      <c r="K89" s="168">
        <v>21959</v>
      </c>
      <c r="L89" s="168">
        <v>23461</v>
      </c>
      <c r="M89" s="168">
        <v>25219</v>
      </c>
      <c r="N89" s="168">
        <v>61708</v>
      </c>
      <c r="O89" s="168">
        <v>28343</v>
      </c>
      <c r="P89" s="168">
        <v>28343</v>
      </c>
      <c r="Q89" s="168">
        <v>30899</v>
      </c>
      <c r="R89" s="328">
        <v>32642</v>
      </c>
      <c r="S89" s="328">
        <v>33995</v>
      </c>
      <c r="T89" s="328">
        <v>34985</v>
      </c>
      <c r="U89" s="328">
        <v>32220</v>
      </c>
      <c r="V89" s="328">
        <v>33353</v>
      </c>
      <c r="W89" s="328">
        <v>34092</v>
      </c>
      <c r="X89" s="328">
        <v>34679</v>
      </c>
      <c r="Y89" s="328">
        <v>35673</v>
      </c>
      <c r="Z89" s="328">
        <v>36659</v>
      </c>
      <c r="AA89" s="328">
        <v>37215</v>
      </c>
      <c r="AB89" s="328">
        <v>37659</v>
      </c>
      <c r="AC89" s="328">
        <v>39021</v>
      </c>
    </row>
    <row r="90" spans="1:29">
      <c r="A90" s="151" t="s">
        <v>1181</v>
      </c>
      <c r="B90" s="151" t="s">
        <v>1142</v>
      </c>
      <c r="C90" s="151"/>
      <c r="D90" s="168">
        <v>1584865</v>
      </c>
      <c r="E90" s="168">
        <v>1430134</v>
      </c>
      <c r="F90" s="168">
        <v>1430134</v>
      </c>
      <c r="G90" s="168">
        <v>1640695</v>
      </c>
      <c r="H90" s="168">
        <v>1658055</v>
      </c>
      <c r="I90" s="168">
        <v>1516965</v>
      </c>
      <c r="J90" s="168">
        <v>1437072</v>
      </c>
      <c r="K90" s="168">
        <v>1649606</v>
      </c>
      <c r="L90" s="168">
        <v>1649606</v>
      </c>
      <c r="M90" s="168">
        <v>1565853</v>
      </c>
      <c r="N90" s="168">
        <v>1565853</v>
      </c>
      <c r="O90" s="168">
        <v>1189057</v>
      </c>
      <c r="P90" s="168">
        <v>1189058</v>
      </c>
      <c r="Q90" s="168">
        <v>1189058</v>
      </c>
      <c r="R90" s="328">
        <v>1139434</v>
      </c>
      <c r="S90" s="328">
        <v>2971701</v>
      </c>
      <c r="T90" s="328">
        <v>2971701</v>
      </c>
      <c r="U90" s="328">
        <v>1711495</v>
      </c>
      <c r="V90" s="328">
        <v>1711496</v>
      </c>
      <c r="W90" s="328">
        <v>3335040</v>
      </c>
      <c r="X90" s="328">
        <v>3335039</v>
      </c>
      <c r="Y90" s="328">
        <v>2241457</v>
      </c>
      <c r="Z90" s="328">
        <v>2232309</v>
      </c>
      <c r="AA90" s="328">
        <v>3496299</v>
      </c>
      <c r="AB90" s="328">
        <v>3496154</v>
      </c>
      <c r="AC90" s="328">
        <v>2796154</v>
      </c>
    </row>
    <row r="91" spans="1:29">
      <c r="A91" s="151" t="s">
        <v>1143</v>
      </c>
      <c r="B91" s="151" t="s">
        <v>1144</v>
      </c>
      <c r="C91" s="151"/>
      <c r="D91" s="168">
        <v>5271</v>
      </c>
      <c r="E91" s="168">
        <v>-1216</v>
      </c>
      <c r="F91" s="168">
        <v>-5474</v>
      </c>
      <c r="G91" s="168">
        <v>-1286</v>
      </c>
      <c r="H91" s="168">
        <v>-18723</v>
      </c>
      <c r="I91" s="168">
        <v>6444</v>
      </c>
      <c r="J91" s="168">
        <v>3525</v>
      </c>
      <c r="K91" s="168">
        <v>-4048</v>
      </c>
      <c r="L91" s="168">
        <v>-3327</v>
      </c>
      <c r="M91" s="168">
        <v>-3487</v>
      </c>
      <c r="N91" s="168">
        <v>-3299</v>
      </c>
      <c r="O91" s="168">
        <v>-12613</v>
      </c>
      <c r="P91" s="168">
        <v>-25204</v>
      </c>
      <c r="Q91" s="168">
        <v>-36812</v>
      </c>
      <c r="R91" s="328">
        <v>-26517</v>
      </c>
      <c r="S91" s="328">
        <v>-18989</v>
      </c>
      <c r="T91" s="328">
        <v>-21727</v>
      </c>
      <c r="U91" s="328">
        <v>-18544</v>
      </c>
      <c r="V91" s="328">
        <v>-13865</v>
      </c>
      <c r="W91" s="328">
        <v>-31766</v>
      </c>
      <c r="X91" s="328">
        <v>-28384</v>
      </c>
      <c r="Y91" s="328">
        <v>-8023</v>
      </c>
      <c r="Z91" s="328">
        <v>1768</v>
      </c>
      <c r="AA91" s="328">
        <v>-6164</v>
      </c>
      <c r="AB91" s="328">
        <v>-6488</v>
      </c>
      <c r="AC91" s="328">
        <v>-6044</v>
      </c>
    </row>
    <row r="92" spans="1:29">
      <c r="A92" s="151" t="s">
        <v>1145</v>
      </c>
      <c r="B92" s="151" t="s">
        <v>1146</v>
      </c>
      <c r="C92" s="151"/>
      <c r="D92" s="168">
        <v>113115</v>
      </c>
      <c r="E92" s="168">
        <v>216239</v>
      </c>
      <c r="F92" s="168">
        <v>498249</v>
      </c>
      <c r="G92" s="168">
        <v>13016</v>
      </c>
      <c r="H92" s="168">
        <v>137037</v>
      </c>
      <c r="I92" s="168">
        <v>340422</v>
      </c>
      <c r="J92" s="168">
        <v>450981</v>
      </c>
      <c r="L92" s="168">
        <v>317476</v>
      </c>
      <c r="M92" s="168">
        <v>704510</v>
      </c>
      <c r="N92" s="168">
        <v>1074402</v>
      </c>
      <c r="P92" s="168">
        <v>422437</v>
      </c>
      <c r="Q92" s="168">
        <v>953728</v>
      </c>
      <c r="R92" s="328">
        <v>0</v>
      </c>
      <c r="S92" s="328">
        <v>0</v>
      </c>
    </row>
    <row r="93" spans="1:29">
      <c r="A93" s="151" t="s">
        <v>1182</v>
      </c>
      <c r="B93" s="151" t="s">
        <v>1183</v>
      </c>
      <c r="C93" s="151"/>
      <c r="D93" s="168"/>
      <c r="E93" s="168"/>
      <c r="F93" s="168"/>
      <c r="T93" s="328">
        <v>1509</v>
      </c>
      <c r="U93" s="328">
        <v>4511</v>
      </c>
      <c r="V93" s="328">
        <v>6759</v>
      </c>
      <c r="W93" s="328">
        <v>9005</v>
      </c>
      <c r="X93" s="328">
        <v>2153</v>
      </c>
      <c r="Y93" s="328">
        <v>4302</v>
      </c>
      <c r="Z93" s="328">
        <v>6448</v>
      </c>
      <c r="AA93" s="328">
        <v>8588</v>
      </c>
      <c r="AB93" s="328">
        <v>1923</v>
      </c>
      <c r="AC93" s="328">
        <v>3760</v>
      </c>
    </row>
    <row r="94" spans="1:29" ht="15" thickBot="1">
      <c r="A94" s="151" t="s">
        <v>903</v>
      </c>
      <c r="B94" s="151" t="s">
        <v>777</v>
      </c>
      <c r="C94" s="151"/>
      <c r="D94" s="168"/>
      <c r="E94" s="168"/>
      <c r="F94" s="168"/>
      <c r="R94" s="328">
        <v>1634217</v>
      </c>
      <c r="S94" s="328">
        <v>0</v>
      </c>
      <c r="T94" s="328">
        <v>430036</v>
      </c>
      <c r="U94" s="328">
        <v>913891</v>
      </c>
      <c r="V94" s="328">
        <v>1470347</v>
      </c>
      <c r="W94" s="328">
        <v>-9005</v>
      </c>
      <c r="X94" s="328">
        <v>393144</v>
      </c>
      <c r="Y94" s="328">
        <v>753824</v>
      </c>
      <c r="Z94" s="328">
        <v>1142509</v>
      </c>
      <c r="AA94" s="328">
        <v>-8588</v>
      </c>
      <c r="AB94" s="328">
        <v>384415</v>
      </c>
      <c r="AC94" s="328">
        <v>770813</v>
      </c>
    </row>
    <row r="95" spans="1:29" ht="15" thickBot="1">
      <c r="A95" s="155" t="s">
        <v>1147</v>
      </c>
      <c r="B95" s="155" t="s">
        <v>1148</v>
      </c>
      <c r="C95" s="326"/>
      <c r="D95" s="156">
        <v>11232109</v>
      </c>
      <c r="E95" s="156">
        <f t="shared" ref="E95:Q95" si="35">E48+E69+E86</f>
        <v>11483844</v>
      </c>
      <c r="F95" s="156">
        <f t="shared" si="35"/>
        <v>12490938</v>
      </c>
      <c r="G95" s="156">
        <f t="shared" si="35"/>
        <v>12241267</v>
      </c>
      <c r="H95" s="156">
        <f t="shared" si="35"/>
        <v>12609463</v>
      </c>
      <c r="I95" s="156">
        <f t="shared" si="35"/>
        <v>12474937</v>
      </c>
      <c r="J95" s="156">
        <f t="shared" si="35"/>
        <v>12794341</v>
      </c>
      <c r="K95" s="156">
        <f t="shared" si="35"/>
        <v>12130744</v>
      </c>
      <c r="L95" s="156">
        <f t="shared" si="35"/>
        <v>12061633</v>
      </c>
      <c r="M95" s="156">
        <f t="shared" si="35"/>
        <v>12779850</v>
      </c>
      <c r="N95" s="156">
        <f t="shared" si="35"/>
        <v>12708405</v>
      </c>
      <c r="O95" s="156">
        <f t="shared" si="35"/>
        <v>12790539</v>
      </c>
      <c r="P95" s="156">
        <f t="shared" si="35"/>
        <v>12901047</v>
      </c>
      <c r="Q95" s="156">
        <f t="shared" si="35"/>
        <v>13161268</v>
      </c>
      <c r="R95" s="156">
        <f t="shared" ref="R95:W95" si="36">R48+R69+R86</f>
        <v>14339991</v>
      </c>
      <c r="S95" s="156">
        <f t="shared" si="36"/>
        <v>14273319</v>
      </c>
      <c r="T95" s="156">
        <f t="shared" si="36"/>
        <v>14615635</v>
      </c>
      <c r="U95" s="156">
        <f t="shared" si="36"/>
        <v>15323138</v>
      </c>
      <c r="V95" s="156">
        <f t="shared" si="36"/>
        <v>17116938</v>
      </c>
      <c r="W95" s="156">
        <f t="shared" si="36"/>
        <v>17824899</v>
      </c>
      <c r="X95" s="156">
        <f t="shared" ref="X95:AC95" si="37">X48+X69+X86</f>
        <v>17298861</v>
      </c>
      <c r="Y95" s="156">
        <f t="shared" si="37"/>
        <v>17935501</v>
      </c>
      <c r="Z95" s="156">
        <f t="shared" si="37"/>
        <v>22144919</v>
      </c>
      <c r="AA95" s="156">
        <f t="shared" si="37"/>
        <v>18809559</v>
      </c>
      <c r="AB95" s="156">
        <f t="shared" si="37"/>
        <v>19828505</v>
      </c>
      <c r="AC95" s="156">
        <f t="shared" si="37"/>
        <v>19993964</v>
      </c>
    </row>
    <row r="96" spans="1:29">
      <c r="D96" s="168">
        <f t="shared" ref="D96:Q96" si="38">D95-D45</f>
        <v>0</v>
      </c>
      <c r="E96" s="168">
        <f t="shared" si="38"/>
        <v>0</v>
      </c>
      <c r="F96" s="168">
        <f t="shared" si="38"/>
        <v>0</v>
      </c>
      <c r="G96" s="168">
        <f t="shared" si="38"/>
        <v>0</v>
      </c>
      <c r="H96" s="168">
        <f t="shared" si="38"/>
        <v>0</v>
      </c>
      <c r="I96" s="168">
        <f t="shared" si="38"/>
        <v>0</v>
      </c>
      <c r="J96" s="168">
        <f t="shared" si="38"/>
        <v>0</v>
      </c>
      <c r="K96" s="168">
        <f t="shared" si="38"/>
        <v>10000</v>
      </c>
      <c r="L96" s="168">
        <f t="shared" si="38"/>
        <v>1</v>
      </c>
      <c r="M96" s="168">
        <f t="shared" si="38"/>
        <v>0</v>
      </c>
      <c r="N96" s="168">
        <f t="shared" si="38"/>
        <v>0</v>
      </c>
      <c r="O96" s="168">
        <f t="shared" si="38"/>
        <v>0</v>
      </c>
      <c r="P96" s="168">
        <f t="shared" si="38"/>
        <v>0</v>
      </c>
      <c r="Q96" s="168">
        <f t="shared" si="38"/>
        <v>0</v>
      </c>
      <c r="R96" s="328">
        <f t="shared" ref="R96:W96" si="39">R95-R45</f>
        <v>0</v>
      </c>
      <c r="S96" s="328">
        <f t="shared" si="39"/>
        <v>0</v>
      </c>
      <c r="T96" s="328">
        <f t="shared" si="39"/>
        <v>0</v>
      </c>
      <c r="U96" s="328">
        <f t="shared" si="39"/>
        <v>0</v>
      </c>
      <c r="V96" s="328">
        <f t="shared" si="39"/>
        <v>0</v>
      </c>
      <c r="W96" s="328">
        <f t="shared" si="39"/>
        <v>0</v>
      </c>
      <c r="X96" s="328">
        <f t="shared" ref="X96:AC96" si="40">X95-X45</f>
        <v>0</v>
      </c>
      <c r="Y96" s="328">
        <f t="shared" si="40"/>
        <v>0</v>
      </c>
      <c r="Z96" s="328">
        <f t="shared" si="40"/>
        <v>0</v>
      </c>
      <c r="AA96" s="328">
        <f t="shared" si="40"/>
        <v>0</v>
      </c>
      <c r="AB96" s="328">
        <f t="shared" si="40"/>
        <v>0</v>
      </c>
      <c r="AC96" s="328">
        <f t="shared" si="40"/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O47:S47" unlockedFormula="1"/>
  </ignoredErrors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theme="9" tint="0.79998168889431442"/>
  </sheetPr>
  <dimension ref="A6:AC90"/>
  <sheetViews>
    <sheetView showGridLines="0" zoomScaleNormal="100" workbookViewId="0">
      <pane xSplit="2" topLeftCell="S1" activePane="topRight" state="frozen"/>
      <selection activeCell="BB24" sqref="BB24"/>
      <selection pane="topRight" activeCell="AC90" sqref="AC90"/>
    </sheetView>
  </sheetViews>
  <sheetFormatPr defaultColWidth="9.21875" defaultRowHeight="14.4" outlineLevelCol="1"/>
  <cols>
    <col min="1" max="1" width="47.5546875" style="35" bestFit="1" customWidth="1"/>
    <col min="2" max="2" width="47.5546875" style="35" customWidth="1"/>
    <col min="3" max="3" width="0.44140625" customWidth="1"/>
    <col min="4" max="6" width="9.5546875" style="35" hidden="1" customWidth="1" outlineLevel="1"/>
    <col min="7" max="11" width="9.21875" style="167" hidden="1" customWidth="1" outlineLevel="1"/>
    <col min="12" max="12" width="9.21875" style="167" customWidth="1" collapsed="1"/>
    <col min="13" max="29" width="9.21875" style="167"/>
    <col min="30" max="16384" width="9.21875" style="35"/>
  </cols>
  <sheetData>
    <row r="6" spans="1:29">
      <c r="A6" s="38" t="s">
        <v>113</v>
      </c>
      <c r="B6" s="38" t="s">
        <v>113</v>
      </c>
      <c r="C6" s="144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</row>
    <row r="7" spans="1:29" ht="15" thickBot="1">
      <c r="A7" s="6" t="s">
        <v>1049</v>
      </c>
      <c r="B7" s="6" t="s">
        <v>1050</v>
      </c>
      <c r="C7" s="146"/>
      <c r="D7" s="434" t="s">
        <v>67</v>
      </c>
      <c r="E7" s="434" t="s">
        <v>68</v>
      </c>
      <c r="F7" s="434" t="s">
        <v>69</v>
      </c>
      <c r="G7" s="434" t="s">
        <v>70</v>
      </c>
      <c r="H7" s="434" t="s">
        <v>71</v>
      </c>
      <c r="I7" s="434" t="s">
        <v>72</v>
      </c>
      <c r="J7" s="434" t="s">
        <v>73</v>
      </c>
      <c r="K7" s="434" t="s">
        <v>74</v>
      </c>
      <c r="L7" s="434" t="s">
        <v>75</v>
      </c>
      <c r="M7" s="434" t="s">
        <v>76</v>
      </c>
      <c r="N7" s="434" t="s">
        <v>77</v>
      </c>
      <c r="O7" s="434" t="s">
        <v>78</v>
      </c>
      <c r="P7" s="434" t="s">
        <v>79</v>
      </c>
      <c r="Q7" s="434" t="s">
        <v>80</v>
      </c>
      <c r="R7" s="434" t="s">
        <v>81</v>
      </c>
      <c r="S7" s="434" t="s">
        <v>82</v>
      </c>
      <c r="T7" s="434" t="s">
        <v>83</v>
      </c>
      <c r="U7" s="434" t="s">
        <v>84</v>
      </c>
      <c r="V7" s="434" t="s">
        <v>85</v>
      </c>
      <c r="W7" s="434" t="s">
        <v>86</v>
      </c>
      <c r="X7" s="434" t="s">
        <v>87</v>
      </c>
      <c r="Y7" s="434" t="s">
        <v>88</v>
      </c>
      <c r="Z7" s="434" t="s">
        <v>2074</v>
      </c>
      <c r="AA7" s="434" t="s">
        <v>2127</v>
      </c>
      <c r="AB7" s="434" t="s">
        <v>2360</v>
      </c>
      <c r="AC7" s="434" t="s">
        <v>2494</v>
      </c>
    </row>
    <row r="8" spans="1:29" ht="15" thickBot="1">
      <c r="A8" s="147" t="s">
        <v>1051</v>
      </c>
      <c r="B8" s="147" t="s">
        <v>1052</v>
      </c>
      <c r="C8" s="148"/>
      <c r="D8" s="149">
        <f t="shared" ref="D8:K8" si="0">SUM(D9:D23)</f>
        <v>1390911</v>
      </c>
      <c r="E8" s="149">
        <f t="shared" si="0"/>
        <v>1388036</v>
      </c>
      <c r="F8" s="149">
        <f t="shared" si="0"/>
        <v>1543219</v>
      </c>
      <c r="G8" s="149">
        <f t="shared" si="0"/>
        <v>2334535</v>
      </c>
      <c r="H8" s="149">
        <f t="shared" si="0"/>
        <v>2206500</v>
      </c>
      <c r="I8" s="149">
        <f t="shared" si="0"/>
        <v>2598976</v>
      </c>
      <c r="J8" s="149">
        <f t="shared" si="0"/>
        <v>2972687</v>
      </c>
      <c r="K8" s="149">
        <f t="shared" si="0"/>
        <v>2967430</v>
      </c>
      <c r="L8" s="149">
        <f t="shared" ref="L8:Q8" si="1">SUM(L9:L23)</f>
        <v>2909996</v>
      </c>
      <c r="M8" s="149">
        <f t="shared" si="1"/>
        <v>2325495</v>
      </c>
      <c r="N8" s="149">
        <f t="shared" si="1"/>
        <v>2095089</v>
      </c>
      <c r="O8" s="149">
        <f t="shared" si="1"/>
        <v>2243684</v>
      </c>
      <c r="P8" s="149">
        <f t="shared" si="1"/>
        <v>2075002</v>
      </c>
      <c r="Q8" s="149">
        <f t="shared" si="1"/>
        <v>1683706</v>
      </c>
      <c r="R8" s="149">
        <f t="shared" ref="R8:Y8" si="2">SUM(R9:R23)</f>
        <v>1588922</v>
      </c>
      <c r="S8" s="149">
        <f t="shared" si="2"/>
        <v>1939366</v>
      </c>
      <c r="T8" s="149">
        <f t="shared" si="2"/>
        <v>1881987</v>
      </c>
      <c r="U8" s="149">
        <f t="shared" si="2"/>
        <v>2115596</v>
      </c>
      <c r="V8" s="149">
        <f t="shared" si="2"/>
        <v>1952094</v>
      </c>
      <c r="W8" s="149">
        <f t="shared" si="2"/>
        <v>2295016</v>
      </c>
      <c r="X8" s="149">
        <f t="shared" si="2"/>
        <v>2195701</v>
      </c>
      <c r="Y8" s="149">
        <f t="shared" si="2"/>
        <v>1783994</v>
      </c>
      <c r="Z8" s="149">
        <f t="shared" ref="Z8:AB8" si="3">SUM(Z9:Z23)</f>
        <v>2962959</v>
      </c>
      <c r="AA8" s="149">
        <f t="shared" si="3"/>
        <v>2308252</v>
      </c>
      <c r="AB8" s="149">
        <f t="shared" si="3"/>
        <v>2639582</v>
      </c>
      <c r="AC8" s="149">
        <f>SUM(AC9:AC23)</f>
        <v>2339242</v>
      </c>
    </row>
    <row r="9" spans="1:29">
      <c r="A9" s="151" t="s">
        <v>1053</v>
      </c>
      <c r="B9" s="151" t="s">
        <v>1054</v>
      </c>
      <c r="C9" s="152"/>
      <c r="D9" s="167">
        <v>471744</v>
      </c>
      <c r="E9" s="167">
        <v>17639</v>
      </c>
      <c r="F9" s="167">
        <v>477984</v>
      </c>
      <c r="G9" s="167">
        <v>369257</v>
      </c>
      <c r="H9" s="167">
        <v>434634</v>
      </c>
      <c r="I9" s="167">
        <v>978818</v>
      </c>
      <c r="J9" s="167">
        <v>949633</v>
      </c>
      <c r="K9" s="167">
        <v>554979</v>
      </c>
      <c r="L9" s="167">
        <v>437624</v>
      </c>
      <c r="M9" s="167">
        <v>480607</v>
      </c>
      <c r="N9" s="167">
        <v>342730</v>
      </c>
      <c r="O9" s="167">
        <v>423919</v>
      </c>
      <c r="P9" s="167">
        <v>17427</v>
      </c>
      <c r="Q9" s="167">
        <v>106196</v>
      </c>
      <c r="R9" s="167">
        <v>59545</v>
      </c>
      <c r="S9" s="167">
        <v>222680</v>
      </c>
      <c r="T9" s="167">
        <v>166250</v>
      </c>
      <c r="U9" s="167">
        <v>321433</v>
      </c>
      <c r="V9" s="167">
        <v>321996</v>
      </c>
      <c r="W9" s="167">
        <v>219586</v>
      </c>
      <c r="X9" s="167">
        <v>172875</v>
      </c>
      <c r="Y9" s="167">
        <v>29129</v>
      </c>
      <c r="Z9" s="167">
        <v>478139</v>
      </c>
      <c r="AA9" s="167">
        <v>41554</v>
      </c>
      <c r="AB9" s="167">
        <v>553493</v>
      </c>
      <c r="AC9" s="167">
        <v>239643</v>
      </c>
    </row>
    <row r="10" spans="1:29">
      <c r="A10" s="151" t="s">
        <v>1184</v>
      </c>
      <c r="B10" s="151" t="s">
        <v>1056</v>
      </c>
      <c r="C10" s="152"/>
      <c r="D10" s="167">
        <v>130393</v>
      </c>
      <c r="E10" s="167">
        <v>556945</v>
      </c>
      <c r="F10" s="167">
        <v>266907</v>
      </c>
      <c r="G10" s="167">
        <v>890968</v>
      </c>
      <c r="H10" s="167">
        <v>761128</v>
      </c>
      <c r="I10" s="167">
        <v>476065</v>
      </c>
      <c r="J10" s="167">
        <v>628720</v>
      </c>
      <c r="K10" s="167">
        <v>915012</v>
      </c>
      <c r="L10" s="167">
        <v>1111096</v>
      </c>
      <c r="M10" s="167">
        <v>638129</v>
      </c>
      <c r="N10" s="167">
        <v>486043</v>
      </c>
      <c r="O10" s="167">
        <v>477064</v>
      </c>
      <c r="P10" s="167">
        <v>738904</v>
      </c>
      <c r="Q10" s="167">
        <v>287966</v>
      </c>
      <c r="R10" s="167">
        <v>282268</v>
      </c>
      <c r="S10" s="167">
        <v>553572</v>
      </c>
      <c r="T10" s="167">
        <v>604705</v>
      </c>
      <c r="U10" s="167">
        <v>638471</v>
      </c>
      <c r="V10" s="167">
        <v>433783</v>
      </c>
      <c r="W10" s="167">
        <v>835893</v>
      </c>
      <c r="X10" s="167">
        <v>669321</v>
      </c>
      <c r="Y10" s="167">
        <v>534499</v>
      </c>
      <c r="Z10" s="167">
        <v>1203081</v>
      </c>
      <c r="AA10" s="167">
        <v>908154</v>
      </c>
      <c r="AB10" s="167">
        <v>725875</v>
      </c>
      <c r="AC10" s="167">
        <v>456035</v>
      </c>
    </row>
    <row r="11" spans="1:29">
      <c r="A11" s="151" t="s">
        <v>1057</v>
      </c>
      <c r="B11" s="151" t="s">
        <v>1058</v>
      </c>
      <c r="C11" s="152"/>
      <c r="D11" s="167">
        <v>542695</v>
      </c>
      <c r="E11" s="167">
        <v>630876</v>
      </c>
      <c r="F11" s="167">
        <v>651008</v>
      </c>
      <c r="G11" s="167">
        <v>700594</v>
      </c>
      <c r="H11" s="167">
        <v>688176</v>
      </c>
      <c r="I11" s="167">
        <v>704111</v>
      </c>
      <c r="J11" s="167">
        <v>781451</v>
      </c>
      <c r="K11" s="167">
        <v>1312813</v>
      </c>
      <c r="L11" s="167">
        <v>1292523</v>
      </c>
      <c r="M11" s="167">
        <v>1264826</v>
      </c>
      <c r="N11" s="167">
        <v>708285</v>
      </c>
      <c r="O11" s="167">
        <v>719065</v>
      </c>
      <c r="P11" s="167">
        <v>753098</v>
      </c>
      <c r="Q11" s="167">
        <v>806744.00000000012</v>
      </c>
      <c r="R11" s="167">
        <v>832172</v>
      </c>
      <c r="S11" s="167">
        <v>802762</v>
      </c>
      <c r="T11" s="167">
        <v>777897</v>
      </c>
      <c r="U11" s="167">
        <v>773052</v>
      </c>
      <c r="V11" s="167">
        <v>800751</v>
      </c>
      <c r="W11" s="167">
        <v>760023</v>
      </c>
      <c r="X11" s="167">
        <v>964428</v>
      </c>
      <c r="Y11" s="167">
        <v>773110</v>
      </c>
      <c r="Z11" s="167">
        <v>853219</v>
      </c>
      <c r="AA11" s="167">
        <v>819480</v>
      </c>
      <c r="AB11" s="167">
        <v>800107</v>
      </c>
      <c r="AC11" s="167">
        <v>869046</v>
      </c>
    </row>
    <row r="12" spans="1:29">
      <c r="A12" s="151" t="s">
        <v>1059</v>
      </c>
      <c r="B12" s="151" t="s">
        <v>1060</v>
      </c>
      <c r="C12" s="152"/>
      <c r="D12" s="167">
        <v>7011</v>
      </c>
      <c r="E12" s="167">
        <v>9148</v>
      </c>
      <c r="F12" s="167">
        <v>9559</v>
      </c>
      <c r="G12" s="167">
        <v>19610</v>
      </c>
      <c r="H12" s="167">
        <v>8489</v>
      </c>
      <c r="I12" s="167">
        <v>8282</v>
      </c>
      <c r="J12" s="167">
        <v>8147</v>
      </c>
      <c r="K12" s="167">
        <v>9083</v>
      </c>
      <c r="L12" s="167">
        <v>10086</v>
      </c>
      <c r="M12" s="167">
        <v>9229</v>
      </c>
      <c r="Q12" s="167">
        <v>0</v>
      </c>
    </row>
    <row r="13" spans="1:29">
      <c r="A13" s="151" t="s">
        <v>1150</v>
      </c>
      <c r="B13" s="151" t="s">
        <v>1151</v>
      </c>
      <c r="C13" s="152"/>
      <c r="D13" s="167">
        <v>-105164</v>
      </c>
      <c r="E13" s="167">
        <v>-156164</v>
      </c>
      <c r="F13" s="167">
        <v>-165883</v>
      </c>
      <c r="G13" s="167">
        <v>-168085</v>
      </c>
      <c r="H13" s="167">
        <v>-185549</v>
      </c>
      <c r="I13" s="167">
        <v>-193557</v>
      </c>
      <c r="J13" s="167">
        <v>-206945</v>
      </c>
      <c r="K13" s="167">
        <v>-595481</v>
      </c>
      <c r="L13" s="167">
        <v>-607434</v>
      </c>
      <c r="M13" s="167">
        <v>-620406</v>
      </c>
      <c r="Q13" s="167">
        <v>0</v>
      </c>
    </row>
    <row r="14" spans="1:29">
      <c r="A14" s="151" t="s">
        <v>1061</v>
      </c>
      <c r="B14" s="151" t="s">
        <v>1062</v>
      </c>
      <c r="C14" s="152"/>
      <c r="D14" s="167"/>
      <c r="E14" s="167"/>
      <c r="F14" s="167"/>
      <c r="Q14" s="167">
        <v>0</v>
      </c>
    </row>
    <row r="15" spans="1:29">
      <c r="A15" s="151" t="s">
        <v>1063</v>
      </c>
      <c r="B15" s="151" t="s">
        <v>1064</v>
      </c>
      <c r="C15" s="152"/>
      <c r="D15" s="167">
        <v>73458</v>
      </c>
      <c r="E15" s="167">
        <v>77155</v>
      </c>
      <c r="F15" s="167"/>
      <c r="G15" s="167">
        <v>113699</v>
      </c>
      <c r="H15" s="167">
        <v>125932</v>
      </c>
      <c r="I15" s="167">
        <v>132889</v>
      </c>
      <c r="J15" s="167">
        <v>142361</v>
      </c>
      <c r="K15" s="167">
        <v>125246</v>
      </c>
      <c r="L15" s="167">
        <v>126959</v>
      </c>
      <c r="M15" s="167">
        <v>128996</v>
      </c>
      <c r="N15" s="167">
        <v>132401</v>
      </c>
      <c r="O15" s="167">
        <v>129143</v>
      </c>
      <c r="P15" s="167">
        <v>123684</v>
      </c>
      <c r="Q15" s="167">
        <v>121665</v>
      </c>
      <c r="R15" s="167">
        <v>129927</v>
      </c>
      <c r="S15" s="167">
        <v>123422</v>
      </c>
      <c r="T15" s="167">
        <v>120189</v>
      </c>
      <c r="U15" s="167">
        <v>121708</v>
      </c>
      <c r="V15" s="167">
        <v>123520</v>
      </c>
      <c r="W15" s="167">
        <v>128573</v>
      </c>
      <c r="X15" s="167">
        <v>115170</v>
      </c>
      <c r="Y15" s="167">
        <v>114106</v>
      </c>
      <c r="Z15" s="167">
        <v>110743</v>
      </c>
      <c r="AA15" s="167">
        <v>86838</v>
      </c>
      <c r="AB15" s="167">
        <v>72443</v>
      </c>
      <c r="AC15" s="167">
        <v>74962</v>
      </c>
    </row>
    <row r="16" spans="1:29">
      <c r="A16" s="151" t="s">
        <v>1066</v>
      </c>
      <c r="B16" s="151" t="s">
        <v>1067</v>
      </c>
      <c r="C16" s="152"/>
      <c r="D16" s="167"/>
      <c r="E16" s="167"/>
      <c r="F16" s="167">
        <v>86137</v>
      </c>
      <c r="M16" s="167">
        <v>0</v>
      </c>
      <c r="Q16" s="167">
        <v>0</v>
      </c>
    </row>
    <row r="17" spans="1:29">
      <c r="A17" s="151" t="s">
        <v>1068</v>
      </c>
      <c r="B17" s="151" t="s">
        <v>1069</v>
      </c>
      <c r="C17" s="152"/>
      <c r="D17" s="167">
        <v>314</v>
      </c>
      <c r="E17" s="167"/>
      <c r="F17" s="167"/>
      <c r="I17" s="167">
        <v>5</v>
      </c>
      <c r="M17" s="167">
        <v>0</v>
      </c>
      <c r="Q17" s="167">
        <v>0</v>
      </c>
      <c r="R17" s="167">
        <v>189</v>
      </c>
      <c r="S17" s="167">
        <v>189</v>
      </c>
      <c r="T17" s="167">
        <v>189</v>
      </c>
      <c r="U17" s="167">
        <v>202</v>
      </c>
      <c r="V17" s="167">
        <v>189</v>
      </c>
      <c r="W17" s="167">
        <v>189</v>
      </c>
      <c r="X17" s="167">
        <v>189</v>
      </c>
      <c r="Y17" s="167">
        <v>189</v>
      </c>
      <c r="Z17" s="167">
        <v>189</v>
      </c>
      <c r="AA17" s="167">
        <v>189</v>
      </c>
      <c r="AB17" s="167">
        <v>189</v>
      </c>
      <c r="AC17" s="167">
        <v>189</v>
      </c>
    </row>
    <row r="18" spans="1:29">
      <c r="A18" s="151" t="s">
        <v>1152</v>
      </c>
      <c r="B18" s="151" t="s">
        <v>1071</v>
      </c>
      <c r="C18" s="152"/>
      <c r="D18" s="167">
        <v>68550</v>
      </c>
      <c r="E18" s="167">
        <v>22558</v>
      </c>
      <c r="F18" s="167"/>
      <c r="J18" s="167">
        <v>82214</v>
      </c>
      <c r="K18" s="167">
        <v>15149</v>
      </c>
      <c r="M18" s="167">
        <v>8875</v>
      </c>
      <c r="N18" s="167">
        <v>38877</v>
      </c>
      <c r="O18" s="167">
        <v>106561</v>
      </c>
      <c r="P18" s="167">
        <v>78796</v>
      </c>
      <c r="Q18" s="167">
        <v>45570</v>
      </c>
      <c r="R18" s="167">
        <v>0</v>
      </c>
      <c r="AA18" s="167">
        <v>108825</v>
      </c>
      <c r="AB18" s="167">
        <v>121003</v>
      </c>
      <c r="AC18" s="167">
        <v>352198</v>
      </c>
    </row>
    <row r="19" spans="1:29">
      <c r="A19" s="151" t="s">
        <v>1072</v>
      </c>
      <c r="B19" s="151" t="s">
        <v>1073</v>
      </c>
      <c r="C19" s="152"/>
      <c r="D19" s="167">
        <v>734</v>
      </c>
      <c r="E19" s="167">
        <v>698</v>
      </c>
      <c r="F19" s="167">
        <v>386</v>
      </c>
      <c r="G19" s="167">
        <v>152</v>
      </c>
      <c r="H19" s="167">
        <v>557</v>
      </c>
      <c r="I19" s="167">
        <v>84811</v>
      </c>
      <c r="J19" s="167">
        <v>119011</v>
      </c>
      <c r="K19" s="167">
        <v>127924</v>
      </c>
      <c r="L19" s="167">
        <v>61173</v>
      </c>
      <c r="M19" s="167">
        <v>0</v>
      </c>
      <c r="Q19" s="167">
        <v>0</v>
      </c>
      <c r="U19" s="167">
        <v>53572</v>
      </c>
      <c r="V19" s="167">
        <v>28589</v>
      </c>
      <c r="W19" s="167">
        <v>85081</v>
      </c>
      <c r="X19" s="167">
        <v>0</v>
      </c>
      <c r="Y19" s="167">
        <v>0</v>
      </c>
    </row>
    <row r="20" spans="1:29">
      <c r="A20" s="151" t="s">
        <v>1074</v>
      </c>
      <c r="B20" s="151" t="s">
        <v>1075</v>
      </c>
      <c r="C20" s="152"/>
      <c r="D20" s="167">
        <v>5427</v>
      </c>
      <c r="E20" s="167">
        <v>8892</v>
      </c>
      <c r="F20" s="167">
        <v>8668</v>
      </c>
      <c r="G20" s="167">
        <v>12557</v>
      </c>
      <c r="H20" s="167">
        <v>15526</v>
      </c>
      <c r="I20" s="167">
        <v>27123</v>
      </c>
      <c r="J20" s="167">
        <v>35836</v>
      </c>
      <c r="K20" s="167">
        <v>47101</v>
      </c>
      <c r="L20" s="167">
        <v>55008</v>
      </c>
      <c r="M20" s="331">
        <v>40892</v>
      </c>
      <c r="N20" s="331">
        <v>44631</v>
      </c>
      <c r="O20" s="331">
        <v>45665</v>
      </c>
      <c r="P20" s="331">
        <v>40720</v>
      </c>
      <c r="Q20" s="331">
        <v>29444</v>
      </c>
      <c r="R20" s="332">
        <v>30755</v>
      </c>
      <c r="S20" s="332">
        <v>6610</v>
      </c>
      <c r="T20" s="332">
        <v>5355</v>
      </c>
      <c r="U20" s="332">
        <v>6039</v>
      </c>
      <c r="V20" s="332">
        <v>6639</v>
      </c>
      <c r="W20" s="332">
        <v>9169</v>
      </c>
      <c r="X20" s="332">
        <v>11726</v>
      </c>
      <c r="Y20" s="332">
        <v>16001</v>
      </c>
      <c r="Z20" s="332">
        <v>17649</v>
      </c>
      <c r="AA20" s="332">
        <v>18283</v>
      </c>
      <c r="AB20" s="332">
        <v>21522</v>
      </c>
      <c r="AC20" s="332">
        <v>20736</v>
      </c>
    </row>
    <row r="21" spans="1:29">
      <c r="A21" s="151" t="s">
        <v>1076</v>
      </c>
      <c r="B21" s="151" t="s">
        <v>1077</v>
      </c>
      <c r="C21" s="152"/>
      <c r="D21" s="167">
        <v>156294</v>
      </c>
      <c r="E21" s="167">
        <v>174872</v>
      </c>
      <c r="F21" s="167">
        <v>168420</v>
      </c>
      <c r="G21" s="167">
        <v>237849</v>
      </c>
      <c r="H21" s="167">
        <v>196002</v>
      </c>
      <c r="I21" s="167">
        <v>210774</v>
      </c>
      <c r="J21" s="167">
        <v>247888</v>
      </c>
      <c r="K21" s="167">
        <v>222012</v>
      </c>
      <c r="L21" s="167">
        <v>196452</v>
      </c>
      <c r="M21" s="167">
        <v>143538</v>
      </c>
      <c r="N21" s="167">
        <v>103767</v>
      </c>
      <c r="O21" s="167">
        <v>113402</v>
      </c>
      <c r="P21" s="167">
        <v>92229</v>
      </c>
      <c r="Q21" s="167">
        <v>71038</v>
      </c>
      <c r="R21" s="167">
        <v>66172</v>
      </c>
      <c r="S21" s="167">
        <v>64283</v>
      </c>
      <c r="T21" s="167">
        <v>64183</v>
      </c>
      <c r="U21" s="167">
        <v>51547</v>
      </c>
      <c r="V21" s="167">
        <v>63774</v>
      </c>
      <c r="W21" s="167">
        <v>78645</v>
      </c>
      <c r="X21" s="167">
        <v>64422</v>
      </c>
      <c r="Y21" s="167">
        <v>80668</v>
      </c>
      <c r="Z21" s="167">
        <v>62614</v>
      </c>
      <c r="AA21" s="167">
        <v>92672</v>
      </c>
      <c r="AB21" s="167">
        <v>90822</v>
      </c>
      <c r="AC21" s="167">
        <v>96705</v>
      </c>
    </row>
    <row r="22" spans="1:29">
      <c r="A22" s="151" t="s">
        <v>1078</v>
      </c>
      <c r="B22" s="151" t="s">
        <v>1079</v>
      </c>
      <c r="C22" s="152"/>
      <c r="D22" s="167">
        <v>16968</v>
      </c>
      <c r="E22" s="167">
        <v>18524</v>
      </c>
      <c r="F22" s="167">
        <v>19404</v>
      </c>
      <c r="G22" s="167">
        <v>21100</v>
      </c>
      <c r="H22" s="167">
        <v>22747</v>
      </c>
      <c r="I22" s="167">
        <v>23758</v>
      </c>
      <c r="K22" s="167">
        <v>33941</v>
      </c>
      <c r="L22" s="167">
        <v>42632</v>
      </c>
      <c r="M22" s="167">
        <v>47856</v>
      </c>
      <c r="N22" s="167">
        <v>54542</v>
      </c>
      <c r="O22" s="167">
        <v>66332</v>
      </c>
      <c r="P22" s="167">
        <v>77226</v>
      </c>
      <c r="Q22" s="167">
        <v>81104</v>
      </c>
      <c r="R22" s="167">
        <v>70637</v>
      </c>
      <c r="S22" s="167">
        <v>35216</v>
      </c>
      <c r="T22" s="167">
        <v>45374</v>
      </c>
      <c r="U22" s="167">
        <v>54556</v>
      </c>
      <c r="V22" s="167">
        <v>37292</v>
      </c>
      <c r="W22" s="167">
        <v>61270</v>
      </c>
      <c r="X22" s="167">
        <v>98273</v>
      </c>
      <c r="Y22" s="167">
        <v>108307</v>
      </c>
      <c r="Z22" s="167">
        <v>111075</v>
      </c>
      <c r="AA22" s="167">
        <v>61829</v>
      </c>
      <c r="AB22" s="167">
        <v>104407</v>
      </c>
      <c r="AC22" s="167">
        <v>116392</v>
      </c>
    </row>
    <row r="23" spans="1:29" ht="15" thickBot="1">
      <c r="A23" s="154" t="s">
        <v>1080</v>
      </c>
      <c r="B23" s="154" t="s">
        <v>96</v>
      </c>
      <c r="C23" s="152"/>
      <c r="D23" s="167">
        <v>22487</v>
      </c>
      <c r="E23" s="167">
        <v>26893</v>
      </c>
      <c r="F23" s="167">
        <v>20629</v>
      </c>
      <c r="G23" s="167">
        <v>136834</v>
      </c>
      <c r="H23" s="167">
        <v>138858</v>
      </c>
      <c r="I23" s="167">
        <v>145897</v>
      </c>
      <c r="J23" s="167">
        <v>184371</v>
      </c>
      <c r="K23" s="167">
        <v>199651</v>
      </c>
      <c r="L23" s="167">
        <v>183877</v>
      </c>
      <c r="M23" s="167">
        <v>182953</v>
      </c>
      <c r="N23" s="167">
        <v>183813</v>
      </c>
      <c r="O23" s="167">
        <v>162533</v>
      </c>
      <c r="P23" s="167">
        <v>152918</v>
      </c>
      <c r="Q23" s="167">
        <v>133979</v>
      </c>
      <c r="R23" s="167">
        <v>117257</v>
      </c>
      <c r="S23" s="167">
        <v>130632</v>
      </c>
      <c r="T23" s="167">
        <v>97845</v>
      </c>
      <c r="U23" s="167">
        <v>95016</v>
      </c>
      <c r="V23" s="167">
        <v>135561</v>
      </c>
      <c r="W23" s="167">
        <v>116587</v>
      </c>
      <c r="X23" s="167">
        <v>99297</v>
      </c>
      <c r="Y23" s="167">
        <v>127985</v>
      </c>
      <c r="Z23" s="167">
        <v>126250</v>
      </c>
      <c r="AA23" s="167">
        <v>170428</v>
      </c>
      <c r="AB23" s="167">
        <v>149721</v>
      </c>
      <c r="AC23" s="167">
        <v>113336</v>
      </c>
    </row>
    <row r="24" spans="1:29" ht="15" thickBot="1">
      <c r="A24" s="155" t="s">
        <v>1081</v>
      </c>
      <c r="B24" s="155" t="s">
        <v>1082</v>
      </c>
      <c r="C24" s="148"/>
      <c r="D24" s="156">
        <f t="shared" ref="D24:U24" si="4">D25+D39</f>
        <v>2433874</v>
      </c>
      <c r="E24" s="156">
        <f t="shared" si="4"/>
        <v>2495753</v>
      </c>
      <c r="F24" s="156">
        <f t="shared" si="4"/>
        <v>2521260</v>
      </c>
      <c r="G24" s="156">
        <f t="shared" si="4"/>
        <v>2875968</v>
      </c>
      <c r="H24" s="156">
        <f t="shared" si="4"/>
        <v>2718731</v>
      </c>
      <c r="I24" s="156">
        <f t="shared" si="4"/>
        <v>2551387</v>
      </c>
      <c r="J24" s="156">
        <f t="shared" si="4"/>
        <v>3083468</v>
      </c>
      <c r="K24" s="156">
        <f t="shared" si="4"/>
        <v>3288235</v>
      </c>
      <c r="L24" s="156">
        <f t="shared" si="4"/>
        <v>3327099</v>
      </c>
      <c r="M24" s="156">
        <f t="shared" si="4"/>
        <v>3250134</v>
      </c>
      <c r="N24" s="156">
        <f t="shared" si="4"/>
        <v>3360193</v>
      </c>
      <c r="O24" s="156">
        <f t="shared" si="4"/>
        <v>3433991</v>
      </c>
      <c r="P24" s="156">
        <f t="shared" si="4"/>
        <v>3552581</v>
      </c>
      <c r="Q24" s="156">
        <f t="shared" si="4"/>
        <v>3766052</v>
      </c>
      <c r="R24" s="156">
        <f t="shared" si="4"/>
        <v>3923622</v>
      </c>
      <c r="S24" s="156">
        <f t="shared" si="4"/>
        <v>3980397</v>
      </c>
      <c r="T24" s="156">
        <f t="shared" si="4"/>
        <v>4071671</v>
      </c>
      <c r="U24" s="156">
        <f t="shared" si="4"/>
        <v>4200136</v>
      </c>
      <c r="V24" s="156">
        <f t="shared" ref="V24:AB24" si="5">V25+V39</f>
        <v>4329638</v>
      </c>
      <c r="W24" s="156">
        <f t="shared" si="5"/>
        <v>4499931</v>
      </c>
      <c r="X24" s="156">
        <f t="shared" si="5"/>
        <v>4651253</v>
      </c>
      <c r="Y24" s="156">
        <f t="shared" si="5"/>
        <v>4775093</v>
      </c>
      <c r="Z24" s="156">
        <f t="shared" si="5"/>
        <v>5051115</v>
      </c>
      <c r="AA24" s="156">
        <f t="shared" si="5"/>
        <v>5554460</v>
      </c>
      <c r="AB24" s="156">
        <f t="shared" si="5"/>
        <v>5565699</v>
      </c>
      <c r="AC24" s="156">
        <f>AC25+AC39</f>
        <v>5583068</v>
      </c>
    </row>
    <row r="25" spans="1:29" ht="15" thickBot="1">
      <c r="A25" s="155" t="s">
        <v>1158</v>
      </c>
      <c r="B25" s="155" t="s">
        <v>1159</v>
      </c>
      <c r="C25" s="148"/>
      <c r="D25" s="156">
        <f t="shared" ref="D25:K25" si="6">SUM(D27:D38)</f>
        <v>949013</v>
      </c>
      <c r="E25" s="156">
        <f t="shared" si="6"/>
        <v>949690</v>
      </c>
      <c r="F25" s="156">
        <f t="shared" si="6"/>
        <v>978065</v>
      </c>
      <c r="G25" s="156">
        <f t="shared" si="6"/>
        <v>1122294</v>
      </c>
      <c r="H25" s="156">
        <f t="shared" si="6"/>
        <v>916971</v>
      </c>
      <c r="I25" s="156">
        <f t="shared" si="6"/>
        <v>709933</v>
      </c>
      <c r="J25" s="156">
        <f t="shared" si="6"/>
        <v>1091507</v>
      </c>
      <c r="K25" s="156">
        <f t="shared" si="6"/>
        <v>1193394</v>
      </c>
      <c r="L25" s="156">
        <f t="shared" ref="L25:U25" si="7">SUM(L26:L38)</f>
        <v>1176077</v>
      </c>
      <c r="M25" s="156">
        <f t="shared" si="7"/>
        <v>987798</v>
      </c>
      <c r="N25" s="156">
        <f t="shared" si="7"/>
        <v>908756</v>
      </c>
      <c r="O25" s="156">
        <f t="shared" si="7"/>
        <v>869039</v>
      </c>
      <c r="P25" s="156">
        <f t="shared" si="7"/>
        <v>842505</v>
      </c>
      <c r="Q25" s="156">
        <f t="shared" si="7"/>
        <v>900351</v>
      </c>
      <c r="R25" s="156">
        <f t="shared" si="7"/>
        <v>944476</v>
      </c>
      <c r="S25" s="156">
        <f t="shared" si="7"/>
        <v>931970</v>
      </c>
      <c r="T25" s="156">
        <f t="shared" si="7"/>
        <v>939899</v>
      </c>
      <c r="U25" s="156">
        <f t="shared" si="7"/>
        <v>928789</v>
      </c>
      <c r="V25" s="156">
        <f t="shared" ref="V25:AB25" si="8">SUM(V26:V38)</f>
        <v>906986</v>
      </c>
      <c r="W25" s="156">
        <f t="shared" si="8"/>
        <v>1029848</v>
      </c>
      <c r="X25" s="156">
        <f t="shared" si="8"/>
        <v>1051179</v>
      </c>
      <c r="Y25" s="156">
        <f t="shared" si="8"/>
        <v>1008439</v>
      </c>
      <c r="Z25" s="156">
        <f t="shared" si="8"/>
        <v>1104229</v>
      </c>
      <c r="AA25" s="156">
        <f t="shared" si="8"/>
        <v>1482303</v>
      </c>
      <c r="AB25" s="156">
        <f t="shared" si="8"/>
        <v>1473682</v>
      </c>
      <c r="AC25" s="156">
        <f>SUM(AC26:AC38)</f>
        <v>1334202</v>
      </c>
    </row>
    <row r="26" spans="1:29">
      <c r="A26" s="151" t="s">
        <v>1149</v>
      </c>
      <c r="B26" s="151" t="s">
        <v>1056</v>
      </c>
      <c r="C26" s="152"/>
      <c r="D26" s="167"/>
      <c r="E26" s="167"/>
      <c r="F26" s="167"/>
      <c r="T26" s="167">
        <v>35</v>
      </c>
      <c r="U26" s="167">
        <v>70</v>
      </c>
      <c r="V26" s="167">
        <v>72</v>
      </c>
      <c r="W26" s="167">
        <v>73</v>
      </c>
      <c r="X26" s="167">
        <v>75</v>
      </c>
      <c r="Y26" s="167">
        <v>77</v>
      </c>
      <c r="Z26" s="167">
        <v>79</v>
      </c>
      <c r="AA26" s="167">
        <v>82</v>
      </c>
      <c r="AB26" s="167">
        <v>84</v>
      </c>
      <c r="AC26" s="167">
        <v>87</v>
      </c>
    </row>
    <row r="27" spans="1:29">
      <c r="A27" s="151" t="s">
        <v>1057</v>
      </c>
      <c r="B27" s="151" t="s">
        <v>1058</v>
      </c>
      <c r="C27" s="152"/>
      <c r="D27" s="167">
        <v>231068</v>
      </c>
      <c r="E27" s="167">
        <v>225804</v>
      </c>
      <c r="F27" s="167">
        <v>224144</v>
      </c>
      <c r="G27" s="167">
        <v>245691</v>
      </c>
      <c r="H27" s="167">
        <v>248621</v>
      </c>
      <c r="I27" s="167">
        <v>259682</v>
      </c>
      <c r="J27" s="167">
        <v>256382</v>
      </c>
      <c r="K27" s="167">
        <v>290145</v>
      </c>
      <c r="L27" s="167">
        <v>282322</v>
      </c>
      <c r="M27" s="167">
        <v>273393</v>
      </c>
      <c r="N27" s="167">
        <v>254238</v>
      </c>
      <c r="O27" s="167">
        <v>230693</v>
      </c>
      <c r="P27" s="167">
        <v>212140</v>
      </c>
      <c r="Q27" s="167">
        <v>197168</v>
      </c>
      <c r="R27" s="167">
        <v>183793</v>
      </c>
      <c r="S27" s="167">
        <v>171250</v>
      </c>
      <c r="T27" s="167">
        <v>160180</v>
      </c>
      <c r="U27" s="167">
        <v>150254</v>
      </c>
      <c r="V27" s="167">
        <v>139659</v>
      </c>
      <c r="W27" s="167">
        <v>133673</v>
      </c>
      <c r="X27" s="167">
        <v>123352</v>
      </c>
      <c r="Y27" s="167">
        <v>116608</v>
      </c>
      <c r="Z27" s="167">
        <v>111816</v>
      </c>
      <c r="AA27" s="167">
        <v>109050</v>
      </c>
      <c r="AB27" s="167">
        <v>103916</v>
      </c>
      <c r="AC27" s="167">
        <v>101434</v>
      </c>
    </row>
    <row r="28" spans="1:29">
      <c r="A28" s="151" t="s">
        <v>1070</v>
      </c>
      <c r="B28" s="151" t="s">
        <v>1071</v>
      </c>
      <c r="C28" s="152"/>
      <c r="D28" s="167">
        <v>197975</v>
      </c>
      <c r="E28" s="167">
        <v>189106</v>
      </c>
      <c r="F28" s="167">
        <v>222187</v>
      </c>
      <c r="G28" s="167">
        <v>203884</v>
      </c>
      <c r="H28" s="167">
        <v>8102</v>
      </c>
      <c r="J28" s="167">
        <v>13709</v>
      </c>
      <c r="K28" s="167">
        <v>202232</v>
      </c>
      <c r="L28" s="167">
        <v>199117</v>
      </c>
      <c r="M28" s="167">
        <v>45156</v>
      </c>
      <c r="N28" s="167">
        <v>9909</v>
      </c>
      <c r="Q28" s="167">
        <v>0</v>
      </c>
      <c r="V28" s="167">
        <v>0</v>
      </c>
      <c r="W28" s="167">
        <v>2325</v>
      </c>
      <c r="X28" s="167">
        <v>0</v>
      </c>
      <c r="Z28" s="167">
        <v>63816</v>
      </c>
      <c r="AA28" s="167">
        <v>388336</v>
      </c>
      <c r="AB28" s="167">
        <v>397143</v>
      </c>
      <c r="AC28" s="167">
        <v>249509</v>
      </c>
    </row>
    <row r="29" spans="1:29">
      <c r="A29" s="151" t="s">
        <v>1083</v>
      </c>
      <c r="B29" s="151" t="s">
        <v>1067</v>
      </c>
      <c r="C29" s="152"/>
      <c r="D29" s="167"/>
      <c r="E29" s="167"/>
      <c r="F29" s="167"/>
      <c r="M29" s="167">
        <v>0</v>
      </c>
      <c r="Q29" s="167">
        <v>0</v>
      </c>
    </row>
    <row r="30" spans="1:29">
      <c r="A30" s="151" t="s">
        <v>1160</v>
      </c>
      <c r="B30" s="151" t="s">
        <v>1161</v>
      </c>
      <c r="C30" s="152"/>
      <c r="D30" s="167"/>
      <c r="E30" s="167"/>
      <c r="F30" s="167"/>
      <c r="M30" s="167">
        <v>0</v>
      </c>
      <c r="Q30" s="167">
        <v>0</v>
      </c>
    </row>
    <row r="31" spans="1:29">
      <c r="A31" s="151" t="s">
        <v>1068</v>
      </c>
      <c r="B31" s="151" t="s">
        <v>1069</v>
      </c>
      <c r="C31" s="152"/>
      <c r="D31" s="167">
        <v>47652</v>
      </c>
      <c r="E31" s="167">
        <v>47224</v>
      </c>
      <c r="F31" s="167">
        <v>46283</v>
      </c>
      <c r="G31" s="167">
        <v>39830</v>
      </c>
      <c r="H31" s="167">
        <v>40212</v>
      </c>
      <c r="I31" s="167">
        <v>39652</v>
      </c>
      <c r="J31" s="167">
        <v>19284</v>
      </c>
      <c r="K31" s="167">
        <v>19419</v>
      </c>
      <c r="L31" s="167">
        <v>19631</v>
      </c>
      <c r="M31" s="167">
        <v>19712</v>
      </c>
      <c r="N31" s="167">
        <v>20082</v>
      </c>
      <c r="O31" s="167">
        <v>20832</v>
      </c>
      <c r="P31" s="167">
        <v>20732</v>
      </c>
      <c r="Q31" s="167">
        <v>21227</v>
      </c>
      <c r="R31" s="167">
        <v>21942</v>
      </c>
      <c r="S31" s="167">
        <v>21210</v>
      </c>
      <c r="T31" s="167">
        <v>31291</v>
      </c>
      <c r="U31" s="167">
        <v>32373</v>
      </c>
      <c r="V31" s="167">
        <v>30428</v>
      </c>
      <c r="W31" s="167">
        <v>28216</v>
      </c>
      <c r="X31" s="167">
        <v>23007</v>
      </c>
      <c r="Y31" s="167">
        <v>19384</v>
      </c>
      <c r="Z31" s="167">
        <v>19164</v>
      </c>
      <c r="AA31" s="167">
        <v>22936</v>
      </c>
      <c r="AB31" s="167">
        <v>24189</v>
      </c>
      <c r="AC31" s="167">
        <v>25202</v>
      </c>
    </row>
    <row r="32" spans="1:29">
      <c r="A32" s="151" t="s">
        <v>1063</v>
      </c>
      <c r="B32" s="151" t="s">
        <v>1064</v>
      </c>
      <c r="C32" s="152"/>
      <c r="D32" s="167"/>
      <c r="E32" s="167"/>
      <c r="F32" s="167"/>
      <c r="O32" s="167">
        <v>13372</v>
      </c>
      <c r="P32" s="167">
        <v>13372</v>
      </c>
      <c r="Q32" s="167">
        <v>13372</v>
      </c>
      <c r="R32" s="167">
        <v>13372</v>
      </c>
      <c r="S32" s="167">
        <v>24951</v>
      </c>
      <c r="T32" s="167">
        <v>24951</v>
      </c>
      <c r="U32" s="167">
        <v>24951</v>
      </c>
      <c r="V32" s="167">
        <v>24951</v>
      </c>
      <c r="W32" s="167">
        <v>17674</v>
      </c>
      <c r="X32" s="167">
        <v>17674</v>
      </c>
      <c r="Y32" s="167">
        <v>17674</v>
      </c>
      <c r="Z32" s="167">
        <v>17674</v>
      </c>
      <c r="AA32" s="167">
        <v>22487</v>
      </c>
      <c r="AB32" s="167">
        <v>22487</v>
      </c>
      <c r="AC32" s="167">
        <v>22487</v>
      </c>
    </row>
    <row r="33" spans="1:29">
      <c r="A33" s="151" t="s">
        <v>1072</v>
      </c>
      <c r="B33" s="151" t="s">
        <v>1073</v>
      </c>
      <c r="C33" s="152"/>
      <c r="D33" s="167">
        <v>100677</v>
      </c>
      <c r="E33" s="167">
        <v>119738</v>
      </c>
      <c r="F33" s="167">
        <v>133437</v>
      </c>
      <c r="G33" s="167">
        <v>81628</v>
      </c>
      <c r="H33" s="167">
        <v>130276</v>
      </c>
      <c r="M33" s="167">
        <v>0</v>
      </c>
      <c r="Q33" s="167">
        <v>0</v>
      </c>
      <c r="W33" s="167">
        <v>27689</v>
      </c>
      <c r="X33" s="167">
        <v>18222</v>
      </c>
      <c r="Y33" s="167">
        <v>0</v>
      </c>
    </row>
    <row r="34" spans="1:29">
      <c r="A34" s="151" t="s">
        <v>1076</v>
      </c>
      <c r="B34" s="151" t="s">
        <v>1077</v>
      </c>
      <c r="C34" s="152"/>
      <c r="D34" s="167">
        <v>346124</v>
      </c>
      <c r="E34" s="167">
        <v>331158</v>
      </c>
      <c r="F34" s="167">
        <v>314708</v>
      </c>
      <c r="G34" s="167">
        <v>220116</v>
      </c>
      <c r="H34" s="167">
        <v>174034</v>
      </c>
      <c r="I34" s="167">
        <v>126868</v>
      </c>
      <c r="J34" s="167">
        <v>65950</v>
      </c>
      <c r="K34" s="167">
        <v>49623</v>
      </c>
      <c r="L34" s="167">
        <v>45322</v>
      </c>
      <c r="M34" s="167">
        <v>52342</v>
      </c>
      <c r="N34" s="167">
        <v>65058</v>
      </c>
      <c r="O34" s="167">
        <v>74854</v>
      </c>
      <c r="P34" s="167">
        <v>78435</v>
      </c>
      <c r="Q34" s="167">
        <v>87024</v>
      </c>
      <c r="R34" s="167">
        <v>89561</v>
      </c>
      <c r="S34" s="167">
        <v>84546</v>
      </c>
      <c r="T34" s="167">
        <v>88751</v>
      </c>
      <c r="U34" s="167">
        <v>107677</v>
      </c>
      <c r="V34" s="167">
        <v>99649</v>
      </c>
      <c r="W34" s="167">
        <v>84040</v>
      </c>
      <c r="X34" s="167">
        <v>110430</v>
      </c>
      <c r="Y34" s="167">
        <v>105473</v>
      </c>
      <c r="Z34" s="167">
        <v>135862</v>
      </c>
      <c r="AA34" s="167">
        <v>110256</v>
      </c>
      <c r="AB34" s="167">
        <v>127370</v>
      </c>
      <c r="AC34" s="167">
        <v>129112</v>
      </c>
    </row>
    <row r="35" spans="1:29">
      <c r="A35" s="151" t="s">
        <v>1078</v>
      </c>
      <c r="B35" s="151" t="s">
        <v>1079</v>
      </c>
      <c r="C35" s="152"/>
      <c r="D35" s="167"/>
      <c r="E35" s="167"/>
      <c r="F35" s="167"/>
      <c r="J35" s="167">
        <v>478689</v>
      </c>
      <c r="K35" s="167">
        <v>395596</v>
      </c>
      <c r="L35" s="167">
        <v>423543</v>
      </c>
      <c r="M35" s="167">
        <v>414504</v>
      </c>
      <c r="N35" s="167">
        <v>3877</v>
      </c>
      <c r="O35" s="167">
        <v>3877</v>
      </c>
      <c r="P35" s="167">
        <v>3877</v>
      </c>
      <c r="Q35" s="167">
        <v>3877</v>
      </c>
      <c r="R35" s="167">
        <v>3877</v>
      </c>
      <c r="S35" s="167">
        <v>3877</v>
      </c>
      <c r="T35" s="167">
        <v>3877</v>
      </c>
      <c r="U35" s="167">
        <v>3877</v>
      </c>
      <c r="V35" s="167">
        <v>3877</v>
      </c>
      <c r="W35" s="167">
        <v>3438</v>
      </c>
      <c r="X35" s="167">
        <v>3461</v>
      </c>
      <c r="Y35" s="167">
        <v>810</v>
      </c>
      <c r="Z35" s="167">
        <v>609</v>
      </c>
      <c r="AA35" s="167">
        <v>0</v>
      </c>
      <c r="AB35" s="167">
        <v>0</v>
      </c>
      <c r="AC35" s="167">
        <v>0</v>
      </c>
    </row>
    <row r="36" spans="1:29">
      <c r="A36" s="151" t="s">
        <v>1185</v>
      </c>
      <c r="B36" s="151" t="s">
        <v>901</v>
      </c>
      <c r="C36" s="152"/>
      <c r="D36" s="167"/>
      <c r="E36" s="167"/>
      <c r="F36" s="167"/>
      <c r="N36" s="167">
        <v>400025</v>
      </c>
      <c r="O36" s="167">
        <v>400293</v>
      </c>
      <c r="P36" s="167">
        <v>407068</v>
      </c>
      <c r="Q36" s="167">
        <v>402950</v>
      </c>
      <c r="R36" s="167">
        <v>455553</v>
      </c>
      <c r="S36" s="167">
        <v>439007</v>
      </c>
      <c r="T36" s="167">
        <v>433260</v>
      </c>
      <c r="U36" s="167">
        <v>396052</v>
      </c>
      <c r="V36" s="167">
        <v>382818</v>
      </c>
      <c r="W36" s="167">
        <v>455195</v>
      </c>
      <c r="X36" s="167">
        <v>461599</v>
      </c>
      <c r="Y36" s="167">
        <v>442679</v>
      </c>
      <c r="Z36" s="167">
        <v>433043</v>
      </c>
      <c r="AA36" s="167">
        <v>447292</v>
      </c>
      <c r="AB36" s="167">
        <v>397953</v>
      </c>
      <c r="AC36" s="167">
        <v>374555</v>
      </c>
    </row>
    <row r="37" spans="1:29">
      <c r="A37" s="151" t="s">
        <v>1080</v>
      </c>
      <c r="B37" s="151" t="s">
        <v>96</v>
      </c>
      <c r="C37" s="152"/>
      <c r="D37" s="167">
        <v>953</v>
      </c>
      <c r="E37" s="167">
        <v>950</v>
      </c>
      <c r="F37" s="167">
        <v>873</v>
      </c>
      <c r="G37" s="167">
        <v>291038</v>
      </c>
      <c r="H37" s="167">
        <v>273962</v>
      </c>
      <c r="I37" s="167">
        <v>240574</v>
      </c>
      <c r="J37" s="167">
        <v>206750</v>
      </c>
      <c r="K37" s="167">
        <v>178241</v>
      </c>
      <c r="L37" s="167">
        <v>145237</v>
      </c>
      <c r="M37" s="167">
        <v>115218</v>
      </c>
      <c r="N37" s="167">
        <v>78825</v>
      </c>
      <c r="O37" s="167">
        <v>29335</v>
      </c>
      <c r="P37" s="167">
        <v>1075</v>
      </c>
      <c r="Q37" s="167">
        <v>1101</v>
      </c>
      <c r="R37" s="167">
        <v>1108</v>
      </c>
      <c r="S37" s="167">
        <v>1134</v>
      </c>
      <c r="T37" s="167">
        <v>1128</v>
      </c>
      <c r="U37" s="167">
        <v>937</v>
      </c>
      <c r="V37" s="167">
        <v>1160</v>
      </c>
      <c r="W37" s="167">
        <v>1203</v>
      </c>
      <c r="X37" s="167">
        <v>1214</v>
      </c>
      <c r="Y37" s="167">
        <v>1199</v>
      </c>
      <c r="Z37" s="167">
        <v>1237</v>
      </c>
      <c r="AA37" s="167">
        <v>2982</v>
      </c>
      <c r="AB37" s="167">
        <v>2483</v>
      </c>
      <c r="AC37" s="167">
        <v>2395</v>
      </c>
    </row>
    <row r="38" spans="1:29" ht="15" thickBot="1">
      <c r="A38" s="154" t="s">
        <v>1086</v>
      </c>
      <c r="B38" s="154" t="s">
        <v>1087</v>
      </c>
      <c r="C38" s="152"/>
      <c r="D38" s="167">
        <v>24564</v>
      </c>
      <c r="E38" s="167">
        <v>35710</v>
      </c>
      <c r="F38" s="167">
        <v>36433</v>
      </c>
      <c r="G38" s="167">
        <v>40107</v>
      </c>
      <c r="H38" s="167">
        <v>41764</v>
      </c>
      <c r="I38" s="167">
        <v>43157</v>
      </c>
      <c r="J38" s="167">
        <v>50743</v>
      </c>
      <c r="K38" s="167">
        <v>58138</v>
      </c>
      <c r="L38" s="167">
        <v>60905</v>
      </c>
      <c r="M38" s="167">
        <v>67473</v>
      </c>
      <c r="N38" s="167">
        <v>76742</v>
      </c>
      <c r="O38" s="167">
        <v>95783</v>
      </c>
      <c r="P38" s="167">
        <v>105806</v>
      </c>
      <c r="Q38" s="167">
        <v>173632</v>
      </c>
      <c r="R38" s="167">
        <v>175270</v>
      </c>
      <c r="S38" s="167">
        <v>185995</v>
      </c>
      <c r="T38" s="167">
        <v>196426</v>
      </c>
      <c r="U38" s="167">
        <v>212598</v>
      </c>
      <c r="V38" s="167">
        <v>224372</v>
      </c>
      <c r="W38" s="167">
        <v>276322</v>
      </c>
      <c r="X38" s="167">
        <v>292145</v>
      </c>
      <c r="Y38" s="167">
        <v>304535</v>
      </c>
      <c r="Z38" s="167">
        <v>320929</v>
      </c>
      <c r="AA38" s="167">
        <v>378882</v>
      </c>
      <c r="AB38" s="167">
        <v>398057</v>
      </c>
      <c r="AC38" s="167">
        <v>429421</v>
      </c>
    </row>
    <row r="39" spans="1:29" ht="15" thickBot="1">
      <c r="A39" s="155" t="s">
        <v>1164</v>
      </c>
      <c r="B39" s="155" t="s">
        <v>1165</v>
      </c>
      <c r="C39" s="148"/>
      <c r="D39" s="156">
        <f>SUM(D40:D45)</f>
        <v>1484861</v>
      </c>
      <c r="E39" s="156">
        <f>SUM(E40:E45)</f>
        <v>1546063</v>
      </c>
      <c r="F39" s="156">
        <f>SUM(F40:F45)</f>
        <v>1543195</v>
      </c>
      <c r="G39" s="156">
        <f>SUM(G40:G45)</f>
        <v>1753674</v>
      </c>
      <c r="H39" s="156">
        <f>SUM(H40:H45)</f>
        <v>1801760</v>
      </c>
      <c r="I39" s="156">
        <f t="shared" ref="I39:Q39" si="9">SUM(I40:I45)</f>
        <v>1841454</v>
      </c>
      <c r="J39" s="156">
        <f t="shared" si="9"/>
        <v>1991961</v>
      </c>
      <c r="K39" s="156">
        <f t="shared" si="9"/>
        <v>2094841</v>
      </c>
      <c r="L39" s="156">
        <f t="shared" si="9"/>
        <v>2151022</v>
      </c>
      <c r="M39" s="156">
        <f t="shared" si="9"/>
        <v>2262336</v>
      </c>
      <c r="N39" s="156">
        <f t="shared" si="9"/>
        <v>2451437</v>
      </c>
      <c r="O39" s="156">
        <f t="shared" si="9"/>
        <v>2564952</v>
      </c>
      <c r="P39" s="156">
        <f t="shared" si="9"/>
        <v>2710076</v>
      </c>
      <c r="Q39" s="156">
        <f t="shared" si="9"/>
        <v>2865701</v>
      </c>
      <c r="R39" s="156">
        <f t="shared" ref="R39:Y39" si="10">SUM(R40:R45)</f>
        <v>2979146</v>
      </c>
      <c r="S39" s="156">
        <f t="shared" si="10"/>
        <v>3048427</v>
      </c>
      <c r="T39" s="156">
        <f t="shared" si="10"/>
        <v>3131772</v>
      </c>
      <c r="U39" s="156">
        <f t="shared" si="10"/>
        <v>3271347</v>
      </c>
      <c r="V39" s="156">
        <f t="shared" si="10"/>
        <v>3422652</v>
      </c>
      <c r="W39" s="156">
        <f t="shared" si="10"/>
        <v>3470083</v>
      </c>
      <c r="X39" s="156">
        <f t="shared" si="10"/>
        <v>3600074</v>
      </c>
      <c r="Y39" s="156">
        <f t="shared" si="10"/>
        <v>3766654</v>
      </c>
      <c r="Z39" s="156">
        <f t="shared" ref="Z39" si="11">SUM(Z40:Z45)</f>
        <v>3946886</v>
      </c>
      <c r="AA39" s="156">
        <f t="shared" ref="AA39:AB39" si="12">SUM(AA40:AA45)</f>
        <v>4072157</v>
      </c>
      <c r="AB39" s="156">
        <f t="shared" si="12"/>
        <v>4092017</v>
      </c>
      <c r="AC39" s="156">
        <f>SUM(AC40:AC45)</f>
        <v>4248866</v>
      </c>
    </row>
    <row r="40" spans="1:29">
      <c r="A40" s="151" t="s">
        <v>1088</v>
      </c>
      <c r="B40" s="151" t="s">
        <v>1089</v>
      </c>
      <c r="C40" s="152"/>
      <c r="D40" s="167"/>
      <c r="E40" s="167"/>
      <c r="F40" s="167"/>
      <c r="M40" s="167">
        <v>0</v>
      </c>
      <c r="N40" s="167">
        <v>123</v>
      </c>
      <c r="O40" s="167">
        <v>121</v>
      </c>
      <c r="P40" s="167">
        <v>120</v>
      </c>
      <c r="Q40" s="167">
        <v>119</v>
      </c>
      <c r="R40" s="167">
        <v>118</v>
      </c>
      <c r="S40" s="167">
        <v>118</v>
      </c>
      <c r="T40" s="167">
        <v>118</v>
      </c>
      <c r="U40" s="167">
        <v>118</v>
      </c>
      <c r="V40" s="167">
        <v>114</v>
      </c>
      <c r="W40" s="167">
        <v>111</v>
      </c>
      <c r="X40" s="167">
        <v>110</v>
      </c>
      <c r="Y40" s="167">
        <v>109</v>
      </c>
      <c r="Z40" s="167">
        <v>108</v>
      </c>
      <c r="AA40" s="167">
        <v>107</v>
      </c>
      <c r="AB40" s="167">
        <v>105</v>
      </c>
      <c r="AC40" s="167">
        <v>105</v>
      </c>
    </row>
    <row r="41" spans="1:29">
      <c r="A41" s="151" t="s">
        <v>1090</v>
      </c>
      <c r="B41" s="151" t="s">
        <v>1091</v>
      </c>
      <c r="C41" s="152"/>
      <c r="D41" s="167"/>
      <c r="E41" s="167"/>
      <c r="F41" s="167"/>
      <c r="M41" s="167">
        <v>0</v>
      </c>
      <c r="Q41" s="167">
        <v>0</v>
      </c>
    </row>
    <row r="42" spans="1:29">
      <c r="A42" s="151" t="s">
        <v>1186</v>
      </c>
      <c r="B42" s="151" t="s">
        <v>1187</v>
      </c>
      <c r="C42" s="152"/>
      <c r="D42" s="167">
        <v>264690</v>
      </c>
      <c r="E42" s="167">
        <v>171274</v>
      </c>
      <c r="F42" s="167">
        <v>184859</v>
      </c>
      <c r="G42" s="167">
        <v>376543</v>
      </c>
      <c r="H42" s="167">
        <v>417613</v>
      </c>
      <c r="I42" s="167">
        <v>414153</v>
      </c>
      <c r="J42" s="167">
        <v>449456</v>
      </c>
      <c r="K42" s="167">
        <v>480461</v>
      </c>
      <c r="L42" s="167">
        <v>512932</v>
      </c>
      <c r="M42" s="167">
        <v>596790</v>
      </c>
      <c r="N42" s="167">
        <v>720229</v>
      </c>
      <c r="O42" s="167">
        <v>670682</v>
      </c>
      <c r="P42" s="167">
        <v>817230</v>
      </c>
      <c r="Q42" s="167">
        <v>275424</v>
      </c>
      <c r="R42" s="167">
        <v>419500</v>
      </c>
      <c r="S42" s="167">
        <v>445041</v>
      </c>
      <c r="T42" s="167">
        <v>499949</v>
      </c>
      <c r="U42" s="167">
        <v>585798</v>
      </c>
      <c r="V42" s="167">
        <v>704676</v>
      </c>
      <c r="W42" s="167">
        <v>565633</v>
      </c>
      <c r="X42" s="167">
        <v>665297</v>
      </c>
      <c r="Y42" s="167">
        <v>830416</v>
      </c>
      <c r="Z42" s="167">
        <v>958177</v>
      </c>
      <c r="AA42" s="167">
        <v>788907</v>
      </c>
      <c r="AB42" s="167">
        <v>805934</v>
      </c>
      <c r="AC42" s="167">
        <v>875066</v>
      </c>
    </row>
    <row r="43" spans="1:29">
      <c r="A43" s="151" t="s">
        <v>1188</v>
      </c>
      <c r="B43" s="151" t="s">
        <v>1189</v>
      </c>
      <c r="C43" s="152"/>
      <c r="D43" s="167"/>
      <c r="E43" s="167"/>
      <c r="F43" s="167"/>
      <c r="M43" s="167">
        <v>0</v>
      </c>
      <c r="Q43" s="167">
        <v>0</v>
      </c>
      <c r="S43" s="167">
        <v>0</v>
      </c>
      <c r="U43" s="167">
        <v>0</v>
      </c>
      <c r="V43" s="167">
        <v>0</v>
      </c>
    </row>
    <row r="44" spans="1:29">
      <c r="A44" s="151" t="s">
        <v>1096</v>
      </c>
      <c r="B44" s="151" t="s">
        <v>1097</v>
      </c>
      <c r="C44" s="152"/>
      <c r="D44" s="167">
        <v>3836</v>
      </c>
      <c r="E44" s="167">
        <v>1870</v>
      </c>
      <c r="F44" s="167">
        <v>2523</v>
      </c>
      <c r="G44" s="167">
        <v>1630</v>
      </c>
      <c r="H44" s="167">
        <v>1183</v>
      </c>
      <c r="I44" s="167">
        <v>1204</v>
      </c>
      <c r="J44" s="167">
        <v>127</v>
      </c>
      <c r="K44" s="167">
        <v>293</v>
      </c>
      <c r="L44" s="167">
        <v>240</v>
      </c>
      <c r="M44" s="167">
        <v>187</v>
      </c>
      <c r="N44" s="167">
        <v>406</v>
      </c>
      <c r="O44" s="167">
        <v>469</v>
      </c>
      <c r="P44" s="167">
        <v>312</v>
      </c>
      <c r="Q44" s="167">
        <v>305</v>
      </c>
      <c r="R44" s="167">
        <v>2457</v>
      </c>
      <c r="S44" s="167">
        <v>2504</v>
      </c>
      <c r="T44" s="167">
        <v>2332</v>
      </c>
      <c r="U44" s="167">
        <v>2177</v>
      </c>
      <c r="V44" s="167">
        <v>2308</v>
      </c>
      <c r="W44" s="167">
        <v>2655</v>
      </c>
      <c r="X44" s="167">
        <v>2486</v>
      </c>
      <c r="Y44" s="167">
        <v>2381</v>
      </c>
      <c r="Z44" s="167">
        <v>2088</v>
      </c>
      <c r="AA44" s="167">
        <v>1944</v>
      </c>
      <c r="AB44" s="167">
        <v>1782</v>
      </c>
      <c r="AC44" s="167">
        <v>1604</v>
      </c>
    </row>
    <row r="45" spans="1:29" ht="15" thickBot="1">
      <c r="A45" s="151" t="s">
        <v>1092</v>
      </c>
      <c r="B45" s="151" t="s">
        <v>1093</v>
      </c>
      <c r="C45" s="152"/>
      <c r="D45" s="167">
        <v>1216335</v>
      </c>
      <c r="E45" s="167">
        <v>1372919</v>
      </c>
      <c r="F45" s="167">
        <v>1355813</v>
      </c>
      <c r="G45" s="167">
        <v>1375501</v>
      </c>
      <c r="H45" s="167">
        <v>1382964</v>
      </c>
      <c r="I45" s="167">
        <v>1426097</v>
      </c>
      <c r="J45" s="167">
        <v>1542378</v>
      </c>
      <c r="K45" s="167">
        <v>1614087</v>
      </c>
      <c r="L45" s="167">
        <v>1637850</v>
      </c>
      <c r="M45" s="167">
        <v>1665359</v>
      </c>
      <c r="N45" s="167">
        <v>1730679</v>
      </c>
      <c r="O45" s="167">
        <v>1893680</v>
      </c>
      <c r="P45" s="167">
        <v>1892414</v>
      </c>
      <c r="Q45" s="167">
        <v>2589853</v>
      </c>
      <c r="R45" s="167">
        <v>2557071</v>
      </c>
      <c r="S45" s="167">
        <v>2600764</v>
      </c>
      <c r="T45" s="167">
        <v>2629373</v>
      </c>
      <c r="U45" s="167">
        <v>2683254</v>
      </c>
      <c r="V45" s="167">
        <v>2715554</v>
      </c>
      <c r="W45" s="167">
        <v>2901684</v>
      </c>
      <c r="X45" s="167">
        <v>2932181</v>
      </c>
      <c r="Y45" s="167">
        <v>2933748</v>
      </c>
      <c r="Z45" s="167">
        <v>2986513</v>
      </c>
      <c r="AA45" s="167">
        <v>3281199</v>
      </c>
      <c r="AB45" s="167">
        <v>3284196</v>
      </c>
      <c r="AC45" s="167">
        <v>3372091</v>
      </c>
    </row>
    <row r="46" spans="1:29" ht="15" thickBot="1">
      <c r="A46" s="155" t="s">
        <v>1098</v>
      </c>
      <c r="B46" s="155" t="s">
        <v>1099</v>
      </c>
      <c r="C46" s="148"/>
      <c r="D46" s="156">
        <f t="shared" ref="D46:Y46" si="13">D8+D24</f>
        <v>3824785</v>
      </c>
      <c r="E46" s="156">
        <f t="shared" si="13"/>
        <v>3883789</v>
      </c>
      <c r="F46" s="156">
        <f t="shared" si="13"/>
        <v>4064479</v>
      </c>
      <c r="G46" s="156">
        <f t="shared" si="13"/>
        <v>5210503</v>
      </c>
      <c r="H46" s="156">
        <f t="shared" si="13"/>
        <v>4925231</v>
      </c>
      <c r="I46" s="156">
        <f t="shared" si="13"/>
        <v>5150363</v>
      </c>
      <c r="J46" s="156">
        <f t="shared" si="13"/>
        <v>6056155</v>
      </c>
      <c r="K46" s="156">
        <f t="shared" si="13"/>
        <v>6255665</v>
      </c>
      <c r="L46" s="156">
        <f t="shared" si="13"/>
        <v>6237095</v>
      </c>
      <c r="M46" s="156">
        <f t="shared" si="13"/>
        <v>5575629</v>
      </c>
      <c r="N46" s="156">
        <f t="shared" si="13"/>
        <v>5455282</v>
      </c>
      <c r="O46" s="156">
        <f t="shared" si="13"/>
        <v>5677675</v>
      </c>
      <c r="P46" s="156">
        <f t="shared" si="13"/>
        <v>5627583</v>
      </c>
      <c r="Q46" s="156">
        <f t="shared" si="13"/>
        <v>5449758</v>
      </c>
      <c r="R46" s="156">
        <f t="shared" si="13"/>
        <v>5512544</v>
      </c>
      <c r="S46" s="156">
        <f t="shared" si="13"/>
        <v>5919763</v>
      </c>
      <c r="T46" s="156">
        <f t="shared" si="13"/>
        <v>5953658</v>
      </c>
      <c r="U46" s="156">
        <f t="shared" si="13"/>
        <v>6315732</v>
      </c>
      <c r="V46" s="156">
        <f t="shared" si="13"/>
        <v>6281732</v>
      </c>
      <c r="W46" s="156">
        <f t="shared" si="13"/>
        <v>6794947</v>
      </c>
      <c r="X46" s="156">
        <f t="shared" si="13"/>
        <v>6846954</v>
      </c>
      <c r="Y46" s="156">
        <f t="shared" si="13"/>
        <v>6559087</v>
      </c>
      <c r="Z46" s="156">
        <f t="shared" ref="Z46:AB46" si="14">Z8+Z24</f>
        <v>8014074</v>
      </c>
      <c r="AA46" s="156">
        <f t="shared" si="14"/>
        <v>7862712</v>
      </c>
      <c r="AB46" s="156">
        <f t="shared" si="14"/>
        <v>8205281</v>
      </c>
      <c r="AC46" s="156">
        <f>AC8+AC24</f>
        <v>7922310</v>
      </c>
    </row>
    <row r="47" spans="1:29">
      <c r="A47" s="151"/>
      <c r="B47" s="151"/>
      <c r="C47" s="152"/>
    </row>
    <row r="48" spans="1:29" ht="15" thickBot="1">
      <c r="A48" s="6" t="s">
        <v>1100</v>
      </c>
      <c r="B48" s="6" t="s">
        <v>1101</v>
      </c>
      <c r="C48" s="146"/>
      <c r="D48" s="434" t="str">
        <f t="shared" ref="D48:L48" si="15">D7</f>
        <v>1T20</v>
      </c>
      <c r="E48" s="434" t="str">
        <f t="shared" si="15"/>
        <v>2T20</v>
      </c>
      <c r="F48" s="434" t="str">
        <f t="shared" si="15"/>
        <v>3T20</v>
      </c>
      <c r="G48" s="434" t="str">
        <f t="shared" si="15"/>
        <v>4T20</v>
      </c>
      <c r="H48" s="434" t="str">
        <f t="shared" si="15"/>
        <v>1T21</v>
      </c>
      <c r="I48" s="434" t="str">
        <f t="shared" si="15"/>
        <v>2T21</v>
      </c>
      <c r="J48" s="434" t="str">
        <f t="shared" si="15"/>
        <v>3T21</v>
      </c>
      <c r="K48" s="434" t="str">
        <f t="shared" si="15"/>
        <v>4T21</v>
      </c>
      <c r="L48" s="434" t="str">
        <f t="shared" si="15"/>
        <v>1T22</v>
      </c>
      <c r="M48" s="434" t="s">
        <v>76</v>
      </c>
      <c r="N48" s="434" t="s">
        <v>77</v>
      </c>
      <c r="O48" s="434" t="str">
        <f>O7</f>
        <v>4T22</v>
      </c>
      <c r="P48" s="434" t="str">
        <f>P7</f>
        <v>1T23</v>
      </c>
      <c r="Q48" s="434" t="str">
        <f>Q7</f>
        <v>2T23</v>
      </c>
      <c r="R48" s="434" t="str">
        <f>R7</f>
        <v>3T23</v>
      </c>
      <c r="S48" s="434" t="str">
        <f>S7</f>
        <v>4T23</v>
      </c>
      <c r="T48" s="434" t="s">
        <v>83</v>
      </c>
      <c r="U48" s="434" t="s">
        <v>84</v>
      </c>
      <c r="V48" s="434" t="s">
        <v>85</v>
      </c>
      <c r="W48" s="434" t="s">
        <v>86</v>
      </c>
      <c r="X48" s="434" t="s">
        <v>87</v>
      </c>
      <c r="Y48" s="434" t="str">
        <f>+Y7</f>
        <v>2T25</v>
      </c>
      <c r="Z48" s="434" t="str">
        <f>+Z7</f>
        <v>3T25</v>
      </c>
      <c r="AA48" s="434" t="str">
        <f>+AA7</f>
        <v>4T25</v>
      </c>
      <c r="AB48" s="434" t="str">
        <f>+AB7</f>
        <v>1T26</v>
      </c>
      <c r="AC48" s="434" t="str">
        <f>+AC7</f>
        <v>2T26</v>
      </c>
    </row>
    <row r="49" spans="1:29" ht="15" thickBot="1">
      <c r="A49" s="147" t="s">
        <v>1051</v>
      </c>
      <c r="B49" s="147" t="s">
        <v>1052</v>
      </c>
      <c r="C49" s="148"/>
      <c r="D49" s="149">
        <f t="shared" ref="D49:Q49" si="16">SUM(D50:D66)</f>
        <v>1123355</v>
      </c>
      <c r="E49" s="149">
        <f t="shared" si="16"/>
        <v>1320193</v>
      </c>
      <c r="F49" s="149">
        <f t="shared" si="16"/>
        <v>1527839</v>
      </c>
      <c r="G49" s="149">
        <f t="shared" si="16"/>
        <v>1831400</v>
      </c>
      <c r="H49" s="149">
        <f t="shared" si="16"/>
        <v>1527186</v>
      </c>
      <c r="I49" s="149">
        <f t="shared" si="16"/>
        <v>2059575</v>
      </c>
      <c r="J49" s="149">
        <f t="shared" si="16"/>
        <v>2254237</v>
      </c>
      <c r="K49" s="149">
        <f t="shared" si="16"/>
        <v>2288164</v>
      </c>
      <c r="L49" s="149">
        <f t="shared" si="16"/>
        <v>1981668</v>
      </c>
      <c r="M49" s="149">
        <f t="shared" si="16"/>
        <v>1443358</v>
      </c>
      <c r="N49" s="149">
        <f t="shared" si="16"/>
        <v>1360360</v>
      </c>
      <c r="O49" s="149">
        <f t="shared" si="16"/>
        <v>1800798</v>
      </c>
      <c r="P49" s="149">
        <f t="shared" si="16"/>
        <v>1720321</v>
      </c>
      <c r="Q49" s="149">
        <f t="shared" si="16"/>
        <v>1469916</v>
      </c>
      <c r="R49" s="149">
        <f t="shared" ref="R49:Y49" si="17">SUM(R50:R66)</f>
        <v>1398928</v>
      </c>
      <c r="S49" s="149">
        <f t="shared" si="17"/>
        <v>1644869</v>
      </c>
      <c r="T49" s="149">
        <f t="shared" si="17"/>
        <v>1908660</v>
      </c>
      <c r="U49" s="149">
        <f t="shared" si="17"/>
        <v>2286232</v>
      </c>
      <c r="V49" s="149">
        <f t="shared" si="17"/>
        <v>2172473</v>
      </c>
      <c r="W49" s="149">
        <f t="shared" si="17"/>
        <v>1906784</v>
      </c>
      <c r="X49" s="149">
        <f t="shared" si="17"/>
        <v>1816104</v>
      </c>
      <c r="Y49" s="149">
        <f t="shared" si="17"/>
        <v>1837545</v>
      </c>
      <c r="Z49" s="149">
        <f t="shared" ref="Z49" si="18">SUM(Z50:Z66)</f>
        <v>1925376</v>
      </c>
      <c r="AA49" s="149">
        <f t="shared" ref="AA49:AB49" si="19">SUM(AA50:AA66)</f>
        <v>2203688</v>
      </c>
      <c r="AB49" s="149">
        <f t="shared" si="19"/>
        <v>1900299</v>
      </c>
      <c r="AC49" s="149">
        <f>SUM(AC50:AC66)</f>
        <v>1469445</v>
      </c>
    </row>
    <row r="50" spans="1:29">
      <c r="A50" s="160" t="s">
        <v>1102</v>
      </c>
      <c r="B50" s="160" t="s">
        <v>1103</v>
      </c>
      <c r="C50" s="161"/>
      <c r="D50" s="167">
        <v>322970</v>
      </c>
      <c r="E50" s="167">
        <v>362582</v>
      </c>
      <c r="F50" s="167">
        <v>359422</v>
      </c>
      <c r="G50" s="167">
        <v>463796</v>
      </c>
      <c r="H50" s="167">
        <v>334745</v>
      </c>
      <c r="I50" s="167">
        <v>315019</v>
      </c>
      <c r="J50" s="167">
        <v>471611</v>
      </c>
      <c r="K50" s="167">
        <v>486074</v>
      </c>
      <c r="L50" s="167">
        <v>317159</v>
      </c>
      <c r="M50" s="167">
        <v>367358</v>
      </c>
      <c r="N50" s="167">
        <v>395422</v>
      </c>
      <c r="O50" s="167">
        <v>428326</v>
      </c>
      <c r="P50" s="167">
        <v>387413</v>
      </c>
      <c r="Q50" s="167">
        <v>442650</v>
      </c>
      <c r="R50" s="167">
        <v>383417</v>
      </c>
      <c r="S50" s="167">
        <v>464954</v>
      </c>
      <c r="T50" s="167">
        <v>392805</v>
      </c>
      <c r="U50" s="167">
        <v>418021</v>
      </c>
      <c r="V50" s="167">
        <v>424624</v>
      </c>
      <c r="W50" s="167">
        <v>408679</v>
      </c>
      <c r="X50" s="167">
        <v>387051</v>
      </c>
      <c r="Y50" s="167">
        <v>429557</v>
      </c>
      <c r="Z50" s="167">
        <v>458900</v>
      </c>
      <c r="AA50" s="167">
        <v>471327</v>
      </c>
      <c r="AB50" s="167">
        <v>411746</v>
      </c>
      <c r="AC50" s="167">
        <v>447888</v>
      </c>
    </row>
    <row r="51" spans="1:29">
      <c r="A51" s="160" t="s">
        <v>1104</v>
      </c>
      <c r="B51" s="160" t="s">
        <v>876</v>
      </c>
      <c r="C51" s="161"/>
      <c r="D51" s="167">
        <v>11034</v>
      </c>
      <c r="E51" s="167">
        <v>12232</v>
      </c>
      <c r="F51" s="167">
        <v>13162</v>
      </c>
      <c r="G51" s="167">
        <v>9989</v>
      </c>
      <c r="H51" s="167">
        <v>8923</v>
      </c>
      <c r="I51" s="167">
        <v>9858</v>
      </c>
      <c r="J51" s="167">
        <v>11060</v>
      </c>
      <c r="K51" s="167">
        <v>8425</v>
      </c>
      <c r="L51" s="167">
        <v>8928</v>
      </c>
      <c r="M51" s="167">
        <v>11361</v>
      </c>
      <c r="N51" s="167">
        <v>11464</v>
      </c>
      <c r="O51" s="167">
        <v>9237</v>
      </c>
      <c r="P51" s="167">
        <v>10019</v>
      </c>
      <c r="Q51" s="167">
        <v>10688</v>
      </c>
      <c r="R51" s="167">
        <v>11160</v>
      </c>
      <c r="S51" s="167">
        <v>9014</v>
      </c>
      <c r="T51" s="167">
        <v>10370</v>
      </c>
      <c r="U51" s="167">
        <v>11192</v>
      </c>
      <c r="V51" s="167">
        <v>12361</v>
      </c>
      <c r="W51" s="167">
        <v>9635</v>
      </c>
      <c r="X51" s="167">
        <v>12167</v>
      </c>
      <c r="Y51" s="167">
        <v>12124</v>
      </c>
      <c r="Z51" s="167">
        <v>12536</v>
      </c>
      <c r="AA51" s="167">
        <v>10653</v>
      </c>
      <c r="AB51" s="167">
        <v>10888</v>
      </c>
      <c r="AC51" s="167">
        <v>13164</v>
      </c>
    </row>
    <row r="52" spans="1:29">
      <c r="A52" s="151" t="s">
        <v>1105</v>
      </c>
      <c r="B52" s="151" t="s">
        <v>1106</v>
      </c>
      <c r="C52" s="152"/>
      <c r="D52" s="167">
        <v>178708</v>
      </c>
      <c r="E52" s="167">
        <v>177692</v>
      </c>
      <c r="F52" s="167">
        <v>178704</v>
      </c>
      <c r="G52" s="167">
        <v>188964</v>
      </c>
      <c r="H52" s="167">
        <v>193223</v>
      </c>
      <c r="I52" s="167">
        <v>566456</v>
      </c>
      <c r="J52" s="167">
        <v>625911</v>
      </c>
      <c r="K52" s="167">
        <v>628570</v>
      </c>
      <c r="L52" s="167">
        <v>562834</v>
      </c>
      <c r="M52" s="167">
        <v>169888</v>
      </c>
      <c r="N52" s="167">
        <v>71397</v>
      </c>
      <c r="O52" s="167">
        <v>230814</v>
      </c>
      <c r="P52" s="167">
        <v>250478</v>
      </c>
      <c r="Q52" s="167">
        <v>273556</v>
      </c>
      <c r="R52" s="167">
        <v>311215</v>
      </c>
      <c r="S52" s="167">
        <v>575713</v>
      </c>
      <c r="T52" s="167">
        <v>929714</v>
      </c>
      <c r="U52" s="167">
        <v>1153827</v>
      </c>
      <c r="V52" s="167">
        <v>1166734</v>
      </c>
      <c r="W52" s="167">
        <v>747903</v>
      </c>
      <c r="X52" s="167">
        <v>447003</v>
      </c>
      <c r="Y52" s="167">
        <v>637113</v>
      </c>
      <c r="Z52" s="167">
        <v>672474</v>
      </c>
      <c r="AA52" s="167">
        <v>822724</v>
      </c>
      <c r="AB52" s="167">
        <v>661076</v>
      </c>
      <c r="AC52" s="167">
        <v>315518</v>
      </c>
    </row>
    <row r="53" spans="1:29">
      <c r="A53" s="151" t="s">
        <v>1107</v>
      </c>
      <c r="B53" s="151" t="s">
        <v>1108</v>
      </c>
      <c r="C53" s="152"/>
      <c r="D53" s="167">
        <v>16538</v>
      </c>
      <c r="E53" s="167">
        <v>10768</v>
      </c>
      <c r="F53" s="167">
        <v>18029</v>
      </c>
      <c r="G53" s="167">
        <v>401934</v>
      </c>
      <c r="H53" s="167">
        <v>408716</v>
      </c>
      <c r="I53" s="167">
        <v>718470</v>
      </c>
      <c r="J53" s="167">
        <v>733318</v>
      </c>
      <c r="K53" s="167">
        <v>318328</v>
      </c>
      <c r="L53" s="167">
        <v>346376</v>
      </c>
      <c r="M53" s="167">
        <v>340991</v>
      </c>
      <c r="N53" s="167">
        <v>368055</v>
      </c>
      <c r="O53" s="167">
        <v>318097</v>
      </c>
      <c r="P53" s="167">
        <v>343810</v>
      </c>
      <c r="Q53" s="167">
        <v>33214</v>
      </c>
      <c r="R53" s="167">
        <v>48711</v>
      </c>
      <c r="S53" s="167">
        <v>3200</v>
      </c>
      <c r="T53" s="167">
        <v>15148</v>
      </c>
      <c r="U53" s="167">
        <v>27102</v>
      </c>
      <c r="V53" s="167">
        <v>39906</v>
      </c>
      <c r="W53" s="167">
        <v>7937</v>
      </c>
      <c r="X53" s="167">
        <v>16447</v>
      </c>
      <c r="Y53" s="167">
        <v>36781</v>
      </c>
      <c r="Z53" s="167">
        <v>50463</v>
      </c>
      <c r="AA53" s="167">
        <v>13924</v>
      </c>
      <c r="AB53" s="167">
        <v>5928</v>
      </c>
      <c r="AC53" s="167">
        <v>28296</v>
      </c>
    </row>
    <row r="54" spans="1:29">
      <c r="A54" s="151" t="s">
        <v>1109</v>
      </c>
      <c r="B54" s="151" t="s">
        <v>1110</v>
      </c>
      <c r="C54" s="152"/>
      <c r="D54" s="167"/>
      <c r="E54" s="167"/>
      <c r="F54" s="167">
        <v>310740</v>
      </c>
      <c r="G54" s="167">
        <v>234749</v>
      </c>
      <c r="H54" s="167">
        <v>118884</v>
      </c>
      <c r="I54" s="167">
        <v>72238</v>
      </c>
      <c r="L54" s="167">
        <v>37196</v>
      </c>
      <c r="M54" s="167" t="s">
        <v>447</v>
      </c>
      <c r="N54" s="35"/>
      <c r="O54" s="167">
        <v>0</v>
      </c>
      <c r="R54" s="167">
        <v>424</v>
      </c>
      <c r="S54" s="167">
        <v>33062</v>
      </c>
      <c r="T54" s="167">
        <v>31874</v>
      </c>
      <c r="U54" s="167">
        <v>35043</v>
      </c>
      <c r="V54" s="167">
        <v>50762</v>
      </c>
      <c r="W54" s="167">
        <v>137359</v>
      </c>
      <c r="X54" s="167">
        <v>95734</v>
      </c>
      <c r="Y54" s="167">
        <v>59589</v>
      </c>
      <c r="Z54" s="167">
        <v>30354</v>
      </c>
      <c r="AA54" s="167">
        <v>0</v>
      </c>
      <c r="AB54" s="167">
        <v>0</v>
      </c>
      <c r="AC54" s="167">
        <v>0</v>
      </c>
    </row>
    <row r="55" spans="1:29">
      <c r="A55" s="151" t="s">
        <v>1111</v>
      </c>
      <c r="B55" s="151" t="s">
        <v>1112</v>
      </c>
      <c r="C55" s="152"/>
      <c r="D55" s="167">
        <v>97620</v>
      </c>
      <c r="E55" s="167">
        <v>103296</v>
      </c>
      <c r="F55" s="167">
        <v>102853</v>
      </c>
      <c r="G55" s="167">
        <v>151512</v>
      </c>
      <c r="H55" s="167">
        <v>107649</v>
      </c>
      <c r="I55" s="167">
        <v>111203</v>
      </c>
      <c r="J55" s="167">
        <v>139586</v>
      </c>
      <c r="K55" s="167">
        <v>120572</v>
      </c>
      <c r="L55" s="167">
        <v>107601</v>
      </c>
      <c r="M55" s="167">
        <v>95813</v>
      </c>
      <c r="N55" s="167">
        <v>74156</v>
      </c>
      <c r="O55" s="167">
        <v>76526</v>
      </c>
      <c r="P55" s="167">
        <v>106098</v>
      </c>
      <c r="Q55" s="167">
        <v>103320</v>
      </c>
      <c r="R55" s="167">
        <v>104261</v>
      </c>
      <c r="S55" s="167">
        <v>113356</v>
      </c>
      <c r="T55" s="167">
        <v>96870</v>
      </c>
      <c r="U55" s="167">
        <v>104971</v>
      </c>
      <c r="V55" s="167">
        <v>109446</v>
      </c>
      <c r="W55" s="167">
        <v>108020</v>
      </c>
      <c r="X55" s="167">
        <v>96062</v>
      </c>
      <c r="Y55" s="167">
        <v>122908</v>
      </c>
      <c r="Z55" s="167">
        <v>134648</v>
      </c>
      <c r="AA55" s="167">
        <v>158253</v>
      </c>
      <c r="AB55" s="167">
        <v>125859</v>
      </c>
      <c r="AC55" s="167">
        <v>137021</v>
      </c>
    </row>
    <row r="56" spans="1:29">
      <c r="A56" s="151" t="s">
        <v>1190</v>
      </c>
      <c r="B56" s="151" t="s">
        <v>1114</v>
      </c>
      <c r="C56" s="152"/>
      <c r="D56" s="167">
        <v>1291</v>
      </c>
      <c r="E56" s="167">
        <v>1103</v>
      </c>
      <c r="F56" s="167">
        <v>1036</v>
      </c>
      <c r="G56" s="167">
        <v>29183</v>
      </c>
      <c r="H56" s="167">
        <v>3011</v>
      </c>
      <c r="I56" s="167">
        <v>15330</v>
      </c>
      <c r="J56" s="167">
        <v>10098</v>
      </c>
      <c r="K56" s="167">
        <v>4354</v>
      </c>
      <c r="L56" s="167">
        <v>31542</v>
      </c>
      <c r="M56" s="167">
        <v>6426</v>
      </c>
      <c r="N56" s="167">
        <v>6544</v>
      </c>
      <c r="O56" s="167">
        <v>3612</v>
      </c>
      <c r="P56" s="167">
        <v>6195</v>
      </c>
      <c r="Q56" s="167">
        <v>17067</v>
      </c>
      <c r="R56" s="167">
        <v>22605</v>
      </c>
      <c r="S56" s="167">
        <v>2871</v>
      </c>
      <c r="T56" s="167">
        <v>5667</v>
      </c>
      <c r="U56" s="167">
        <v>4814</v>
      </c>
      <c r="V56" s="167">
        <v>14484</v>
      </c>
      <c r="W56" s="167">
        <v>13496</v>
      </c>
      <c r="X56" s="167">
        <v>51080</v>
      </c>
      <c r="Y56" s="167">
        <v>62742</v>
      </c>
      <c r="Z56" s="167">
        <v>88541</v>
      </c>
      <c r="AA56" s="167">
        <v>48608</v>
      </c>
      <c r="AB56" s="167">
        <v>52418</v>
      </c>
      <c r="AC56" s="167">
        <v>53817</v>
      </c>
    </row>
    <row r="57" spans="1:29">
      <c r="A57" s="151" t="s">
        <v>1115</v>
      </c>
      <c r="B57" s="151" t="s">
        <v>1116</v>
      </c>
      <c r="C57" s="152"/>
      <c r="D57" s="167">
        <v>0</v>
      </c>
      <c r="E57" s="167"/>
      <c r="F57" s="167"/>
      <c r="K57" s="167">
        <v>179867</v>
      </c>
      <c r="L57" s="167">
        <v>78782</v>
      </c>
      <c r="M57" s="167">
        <v>78783</v>
      </c>
      <c r="N57" s="167">
        <v>78783</v>
      </c>
      <c r="O57" s="167">
        <v>130636</v>
      </c>
      <c r="P57" s="167">
        <v>51874</v>
      </c>
      <c r="Q57" s="167">
        <v>51874</v>
      </c>
      <c r="R57" s="167">
        <v>51879</v>
      </c>
      <c r="S57" s="167">
        <v>55531</v>
      </c>
      <c r="T57" s="167">
        <v>55509</v>
      </c>
      <c r="U57" s="167">
        <v>173315</v>
      </c>
      <c r="V57" s="167">
        <v>4</v>
      </c>
      <c r="W57" s="167">
        <v>69585</v>
      </c>
      <c r="X57" s="167">
        <v>69585</v>
      </c>
      <c r="Y57" s="167">
        <v>99656</v>
      </c>
      <c r="Z57" s="167">
        <v>99655</v>
      </c>
      <c r="AA57" s="167">
        <v>120362</v>
      </c>
      <c r="AB57" s="167">
        <v>120362</v>
      </c>
      <c r="AC57" s="167">
        <v>62</v>
      </c>
    </row>
    <row r="58" spans="1:29">
      <c r="A58" s="151" t="s">
        <v>1117</v>
      </c>
      <c r="B58" s="151" t="s">
        <v>1118</v>
      </c>
      <c r="C58" s="152"/>
      <c r="D58" s="167"/>
      <c r="E58" s="167"/>
      <c r="F58" s="167"/>
      <c r="J58" s="167">
        <v>31504</v>
      </c>
      <c r="K58" s="167">
        <v>78823</v>
      </c>
      <c r="N58" s="167">
        <v>72285</v>
      </c>
      <c r="O58" s="167">
        <v>77299</v>
      </c>
      <c r="P58" s="167">
        <v>78283</v>
      </c>
      <c r="Q58" s="167">
        <v>78509</v>
      </c>
      <c r="R58" s="167">
        <v>76898</v>
      </c>
      <c r="S58" s="167">
        <v>77784</v>
      </c>
      <c r="T58" s="167">
        <v>76449</v>
      </c>
      <c r="U58" s="167">
        <v>73054</v>
      </c>
      <c r="V58" s="167">
        <v>70233</v>
      </c>
      <c r="W58" s="167">
        <v>90969</v>
      </c>
      <c r="X58" s="167">
        <v>73536</v>
      </c>
      <c r="Y58" s="167">
        <v>67154</v>
      </c>
      <c r="Z58" s="167">
        <v>47535</v>
      </c>
      <c r="AA58" s="167">
        <v>48123</v>
      </c>
      <c r="AB58" s="167">
        <v>33774</v>
      </c>
      <c r="AC58" s="167">
        <v>20386</v>
      </c>
    </row>
    <row r="59" spans="1:29">
      <c r="A59" s="151" t="s">
        <v>1119</v>
      </c>
      <c r="B59" s="151" t="s">
        <v>1120</v>
      </c>
      <c r="C59" s="152"/>
      <c r="D59" s="167">
        <v>12833</v>
      </c>
      <c r="E59" s="167">
        <v>12244</v>
      </c>
      <c r="F59" s="167">
        <v>15986</v>
      </c>
      <c r="G59" s="167">
        <v>15690</v>
      </c>
      <c r="H59" s="167">
        <v>15108</v>
      </c>
      <c r="I59" s="167">
        <v>15906</v>
      </c>
      <c r="J59" s="167">
        <v>18675</v>
      </c>
      <c r="K59" s="167">
        <v>19080</v>
      </c>
      <c r="L59" s="167">
        <v>18745</v>
      </c>
      <c r="M59" s="167">
        <v>16271</v>
      </c>
      <c r="N59" s="167">
        <v>18129</v>
      </c>
      <c r="O59" s="167">
        <v>16282</v>
      </c>
      <c r="P59" s="167">
        <v>17084</v>
      </c>
      <c r="Q59" s="167">
        <v>17174</v>
      </c>
      <c r="R59" s="167">
        <v>8587</v>
      </c>
      <c r="S59" s="167">
        <v>20096</v>
      </c>
      <c r="T59" s="167">
        <v>18250</v>
      </c>
      <c r="U59" s="167">
        <v>20795</v>
      </c>
      <c r="V59" s="167">
        <v>20508</v>
      </c>
      <c r="W59" s="167">
        <v>25629</v>
      </c>
      <c r="X59" s="167">
        <v>18067</v>
      </c>
      <c r="Y59" s="167">
        <v>18766</v>
      </c>
      <c r="Z59" s="167">
        <v>19203</v>
      </c>
      <c r="AA59" s="167">
        <v>20872</v>
      </c>
      <c r="AB59" s="167">
        <v>17240</v>
      </c>
      <c r="AC59" s="167">
        <v>16333</v>
      </c>
    </row>
    <row r="60" spans="1:29">
      <c r="A60" s="151" t="s">
        <v>1121</v>
      </c>
      <c r="B60" s="151" t="s">
        <v>1122</v>
      </c>
      <c r="C60" s="152"/>
      <c r="D60" s="167">
        <v>59425</v>
      </c>
      <c r="E60" s="167">
        <v>61661</v>
      </c>
      <c r="F60" s="167">
        <v>59803</v>
      </c>
      <c r="G60" s="167">
        <v>26291</v>
      </c>
      <c r="H60" s="167">
        <v>40035</v>
      </c>
      <c r="I60" s="167">
        <v>37871</v>
      </c>
      <c r="L60" s="167">
        <v>89929</v>
      </c>
      <c r="M60" s="167">
        <v>73621</v>
      </c>
      <c r="Q60" s="167">
        <v>0</v>
      </c>
    </row>
    <row r="61" spans="1:29">
      <c r="A61" s="151" t="s">
        <v>1123</v>
      </c>
      <c r="B61" s="151" t="s">
        <v>1124</v>
      </c>
      <c r="C61" s="152"/>
      <c r="D61" s="167">
        <v>33099</v>
      </c>
      <c r="E61" s="167">
        <v>22897</v>
      </c>
      <c r="F61" s="167">
        <v>20664</v>
      </c>
      <c r="G61" s="167">
        <v>20664</v>
      </c>
      <c r="H61" s="167">
        <v>20331</v>
      </c>
      <c r="I61" s="167">
        <v>15947</v>
      </c>
      <c r="J61" s="167">
        <v>18817</v>
      </c>
      <c r="K61" s="167">
        <v>21687</v>
      </c>
      <c r="L61" s="167">
        <v>24261</v>
      </c>
      <c r="M61" s="167">
        <v>19077</v>
      </c>
      <c r="N61" s="167">
        <v>21871</v>
      </c>
      <c r="O61" s="167">
        <v>24666</v>
      </c>
      <c r="P61" s="167">
        <v>17845</v>
      </c>
      <c r="Q61" s="167">
        <v>16662</v>
      </c>
      <c r="R61" s="167">
        <v>19486</v>
      </c>
      <c r="S61" s="167">
        <v>22385</v>
      </c>
      <c r="T61" s="167">
        <v>13800</v>
      </c>
      <c r="U61" s="167">
        <v>12722</v>
      </c>
      <c r="V61" s="167">
        <v>17073</v>
      </c>
      <c r="W61" s="167">
        <v>21405</v>
      </c>
      <c r="X61" s="167">
        <v>5442</v>
      </c>
      <c r="Y61" s="167">
        <v>4676</v>
      </c>
      <c r="Z61" s="167">
        <v>7964</v>
      </c>
      <c r="AA61" s="167">
        <v>16244</v>
      </c>
      <c r="AB61" s="167">
        <v>23591</v>
      </c>
      <c r="AC61" s="167">
        <v>9331</v>
      </c>
    </row>
    <row r="62" spans="1:29">
      <c r="A62" s="151" t="s">
        <v>1072</v>
      </c>
      <c r="B62" s="151" t="s">
        <v>1073</v>
      </c>
      <c r="C62" s="152"/>
      <c r="D62" s="167"/>
      <c r="E62" s="167">
        <v>0</v>
      </c>
      <c r="F62" s="167"/>
      <c r="M62" s="167">
        <v>321</v>
      </c>
      <c r="N62" s="167">
        <v>875</v>
      </c>
      <c r="O62" s="167">
        <v>25034</v>
      </c>
      <c r="P62" s="167">
        <v>37220</v>
      </c>
      <c r="Q62" s="167">
        <v>37694</v>
      </c>
      <c r="R62" s="167">
        <v>33363</v>
      </c>
      <c r="S62" s="167">
        <v>9639</v>
      </c>
      <c r="T62" s="167">
        <v>3780</v>
      </c>
      <c r="U62" s="167">
        <v>0</v>
      </c>
      <c r="X62" s="167">
        <v>8315</v>
      </c>
      <c r="Y62" s="167">
        <v>13059</v>
      </c>
      <c r="Z62" s="167">
        <v>23393</v>
      </c>
      <c r="AA62" s="167">
        <v>10875</v>
      </c>
      <c r="AB62" s="167">
        <v>23920</v>
      </c>
      <c r="AC62" s="167">
        <v>3661</v>
      </c>
    </row>
    <row r="63" spans="1:29">
      <c r="A63" s="151" t="s">
        <v>1191</v>
      </c>
      <c r="B63" s="151" t="s">
        <v>1126</v>
      </c>
      <c r="C63" s="152"/>
      <c r="D63" s="167">
        <v>175487</v>
      </c>
      <c r="E63" s="167">
        <v>175499</v>
      </c>
      <c r="F63" s="167">
        <v>152532</v>
      </c>
      <c r="G63" s="167">
        <v>139235</v>
      </c>
      <c r="H63" s="167">
        <v>145071</v>
      </c>
      <c r="I63" s="167">
        <v>55166</v>
      </c>
      <c r="J63" s="167">
        <v>67538</v>
      </c>
      <c r="K63" s="167">
        <v>54821</v>
      </c>
      <c r="L63" s="167">
        <v>58849</v>
      </c>
      <c r="M63" s="167">
        <v>50989</v>
      </c>
      <c r="N63" s="167">
        <v>71893</v>
      </c>
      <c r="O63" s="167">
        <v>60160</v>
      </c>
      <c r="P63" s="167">
        <v>58935</v>
      </c>
      <c r="Q63" s="167">
        <v>58505</v>
      </c>
      <c r="R63" s="167">
        <v>61309</v>
      </c>
      <c r="S63" s="167">
        <v>58654</v>
      </c>
      <c r="T63" s="167">
        <v>59063</v>
      </c>
      <c r="U63" s="167">
        <v>55305</v>
      </c>
      <c r="V63" s="167">
        <v>50653</v>
      </c>
      <c r="W63" s="167">
        <v>44747</v>
      </c>
      <c r="X63" s="167">
        <v>40335</v>
      </c>
      <c r="Y63" s="167">
        <v>38164</v>
      </c>
      <c r="Z63" s="167">
        <v>36303</v>
      </c>
      <c r="AA63" s="167">
        <v>207954</v>
      </c>
      <c r="AB63" s="167">
        <v>157508</v>
      </c>
      <c r="AC63" s="167">
        <v>151785</v>
      </c>
    </row>
    <row r="64" spans="1:29">
      <c r="A64" s="151" t="s">
        <v>1129</v>
      </c>
      <c r="B64" s="151" t="s">
        <v>96</v>
      </c>
      <c r="C64" s="152"/>
      <c r="D64" s="167">
        <v>210076</v>
      </c>
      <c r="E64" s="167">
        <v>376759</v>
      </c>
      <c r="F64" s="167">
        <v>292417</v>
      </c>
      <c r="G64" s="167">
        <v>147832</v>
      </c>
      <c r="H64" s="167">
        <v>130359</v>
      </c>
      <c r="I64" s="167">
        <v>124840</v>
      </c>
      <c r="J64" s="167">
        <v>126001</v>
      </c>
      <c r="K64" s="167">
        <v>147902</v>
      </c>
      <c r="L64" s="167">
        <v>133992</v>
      </c>
      <c r="M64" s="167">
        <v>103393</v>
      </c>
      <c r="N64" s="167">
        <v>119772</v>
      </c>
      <c r="O64" s="167">
        <v>153505</v>
      </c>
      <c r="P64" s="167">
        <v>171011</v>
      </c>
      <c r="Q64" s="167">
        <v>213591</v>
      </c>
      <c r="R64" s="167">
        <v>225825</v>
      </c>
      <c r="S64" s="167">
        <v>148770</v>
      </c>
      <c r="T64" s="167">
        <v>162466</v>
      </c>
      <c r="U64" s="167">
        <v>172208</v>
      </c>
      <c r="V64" s="167">
        <v>186474</v>
      </c>
      <c r="W64" s="167">
        <v>220824</v>
      </c>
      <c r="X64" s="167">
        <v>494670</v>
      </c>
      <c r="Y64" s="167">
        <v>234581</v>
      </c>
      <c r="Z64" s="167">
        <v>242746</v>
      </c>
      <c r="AA64" s="167">
        <v>249093</v>
      </c>
      <c r="AB64" s="167">
        <v>252292</v>
      </c>
      <c r="AC64" s="167">
        <v>269628</v>
      </c>
    </row>
    <row r="65" spans="1:29">
      <c r="A65" s="151" t="s">
        <v>1127</v>
      </c>
      <c r="B65" s="151" t="s">
        <v>1128</v>
      </c>
      <c r="C65" s="152"/>
      <c r="D65" s="167"/>
      <c r="E65" s="167"/>
      <c r="F65" s="167"/>
      <c r="K65" s="167">
        <v>219457</v>
      </c>
      <c r="L65" s="167">
        <v>165285</v>
      </c>
      <c r="M65" s="167">
        <v>108892</v>
      </c>
      <c r="N65" s="167">
        <v>49382</v>
      </c>
      <c r="O65" s="167">
        <v>246115</v>
      </c>
      <c r="P65" s="167">
        <v>183714</v>
      </c>
      <c r="Q65" s="167">
        <v>115140</v>
      </c>
      <c r="R65" s="167">
        <v>39253</v>
      </c>
      <c r="S65" s="167">
        <v>49296</v>
      </c>
      <c r="T65" s="167">
        <v>36385</v>
      </c>
      <c r="U65" s="167">
        <v>23369</v>
      </c>
      <c r="V65" s="167">
        <v>8690</v>
      </c>
      <c r="W65" s="167">
        <v>0</v>
      </c>
      <c r="AA65" s="167">
        <v>3992</v>
      </c>
      <c r="AB65" s="167">
        <v>2997</v>
      </c>
      <c r="AC65" s="167">
        <v>1851</v>
      </c>
    </row>
    <row r="66" spans="1:29" ht="15" thickBot="1">
      <c r="A66" s="151" t="s">
        <v>1192</v>
      </c>
      <c r="B66" s="151" t="s">
        <v>1131</v>
      </c>
      <c r="C66" s="152"/>
      <c r="D66" s="167">
        <v>4274</v>
      </c>
      <c r="E66" s="167">
        <v>3460</v>
      </c>
      <c r="F66" s="167">
        <v>2491</v>
      </c>
      <c r="G66" s="167">
        <v>1561</v>
      </c>
      <c r="H66" s="167">
        <v>1131</v>
      </c>
      <c r="I66" s="167">
        <v>1271</v>
      </c>
      <c r="J66" s="167">
        <v>118</v>
      </c>
      <c r="K66" s="167">
        <v>204</v>
      </c>
      <c r="L66" s="167">
        <v>189</v>
      </c>
      <c r="M66" s="167">
        <v>174</v>
      </c>
      <c r="N66" s="167">
        <v>332</v>
      </c>
      <c r="O66" s="167">
        <v>489</v>
      </c>
      <c r="P66" s="167">
        <v>342</v>
      </c>
      <c r="Q66" s="167">
        <v>272</v>
      </c>
      <c r="R66" s="167">
        <v>535</v>
      </c>
      <c r="S66" s="167">
        <v>544</v>
      </c>
      <c r="T66" s="167">
        <v>510</v>
      </c>
      <c r="U66" s="167">
        <v>494</v>
      </c>
      <c r="V66" s="167">
        <v>521</v>
      </c>
      <c r="W66" s="167">
        <v>596</v>
      </c>
      <c r="X66" s="167">
        <v>610</v>
      </c>
      <c r="Y66" s="167">
        <v>675</v>
      </c>
      <c r="Z66" s="167">
        <v>661</v>
      </c>
      <c r="AA66" s="167">
        <v>684</v>
      </c>
      <c r="AB66" s="167">
        <v>700</v>
      </c>
      <c r="AC66" s="167">
        <v>704</v>
      </c>
    </row>
    <row r="67" spans="1:29" ht="15" thickBot="1">
      <c r="A67" s="155" t="s">
        <v>1081</v>
      </c>
      <c r="B67" s="155" t="s">
        <v>1082</v>
      </c>
      <c r="C67" s="148"/>
      <c r="D67" s="156">
        <f t="shared" ref="D67:K67" si="20">SUM(D68:D79)</f>
        <v>3546716</v>
      </c>
      <c r="E67" s="156">
        <f t="shared" si="20"/>
        <v>3392333</v>
      </c>
      <c r="F67" s="156">
        <f t="shared" si="20"/>
        <v>3397442</v>
      </c>
      <c r="G67" s="156">
        <f t="shared" si="20"/>
        <v>3643100</v>
      </c>
      <c r="H67" s="156">
        <f t="shared" si="20"/>
        <v>3607702</v>
      </c>
      <c r="I67" s="156">
        <f t="shared" si="20"/>
        <v>3171368</v>
      </c>
      <c r="J67" s="156">
        <f t="shared" si="20"/>
        <v>3233689</v>
      </c>
      <c r="K67" s="156">
        <f t="shared" si="20"/>
        <v>3403321</v>
      </c>
      <c r="L67" s="156">
        <f t="shared" ref="L67:Q67" si="21">SUM(L68:L79)</f>
        <v>3535381</v>
      </c>
      <c r="M67" s="156">
        <f t="shared" si="21"/>
        <v>3401782</v>
      </c>
      <c r="N67" s="156">
        <f t="shared" si="21"/>
        <v>3302408</v>
      </c>
      <c r="O67" s="156">
        <f t="shared" si="21"/>
        <v>3055777</v>
      </c>
      <c r="P67" s="156">
        <f t="shared" si="21"/>
        <v>3060900</v>
      </c>
      <c r="Q67" s="156">
        <f t="shared" si="21"/>
        <v>3061119</v>
      </c>
      <c r="R67" s="156">
        <f t="shared" ref="R67:Y67" si="22">SUM(R68:R79)</f>
        <v>3064482</v>
      </c>
      <c r="S67" s="156">
        <f t="shared" si="22"/>
        <v>3179977</v>
      </c>
      <c r="T67" s="156">
        <f t="shared" si="22"/>
        <v>2885853</v>
      </c>
      <c r="U67" s="156">
        <f t="shared" si="22"/>
        <v>2915452</v>
      </c>
      <c r="V67" s="156">
        <f t="shared" si="22"/>
        <v>2888755</v>
      </c>
      <c r="W67" s="156">
        <f t="shared" si="22"/>
        <v>3638750</v>
      </c>
      <c r="X67" s="156">
        <f t="shared" si="22"/>
        <v>3685629</v>
      </c>
      <c r="Y67" s="156">
        <f t="shared" si="22"/>
        <v>3328835</v>
      </c>
      <c r="Z67" s="156">
        <f t="shared" ref="Z67" si="23">SUM(Z68:Z79)</f>
        <v>4596129</v>
      </c>
      <c r="AA67" s="156">
        <f t="shared" ref="AA67:AB67" si="24">SUM(AA68:AA79)</f>
        <v>4011590</v>
      </c>
      <c r="AB67" s="156">
        <f t="shared" si="24"/>
        <v>4629798</v>
      </c>
      <c r="AC67" s="156">
        <f>SUM(AC68:AC79)</f>
        <v>4662460</v>
      </c>
    </row>
    <row r="68" spans="1:29">
      <c r="A68" s="151" t="s">
        <v>1105</v>
      </c>
      <c r="B68" s="151" t="s">
        <v>1106</v>
      </c>
      <c r="C68" s="152"/>
      <c r="D68" s="179">
        <v>1685874</v>
      </c>
      <c r="E68" s="179">
        <v>1683815</v>
      </c>
      <c r="F68" s="179">
        <v>1678718</v>
      </c>
      <c r="G68" s="167">
        <v>2178660</v>
      </c>
      <c r="H68" s="167">
        <v>2137358</v>
      </c>
      <c r="I68" s="167">
        <v>1946819</v>
      </c>
      <c r="J68" s="167">
        <v>2069685</v>
      </c>
      <c r="K68" s="167">
        <v>2198869</v>
      </c>
      <c r="L68" s="167">
        <v>2269650</v>
      </c>
      <c r="M68" s="167">
        <v>2455193</v>
      </c>
      <c r="N68" s="167">
        <v>2363933</v>
      </c>
      <c r="O68" s="167">
        <v>2347963</v>
      </c>
      <c r="P68" s="167">
        <v>2354300</v>
      </c>
      <c r="Q68" s="167">
        <v>2342149</v>
      </c>
      <c r="R68" s="167">
        <v>2347213</v>
      </c>
      <c r="S68" s="167">
        <v>2466669</v>
      </c>
      <c r="T68" s="167">
        <v>2159409</v>
      </c>
      <c r="U68" s="167">
        <v>2249215</v>
      </c>
      <c r="V68" s="167">
        <v>2234816</v>
      </c>
      <c r="W68" s="167">
        <v>2765713</v>
      </c>
      <c r="X68" s="167">
        <v>2795982</v>
      </c>
      <c r="Y68" s="167">
        <v>2434313</v>
      </c>
      <c r="Z68" s="167">
        <v>3100293</v>
      </c>
      <c r="AA68" s="167">
        <v>2966262</v>
      </c>
      <c r="AB68" s="167">
        <v>2914443</v>
      </c>
      <c r="AC68" s="167">
        <v>2915049</v>
      </c>
    </row>
    <row r="69" spans="1:29">
      <c r="A69" s="151" t="s">
        <v>1107</v>
      </c>
      <c r="B69" s="151" t="s">
        <v>1108</v>
      </c>
      <c r="C69" s="152"/>
      <c r="D69" s="179">
        <v>1019490</v>
      </c>
      <c r="E69" s="179">
        <v>1019549</v>
      </c>
      <c r="F69" s="179">
        <v>1019608</v>
      </c>
      <c r="G69" s="167">
        <v>619668</v>
      </c>
      <c r="H69" s="167">
        <v>619726</v>
      </c>
      <c r="I69" s="167">
        <v>309785</v>
      </c>
      <c r="J69" s="167">
        <v>309845</v>
      </c>
      <c r="K69" s="167">
        <v>709904</v>
      </c>
      <c r="L69" s="167">
        <v>709962</v>
      </c>
      <c r="M69" s="167">
        <v>400000</v>
      </c>
      <c r="N69" s="167">
        <v>400000</v>
      </c>
      <c r="O69" s="167">
        <v>400000</v>
      </c>
      <c r="P69" s="167">
        <v>400000</v>
      </c>
      <c r="Q69" s="167">
        <v>400000</v>
      </c>
      <c r="R69" s="167">
        <v>400000</v>
      </c>
      <c r="S69" s="167">
        <v>400000</v>
      </c>
      <c r="T69" s="167">
        <v>400000</v>
      </c>
      <c r="U69" s="167">
        <v>400000</v>
      </c>
      <c r="V69" s="167">
        <v>400000</v>
      </c>
      <c r="W69" s="167">
        <v>692302</v>
      </c>
      <c r="X69" s="167">
        <v>700932</v>
      </c>
      <c r="Y69" s="167">
        <v>694445</v>
      </c>
      <c r="Z69" s="167">
        <v>1167250</v>
      </c>
      <c r="AA69" s="167">
        <v>802655</v>
      </c>
      <c r="AB69" s="167">
        <v>1388215</v>
      </c>
      <c r="AC69" s="167">
        <v>1389214</v>
      </c>
    </row>
    <row r="70" spans="1:29">
      <c r="A70" s="151" t="s">
        <v>1111</v>
      </c>
      <c r="B70" s="151" t="s">
        <v>1112</v>
      </c>
      <c r="C70" s="152"/>
      <c r="D70" s="179">
        <v>37103</v>
      </c>
      <c r="E70" s="179">
        <v>32465</v>
      </c>
      <c r="F70" s="179">
        <v>27192</v>
      </c>
      <c r="G70" s="167">
        <v>22277</v>
      </c>
      <c r="H70" s="167">
        <v>17122</v>
      </c>
      <c r="I70" s="167">
        <v>12246</v>
      </c>
      <c r="J70" s="167">
        <v>6151</v>
      </c>
      <c r="K70" s="167">
        <v>2718</v>
      </c>
      <c r="L70" s="167">
        <v>369</v>
      </c>
      <c r="M70" s="167">
        <v>357</v>
      </c>
      <c r="N70" s="167">
        <v>345</v>
      </c>
      <c r="O70" s="167">
        <v>333</v>
      </c>
      <c r="P70" s="167">
        <v>321</v>
      </c>
      <c r="Q70" s="167">
        <v>310</v>
      </c>
      <c r="R70" s="167">
        <v>51</v>
      </c>
      <c r="S70" s="167">
        <v>39</v>
      </c>
      <c r="T70" s="167">
        <v>28</v>
      </c>
      <c r="U70" s="167">
        <v>688</v>
      </c>
      <c r="V70" s="167">
        <v>629</v>
      </c>
      <c r="W70" s="167">
        <v>574</v>
      </c>
      <c r="X70" s="167">
        <v>521</v>
      </c>
      <c r="Y70" s="167">
        <v>466</v>
      </c>
      <c r="Z70" s="167">
        <v>408</v>
      </c>
      <c r="AA70" s="167">
        <v>275</v>
      </c>
      <c r="AB70" s="167">
        <v>222</v>
      </c>
      <c r="AC70" s="167">
        <v>164</v>
      </c>
    </row>
    <row r="71" spans="1:29">
      <c r="A71" s="151" t="s">
        <v>1162</v>
      </c>
      <c r="B71" s="151" t="s">
        <v>1133</v>
      </c>
      <c r="C71" s="152"/>
      <c r="D71" s="179"/>
      <c r="E71" s="179"/>
      <c r="F71" s="179"/>
      <c r="G71" s="167">
        <v>2396</v>
      </c>
      <c r="H71" s="167">
        <v>22273</v>
      </c>
      <c r="I71" s="167">
        <v>9197</v>
      </c>
      <c r="M71" s="167">
        <v>0</v>
      </c>
      <c r="Q71" s="167">
        <v>0</v>
      </c>
    </row>
    <row r="72" spans="1:29">
      <c r="A72" s="151" t="s">
        <v>1191</v>
      </c>
      <c r="B72" s="151" t="s">
        <v>1126</v>
      </c>
      <c r="C72" s="152"/>
      <c r="D72" s="179">
        <v>211196</v>
      </c>
      <c r="E72" s="179">
        <v>215353</v>
      </c>
      <c r="F72" s="179">
        <v>218649</v>
      </c>
      <c r="G72" s="167">
        <v>218963</v>
      </c>
      <c r="H72" s="167">
        <v>216290</v>
      </c>
      <c r="I72" s="167">
        <v>222281</v>
      </c>
      <c r="J72" s="167">
        <v>206850</v>
      </c>
      <c r="K72" s="167">
        <v>166480</v>
      </c>
      <c r="L72" s="167">
        <v>138401</v>
      </c>
      <c r="M72" s="167">
        <v>134750</v>
      </c>
      <c r="N72" s="167">
        <v>110734</v>
      </c>
      <c r="O72" s="167">
        <v>114649</v>
      </c>
      <c r="P72" s="167">
        <v>118168</v>
      </c>
      <c r="Q72" s="167">
        <v>107544</v>
      </c>
      <c r="R72" s="167">
        <v>97520</v>
      </c>
      <c r="S72" s="167">
        <v>98397</v>
      </c>
      <c r="T72" s="167">
        <v>110121</v>
      </c>
      <c r="U72" s="167">
        <v>112098</v>
      </c>
      <c r="V72" s="167">
        <v>113637</v>
      </c>
      <c r="W72" s="167">
        <v>118965</v>
      </c>
      <c r="X72" s="167">
        <v>119837</v>
      </c>
      <c r="Y72" s="167">
        <v>132289</v>
      </c>
      <c r="Z72" s="167">
        <v>130638</v>
      </c>
      <c r="AA72" s="167">
        <v>125626</v>
      </c>
      <c r="AB72" s="167">
        <v>127068</v>
      </c>
      <c r="AC72" s="167">
        <v>128869</v>
      </c>
    </row>
    <row r="73" spans="1:29">
      <c r="A73" s="151" t="s">
        <v>1193</v>
      </c>
      <c r="B73" s="151" t="s">
        <v>1071</v>
      </c>
      <c r="C73" s="152"/>
      <c r="D73" s="179"/>
      <c r="E73" s="179"/>
      <c r="F73" s="179"/>
      <c r="I73" s="167">
        <v>5529</v>
      </c>
      <c r="L73" s="167">
        <v>123525</v>
      </c>
      <c r="O73" s="167">
        <v>56348</v>
      </c>
      <c r="P73" s="167">
        <v>29366</v>
      </c>
      <c r="Q73" s="167">
        <v>33620</v>
      </c>
      <c r="R73" s="167">
        <v>47112</v>
      </c>
      <c r="S73" s="167">
        <v>46643</v>
      </c>
      <c r="T73" s="167">
        <v>54932</v>
      </c>
      <c r="U73" s="167">
        <v>61091</v>
      </c>
      <c r="V73" s="167">
        <v>41698</v>
      </c>
      <c r="W73" s="167">
        <v>0</v>
      </c>
      <c r="X73" s="167">
        <v>5730</v>
      </c>
      <c r="Y73" s="167">
        <v>930</v>
      </c>
    </row>
    <row r="74" spans="1:29">
      <c r="A74" s="151" t="s">
        <v>1127</v>
      </c>
      <c r="B74" s="151" t="s">
        <v>1128</v>
      </c>
      <c r="C74" s="152"/>
      <c r="D74" s="179">
        <v>448116</v>
      </c>
      <c r="E74" s="179">
        <v>296287</v>
      </c>
      <c r="F74" s="179">
        <v>308304</v>
      </c>
      <c r="G74" s="167">
        <v>454311</v>
      </c>
      <c r="H74" s="167">
        <v>455426</v>
      </c>
      <c r="I74" s="167">
        <v>456947</v>
      </c>
      <c r="J74" s="167">
        <v>459119</v>
      </c>
      <c r="K74" s="167">
        <v>222132</v>
      </c>
      <c r="L74" s="167">
        <v>225272</v>
      </c>
      <c r="M74" s="167">
        <v>246208</v>
      </c>
      <c r="N74" s="167">
        <v>248478</v>
      </c>
      <c r="Q74" s="167">
        <v>0</v>
      </c>
    </row>
    <row r="75" spans="1:29">
      <c r="A75" s="151" t="s">
        <v>1194</v>
      </c>
      <c r="B75" s="151" t="s">
        <v>1195</v>
      </c>
      <c r="C75" s="152"/>
      <c r="D75" s="179">
        <v>5649</v>
      </c>
      <c r="E75" s="179">
        <v>5649</v>
      </c>
      <c r="F75" s="179">
        <v>5649</v>
      </c>
      <c r="G75" s="167">
        <v>3922</v>
      </c>
      <c r="H75" s="167">
        <v>3922</v>
      </c>
      <c r="I75" s="167">
        <v>3922</v>
      </c>
      <c r="J75" s="167">
        <v>3922</v>
      </c>
      <c r="K75" s="167">
        <v>2629</v>
      </c>
      <c r="L75" s="167">
        <v>2629</v>
      </c>
      <c r="M75" s="167">
        <v>2629</v>
      </c>
      <c r="N75" s="167">
        <v>2629</v>
      </c>
      <c r="O75" s="167">
        <v>4093</v>
      </c>
      <c r="P75" s="167">
        <v>4155</v>
      </c>
      <c r="Q75" s="167">
        <v>4217</v>
      </c>
      <c r="R75" s="167">
        <v>4279</v>
      </c>
      <c r="S75" s="167">
        <v>4093</v>
      </c>
      <c r="T75" s="167">
        <v>4165</v>
      </c>
      <c r="U75" s="167">
        <v>4237</v>
      </c>
      <c r="V75" s="167">
        <v>4309</v>
      </c>
      <c r="W75" s="167">
        <v>4939</v>
      </c>
      <c r="X75" s="167">
        <v>5021</v>
      </c>
      <c r="Y75" s="167">
        <v>5102</v>
      </c>
      <c r="Z75" s="167">
        <v>5184</v>
      </c>
      <c r="AA75" s="167">
        <v>4387</v>
      </c>
      <c r="AB75" s="167">
        <v>4443</v>
      </c>
      <c r="AC75" s="167">
        <v>4500</v>
      </c>
    </row>
    <row r="76" spans="1:29">
      <c r="A76" s="151" t="s">
        <v>1196</v>
      </c>
      <c r="B76" s="151" t="s">
        <v>1122</v>
      </c>
      <c r="C76" s="152"/>
      <c r="D76" s="179">
        <v>49070</v>
      </c>
      <c r="E76" s="179">
        <v>49432</v>
      </c>
      <c r="F76" s="179">
        <v>49675</v>
      </c>
      <c r="G76" s="167">
        <v>88019</v>
      </c>
      <c r="H76" s="167">
        <v>80831</v>
      </c>
      <c r="I76" s="167">
        <v>81004</v>
      </c>
      <c r="J76" s="167">
        <v>87604</v>
      </c>
      <c r="K76" s="167">
        <v>24035</v>
      </c>
      <c r="L76" s="167">
        <v>13216</v>
      </c>
      <c r="M76" s="167">
        <v>29205</v>
      </c>
      <c r="N76" s="167">
        <v>32843</v>
      </c>
      <c r="O76" s="167">
        <v>30276</v>
      </c>
      <c r="P76" s="167">
        <v>32777</v>
      </c>
      <c r="Q76" s="167">
        <v>35315</v>
      </c>
      <c r="R76" s="167">
        <v>38238</v>
      </c>
      <c r="S76" s="167">
        <v>36151</v>
      </c>
      <c r="T76" s="167">
        <v>39168</v>
      </c>
      <c r="U76" s="167">
        <v>42300</v>
      </c>
      <c r="V76" s="167">
        <v>45745</v>
      </c>
      <c r="W76" s="167">
        <v>20151</v>
      </c>
      <c r="X76" s="167">
        <v>23387</v>
      </c>
      <c r="Y76" s="167">
        <v>26737</v>
      </c>
      <c r="Z76" s="167">
        <v>30501</v>
      </c>
      <c r="AA76" s="167">
        <v>14079</v>
      </c>
      <c r="AB76" s="167">
        <v>18777</v>
      </c>
      <c r="AC76" s="167">
        <v>23981</v>
      </c>
    </row>
    <row r="77" spans="1:29">
      <c r="A77" s="151" t="s">
        <v>1072</v>
      </c>
      <c r="B77" s="151" t="s">
        <v>1073</v>
      </c>
      <c r="C77" s="152"/>
      <c r="D77" s="179"/>
      <c r="E77" s="179"/>
      <c r="F77" s="179"/>
      <c r="M77" s="167">
        <v>83197</v>
      </c>
      <c r="N77" s="167">
        <v>95139</v>
      </c>
      <c r="O77" s="167">
        <v>55912</v>
      </c>
      <c r="P77" s="167">
        <v>77544</v>
      </c>
      <c r="Q77" s="167">
        <v>94304</v>
      </c>
      <c r="R77" s="167">
        <v>85027</v>
      </c>
      <c r="S77" s="167">
        <v>83245</v>
      </c>
      <c r="T77" s="167">
        <v>74728</v>
      </c>
      <c r="U77" s="167">
        <v>6333</v>
      </c>
      <c r="V77" s="167">
        <v>10251</v>
      </c>
      <c r="W77" s="167">
        <v>0</v>
      </c>
      <c r="Y77" s="167">
        <v>14412</v>
      </c>
      <c r="Z77" s="167">
        <v>141368</v>
      </c>
      <c r="AA77" s="167">
        <v>77027</v>
      </c>
      <c r="AB77" s="167">
        <v>151010</v>
      </c>
      <c r="AC77" s="167">
        <v>181168</v>
      </c>
    </row>
    <row r="78" spans="1:29">
      <c r="A78" s="151" t="s">
        <v>1129</v>
      </c>
      <c r="B78" s="151" t="s">
        <v>96</v>
      </c>
      <c r="C78" s="152"/>
      <c r="D78" s="179">
        <v>89806</v>
      </c>
      <c r="E78" s="179">
        <v>89722</v>
      </c>
      <c r="F78" s="179">
        <v>89615</v>
      </c>
      <c r="G78" s="167">
        <v>54814</v>
      </c>
      <c r="H78" s="167">
        <v>54702</v>
      </c>
      <c r="I78" s="167">
        <v>123608</v>
      </c>
      <c r="J78" s="167">
        <v>90501</v>
      </c>
      <c r="K78" s="167">
        <v>76462</v>
      </c>
      <c r="L78" s="167">
        <v>52301</v>
      </c>
      <c r="M78" s="167">
        <v>50224</v>
      </c>
      <c r="N78" s="167">
        <v>48223</v>
      </c>
      <c r="O78" s="167">
        <v>46172</v>
      </c>
      <c r="P78" s="167">
        <v>44261</v>
      </c>
      <c r="Q78" s="167">
        <v>43606</v>
      </c>
      <c r="R78" s="167">
        <v>43101</v>
      </c>
      <c r="S78" s="167">
        <v>42737</v>
      </c>
      <c r="T78" s="167">
        <v>41412</v>
      </c>
      <c r="U78" s="167">
        <v>37716</v>
      </c>
      <c r="V78" s="167">
        <v>35772</v>
      </c>
      <c r="W78" s="167">
        <v>33914</v>
      </c>
      <c r="X78" s="167">
        <v>32185</v>
      </c>
      <c r="Y78" s="167">
        <v>18258</v>
      </c>
      <c r="Z78" s="167">
        <v>18921</v>
      </c>
      <c r="AA78" s="167">
        <v>19865</v>
      </c>
      <c r="AB78" s="167">
        <v>24373</v>
      </c>
      <c r="AC78" s="167">
        <v>18445</v>
      </c>
    </row>
    <row r="79" spans="1:29" ht="15" thickBot="1">
      <c r="A79" s="151" t="s">
        <v>1192</v>
      </c>
      <c r="B79" s="151" t="s">
        <v>1131</v>
      </c>
      <c r="C79" s="152"/>
      <c r="D79" s="179">
        <v>412</v>
      </c>
      <c r="E79" s="179">
        <v>61</v>
      </c>
      <c r="F79" s="179">
        <v>32</v>
      </c>
      <c r="G79" s="167">
        <v>70</v>
      </c>
      <c r="H79" s="167">
        <v>52</v>
      </c>
      <c r="I79" s="167">
        <v>30</v>
      </c>
      <c r="J79" s="167">
        <v>12</v>
      </c>
      <c r="K79" s="167">
        <v>92</v>
      </c>
      <c r="L79" s="167">
        <v>56</v>
      </c>
      <c r="M79" s="167">
        <v>19</v>
      </c>
      <c r="N79" s="167">
        <v>84</v>
      </c>
      <c r="O79" s="167">
        <v>31</v>
      </c>
      <c r="P79" s="167">
        <v>8</v>
      </c>
      <c r="Q79" s="167">
        <v>54</v>
      </c>
      <c r="R79" s="167">
        <v>1941</v>
      </c>
      <c r="S79" s="167">
        <v>2003</v>
      </c>
      <c r="T79" s="167">
        <v>1890</v>
      </c>
      <c r="U79" s="167">
        <v>1774</v>
      </c>
      <c r="V79" s="167">
        <v>1898</v>
      </c>
      <c r="W79" s="167">
        <v>2192</v>
      </c>
      <c r="X79" s="167">
        <v>2034</v>
      </c>
      <c r="Y79" s="167">
        <v>1883</v>
      </c>
      <c r="Z79" s="167">
        <v>1566</v>
      </c>
      <c r="AA79" s="167">
        <v>1414</v>
      </c>
      <c r="AB79" s="167">
        <v>1247</v>
      </c>
      <c r="AC79" s="167">
        <v>1070</v>
      </c>
    </row>
    <row r="80" spans="1:29" ht="15" thickBot="1">
      <c r="A80" s="164" t="s">
        <v>1134</v>
      </c>
      <c r="B80" s="164" t="s">
        <v>1013</v>
      </c>
      <c r="C80" s="148"/>
      <c r="D80" s="185"/>
      <c r="E80" s="185"/>
      <c r="F80" s="185"/>
      <c r="G80" s="185"/>
      <c r="H80" s="185"/>
      <c r="I80" s="185"/>
      <c r="J80" s="185"/>
      <c r="K80" s="185"/>
      <c r="L80" s="185"/>
      <c r="M80" s="185"/>
      <c r="N80" s="185"/>
      <c r="O80" s="185"/>
      <c r="P80" s="185"/>
      <c r="Q80" s="185"/>
      <c r="R80" s="185"/>
      <c r="S80" s="185"/>
      <c r="T80" s="185"/>
      <c r="U80" s="185"/>
      <c r="V80" s="185"/>
      <c r="W80" s="185"/>
      <c r="X80" s="185"/>
      <c r="Y80" s="185"/>
      <c r="Z80" s="185"/>
      <c r="AA80" s="185"/>
      <c r="AB80" s="185"/>
      <c r="AC80" s="185"/>
    </row>
    <row r="81" spans="1:29" ht="15" thickBot="1">
      <c r="A81" s="155" t="s">
        <v>1135</v>
      </c>
      <c r="B81" s="155" t="s">
        <v>1136</v>
      </c>
      <c r="C81" s="148"/>
      <c r="D81" s="156">
        <f t="shared" ref="D81:K81" si="25">SUM(D82:D88)</f>
        <v>-845286</v>
      </c>
      <c r="E81" s="156">
        <f t="shared" si="25"/>
        <v>-828737</v>
      </c>
      <c r="F81" s="156">
        <f t="shared" si="25"/>
        <v>-860802</v>
      </c>
      <c r="G81" s="156">
        <f t="shared" si="25"/>
        <v>-263997</v>
      </c>
      <c r="H81" s="156">
        <f t="shared" si="25"/>
        <v>-209657</v>
      </c>
      <c r="I81" s="156">
        <f t="shared" si="25"/>
        <v>-80580</v>
      </c>
      <c r="J81" s="156">
        <f t="shared" si="25"/>
        <v>568229</v>
      </c>
      <c r="K81" s="156">
        <f t="shared" si="25"/>
        <v>564180</v>
      </c>
      <c r="L81" s="156">
        <f t="shared" ref="L81:Q81" si="26">SUM(L82:L88)</f>
        <v>720046</v>
      </c>
      <c r="M81" s="156">
        <f t="shared" si="26"/>
        <v>730489</v>
      </c>
      <c r="N81" s="156">
        <f t="shared" si="26"/>
        <v>792514</v>
      </c>
      <c r="O81" s="156">
        <f t="shared" si="26"/>
        <v>821100</v>
      </c>
      <c r="P81" s="156">
        <f t="shared" si="26"/>
        <v>846362</v>
      </c>
      <c r="Q81" s="156">
        <f t="shared" si="26"/>
        <v>918723</v>
      </c>
      <c r="R81" s="156">
        <f t="shared" ref="R81:Y81" si="27">SUM(R82:R88)</f>
        <v>1049134</v>
      </c>
      <c r="S81" s="156">
        <f t="shared" si="27"/>
        <v>1094917</v>
      </c>
      <c r="T81" s="156">
        <f t="shared" si="27"/>
        <v>1159145</v>
      </c>
      <c r="U81" s="156">
        <f t="shared" si="27"/>
        <v>1114048</v>
      </c>
      <c r="V81" s="156">
        <f t="shared" si="27"/>
        <v>1220504</v>
      </c>
      <c r="W81" s="156">
        <f t="shared" si="27"/>
        <v>1249413</v>
      </c>
      <c r="X81" s="156">
        <f t="shared" si="27"/>
        <v>1345221</v>
      </c>
      <c r="Y81" s="156">
        <f t="shared" si="27"/>
        <v>1392707</v>
      </c>
      <c r="Z81" s="156">
        <f t="shared" ref="Z81" si="28">SUM(Z82:Z88)</f>
        <v>1492569</v>
      </c>
      <c r="AA81" s="156">
        <f t="shared" ref="AA81:AB81" si="29">SUM(AA82:AA88)</f>
        <v>1647434</v>
      </c>
      <c r="AB81" s="156">
        <f t="shared" si="29"/>
        <v>1675184</v>
      </c>
      <c r="AC81" s="156">
        <f>SUM(AC82:AC88)</f>
        <v>1790405</v>
      </c>
    </row>
    <row r="82" spans="1:29">
      <c r="A82" s="151" t="s">
        <v>1137</v>
      </c>
      <c r="B82" s="151" t="s">
        <v>1138</v>
      </c>
      <c r="C82" s="152"/>
      <c r="D82" s="167">
        <v>1994416</v>
      </c>
      <c r="E82" s="167">
        <v>1994416</v>
      </c>
      <c r="F82" s="167">
        <v>1994416</v>
      </c>
      <c r="G82" s="167">
        <v>1000</v>
      </c>
      <c r="H82" s="167">
        <v>1000</v>
      </c>
      <c r="I82" s="167">
        <v>1000</v>
      </c>
      <c r="J82" s="167">
        <v>1000</v>
      </c>
      <c r="K82" s="167">
        <v>1000</v>
      </c>
      <c r="L82" s="167">
        <v>1000</v>
      </c>
      <c r="M82" s="167">
        <v>287479</v>
      </c>
      <c r="N82" s="167">
        <v>287479</v>
      </c>
      <c r="O82" s="167">
        <v>375981</v>
      </c>
      <c r="P82" s="167">
        <v>375981</v>
      </c>
      <c r="Q82" s="167">
        <v>471701</v>
      </c>
      <c r="R82" s="167">
        <v>471701</v>
      </c>
      <c r="S82" s="167">
        <v>471701</v>
      </c>
      <c r="T82" s="167">
        <v>471701</v>
      </c>
      <c r="U82" s="167">
        <v>543432</v>
      </c>
      <c r="V82" s="167">
        <v>543433</v>
      </c>
      <c r="W82" s="167">
        <v>543433</v>
      </c>
      <c r="X82" s="167">
        <v>633578</v>
      </c>
      <c r="Y82" s="167">
        <v>633577</v>
      </c>
      <c r="Z82" s="167">
        <v>633577</v>
      </c>
      <c r="AA82" s="167">
        <v>633577</v>
      </c>
      <c r="AB82" s="167">
        <v>633577</v>
      </c>
      <c r="AC82" s="167">
        <v>839913</v>
      </c>
    </row>
    <row r="83" spans="1:29">
      <c r="A83" s="151" t="s">
        <v>1180</v>
      </c>
      <c r="B83" s="151" t="s">
        <v>1140</v>
      </c>
      <c r="C83" s="152"/>
      <c r="D83" s="167"/>
      <c r="E83" s="167"/>
      <c r="F83" s="167"/>
      <c r="G83" s="167">
        <v>5549</v>
      </c>
      <c r="H83" s="167">
        <v>6286</v>
      </c>
      <c r="I83" s="167">
        <v>7033</v>
      </c>
      <c r="J83" s="167">
        <v>8028</v>
      </c>
      <c r="K83" s="167">
        <v>9114</v>
      </c>
      <c r="L83" s="167">
        <v>9897</v>
      </c>
      <c r="M83" s="167">
        <v>10718</v>
      </c>
      <c r="N83" s="167">
        <v>11461</v>
      </c>
      <c r="O83" s="167">
        <v>12105</v>
      </c>
      <c r="P83" s="167">
        <v>12541</v>
      </c>
      <c r="Q83" s="167">
        <v>12968</v>
      </c>
      <c r="R83" s="167">
        <v>14023</v>
      </c>
      <c r="S83" s="167">
        <v>14716</v>
      </c>
      <c r="T83" s="167">
        <v>15234</v>
      </c>
      <c r="U83" s="167">
        <v>15832</v>
      </c>
      <c r="V83" s="167">
        <v>16525</v>
      </c>
      <c r="W83" s="167">
        <v>16877</v>
      </c>
      <c r="X83" s="167">
        <v>17208</v>
      </c>
      <c r="Y83" s="167">
        <v>17794</v>
      </c>
      <c r="Z83" s="167">
        <v>18206</v>
      </c>
      <c r="AA83" s="167">
        <v>18532</v>
      </c>
      <c r="AB83" s="167">
        <v>18791</v>
      </c>
      <c r="AC83" s="167">
        <v>19757</v>
      </c>
    </row>
    <row r="84" spans="1:29">
      <c r="A84" s="151" t="s">
        <v>1141</v>
      </c>
      <c r="B84" s="151" t="s">
        <v>1142</v>
      </c>
      <c r="C84" s="152"/>
      <c r="D84" s="167"/>
      <c r="E84" s="167"/>
      <c r="F84" s="167"/>
      <c r="K84" s="167">
        <v>762010</v>
      </c>
      <c r="L84" s="167">
        <v>863094</v>
      </c>
      <c r="M84" s="167">
        <v>576615</v>
      </c>
      <c r="N84" s="167">
        <v>576615</v>
      </c>
      <c r="O84" s="167">
        <v>661518</v>
      </c>
      <c r="P84" s="167">
        <v>661518</v>
      </c>
      <c r="Q84" s="167">
        <v>565798</v>
      </c>
      <c r="R84" s="167">
        <v>565793</v>
      </c>
      <c r="S84" s="167">
        <v>745584</v>
      </c>
      <c r="T84" s="167">
        <v>745584</v>
      </c>
      <c r="U84" s="167">
        <v>556046</v>
      </c>
      <c r="V84" s="167">
        <v>556046</v>
      </c>
      <c r="W84" s="167">
        <v>841568</v>
      </c>
      <c r="X84" s="167">
        <v>751424</v>
      </c>
      <c r="Y84" s="167">
        <v>721354</v>
      </c>
      <c r="Z84" s="167">
        <v>721354</v>
      </c>
      <c r="AA84" s="167">
        <v>1107273</v>
      </c>
      <c r="AB84" s="167">
        <v>1107273</v>
      </c>
      <c r="AC84" s="167">
        <v>900910</v>
      </c>
    </row>
    <row r="85" spans="1:29">
      <c r="A85" s="151" t="s">
        <v>1197</v>
      </c>
      <c r="B85" s="151" t="s">
        <v>1198</v>
      </c>
      <c r="C85" s="152"/>
      <c r="D85" s="167"/>
      <c r="E85" s="167"/>
      <c r="F85" s="167"/>
      <c r="Q85" s="167">
        <v>0</v>
      </c>
    </row>
    <row r="86" spans="1:29">
      <c r="A86" s="151" t="s">
        <v>1199</v>
      </c>
      <c r="B86" s="151" t="s">
        <v>1144</v>
      </c>
      <c r="C86" s="152"/>
      <c r="D86" s="167">
        <v>-185240</v>
      </c>
      <c r="E86" s="167">
        <v>-188643</v>
      </c>
      <c r="F86" s="167">
        <v>-191172</v>
      </c>
      <c r="G86" s="167">
        <v>-203357</v>
      </c>
      <c r="H86" s="167">
        <v>-217944</v>
      </c>
      <c r="I86" s="167">
        <v>-202173</v>
      </c>
      <c r="J86" s="167">
        <v>-205827</v>
      </c>
      <c r="M86" s="167">
        <v>-231603</v>
      </c>
      <c r="N86" s="331">
        <v>-242097</v>
      </c>
      <c r="O86" s="331">
        <v>-228504</v>
      </c>
      <c r="P86" s="331">
        <v>-232650</v>
      </c>
      <c r="Q86" s="331">
        <v>-234272</v>
      </c>
      <c r="R86" s="332">
        <v>-166797</v>
      </c>
      <c r="S86" s="332">
        <v>-137084</v>
      </c>
      <c r="T86" s="332">
        <v>-138192</v>
      </c>
      <c r="U86" s="332">
        <v>-132099</v>
      </c>
      <c r="V86" s="332">
        <v>-132046</v>
      </c>
      <c r="W86" s="332">
        <v>-152465</v>
      </c>
      <c r="X86" s="332">
        <v>-103851</v>
      </c>
      <c r="Y86" s="332">
        <v>-122717</v>
      </c>
      <c r="Z86" s="332">
        <v>-121299</v>
      </c>
      <c r="AA86" s="332">
        <v>-111948</v>
      </c>
      <c r="AB86" s="332">
        <v>-117503</v>
      </c>
      <c r="AC86" s="332">
        <v>-114664</v>
      </c>
    </row>
    <row r="87" spans="1:29">
      <c r="A87" s="151" t="s">
        <v>1145</v>
      </c>
      <c r="B87" s="151" t="s">
        <v>1146</v>
      </c>
      <c r="C87" s="152"/>
      <c r="D87" s="167">
        <v>-2680004</v>
      </c>
      <c r="E87" s="167">
        <v>-2680005</v>
      </c>
      <c r="F87" s="167">
        <v>-2680004</v>
      </c>
      <c r="G87" s="167">
        <v>-686589</v>
      </c>
      <c r="H87" s="167">
        <v>-67188</v>
      </c>
      <c r="I87" s="167">
        <v>-67188</v>
      </c>
      <c r="J87" s="167">
        <v>-67189</v>
      </c>
      <c r="K87" s="167">
        <v>-207944</v>
      </c>
      <c r="L87" s="167">
        <v>-221465</v>
      </c>
      <c r="M87" s="167">
        <v>0</v>
      </c>
      <c r="N87" s="167">
        <v>159056</v>
      </c>
      <c r="Q87" s="167">
        <v>0</v>
      </c>
      <c r="S87" s="167">
        <v>0</v>
      </c>
      <c r="AA87" s="167">
        <v>-8988</v>
      </c>
      <c r="AB87" s="167">
        <v>0</v>
      </c>
      <c r="AC87" s="167">
        <v>0</v>
      </c>
    </row>
    <row r="88" spans="1:29" ht="15" thickBot="1">
      <c r="A88" s="151" t="s">
        <v>1200</v>
      </c>
      <c r="B88" s="151" t="s">
        <v>777</v>
      </c>
      <c r="C88" s="152"/>
      <c r="D88" s="167">
        <v>25542</v>
      </c>
      <c r="E88" s="167">
        <v>45495</v>
      </c>
      <c r="F88" s="167">
        <v>15958</v>
      </c>
      <c r="G88" s="167">
        <v>619400</v>
      </c>
      <c r="H88" s="167">
        <v>68189</v>
      </c>
      <c r="I88" s="167">
        <v>180748</v>
      </c>
      <c r="J88" s="167">
        <v>832217</v>
      </c>
      <c r="L88" s="167">
        <v>67520</v>
      </c>
      <c r="M88" s="167">
        <v>87280</v>
      </c>
      <c r="P88" s="167">
        <v>28972</v>
      </c>
      <c r="Q88" s="167">
        <v>102528</v>
      </c>
      <c r="R88" s="167">
        <v>164414</v>
      </c>
      <c r="S88" s="167">
        <v>0</v>
      </c>
      <c r="T88" s="167">
        <v>64818</v>
      </c>
      <c r="U88" s="167">
        <v>130837</v>
      </c>
      <c r="V88" s="167">
        <v>236546</v>
      </c>
      <c r="X88" s="167">
        <v>46862</v>
      </c>
      <c r="Y88" s="167">
        <v>142699</v>
      </c>
      <c r="Z88" s="167">
        <v>240731</v>
      </c>
      <c r="AA88" s="167">
        <v>8988</v>
      </c>
      <c r="AB88" s="167">
        <v>33046</v>
      </c>
      <c r="AC88" s="167">
        <v>144489</v>
      </c>
    </row>
    <row r="89" spans="1:29" ht="15" thickBot="1">
      <c r="A89" s="155" t="s">
        <v>1147</v>
      </c>
      <c r="B89" s="155" t="s">
        <v>1148</v>
      </c>
      <c r="C89" s="148"/>
      <c r="D89" s="156">
        <f t="shared" ref="D89:Q89" si="30">D81+D67+D49</f>
        <v>3824785</v>
      </c>
      <c r="E89" s="156">
        <f t="shared" si="30"/>
        <v>3883789</v>
      </c>
      <c r="F89" s="156">
        <f t="shared" si="30"/>
        <v>4064479</v>
      </c>
      <c r="G89" s="156">
        <f t="shared" si="30"/>
        <v>5210503</v>
      </c>
      <c r="H89" s="156">
        <f t="shared" si="30"/>
        <v>4925231</v>
      </c>
      <c r="I89" s="156">
        <f t="shared" si="30"/>
        <v>5150363</v>
      </c>
      <c r="J89" s="156">
        <f t="shared" si="30"/>
        <v>6056155</v>
      </c>
      <c r="K89" s="156">
        <f t="shared" si="30"/>
        <v>6255665</v>
      </c>
      <c r="L89" s="156">
        <f t="shared" si="30"/>
        <v>6237095</v>
      </c>
      <c r="M89" s="156">
        <f t="shared" si="30"/>
        <v>5575629</v>
      </c>
      <c r="N89" s="156">
        <f t="shared" si="30"/>
        <v>5455282</v>
      </c>
      <c r="O89" s="156">
        <f t="shared" si="30"/>
        <v>5677675</v>
      </c>
      <c r="P89" s="156">
        <f t="shared" si="30"/>
        <v>5627583</v>
      </c>
      <c r="Q89" s="156">
        <f t="shared" si="30"/>
        <v>5449758</v>
      </c>
      <c r="R89" s="156">
        <f t="shared" ref="R89:W89" si="31">R81+R67+R49</f>
        <v>5512544</v>
      </c>
      <c r="S89" s="156">
        <f t="shared" si="31"/>
        <v>5919763</v>
      </c>
      <c r="T89" s="156">
        <f t="shared" si="31"/>
        <v>5953658</v>
      </c>
      <c r="U89" s="156">
        <f t="shared" si="31"/>
        <v>6315732</v>
      </c>
      <c r="V89" s="156">
        <f t="shared" si="31"/>
        <v>6281732</v>
      </c>
      <c r="W89" s="156">
        <f t="shared" si="31"/>
        <v>6794947</v>
      </c>
      <c r="X89" s="156">
        <f t="shared" ref="X89:AC89" si="32">X81+X67+X49</f>
        <v>6846954</v>
      </c>
      <c r="Y89" s="156">
        <f t="shared" si="32"/>
        <v>6559087</v>
      </c>
      <c r="Z89" s="156">
        <f t="shared" si="32"/>
        <v>8014074</v>
      </c>
      <c r="AA89" s="156">
        <f t="shared" si="32"/>
        <v>7862712</v>
      </c>
      <c r="AB89" s="156">
        <f t="shared" si="32"/>
        <v>8205281</v>
      </c>
      <c r="AC89" s="156">
        <f t="shared" si="32"/>
        <v>7922310</v>
      </c>
    </row>
    <row r="90" spans="1:29">
      <c r="D90" s="167">
        <f t="shared" ref="D90:N90" si="33">+D89-D46</f>
        <v>0</v>
      </c>
      <c r="E90" s="167">
        <f t="shared" si="33"/>
        <v>0</v>
      </c>
      <c r="F90" s="167">
        <f t="shared" si="33"/>
        <v>0</v>
      </c>
      <c r="G90" s="167">
        <f t="shared" si="33"/>
        <v>0</v>
      </c>
      <c r="H90" s="167">
        <f t="shared" si="33"/>
        <v>0</v>
      </c>
      <c r="I90" s="167">
        <f t="shared" si="33"/>
        <v>0</v>
      </c>
      <c r="J90" s="167">
        <f t="shared" si="33"/>
        <v>0</v>
      </c>
      <c r="K90" s="167">
        <f t="shared" si="33"/>
        <v>0</v>
      </c>
      <c r="L90" s="167">
        <f t="shared" si="33"/>
        <v>0</v>
      </c>
      <c r="M90" s="167">
        <f t="shared" si="33"/>
        <v>0</v>
      </c>
      <c r="N90" s="167">
        <f t="shared" si="33"/>
        <v>0</v>
      </c>
      <c r="O90" s="167">
        <f t="shared" ref="O90:T90" si="34">+O89-O46</f>
        <v>0</v>
      </c>
      <c r="P90" s="167">
        <f t="shared" si="34"/>
        <v>0</v>
      </c>
      <c r="Q90" s="167">
        <f t="shared" si="34"/>
        <v>0</v>
      </c>
      <c r="R90" s="167">
        <f t="shared" si="34"/>
        <v>0</v>
      </c>
      <c r="S90" s="167">
        <f t="shared" si="34"/>
        <v>0</v>
      </c>
      <c r="T90" s="167">
        <f t="shared" si="34"/>
        <v>0</v>
      </c>
      <c r="U90" s="167">
        <f t="shared" ref="U90:Y90" si="35">+U89-U46</f>
        <v>0</v>
      </c>
      <c r="V90" s="167">
        <f t="shared" si="35"/>
        <v>0</v>
      </c>
      <c r="W90" s="167">
        <f t="shared" si="35"/>
        <v>0</v>
      </c>
      <c r="X90" s="167">
        <f t="shared" si="35"/>
        <v>0</v>
      </c>
      <c r="Y90" s="167">
        <f t="shared" si="35"/>
        <v>0</v>
      </c>
      <c r="Z90" s="167">
        <f>+Z89-Z46</f>
        <v>0</v>
      </c>
      <c r="AA90" s="167">
        <f>+AA89-AA46</f>
        <v>0</v>
      </c>
      <c r="AB90" s="167">
        <f>+AB89-AB46</f>
        <v>0</v>
      </c>
      <c r="AC90" s="167">
        <f>+AC89-AC46</f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  <ignoredErrors>
    <ignoredError sqref="L48:S48" unlockedFormula="1"/>
  </ignoredErrors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theme="9" tint="0.79998168889431442"/>
  </sheetPr>
  <dimension ref="A6:AK91"/>
  <sheetViews>
    <sheetView showGridLines="0" zoomScale="85" zoomScaleNormal="85" workbookViewId="0">
      <pane xSplit="2" topLeftCell="AI1" activePane="topRight" state="frozen"/>
      <selection activeCell="BB24" sqref="BB24"/>
      <selection pane="topRight" activeCell="AK88" sqref="AK88"/>
    </sheetView>
  </sheetViews>
  <sheetFormatPr defaultColWidth="9.21875" defaultRowHeight="14.4"/>
  <cols>
    <col min="1" max="2" width="47.5546875" style="35" customWidth="1"/>
    <col min="3" max="3" width="0.5546875" customWidth="1"/>
    <col min="4" max="19" width="9.5546875" style="35" hidden="1" customWidth="1"/>
    <col min="20" max="35" width="9.5546875" style="35" bestFit="1" customWidth="1"/>
    <col min="36" max="36" width="9.5546875" style="35" customWidth="1"/>
    <col min="37" max="37" width="9.5546875" style="35" bestFit="1" customWidth="1"/>
    <col min="38" max="16384" width="9.21875" style="35"/>
  </cols>
  <sheetData>
    <row r="6" spans="1:37">
      <c r="A6" s="38" t="s">
        <v>116</v>
      </c>
      <c r="B6" s="38" t="s">
        <v>116</v>
      </c>
      <c r="C6" s="111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</row>
    <row r="7" spans="1:37" ht="15" thickBot="1">
      <c r="A7" s="6" t="s">
        <v>1049</v>
      </c>
      <c r="B7" s="6" t="s">
        <v>1050</v>
      </c>
      <c r="C7" s="146"/>
      <c r="D7" s="434" t="s">
        <v>59</v>
      </c>
      <c r="E7" s="434" t="s">
        <v>60</v>
      </c>
      <c r="F7" s="434" t="s">
        <v>61</v>
      </c>
      <c r="G7" s="434" t="s">
        <v>62</v>
      </c>
      <c r="H7" s="434" t="s">
        <v>63</v>
      </c>
      <c r="I7" s="434" t="s">
        <v>64</v>
      </c>
      <c r="J7" s="434" t="s">
        <v>65</v>
      </c>
      <c r="K7" s="434" t="s">
        <v>66</v>
      </c>
      <c r="L7" s="434" t="s">
        <v>67</v>
      </c>
      <c r="M7" s="434" t="s">
        <v>68</v>
      </c>
      <c r="N7" s="434" t="s">
        <v>69</v>
      </c>
      <c r="O7" s="434" t="s">
        <v>70</v>
      </c>
      <c r="P7" s="434" t="s">
        <v>71</v>
      </c>
      <c r="Q7" s="434" t="s">
        <v>72</v>
      </c>
      <c r="R7" s="434" t="s">
        <v>73</v>
      </c>
      <c r="S7" s="434" t="s">
        <v>74</v>
      </c>
      <c r="T7" s="434" t="s">
        <v>75</v>
      </c>
      <c r="U7" s="434" t="s">
        <v>76</v>
      </c>
      <c r="V7" s="434" t="s">
        <v>77</v>
      </c>
      <c r="W7" s="434" t="s">
        <v>78</v>
      </c>
      <c r="X7" s="434" t="s">
        <v>79</v>
      </c>
      <c r="Y7" s="434" t="s">
        <v>80</v>
      </c>
      <c r="Z7" s="434" t="s">
        <v>81</v>
      </c>
      <c r="AA7" s="434" t="s">
        <v>82</v>
      </c>
      <c r="AB7" s="434" t="s">
        <v>83</v>
      </c>
      <c r="AC7" s="434" t="s">
        <v>84</v>
      </c>
      <c r="AD7" s="434" t="s">
        <v>85</v>
      </c>
      <c r="AE7" s="434" t="s">
        <v>86</v>
      </c>
      <c r="AF7" s="434" t="s">
        <v>87</v>
      </c>
      <c r="AG7" s="434" t="s">
        <v>88</v>
      </c>
      <c r="AH7" s="434" t="s">
        <v>2074</v>
      </c>
      <c r="AI7" s="434" t="s">
        <v>2127</v>
      </c>
      <c r="AJ7" s="434" t="s">
        <v>2360</v>
      </c>
      <c r="AK7" s="434" t="s">
        <v>2494</v>
      </c>
    </row>
    <row r="8" spans="1:37" ht="15" thickBot="1">
      <c r="A8" s="147" t="s">
        <v>1051</v>
      </c>
      <c r="B8" s="147" t="s">
        <v>1052</v>
      </c>
      <c r="C8" s="148"/>
      <c r="D8" s="149">
        <f t="shared" ref="D8:V8" si="0">SUM(D9:D22)</f>
        <v>994890</v>
      </c>
      <c r="E8" s="149">
        <f t="shared" si="0"/>
        <v>935236</v>
      </c>
      <c r="F8" s="149">
        <f t="shared" si="0"/>
        <v>956724</v>
      </c>
      <c r="G8" s="149">
        <f t="shared" si="0"/>
        <v>868543.51057999989</v>
      </c>
      <c r="H8" s="149">
        <f t="shared" si="0"/>
        <v>1333660.0024600001</v>
      </c>
      <c r="I8" s="149">
        <f t="shared" si="0"/>
        <v>950116.63011000014</v>
      </c>
      <c r="J8" s="149">
        <f t="shared" si="0"/>
        <v>814328</v>
      </c>
      <c r="K8" s="149">
        <f t="shared" si="0"/>
        <v>988625</v>
      </c>
      <c r="L8" s="149">
        <f t="shared" si="0"/>
        <v>1228325</v>
      </c>
      <c r="M8" s="149">
        <f t="shared" si="0"/>
        <v>1377776</v>
      </c>
      <c r="N8" s="149">
        <f t="shared" si="0"/>
        <v>1592233</v>
      </c>
      <c r="O8" s="149">
        <f t="shared" si="0"/>
        <v>1837604</v>
      </c>
      <c r="P8" s="149">
        <f t="shared" si="0"/>
        <v>1804586</v>
      </c>
      <c r="Q8" s="149">
        <f t="shared" si="0"/>
        <v>1616970</v>
      </c>
      <c r="R8" s="149">
        <f t="shared" si="0"/>
        <v>1720637</v>
      </c>
      <c r="S8" s="149">
        <f t="shared" si="0"/>
        <v>1895532</v>
      </c>
      <c r="T8" s="149">
        <f t="shared" si="0"/>
        <v>1841971</v>
      </c>
      <c r="U8" s="149">
        <f t="shared" si="0"/>
        <v>1776557</v>
      </c>
      <c r="V8" s="149">
        <f t="shared" si="0"/>
        <v>1770976</v>
      </c>
      <c r="W8" s="149">
        <f>SUM(W9:W22)</f>
        <v>1494297</v>
      </c>
      <c r="X8" s="149">
        <f>SUM(X9:X22)</f>
        <v>1406471</v>
      </c>
      <c r="Y8" s="149">
        <f>SUM(Y9:Y22)</f>
        <v>1335864</v>
      </c>
      <c r="Z8" s="149">
        <f t="shared" ref="Z8:AG8" si="1">SUM(Z9:Z22)</f>
        <v>1278258</v>
      </c>
      <c r="AA8" s="149">
        <f t="shared" si="1"/>
        <v>1345207</v>
      </c>
      <c r="AB8" s="149">
        <f t="shared" si="1"/>
        <v>1388597</v>
      </c>
      <c r="AC8" s="149">
        <f t="shared" si="1"/>
        <v>1511811</v>
      </c>
      <c r="AD8" s="149">
        <f t="shared" si="1"/>
        <v>1433331</v>
      </c>
      <c r="AE8" s="149">
        <f t="shared" si="1"/>
        <v>1886562</v>
      </c>
      <c r="AF8" s="149">
        <f t="shared" si="1"/>
        <v>1981019</v>
      </c>
      <c r="AG8" s="149">
        <f t="shared" si="1"/>
        <v>2002595</v>
      </c>
      <c r="AH8" s="149">
        <f t="shared" ref="AH8:AJ8" si="2">SUM(AH9:AH22)</f>
        <v>2002436</v>
      </c>
      <c r="AI8" s="149">
        <f t="shared" si="2"/>
        <v>2097635</v>
      </c>
      <c r="AJ8" s="149">
        <f t="shared" si="2"/>
        <v>2014787</v>
      </c>
      <c r="AK8" s="149">
        <f>SUM(AK9:AK22)</f>
        <v>1751710</v>
      </c>
    </row>
    <row r="9" spans="1:37">
      <c r="A9" s="151" t="s">
        <v>1053</v>
      </c>
      <c r="B9" s="151" t="s">
        <v>1054</v>
      </c>
      <c r="C9" s="152"/>
      <c r="D9" s="167">
        <v>31247</v>
      </c>
      <c r="E9" s="167">
        <v>43665</v>
      </c>
      <c r="F9" s="167">
        <v>51158</v>
      </c>
      <c r="G9" s="167">
        <v>44998.798120000007</v>
      </c>
      <c r="H9" s="167">
        <v>617944.4855200001</v>
      </c>
      <c r="I9" s="167">
        <v>389050.28346000001</v>
      </c>
      <c r="J9" s="167">
        <v>307960</v>
      </c>
      <c r="K9" s="167">
        <v>173571</v>
      </c>
      <c r="L9" s="167">
        <v>366757</v>
      </c>
      <c r="M9" s="167">
        <v>30344</v>
      </c>
      <c r="N9" s="167">
        <v>724380</v>
      </c>
      <c r="O9" s="167">
        <v>370430</v>
      </c>
      <c r="P9" s="167">
        <v>384529</v>
      </c>
      <c r="Q9" s="167">
        <v>448602</v>
      </c>
      <c r="R9" s="167">
        <v>378027</v>
      </c>
      <c r="S9" s="167">
        <v>412499</v>
      </c>
      <c r="T9" s="167">
        <v>349409</v>
      </c>
      <c r="U9" s="167">
        <v>481703</v>
      </c>
      <c r="V9" s="167">
        <v>380462</v>
      </c>
      <c r="W9" s="167">
        <v>142363</v>
      </c>
      <c r="X9" s="167">
        <v>142814</v>
      </c>
      <c r="Y9" s="167">
        <v>37089</v>
      </c>
      <c r="Z9" s="167">
        <v>46623</v>
      </c>
      <c r="AA9" s="167">
        <v>29019</v>
      </c>
      <c r="AB9" s="167">
        <v>22407</v>
      </c>
      <c r="AC9" s="167">
        <v>33325</v>
      </c>
      <c r="AD9" s="167">
        <v>26842</v>
      </c>
      <c r="AE9" s="167">
        <v>52706</v>
      </c>
      <c r="AF9" s="167">
        <v>63486</v>
      </c>
      <c r="AG9" s="167">
        <v>125743</v>
      </c>
      <c r="AH9" s="167">
        <v>221885</v>
      </c>
      <c r="AI9" s="167">
        <v>235187</v>
      </c>
      <c r="AJ9" s="167">
        <v>487535</v>
      </c>
      <c r="AK9" s="167">
        <v>328433</v>
      </c>
    </row>
    <row r="10" spans="1:37">
      <c r="A10" s="151" t="s">
        <v>1184</v>
      </c>
      <c r="B10" s="151" t="s">
        <v>1056</v>
      </c>
      <c r="C10" s="152"/>
      <c r="D10" s="167">
        <v>68220</v>
      </c>
      <c r="E10" s="167">
        <v>10923</v>
      </c>
      <c r="F10" s="167">
        <v>5889</v>
      </c>
      <c r="G10" s="167">
        <v>994.94240000000002</v>
      </c>
      <c r="H10" s="167">
        <v>1373.9643100000001</v>
      </c>
      <c r="I10" s="167">
        <v>0</v>
      </c>
      <c r="J10" s="167">
        <v>0</v>
      </c>
      <c r="K10" s="167">
        <v>179380</v>
      </c>
      <c r="L10" s="167">
        <v>190982</v>
      </c>
      <c r="M10" s="167">
        <v>539028</v>
      </c>
      <c r="N10" s="167">
        <v>260586</v>
      </c>
      <c r="O10" s="167">
        <v>678982</v>
      </c>
      <c r="P10" s="167">
        <v>599926</v>
      </c>
      <c r="Q10" s="167">
        <v>463970</v>
      </c>
      <c r="R10" s="167">
        <v>447104</v>
      </c>
      <c r="S10" s="167">
        <v>332892</v>
      </c>
      <c r="T10" s="167">
        <v>405439</v>
      </c>
      <c r="U10" s="167">
        <v>415133</v>
      </c>
      <c r="V10" s="167">
        <v>414448</v>
      </c>
      <c r="W10" s="167">
        <v>296278</v>
      </c>
      <c r="X10" s="167">
        <v>220445</v>
      </c>
      <c r="Y10" s="167">
        <v>230914</v>
      </c>
      <c r="Z10" s="167">
        <v>143247</v>
      </c>
      <c r="AA10" s="167">
        <v>212463</v>
      </c>
      <c r="AB10" s="167">
        <v>291271</v>
      </c>
      <c r="AC10" s="167">
        <v>369788</v>
      </c>
      <c r="AD10" s="167">
        <v>305820</v>
      </c>
      <c r="AE10" s="167">
        <v>686086</v>
      </c>
      <c r="AF10" s="167">
        <v>823748</v>
      </c>
      <c r="AG10" s="167">
        <v>781397</v>
      </c>
      <c r="AH10" s="167">
        <v>739783</v>
      </c>
      <c r="AI10" s="167">
        <v>778030</v>
      </c>
      <c r="AJ10" s="167">
        <v>427287</v>
      </c>
      <c r="AK10" s="167">
        <v>341712</v>
      </c>
    </row>
    <row r="11" spans="1:37">
      <c r="A11" s="151" t="s">
        <v>1057</v>
      </c>
      <c r="B11" s="151" t="s">
        <v>1058</v>
      </c>
      <c r="C11" s="152"/>
      <c r="D11" s="167">
        <v>593468</v>
      </c>
      <c r="E11" s="167">
        <v>582526</v>
      </c>
      <c r="F11" s="167">
        <v>603879</v>
      </c>
      <c r="G11" s="167">
        <v>645019</v>
      </c>
      <c r="H11" s="167">
        <v>648730</v>
      </c>
      <c r="I11" s="167">
        <v>586527.86357000005</v>
      </c>
      <c r="J11" s="167">
        <v>525951</v>
      </c>
      <c r="K11" s="167">
        <v>545175</v>
      </c>
      <c r="L11" s="167">
        <v>521578</v>
      </c>
      <c r="M11" s="167">
        <v>481688</v>
      </c>
      <c r="N11" s="167">
        <v>469740</v>
      </c>
      <c r="O11" s="167">
        <v>550383</v>
      </c>
      <c r="P11" s="167">
        <v>558622</v>
      </c>
      <c r="Q11" s="167">
        <v>570498</v>
      </c>
      <c r="R11" s="167">
        <v>656679</v>
      </c>
      <c r="S11" s="167">
        <v>1260010</v>
      </c>
      <c r="T11" s="167">
        <v>1272511</v>
      </c>
      <c r="U11" s="167">
        <v>1240903</v>
      </c>
      <c r="V11" s="167">
        <v>672696</v>
      </c>
      <c r="W11" s="167">
        <v>709106</v>
      </c>
      <c r="X11" s="167">
        <v>731303</v>
      </c>
      <c r="Y11" s="167">
        <v>753646</v>
      </c>
      <c r="Z11" s="167">
        <v>782508</v>
      </c>
      <c r="AA11" s="167">
        <v>791488</v>
      </c>
      <c r="AB11" s="167">
        <v>824804</v>
      </c>
      <c r="AC11" s="167">
        <v>762568</v>
      </c>
      <c r="AD11" s="167">
        <v>749963</v>
      </c>
      <c r="AE11" s="167">
        <v>712773</v>
      </c>
      <c r="AF11" s="167">
        <v>707645</v>
      </c>
      <c r="AG11" s="167">
        <v>685689</v>
      </c>
      <c r="AH11" s="167">
        <v>653132</v>
      </c>
      <c r="AI11" s="167">
        <v>672335</v>
      </c>
      <c r="AJ11" s="167">
        <v>673137</v>
      </c>
      <c r="AK11" s="167">
        <v>686390</v>
      </c>
    </row>
    <row r="12" spans="1:37">
      <c r="A12" s="151" t="s">
        <v>1201</v>
      </c>
      <c r="B12" s="151" t="s">
        <v>1202</v>
      </c>
      <c r="C12" s="152"/>
      <c r="D12" s="167">
        <v>12464</v>
      </c>
      <c r="E12" s="167">
        <v>14154</v>
      </c>
      <c r="F12" s="167">
        <v>17117</v>
      </c>
      <c r="G12" s="167">
        <v>10479</v>
      </c>
      <c r="H12" s="167">
        <v>10862</v>
      </c>
      <c r="I12" s="167">
        <v>0</v>
      </c>
      <c r="J12" s="167">
        <v>15734</v>
      </c>
      <c r="K12" s="167">
        <v>9706</v>
      </c>
      <c r="L12" s="167">
        <v>10162</v>
      </c>
      <c r="M12" s="167">
        <v>15009</v>
      </c>
      <c r="N12" s="167">
        <v>13015</v>
      </c>
      <c r="O12" s="167">
        <v>6031</v>
      </c>
      <c r="P12" s="167">
        <v>6607</v>
      </c>
      <c r="Q12" s="167">
        <v>5906</v>
      </c>
      <c r="R12" s="167">
        <v>5553</v>
      </c>
      <c r="S12" s="167">
        <v>7092</v>
      </c>
      <c r="T12" s="167">
        <v>9164</v>
      </c>
      <c r="U12" s="167">
        <v>9075</v>
      </c>
      <c r="V12" s="167"/>
      <c r="W12" s="167"/>
      <c r="X12" s="167"/>
      <c r="Y12" s="167"/>
      <c r="Z12" s="167"/>
      <c r="AA12" s="167"/>
      <c r="AB12" s="167"/>
      <c r="AC12" s="167"/>
      <c r="AD12" s="167"/>
      <c r="AE12" s="167"/>
      <c r="AF12" s="167"/>
      <c r="AG12" s="167"/>
      <c r="AH12" s="167"/>
      <c r="AI12" s="167"/>
      <c r="AJ12" s="167"/>
      <c r="AK12" s="167"/>
    </row>
    <row r="13" spans="1:37">
      <c r="A13" s="151" t="s">
        <v>1150</v>
      </c>
      <c r="B13" s="151" t="s">
        <v>1151</v>
      </c>
      <c r="C13" s="152"/>
      <c r="D13" s="167">
        <v>-154227</v>
      </c>
      <c r="E13" s="167">
        <v>-170533</v>
      </c>
      <c r="F13" s="167">
        <v>-179133</v>
      </c>
      <c r="G13" s="167">
        <v>-201076</v>
      </c>
      <c r="H13" s="167">
        <v>-244768</v>
      </c>
      <c r="I13" s="167">
        <v>-217542.64851</v>
      </c>
      <c r="J13" s="167">
        <v>-207037</v>
      </c>
      <c r="K13" s="167">
        <v>-129680</v>
      </c>
      <c r="L13" s="167">
        <v>-196530</v>
      </c>
      <c r="M13" s="167">
        <v>-197174</v>
      </c>
      <c r="N13" s="167">
        <v>-192946</v>
      </c>
      <c r="O13" s="167">
        <v>-173013</v>
      </c>
      <c r="P13" s="167">
        <v>-178426</v>
      </c>
      <c r="Q13" s="167">
        <v>-182744</v>
      </c>
      <c r="R13" s="167">
        <v>-205070</v>
      </c>
      <c r="S13" s="167">
        <v>-635912</v>
      </c>
      <c r="T13" s="167">
        <v>-651369</v>
      </c>
      <c r="U13" s="167">
        <v>-654779</v>
      </c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</row>
    <row r="14" spans="1:37">
      <c r="A14" s="151" t="s">
        <v>1061</v>
      </c>
      <c r="B14" s="151" t="s">
        <v>1062</v>
      </c>
      <c r="C14" s="152"/>
      <c r="D14" s="167">
        <v>0</v>
      </c>
      <c r="E14" s="167">
        <v>0</v>
      </c>
      <c r="F14" s="167">
        <v>0</v>
      </c>
      <c r="G14" s="167">
        <v>0</v>
      </c>
      <c r="H14" s="167">
        <v>0</v>
      </c>
      <c r="I14" s="167">
        <v>2926</v>
      </c>
      <c r="J14" s="167">
        <v>11131</v>
      </c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7"/>
      <c r="AH14" s="167"/>
      <c r="AI14" s="167"/>
      <c r="AJ14" s="167"/>
      <c r="AK14" s="167"/>
    </row>
    <row r="15" spans="1:37">
      <c r="A15" s="151" t="s">
        <v>1203</v>
      </c>
      <c r="B15" s="151" t="s">
        <v>1064</v>
      </c>
      <c r="C15" s="152"/>
      <c r="D15" s="167">
        <v>4968</v>
      </c>
      <c r="E15" s="167">
        <v>5724</v>
      </c>
      <c r="F15" s="167">
        <v>8097</v>
      </c>
      <c r="G15" s="167">
        <v>9653.5540199999996</v>
      </c>
      <c r="H15" s="167">
        <v>6638.0515300000006</v>
      </c>
      <c r="I15" s="167">
        <v>7368.3587200000002</v>
      </c>
      <c r="J15" s="167">
        <v>13206</v>
      </c>
      <c r="K15" s="167">
        <v>41464</v>
      </c>
      <c r="L15" s="167">
        <v>44063</v>
      </c>
      <c r="M15" s="167">
        <v>50290</v>
      </c>
      <c r="N15" s="167">
        <v>54766</v>
      </c>
      <c r="O15" s="167">
        <v>73244</v>
      </c>
      <c r="P15" s="167">
        <v>72951</v>
      </c>
      <c r="Q15" s="167">
        <v>76458</v>
      </c>
      <c r="R15" s="167">
        <v>79670</v>
      </c>
      <c r="S15" s="167">
        <v>75638</v>
      </c>
      <c r="T15" s="167">
        <v>79050</v>
      </c>
      <c r="U15" s="167">
        <v>77483</v>
      </c>
      <c r="V15" s="167">
        <v>79004</v>
      </c>
      <c r="W15" s="167">
        <v>84089</v>
      </c>
      <c r="X15" s="167">
        <v>78916</v>
      </c>
      <c r="Y15" s="167">
        <v>80308</v>
      </c>
      <c r="Z15" s="167">
        <v>71334</v>
      </c>
      <c r="AA15" s="167">
        <v>60279</v>
      </c>
      <c r="AB15" s="167">
        <v>63431</v>
      </c>
      <c r="AC15" s="167">
        <v>78409</v>
      </c>
      <c r="AD15" s="167">
        <v>78426</v>
      </c>
      <c r="AE15" s="167">
        <v>80349</v>
      </c>
      <c r="AF15" s="167">
        <v>80744</v>
      </c>
      <c r="AG15" s="167">
        <v>84487</v>
      </c>
      <c r="AH15" s="167">
        <v>69087</v>
      </c>
      <c r="AI15" s="167">
        <v>68872</v>
      </c>
      <c r="AJ15" s="167">
        <v>69675</v>
      </c>
      <c r="AK15" s="167">
        <v>76659</v>
      </c>
    </row>
    <row r="16" spans="1:37">
      <c r="A16" s="151" t="s">
        <v>1068</v>
      </c>
      <c r="B16" s="151" t="s">
        <v>1069</v>
      </c>
      <c r="C16" s="152"/>
      <c r="D16" s="167">
        <v>0</v>
      </c>
      <c r="E16" s="167">
        <v>0</v>
      </c>
      <c r="F16" s="167">
        <v>0</v>
      </c>
      <c r="G16" s="167">
        <v>0</v>
      </c>
      <c r="H16" s="167">
        <v>0</v>
      </c>
      <c r="I16" s="167">
        <v>0</v>
      </c>
      <c r="J16" s="167"/>
      <c r="K16" s="167"/>
      <c r="L16" s="167"/>
      <c r="M16" s="167"/>
      <c r="N16" s="167">
        <v>92</v>
      </c>
      <c r="O16" s="167"/>
      <c r="P16" s="167">
        <v>170</v>
      </c>
      <c r="Q16" s="167">
        <v>427</v>
      </c>
      <c r="R16" s="167">
        <v>264</v>
      </c>
      <c r="S16" s="167">
        <v>194</v>
      </c>
      <c r="T16" s="167">
        <v>194</v>
      </c>
      <c r="U16" s="167">
        <v>174</v>
      </c>
      <c r="V16" s="167">
        <v>852</v>
      </c>
      <c r="W16" s="167">
        <v>161</v>
      </c>
      <c r="X16" s="167">
        <v>161</v>
      </c>
      <c r="Y16" s="167">
        <v>81</v>
      </c>
      <c r="Z16" s="167">
        <v>487</v>
      </c>
      <c r="AA16" s="167">
        <v>494</v>
      </c>
      <c r="AB16" s="167">
        <v>494</v>
      </c>
      <c r="AC16" s="167">
        <v>484</v>
      </c>
      <c r="AD16" s="167">
        <v>484</v>
      </c>
      <c r="AE16" s="167">
        <v>336</v>
      </c>
      <c r="AF16" s="167">
        <v>496</v>
      </c>
      <c r="AG16" s="167">
        <v>496</v>
      </c>
      <c r="AH16" s="167">
        <v>496</v>
      </c>
      <c r="AI16" s="167">
        <v>296</v>
      </c>
      <c r="AJ16" s="167">
        <v>296</v>
      </c>
      <c r="AK16" s="167">
        <v>296</v>
      </c>
    </row>
    <row r="17" spans="1:37">
      <c r="A17" s="151" t="s">
        <v>1072</v>
      </c>
      <c r="B17" s="151" t="s">
        <v>1204</v>
      </c>
      <c r="C17" s="152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7"/>
      <c r="AB17" s="167"/>
      <c r="AC17" s="167">
        <v>32596</v>
      </c>
      <c r="AD17" s="167">
        <v>24203</v>
      </c>
      <c r="AE17" s="167">
        <v>110344</v>
      </c>
      <c r="AF17" s="167">
        <v>59407</v>
      </c>
      <c r="AG17" s="167">
        <v>5628</v>
      </c>
      <c r="AH17" s="167"/>
      <c r="AI17" s="167">
        <v>3094</v>
      </c>
      <c r="AJ17" s="167">
        <v>0</v>
      </c>
      <c r="AK17" s="167">
        <v>0</v>
      </c>
    </row>
    <row r="18" spans="1:37">
      <c r="A18" s="151" t="s">
        <v>1152</v>
      </c>
      <c r="B18" s="151" t="s">
        <v>1071</v>
      </c>
      <c r="C18" s="152"/>
      <c r="D18" s="167">
        <v>378915</v>
      </c>
      <c r="E18" s="167">
        <v>382787</v>
      </c>
      <c r="F18" s="167">
        <v>378288</v>
      </c>
      <c r="G18" s="167">
        <v>267227.41431999998</v>
      </c>
      <c r="H18" s="167">
        <v>223352.43790000002</v>
      </c>
      <c r="I18" s="167">
        <v>30977.07852999997</v>
      </c>
      <c r="J18" s="167">
        <v>12418</v>
      </c>
      <c r="K18" s="167"/>
      <c r="L18" s="167"/>
      <c r="M18" s="167">
        <v>110973</v>
      </c>
      <c r="N18" s="167"/>
      <c r="O18" s="167"/>
      <c r="P18" s="167">
        <v>159667</v>
      </c>
      <c r="Q18" s="167">
        <v>56862</v>
      </c>
      <c r="R18" s="167">
        <v>220522</v>
      </c>
      <c r="S18" s="167">
        <v>297749</v>
      </c>
      <c r="T18" s="167">
        <v>274194</v>
      </c>
      <c r="U18" s="167">
        <v>75119</v>
      </c>
      <c r="V18" s="167">
        <v>74074</v>
      </c>
      <c r="W18" s="167">
        <v>89608</v>
      </c>
      <c r="X18" s="167">
        <v>93291</v>
      </c>
      <c r="Y18" s="167">
        <v>78219</v>
      </c>
      <c r="Z18" s="167">
        <v>83687</v>
      </c>
      <c r="AA18" s="167">
        <v>62204</v>
      </c>
      <c r="AB18" s="167">
        <v>0</v>
      </c>
      <c r="AC18" s="167"/>
      <c r="AD18" s="167"/>
      <c r="AE18" s="167"/>
      <c r="AF18" s="167"/>
      <c r="AG18" s="167"/>
      <c r="AH18" s="167"/>
      <c r="AI18" s="167"/>
      <c r="AJ18" s="167">
        <v>51445</v>
      </c>
      <c r="AK18" s="167">
        <v>0</v>
      </c>
    </row>
    <row r="19" spans="1:37">
      <c r="A19" s="151" t="s">
        <v>1074</v>
      </c>
      <c r="B19" s="151" t="s">
        <v>1075</v>
      </c>
      <c r="C19" s="152"/>
      <c r="D19" s="167">
        <v>8995</v>
      </c>
      <c r="E19" s="167">
        <v>8504</v>
      </c>
      <c r="F19" s="167">
        <v>7275</v>
      </c>
      <c r="G19" s="167">
        <v>7642.1324699999996</v>
      </c>
      <c r="H19" s="167">
        <v>8294.0632000000005</v>
      </c>
      <c r="I19" s="167">
        <v>8320.7174400000004</v>
      </c>
      <c r="J19" s="167">
        <v>2916</v>
      </c>
      <c r="K19" s="167">
        <v>5295</v>
      </c>
      <c r="L19" s="167">
        <v>8228</v>
      </c>
      <c r="M19" s="167">
        <v>8203</v>
      </c>
      <c r="N19" s="167">
        <v>8486</v>
      </c>
      <c r="O19" s="167">
        <v>6596</v>
      </c>
      <c r="P19" s="167">
        <v>6632</v>
      </c>
      <c r="Q19" s="167">
        <v>6979</v>
      </c>
      <c r="R19" s="167">
        <v>9774</v>
      </c>
      <c r="S19" s="167">
        <v>11326</v>
      </c>
      <c r="T19" s="167">
        <v>17346</v>
      </c>
      <c r="U19" s="167">
        <v>21292</v>
      </c>
      <c r="V19" s="167">
        <v>26676</v>
      </c>
      <c r="W19" s="167">
        <v>24648</v>
      </c>
      <c r="X19" s="167">
        <v>15835</v>
      </c>
      <c r="Y19" s="167">
        <v>10802</v>
      </c>
      <c r="Z19" s="167">
        <v>10281</v>
      </c>
      <c r="AA19" s="167">
        <v>7629</v>
      </c>
      <c r="AB19" s="167">
        <v>7669</v>
      </c>
      <c r="AC19" s="167">
        <v>9461</v>
      </c>
      <c r="AD19" s="167">
        <v>12122</v>
      </c>
      <c r="AE19" s="167">
        <v>16900</v>
      </c>
      <c r="AF19" s="167">
        <v>21907</v>
      </c>
      <c r="AG19" s="167">
        <v>23558</v>
      </c>
      <c r="AH19" s="167">
        <v>24975</v>
      </c>
      <c r="AI19" s="167">
        <v>23053</v>
      </c>
      <c r="AJ19" s="167">
        <v>20781</v>
      </c>
      <c r="AK19" s="167">
        <v>21069</v>
      </c>
    </row>
    <row r="20" spans="1:37">
      <c r="A20" s="151" t="s">
        <v>1076</v>
      </c>
      <c r="B20" s="151" t="s">
        <v>1077</v>
      </c>
      <c r="C20" s="152"/>
      <c r="D20" s="167">
        <v>12698</v>
      </c>
      <c r="E20" s="167">
        <v>14243</v>
      </c>
      <c r="F20" s="167">
        <v>15058</v>
      </c>
      <c r="G20" s="167">
        <v>26762.080150000002</v>
      </c>
      <c r="H20" s="167">
        <v>16632</v>
      </c>
      <c r="I20" s="167">
        <v>20634.757799999999</v>
      </c>
      <c r="J20" s="167">
        <v>20329</v>
      </c>
      <c r="K20" s="167">
        <v>65525</v>
      </c>
      <c r="L20" s="167">
        <v>204101</v>
      </c>
      <c r="M20" s="167">
        <v>257151</v>
      </c>
      <c r="N20" s="167">
        <v>170964</v>
      </c>
      <c r="O20" s="167">
        <v>210429</v>
      </c>
      <c r="P20" s="167">
        <v>88272</v>
      </c>
      <c r="Q20" s="167">
        <v>45270</v>
      </c>
      <c r="R20" s="167">
        <v>26096</v>
      </c>
      <c r="S20" s="167">
        <v>28404</v>
      </c>
      <c r="T20" s="167">
        <v>30274</v>
      </c>
      <c r="U20" s="167">
        <v>33686</v>
      </c>
      <c r="V20" s="167">
        <v>35100</v>
      </c>
      <c r="W20" s="167">
        <v>39479</v>
      </c>
      <c r="X20" s="167">
        <v>41924</v>
      </c>
      <c r="Y20" s="167">
        <v>57390</v>
      </c>
      <c r="Z20" s="167">
        <v>61197</v>
      </c>
      <c r="AA20" s="167">
        <v>63986</v>
      </c>
      <c r="AB20" s="167">
        <v>65195</v>
      </c>
      <c r="AC20" s="167">
        <v>67363</v>
      </c>
      <c r="AD20" s="167">
        <v>70914</v>
      </c>
      <c r="AE20" s="167">
        <v>73572</v>
      </c>
      <c r="AF20" s="167">
        <v>75902</v>
      </c>
      <c r="AG20" s="167">
        <v>79370</v>
      </c>
      <c r="AH20" s="167">
        <v>83485</v>
      </c>
      <c r="AI20" s="167">
        <v>86004</v>
      </c>
      <c r="AJ20" s="167">
        <v>87855</v>
      </c>
      <c r="AK20" s="167">
        <v>89941</v>
      </c>
    </row>
    <row r="21" spans="1:37">
      <c r="A21" s="151" t="s">
        <v>1078</v>
      </c>
      <c r="B21" s="151" t="s">
        <v>1079</v>
      </c>
      <c r="C21" s="152"/>
      <c r="D21" s="167">
        <v>0</v>
      </c>
      <c r="E21" s="167">
        <v>0</v>
      </c>
      <c r="F21" s="167">
        <v>0</v>
      </c>
      <c r="G21" s="167">
        <v>2212.5891000000001</v>
      </c>
      <c r="H21" s="167">
        <v>0</v>
      </c>
      <c r="I21" s="167">
        <v>4361.5759100000005</v>
      </c>
      <c r="J21" s="167">
        <v>6273</v>
      </c>
      <c r="K21" s="167">
        <v>7513</v>
      </c>
      <c r="L21" s="167">
        <v>3228</v>
      </c>
      <c r="M21" s="167">
        <v>4840</v>
      </c>
      <c r="N21" s="167">
        <v>4827</v>
      </c>
      <c r="O21" s="167">
        <v>6512</v>
      </c>
      <c r="P21" s="167">
        <v>7784</v>
      </c>
      <c r="Q21" s="167">
        <v>8805</v>
      </c>
      <c r="R21" s="167">
        <v>8783</v>
      </c>
      <c r="S21" s="167">
        <v>11973</v>
      </c>
      <c r="T21" s="167">
        <v>10582</v>
      </c>
      <c r="U21" s="167">
        <v>26419</v>
      </c>
      <c r="V21" s="167">
        <v>37705</v>
      </c>
      <c r="W21" s="167">
        <v>50494</v>
      </c>
      <c r="X21" s="167">
        <v>26195</v>
      </c>
      <c r="Y21" s="167">
        <v>38390</v>
      </c>
      <c r="Z21" s="167">
        <v>29763</v>
      </c>
      <c r="AA21" s="167">
        <v>39860</v>
      </c>
      <c r="AB21" s="167">
        <v>20452</v>
      </c>
      <c r="AC21" s="167">
        <v>31444</v>
      </c>
      <c r="AD21" s="167">
        <v>23842</v>
      </c>
      <c r="AE21" s="167">
        <v>51865</v>
      </c>
      <c r="AF21" s="167">
        <v>39402</v>
      </c>
      <c r="AG21" s="167">
        <v>83123</v>
      </c>
      <c r="AH21" s="167">
        <v>96946</v>
      </c>
      <c r="AI21" s="167">
        <v>126853</v>
      </c>
      <c r="AJ21" s="167">
        <v>84084</v>
      </c>
      <c r="AK21" s="167">
        <v>96870</v>
      </c>
    </row>
    <row r="22" spans="1:37" ht="15" thickBot="1">
      <c r="A22" s="154" t="s">
        <v>1080</v>
      </c>
      <c r="B22" s="154" t="s">
        <v>96</v>
      </c>
      <c r="C22" s="152"/>
      <c r="D22" s="167">
        <v>38142</v>
      </c>
      <c r="E22" s="167">
        <v>43243</v>
      </c>
      <c r="F22" s="167">
        <v>49096</v>
      </c>
      <c r="G22" s="167">
        <v>54630</v>
      </c>
      <c r="H22" s="167">
        <v>44601</v>
      </c>
      <c r="I22" s="167">
        <v>117492.64319000002</v>
      </c>
      <c r="J22" s="167">
        <v>105447</v>
      </c>
      <c r="K22" s="167">
        <v>90676</v>
      </c>
      <c r="L22" s="167">
        <v>75756</v>
      </c>
      <c r="M22" s="167">
        <v>77424</v>
      </c>
      <c r="N22" s="167">
        <v>78323</v>
      </c>
      <c r="O22" s="167">
        <v>108010</v>
      </c>
      <c r="P22" s="167">
        <v>97852</v>
      </c>
      <c r="Q22" s="167">
        <v>115937</v>
      </c>
      <c r="R22" s="167">
        <v>93235</v>
      </c>
      <c r="S22" s="167">
        <v>93667</v>
      </c>
      <c r="T22" s="167">
        <v>45177</v>
      </c>
      <c r="U22" s="167">
        <v>50349</v>
      </c>
      <c r="V22" s="167">
        <v>49959</v>
      </c>
      <c r="W22" s="167">
        <v>58071</v>
      </c>
      <c r="X22" s="167">
        <v>55587</v>
      </c>
      <c r="Y22" s="167">
        <v>49025</v>
      </c>
      <c r="Z22" s="167">
        <v>49131</v>
      </c>
      <c r="AA22" s="167">
        <v>77785</v>
      </c>
      <c r="AB22" s="167">
        <v>92874</v>
      </c>
      <c r="AC22" s="167">
        <v>126373</v>
      </c>
      <c r="AD22" s="167">
        <v>140715</v>
      </c>
      <c r="AE22" s="167">
        <v>101631</v>
      </c>
      <c r="AF22" s="167">
        <v>108282</v>
      </c>
      <c r="AG22" s="167">
        <v>133104</v>
      </c>
      <c r="AH22" s="167">
        <v>112647</v>
      </c>
      <c r="AI22" s="167">
        <v>103911</v>
      </c>
      <c r="AJ22" s="167">
        <v>112692</v>
      </c>
      <c r="AK22" s="167">
        <v>110340</v>
      </c>
    </row>
    <row r="23" spans="1:37" ht="15" thickBot="1">
      <c r="A23" s="155" t="s">
        <v>1081</v>
      </c>
      <c r="B23" s="155" t="s">
        <v>1082</v>
      </c>
      <c r="C23" s="148"/>
      <c r="D23" s="156">
        <f t="shared" ref="D23:Z23" si="3">D24+D36</f>
        <v>1350788</v>
      </c>
      <c r="E23" s="156">
        <f t="shared" si="3"/>
        <v>1970438</v>
      </c>
      <c r="F23" s="156">
        <f t="shared" si="3"/>
        <v>1997468</v>
      </c>
      <c r="G23" s="156">
        <f t="shared" si="3"/>
        <v>2138813</v>
      </c>
      <c r="H23" s="156">
        <f t="shared" si="3"/>
        <v>2573233</v>
      </c>
      <c r="I23" s="156">
        <f t="shared" si="3"/>
        <v>2585050</v>
      </c>
      <c r="J23" s="156">
        <f t="shared" si="3"/>
        <v>2926360</v>
      </c>
      <c r="K23" s="156">
        <f t="shared" si="3"/>
        <v>2422169</v>
      </c>
      <c r="L23" s="156">
        <f t="shared" si="3"/>
        <v>2438970</v>
      </c>
      <c r="M23" s="156">
        <f t="shared" si="3"/>
        <v>2300427</v>
      </c>
      <c r="N23" s="156">
        <f t="shared" si="3"/>
        <v>2486481</v>
      </c>
      <c r="O23" s="156">
        <f t="shared" si="3"/>
        <v>2470911</v>
      </c>
      <c r="P23" s="156">
        <f t="shared" si="3"/>
        <v>1626656</v>
      </c>
      <c r="Q23" s="156">
        <f t="shared" si="3"/>
        <v>1681259</v>
      </c>
      <c r="R23" s="156">
        <f t="shared" si="3"/>
        <v>2360588</v>
      </c>
      <c r="S23" s="156">
        <f t="shared" si="3"/>
        <v>2393553</v>
      </c>
      <c r="T23" s="156">
        <f t="shared" si="3"/>
        <v>2382548</v>
      </c>
      <c r="U23" s="156">
        <f t="shared" si="3"/>
        <v>2430430</v>
      </c>
      <c r="V23" s="156">
        <f t="shared" si="3"/>
        <v>2439033</v>
      </c>
      <c r="W23" s="156">
        <f t="shared" si="3"/>
        <v>2547213</v>
      </c>
      <c r="X23" s="156">
        <f t="shared" si="3"/>
        <v>2651403</v>
      </c>
      <c r="Y23" s="156">
        <f t="shared" si="3"/>
        <v>2795119</v>
      </c>
      <c r="Z23" s="156">
        <f t="shared" si="3"/>
        <v>2985432</v>
      </c>
      <c r="AA23" s="156">
        <f t="shared" ref="AA23:AG23" si="4">AA24+AA36</f>
        <v>3131957</v>
      </c>
      <c r="AB23" s="156">
        <f t="shared" si="4"/>
        <v>3177791</v>
      </c>
      <c r="AC23" s="156">
        <f t="shared" si="4"/>
        <v>3255581</v>
      </c>
      <c r="AD23" s="156">
        <f t="shared" si="4"/>
        <v>3367249</v>
      </c>
      <c r="AE23" s="156">
        <f t="shared" si="4"/>
        <v>3511251</v>
      </c>
      <c r="AF23" s="156">
        <f t="shared" si="4"/>
        <v>3563930</v>
      </c>
      <c r="AG23" s="156">
        <f t="shared" si="4"/>
        <v>3713336</v>
      </c>
      <c r="AH23" s="156">
        <f t="shared" ref="AH23:AJ23" si="5">AH24+AH36</f>
        <v>3883111</v>
      </c>
      <c r="AI23" s="156">
        <f t="shared" si="5"/>
        <v>3973911</v>
      </c>
      <c r="AJ23" s="156">
        <f t="shared" si="5"/>
        <v>4058881</v>
      </c>
      <c r="AK23" s="156">
        <f>AK24+AK36</f>
        <v>4480277</v>
      </c>
    </row>
    <row r="24" spans="1:37" ht="15" thickBot="1">
      <c r="A24" s="155" t="s">
        <v>1158</v>
      </c>
      <c r="B24" s="155" t="s">
        <v>1159</v>
      </c>
      <c r="C24" s="148"/>
      <c r="D24" s="156">
        <f t="shared" ref="D24:Y24" si="6">SUM(D25:D35)</f>
        <v>1307374</v>
      </c>
      <c r="E24" s="156">
        <f t="shared" si="6"/>
        <v>1921235</v>
      </c>
      <c r="F24" s="156">
        <f t="shared" si="6"/>
        <v>1957000</v>
      </c>
      <c r="G24" s="156">
        <f t="shared" si="6"/>
        <v>2096181</v>
      </c>
      <c r="H24" s="156">
        <f t="shared" si="6"/>
        <v>1581635</v>
      </c>
      <c r="I24" s="156">
        <f t="shared" si="6"/>
        <v>1588461</v>
      </c>
      <c r="J24" s="156">
        <f t="shared" si="6"/>
        <v>1869580</v>
      </c>
      <c r="K24" s="156">
        <f t="shared" si="6"/>
        <v>1332656</v>
      </c>
      <c r="L24" s="156">
        <f t="shared" si="6"/>
        <v>1329348</v>
      </c>
      <c r="M24" s="156">
        <f t="shared" si="6"/>
        <v>1176465</v>
      </c>
      <c r="N24" s="156">
        <f t="shared" si="6"/>
        <v>1361204</v>
      </c>
      <c r="O24" s="156">
        <f t="shared" si="6"/>
        <v>1293368</v>
      </c>
      <c r="P24" s="156">
        <f t="shared" si="6"/>
        <v>419031</v>
      </c>
      <c r="Q24" s="156">
        <f t="shared" si="6"/>
        <v>435579</v>
      </c>
      <c r="R24" s="156">
        <f t="shared" si="6"/>
        <v>1057468</v>
      </c>
      <c r="S24" s="156">
        <f t="shared" si="6"/>
        <v>1025102</v>
      </c>
      <c r="T24" s="156">
        <f t="shared" si="6"/>
        <v>976398</v>
      </c>
      <c r="U24" s="156">
        <f t="shared" si="6"/>
        <v>953066</v>
      </c>
      <c r="V24" s="156">
        <f t="shared" si="6"/>
        <v>878011</v>
      </c>
      <c r="W24" s="156">
        <f t="shared" si="6"/>
        <v>888421</v>
      </c>
      <c r="X24" s="156">
        <f t="shared" si="6"/>
        <v>891341</v>
      </c>
      <c r="Y24" s="156">
        <f t="shared" si="6"/>
        <v>899187</v>
      </c>
      <c r="Z24" s="156">
        <f t="shared" ref="Z24:AE24" si="7">SUM(Z25:Z35)</f>
        <v>972125</v>
      </c>
      <c r="AA24" s="156">
        <f t="shared" si="7"/>
        <v>1038544</v>
      </c>
      <c r="AB24" s="156">
        <f t="shared" si="7"/>
        <v>1008203</v>
      </c>
      <c r="AC24" s="156">
        <f t="shared" si="7"/>
        <v>1002694</v>
      </c>
      <c r="AD24" s="156">
        <f t="shared" si="7"/>
        <v>1003920</v>
      </c>
      <c r="AE24" s="156">
        <f t="shared" si="7"/>
        <v>1070829</v>
      </c>
      <c r="AF24" s="156">
        <f t="shared" ref="AF24:AK24" si="8">SUM(AF25:AF35)</f>
        <v>1007654</v>
      </c>
      <c r="AG24" s="156">
        <f t="shared" si="8"/>
        <v>1025810</v>
      </c>
      <c r="AH24" s="156">
        <f t="shared" si="8"/>
        <v>1090472</v>
      </c>
      <c r="AI24" s="156">
        <f t="shared" si="8"/>
        <v>1104628</v>
      </c>
      <c r="AJ24" s="156">
        <f t="shared" si="8"/>
        <v>1074457</v>
      </c>
      <c r="AK24" s="156">
        <f t="shared" si="8"/>
        <v>1376074</v>
      </c>
    </row>
    <row r="25" spans="1:37">
      <c r="A25" s="151" t="s">
        <v>1057</v>
      </c>
      <c r="B25" s="151" t="s">
        <v>1058</v>
      </c>
      <c r="C25" s="152"/>
      <c r="D25" s="167">
        <v>285106</v>
      </c>
      <c r="E25" s="167">
        <v>280837</v>
      </c>
      <c r="F25" s="167">
        <v>274239</v>
      </c>
      <c r="G25" s="167">
        <v>269560</v>
      </c>
      <c r="H25" s="167">
        <v>267495</v>
      </c>
      <c r="I25" s="167">
        <v>257852</v>
      </c>
      <c r="J25" s="167">
        <v>260074</v>
      </c>
      <c r="K25" s="167">
        <v>216756</v>
      </c>
      <c r="L25" s="167">
        <v>325523</v>
      </c>
      <c r="M25" s="167">
        <v>281514</v>
      </c>
      <c r="N25" s="167">
        <v>280200</v>
      </c>
      <c r="O25" s="167">
        <v>280096</v>
      </c>
      <c r="P25" s="167">
        <v>277997</v>
      </c>
      <c r="Q25" s="167">
        <v>272449</v>
      </c>
      <c r="R25" s="167">
        <v>271009</v>
      </c>
      <c r="S25" s="167">
        <v>272796</v>
      </c>
      <c r="T25" s="167">
        <v>267069</v>
      </c>
      <c r="U25" s="167">
        <v>263588</v>
      </c>
      <c r="V25" s="167">
        <v>194595</v>
      </c>
      <c r="W25" s="167">
        <v>185489</v>
      </c>
      <c r="X25" s="167">
        <v>183835</v>
      </c>
      <c r="Y25" s="167">
        <v>180425</v>
      </c>
      <c r="Z25" s="167">
        <v>176370</v>
      </c>
      <c r="AA25" s="167">
        <v>166002</v>
      </c>
      <c r="AB25" s="167">
        <v>160322</v>
      </c>
      <c r="AC25" s="167">
        <v>155357</v>
      </c>
      <c r="AD25" s="167">
        <v>163761</v>
      </c>
      <c r="AE25" s="167">
        <v>189191</v>
      </c>
      <c r="AF25" s="167">
        <v>181894</v>
      </c>
      <c r="AG25" s="167">
        <v>179660</v>
      </c>
      <c r="AH25" s="167">
        <v>192723</v>
      </c>
      <c r="AI25" s="167">
        <v>192114</v>
      </c>
      <c r="AJ25" s="167">
        <v>189023</v>
      </c>
      <c r="AK25" s="167">
        <v>187423</v>
      </c>
    </row>
    <row r="26" spans="1:37">
      <c r="A26" s="151" t="s">
        <v>1152</v>
      </c>
      <c r="B26" s="151" t="s">
        <v>1071</v>
      </c>
      <c r="C26" s="152"/>
      <c r="D26" s="167">
        <v>0</v>
      </c>
      <c r="E26" s="167">
        <v>606654</v>
      </c>
      <c r="F26" s="167">
        <v>617653</v>
      </c>
      <c r="G26" s="167">
        <v>709417</v>
      </c>
      <c r="H26" s="167">
        <v>1172468</v>
      </c>
      <c r="I26" s="167">
        <v>1151740</v>
      </c>
      <c r="J26" s="167">
        <v>1162045</v>
      </c>
      <c r="K26" s="167">
        <v>682702</v>
      </c>
      <c r="L26" s="167">
        <v>736909</v>
      </c>
      <c r="M26" s="167">
        <v>646191</v>
      </c>
      <c r="N26" s="167">
        <v>794778</v>
      </c>
      <c r="O26" s="167">
        <v>873313</v>
      </c>
      <c r="P26" s="167"/>
      <c r="Q26" s="167"/>
      <c r="R26" s="167">
        <v>21480</v>
      </c>
      <c r="S26" s="167">
        <v>32906</v>
      </c>
      <c r="T26" s="167">
        <v>8423</v>
      </c>
      <c r="U26" s="167"/>
      <c r="V26" s="167"/>
      <c r="W26" s="167"/>
      <c r="X26" s="167"/>
      <c r="Y26" s="167">
        <v>4467</v>
      </c>
      <c r="Z26" s="167">
        <v>37837</v>
      </c>
      <c r="AA26" s="167">
        <v>16277</v>
      </c>
      <c r="AB26" s="167">
        <v>0</v>
      </c>
      <c r="AC26" s="167"/>
      <c r="AD26" s="167">
        <v>4357</v>
      </c>
      <c r="AE26" s="167">
        <v>0</v>
      </c>
      <c r="AF26" s="167">
        <v>0</v>
      </c>
      <c r="AG26" s="167"/>
      <c r="AH26" s="167">
        <v>33934</v>
      </c>
      <c r="AI26" s="167">
        <v>16252</v>
      </c>
      <c r="AJ26" s="167">
        <v>0</v>
      </c>
      <c r="AK26" s="167">
        <v>326783</v>
      </c>
    </row>
    <row r="27" spans="1:37">
      <c r="A27" s="151" t="s">
        <v>1063</v>
      </c>
      <c r="B27" s="151" t="s">
        <v>1064</v>
      </c>
      <c r="C27" s="152"/>
      <c r="D27" s="167">
        <v>0</v>
      </c>
      <c r="E27" s="167">
        <v>0</v>
      </c>
      <c r="F27" s="167">
        <v>0</v>
      </c>
      <c r="G27" s="167"/>
      <c r="H27" s="167">
        <v>0</v>
      </c>
      <c r="I27" s="167"/>
      <c r="J27" s="167"/>
      <c r="K27" s="167"/>
      <c r="L27" s="167"/>
      <c r="M27" s="167"/>
      <c r="N27" s="167"/>
      <c r="O27" s="167">
        <v>136</v>
      </c>
      <c r="P27" s="167">
        <v>37</v>
      </c>
      <c r="Q27" s="167">
        <v>37</v>
      </c>
      <c r="R27" s="167"/>
      <c r="S27" s="167">
        <v>896</v>
      </c>
      <c r="T27" s="167">
        <v>896</v>
      </c>
      <c r="U27" s="167">
        <v>896</v>
      </c>
      <c r="V27" s="167"/>
      <c r="W27" s="167">
        <v>342</v>
      </c>
      <c r="X27" s="167">
        <v>342</v>
      </c>
      <c r="Y27" s="167">
        <v>342</v>
      </c>
      <c r="Z27" s="167">
        <v>0</v>
      </c>
      <c r="AA27" s="167">
        <v>5650</v>
      </c>
      <c r="AB27" s="167">
        <v>5650</v>
      </c>
      <c r="AC27" s="167"/>
      <c r="AD27" s="167">
        <v>0</v>
      </c>
      <c r="AE27" s="167">
        <v>7977</v>
      </c>
      <c r="AF27" s="167">
        <v>4776</v>
      </c>
      <c r="AG27" s="167">
        <v>4776</v>
      </c>
      <c r="AH27" s="167">
        <v>4776</v>
      </c>
      <c r="AI27" s="167">
        <v>5314</v>
      </c>
      <c r="AJ27" s="167">
        <v>5314</v>
      </c>
      <c r="AK27" s="167">
        <v>5314</v>
      </c>
    </row>
    <row r="28" spans="1:37">
      <c r="A28" s="151" t="s">
        <v>1068</v>
      </c>
      <c r="B28" s="151" t="s">
        <v>1069</v>
      </c>
      <c r="C28" s="152"/>
      <c r="D28" s="167">
        <v>81742</v>
      </c>
      <c r="E28" s="167">
        <v>84793</v>
      </c>
      <c r="F28" s="167">
        <v>90060</v>
      </c>
      <c r="G28" s="167">
        <v>93248</v>
      </c>
      <c r="H28" s="167">
        <v>93200</v>
      </c>
      <c r="I28" s="167">
        <v>98054</v>
      </c>
      <c r="J28" s="167">
        <v>98177</v>
      </c>
      <c r="K28" s="167">
        <v>42427</v>
      </c>
      <c r="L28" s="167">
        <v>41604</v>
      </c>
      <c r="M28" s="167">
        <v>40376</v>
      </c>
      <c r="N28" s="167">
        <v>40896</v>
      </c>
      <c r="O28" s="167">
        <v>34490</v>
      </c>
      <c r="P28" s="167">
        <v>33952</v>
      </c>
      <c r="Q28" s="167">
        <v>34382</v>
      </c>
      <c r="R28" s="167">
        <v>30602</v>
      </c>
      <c r="S28" s="167">
        <v>24582</v>
      </c>
      <c r="T28" s="167">
        <v>24323</v>
      </c>
      <c r="U28" s="167">
        <v>24572</v>
      </c>
      <c r="V28" s="167">
        <v>25194</v>
      </c>
      <c r="W28" s="167">
        <v>28320</v>
      </c>
      <c r="X28" s="167">
        <v>28860</v>
      </c>
      <c r="Y28" s="167">
        <v>29727</v>
      </c>
      <c r="Z28" s="167">
        <v>30320</v>
      </c>
      <c r="AA28" s="167">
        <v>30429</v>
      </c>
      <c r="AB28" s="167">
        <v>37291</v>
      </c>
      <c r="AC28" s="167">
        <v>38740</v>
      </c>
      <c r="AD28" s="167">
        <v>36266</v>
      </c>
      <c r="AE28" s="167">
        <v>35391</v>
      </c>
      <c r="AF28" s="167">
        <v>33202</v>
      </c>
      <c r="AG28" s="167">
        <v>32652</v>
      </c>
      <c r="AH28" s="167">
        <v>31983</v>
      </c>
      <c r="AI28" s="167">
        <v>25712</v>
      </c>
      <c r="AJ28" s="167">
        <v>25708</v>
      </c>
      <c r="AK28" s="167">
        <v>28298</v>
      </c>
    </row>
    <row r="29" spans="1:37">
      <c r="A29" s="151" t="s">
        <v>1076</v>
      </c>
      <c r="B29" s="151" t="s">
        <v>1077</v>
      </c>
      <c r="C29" s="152"/>
      <c r="D29" s="167">
        <v>3931</v>
      </c>
      <c r="E29" s="167">
        <v>3963</v>
      </c>
      <c r="F29" s="167">
        <v>3831</v>
      </c>
      <c r="G29" s="167">
        <v>3407</v>
      </c>
      <c r="H29" s="167">
        <v>0</v>
      </c>
      <c r="I29" s="167">
        <v>29819</v>
      </c>
      <c r="J29" s="167">
        <v>297878</v>
      </c>
      <c r="K29" s="167">
        <v>305043</v>
      </c>
      <c r="L29" s="167">
        <v>172564</v>
      </c>
      <c r="M29" s="167">
        <v>121720</v>
      </c>
      <c r="N29" s="167">
        <v>158057</v>
      </c>
      <c r="O29" s="167">
        <v>36249</v>
      </c>
      <c r="P29" s="167">
        <v>35819</v>
      </c>
      <c r="Q29" s="167">
        <v>36687</v>
      </c>
      <c r="R29" s="167">
        <v>40302</v>
      </c>
      <c r="S29" s="167">
        <v>42607</v>
      </c>
      <c r="T29" s="167">
        <v>38298</v>
      </c>
      <c r="U29" s="167">
        <v>33711</v>
      </c>
      <c r="V29" s="167">
        <v>42447</v>
      </c>
      <c r="W29" s="167"/>
      <c r="X29" s="167"/>
      <c r="Y29" s="167">
        <v>56795</v>
      </c>
      <c r="Z29" s="167">
        <v>60947</v>
      </c>
      <c r="AA29" s="167">
        <v>65276</v>
      </c>
      <c r="AB29" s="167">
        <v>67563</v>
      </c>
      <c r="AC29" s="167">
        <v>68697</v>
      </c>
      <c r="AD29" s="167">
        <v>67219</v>
      </c>
      <c r="AE29" s="167">
        <v>68189</v>
      </c>
      <c r="AF29" s="167">
        <v>75869</v>
      </c>
      <c r="AG29" s="167">
        <v>80386</v>
      </c>
      <c r="AH29" s="167">
        <v>83771</v>
      </c>
      <c r="AI29" s="167">
        <v>77224</v>
      </c>
      <c r="AJ29" s="167">
        <v>83132</v>
      </c>
      <c r="AK29" s="167">
        <v>84767</v>
      </c>
    </row>
    <row r="30" spans="1:37">
      <c r="A30" s="151" t="s">
        <v>1078</v>
      </c>
      <c r="B30" s="151" t="s">
        <v>1079</v>
      </c>
      <c r="C30" s="152"/>
      <c r="D30" s="167">
        <v>0</v>
      </c>
      <c r="E30" s="167">
        <v>0</v>
      </c>
      <c r="F30" s="167">
        <v>0</v>
      </c>
      <c r="G30" s="167"/>
      <c r="H30" s="167">
        <v>0</v>
      </c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>
        <v>44721</v>
      </c>
      <c r="X30" s="167">
        <v>47940</v>
      </c>
      <c r="Y30" s="167">
        <v>0</v>
      </c>
      <c r="Z30" s="167">
        <v>0</v>
      </c>
      <c r="AA30" s="167">
        <v>16345</v>
      </c>
      <c r="AB30" s="167">
        <v>16634</v>
      </c>
      <c r="AC30" s="167">
        <v>16884</v>
      </c>
      <c r="AD30" s="167">
        <v>17204</v>
      </c>
      <c r="AE30" s="167">
        <v>9024</v>
      </c>
      <c r="AF30" s="167">
        <v>9303</v>
      </c>
      <c r="AG30" s="167">
        <v>9370</v>
      </c>
      <c r="AH30" s="167">
        <v>6794</v>
      </c>
      <c r="AI30" s="167">
        <v>4153</v>
      </c>
      <c r="AJ30" s="167">
        <v>1443</v>
      </c>
      <c r="AK30" s="167">
        <v>0</v>
      </c>
    </row>
    <row r="31" spans="1:37">
      <c r="A31" s="151" t="s">
        <v>1162</v>
      </c>
      <c r="B31" s="151" t="s">
        <v>1133</v>
      </c>
      <c r="C31" s="152"/>
      <c r="D31" s="167">
        <v>0</v>
      </c>
      <c r="E31" s="167">
        <v>0</v>
      </c>
      <c r="F31" s="167">
        <v>0</v>
      </c>
      <c r="G31" s="167"/>
      <c r="H31" s="167">
        <v>0</v>
      </c>
      <c r="I31" s="167"/>
      <c r="J31" s="167"/>
      <c r="K31" s="167"/>
      <c r="L31" s="167"/>
      <c r="M31" s="167"/>
      <c r="N31" s="167"/>
      <c r="O31" s="167"/>
      <c r="P31" s="167"/>
      <c r="Q31" s="167"/>
      <c r="R31" s="167">
        <v>602113</v>
      </c>
      <c r="S31" s="167">
        <v>544022</v>
      </c>
      <c r="T31" s="167">
        <v>528494</v>
      </c>
      <c r="U31" s="167">
        <v>509228</v>
      </c>
      <c r="V31" s="167">
        <v>501458</v>
      </c>
      <c r="W31" s="167">
        <v>501983</v>
      </c>
      <c r="X31" s="167">
        <v>493827</v>
      </c>
      <c r="Y31" s="167">
        <v>482623</v>
      </c>
      <c r="Z31" s="167">
        <v>499748</v>
      </c>
      <c r="AA31" s="167">
        <v>513645</v>
      </c>
      <c r="AB31" s="167">
        <v>504751</v>
      </c>
      <c r="AC31" s="167">
        <v>477999</v>
      </c>
      <c r="AD31" s="167">
        <v>460108</v>
      </c>
      <c r="AE31" s="167">
        <v>474404</v>
      </c>
      <c r="AF31" s="167">
        <v>463981</v>
      </c>
      <c r="AG31" s="167">
        <v>467303</v>
      </c>
      <c r="AH31" s="167">
        <v>471218</v>
      </c>
      <c r="AI31" s="167">
        <v>471108</v>
      </c>
      <c r="AJ31" s="167">
        <v>443699</v>
      </c>
      <c r="AK31" s="167">
        <v>389991</v>
      </c>
    </row>
    <row r="32" spans="1:37">
      <c r="A32" s="151" t="s">
        <v>1072</v>
      </c>
      <c r="B32" s="151" t="s">
        <v>1073</v>
      </c>
      <c r="C32" s="152"/>
      <c r="D32" s="167">
        <v>0</v>
      </c>
      <c r="E32" s="167">
        <v>0</v>
      </c>
      <c r="F32" s="167">
        <v>0</v>
      </c>
      <c r="G32" s="167"/>
      <c r="H32" s="167">
        <v>0</v>
      </c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>
        <v>0</v>
      </c>
      <c r="Z32" s="167"/>
      <c r="AA32" s="167"/>
      <c r="AB32" s="167"/>
      <c r="AC32" s="167">
        <v>25740</v>
      </c>
      <c r="AD32" s="167">
        <v>28613</v>
      </c>
      <c r="AE32" s="167">
        <v>59952</v>
      </c>
      <c r="AF32" s="167">
        <v>0</v>
      </c>
      <c r="AG32" s="167"/>
      <c r="AH32" s="167"/>
      <c r="AI32" s="167"/>
      <c r="AJ32" s="167"/>
      <c r="AK32" s="167"/>
    </row>
    <row r="33" spans="1:37">
      <c r="A33" s="151" t="s">
        <v>1150</v>
      </c>
      <c r="B33" s="151" t="s">
        <v>1151</v>
      </c>
      <c r="C33" s="152"/>
      <c r="D33" s="167"/>
      <c r="E33" s="167"/>
      <c r="F33" s="167"/>
      <c r="G33" s="167"/>
      <c r="H33" s="167"/>
      <c r="I33" s="167"/>
      <c r="J33" s="167"/>
      <c r="K33" s="167"/>
      <c r="L33" s="167">
        <v>-33713</v>
      </c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>
        <v>0</v>
      </c>
      <c r="Z33" s="167"/>
      <c r="AA33" s="167"/>
      <c r="AB33" s="167"/>
      <c r="AC33" s="167"/>
      <c r="AD33" s="167"/>
      <c r="AE33" s="167"/>
      <c r="AF33" s="167"/>
      <c r="AG33" s="167"/>
      <c r="AH33" s="167"/>
      <c r="AI33" s="167"/>
      <c r="AJ33" s="167"/>
      <c r="AK33" s="167"/>
    </row>
    <row r="34" spans="1:37">
      <c r="A34" s="151" t="s">
        <v>1080</v>
      </c>
      <c r="B34" s="151" t="s">
        <v>96</v>
      </c>
      <c r="C34" s="152"/>
      <c r="D34" s="167">
        <v>8738</v>
      </c>
      <c r="E34" s="167">
        <v>4480</v>
      </c>
      <c r="F34" s="167">
        <v>4481</v>
      </c>
      <c r="G34" s="167">
        <v>11386</v>
      </c>
      <c r="H34" s="167">
        <v>11384</v>
      </c>
      <c r="I34" s="167">
        <v>15640</v>
      </c>
      <c r="J34" s="167">
        <v>15961</v>
      </c>
      <c r="K34" s="167">
        <v>16192</v>
      </c>
      <c r="L34" s="167">
        <v>16192</v>
      </c>
      <c r="M34" s="167">
        <v>16192</v>
      </c>
      <c r="N34" s="167">
        <v>16192</v>
      </c>
      <c r="O34" s="167">
        <v>17366</v>
      </c>
      <c r="P34" s="167">
        <v>17366</v>
      </c>
      <c r="Q34" s="167">
        <v>37016</v>
      </c>
      <c r="R34" s="167">
        <v>34048</v>
      </c>
      <c r="S34" s="167">
        <v>32627</v>
      </c>
      <c r="T34" s="167">
        <v>31792</v>
      </c>
      <c r="U34" s="167">
        <v>33804</v>
      </c>
      <c r="V34" s="167">
        <v>23800</v>
      </c>
      <c r="W34" s="167">
        <v>21799</v>
      </c>
      <c r="X34" s="167">
        <v>21480</v>
      </c>
      <c r="Y34" s="167">
        <v>22073</v>
      </c>
      <c r="Z34" s="167">
        <v>22675</v>
      </c>
      <c r="AA34" s="167">
        <v>18073</v>
      </c>
      <c r="AB34" s="167">
        <v>18491</v>
      </c>
      <c r="AC34" s="167">
        <v>18958</v>
      </c>
      <c r="AD34" s="167">
        <v>19391</v>
      </c>
      <c r="AE34" s="167">
        <v>4386</v>
      </c>
      <c r="AF34" s="167">
        <v>4520</v>
      </c>
      <c r="AG34" s="167">
        <v>4045</v>
      </c>
      <c r="AH34" s="167">
        <v>3673</v>
      </c>
      <c r="AI34" s="167">
        <v>16310</v>
      </c>
      <c r="AJ34" s="167">
        <v>15975</v>
      </c>
      <c r="AK34" s="167">
        <v>15970</v>
      </c>
    </row>
    <row r="35" spans="1:37" ht="15" thickBot="1">
      <c r="A35" s="154" t="s">
        <v>1086</v>
      </c>
      <c r="B35" s="154" t="s">
        <v>1087</v>
      </c>
      <c r="C35" s="152"/>
      <c r="D35" s="167">
        <v>927857</v>
      </c>
      <c r="E35" s="167">
        <v>940508</v>
      </c>
      <c r="F35" s="167">
        <v>966736</v>
      </c>
      <c r="G35" s="167">
        <v>1009163</v>
      </c>
      <c r="H35" s="167">
        <v>37088</v>
      </c>
      <c r="I35" s="167">
        <v>35356</v>
      </c>
      <c r="J35" s="167">
        <v>35445</v>
      </c>
      <c r="K35" s="167">
        <v>69536</v>
      </c>
      <c r="L35" s="167">
        <v>70269</v>
      </c>
      <c r="M35" s="167">
        <v>70472</v>
      </c>
      <c r="N35" s="167">
        <v>71081</v>
      </c>
      <c r="O35" s="167">
        <v>51718</v>
      </c>
      <c r="P35" s="167">
        <v>53860</v>
      </c>
      <c r="Q35" s="167">
        <v>55008</v>
      </c>
      <c r="R35" s="167">
        <v>57914</v>
      </c>
      <c r="S35" s="167">
        <v>74666</v>
      </c>
      <c r="T35" s="167">
        <v>77103</v>
      </c>
      <c r="U35" s="167">
        <v>87267</v>
      </c>
      <c r="V35" s="167">
        <v>90517</v>
      </c>
      <c r="W35" s="167">
        <v>105767</v>
      </c>
      <c r="X35" s="167">
        <v>115057</v>
      </c>
      <c r="Y35" s="167">
        <v>122735</v>
      </c>
      <c r="Z35" s="167">
        <v>144228</v>
      </c>
      <c r="AA35" s="167">
        <v>206847</v>
      </c>
      <c r="AB35" s="167">
        <v>197501</v>
      </c>
      <c r="AC35" s="167">
        <v>200319</v>
      </c>
      <c r="AD35" s="167">
        <v>207001</v>
      </c>
      <c r="AE35" s="167">
        <v>222315</v>
      </c>
      <c r="AF35" s="167">
        <v>234109</v>
      </c>
      <c r="AG35" s="167">
        <v>247618</v>
      </c>
      <c r="AH35" s="167">
        <v>261600</v>
      </c>
      <c r="AI35" s="167">
        <v>296441</v>
      </c>
      <c r="AJ35" s="167">
        <v>310163</v>
      </c>
      <c r="AK35" s="167">
        <v>337528</v>
      </c>
    </row>
    <row r="36" spans="1:37" ht="15" thickBot="1">
      <c r="A36" s="155" t="s">
        <v>1164</v>
      </c>
      <c r="B36" s="155" t="s">
        <v>1165</v>
      </c>
      <c r="C36" s="148"/>
      <c r="D36" s="156">
        <f t="shared" ref="D36:Q36" si="9">SUM(D37:D41)</f>
        <v>43414</v>
      </c>
      <c r="E36" s="156">
        <f t="shared" si="9"/>
        <v>49203</v>
      </c>
      <c r="F36" s="156">
        <f t="shared" si="9"/>
        <v>40468</v>
      </c>
      <c r="G36" s="156">
        <f t="shared" si="9"/>
        <v>42632</v>
      </c>
      <c r="H36" s="156">
        <f t="shared" si="9"/>
        <v>991598</v>
      </c>
      <c r="I36" s="156">
        <f t="shared" si="9"/>
        <v>996589</v>
      </c>
      <c r="J36" s="156">
        <f t="shared" si="9"/>
        <v>1056780</v>
      </c>
      <c r="K36" s="156">
        <f t="shared" si="9"/>
        <v>1089513</v>
      </c>
      <c r="L36" s="156">
        <f t="shared" si="9"/>
        <v>1109622</v>
      </c>
      <c r="M36" s="156">
        <f t="shared" si="9"/>
        <v>1123962</v>
      </c>
      <c r="N36" s="156">
        <f t="shared" si="9"/>
        <v>1125277</v>
      </c>
      <c r="O36" s="156">
        <f t="shared" si="9"/>
        <v>1177543</v>
      </c>
      <c r="P36" s="156">
        <f t="shared" si="9"/>
        <v>1207625</v>
      </c>
      <c r="Q36" s="156">
        <f t="shared" si="9"/>
        <v>1245680</v>
      </c>
      <c r="R36" s="156">
        <f t="shared" ref="R36:Y36" si="10">SUM(R37:R41)</f>
        <v>1303120</v>
      </c>
      <c r="S36" s="156">
        <f t="shared" si="10"/>
        <v>1368451</v>
      </c>
      <c r="T36" s="156">
        <f t="shared" si="10"/>
        <v>1406150</v>
      </c>
      <c r="U36" s="156">
        <f t="shared" si="10"/>
        <v>1477364</v>
      </c>
      <c r="V36" s="156">
        <f t="shared" si="10"/>
        <v>1561022</v>
      </c>
      <c r="W36" s="156">
        <f t="shared" si="10"/>
        <v>1658792</v>
      </c>
      <c r="X36" s="156">
        <f t="shared" si="10"/>
        <v>1760062</v>
      </c>
      <c r="Y36" s="156">
        <f t="shared" si="10"/>
        <v>1895932</v>
      </c>
      <c r="Z36" s="156">
        <f t="shared" ref="Z36:AG36" si="11">SUM(Z37:Z41)</f>
        <v>2013307</v>
      </c>
      <c r="AA36" s="156">
        <f t="shared" si="11"/>
        <v>2093413</v>
      </c>
      <c r="AB36" s="156">
        <f t="shared" si="11"/>
        <v>2169588</v>
      </c>
      <c r="AC36" s="156">
        <f t="shared" si="11"/>
        <v>2252887</v>
      </c>
      <c r="AD36" s="156">
        <f t="shared" si="11"/>
        <v>2363329</v>
      </c>
      <c r="AE36" s="156">
        <f t="shared" si="11"/>
        <v>2440422</v>
      </c>
      <c r="AF36" s="156">
        <f t="shared" si="11"/>
        <v>2556276</v>
      </c>
      <c r="AG36" s="156">
        <f t="shared" si="11"/>
        <v>2687526</v>
      </c>
      <c r="AH36" s="156">
        <f t="shared" ref="AH36" si="12">SUM(AH37:AH41)</f>
        <v>2792639</v>
      </c>
      <c r="AI36" s="156">
        <f t="shared" ref="AI36:AJ36" si="13">SUM(AI37:AI41)</f>
        <v>2869283</v>
      </c>
      <c r="AJ36" s="156">
        <f t="shared" si="13"/>
        <v>2984424</v>
      </c>
      <c r="AK36" s="156">
        <f>SUM(AK37:AK41)</f>
        <v>3104203</v>
      </c>
    </row>
    <row r="37" spans="1:37">
      <c r="A37" s="151" t="s">
        <v>1088</v>
      </c>
      <c r="B37" s="151" t="s">
        <v>1089</v>
      </c>
      <c r="C37" s="152"/>
      <c r="D37" s="167">
        <v>168</v>
      </c>
      <c r="E37" s="167">
        <v>168</v>
      </c>
      <c r="F37" s="167">
        <v>168</v>
      </c>
      <c r="G37" s="167">
        <v>168</v>
      </c>
      <c r="H37" s="167">
        <v>168</v>
      </c>
      <c r="I37" s="167">
        <v>169</v>
      </c>
      <c r="J37" s="167">
        <v>169</v>
      </c>
      <c r="K37" s="167">
        <v>169</v>
      </c>
      <c r="L37" s="167">
        <v>169</v>
      </c>
      <c r="M37" s="167">
        <v>169</v>
      </c>
      <c r="N37" s="167">
        <v>169</v>
      </c>
      <c r="O37" s="167">
        <v>169</v>
      </c>
      <c r="P37" s="167">
        <v>169</v>
      </c>
      <c r="Q37" s="167">
        <v>7086</v>
      </c>
      <c r="R37" s="167">
        <v>7017</v>
      </c>
      <c r="S37" s="167">
        <v>6947</v>
      </c>
      <c r="T37" s="167">
        <v>6878</v>
      </c>
      <c r="U37" s="167">
        <v>6809</v>
      </c>
      <c r="V37" s="167">
        <v>6739</v>
      </c>
      <c r="W37" s="167">
        <v>6670</v>
      </c>
      <c r="X37" s="167">
        <v>6600</v>
      </c>
      <c r="Y37" s="167">
        <v>6531</v>
      </c>
      <c r="Z37" s="167">
        <v>6462</v>
      </c>
      <c r="AA37" s="167">
        <v>6598</v>
      </c>
      <c r="AB37" s="167">
        <v>6323</v>
      </c>
      <c r="AC37" s="167">
        <v>6253</v>
      </c>
      <c r="AD37" s="167">
        <v>6184</v>
      </c>
      <c r="AE37" s="167">
        <v>6115</v>
      </c>
      <c r="AF37" s="167">
        <v>6045</v>
      </c>
      <c r="AG37" s="167">
        <v>5976</v>
      </c>
      <c r="AH37" s="167">
        <v>5906</v>
      </c>
      <c r="AI37" s="167">
        <v>5837</v>
      </c>
      <c r="AJ37" s="167">
        <v>5768</v>
      </c>
      <c r="AK37" s="167">
        <v>5698</v>
      </c>
    </row>
    <row r="38" spans="1:37">
      <c r="A38" s="151" t="s">
        <v>1205</v>
      </c>
      <c r="B38" s="151" t="s">
        <v>1187</v>
      </c>
      <c r="C38" s="152"/>
      <c r="D38" s="167">
        <v>0</v>
      </c>
      <c r="E38" s="167">
        <v>0</v>
      </c>
      <c r="F38" s="167">
        <v>0</v>
      </c>
      <c r="G38" s="167"/>
      <c r="H38" s="167">
        <v>191490</v>
      </c>
      <c r="I38" s="167">
        <v>208781</v>
      </c>
      <c r="J38" s="167">
        <v>281490</v>
      </c>
      <c r="K38" s="167">
        <v>46149</v>
      </c>
      <c r="L38" s="167">
        <v>64653</v>
      </c>
      <c r="M38" s="167">
        <v>94395</v>
      </c>
      <c r="N38" s="167">
        <v>75984</v>
      </c>
      <c r="O38" s="167">
        <v>101353</v>
      </c>
      <c r="P38" s="167">
        <v>136423</v>
      </c>
      <c r="Q38" s="167">
        <v>158790</v>
      </c>
      <c r="R38" s="167">
        <v>198761</v>
      </c>
      <c r="S38" s="167">
        <v>185860</v>
      </c>
      <c r="T38" s="167">
        <v>207008</v>
      </c>
      <c r="U38" s="167">
        <v>216662</v>
      </c>
      <c r="V38" s="167">
        <v>275035</v>
      </c>
      <c r="W38" s="167">
        <v>200977</v>
      </c>
      <c r="X38" s="167">
        <v>378282</v>
      </c>
      <c r="Y38" s="167">
        <v>443454</v>
      </c>
      <c r="Z38" s="167">
        <v>441532</v>
      </c>
      <c r="AA38" s="167">
        <v>159934</v>
      </c>
      <c r="AB38" s="167">
        <v>216343</v>
      </c>
      <c r="AC38" s="167">
        <v>265603</v>
      </c>
      <c r="AD38" s="167">
        <v>339862</v>
      </c>
      <c r="AE38" s="167">
        <v>321704</v>
      </c>
      <c r="AF38" s="167">
        <v>400823</v>
      </c>
      <c r="AG38" s="167">
        <v>486833</v>
      </c>
      <c r="AH38" s="167">
        <v>540293</v>
      </c>
      <c r="AI38" s="167">
        <v>455658</v>
      </c>
      <c r="AJ38" s="167">
        <v>544150</v>
      </c>
      <c r="AK38" s="167">
        <v>539209</v>
      </c>
    </row>
    <row r="39" spans="1:37">
      <c r="A39" s="151" t="s">
        <v>1188</v>
      </c>
      <c r="B39" s="151" t="s">
        <v>1189</v>
      </c>
      <c r="C39" s="152"/>
      <c r="D39" s="167">
        <v>29553</v>
      </c>
      <c r="E39" s="167">
        <v>27883</v>
      </c>
      <c r="F39" s="167">
        <v>29603</v>
      </c>
      <c r="G39" s="167">
        <v>31254</v>
      </c>
      <c r="H39" s="167">
        <v>0</v>
      </c>
      <c r="I39" s="167"/>
      <c r="J39" s="167"/>
      <c r="K39" s="167"/>
      <c r="L39" s="167"/>
      <c r="M39" s="167"/>
      <c r="N39" s="167"/>
      <c r="O39" s="167"/>
      <c r="P39" s="167"/>
      <c r="Y39" s="167">
        <v>0</v>
      </c>
      <c r="Z39" s="167"/>
      <c r="AA39" s="167"/>
      <c r="AB39" s="167"/>
      <c r="AC39" s="167"/>
      <c r="AD39" s="167">
        <v>0</v>
      </c>
      <c r="AE39" s="167"/>
      <c r="AF39" s="167"/>
      <c r="AG39" s="167"/>
      <c r="AH39" s="167"/>
      <c r="AI39" s="167"/>
      <c r="AJ39" s="167"/>
      <c r="AK39" s="167"/>
    </row>
    <row r="40" spans="1:37">
      <c r="A40" s="151" t="s">
        <v>1096</v>
      </c>
      <c r="B40" s="151" t="s">
        <v>1097</v>
      </c>
      <c r="C40" s="152"/>
      <c r="D40" s="167"/>
      <c r="E40" s="167"/>
      <c r="F40" s="167"/>
      <c r="G40" s="167"/>
      <c r="H40" s="167"/>
      <c r="I40" s="167"/>
      <c r="J40" s="167"/>
      <c r="K40" s="167"/>
      <c r="L40" s="167">
        <v>3711</v>
      </c>
      <c r="M40" s="167">
        <v>2776</v>
      </c>
      <c r="N40" s="167">
        <v>3527</v>
      </c>
      <c r="O40" s="167">
        <v>3363</v>
      </c>
      <c r="P40" s="167">
        <v>3646</v>
      </c>
      <c r="Q40" s="167">
        <v>3556</v>
      </c>
      <c r="R40" s="167">
        <v>879</v>
      </c>
      <c r="S40" s="167">
        <v>1118</v>
      </c>
      <c r="T40" s="167">
        <v>1035</v>
      </c>
      <c r="U40" s="167">
        <v>967</v>
      </c>
      <c r="V40" s="167">
        <v>881</v>
      </c>
      <c r="W40" s="167">
        <v>926</v>
      </c>
      <c r="X40" s="167">
        <v>836</v>
      </c>
      <c r="Y40" s="167">
        <v>646</v>
      </c>
      <c r="Z40" s="167">
        <v>491</v>
      </c>
      <c r="AA40" s="167">
        <v>821</v>
      </c>
      <c r="AB40" s="167">
        <v>745</v>
      </c>
      <c r="AC40" s="167">
        <v>649</v>
      </c>
      <c r="AD40" s="167">
        <v>1768</v>
      </c>
      <c r="AE40" s="167">
        <v>3230</v>
      </c>
      <c r="AF40" s="167">
        <v>3069</v>
      </c>
      <c r="AG40" s="167">
        <v>2721</v>
      </c>
      <c r="AH40" s="167">
        <v>2959</v>
      </c>
      <c r="AI40" s="167">
        <v>3493</v>
      </c>
      <c r="AJ40" s="167">
        <v>3256</v>
      </c>
      <c r="AK40" s="167">
        <v>3030</v>
      </c>
    </row>
    <row r="41" spans="1:37" ht="15" thickBot="1">
      <c r="A41" s="151" t="s">
        <v>1092</v>
      </c>
      <c r="B41" s="151" t="s">
        <v>1093</v>
      </c>
      <c r="C41" s="152"/>
      <c r="D41" s="167">
        <v>13693</v>
      </c>
      <c r="E41" s="167">
        <v>21152</v>
      </c>
      <c r="F41" s="167">
        <v>10697</v>
      </c>
      <c r="G41" s="167">
        <v>11210</v>
      </c>
      <c r="H41" s="167">
        <v>799940</v>
      </c>
      <c r="I41" s="167">
        <v>787639</v>
      </c>
      <c r="J41" s="167">
        <v>775121</v>
      </c>
      <c r="K41" s="167">
        <v>1043195</v>
      </c>
      <c r="L41" s="167">
        <v>1041089</v>
      </c>
      <c r="M41" s="167">
        <v>1026622</v>
      </c>
      <c r="N41" s="167">
        <v>1045597</v>
      </c>
      <c r="O41" s="167">
        <v>1072658</v>
      </c>
      <c r="P41" s="167">
        <v>1067387</v>
      </c>
      <c r="Q41" s="167">
        <v>1076248</v>
      </c>
      <c r="R41" s="167">
        <v>1096463</v>
      </c>
      <c r="S41" s="167">
        <v>1174526</v>
      </c>
      <c r="T41" s="167">
        <v>1191229</v>
      </c>
      <c r="U41" s="167">
        <v>1252926</v>
      </c>
      <c r="V41" s="167">
        <v>1278367</v>
      </c>
      <c r="W41" s="167">
        <v>1450219</v>
      </c>
      <c r="X41" s="167">
        <v>1374344</v>
      </c>
      <c r="Y41" s="167">
        <v>1445301</v>
      </c>
      <c r="Z41" s="167">
        <v>1564822</v>
      </c>
      <c r="AA41" s="167">
        <v>1926060</v>
      </c>
      <c r="AB41" s="167">
        <v>1946177</v>
      </c>
      <c r="AC41" s="167">
        <v>1980382</v>
      </c>
      <c r="AD41" s="167">
        <v>2015515</v>
      </c>
      <c r="AE41" s="167">
        <v>2109373</v>
      </c>
      <c r="AF41" s="167">
        <v>2146339</v>
      </c>
      <c r="AG41" s="167">
        <v>2191996</v>
      </c>
      <c r="AH41" s="167">
        <v>2243481</v>
      </c>
      <c r="AI41" s="167">
        <v>2404295</v>
      </c>
      <c r="AJ41" s="167">
        <v>2431250</v>
      </c>
      <c r="AK41" s="167">
        <v>2556266</v>
      </c>
    </row>
    <row r="42" spans="1:37" ht="15" thickBot="1">
      <c r="A42" s="155" t="s">
        <v>1098</v>
      </c>
      <c r="B42" s="155" t="s">
        <v>1099</v>
      </c>
      <c r="C42" s="148"/>
      <c r="D42" s="156">
        <f t="shared" ref="D42:Y42" si="14">D8+D23</f>
        <v>2345678</v>
      </c>
      <c r="E42" s="156">
        <f t="shared" si="14"/>
        <v>2905674</v>
      </c>
      <c r="F42" s="156">
        <f t="shared" si="14"/>
        <v>2954192</v>
      </c>
      <c r="G42" s="156">
        <f t="shared" si="14"/>
        <v>3007356.51058</v>
      </c>
      <c r="H42" s="156">
        <f t="shared" si="14"/>
        <v>3906893.0024600001</v>
      </c>
      <c r="I42" s="156">
        <f t="shared" si="14"/>
        <v>3535166.6301100003</v>
      </c>
      <c r="J42" s="156">
        <f t="shared" si="14"/>
        <v>3740688</v>
      </c>
      <c r="K42" s="156">
        <f t="shared" si="14"/>
        <v>3410794</v>
      </c>
      <c r="L42" s="156">
        <f t="shared" si="14"/>
        <v>3667295</v>
      </c>
      <c r="M42" s="156">
        <f t="shared" si="14"/>
        <v>3678203</v>
      </c>
      <c r="N42" s="156">
        <f t="shared" si="14"/>
        <v>4078714</v>
      </c>
      <c r="O42" s="156">
        <f t="shared" si="14"/>
        <v>4308515</v>
      </c>
      <c r="P42" s="156">
        <f t="shared" si="14"/>
        <v>3431242</v>
      </c>
      <c r="Q42" s="156">
        <f t="shared" si="14"/>
        <v>3298229</v>
      </c>
      <c r="R42" s="156">
        <f t="shared" si="14"/>
        <v>4081225</v>
      </c>
      <c r="S42" s="156">
        <f t="shared" si="14"/>
        <v>4289085</v>
      </c>
      <c r="T42" s="156">
        <f t="shared" si="14"/>
        <v>4224519</v>
      </c>
      <c r="U42" s="156">
        <f t="shared" si="14"/>
        <v>4206987</v>
      </c>
      <c r="V42" s="156">
        <f t="shared" si="14"/>
        <v>4210009</v>
      </c>
      <c r="W42" s="156">
        <f t="shared" si="14"/>
        <v>4041510</v>
      </c>
      <c r="X42" s="156">
        <f t="shared" si="14"/>
        <v>4057874</v>
      </c>
      <c r="Y42" s="156">
        <f t="shared" si="14"/>
        <v>4130983</v>
      </c>
      <c r="Z42" s="156">
        <f t="shared" ref="Z42:AG42" si="15">Z8+Z23</f>
        <v>4263690</v>
      </c>
      <c r="AA42" s="156">
        <f t="shared" si="15"/>
        <v>4477164</v>
      </c>
      <c r="AB42" s="156">
        <f t="shared" si="15"/>
        <v>4566388</v>
      </c>
      <c r="AC42" s="156">
        <f t="shared" si="15"/>
        <v>4767392</v>
      </c>
      <c r="AD42" s="156">
        <f t="shared" si="15"/>
        <v>4800580</v>
      </c>
      <c r="AE42" s="156">
        <f t="shared" si="15"/>
        <v>5397813</v>
      </c>
      <c r="AF42" s="156">
        <f t="shared" si="15"/>
        <v>5544949</v>
      </c>
      <c r="AG42" s="156">
        <f t="shared" si="15"/>
        <v>5715931</v>
      </c>
      <c r="AH42" s="156">
        <f t="shared" ref="AH42:AJ42" si="16">AH8+AH23</f>
        <v>5885547</v>
      </c>
      <c r="AI42" s="156">
        <f t="shared" si="16"/>
        <v>6071546</v>
      </c>
      <c r="AJ42" s="156">
        <f t="shared" si="16"/>
        <v>6073668</v>
      </c>
      <c r="AK42" s="156">
        <f>AK8+AK23</f>
        <v>6231987</v>
      </c>
    </row>
    <row r="43" spans="1:37">
      <c r="A43" s="151"/>
      <c r="B43" s="151"/>
      <c r="C43" s="152"/>
    </row>
    <row r="44" spans="1:37" ht="15" thickBot="1">
      <c r="A44" s="6" t="s">
        <v>1100</v>
      </c>
      <c r="B44" s="6" t="s">
        <v>1101</v>
      </c>
      <c r="C44" s="146"/>
      <c r="D44" s="434" t="str">
        <f>D7</f>
        <v>1T18</v>
      </c>
      <c r="E44" s="434" t="str">
        <f>E7</f>
        <v>2T18</v>
      </c>
      <c r="F44" s="434" t="s">
        <v>61</v>
      </c>
      <c r="G44" s="434" t="s">
        <v>62</v>
      </c>
      <c r="H44" s="434" t="s">
        <v>63</v>
      </c>
      <c r="I44" s="434" t="s">
        <v>64</v>
      </c>
      <c r="J44" s="434" t="s">
        <v>65</v>
      </c>
      <c r="K44" s="434" t="s">
        <v>66</v>
      </c>
      <c r="L44" s="434" t="str">
        <f t="shared" ref="L44:Q44" si="17">L7</f>
        <v>1T20</v>
      </c>
      <c r="M44" s="434" t="str">
        <f t="shared" si="17"/>
        <v>2T20</v>
      </c>
      <c r="N44" s="434" t="str">
        <f t="shared" si="17"/>
        <v>3T20</v>
      </c>
      <c r="O44" s="434" t="str">
        <f t="shared" si="17"/>
        <v>4T20</v>
      </c>
      <c r="P44" s="434" t="str">
        <f t="shared" si="17"/>
        <v>1T21</v>
      </c>
      <c r="Q44" s="434" t="str">
        <f t="shared" si="17"/>
        <v>2T21</v>
      </c>
      <c r="R44" s="434" t="s">
        <v>73</v>
      </c>
      <c r="S44" s="434" t="s">
        <v>74</v>
      </c>
      <c r="T44" s="434" t="s">
        <v>75</v>
      </c>
      <c r="U44" s="434" t="s">
        <v>76</v>
      </c>
      <c r="V44" s="434" t="s">
        <v>77</v>
      </c>
      <c r="W44" s="434" t="str">
        <f>W7</f>
        <v>4T22</v>
      </c>
      <c r="X44" s="434" t="str">
        <f>X7</f>
        <v>1T23</v>
      </c>
      <c r="Y44" s="434" t="s">
        <v>80</v>
      </c>
      <c r="Z44" s="434" t="s">
        <v>81</v>
      </c>
      <c r="AA44" s="434" t="s">
        <v>82</v>
      </c>
      <c r="AB44" s="434" t="s">
        <v>83</v>
      </c>
      <c r="AC44" s="434" t="s">
        <v>84</v>
      </c>
      <c r="AD44" s="434" t="s">
        <v>85</v>
      </c>
      <c r="AE44" s="434" t="s">
        <v>86</v>
      </c>
      <c r="AF44" s="434" t="s">
        <v>87</v>
      </c>
      <c r="AG44" s="434" t="str">
        <f>+AG7</f>
        <v>2T25</v>
      </c>
      <c r="AH44" s="434" t="str">
        <f>+AH7</f>
        <v>3T25</v>
      </c>
      <c r="AI44" s="434" t="str">
        <f>+AI7</f>
        <v>4T25</v>
      </c>
      <c r="AJ44" s="434" t="str">
        <f>+AJ7</f>
        <v>1T26</v>
      </c>
      <c r="AK44" s="434" t="str">
        <f>+AK7</f>
        <v>2T26</v>
      </c>
    </row>
    <row r="45" spans="1:37" ht="15" thickBot="1">
      <c r="A45" s="147" t="s">
        <v>1051</v>
      </c>
      <c r="B45" s="147" t="s">
        <v>1052</v>
      </c>
      <c r="C45" s="148"/>
      <c r="D45" s="149">
        <f t="shared" ref="D45:Y45" si="18">SUM(D46:D63)</f>
        <v>1112868</v>
      </c>
      <c r="E45" s="149">
        <f t="shared" si="18"/>
        <v>1175495</v>
      </c>
      <c r="F45" s="149">
        <f t="shared" si="18"/>
        <v>1436221</v>
      </c>
      <c r="G45" s="149">
        <f t="shared" si="18"/>
        <v>1303390</v>
      </c>
      <c r="H45" s="149">
        <f t="shared" si="18"/>
        <v>952837</v>
      </c>
      <c r="I45" s="149">
        <f t="shared" si="18"/>
        <v>507791</v>
      </c>
      <c r="J45" s="149">
        <f t="shared" si="18"/>
        <v>414933</v>
      </c>
      <c r="K45" s="149">
        <f t="shared" si="18"/>
        <v>606078</v>
      </c>
      <c r="L45" s="149">
        <f t="shared" si="18"/>
        <v>794458</v>
      </c>
      <c r="M45" s="149">
        <f t="shared" si="18"/>
        <v>942565</v>
      </c>
      <c r="N45" s="149">
        <f t="shared" si="18"/>
        <v>1100990</v>
      </c>
      <c r="O45" s="149">
        <f t="shared" si="18"/>
        <v>1300545</v>
      </c>
      <c r="P45" s="149">
        <f t="shared" si="18"/>
        <v>931871</v>
      </c>
      <c r="Q45" s="149">
        <f t="shared" si="18"/>
        <v>920712</v>
      </c>
      <c r="R45" s="149">
        <f t="shared" si="18"/>
        <v>1068262</v>
      </c>
      <c r="S45" s="149">
        <f t="shared" si="18"/>
        <v>1339006</v>
      </c>
      <c r="T45" s="149">
        <f t="shared" si="18"/>
        <v>1090742</v>
      </c>
      <c r="U45" s="149">
        <f t="shared" si="18"/>
        <v>1031968</v>
      </c>
      <c r="V45" s="149">
        <f t="shared" si="18"/>
        <v>1023774</v>
      </c>
      <c r="W45" s="149">
        <f t="shared" si="18"/>
        <v>853522</v>
      </c>
      <c r="X45" s="149">
        <f t="shared" si="18"/>
        <v>827457</v>
      </c>
      <c r="Y45" s="149">
        <f t="shared" si="18"/>
        <v>890356</v>
      </c>
      <c r="Z45" s="149">
        <f t="shared" ref="Z45:AG45" si="19">SUM(Z46:Z63)</f>
        <v>822072</v>
      </c>
      <c r="AA45" s="149">
        <f t="shared" si="19"/>
        <v>837206</v>
      </c>
      <c r="AB45" s="149">
        <f t="shared" si="19"/>
        <v>787387</v>
      </c>
      <c r="AC45" s="149">
        <f t="shared" si="19"/>
        <v>1244521</v>
      </c>
      <c r="AD45" s="149">
        <f t="shared" si="19"/>
        <v>1466137</v>
      </c>
      <c r="AE45" s="149">
        <f t="shared" si="19"/>
        <v>1416844</v>
      </c>
      <c r="AF45" s="149">
        <f t="shared" si="19"/>
        <v>1531496</v>
      </c>
      <c r="AG45" s="149">
        <f t="shared" si="19"/>
        <v>1216309</v>
      </c>
      <c r="AH45" s="149">
        <f t="shared" ref="AH45" si="20">SUM(AH46:AH63)</f>
        <v>1009772</v>
      </c>
      <c r="AI45" s="149">
        <f t="shared" ref="AI45:AJ45" si="21">SUM(AI46:AI63)</f>
        <v>1279267</v>
      </c>
      <c r="AJ45" s="149">
        <f t="shared" si="21"/>
        <v>1164228</v>
      </c>
      <c r="AK45" s="149">
        <f>SUM(AK46:AK63)</f>
        <v>1271235</v>
      </c>
    </row>
    <row r="46" spans="1:37">
      <c r="A46" s="160" t="s">
        <v>1102</v>
      </c>
      <c r="B46" s="160" t="s">
        <v>1103</v>
      </c>
      <c r="C46" s="161"/>
      <c r="D46" s="167">
        <v>160186</v>
      </c>
      <c r="E46" s="167">
        <v>195084</v>
      </c>
      <c r="F46" s="167">
        <v>333356</v>
      </c>
      <c r="G46" s="167">
        <v>369364</v>
      </c>
      <c r="H46" s="167">
        <v>176979</v>
      </c>
      <c r="I46" s="167">
        <v>139365</v>
      </c>
      <c r="J46" s="167">
        <v>166946</v>
      </c>
      <c r="K46" s="167">
        <v>231544</v>
      </c>
      <c r="L46" s="167">
        <v>185751</v>
      </c>
      <c r="M46" s="167">
        <v>184506</v>
      </c>
      <c r="N46" s="167">
        <v>183941</v>
      </c>
      <c r="O46" s="167">
        <v>273979</v>
      </c>
      <c r="P46" s="167">
        <v>225629</v>
      </c>
      <c r="Q46" s="167">
        <v>209677</v>
      </c>
      <c r="R46" s="167">
        <v>253495</v>
      </c>
      <c r="S46" s="167">
        <v>352751</v>
      </c>
      <c r="T46" s="167">
        <v>240302</v>
      </c>
      <c r="U46" s="167">
        <v>253335</v>
      </c>
      <c r="V46" s="167">
        <v>235069</v>
      </c>
      <c r="W46" s="167">
        <v>301057</v>
      </c>
      <c r="X46" s="167">
        <v>262638</v>
      </c>
      <c r="Y46" s="167">
        <v>298500</v>
      </c>
      <c r="Z46" s="167">
        <v>299149</v>
      </c>
      <c r="AA46" s="167">
        <v>324798</v>
      </c>
      <c r="AB46" s="167">
        <v>282864</v>
      </c>
      <c r="AC46" s="167">
        <v>294427</v>
      </c>
      <c r="AD46" s="167">
        <v>299128</v>
      </c>
      <c r="AE46" s="167">
        <v>307471</v>
      </c>
      <c r="AF46" s="167">
        <v>312185</v>
      </c>
      <c r="AG46" s="167">
        <v>333346</v>
      </c>
      <c r="AH46" s="167">
        <v>325361</v>
      </c>
      <c r="AI46" s="167">
        <v>311544</v>
      </c>
      <c r="AJ46" s="167">
        <v>301535</v>
      </c>
      <c r="AK46" s="167">
        <v>329635</v>
      </c>
    </row>
    <row r="47" spans="1:37">
      <c r="A47" s="160" t="s">
        <v>1104</v>
      </c>
      <c r="B47" s="160" t="s">
        <v>876</v>
      </c>
      <c r="C47" s="161"/>
      <c r="D47" s="167">
        <v>18945</v>
      </c>
      <c r="E47" s="167">
        <v>21752</v>
      </c>
      <c r="F47" s="167">
        <v>21650</v>
      </c>
      <c r="G47" s="167">
        <v>16948</v>
      </c>
      <c r="H47" s="167">
        <v>15506</v>
      </c>
      <c r="I47" s="167">
        <v>10493</v>
      </c>
      <c r="J47" s="167">
        <v>11481</v>
      </c>
      <c r="K47" s="167">
        <v>8970</v>
      </c>
      <c r="L47" s="167">
        <v>8986</v>
      </c>
      <c r="M47" s="167">
        <v>10099</v>
      </c>
      <c r="N47" s="167">
        <v>11292</v>
      </c>
      <c r="O47" s="167">
        <v>9207</v>
      </c>
      <c r="P47" s="167">
        <v>8078</v>
      </c>
      <c r="Q47" s="167">
        <v>8506</v>
      </c>
      <c r="R47" s="167">
        <v>9145</v>
      </c>
      <c r="S47" s="167">
        <v>8227</v>
      </c>
      <c r="T47" s="167">
        <v>8781</v>
      </c>
      <c r="U47" s="167">
        <v>9603</v>
      </c>
      <c r="V47" s="167">
        <v>10210</v>
      </c>
      <c r="W47" s="167">
        <v>8426</v>
      </c>
      <c r="X47" s="167">
        <v>9521</v>
      </c>
      <c r="Y47" s="167">
        <v>9989</v>
      </c>
      <c r="Z47" s="167">
        <v>11126</v>
      </c>
      <c r="AA47" s="167">
        <v>9111</v>
      </c>
      <c r="AB47" s="167">
        <v>11024</v>
      </c>
      <c r="AC47" s="167">
        <v>11294</v>
      </c>
      <c r="AD47" s="167">
        <v>13201</v>
      </c>
      <c r="AE47" s="167">
        <v>10745</v>
      </c>
      <c r="AF47" s="167">
        <v>14233</v>
      </c>
      <c r="AG47" s="167">
        <v>15253</v>
      </c>
      <c r="AH47" s="167">
        <v>18843</v>
      </c>
      <c r="AI47" s="167">
        <v>13589</v>
      </c>
      <c r="AJ47" s="167">
        <v>14326</v>
      </c>
      <c r="AK47" s="167">
        <v>17791</v>
      </c>
    </row>
    <row r="48" spans="1:37">
      <c r="A48" s="151" t="s">
        <v>1105</v>
      </c>
      <c r="B48" s="151" t="s">
        <v>1106</v>
      </c>
      <c r="C48" s="152"/>
      <c r="D48" s="167">
        <v>348914</v>
      </c>
      <c r="E48" s="167">
        <v>465664</v>
      </c>
      <c r="F48" s="167">
        <v>402922</v>
      </c>
      <c r="G48" s="167">
        <v>225519</v>
      </c>
      <c r="H48" s="167">
        <v>194419</v>
      </c>
      <c r="I48" s="167">
        <v>154032</v>
      </c>
      <c r="J48" s="167">
        <v>108551</v>
      </c>
      <c r="K48" s="167">
        <v>73156</v>
      </c>
      <c r="L48" s="167">
        <v>155286</v>
      </c>
      <c r="M48" s="167">
        <v>242061</v>
      </c>
      <c r="N48" s="167">
        <v>323531</v>
      </c>
      <c r="O48" s="167">
        <v>418296</v>
      </c>
      <c r="P48" s="167">
        <v>386654</v>
      </c>
      <c r="Q48" s="167">
        <v>397153</v>
      </c>
      <c r="R48" s="167">
        <v>397124</v>
      </c>
      <c r="S48" s="167">
        <v>399136</v>
      </c>
      <c r="T48" s="167">
        <v>390103</v>
      </c>
      <c r="U48" s="167">
        <v>395432</v>
      </c>
      <c r="V48" s="167">
        <v>374521</v>
      </c>
      <c r="W48" s="167">
        <v>189655</v>
      </c>
      <c r="X48" s="167">
        <v>198064</v>
      </c>
      <c r="Y48" s="167">
        <v>181431</v>
      </c>
      <c r="Z48" s="167">
        <v>45475</v>
      </c>
      <c r="AA48" s="167">
        <v>59603</v>
      </c>
      <c r="AB48" s="167">
        <v>68825</v>
      </c>
      <c r="AC48" s="167">
        <v>346337</v>
      </c>
      <c r="AD48" s="167">
        <v>554966</v>
      </c>
      <c r="AE48" s="167">
        <v>629144</v>
      </c>
      <c r="AF48" s="167">
        <v>643418</v>
      </c>
      <c r="AG48" s="167">
        <v>339274</v>
      </c>
      <c r="AH48" s="167">
        <v>161491</v>
      </c>
      <c r="AI48" s="167">
        <v>452303</v>
      </c>
      <c r="AJ48" s="167">
        <v>436200</v>
      </c>
      <c r="AK48" s="167">
        <v>449009</v>
      </c>
    </row>
    <row r="49" spans="1:37">
      <c r="A49" s="151" t="s">
        <v>1107</v>
      </c>
      <c r="B49" s="151" t="s">
        <v>1108</v>
      </c>
      <c r="C49" s="152"/>
      <c r="D49" s="167">
        <v>0</v>
      </c>
      <c r="E49" s="167">
        <v>0</v>
      </c>
      <c r="F49" s="167">
        <v>0</v>
      </c>
      <c r="G49" s="167"/>
      <c r="H49" s="167">
        <v>0</v>
      </c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>
        <v>5726</v>
      </c>
      <c r="X49" s="167">
        <v>14894</v>
      </c>
      <c r="Y49" s="167">
        <v>6911</v>
      </c>
      <c r="Z49" s="167">
        <v>16097</v>
      </c>
      <c r="AA49" s="167">
        <v>6383</v>
      </c>
      <c r="AB49" s="167">
        <v>14271</v>
      </c>
      <c r="AC49" s="167">
        <v>5910</v>
      </c>
      <c r="AD49" s="167">
        <v>13999</v>
      </c>
      <c r="AE49" s="167">
        <v>6217</v>
      </c>
      <c r="AF49" s="167">
        <v>14934</v>
      </c>
      <c r="AG49" s="167">
        <v>7208</v>
      </c>
      <c r="AH49" s="167">
        <v>18699</v>
      </c>
      <c r="AI49" s="167">
        <v>5879</v>
      </c>
      <c r="AJ49" s="167">
        <v>4140</v>
      </c>
      <c r="AK49" s="167">
        <v>7144</v>
      </c>
    </row>
    <row r="50" spans="1:37">
      <c r="A50" s="151" t="s">
        <v>1109</v>
      </c>
      <c r="B50" s="151" t="s">
        <v>1110</v>
      </c>
      <c r="C50" s="152"/>
      <c r="D50" s="167">
        <v>143399</v>
      </c>
      <c r="E50" s="167">
        <v>92553</v>
      </c>
      <c r="F50" s="167">
        <v>266912</v>
      </c>
      <c r="G50" s="167">
        <v>271973</v>
      </c>
      <c r="H50" s="167">
        <v>264509</v>
      </c>
      <c r="I50" s="167"/>
      <c r="J50" s="167"/>
      <c r="K50" s="167">
        <v>10077</v>
      </c>
      <c r="L50" s="167">
        <v>32687</v>
      </c>
      <c r="M50" s="167"/>
      <c r="N50" s="167">
        <v>215126</v>
      </c>
      <c r="O50" s="167">
        <v>184479</v>
      </c>
      <c r="P50" s="167"/>
      <c r="Q50" s="167"/>
      <c r="R50" s="167"/>
      <c r="S50" s="167"/>
      <c r="T50" s="167"/>
      <c r="U50" s="167"/>
      <c r="V50" s="167"/>
      <c r="W50" s="167"/>
      <c r="X50" s="167"/>
      <c r="Y50" s="167">
        <v>0</v>
      </c>
      <c r="Z50" s="167"/>
      <c r="AA50" s="167"/>
      <c r="AB50" s="167">
        <v>10736</v>
      </c>
      <c r="AC50" s="167">
        <v>19751</v>
      </c>
      <c r="AD50" s="167">
        <v>4915</v>
      </c>
      <c r="AE50" s="167">
        <v>45903</v>
      </c>
      <c r="AF50" s="167">
        <v>135957</v>
      </c>
      <c r="AG50" s="167">
        <v>129957</v>
      </c>
      <c r="AH50" s="167">
        <v>100272</v>
      </c>
      <c r="AI50" s="167">
        <v>40019</v>
      </c>
      <c r="AJ50" s="167">
        <v>0</v>
      </c>
      <c r="AK50" s="167">
        <v>125579</v>
      </c>
    </row>
    <row r="51" spans="1:37">
      <c r="A51" s="151" t="s">
        <v>1111</v>
      </c>
      <c r="B51" s="151" t="s">
        <v>1112</v>
      </c>
      <c r="C51" s="152"/>
      <c r="D51" s="167">
        <v>90974</v>
      </c>
      <c r="E51" s="167">
        <v>89402</v>
      </c>
      <c r="F51" s="167">
        <v>84678</v>
      </c>
      <c r="G51" s="167">
        <v>90976</v>
      </c>
      <c r="H51" s="167">
        <v>82299</v>
      </c>
      <c r="I51" s="167">
        <v>53818</v>
      </c>
      <c r="J51" s="167">
        <v>54945</v>
      </c>
      <c r="K51" s="167">
        <v>73443</v>
      </c>
      <c r="L51" s="167">
        <v>61491</v>
      </c>
      <c r="M51" s="167">
        <v>75658</v>
      </c>
      <c r="N51" s="167">
        <v>68694</v>
      </c>
      <c r="O51" s="167">
        <v>152922</v>
      </c>
      <c r="P51" s="167">
        <v>69038</v>
      </c>
      <c r="Q51" s="167">
        <v>27361</v>
      </c>
      <c r="R51" s="167">
        <v>78455</v>
      </c>
      <c r="S51" s="167">
        <v>80861</v>
      </c>
      <c r="T51" s="167">
        <v>77521</v>
      </c>
      <c r="U51" s="167">
        <v>65864</v>
      </c>
      <c r="V51" s="167">
        <v>53973</v>
      </c>
      <c r="W51" s="167">
        <v>60437</v>
      </c>
      <c r="X51" s="167">
        <v>61427</v>
      </c>
      <c r="Y51" s="167">
        <v>63088</v>
      </c>
      <c r="Z51" s="167">
        <v>67568</v>
      </c>
      <c r="AA51" s="167">
        <v>75558</v>
      </c>
      <c r="AB51" s="167">
        <v>80792</v>
      </c>
      <c r="AC51" s="167">
        <v>66921</v>
      </c>
      <c r="AD51" s="167">
        <v>64262</v>
      </c>
      <c r="AE51" s="167">
        <v>75238</v>
      </c>
      <c r="AF51" s="167">
        <v>75258</v>
      </c>
      <c r="AG51" s="167">
        <v>67738</v>
      </c>
      <c r="AH51" s="167">
        <v>66024</v>
      </c>
      <c r="AI51" s="167">
        <v>73845</v>
      </c>
      <c r="AJ51" s="167">
        <v>76760</v>
      </c>
      <c r="AK51" s="167">
        <v>71458</v>
      </c>
    </row>
    <row r="52" spans="1:37">
      <c r="A52" s="151" t="s">
        <v>1190</v>
      </c>
      <c r="B52" s="151" t="s">
        <v>1114</v>
      </c>
      <c r="C52" s="152"/>
      <c r="D52" s="167">
        <v>0</v>
      </c>
      <c r="E52" s="167">
        <v>0</v>
      </c>
      <c r="F52" s="167">
        <v>0</v>
      </c>
      <c r="G52" s="167">
        <v>9218</v>
      </c>
      <c r="H52" s="167">
        <v>0</v>
      </c>
      <c r="I52" s="167"/>
      <c r="J52" s="167">
        <v>2149</v>
      </c>
      <c r="K52" s="167">
        <v>29395</v>
      </c>
      <c r="L52" s="167">
        <v>25050</v>
      </c>
      <c r="M52" s="167">
        <v>55223</v>
      </c>
      <c r="N52" s="167">
        <v>8793</v>
      </c>
      <c r="O52" s="167">
        <v>8797</v>
      </c>
      <c r="P52" s="167">
        <v>6528</v>
      </c>
      <c r="Q52" s="167">
        <v>14948</v>
      </c>
      <c r="R52" s="167">
        <v>7775</v>
      </c>
      <c r="S52" s="167">
        <v>6668</v>
      </c>
      <c r="T52" s="167">
        <v>4898</v>
      </c>
      <c r="U52" s="167">
        <v>13106</v>
      </c>
      <c r="V52" s="167">
        <v>18442</v>
      </c>
      <c r="W52" s="167">
        <v>27287</v>
      </c>
      <c r="X52" s="167">
        <v>5397</v>
      </c>
      <c r="Y52" s="167">
        <v>16860</v>
      </c>
      <c r="Z52" s="167">
        <v>23648</v>
      </c>
      <c r="AA52" s="331">
        <v>29133</v>
      </c>
      <c r="AB52" s="167">
        <v>4633</v>
      </c>
      <c r="AC52" s="167">
        <v>7375</v>
      </c>
      <c r="AD52" s="167">
        <v>14136</v>
      </c>
      <c r="AE52" s="167">
        <v>8437</v>
      </c>
      <c r="AF52" s="167">
        <v>21472</v>
      </c>
      <c r="AG52" s="167">
        <v>57846</v>
      </c>
      <c r="AH52" s="167">
        <v>70610</v>
      </c>
      <c r="AI52" s="167">
        <v>75522</v>
      </c>
      <c r="AJ52" s="167">
        <v>16179</v>
      </c>
      <c r="AK52" s="167">
        <v>26357</v>
      </c>
    </row>
    <row r="53" spans="1:37">
      <c r="A53" s="151" t="s">
        <v>1206</v>
      </c>
      <c r="B53" s="151" t="s">
        <v>1116</v>
      </c>
      <c r="C53" s="152"/>
      <c r="D53" s="167">
        <v>0</v>
      </c>
      <c r="E53" s="167">
        <v>0</v>
      </c>
      <c r="F53" s="167">
        <v>0</v>
      </c>
      <c r="G53" s="167"/>
      <c r="H53" s="167">
        <v>0</v>
      </c>
      <c r="I53" s="167"/>
      <c r="J53" s="167"/>
      <c r="K53" s="167"/>
      <c r="L53" s="167"/>
      <c r="M53" s="167"/>
      <c r="N53" s="167"/>
      <c r="O53" s="167">
        <v>56946</v>
      </c>
      <c r="P53" s="167">
        <v>56946</v>
      </c>
      <c r="Q53" s="167">
        <v>64110</v>
      </c>
      <c r="R53" s="167">
        <v>64110</v>
      </c>
      <c r="S53" s="167">
        <v>259306</v>
      </c>
      <c r="T53" s="167">
        <v>179536</v>
      </c>
      <c r="U53" s="167">
        <v>179529</v>
      </c>
      <c r="V53" s="167">
        <v>179529</v>
      </c>
      <c r="W53" s="167">
        <v>69481</v>
      </c>
      <c r="X53" s="167">
        <v>69348</v>
      </c>
      <c r="Y53" s="167">
        <v>69348</v>
      </c>
      <c r="Z53" s="167">
        <v>118048</v>
      </c>
      <c r="AA53" s="331">
        <v>122136</v>
      </c>
      <c r="AB53" s="167">
        <v>105328</v>
      </c>
      <c r="AC53" s="167">
        <v>278908</v>
      </c>
      <c r="AD53" s="167">
        <v>278901</v>
      </c>
      <c r="AE53" s="167">
        <v>63159</v>
      </c>
      <c r="AF53" s="167">
        <v>63087</v>
      </c>
      <c r="AG53" s="167">
        <v>316</v>
      </c>
      <c r="AH53" s="167">
        <v>303</v>
      </c>
      <c r="AI53" s="167">
        <v>66621</v>
      </c>
      <c r="AJ53" s="167">
        <v>66617</v>
      </c>
      <c r="AK53" s="167">
        <v>332</v>
      </c>
    </row>
    <row r="54" spans="1:37">
      <c r="A54" s="151" t="s">
        <v>1207</v>
      </c>
      <c r="B54" s="151" t="s">
        <v>1118</v>
      </c>
      <c r="C54" s="152"/>
      <c r="D54" s="167">
        <v>25469</v>
      </c>
      <c r="E54" s="167">
        <v>29451</v>
      </c>
      <c r="F54" s="167">
        <v>46778</v>
      </c>
      <c r="G54" s="167">
        <v>64694</v>
      </c>
      <c r="H54" s="167">
        <v>3876</v>
      </c>
      <c r="I54" s="167">
        <v>9928</v>
      </c>
      <c r="J54" s="167"/>
      <c r="K54" s="167">
        <v>21887</v>
      </c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>
        <v>0</v>
      </c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</row>
    <row r="55" spans="1:37">
      <c r="A55" s="151" t="s">
        <v>1119</v>
      </c>
      <c r="B55" s="151" t="s">
        <v>1120</v>
      </c>
      <c r="C55" s="152"/>
      <c r="D55" s="167">
        <v>45513</v>
      </c>
      <c r="E55" s="167">
        <v>47522</v>
      </c>
      <c r="F55" s="167">
        <v>48927</v>
      </c>
      <c r="G55" s="167">
        <v>53010</v>
      </c>
      <c r="H55" s="167">
        <v>52804</v>
      </c>
      <c r="I55" s="167">
        <v>48265</v>
      </c>
      <c r="J55" s="167">
        <v>20245</v>
      </c>
      <c r="K55" s="167"/>
      <c r="L55" s="167">
        <v>19914</v>
      </c>
      <c r="M55" s="167">
        <v>18566</v>
      </c>
      <c r="N55" s="167">
        <v>19826</v>
      </c>
      <c r="O55" s="167">
        <v>22069</v>
      </c>
      <c r="P55" s="167">
        <v>24578</v>
      </c>
      <c r="Q55" s="167">
        <v>23608</v>
      </c>
      <c r="R55" s="167">
        <v>25926</v>
      </c>
      <c r="S55" s="167">
        <v>33102</v>
      </c>
      <c r="T55" s="167">
        <v>36759</v>
      </c>
      <c r="U55" s="167">
        <v>24532</v>
      </c>
      <c r="V55" s="167">
        <v>22702</v>
      </c>
      <c r="W55" s="167">
        <v>22742</v>
      </c>
      <c r="X55" s="167">
        <v>21952</v>
      </c>
      <c r="Y55" s="167">
        <v>16634</v>
      </c>
      <c r="Z55" s="167">
        <v>11943</v>
      </c>
      <c r="AA55" s="167">
        <v>12633</v>
      </c>
      <c r="AB55" s="167">
        <v>10027</v>
      </c>
      <c r="AC55" s="167">
        <v>7786</v>
      </c>
      <c r="AD55" s="167">
        <v>2571</v>
      </c>
      <c r="AE55" s="167">
        <v>5704</v>
      </c>
      <c r="AF55" s="167">
        <v>2400</v>
      </c>
      <c r="AG55" s="167">
        <v>1221</v>
      </c>
      <c r="AH55" s="167">
        <v>592</v>
      </c>
      <c r="AI55" s="167">
        <v>41119</v>
      </c>
      <c r="AJ55" s="167">
        <v>40677</v>
      </c>
      <c r="AK55" s="167">
        <v>39267</v>
      </c>
    </row>
    <row r="56" spans="1:37">
      <c r="A56" s="151" t="s">
        <v>1117</v>
      </c>
      <c r="B56" s="151" t="s">
        <v>1122</v>
      </c>
      <c r="C56" s="152"/>
      <c r="D56" s="167">
        <v>0</v>
      </c>
      <c r="E56" s="167">
        <v>0</v>
      </c>
      <c r="F56" s="167">
        <v>0</v>
      </c>
      <c r="G56" s="167">
        <v>12841</v>
      </c>
      <c r="H56" s="167">
        <v>0</v>
      </c>
      <c r="I56" s="167">
        <v>11622</v>
      </c>
      <c r="J56" s="167">
        <v>13524</v>
      </c>
      <c r="K56" s="167">
        <v>45279</v>
      </c>
      <c r="L56" s="167">
        <v>48290</v>
      </c>
      <c r="M56" s="167">
        <v>50248</v>
      </c>
      <c r="N56" s="167">
        <v>50480</v>
      </c>
      <c r="O56" s="167">
        <v>73276</v>
      </c>
      <c r="P56" s="167">
        <v>77251</v>
      </c>
      <c r="Q56" s="167">
        <v>111734</v>
      </c>
      <c r="R56" s="167">
        <v>68172</v>
      </c>
      <c r="S56" s="167">
        <v>61767</v>
      </c>
      <c r="T56" s="167">
        <v>62537</v>
      </c>
      <c r="U56" s="167">
        <v>51404</v>
      </c>
      <c r="V56" s="167">
        <v>47583</v>
      </c>
      <c r="W56" s="167">
        <v>63922</v>
      </c>
      <c r="X56" s="167">
        <v>64900</v>
      </c>
      <c r="Y56" s="167">
        <v>64649</v>
      </c>
      <c r="Z56" s="167">
        <v>50490</v>
      </c>
      <c r="AA56" s="167">
        <v>53049</v>
      </c>
      <c r="AB56" s="167">
        <v>51485</v>
      </c>
      <c r="AC56" s="167">
        <v>52321</v>
      </c>
      <c r="AD56" s="167">
        <v>64216</v>
      </c>
      <c r="AE56" s="167">
        <v>57107</v>
      </c>
      <c r="AF56" s="167">
        <v>53368</v>
      </c>
      <c r="AG56" s="167">
        <v>46439</v>
      </c>
      <c r="AH56" s="167">
        <v>36347</v>
      </c>
      <c r="AI56" s="167">
        <v>36477</v>
      </c>
      <c r="AJ56" s="167">
        <v>35714</v>
      </c>
      <c r="AK56" s="167">
        <v>36315</v>
      </c>
    </row>
    <row r="57" spans="1:37">
      <c r="A57" s="151" t="s">
        <v>1123</v>
      </c>
      <c r="B57" s="151" t="s">
        <v>1124</v>
      </c>
      <c r="C57" s="152"/>
      <c r="D57" s="167">
        <v>0</v>
      </c>
      <c r="E57" s="167">
        <v>0</v>
      </c>
      <c r="F57" s="167">
        <v>0</v>
      </c>
      <c r="G57" s="167"/>
      <c r="H57" s="167">
        <v>0</v>
      </c>
      <c r="I57" s="167"/>
      <c r="J57" s="167">
        <v>5371</v>
      </c>
      <c r="K57" s="167">
        <v>10741</v>
      </c>
      <c r="L57" s="167">
        <v>12945</v>
      </c>
      <c r="M57" s="167">
        <v>6590</v>
      </c>
      <c r="N57" s="167">
        <v>7159</v>
      </c>
      <c r="O57" s="167">
        <v>9363</v>
      </c>
      <c r="P57" s="167">
        <v>11392</v>
      </c>
      <c r="Q57" s="167">
        <v>5462</v>
      </c>
      <c r="R57" s="167">
        <v>7490</v>
      </c>
      <c r="S57" s="167">
        <v>9918</v>
      </c>
      <c r="T57" s="167">
        <v>12154</v>
      </c>
      <c r="U57" s="167">
        <v>8155</v>
      </c>
      <c r="V57" s="167">
        <v>9731</v>
      </c>
      <c r="W57" s="167">
        <v>12019</v>
      </c>
      <c r="X57" s="167">
        <v>6287</v>
      </c>
      <c r="Y57" s="167">
        <v>5522</v>
      </c>
      <c r="Z57" s="167">
        <v>7874</v>
      </c>
      <c r="AA57" s="167">
        <v>10225</v>
      </c>
      <c r="AB57" s="167">
        <v>3483</v>
      </c>
      <c r="AC57" s="167">
        <v>3786</v>
      </c>
      <c r="AD57" s="167">
        <v>7185</v>
      </c>
      <c r="AE57" s="167">
        <v>10478</v>
      </c>
      <c r="AF57" s="167">
        <v>29</v>
      </c>
      <c r="AG57" s="167">
        <v>2398</v>
      </c>
      <c r="AH57" s="167">
        <v>7855</v>
      </c>
      <c r="AI57" s="167">
        <v>14322</v>
      </c>
      <c r="AJ57" s="167">
        <v>21853</v>
      </c>
      <c r="AK57" s="167">
        <v>3313</v>
      </c>
    </row>
    <row r="58" spans="1:37">
      <c r="A58" s="151" t="s">
        <v>1173</v>
      </c>
      <c r="B58" s="151" t="s">
        <v>753</v>
      </c>
      <c r="C58" s="152"/>
      <c r="D58" s="167">
        <v>0</v>
      </c>
      <c r="E58" s="167">
        <v>0</v>
      </c>
      <c r="F58" s="167">
        <v>0</v>
      </c>
      <c r="G58" s="167"/>
      <c r="H58" s="167">
        <v>0</v>
      </c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  <c r="V58" s="167"/>
      <c r="W58" s="167"/>
      <c r="X58" s="167"/>
      <c r="Y58" s="167">
        <v>0</v>
      </c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</row>
    <row r="59" spans="1:37">
      <c r="A59" s="151" t="s">
        <v>1072</v>
      </c>
      <c r="B59" s="151" t="s">
        <v>1073</v>
      </c>
      <c r="C59" s="152"/>
      <c r="D59" s="167">
        <v>0</v>
      </c>
      <c r="E59" s="167">
        <v>0</v>
      </c>
      <c r="F59" s="167">
        <v>0</v>
      </c>
      <c r="G59" s="167"/>
      <c r="H59" s="167">
        <v>0</v>
      </c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>
        <v>69</v>
      </c>
      <c r="X59" s="167">
        <v>203</v>
      </c>
      <c r="Y59" s="167">
        <v>0</v>
      </c>
      <c r="Z59" s="167">
        <v>213</v>
      </c>
      <c r="AA59" s="167">
        <v>449</v>
      </c>
      <c r="AB59" s="167">
        <v>350</v>
      </c>
      <c r="AC59" s="167">
        <v>0</v>
      </c>
      <c r="AD59" s="167"/>
      <c r="AE59" s="167"/>
      <c r="AF59" s="167"/>
      <c r="AG59" s="167"/>
      <c r="AH59" s="167">
        <v>7818</v>
      </c>
      <c r="AI59" s="167">
        <v>0</v>
      </c>
      <c r="AJ59" s="167">
        <v>6735</v>
      </c>
      <c r="AK59" s="167">
        <v>15617</v>
      </c>
    </row>
    <row r="60" spans="1:37">
      <c r="A60" s="151" t="s">
        <v>1127</v>
      </c>
      <c r="B60" s="151" t="s">
        <v>1128</v>
      </c>
      <c r="C60" s="152"/>
      <c r="D60" s="167"/>
      <c r="E60" s="167"/>
      <c r="F60" s="167"/>
      <c r="G60" s="167"/>
      <c r="H60" s="167"/>
      <c r="I60" s="167"/>
      <c r="J60" s="167"/>
      <c r="K60" s="167">
        <v>19024</v>
      </c>
      <c r="L60" s="167">
        <v>157168</v>
      </c>
      <c r="M60" s="167">
        <v>209520</v>
      </c>
      <c r="N60" s="167">
        <v>122281</v>
      </c>
      <c r="O60" s="167"/>
      <c r="P60" s="167"/>
      <c r="Q60" s="167"/>
      <c r="R60" s="167">
        <v>87842</v>
      </c>
      <c r="S60" s="167">
        <v>48788</v>
      </c>
      <c r="T60" s="167">
        <v>9732</v>
      </c>
      <c r="U60" s="167"/>
      <c r="V60" s="167"/>
      <c r="W60" s="167"/>
      <c r="X60" s="167"/>
      <c r="Y60" s="167">
        <v>310</v>
      </c>
      <c r="Z60" s="167">
        <v>42</v>
      </c>
      <c r="AA60" s="167">
        <v>25</v>
      </c>
      <c r="AB60" s="167">
        <v>8</v>
      </c>
      <c r="AC60" s="167">
        <v>0</v>
      </c>
      <c r="AD60" s="167"/>
      <c r="AE60" s="167"/>
      <c r="AF60" s="167"/>
      <c r="AG60" s="167"/>
      <c r="AH60" s="167"/>
      <c r="AI60" s="167"/>
      <c r="AJ60" s="167"/>
      <c r="AK60" s="167"/>
    </row>
    <row r="61" spans="1:37">
      <c r="A61" s="151" t="s">
        <v>1208</v>
      </c>
      <c r="B61" s="151" t="s">
        <v>1126</v>
      </c>
      <c r="C61" s="152"/>
      <c r="D61" s="167">
        <v>252000</v>
      </c>
      <c r="E61" s="167">
        <v>208000</v>
      </c>
      <c r="F61" s="167">
        <v>208000</v>
      </c>
      <c r="G61" s="167">
        <v>168000</v>
      </c>
      <c r="H61" s="167">
        <v>146651</v>
      </c>
      <c r="I61" s="167">
        <v>72000</v>
      </c>
      <c r="J61" s="167">
        <v>471</v>
      </c>
      <c r="K61" s="167">
        <v>50370</v>
      </c>
      <c r="L61" s="167">
        <v>46574</v>
      </c>
      <c r="M61" s="167">
        <v>43034</v>
      </c>
      <c r="N61" s="167">
        <v>41731</v>
      </c>
      <c r="O61" s="167">
        <v>48069</v>
      </c>
      <c r="P61" s="167">
        <v>45909</v>
      </c>
      <c r="Q61" s="167">
        <v>36163</v>
      </c>
      <c r="R61" s="167">
        <v>28171</v>
      </c>
      <c r="S61" s="167">
        <v>19067</v>
      </c>
      <c r="T61" s="167">
        <v>17130</v>
      </c>
      <c r="U61" s="167">
        <v>11496</v>
      </c>
      <c r="V61" s="167">
        <v>10312</v>
      </c>
      <c r="W61" s="167">
        <v>10596</v>
      </c>
      <c r="X61" s="167">
        <v>11646</v>
      </c>
      <c r="Y61" s="167">
        <v>10903</v>
      </c>
      <c r="Z61" s="167">
        <v>10613</v>
      </c>
      <c r="AA61" s="167">
        <v>11566</v>
      </c>
      <c r="AB61" s="167">
        <v>12636</v>
      </c>
      <c r="AC61" s="167">
        <v>11875</v>
      </c>
      <c r="AD61" s="167">
        <v>12116</v>
      </c>
      <c r="AE61" s="167">
        <v>9420</v>
      </c>
      <c r="AF61" s="167">
        <v>8880</v>
      </c>
      <c r="AG61" s="167">
        <v>8205</v>
      </c>
      <c r="AH61" s="167">
        <v>6359</v>
      </c>
      <c r="AI61" s="167">
        <v>6752</v>
      </c>
      <c r="AJ61" s="167">
        <v>6681</v>
      </c>
      <c r="AK61" s="167">
        <v>10108</v>
      </c>
    </row>
    <row r="62" spans="1:37">
      <c r="A62" s="151" t="s">
        <v>1130</v>
      </c>
      <c r="B62" s="151" t="s">
        <v>1131</v>
      </c>
      <c r="C62" s="152"/>
      <c r="D62" s="167"/>
      <c r="E62" s="167"/>
      <c r="F62" s="167"/>
      <c r="G62" s="167"/>
      <c r="H62" s="167"/>
      <c r="I62" s="167"/>
      <c r="J62" s="167"/>
      <c r="K62" s="167">
        <v>292</v>
      </c>
      <c r="L62" s="167">
        <v>1921</v>
      </c>
      <c r="M62" s="167">
        <v>1855</v>
      </c>
      <c r="N62" s="167">
        <v>1152</v>
      </c>
      <c r="O62" s="167">
        <v>1364</v>
      </c>
      <c r="P62" s="167">
        <v>1239</v>
      </c>
      <c r="Q62" s="167">
        <v>1074</v>
      </c>
      <c r="R62" s="167">
        <v>248</v>
      </c>
      <c r="S62" s="167">
        <v>327</v>
      </c>
      <c r="T62" s="167">
        <v>328</v>
      </c>
      <c r="U62" s="167">
        <v>326</v>
      </c>
      <c r="V62" s="167">
        <v>325</v>
      </c>
      <c r="W62" s="167">
        <v>362</v>
      </c>
      <c r="X62" s="167">
        <v>349</v>
      </c>
      <c r="Y62" s="167">
        <v>290</v>
      </c>
      <c r="Z62" s="167">
        <v>249</v>
      </c>
      <c r="AA62" s="167">
        <v>312</v>
      </c>
      <c r="AB62" s="167">
        <v>315</v>
      </c>
      <c r="AC62" s="167">
        <v>315</v>
      </c>
      <c r="AD62" s="167">
        <v>524</v>
      </c>
      <c r="AE62" s="167">
        <v>750</v>
      </c>
      <c r="AF62" s="167">
        <v>734</v>
      </c>
      <c r="AG62" s="167">
        <v>661</v>
      </c>
      <c r="AH62" s="167">
        <v>706</v>
      </c>
      <c r="AI62" s="167">
        <v>834</v>
      </c>
      <c r="AJ62" s="167">
        <v>848</v>
      </c>
      <c r="AK62" s="167">
        <v>865</v>
      </c>
    </row>
    <row r="63" spans="1:37" ht="15" thickBot="1">
      <c r="A63" s="151" t="s">
        <v>1129</v>
      </c>
      <c r="B63" s="151" t="s">
        <v>96</v>
      </c>
      <c r="C63" s="152"/>
      <c r="D63" s="167">
        <v>27468</v>
      </c>
      <c r="E63" s="167">
        <v>26067</v>
      </c>
      <c r="F63" s="167">
        <v>22998</v>
      </c>
      <c r="G63" s="167">
        <v>20847</v>
      </c>
      <c r="H63" s="167">
        <v>15794</v>
      </c>
      <c r="I63" s="167">
        <v>8268</v>
      </c>
      <c r="J63" s="167">
        <v>31250</v>
      </c>
      <c r="K63" s="167">
        <v>31900</v>
      </c>
      <c r="L63" s="167">
        <v>38395</v>
      </c>
      <c r="M63" s="167">
        <v>45205</v>
      </c>
      <c r="N63" s="167">
        <v>46984</v>
      </c>
      <c r="O63" s="167">
        <v>41778</v>
      </c>
      <c r="P63" s="167">
        <v>18629</v>
      </c>
      <c r="Q63" s="167">
        <v>20916</v>
      </c>
      <c r="R63" s="167">
        <v>40309</v>
      </c>
      <c r="S63" s="167">
        <v>59088</v>
      </c>
      <c r="T63" s="167">
        <v>50961</v>
      </c>
      <c r="U63" s="167">
        <v>19186</v>
      </c>
      <c r="V63" s="167">
        <v>61377</v>
      </c>
      <c r="W63" s="167">
        <v>81743</v>
      </c>
      <c r="X63" s="167">
        <v>100831</v>
      </c>
      <c r="Y63" s="167">
        <v>145921</v>
      </c>
      <c r="Z63" s="167">
        <v>159537</v>
      </c>
      <c r="AA63" s="167">
        <v>122225</v>
      </c>
      <c r="AB63" s="167">
        <v>130610</v>
      </c>
      <c r="AC63" s="167">
        <v>137515</v>
      </c>
      <c r="AD63" s="167">
        <v>136017</v>
      </c>
      <c r="AE63" s="167">
        <v>187071</v>
      </c>
      <c r="AF63" s="167">
        <v>185541</v>
      </c>
      <c r="AG63" s="167">
        <v>206447</v>
      </c>
      <c r="AH63" s="167">
        <v>188492</v>
      </c>
      <c r="AI63" s="167">
        <v>140441</v>
      </c>
      <c r="AJ63" s="167">
        <v>135963</v>
      </c>
      <c r="AK63" s="167">
        <v>138445</v>
      </c>
    </row>
    <row r="64" spans="1:37" ht="15" thickBot="1">
      <c r="A64" s="155" t="s">
        <v>1081</v>
      </c>
      <c r="B64" s="155" t="s">
        <v>1082</v>
      </c>
      <c r="C64" s="148"/>
      <c r="D64" s="156">
        <f>SUM(D65:D80)</f>
        <v>2339702</v>
      </c>
      <c r="E64" s="156">
        <f>SUM(E65:E80)</f>
        <v>2576569.4275000002</v>
      </c>
      <c r="F64" s="156">
        <f>SUM(F65:F80)</f>
        <v>2551708</v>
      </c>
      <c r="G64" s="156">
        <f>SUM(G65:G80)</f>
        <v>2734786</v>
      </c>
      <c r="H64" s="156">
        <f>SUM(H65:H80)</f>
        <v>3356930</v>
      </c>
      <c r="I64" s="156">
        <f t="shared" ref="I64:X64" si="22">SUM(I65:I80)</f>
        <v>3415517</v>
      </c>
      <c r="J64" s="156">
        <f t="shared" si="22"/>
        <v>3674351</v>
      </c>
      <c r="K64" s="156">
        <f t="shared" si="22"/>
        <v>3096184</v>
      </c>
      <c r="L64" s="156">
        <f t="shared" si="22"/>
        <v>3131848</v>
      </c>
      <c r="M64" s="156">
        <f t="shared" si="22"/>
        <v>2955870</v>
      </c>
      <c r="N64" s="156">
        <f t="shared" si="22"/>
        <v>3054438</v>
      </c>
      <c r="O64" s="156">
        <f t="shared" si="22"/>
        <v>2877446</v>
      </c>
      <c r="P64" s="156">
        <f t="shared" si="22"/>
        <v>2302374</v>
      </c>
      <c r="Q64" s="156">
        <f t="shared" si="22"/>
        <v>2016028</v>
      </c>
      <c r="R64" s="156">
        <f t="shared" si="22"/>
        <v>1914352</v>
      </c>
      <c r="S64" s="156">
        <f t="shared" si="22"/>
        <v>1894458</v>
      </c>
      <c r="T64" s="156">
        <f t="shared" si="22"/>
        <v>1924429</v>
      </c>
      <c r="U64" s="156">
        <f t="shared" si="22"/>
        <v>1867939</v>
      </c>
      <c r="V64" s="156">
        <f t="shared" si="22"/>
        <v>1802880</v>
      </c>
      <c r="W64" s="156">
        <f t="shared" si="22"/>
        <v>2041883</v>
      </c>
      <c r="X64" s="156">
        <f t="shared" si="22"/>
        <v>2001411</v>
      </c>
      <c r="Y64" s="156">
        <f t="shared" ref="Y64:AG64" si="23">SUM(Y65:Y80)</f>
        <v>1936368</v>
      </c>
      <c r="Z64" s="156">
        <f t="shared" si="23"/>
        <v>2039899</v>
      </c>
      <c r="AA64" s="156">
        <f t="shared" si="23"/>
        <v>2269316</v>
      </c>
      <c r="AB64" s="156">
        <f t="shared" si="23"/>
        <v>2290191</v>
      </c>
      <c r="AC64" s="156">
        <f t="shared" si="23"/>
        <v>2107271</v>
      </c>
      <c r="AD64" s="156">
        <f t="shared" si="23"/>
        <v>1817848</v>
      </c>
      <c r="AE64" s="156">
        <f t="shared" si="23"/>
        <v>2546638</v>
      </c>
      <c r="AF64" s="156">
        <f t="shared" si="23"/>
        <v>2516391</v>
      </c>
      <c r="AG64" s="156">
        <f t="shared" si="23"/>
        <v>3066677</v>
      </c>
      <c r="AH64" s="156">
        <f t="shared" ref="AH64" si="24">SUM(AH65:AH80)</f>
        <v>3366470</v>
      </c>
      <c r="AI64" s="156">
        <f t="shared" ref="AI64:AJ64" si="25">SUM(AI65:AI80)</f>
        <v>3294143</v>
      </c>
      <c r="AJ64" s="156">
        <f t="shared" si="25"/>
        <v>3297839</v>
      </c>
      <c r="AK64" s="156">
        <f>SUM(AK65:AK80)</f>
        <v>3288644</v>
      </c>
    </row>
    <row r="65" spans="1:37">
      <c r="A65" s="151" t="s">
        <v>1105</v>
      </c>
      <c r="B65" s="151" t="s">
        <v>1106</v>
      </c>
      <c r="C65" s="152"/>
      <c r="D65" s="179">
        <v>1709233</v>
      </c>
      <c r="E65" s="179">
        <v>1695136</v>
      </c>
      <c r="F65" s="179">
        <v>1779181</v>
      </c>
      <c r="G65" s="179">
        <v>2248995</v>
      </c>
      <c r="H65" s="179">
        <v>2690214</v>
      </c>
      <c r="I65" s="179">
        <v>2682148</v>
      </c>
      <c r="J65" s="179">
        <v>2673499</v>
      </c>
      <c r="K65" s="179">
        <v>2123362</v>
      </c>
      <c r="L65" s="179">
        <v>2301026</v>
      </c>
      <c r="M65" s="179">
        <v>2221980</v>
      </c>
      <c r="N65" s="179">
        <v>2231012</v>
      </c>
      <c r="O65" s="179">
        <v>2195769</v>
      </c>
      <c r="P65" s="179">
        <v>1569188</v>
      </c>
      <c r="Q65" s="179">
        <v>1469917</v>
      </c>
      <c r="R65" s="179">
        <v>1381800</v>
      </c>
      <c r="S65" s="179">
        <v>1410923</v>
      </c>
      <c r="T65" s="179">
        <v>1441060</v>
      </c>
      <c r="U65" s="179">
        <v>1365108</v>
      </c>
      <c r="V65" s="179">
        <v>1300797</v>
      </c>
      <c r="W65" s="179">
        <v>1274829</v>
      </c>
      <c r="X65" s="179">
        <v>1225957</v>
      </c>
      <c r="Y65" s="179">
        <v>1151887</v>
      </c>
      <c r="Z65" s="179">
        <v>1264016</v>
      </c>
      <c r="AA65" s="179">
        <v>1480827</v>
      </c>
      <c r="AB65" s="179">
        <v>1500951</v>
      </c>
      <c r="AC65" s="179">
        <v>1297084</v>
      </c>
      <c r="AD65" s="179">
        <v>1063408</v>
      </c>
      <c r="AE65" s="179">
        <v>1764510</v>
      </c>
      <c r="AF65" s="179">
        <v>1727072</v>
      </c>
      <c r="AG65" s="179">
        <v>2240165</v>
      </c>
      <c r="AH65" s="179">
        <v>2250389</v>
      </c>
      <c r="AI65" s="179">
        <v>2421365</v>
      </c>
      <c r="AJ65" s="179">
        <v>2322099</v>
      </c>
      <c r="AK65" s="179">
        <v>2291494</v>
      </c>
    </row>
    <row r="66" spans="1:37">
      <c r="A66" s="151" t="s">
        <v>1107</v>
      </c>
      <c r="B66" s="151" t="s">
        <v>1108</v>
      </c>
      <c r="C66" s="152"/>
      <c r="D66" s="179">
        <v>0</v>
      </c>
      <c r="E66" s="179">
        <v>0</v>
      </c>
      <c r="F66" s="179">
        <v>0</v>
      </c>
      <c r="G66" s="179"/>
      <c r="H66" s="179">
        <v>0</v>
      </c>
      <c r="I66" s="179"/>
      <c r="J66" s="179"/>
      <c r="K66" s="179"/>
      <c r="L66" s="179"/>
      <c r="M66" s="179"/>
      <c r="N66" s="179"/>
      <c r="O66" s="179"/>
      <c r="P66" s="179"/>
      <c r="Q66" s="179"/>
      <c r="R66" s="179"/>
      <c r="S66" s="179"/>
      <c r="T66" s="179"/>
      <c r="U66" s="179"/>
      <c r="V66" s="179"/>
      <c r="W66" s="179">
        <v>297444</v>
      </c>
      <c r="X66" s="179">
        <v>299806</v>
      </c>
      <c r="Y66" s="179">
        <v>301137</v>
      </c>
      <c r="Z66" s="179">
        <v>301500</v>
      </c>
      <c r="AA66" s="179">
        <v>302419</v>
      </c>
      <c r="AB66" s="179">
        <v>304680</v>
      </c>
      <c r="AC66" s="179">
        <v>305661</v>
      </c>
      <c r="AD66" s="179">
        <v>306127</v>
      </c>
      <c r="AE66" s="179">
        <v>307545</v>
      </c>
      <c r="AF66" s="179">
        <v>310323</v>
      </c>
      <c r="AG66" s="179">
        <v>291723</v>
      </c>
      <c r="AH66" s="179">
        <v>516938</v>
      </c>
      <c r="AI66" s="179">
        <v>326860</v>
      </c>
      <c r="AJ66" s="179">
        <v>325864</v>
      </c>
      <c r="AK66" s="179">
        <v>314918</v>
      </c>
    </row>
    <row r="67" spans="1:37">
      <c r="A67" s="151" t="s">
        <v>1111</v>
      </c>
      <c r="B67" s="151" t="s">
        <v>1112</v>
      </c>
      <c r="C67" s="152"/>
      <c r="D67" s="179">
        <v>31586</v>
      </c>
      <c r="E67" s="179">
        <v>158322</v>
      </c>
      <c r="F67" s="179">
        <v>194662</v>
      </c>
      <c r="G67" s="179">
        <v>23797</v>
      </c>
      <c r="H67" s="179">
        <v>180221</v>
      </c>
      <c r="I67" s="179">
        <v>179863</v>
      </c>
      <c r="J67" s="179">
        <v>275515.00000000006</v>
      </c>
      <c r="K67" s="179">
        <v>9209</v>
      </c>
      <c r="L67" s="179">
        <v>8876</v>
      </c>
      <c r="M67" s="179">
        <v>7749</v>
      </c>
      <c r="N67" s="179">
        <v>29160</v>
      </c>
      <c r="O67" s="179">
        <v>37514</v>
      </c>
      <c r="P67" s="179">
        <v>34404</v>
      </c>
      <c r="Q67" s="179">
        <v>31339</v>
      </c>
      <c r="R67" s="179">
        <v>28239</v>
      </c>
      <c r="S67" s="179">
        <v>25201</v>
      </c>
      <c r="T67" s="179">
        <v>22514</v>
      </c>
      <c r="U67" s="179">
        <v>20560</v>
      </c>
      <c r="V67" s="179">
        <v>18577</v>
      </c>
      <c r="W67" s="179">
        <v>16494</v>
      </c>
      <c r="X67" s="179">
        <v>14314</v>
      </c>
      <c r="Y67" s="179">
        <v>12048</v>
      </c>
      <c r="Z67" s="179">
        <v>9694</v>
      </c>
      <c r="AA67" s="179">
        <v>4668</v>
      </c>
      <c r="AB67" s="179">
        <v>2815</v>
      </c>
      <c r="AC67" s="179">
        <v>1459</v>
      </c>
      <c r="AD67" s="179">
        <v>2103</v>
      </c>
      <c r="AE67" s="179">
        <v>2050</v>
      </c>
      <c r="AF67" s="179">
        <v>2061</v>
      </c>
      <c r="AG67" s="179">
        <v>1863</v>
      </c>
      <c r="AH67" s="179">
        <v>1671</v>
      </c>
      <c r="AI67" s="179">
        <v>1434</v>
      </c>
      <c r="AJ67" s="179">
        <v>1210</v>
      </c>
      <c r="AK67" s="179">
        <v>685</v>
      </c>
    </row>
    <row r="68" spans="1:37">
      <c r="A68" s="151" t="s">
        <v>1209</v>
      </c>
      <c r="B68" s="151" t="s">
        <v>1210</v>
      </c>
      <c r="C68" s="152"/>
      <c r="D68" s="179"/>
      <c r="E68" s="179"/>
      <c r="F68" s="179"/>
      <c r="G68" s="179"/>
      <c r="H68" s="179"/>
      <c r="I68" s="179"/>
      <c r="J68" s="179"/>
      <c r="K68" s="179"/>
      <c r="L68" s="179">
        <v>159487</v>
      </c>
      <c r="M68" s="179">
        <v>159487</v>
      </c>
      <c r="N68" s="179">
        <v>159487</v>
      </c>
      <c r="O68" s="179"/>
      <c r="P68" s="179"/>
      <c r="Q68" s="179"/>
      <c r="R68" s="179"/>
      <c r="S68" s="179"/>
      <c r="T68" s="179"/>
      <c r="U68" s="179"/>
      <c r="V68" s="179"/>
      <c r="W68" s="179"/>
      <c r="X68" s="179"/>
      <c r="Y68" s="179">
        <v>0</v>
      </c>
      <c r="Z68" s="179"/>
      <c r="AA68" s="179"/>
      <c r="AB68" s="179"/>
      <c r="AC68" s="179"/>
      <c r="AD68" s="179"/>
      <c r="AE68" s="179"/>
      <c r="AF68" s="179"/>
      <c r="AG68" s="179"/>
      <c r="AH68" s="179"/>
      <c r="AI68" s="179"/>
      <c r="AJ68" s="179"/>
      <c r="AK68" s="179"/>
    </row>
    <row r="69" spans="1:37">
      <c r="A69" s="151" t="s">
        <v>1162</v>
      </c>
      <c r="B69" s="151" t="s">
        <v>1133</v>
      </c>
      <c r="C69" s="152"/>
      <c r="D69" s="179">
        <v>97872</v>
      </c>
      <c r="E69" s="179">
        <v>249469</v>
      </c>
      <c r="F69" s="179">
        <v>144986</v>
      </c>
      <c r="G69" s="179">
        <v>228645</v>
      </c>
      <c r="H69" s="179">
        <v>242495</v>
      </c>
      <c r="I69" s="179">
        <v>277377</v>
      </c>
      <c r="J69" s="179">
        <v>280912</v>
      </c>
      <c r="K69" s="179">
        <f>34839+159487</f>
        <v>194326</v>
      </c>
      <c r="L69" s="179">
        <v>34839</v>
      </c>
      <c r="M69" s="179"/>
      <c r="N69" s="179"/>
      <c r="O69" s="179"/>
      <c r="P69" s="179"/>
      <c r="Q69" s="179"/>
      <c r="R69" s="179"/>
      <c r="S69" s="179"/>
      <c r="T69" s="179"/>
      <c r="U69" s="179"/>
      <c r="V69" s="179"/>
      <c r="W69" s="179"/>
      <c r="X69" s="179"/>
      <c r="Y69" s="179">
        <v>0</v>
      </c>
      <c r="Z69" s="179"/>
      <c r="AA69" s="179"/>
      <c r="AB69" s="179"/>
      <c r="AC69" s="179"/>
      <c r="AD69" s="179"/>
      <c r="AE69" s="179"/>
      <c r="AF69" s="179"/>
      <c r="AG69" s="179"/>
      <c r="AH69" s="179"/>
      <c r="AI69" s="179"/>
      <c r="AJ69" s="179"/>
      <c r="AK69" s="179"/>
    </row>
    <row r="70" spans="1:37">
      <c r="A70" s="151" t="s">
        <v>1072</v>
      </c>
      <c r="B70" s="151" t="s">
        <v>1073</v>
      </c>
      <c r="C70" s="152"/>
      <c r="D70" s="179">
        <v>0</v>
      </c>
      <c r="E70" s="179">
        <v>0</v>
      </c>
      <c r="F70" s="179">
        <v>0</v>
      </c>
      <c r="G70" s="179"/>
      <c r="H70" s="179">
        <v>0</v>
      </c>
      <c r="I70" s="179"/>
      <c r="J70" s="179">
        <v>168076</v>
      </c>
      <c r="K70" s="179"/>
      <c r="L70" s="179"/>
      <c r="M70" s="179"/>
      <c r="N70" s="179"/>
      <c r="O70" s="179"/>
      <c r="P70" s="179"/>
      <c r="Q70" s="179"/>
      <c r="R70" s="179"/>
      <c r="S70" s="179"/>
      <c r="T70" s="179"/>
      <c r="U70" s="179"/>
      <c r="V70" s="179"/>
      <c r="W70" s="179">
        <v>6251</v>
      </c>
      <c r="X70" s="179">
        <v>15012</v>
      </c>
      <c r="Y70" s="179">
        <v>26535</v>
      </c>
      <c r="Z70" s="179">
        <v>21020</v>
      </c>
      <c r="AA70" s="179">
        <v>32556</v>
      </c>
      <c r="AB70" s="179">
        <v>21996</v>
      </c>
      <c r="AC70" s="179">
        <v>0</v>
      </c>
      <c r="AD70" s="179"/>
      <c r="AE70" s="179"/>
      <c r="AF70" s="179">
        <v>6680</v>
      </c>
      <c r="AG70" s="179">
        <v>74911</v>
      </c>
      <c r="AH70" s="179">
        <v>152592</v>
      </c>
      <c r="AI70" s="179">
        <v>113801</v>
      </c>
      <c r="AJ70" s="179">
        <v>221251</v>
      </c>
      <c r="AK70" s="179">
        <v>269131</v>
      </c>
    </row>
    <row r="71" spans="1:37">
      <c r="A71" s="151" t="s">
        <v>1208</v>
      </c>
      <c r="B71" s="151" t="s">
        <v>1126</v>
      </c>
      <c r="C71" s="152"/>
      <c r="D71" s="179">
        <v>195503</v>
      </c>
      <c r="E71" s="179">
        <v>156489</v>
      </c>
      <c r="F71" s="179">
        <v>111203</v>
      </c>
      <c r="G71" s="179">
        <v>117839</v>
      </c>
      <c r="H71" s="179">
        <v>125896</v>
      </c>
      <c r="I71" s="179">
        <v>129474</v>
      </c>
      <c r="J71" s="179">
        <v>127175</v>
      </c>
      <c r="K71" s="179">
        <v>223934</v>
      </c>
      <c r="L71" s="179">
        <v>218988</v>
      </c>
      <c r="M71" s="179">
        <v>212060</v>
      </c>
      <c r="N71" s="179">
        <v>196655</v>
      </c>
      <c r="O71" s="179">
        <v>176995</v>
      </c>
      <c r="P71" s="179">
        <v>172811</v>
      </c>
      <c r="Q71" s="179">
        <v>174705</v>
      </c>
      <c r="R71" s="179">
        <v>172109</v>
      </c>
      <c r="S71" s="179">
        <v>149473</v>
      </c>
      <c r="T71" s="179">
        <v>153227</v>
      </c>
      <c r="U71" s="179">
        <v>157422</v>
      </c>
      <c r="V71" s="179">
        <v>152920</v>
      </c>
      <c r="W71" s="179">
        <v>154676</v>
      </c>
      <c r="X71" s="179">
        <v>156650</v>
      </c>
      <c r="Y71" s="179">
        <v>158704</v>
      </c>
      <c r="Z71" s="179">
        <v>156887</v>
      </c>
      <c r="AA71" s="179">
        <v>154071</v>
      </c>
      <c r="AB71" s="179">
        <v>165617</v>
      </c>
      <c r="AC71" s="179">
        <v>162539</v>
      </c>
      <c r="AD71" s="179">
        <v>161803</v>
      </c>
      <c r="AE71" s="179">
        <v>159954</v>
      </c>
      <c r="AF71" s="179">
        <v>160326</v>
      </c>
      <c r="AG71" s="179">
        <v>165684</v>
      </c>
      <c r="AH71" s="179">
        <v>162996</v>
      </c>
      <c r="AI71" s="179">
        <v>143353</v>
      </c>
      <c r="AJ71" s="179">
        <v>120805</v>
      </c>
      <c r="AK71" s="179">
        <v>112876</v>
      </c>
    </row>
    <row r="72" spans="1:37">
      <c r="A72" s="151" t="s">
        <v>1109</v>
      </c>
      <c r="B72" s="151" t="s">
        <v>1110</v>
      </c>
      <c r="C72" s="152"/>
      <c r="D72" s="179">
        <v>0</v>
      </c>
      <c r="E72" s="179">
        <v>0</v>
      </c>
      <c r="F72" s="179">
        <v>0</v>
      </c>
      <c r="G72" s="179"/>
      <c r="H72" s="179">
        <v>0</v>
      </c>
      <c r="I72" s="179"/>
      <c r="J72" s="179"/>
      <c r="K72" s="179"/>
      <c r="L72" s="179"/>
      <c r="M72" s="179"/>
      <c r="N72" s="179"/>
      <c r="O72" s="179"/>
      <c r="P72" s="179">
        <v>58481</v>
      </c>
      <c r="Q72" s="179">
        <v>15700</v>
      </c>
      <c r="R72" s="179"/>
      <c r="S72" s="179"/>
      <c r="T72" s="179"/>
      <c r="U72" s="179">
        <v>12452</v>
      </c>
      <c r="V72" s="179">
        <v>18385</v>
      </c>
      <c r="W72" s="179">
        <v>3910</v>
      </c>
      <c r="X72" s="179">
        <v>452</v>
      </c>
      <c r="Y72" s="179">
        <v>0</v>
      </c>
      <c r="Z72" s="179"/>
      <c r="AA72" s="179"/>
      <c r="AB72" s="179">
        <v>1506</v>
      </c>
      <c r="AC72" s="179">
        <v>47555</v>
      </c>
      <c r="AD72" s="179">
        <v>0</v>
      </c>
      <c r="AE72" s="179">
        <v>20358</v>
      </c>
      <c r="AF72" s="179">
        <v>12784</v>
      </c>
      <c r="AG72" s="179">
        <v>789</v>
      </c>
      <c r="AH72" s="179"/>
      <c r="AI72" s="179"/>
      <c r="AJ72" s="179">
        <v>9133</v>
      </c>
      <c r="AK72" s="179">
        <v>0</v>
      </c>
    </row>
    <row r="73" spans="1:37">
      <c r="A73" s="151" t="s">
        <v>1173</v>
      </c>
      <c r="B73" s="151" t="s">
        <v>753</v>
      </c>
      <c r="C73" s="152"/>
      <c r="D73" s="179">
        <v>0</v>
      </c>
      <c r="E73" s="179">
        <v>0</v>
      </c>
      <c r="F73" s="179">
        <v>0</v>
      </c>
      <c r="G73" s="179"/>
      <c r="H73" s="179">
        <v>0</v>
      </c>
      <c r="I73" s="179"/>
      <c r="J73" s="179"/>
      <c r="K73" s="179"/>
      <c r="L73" s="179"/>
      <c r="M73" s="179"/>
      <c r="N73" s="179"/>
      <c r="O73" s="179"/>
      <c r="P73" s="179"/>
      <c r="Q73" s="179"/>
      <c r="R73" s="179"/>
      <c r="S73" s="179"/>
      <c r="T73" s="179"/>
      <c r="U73" s="179"/>
      <c r="V73" s="179"/>
      <c r="W73" s="179"/>
      <c r="X73" s="179"/>
      <c r="Y73" s="179">
        <v>0</v>
      </c>
      <c r="Z73" s="179"/>
      <c r="AA73" s="179"/>
      <c r="AB73" s="179"/>
      <c r="AC73" s="179"/>
      <c r="AD73" s="179"/>
      <c r="AE73" s="179"/>
      <c r="AF73" s="179"/>
      <c r="AG73" s="179"/>
      <c r="AH73" s="179"/>
      <c r="AI73" s="179"/>
      <c r="AJ73" s="179"/>
      <c r="AK73" s="179"/>
    </row>
    <row r="74" spans="1:37">
      <c r="A74" s="151" t="s">
        <v>1119</v>
      </c>
      <c r="B74" s="151" t="s">
        <v>1120</v>
      </c>
      <c r="C74" s="152"/>
      <c r="D74" s="179">
        <v>0</v>
      </c>
      <c r="E74" s="179">
        <v>0</v>
      </c>
      <c r="F74" s="179">
        <v>0</v>
      </c>
      <c r="G74" s="179"/>
      <c r="H74" s="179">
        <v>0</v>
      </c>
      <c r="I74" s="179"/>
      <c r="J74" s="179"/>
      <c r="K74" s="179"/>
      <c r="L74" s="179"/>
      <c r="M74" s="179"/>
      <c r="N74" s="179"/>
      <c r="O74" s="179"/>
      <c r="P74" s="179"/>
      <c r="Q74" s="179"/>
      <c r="R74" s="179"/>
      <c r="S74" s="179"/>
      <c r="T74" s="179"/>
      <c r="U74" s="179"/>
      <c r="V74" s="179"/>
      <c r="W74" s="179"/>
      <c r="X74" s="179"/>
      <c r="Y74" s="179">
        <v>0</v>
      </c>
      <c r="Z74" s="179"/>
      <c r="AA74" s="179"/>
      <c r="AB74" s="179"/>
      <c r="AC74" s="179"/>
      <c r="AD74" s="179"/>
      <c r="AE74" s="179"/>
      <c r="AF74" s="179"/>
      <c r="AG74" s="179"/>
      <c r="AH74" s="179"/>
      <c r="AI74" s="179"/>
      <c r="AJ74" s="179"/>
      <c r="AK74" s="179"/>
    </row>
    <row r="75" spans="1:37">
      <c r="A75" s="151" t="s">
        <v>1117</v>
      </c>
      <c r="B75" s="151" t="s">
        <v>1122</v>
      </c>
      <c r="C75" s="152"/>
      <c r="D75" s="179">
        <v>32828</v>
      </c>
      <c r="E75" s="179">
        <v>41287</v>
      </c>
      <c r="F75" s="179">
        <v>42429</v>
      </c>
      <c r="G75" s="179">
        <v>45552</v>
      </c>
      <c r="H75" s="179">
        <v>47772</v>
      </c>
      <c r="I75" s="179">
        <v>50985</v>
      </c>
      <c r="J75" s="179">
        <v>52479</v>
      </c>
      <c r="K75" s="179">
        <v>25833</v>
      </c>
      <c r="L75" s="179">
        <v>26114</v>
      </c>
      <c r="M75" s="179">
        <v>26325</v>
      </c>
      <c r="N75" s="179">
        <v>26460</v>
      </c>
      <c r="O75" s="179">
        <v>7997</v>
      </c>
      <c r="P75" s="179">
        <v>7395</v>
      </c>
      <c r="Q75" s="179">
        <v>7459</v>
      </c>
      <c r="R75" s="179"/>
      <c r="S75" s="179">
        <v>7560</v>
      </c>
      <c r="T75" s="179">
        <v>9004</v>
      </c>
      <c r="U75" s="179">
        <v>16232</v>
      </c>
      <c r="V75" s="179"/>
      <c r="W75" s="179">
        <v>5149</v>
      </c>
      <c r="X75" s="179">
        <v>7224</v>
      </c>
      <c r="Y75" s="179">
        <v>7214</v>
      </c>
      <c r="Z75" s="179">
        <v>8585</v>
      </c>
      <c r="AA75" s="179">
        <v>7765</v>
      </c>
      <c r="AB75" s="179">
        <v>10348</v>
      </c>
      <c r="AC75" s="179">
        <v>12825</v>
      </c>
      <c r="AD75" s="179">
        <v>4743</v>
      </c>
      <c r="AE75" s="179">
        <v>7742</v>
      </c>
      <c r="AF75" s="179">
        <v>10533</v>
      </c>
      <c r="AG75" s="179">
        <v>13560</v>
      </c>
      <c r="AH75" s="179">
        <v>5087</v>
      </c>
      <c r="AI75" s="179">
        <v>8144</v>
      </c>
      <c r="AJ75" s="179">
        <v>12633</v>
      </c>
      <c r="AK75" s="179">
        <v>17421</v>
      </c>
    </row>
    <row r="76" spans="1:37">
      <c r="A76" s="151" t="s">
        <v>1127</v>
      </c>
      <c r="B76" s="151" t="s">
        <v>1128</v>
      </c>
      <c r="C76" s="152"/>
      <c r="D76" s="179"/>
      <c r="E76" s="179"/>
      <c r="F76" s="179"/>
      <c r="G76" s="179"/>
      <c r="H76" s="179"/>
      <c r="I76" s="179"/>
      <c r="J76" s="179"/>
      <c r="K76" s="179">
        <v>271210</v>
      </c>
      <c r="L76" s="179">
        <v>137949</v>
      </c>
      <c r="M76" s="179">
        <v>87598</v>
      </c>
      <c r="N76" s="179">
        <v>176067</v>
      </c>
      <c r="O76" s="179">
        <v>299236</v>
      </c>
      <c r="P76" s="179">
        <v>299750</v>
      </c>
      <c r="Q76" s="179">
        <v>153621</v>
      </c>
      <c r="R76" s="179">
        <v>153821</v>
      </c>
      <c r="S76" s="179">
        <v>154005</v>
      </c>
      <c r="T76" s="179">
        <v>154280</v>
      </c>
      <c r="U76" s="179">
        <v>154619</v>
      </c>
      <c r="V76" s="179">
        <v>155010</v>
      </c>
      <c r="W76" s="179">
        <v>155388</v>
      </c>
      <c r="X76" s="179">
        <v>155772</v>
      </c>
      <c r="Y76" s="179">
        <v>153510</v>
      </c>
      <c r="Z76" s="179">
        <v>154008</v>
      </c>
      <c r="AA76" s="179">
        <v>155147</v>
      </c>
      <c r="AB76" s="179">
        <v>155441</v>
      </c>
      <c r="AC76" s="179">
        <v>155866</v>
      </c>
      <c r="AD76" s="179">
        <v>156302</v>
      </c>
      <c r="AE76" s="179">
        <v>156802</v>
      </c>
      <c r="AF76" s="179">
        <v>157299</v>
      </c>
      <c r="AG76" s="179">
        <v>157853</v>
      </c>
      <c r="AH76" s="179">
        <v>158468</v>
      </c>
      <c r="AI76" s="179">
        <v>159065</v>
      </c>
      <c r="AJ76" s="179">
        <v>159799</v>
      </c>
      <c r="AK76" s="179">
        <v>160182</v>
      </c>
    </row>
    <row r="77" spans="1:37">
      <c r="A77" s="151" t="s">
        <v>1174</v>
      </c>
      <c r="B77" s="151" t="s">
        <v>1175</v>
      </c>
      <c r="C77" s="152"/>
      <c r="D77" s="179">
        <v>183004</v>
      </c>
      <c r="E77" s="179">
        <v>185873</v>
      </c>
      <c r="F77" s="179">
        <v>188825</v>
      </c>
      <c r="G77" s="179"/>
      <c r="H77" s="179">
        <v>0</v>
      </c>
      <c r="I77" s="179"/>
      <c r="J77" s="179"/>
      <c r="K77" s="179"/>
      <c r="L77" s="179"/>
      <c r="M77" s="179"/>
      <c r="N77" s="179"/>
      <c r="O77" s="179"/>
      <c r="P77" s="179"/>
      <c r="Q77" s="179"/>
      <c r="R77" s="179"/>
      <c r="S77" s="179"/>
      <c r="T77" s="179"/>
      <c r="U77" s="179"/>
      <c r="V77" s="179"/>
      <c r="W77" s="179"/>
      <c r="X77" s="179"/>
      <c r="Y77" s="179">
        <v>0</v>
      </c>
      <c r="Z77" s="179"/>
      <c r="AA77" s="179"/>
      <c r="AB77" s="179"/>
      <c r="AC77" s="179"/>
      <c r="AD77" s="179"/>
      <c r="AE77" s="179"/>
      <c r="AF77" s="179"/>
      <c r="AG77" s="179"/>
      <c r="AH77" s="179"/>
      <c r="AI77" s="179"/>
      <c r="AJ77" s="179"/>
      <c r="AK77" s="179"/>
    </row>
    <row r="78" spans="1:37">
      <c r="A78" s="151" t="s">
        <v>1194</v>
      </c>
      <c r="B78" s="151" t="s">
        <v>1195</v>
      </c>
      <c r="C78" s="152"/>
      <c r="D78" s="179">
        <v>54468</v>
      </c>
      <c r="E78" s="179">
        <v>54468.427499999998</v>
      </c>
      <c r="F78" s="179">
        <v>54468</v>
      </c>
      <c r="G78" s="179">
        <v>33733</v>
      </c>
      <c r="H78" s="179">
        <v>33733</v>
      </c>
      <c r="I78" s="179">
        <v>33733</v>
      </c>
      <c r="J78" s="179">
        <v>33733</v>
      </c>
      <c r="K78" s="179">
        <v>93605</v>
      </c>
      <c r="L78" s="179">
        <v>93605</v>
      </c>
      <c r="M78" s="179">
        <v>93605</v>
      </c>
      <c r="N78" s="179">
        <v>93605</v>
      </c>
      <c r="O78" s="179">
        <v>105241</v>
      </c>
      <c r="P78" s="179">
        <v>105241</v>
      </c>
      <c r="Q78" s="179">
        <v>105241</v>
      </c>
      <c r="R78" s="179">
        <v>105241</v>
      </c>
      <c r="S78" s="179">
        <v>94622</v>
      </c>
      <c r="T78" s="179">
        <v>94622</v>
      </c>
      <c r="U78" s="179">
        <v>94622</v>
      </c>
      <c r="V78" s="179">
        <v>94622</v>
      </c>
      <c r="W78" s="179">
        <v>86191</v>
      </c>
      <c r="X78" s="179">
        <v>87398</v>
      </c>
      <c r="Y78" s="179">
        <v>88604</v>
      </c>
      <c r="Z78" s="179">
        <v>89811</v>
      </c>
      <c r="AA78" s="179">
        <v>99053</v>
      </c>
      <c r="AB78" s="179">
        <v>100069</v>
      </c>
      <c r="AC78" s="179">
        <v>101085</v>
      </c>
      <c r="AD78" s="179">
        <v>102101</v>
      </c>
      <c r="AE78" s="179">
        <v>96377</v>
      </c>
      <c r="AF78" s="179">
        <v>97600</v>
      </c>
      <c r="AG78" s="179">
        <v>98823</v>
      </c>
      <c r="AH78" s="179">
        <v>100046</v>
      </c>
      <c r="AI78" s="179">
        <v>99806</v>
      </c>
      <c r="AJ78" s="179">
        <v>101122</v>
      </c>
      <c r="AK78" s="179">
        <v>102439</v>
      </c>
    </row>
    <row r="79" spans="1:37">
      <c r="A79" s="151" t="s">
        <v>1129</v>
      </c>
      <c r="B79" s="151" t="s">
        <v>96</v>
      </c>
      <c r="C79" s="152"/>
      <c r="D79" s="179">
        <v>35208</v>
      </c>
      <c r="E79" s="179">
        <v>35525</v>
      </c>
      <c r="F79" s="179">
        <v>35954</v>
      </c>
      <c r="G79" s="179">
        <v>36225</v>
      </c>
      <c r="H79" s="179">
        <v>36599</v>
      </c>
      <c r="I79" s="179">
        <v>61937</v>
      </c>
      <c r="J79" s="179">
        <v>62962</v>
      </c>
      <c r="K79" s="179">
        <v>154052</v>
      </c>
      <c r="L79" s="179">
        <v>145927</v>
      </c>
      <c r="M79" s="179">
        <v>142472</v>
      </c>
      <c r="N79" s="179">
        <v>139618</v>
      </c>
      <c r="O79" s="179">
        <v>52695</v>
      </c>
      <c r="P79" s="179">
        <v>52697</v>
      </c>
      <c r="Q79" s="179">
        <v>55403</v>
      </c>
      <c r="R79" s="179">
        <v>72444</v>
      </c>
      <c r="S79" s="179">
        <v>51805</v>
      </c>
      <c r="T79" s="179">
        <v>48934</v>
      </c>
      <c r="U79" s="179">
        <v>46207</v>
      </c>
      <c r="V79" s="179">
        <v>61940</v>
      </c>
      <c r="W79" s="179">
        <v>40917</v>
      </c>
      <c r="X79" s="179">
        <v>38271</v>
      </c>
      <c r="Y79" s="179">
        <v>36322</v>
      </c>
      <c r="Z79" s="179">
        <v>34057</v>
      </c>
      <c r="AA79" s="179">
        <v>32224</v>
      </c>
      <c r="AB79" s="179">
        <v>26261</v>
      </c>
      <c r="AC79" s="179">
        <v>22790</v>
      </c>
      <c r="AD79" s="179">
        <v>19934</v>
      </c>
      <c r="AE79" s="179">
        <v>28722</v>
      </c>
      <c r="AF79" s="179">
        <v>29254</v>
      </c>
      <c r="AG79" s="179">
        <v>19112</v>
      </c>
      <c r="AH79" s="179">
        <v>15878</v>
      </c>
      <c r="AI79" s="179">
        <v>17475</v>
      </c>
      <c r="AJ79" s="179">
        <v>21301</v>
      </c>
      <c r="AK79" s="179">
        <v>17091</v>
      </c>
    </row>
    <row r="80" spans="1:37" ht="15" thickBot="1">
      <c r="A80" s="151" t="s">
        <v>1130</v>
      </c>
      <c r="B80" s="151" t="s">
        <v>1131</v>
      </c>
      <c r="C80" s="152"/>
      <c r="D80" s="179"/>
      <c r="E80" s="179"/>
      <c r="F80" s="179"/>
      <c r="G80" s="179"/>
      <c r="H80" s="179"/>
      <c r="I80" s="179"/>
      <c r="J80" s="179"/>
      <c r="K80" s="179">
        <v>653</v>
      </c>
      <c r="L80" s="179">
        <v>5037</v>
      </c>
      <c r="M80" s="179">
        <v>4594</v>
      </c>
      <c r="N80" s="179">
        <v>2374</v>
      </c>
      <c r="O80" s="179">
        <v>1999</v>
      </c>
      <c r="P80" s="179">
        <v>2407</v>
      </c>
      <c r="Q80" s="179">
        <v>2643</v>
      </c>
      <c r="R80" s="179">
        <v>698</v>
      </c>
      <c r="S80" s="179">
        <v>869</v>
      </c>
      <c r="T80" s="179">
        <v>788</v>
      </c>
      <c r="U80" s="179">
        <v>717</v>
      </c>
      <c r="V80" s="179">
        <v>629</v>
      </c>
      <c r="W80" s="179">
        <v>634</v>
      </c>
      <c r="X80" s="179">
        <v>555</v>
      </c>
      <c r="Y80" s="179">
        <v>407</v>
      </c>
      <c r="Z80" s="179">
        <v>321</v>
      </c>
      <c r="AA80" s="179">
        <v>586</v>
      </c>
      <c r="AB80" s="179">
        <v>507</v>
      </c>
      <c r="AC80" s="179">
        <v>407</v>
      </c>
      <c r="AD80" s="179">
        <v>1327</v>
      </c>
      <c r="AE80" s="179">
        <v>2578</v>
      </c>
      <c r="AF80" s="179">
        <v>2459</v>
      </c>
      <c r="AG80" s="179">
        <v>2194</v>
      </c>
      <c r="AH80" s="179">
        <v>2405</v>
      </c>
      <c r="AI80" s="179">
        <v>2840</v>
      </c>
      <c r="AJ80" s="179">
        <v>2622</v>
      </c>
      <c r="AK80" s="179">
        <v>2407</v>
      </c>
    </row>
    <row r="81" spans="1:37" ht="15" thickBot="1">
      <c r="A81" s="155" t="s">
        <v>1135</v>
      </c>
      <c r="B81" s="155" t="s">
        <v>1136</v>
      </c>
      <c r="C81" s="148"/>
      <c r="D81" s="156">
        <f>SUM(D82:D89)</f>
        <v>-1106892</v>
      </c>
      <c r="E81" s="156">
        <f>SUM(E82:E89)</f>
        <v>-846390</v>
      </c>
      <c r="F81" s="156">
        <f>SUM(F82:F89)</f>
        <v>-1033737</v>
      </c>
      <c r="G81" s="156">
        <f>SUM(G82:G89)</f>
        <v>-1030819</v>
      </c>
      <c r="H81" s="156">
        <f>SUM(H82:H89)</f>
        <v>-402874</v>
      </c>
      <c r="I81" s="156">
        <f t="shared" ref="I81:Y81" si="26">SUM(I82:I89)</f>
        <v>-388141</v>
      </c>
      <c r="J81" s="156">
        <f t="shared" si="26"/>
        <v>-348596</v>
      </c>
      <c r="K81" s="156">
        <f t="shared" si="26"/>
        <v>-291468</v>
      </c>
      <c r="L81" s="156">
        <f t="shared" si="26"/>
        <v>-259011</v>
      </c>
      <c r="M81" s="156">
        <f t="shared" si="26"/>
        <v>-220232</v>
      </c>
      <c r="N81" s="156">
        <f t="shared" si="26"/>
        <v>-76714</v>
      </c>
      <c r="O81" s="156">
        <f t="shared" si="26"/>
        <v>130524</v>
      </c>
      <c r="P81" s="156">
        <f t="shared" si="26"/>
        <v>196997</v>
      </c>
      <c r="Q81" s="156">
        <f t="shared" si="26"/>
        <v>361489</v>
      </c>
      <c r="R81" s="156">
        <f t="shared" si="26"/>
        <v>1098611</v>
      </c>
      <c r="S81" s="156">
        <f t="shared" si="26"/>
        <v>1055621</v>
      </c>
      <c r="T81" s="156">
        <f t="shared" si="26"/>
        <v>1209348</v>
      </c>
      <c r="U81" s="156">
        <f t="shared" si="26"/>
        <v>1307080</v>
      </c>
      <c r="V81" s="156">
        <f t="shared" si="26"/>
        <v>1383355</v>
      </c>
      <c r="W81" s="156">
        <f t="shared" si="26"/>
        <v>1146105</v>
      </c>
      <c r="X81" s="156">
        <f t="shared" si="26"/>
        <v>1229006</v>
      </c>
      <c r="Y81" s="156">
        <f t="shared" si="26"/>
        <v>1304259</v>
      </c>
      <c r="Z81" s="156">
        <f t="shared" ref="Z81:AG81" si="27">SUM(Z82:Z89)</f>
        <v>1401719</v>
      </c>
      <c r="AA81" s="156">
        <f t="shared" si="27"/>
        <v>1370642</v>
      </c>
      <c r="AB81" s="156">
        <f t="shared" si="27"/>
        <v>1488810</v>
      </c>
      <c r="AC81" s="156">
        <f t="shared" si="27"/>
        <v>1415600</v>
      </c>
      <c r="AD81" s="156">
        <f t="shared" si="27"/>
        <v>1516595</v>
      </c>
      <c r="AE81" s="156">
        <f t="shared" si="27"/>
        <v>1434331</v>
      </c>
      <c r="AF81" s="156">
        <f t="shared" si="27"/>
        <v>1497062</v>
      </c>
      <c r="AG81" s="156">
        <f t="shared" si="27"/>
        <v>1432945</v>
      </c>
      <c r="AH81" s="156">
        <f t="shared" ref="AH81" si="28">SUM(AH82:AH89)</f>
        <v>1509305</v>
      </c>
      <c r="AI81" s="156">
        <f t="shared" ref="AI81:AJ81" si="29">SUM(AI82:AI89)</f>
        <v>1498136</v>
      </c>
      <c r="AJ81" s="156">
        <f t="shared" si="29"/>
        <v>1611601</v>
      </c>
      <c r="AK81" s="156">
        <f>SUM(AK82:AK89)</f>
        <v>1672108</v>
      </c>
    </row>
    <row r="82" spans="1:37">
      <c r="A82" s="151" t="s">
        <v>1137</v>
      </c>
      <c r="B82" s="151" t="s">
        <v>1138</v>
      </c>
      <c r="C82" s="152"/>
      <c r="D82" s="167">
        <v>734754</v>
      </c>
      <c r="E82" s="167">
        <v>734754</v>
      </c>
      <c r="F82" s="167">
        <v>734754</v>
      </c>
      <c r="G82" s="167">
        <v>734754</v>
      </c>
      <c r="H82" s="167">
        <v>1280574</v>
      </c>
      <c r="I82" s="167">
        <v>1284321</v>
      </c>
      <c r="J82" s="167">
        <v>1284825</v>
      </c>
      <c r="K82" s="167">
        <v>1284825</v>
      </c>
      <c r="L82" s="167">
        <v>1284825</v>
      </c>
      <c r="M82" s="167">
        <v>1284825</v>
      </c>
      <c r="N82" s="167">
        <v>1284825</v>
      </c>
      <c r="O82" s="167">
        <v>164672</v>
      </c>
      <c r="P82" s="167">
        <v>1000</v>
      </c>
      <c r="Q82" s="167">
        <v>296227</v>
      </c>
      <c r="R82" s="167">
        <v>296227</v>
      </c>
      <c r="S82" s="167">
        <v>296227</v>
      </c>
      <c r="T82" s="167">
        <v>296227</v>
      </c>
      <c r="U82" s="167">
        <v>605780</v>
      </c>
      <c r="V82" s="167">
        <v>605780</v>
      </c>
      <c r="W82" s="167">
        <v>605780</v>
      </c>
      <c r="X82" s="167">
        <v>605780</v>
      </c>
      <c r="Y82" s="167">
        <v>605780</v>
      </c>
      <c r="Z82" s="167">
        <v>605780</v>
      </c>
      <c r="AA82" s="167">
        <v>605780</v>
      </c>
      <c r="AB82" s="167">
        <v>605780</v>
      </c>
      <c r="AC82" s="167">
        <v>605780</v>
      </c>
      <c r="AD82" s="167">
        <v>605780</v>
      </c>
      <c r="AE82" s="167">
        <v>605780</v>
      </c>
      <c r="AF82" s="167">
        <v>605780</v>
      </c>
      <c r="AG82" s="167">
        <v>605780</v>
      </c>
      <c r="AH82" s="167">
        <v>605780</v>
      </c>
      <c r="AI82" s="167">
        <v>605780</v>
      </c>
      <c r="AJ82" s="167">
        <v>605780</v>
      </c>
      <c r="AK82" s="167">
        <v>641780</v>
      </c>
    </row>
    <row r="83" spans="1:37">
      <c r="A83" s="151" t="s">
        <v>1178</v>
      </c>
      <c r="B83" s="151" t="s">
        <v>1179</v>
      </c>
      <c r="C83" s="152"/>
      <c r="D83" s="167">
        <v>0</v>
      </c>
      <c r="E83" s="167">
        <v>0</v>
      </c>
      <c r="F83" s="167">
        <v>0</v>
      </c>
      <c r="G83" s="167"/>
      <c r="H83" s="167">
        <v>0</v>
      </c>
      <c r="I83" s="167"/>
      <c r="J83" s="167"/>
      <c r="K83" s="167"/>
      <c r="L83" s="167"/>
      <c r="M83" s="167"/>
      <c r="N83" s="167"/>
      <c r="O83" s="167">
        <v>6720</v>
      </c>
      <c r="P83" s="167">
        <v>9125</v>
      </c>
      <c r="Q83" s="167">
        <v>8518</v>
      </c>
      <c r="R83" s="167">
        <v>9431</v>
      </c>
      <c r="S83" s="167"/>
      <c r="T83" s="167"/>
      <c r="U83" s="167"/>
      <c r="V83" s="167"/>
      <c r="W83" s="167"/>
      <c r="X83" s="167"/>
      <c r="Y83" s="167">
        <v>0</v>
      </c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</row>
    <row r="84" spans="1:37">
      <c r="A84" s="151" t="s">
        <v>1180</v>
      </c>
      <c r="B84" s="151" t="s">
        <v>1140</v>
      </c>
      <c r="C84" s="152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  <c r="V84" s="167"/>
      <c r="W84" s="167"/>
      <c r="X84" s="167"/>
      <c r="Y84" s="167"/>
      <c r="Z84" s="167"/>
      <c r="AA84" s="331"/>
      <c r="AB84" s="167">
        <v>13444</v>
      </c>
      <c r="AC84" s="167">
        <v>13576</v>
      </c>
      <c r="AD84" s="167">
        <v>13960</v>
      </c>
      <c r="AE84" s="167">
        <v>14008</v>
      </c>
      <c r="AF84" s="167">
        <v>14128</v>
      </c>
      <c r="AG84" s="167">
        <v>14276</v>
      </c>
      <c r="AH84" s="167">
        <v>14684</v>
      </c>
      <c r="AI84" s="167">
        <v>15023</v>
      </c>
      <c r="AJ84" s="167">
        <v>15144</v>
      </c>
      <c r="AK84" s="167">
        <v>15962</v>
      </c>
    </row>
    <row r="85" spans="1:37">
      <c r="A85" s="151" t="s">
        <v>1181</v>
      </c>
      <c r="B85" s="151" t="s">
        <v>1142</v>
      </c>
      <c r="C85" s="152"/>
      <c r="D85" s="167">
        <v>0</v>
      </c>
      <c r="E85" s="167">
        <v>0</v>
      </c>
      <c r="F85" s="167">
        <v>0</v>
      </c>
      <c r="G85" s="167"/>
      <c r="H85" s="167">
        <v>0</v>
      </c>
      <c r="I85" s="167">
        <v>93111</v>
      </c>
      <c r="J85" s="167"/>
      <c r="K85" s="167"/>
      <c r="L85" s="167"/>
      <c r="M85" s="167"/>
      <c r="N85" s="167"/>
      <c r="O85" s="167">
        <v>138719</v>
      </c>
      <c r="P85" s="167">
        <v>302391</v>
      </c>
      <c r="Q85" s="167"/>
      <c r="R85" s="167"/>
      <c r="S85" s="167">
        <v>925385</v>
      </c>
      <c r="T85" s="167">
        <v>1005540</v>
      </c>
      <c r="U85" s="167">
        <v>696470</v>
      </c>
      <c r="V85" s="167">
        <v>696958</v>
      </c>
      <c r="W85" s="167">
        <v>691509</v>
      </c>
      <c r="X85" s="167">
        <v>691726</v>
      </c>
      <c r="Y85" s="167">
        <v>691946</v>
      </c>
      <c r="Z85" s="167">
        <v>643616</v>
      </c>
      <c r="AA85" s="331">
        <v>868783</v>
      </c>
      <c r="AB85" s="167">
        <v>872273</v>
      </c>
      <c r="AC85" s="167">
        <v>698693</v>
      </c>
      <c r="AD85" s="167">
        <v>698692</v>
      </c>
      <c r="AE85" s="167">
        <v>937453</v>
      </c>
      <c r="AF85" s="167">
        <v>937415</v>
      </c>
      <c r="AG85" s="167">
        <v>768631</v>
      </c>
      <c r="AH85" s="167">
        <v>768631</v>
      </c>
      <c r="AI85" s="167">
        <v>973080</v>
      </c>
      <c r="AJ85" s="167">
        <v>973081</v>
      </c>
      <c r="AK85" s="167">
        <v>936938</v>
      </c>
    </row>
    <row r="86" spans="1:37">
      <c r="A86" s="151" t="s">
        <v>1199</v>
      </c>
      <c r="B86" s="151" t="s">
        <v>1144</v>
      </c>
      <c r="C86" s="152"/>
      <c r="D86" s="167">
        <v>-73352</v>
      </c>
      <c r="E86" s="167">
        <v>-73352</v>
      </c>
      <c r="F86" s="167">
        <v>-73352</v>
      </c>
      <c r="G86" s="167"/>
      <c r="H86" s="167">
        <v>-40972</v>
      </c>
      <c r="I86" s="167">
        <v>-113569</v>
      </c>
      <c r="J86" s="167">
        <v>-72597</v>
      </c>
      <c r="K86" s="167">
        <v>-198515</v>
      </c>
      <c r="L86" s="167">
        <v>-198515</v>
      </c>
      <c r="M86" s="167">
        <v>-198515</v>
      </c>
      <c r="N86" s="167">
        <v>-198515</v>
      </c>
      <c r="O86" s="167">
        <v>-179587</v>
      </c>
      <c r="P86" s="167">
        <v>-179587</v>
      </c>
      <c r="Q86" s="167">
        <v>-179587</v>
      </c>
      <c r="R86" s="167">
        <v>-179587</v>
      </c>
      <c r="S86" s="167"/>
      <c r="T86" s="167"/>
      <c r="U86" s="167"/>
      <c r="V86" s="167">
        <v>-165991</v>
      </c>
      <c r="W86" s="167">
        <v>-151184</v>
      </c>
      <c r="X86" s="167">
        <v>-154194</v>
      </c>
      <c r="Y86" s="167">
        <v>-156670</v>
      </c>
      <c r="Z86" s="167">
        <v>-127410</v>
      </c>
      <c r="AA86" s="167">
        <v>-103921</v>
      </c>
      <c r="AB86" s="167">
        <v>-108325</v>
      </c>
      <c r="AC86" s="167">
        <v>-108509</v>
      </c>
      <c r="AD86" s="167">
        <v>-107511</v>
      </c>
      <c r="AE86" s="167">
        <v>-122910</v>
      </c>
      <c r="AF86" s="167">
        <v>-116127</v>
      </c>
      <c r="AG86" s="167">
        <v>-117797</v>
      </c>
      <c r="AH86" s="167">
        <v>-107854</v>
      </c>
      <c r="AI86" s="167">
        <v>-95747</v>
      </c>
      <c r="AJ86" s="167">
        <v>-102133</v>
      </c>
      <c r="AK86" s="167">
        <v>-98148</v>
      </c>
    </row>
    <row r="87" spans="1:37">
      <c r="A87" s="151" t="s">
        <v>1145</v>
      </c>
      <c r="B87" s="151" t="s">
        <v>1146</v>
      </c>
      <c r="C87" s="152"/>
      <c r="D87" s="167">
        <v>-1768294</v>
      </c>
      <c r="E87" s="167">
        <v>-1507792</v>
      </c>
      <c r="F87" s="167">
        <v>-1695139</v>
      </c>
      <c r="G87" s="167">
        <v>-1765573</v>
      </c>
      <c r="H87" s="167">
        <v>-1642476</v>
      </c>
      <c r="I87" s="167">
        <v>-1652004</v>
      </c>
      <c r="J87" s="167">
        <v>-1652003</v>
      </c>
      <c r="K87" s="167">
        <v>-1377778</v>
      </c>
      <c r="L87" s="167">
        <v>-1377778</v>
      </c>
      <c r="M87" s="167">
        <v>-1377779</v>
      </c>
      <c r="N87" s="167">
        <v>-1377778</v>
      </c>
      <c r="O87" s="167"/>
      <c r="P87" s="167"/>
      <c r="Q87" s="167"/>
      <c r="R87" s="167"/>
      <c r="S87" s="167"/>
      <c r="T87" s="167"/>
      <c r="U87" s="167"/>
      <c r="V87" s="167">
        <v>246608</v>
      </c>
      <c r="W87" s="167"/>
      <c r="X87" s="167"/>
      <c r="Y87" s="167">
        <v>0</v>
      </c>
      <c r="Z87" s="167"/>
      <c r="AA87" s="167"/>
      <c r="AB87" s="167"/>
      <c r="AC87" s="167"/>
      <c r="AD87" s="167"/>
      <c r="AE87" s="167"/>
      <c r="AF87" s="167"/>
      <c r="AG87" s="167"/>
      <c r="AH87" s="167"/>
      <c r="AI87" s="167">
        <v>-283033</v>
      </c>
      <c r="AJ87" s="167">
        <v>0</v>
      </c>
      <c r="AK87" s="167">
        <v>0</v>
      </c>
    </row>
    <row r="88" spans="1:37">
      <c r="A88" s="151" t="s">
        <v>1211</v>
      </c>
      <c r="B88" s="151" t="s">
        <v>1198</v>
      </c>
      <c r="C88" s="152"/>
      <c r="D88" s="167"/>
      <c r="E88" s="167"/>
      <c r="F88" s="167"/>
      <c r="G88" s="167"/>
      <c r="H88" s="167"/>
      <c r="I88" s="167"/>
      <c r="J88" s="167">
        <v>-40972</v>
      </c>
      <c r="K88" s="167"/>
      <c r="L88" s="167"/>
      <c r="M88" s="167"/>
      <c r="N88" s="167"/>
      <c r="O88" s="167"/>
      <c r="P88" s="167"/>
      <c r="Q88" s="167"/>
      <c r="R88" s="167"/>
      <c r="S88" s="167">
        <v>-165991</v>
      </c>
      <c r="T88" s="167">
        <v>-165991</v>
      </c>
      <c r="U88" s="167">
        <v>-165991</v>
      </c>
      <c r="V88" s="167"/>
      <c r="W88" s="167"/>
      <c r="X88" s="167"/>
      <c r="Y88" s="167">
        <v>0</v>
      </c>
      <c r="Z88" s="167"/>
      <c r="AA88" s="167"/>
      <c r="AB88" s="167"/>
      <c r="AC88" s="167"/>
      <c r="AD88" s="167"/>
      <c r="AE88" s="167"/>
      <c r="AF88" s="167"/>
      <c r="AG88" s="167"/>
      <c r="AH88" s="167"/>
      <c r="AI88" s="167"/>
      <c r="AJ88" s="167"/>
      <c r="AK88" s="167"/>
    </row>
    <row r="89" spans="1:37" ht="15" thickBot="1">
      <c r="A89" s="151" t="s">
        <v>1200</v>
      </c>
      <c r="B89" s="151" t="s">
        <v>777</v>
      </c>
      <c r="C89" s="152"/>
      <c r="D89" s="167"/>
      <c r="E89" s="167"/>
      <c r="F89" s="167"/>
      <c r="G89" s="167"/>
      <c r="H89" s="167"/>
      <c r="I89" s="167"/>
      <c r="J89" s="167">
        <v>132151</v>
      </c>
      <c r="K89" s="167"/>
      <c r="L89" s="167">
        <v>32457</v>
      </c>
      <c r="M89" s="167">
        <v>71237</v>
      </c>
      <c r="N89" s="167">
        <v>214754</v>
      </c>
      <c r="O89" s="167"/>
      <c r="P89" s="167">
        <v>64068</v>
      </c>
      <c r="Q89" s="167">
        <v>236331</v>
      </c>
      <c r="R89" s="167">
        <v>972540</v>
      </c>
      <c r="S89" s="167"/>
      <c r="T89" s="167">
        <v>73572</v>
      </c>
      <c r="U89" s="167">
        <v>170821</v>
      </c>
      <c r="V89" s="167"/>
      <c r="W89" s="167"/>
      <c r="X89" s="167">
        <v>85694</v>
      </c>
      <c r="Y89" s="167">
        <v>163203</v>
      </c>
      <c r="Z89" s="167">
        <v>279733</v>
      </c>
      <c r="AA89" s="167">
        <v>0</v>
      </c>
      <c r="AB89" s="167">
        <v>105638</v>
      </c>
      <c r="AC89" s="167">
        <v>206060</v>
      </c>
      <c r="AD89" s="167">
        <v>305674</v>
      </c>
      <c r="AE89" s="167"/>
      <c r="AF89" s="167">
        <v>55866</v>
      </c>
      <c r="AG89" s="167">
        <v>162055</v>
      </c>
      <c r="AH89" s="167">
        <v>228064</v>
      </c>
      <c r="AI89" s="167">
        <v>283033</v>
      </c>
      <c r="AJ89" s="167">
        <v>119729</v>
      </c>
      <c r="AK89" s="167">
        <v>175576</v>
      </c>
    </row>
    <row r="90" spans="1:37" ht="15" thickBot="1">
      <c r="A90" s="155" t="s">
        <v>1147</v>
      </c>
      <c r="B90" s="155" t="s">
        <v>1148</v>
      </c>
      <c r="C90" s="148"/>
      <c r="D90" s="156">
        <f t="shared" ref="D90:X90" si="30">D81+D64+D45</f>
        <v>2345678</v>
      </c>
      <c r="E90" s="156">
        <f t="shared" si="30"/>
        <v>2905674.4275000002</v>
      </c>
      <c r="F90" s="156">
        <f t="shared" si="30"/>
        <v>2954192</v>
      </c>
      <c r="G90" s="156">
        <f t="shared" si="30"/>
        <v>3007357</v>
      </c>
      <c r="H90" s="156">
        <f t="shared" si="30"/>
        <v>3906893</v>
      </c>
      <c r="I90" s="156">
        <f t="shared" si="30"/>
        <v>3535167</v>
      </c>
      <c r="J90" s="156">
        <f t="shared" si="30"/>
        <v>3740688</v>
      </c>
      <c r="K90" s="156">
        <f t="shared" si="30"/>
        <v>3410794</v>
      </c>
      <c r="L90" s="156">
        <f t="shared" si="30"/>
        <v>3667295</v>
      </c>
      <c r="M90" s="156">
        <f t="shared" si="30"/>
        <v>3678203</v>
      </c>
      <c r="N90" s="156">
        <f t="shared" si="30"/>
        <v>4078714</v>
      </c>
      <c r="O90" s="156">
        <f t="shared" si="30"/>
        <v>4308515</v>
      </c>
      <c r="P90" s="156">
        <f t="shared" si="30"/>
        <v>3431242</v>
      </c>
      <c r="Q90" s="156">
        <f t="shared" si="30"/>
        <v>3298229</v>
      </c>
      <c r="R90" s="156">
        <f t="shared" si="30"/>
        <v>4081225</v>
      </c>
      <c r="S90" s="156">
        <f t="shared" si="30"/>
        <v>4289085</v>
      </c>
      <c r="T90" s="156">
        <f t="shared" si="30"/>
        <v>4224519</v>
      </c>
      <c r="U90" s="156">
        <f t="shared" si="30"/>
        <v>4206987</v>
      </c>
      <c r="V90" s="156">
        <f t="shared" si="30"/>
        <v>4210009</v>
      </c>
      <c r="W90" s="156">
        <f t="shared" si="30"/>
        <v>4041510</v>
      </c>
      <c r="X90" s="156">
        <f t="shared" si="30"/>
        <v>4057874</v>
      </c>
      <c r="Y90" s="156">
        <f t="shared" ref="Y90:AD90" si="31">Y81+Y64+Y45</f>
        <v>4130983</v>
      </c>
      <c r="Z90" s="156">
        <f t="shared" si="31"/>
        <v>4263690</v>
      </c>
      <c r="AA90" s="156">
        <f t="shared" si="31"/>
        <v>4477164</v>
      </c>
      <c r="AB90" s="156">
        <f t="shared" si="31"/>
        <v>4566388</v>
      </c>
      <c r="AC90" s="156">
        <f t="shared" si="31"/>
        <v>4767392</v>
      </c>
      <c r="AD90" s="156">
        <f t="shared" si="31"/>
        <v>4800580</v>
      </c>
      <c r="AE90" s="156">
        <f t="shared" ref="AE90:AJ90" si="32">AE81+AE64+AE45</f>
        <v>5397813</v>
      </c>
      <c r="AF90" s="156">
        <f t="shared" si="32"/>
        <v>5544949</v>
      </c>
      <c r="AG90" s="156">
        <f t="shared" si="32"/>
        <v>5715931</v>
      </c>
      <c r="AH90" s="156">
        <f t="shared" si="32"/>
        <v>5885547</v>
      </c>
      <c r="AI90" s="156">
        <f t="shared" si="32"/>
        <v>6071546</v>
      </c>
      <c r="AJ90" s="156">
        <f t="shared" si="32"/>
        <v>6073668</v>
      </c>
      <c r="AK90" s="156">
        <f>AK81+AK64+AK45</f>
        <v>6231987</v>
      </c>
    </row>
    <row r="91" spans="1:37">
      <c r="D91" s="311"/>
      <c r="E91" s="311"/>
      <c r="F91" s="311"/>
      <c r="G91" s="311"/>
      <c r="H91" s="311"/>
      <c r="I91" s="311"/>
      <c r="J91" s="167">
        <f t="shared" ref="J91:V91" si="33">+J90-J42</f>
        <v>0</v>
      </c>
      <c r="K91" s="167">
        <f t="shared" si="33"/>
        <v>0</v>
      </c>
      <c r="L91" s="167">
        <f t="shared" si="33"/>
        <v>0</v>
      </c>
      <c r="M91" s="167">
        <f t="shared" si="33"/>
        <v>0</v>
      </c>
      <c r="N91" s="167">
        <f t="shared" si="33"/>
        <v>0</v>
      </c>
      <c r="O91" s="167">
        <f t="shared" si="33"/>
        <v>0</v>
      </c>
      <c r="P91" s="167">
        <f t="shared" si="33"/>
        <v>0</v>
      </c>
      <c r="Q91" s="167">
        <f t="shared" si="33"/>
        <v>0</v>
      </c>
      <c r="R91" s="167">
        <f t="shared" si="33"/>
        <v>0</v>
      </c>
      <c r="S91" s="167">
        <f t="shared" si="33"/>
        <v>0</v>
      </c>
      <c r="T91" s="167">
        <f t="shared" si="33"/>
        <v>0</v>
      </c>
      <c r="U91" s="167">
        <f t="shared" si="33"/>
        <v>0</v>
      </c>
      <c r="V91" s="167">
        <f t="shared" si="33"/>
        <v>0</v>
      </c>
      <c r="W91" s="167">
        <f t="shared" ref="W91:AB91" si="34">+W90-W42</f>
        <v>0</v>
      </c>
      <c r="X91" s="167">
        <f t="shared" si="34"/>
        <v>0</v>
      </c>
      <c r="Y91" s="167">
        <f t="shared" si="34"/>
        <v>0</v>
      </c>
      <c r="Z91" s="167">
        <f t="shared" si="34"/>
        <v>0</v>
      </c>
      <c r="AA91" s="167">
        <f t="shared" si="34"/>
        <v>0</v>
      </c>
      <c r="AB91" s="167">
        <f t="shared" si="34"/>
        <v>0</v>
      </c>
      <c r="AC91" s="167">
        <f t="shared" ref="AC91:AJ91" si="35">+AC90-AC42</f>
        <v>0</v>
      </c>
      <c r="AD91" s="167">
        <f t="shared" si="35"/>
        <v>0</v>
      </c>
      <c r="AE91" s="167">
        <f t="shared" si="35"/>
        <v>0</v>
      </c>
      <c r="AF91" s="167">
        <f t="shared" si="35"/>
        <v>0</v>
      </c>
      <c r="AG91" s="167">
        <f t="shared" si="35"/>
        <v>0</v>
      </c>
      <c r="AH91" s="167">
        <f t="shared" si="35"/>
        <v>0</v>
      </c>
      <c r="AI91" s="167">
        <f t="shared" si="35"/>
        <v>0</v>
      </c>
      <c r="AJ91" s="167">
        <f t="shared" si="35"/>
        <v>0</v>
      </c>
      <c r="AK91" s="167">
        <f>+AK90-AK42</f>
        <v>0</v>
      </c>
    </row>
  </sheetData>
  <pageMargins left="0.511811024" right="0.511811024" top="0.78740157499999996" bottom="0.78740157499999996" header="0.31496062000000002" footer="0.31496062000000002"/>
  <ignoredErrors>
    <ignoredError sqref="W45:AA45 W44:AA44" unlockedFormula="1"/>
  </ignoredErrors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theme="9" tint="0.79998168889431442"/>
  </sheetPr>
  <dimension ref="A6:W90"/>
  <sheetViews>
    <sheetView showGridLines="0" zoomScaleNormal="100" workbookViewId="0">
      <pane xSplit="4" ySplit="7" topLeftCell="U8" activePane="bottomRight" state="frozen"/>
      <selection activeCell="BB24" sqref="BB24"/>
      <selection pane="topRight" activeCell="BB24" sqref="BB24"/>
      <selection pane="bottomLeft" activeCell="BB24" sqref="BB24"/>
      <selection pane="bottomRight" activeCell="W90" sqref="W90"/>
    </sheetView>
  </sheetViews>
  <sheetFormatPr defaultColWidth="9.21875" defaultRowHeight="14.4" outlineLevelCol="1"/>
  <cols>
    <col min="1" max="2" width="47.5546875" style="35" customWidth="1"/>
    <col min="3" max="3" width="1.77734375" style="35" hidden="1" customWidth="1" outlineLevel="1"/>
    <col min="4" max="4" width="9.5546875" style="35" hidden="1" customWidth="1" outlineLevel="1"/>
    <col min="5" max="5" width="9.5546875" style="35" bestFit="1" customWidth="1" collapsed="1"/>
    <col min="6" max="15" width="9.5546875" style="35" bestFit="1" customWidth="1"/>
    <col min="16" max="20" width="9.21875" style="35"/>
    <col min="21" max="23" width="9.5546875" style="35" bestFit="1" customWidth="1"/>
    <col min="24" max="16384" width="9.21875" style="35"/>
  </cols>
  <sheetData>
    <row r="6" spans="1:23">
      <c r="A6" s="38" t="s">
        <v>119</v>
      </c>
      <c r="B6" s="38" t="s">
        <v>119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</row>
    <row r="7" spans="1:23" ht="15" thickBot="1">
      <c r="A7" s="6" t="s">
        <v>1049</v>
      </c>
      <c r="B7" s="6" t="s">
        <v>1050</v>
      </c>
      <c r="D7" s="434" t="s">
        <v>73</v>
      </c>
      <c r="E7" s="434" t="s">
        <v>74</v>
      </c>
      <c r="F7" s="434" t="s">
        <v>75</v>
      </c>
      <c r="G7" s="434" t="s">
        <v>76</v>
      </c>
      <c r="H7" s="434" t="s">
        <v>77</v>
      </c>
      <c r="I7" s="434" t="s">
        <v>78</v>
      </c>
      <c r="J7" s="434" t="s">
        <v>79</v>
      </c>
      <c r="K7" s="434" t="s">
        <v>80</v>
      </c>
      <c r="L7" s="434" t="s">
        <v>81</v>
      </c>
      <c r="M7" s="434" t="s">
        <v>82</v>
      </c>
      <c r="N7" s="434" t="s">
        <v>83</v>
      </c>
      <c r="O7" s="434" t="s">
        <v>84</v>
      </c>
      <c r="P7" s="434" t="s">
        <v>85</v>
      </c>
      <c r="Q7" s="434" t="s">
        <v>86</v>
      </c>
      <c r="R7" s="434" t="s">
        <v>87</v>
      </c>
      <c r="S7" s="434" t="s">
        <v>88</v>
      </c>
      <c r="T7" s="434" t="s">
        <v>2074</v>
      </c>
      <c r="U7" s="434" t="s">
        <v>2127</v>
      </c>
      <c r="V7" s="434" t="s">
        <v>2360</v>
      </c>
      <c r="W7" s="434" t="s">
        <v>2494</v>
      </c>
    </row>
    <row r="8" spans="1:23" ht="15" thickBot="1">
      <c r="A8" s="147" t="s">
        <v>1051</v>
      </c>
      <c r="B8" s="147" t="s">
        <v>1052</v>
      </c>
      <c r="D8" s="149">
        <f t="shared" ref="D8:K8" si="0">SUM(D9:D22)</f>
        <v>2859385</v>
      </c>
      <c r="E8" s="149">
        <f t="shared" si="0"/>
        <v>2589164</v>
      </c>
      <c r="F8" s="149">
        <f t="shared" si="0"/>
        <v>2632316</v>
      </c>
      <c r="G8" s="149">
        <f t="shared" si="0"/>
        <v>2400473</v>
      </c>
      <c r="H8" s="149">
        <f t="shared" si="0"/>
        <v>2057528</v>
      </c>
      <c r="I8" s="149">
        <f t="shared" si="0"/>
        <v>2476477</v>
      </c>
      <c r="J8" s="149">
        <f t="shared" si="0"/>
        <v>2476010</v>
      </c>
      <c r="K8" s="149">
        <f t="shared" si="0"/>
        <v>2867573</v>
      </c>
      <c r="L8" s="149">
        <f t="shared" ref="L8:S8" si="1">SUM(L9:L22)</f>
        <v>2809110</v>
      </c>
      <c r="M8" s="149">
        <f t="shared" si="1"/>
        <v>3063620</v>
      </c>
      <c r="N8" s="149">
        <f t="shared" si="1"/>
        <v>2889993</v>
      </c>
      <c r="O8" s="149">
        <f t="shared" si="1"/>
        <v>2729911</v>
      </c>
      <c r="P8" s="149">
        <f t="shared" si="1"/>
        <v>2153043</v>
      </c>
      <c r="Q8" s="149">
        <f t="shared" si="1"/>
        <v>2550887</v>
      </c>
      <c r="R8" s="149">
        <f t="shared" si="1"/>
        <v>2573007</v>
      </c>
      <c r="S8" s="149">
        <f t="shared" si="1"/>
        <v>2686529</v>
      </c>
      <c r="T8" s="149">
        <f t="shared" ref="T8:V8" si="2">SUM(T9:T22)</f>
        <v>2771628</v>
      </c>
      <c r="U8" s="149">
        <f t="shared" si="2"/>
        <v>3414417</v>
      </c>
      <c r="V8" s="149">
        <f t="shared" si="2"/>
        <v>3393800</v>
      </c>
      <c r="W8" s="149">
        <f>SUM(W9:W22)</f>
        <v>3820756</v>
      </c>
    </row>
    <row r="9" spans="1:23">
      <c r="A9" s="151" t="s">
        <v>1053</v>
      </c>
      <c r="B9" s="151" t="s">
        <v>1054</v>
      </c>
      <c r="D9" s="167">
        <v>140185</v>
      </c>
      <c r="E9" s="167">
        <v>516741</v>
      </c>
      <c r="F9" s="167">
        <v>182023</v>
      </c>
      <c r="G9" s="167">
        <v>249313</v>
      </c>
      <c r="H9" s="167">
        <v>322895</v>
      </c>
      <c r="I9" s="167">
        <v>415107</v>
      </c>
      <c r="J9" s="167">
        <v>418544</v>
      </c>
      <c r="K9" s="167">
        <v>975429</v>
      </c>
      <c r="L9" s="167">
        <v>875272</v>
      </c>
      <c r="M9" s="167">
        <v>464985</v>
      </c>
      <c r="N9" s="167">
        <v>512336</v>
      </c>
      <c r="O9" s="167">
        <v>479312</v>
      </c>
      <c r="P9" s="167">
        <v>293216</v>
      </c>
      <c r="Q9" s="167">
        <v>83929</v>
      </c>
      <c r="R9" s="167">
        <v>67048</v>
      </c>
      <c r="S9" s="167">
        <v>219340</v>
      </c>
      <c r="T9" s="167">
        <v>427849</v>
      </c>
      <c r="U9" s="167">
        <v>466065</v>
      </c>
      <c r="V9" s="167">
        <v>900770</v>
      </c>
      <c r="W9" s="167">
        <v>1333566</v>
      </c>
    </row>
    <row r="10" spans="1:23">
      <c r="A10" s="151" t="s">
        <v>1184</v>
      </c>
      <c r="B10" s="151" t="s">
        <v>1056</v>
      </c>
      <c r="D10" s="167">
        <v>1253815</v>
      </c>
      <c r="E10" s="167">
        <v>495712</v>
      </c>
      <c r="F10" s="167">
        <v>466998</v>
      </c>
      <c r="G10" s="167">
        <v>628997</v>
      </c>
      <c r="H10" s="167">
        <v>268933</v>
      </c>
      <c r="I10" s="167">
        <v>576205</v>
      </c>
      <c r="J10" s="167">
        <v>451727</v>
      </c>
      <c r="K10" s="167">
        <v>480894</v>
      </c>
      <c r="L10" s="167">
        <v>421626</v>
      </c>
      <c r="M10" s="167">
        <v>855204</v>
      </c>
      <c r="N10" s="167">
        <v>631170</v>
      </c>
      <c r="O10" s="167">
        <v>669841</v>
      </c>
      <c r="P10" s="167">
        <v>203333</v>
      </c>
      <c r="Q10" s="167">
        <v>801916</v>
      </c>
      <c r="R10" s="167">
        <v>660795</v>
      </c>
      <c r="S10" s="167">
        <v>792480</v>
      </c>
      <c r="T10" s="167">
        <v>405816</v>
      </c>
      <c r="U10" s="167">
        <v>890697</v>
      </c>
      <c r="V10" s="167">
        <v>168566</v>
      </c>
      <c r="W10" s="167">
        <v>123468</v>
      </c>
    </row>
    <row r="11" spans="1:23">
      <c r="A11" s="151" t="s">
        <v>1057</v>
      </c>
      <c r="B11" s="151" t="s">
        <v>1058</v>
      </c>
      <c r="D11" s="167">
        <v>1690033</v>
      </c>
      <c r="E11" s="167">
        <v>1883013</v>
      </c>
      <c r="F11" s="167">
        <v>2122042</v>
      </c>
      <c r="G11" s="167">
        <v>1842727</v>
      </c>
      <c r="H11" s="167">
        <v>980174</v>
      </c>
      <c r="I11" s="167">
        <v>934536</v>
      </c>
      <c r="J11" s="167">
        <v>1119476</v>
      </c>
      <c r="K11" s="167">
        <v>881554.00000000012</v>
      </c>
      <c r="L11" s="167">
        <v>863189</v>
      </c>
      <c r="M11" s="167">
        <v>970078</v>
      </c>
      <c r="N11" s="167">
        <v>1084731</v>
      </c>
      <c r="O11" s="167">
        <v>945054</v>
      </c>
      <c r="P11" s="167">
        <v>1072900</v>
      </c>
      <c r="Q11" s="167">
        <v>1041486</v>
      </c>
      <c r="R11" s="167">
        <v>1202812</v>
      </c>
      <c r="S11" s="167">
        <v>1030830</v>
      </c>
      <c r="T11" s="167">
        <v>998867</v>
      </c>
      <c r="U11" s="167">
        <v>1163475</v>
      </c>
      <c r="V11" s="167">
        <v>1348093</v>
      </c>
      <c r="W11" s="167">
        <v>1157611</v>
      </c>
    </row>
    <row r="12" spans="1:23">
      <c r="A12" s="151" t="s">
        <v>1212</v>
      </c>
      <c r="B12" s="151" t="s">
        <v>1213</v>
      </c>
      <c r="D12" s="167">
        <v>-484</v>
      </c>
      <c r="E12" s="167">
        <v>0</v>
      </c>
      <c r="F12" s="167">
        <v>0</v>
      </c>
      <c r="G12" s="167">
        <v>10915</v>
      </c>
      <c r="H12" s="167"/>
      <c r="I12" s="167"/>
      <c r="J12" s="167"/>
      <c r="K12" s="167">
        <v>0</v>
      </c>
      <c r="L12" s="167"/>
      <c r="M12" s="167"/>
      <c r="N12" s="167"/>
      <c r="O12" s="167"/>
      <c r="P12" s="167"/>
      <c r="Q12" s="167"/>
      <c r="R12" s="167"/>
      <c r="S12" s="167"/>
      <c r="T12" s="167"/>
      <c r="U12" s="167"/>
      <c r="V12" s="167"/>
      <c r="W12" s="167"/>
    </row>
    <row r="13" spans="1:23">
      <c r="A13" s="151" t="s">
        <v>1150</v>
      </c>
      <c r="B13" s="151" t="s">
        <v>1151</v>
      </c>
      <c r="D13" s="167">
        <v>-895552</v>
      </c>
      <c r="E13" s="167">
        <v>-959336</v>
      </c>
      <c r="F13" s="167">
        <v>-997209</v>
      </c>
      <c r="G13" s="167">
        <v>-846516</v>
      </c>
      <c r="H13" s="167"/>
      <c r="I13" s="167"/>
      <c r="J13" s="167"/>
      <c r="K13" s="167">
        <v>0</v>
      </c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</row>
    <row r="14" spans="1:23">
      <c r="A14" s="151" t="s">
        <v>1061</v>
      </c>
      <c r="B14" s="151" t="s">
        <v>1062</v>
      </c>
      <c r="D14" s="167"/>
      <c r="E14" s="167"/>
      <c r="F14" s="167"/>
      <c r="G14" s="167"/>
      <c r="H14" s="167"/>
      <c r="I14" s="167"/>
      <c r="J14" s="167"/>
      <c r="K14" s="167">
        <v>0</v>
      </c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</row>
    <row r="15" spans="1:23">
      <c r="A15" s="151" t="s">
        <v>1203</v>
      </c>
      <c r="B15" s="151" t="s">
        <v>1064</v>
      </c>
      <c r="D15" s="167">
        <v>30134</v>
      </c>
      <c r="E15" s="167">
        <v>32133</v>
      </c>
      <c r="F15" s="167">
        <v>34240</v>
      </c>
      <c r="G15" s="167">
        <v>36739</v>
      </c>
      <c r="H15" s="167">
        <v>48606</v>
      </c>
      <c r="I15" s="167">
        <v>41080</v>
      </c>
      <c r="J15" s="167">
        <v>38097</v>
      </c>
      <c r="K15" s="167">
        <v>40825</v>
      </c>
      <c r="L15" s="167">
        <v>53813</v>
      </c>
      <c r="M15" s="167">
        <v>122176</v>
      </c>
      <c r="N15" s="167">
        <v>129227</v>
      </c>
      <c r="O15" s="167">
        <v>141926</v>
      </c>
      <c r="P15" s="167">
        <v>170163</v>
      </c>
      <c r="Q15" s="167">
        <v>138537</v>
      </c>
      <c r="R15" s="167">
        <v>152419</v>
      </c>
      <c r="S15" s="167">
        <v>184428</v>
      </c>
      <c r="T15" s="167">
        <v>191421</v>
      </c>
      <c r="U15" s="167">
        <v>154067</v>
      </c>
      <c r="V15" s="167">
        <v>150073</v>
      </c>
      <c r="W15" s="167">
        <v>98802</v>
      </c>
    </row>
    <row r="16" spans="1:23">
      <c r="A16" s="151" t="s">
        <v>1068</v>
      </c>
      <c r="B16" s="151" t="s">
        <v>1069</v>
      </c>
      <c r="D16" s="167"/>
      <c r="E16" s="167"/>
      <c r="F16" s="167"/>
      <c r="G16" s="167"/>
      <c r="H16" s="167"/>
      <c r="I16" s="167"/>
      <c r="J16" s="167"/>
      <c r="K16" s="167">
        <v>3069</v>
      </c>
      <c r="L16" s="167">
        <v>3184</v>
      </c>
      <c r="M16" s="167">
        <v>4714</v>
      </c>
      <c r="N16" s="167">
        <v>4714</v>
      </c>
      <c r="O16" s="167">
        <v>4750</v>
      </c>
      <c r="P16" s="167">
        <v>4712</v>
      </c>
      <c r="Q16" s="167">
        <v>4504</v>
      </c>
      <c r="R16" s="167">
        <v>4504</v>
      </c>
      <c r="S16" s="167">
        <v>4494</v>
      </c>
      <c r="T16" s="167">
        <v>4608</v>
      </c>
      <c r="U16" s="167">
        <v>4887</v>
      </c>
      <c r="V16" s="167">
        <v>4470</v>
      </c>
      <c r="W16" s="167">
        <v>2369</v>
      </c>
    </row>
    <row r="17" spans="1:23">
      <c r="A17" s="151" t="s">
        <v>1072</v>
      </c>
      <c r="B17" s="151" t="s">
        <v>1204</v>
      </c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>
        <v>10239</v>
      </c>
      <c r="P17" s="167">
        <v>1542</v>
      </c>
      <c r="Q17" s="167">
        <v>1114</v>
      </c>
      <c r="R17" s="167">
        <v>2463</v>
      </c>
      <c r="S17" s="167">
        <v>6545</v>
      </c>
      <c r="T17" s="167">
        <v>3190</v>
      </c>
      <c r="U17" s="167">
        <v>7305</v>
      </c>
      <c r="V17" s="167">
        <v>0</v>
      </c>
      <c r="W17" s="167">
        <v>12128</v>
      </c>
    </row>
    <row r="18" spans="1:23">
      <c r="A18" s="151" t="s">
        <v>1152</v>
      </c>
      <c r="B18" s="151" t="s">
        <v>1071</v>
      </c>
      <c r="D18" s="167">
        <v>276700</v>
      </c>
      <c r="E18" s="167">
        <v>152734</v>
      </c>
      <c r="F18" s="167">
        <v>8082</v>
      </c>
      <c r="G18" s="167">
        <v>43409</v>
      </c>
      <c r="H18" s="167">
        <v>33747</v>
      </c>
      <c r="I18" s="167">
        <v>50912</v>
      </c>
      <c r="J18" s="167"/>
      <c r="K18" s="167">
        <v>0</v>
      </c>
      <c r="L18" s="167"/>
      <c r="M18" s="167"/>
      <c r="N18" s="167"/>
      <c r="O18" s="167"/>
      <c r="P18" s="167"/>
      <c r="Q18" s="167"/>
      <c r="R18" s="167"/>
      <c r="S18" s="167"/>
      <c r="T18" s="167">
        <v>280393</v>
      </c>
      <c r="U18" s="167">
        <v>171104</v>
      </c>
      <c r="V18" s="167">
        <v>236912</v>
      </c>
      <c r="W18" s="167">
        <v>436413</v>
      </c>
    </row>
    <row r="19" spans="1:23">
      <c r="A19" s="151" t="s">
        <v>1214</v>
      </c>
      <c r="B19" s="151" t="s">
        <v>1075</v>
      </c>
      <c r="D19" s="167">
        <v>14503</v>
      </c>
      <c r="E19" s="167">
        <v>15233</v>
      </c>
      <c r="F19" s="167">
        <v>15359</v>
      </c>
      <c r="G19" s="167">
        <v>18433</v>
      </c>
      <c r="H19" s="167">
        <v>28466</v>
      </c>
      <c r="I19" s="167">
        <v>44850</v>
      </c>
      <c r="J19" s="167">
        <v>30304</v>
      </c>
      <c r="K19" s="167">
        <v>27633</v>
      </c>
      <c r="L19" s="167">
        <v>18277</v>
      </c>
      <c r="M19" s="167">
        <v>13143</v>
      </c>
      <c r="N19" s="167">
        <v>10285</v>
      </c>
      <c r="O19" s="167">
        <v>15797</v>
      </c>
      <c r="P19" s="167">
        <v>15582</v>
      </c>
      <c r="Q19" s="167">
        <v>17078</v>
      </c>
      <c r="R19" s="167">
        <v>24490</v>
      </c>
      <c r="S19" s="167">
        <v>28550</v>
      </c>
      <c r="T19" s="167">
        <v>27877</v>
      </c>
      <c r="U19" s="167">
        <v>36416</v>
      </c>
      <c r="V19" s="167">
        <v>36240</v>
      </c>
      <c r="W19" s="167">
        <v>28448</v>
      </c>
    </row>
    <row r="20" spans="1:23">
      <c r="A20" s="151" t="s">
        <v>1076</v>
      </c>
      <c r="B20" s="151" t="s">
        <v>1077</v>
      </c>
      <c r="D20" s="167">
        <v>279511</v>
      </c>
      <c r="E20" s="167">
        <v>326801</v>
      </c>
      <c r="F20" s="167">
        <v>676942</v>
      </c>
      <c r="G20" s="167">
        <v>321199</v>
      </c>
      <c r="H20" s="167">
        <v>277708</v>
      </c>
      <c r="I20" s="167">
        <v>282769</v>
      </c>
      <c r="J20" s="167">
        <v>284142</v>
      </c>
      <c r="K20" s="167">
        <v>279916</v>
      </c>
      <c r="L20" s="167">
        <v>387029</v>
      </c>
      <c r="M20" s="167">
        <v>378494</v>
      </c>
      <c r="N20" s="167">
        <v>242116</v>
      </c>
      <c r="O20" s="167">
        <v>243576</v>
      </c>
      <c r="P20" s="167">
        <v>172830</v>
      </c>
      <c r="Q20" s="167">
        <v>244682</v>
      </c>
      <c r="R20" s="167">
        <v>249625</v>
      </c>
      <c r="S20" s="167">
        <v>250978</v>
      </c>
      <c r="T20" s="167">
        <v>258783</v>
      </c>
      <c r="U20" s="167">
        <v>256187</v>
      </c>
      <c r="V20" s="167">
        <v>257295</v>
      </c>
      <c r="W20" s="167">
        <v>336453</v>
      </c>
    </row>
    <row r="21" spans="1:23">
      <c r="A21" s="151" t="s">
        <v>1078</v>
      </c>
      <c r="B21" s="151" t="s">
        <v>1079</v>
      </c>
      <c r="D21" s="167">
        <v>10451</v>
      </c>
      <c r="E21" s="167">
        <v>8994</v>
      </c>
      <c r="F21" s="167">
        <v>9494</v>
      </c>
      <c r="G21" s="167">
        <v>19873</v>
      </c>
      <c r="H21" s="167">
        <v>26421</v>
      </c>
      <c r="I21" s="167">
        <v>32483</v>
      </c>
      <c r="J21" s="167">
        <v>45018</v>
      </c>
      <c r="K21" s="167">
        <v>59853</v>
      </c>
      <c r="L21" s="167">
        <v>74142</v>
      </c>
      <c r="M21" s="167">
        <v>76882</v>
      </c>
      <c r="N21" s="167">
        <v>73277</v>
      </c>
      <c r="O21" s="167">
        <v>78540</v>
      </c>
      <c r="P21" s="167">
        <v>78296</v>
      </c>
      <c r="Q21" s="167">
        <v>59909</v>
      </c>
      <c r="R21" s="167">
        <v>56534</v>
      </c>
      <c r="S21" s="167">
        <v>57696</v>
      </c>
      <c r="T21" s="167">
        <v>58721</v>
      </c>
      <c r="U21" s="167">
        <v>59726</v>
      </c>
      <c r="V21" s="167">
        <v>68320</v>
      </c>
      <c r="W21" s="167">
        <v>79649</v>
      </c>
    </row>
    <row r="22" spans="1:23" ht="15" thickBot="1">
      <c r="A22" s="154" t="s">
        <v>1080</v>
      </c>
      <c r="B22" s="154" t="s">
        <v>96</v>
      </c>
      <c r="D22" s="167">
        <v>60089</v>
      </c>
      <c r="E22" s="167">
        <v>117139</v>
      </c>
      <c r="F22" s="167">
        <v>114345</v>
      </c>
      <c r="G22" s="167">
        <v>75384</v>
      </c>
      <c r="H22" s="167">
        <v>70578</v>
      </c>
      <c r="I22" s="167">
        <v>98535</v>
      </c>
      <c r="J22" s="167">
        <v>88702</v>
      </c>
      <c r="K22" s="167">
        <v>118400</v>
      </c>
      <c r="L22" s="167">
        <v>112578</v>
      </c>
      <c r="M22" s="167">
        <v>177944</v>
      </c>
      <c r="N22" s="167">
        <v>202137</v>
      </c>
      <c r="O22" s="167">
        <v>140876</v>
      </c>
      <c r="P22" s="167">
        <v>140469</v>
      </c>
      <c r="Q22" s="167">
        <v>157732</v>
      </c>
      <c r="R22" s="167">
        <v>152317</v>
      </c>
      <c r="S22" s="167">
        <v>111188</v>
      </c>
      <c r="T22" s="167">
        <v>114103</v>
      </c>
      <c r="U22" s="167">
        <v>204488</v>
      </c>
      <c r="V22" s="167">
        <v>223061</v>
      </c>
      <c r="W22" s="167">
        <v>211849</v>
      </c>
    </row>
    <row r="23" spans="1:23" ht="15" thickBot="1">
      <c r="A23" s="155" t="s">
        <v>1081</v>
      </c>
      <c r="B23" s="155" t="s">
        <v>1082</v>
      </c>
      <c r="D23" s="156">
        <f t="shared" ref="D23:K23" si="3">D24+D37</f>
        <v>3638289</v>
      </c>
      <c r="E23" s="156">
        <f t="shared" si="3"/>
        <v>4154580</v>
      </c>
      <c r="F23" s="156">
        <f t="shared" si="3"/>
        <v>3579540</v>
      </c>
      <c r="G23" s="156">
        <f t="shared" si="3"/>
        <v>3861036</v>
      </c>
      <c r="H23" s="156">
        <f t="shared" si="3"/>
        <v>4165776</v>
      </c>
      <c r="I23" s="156">
        <f t="shared" si="3"/>
        <v>4363481</v>
      </c>
      <c r="J23" s="156">
        <f t="shared" si="3"/>
        <v>4498326</v>
      </c>
      <c r="K23" s="156">
        <f t="shared" si="3"/>
        <v>4634633</v>
      </c>
      <c r="L23" s="156">
        <f t="shared" ref="L23:Q23" si="4">L24+L37</f>
        <v>4626626</v>
      </c>
      <c r="M23" s="156">
        <f t="shared" si="4"/>
        <v>4588236</v>
      </c>
      <c r="N23" s="156">
        <f t="shared" si="4"/>
        <v>4790405</v>
      </c>
      <c r="O23" s="156">
        <f t="shared" si="4"/>
        <v>5020750</v>
      </c>
      <c r="P23" s="156">
        <f t="shared" si="4"/>
        <v>5208346</v>
      </c>
      <c r="Q23" s="156">
        <f t="shared" si="4"/>
        <v>5661850</v>
      </c>
      <c r="R23" s="156">
        <f t="shared" ref="R23:W23" si="5">R24+R37</f>
        <v>5679292</v>
      </c>
      <c r="S23" s="156">
        <f t="shared" si="5"/>
        <v>5916450</v>
      </c>
      <c r="T23" s="156">
        <f t="shared" si="5"/>
        <v>6158611</v>
      </c>
      <c r="U23" s="156">
        <f t="shared" si="5"/>
        <v>6583119</v>
      </c>
      <c r="V23" s="156">
        <f t="shared" si="5"/>
        <v>6670144</v>
      </c>
      <c r="W23" s="156">
        <f t="shared" si="5"/>
        <v>7176805</v>
      </c>
    </row>
    <row r="24" spans="1:23" ht="15" thickBot="1">
      <c r="A24" s="155" t="s">
        <v>1158</v>
      </c>
      <c r="B24" s="155" t="s">
        <v>1159</v>
      </c>
      <c r="D24" s="156">
        <f t="shared" ref="D24:K24" si="6">SUM(D25:D36)</f>
        <v>1394699</v>
      </c>
      <c r="E24" s="156">
        <f t="shared" si="6"/>
        <v>1829354</v>
      </c>
      <c r="F24" s="156">
        <f t="shared" si="6"/>
        <v>1229257</v>
      </c>
      <c r="G24" s="156">
        <f t="shared" si="6"/>
        <v>1411976</v>
      </c>
      <c r="H24" s="156">
        <f t="shared" si="6"/>
        <v>1050222</v>
      </c>
      <c r="I24" s="156">
        <f t="shared" si="6"/>
        <v>1510107</v>
      </c>
      <c r="J24" s="156">
        <f t="shared" si="6"/>
        <v>1473003</v>
      </c>
      <c r="K24" s="156">
        <f t="shared" si="6"/>
        <v>1462799</v>
      </c>
      <c r="L24" s="156">
        <f t="shared" ref="L24:Q24" si="7">SUM(L25:L36)</f>
        <v>1332478</v>
      </c>
      <c r="M24" s="156">
        <f t="shared" si="7"/>
        <v>1334599</v>
      </c>
      <c r="N24" s="156">
        <f t="shared" si="7"/>
        <v>1464553</v>
      </c>
      <c r="O24" s="156">
        <f t="shared" si="7"/>
        <v>1557729</v>
      </c>
      <c r="P24" s="156">
        <f t="shared" si="7"/>
        <v>1607263</v>
      </c>
      <c r="Q24" s="156">
        <f t="shared" si="7"/>
        <v>1833277</v>
      </c>
      <c r="R24" s="156">
        <f t="shared" ref="R24:W24" si="8">SUM(R25:R36)</f>
        <v>1636826</v>
      </c>
      <c r="S24" s="156">
        <f t="shared" si="8"/>
        <v>1720655</v>
      </c>
      <c r="T24" s="156">
        <f t="shared" si="8"/>
        <v>1721047</v>
      </c>
      <c r="U24" s="156">
        <f t="shared" si="8"/>
        <v>2027426</v>
      </c>
      <c r="V24" s="156">
        <f t="shared" si="8"/>
        <v>1961653</v>
      </c>
      <c r="W24" s="156">
        <f t="shared" si="8"/>
        <v>2562737</v>
      </c>
    </row>
    <row r="25" spans="1:23">
      <c r="A25" s="151" t="s">
        <v>1057</v>
      </c>
      <c r="B25" s="151" t="s">
        <v>1058</v>
      </c>
      <c r="D25" s="167">
        <v>169782</v>
      </c>
      <c r="E25" s="167">
        <v>179781</v>
      </c>
      <c r="F25" s="167">
        <v>184478</v>
      </c>
      <c r="G25" s="167">
        <v>84604</v>
      </c>
      <c r="H25" s="167">
        <v>152997</v>
      </c>
      <c r="I25" s="167">
        <v>151925</v>
      </c>
      <c r="J25" s="167">
        <v>150049</v>
      </c>
      <c r="K25" s="167">
        <v>146127</v>
      </c>
      <c r="L25" s="167">
        <v>142752</v>
      </c>
      <c r="M25" s="167">
        <v>144455</v>
      </c>
      <c r="N25" s="167">
        <v>138577</v>
      </c>
      <c r="O25" s="167">
        <v>130616</v>
      </c>
      <c r="P25" s="167">
        <v>126187</v>
      </c>
      <c r="Q25" s="167">
        <v>129560</v>
      </c>
      <c r="R25" s="167">
        <v>131910</v>
      </c>
      <c r="S25" s="167">
        <v>137042</v>
      </c>
      <c r="T25" s="167">
        <v>136157</v>
      </c>
      <c r="U25" s="167">
        <v>135858</v>
      </c>
      <c r="V25" s="167">
        <v>133293</v>
      </c>
      <c r="W25" s="167">
        <v>135859</v>
      </c>
    </row>
    <row r="26" spans="1:23">
      <c r="A26" s="151" t="s">
        <v>1152</v>
      </c>
      <c r="B26" s="151" t="s">
        <v>1071</v>
      </c>
      <c r="D26" s="167">
        <v>61679</v>
      </c>
      <c r="E26" s="167">
        <v>266090</v>
      </c>
      <c r="F26" s="167">
        <v>55326</v>
      </c>
      <c r="G26" s="167"/>
      <c r="H26" s="167"/>
      <c r="I26" s="167"/>
      <c r="J26" s="167"/>
      <c r="K26" s="167">
        <v>0</v>
      </c>
      <c r="L26" s="167"/>
      <c r="M26" s="167"/>
      <c r="N26" s="167"/>
      <c r="O26" s="167"/>
      <c r="P26" s="167"/>
      <c r="Q26" s="167">
        <v>189404</v>
      </c>
      <c r="R26" s="167">
        <v>15666</v>
      </c>
      <c r="S26" s="167">
        <v>58716</v>
      </c>
      <c r="T26" s="167">
        <v>65095</v>
      </c>
      <c r="U26" s="167">
        <v>324444</v>
      </c>
      <c r="V26" s="167">
        <v>223602</v>
      </c>
      <c r="W26" s="167">
        <v>220047</v>
      </c>
    </row>
    <row r="27" spans="1:23">
      <c r="A27" s="151" t="s">
        <v>1063</v>
      </c>
      <c r="B27" s="151" t="s">
        <v>1064</v>
      </c>
      <c r="D27" s="167"/>
      <c r="E27" s="167"/>
      <c r="F27" s="167"/>
      <c r="G27" s="167"/>
      <c r="H27" s="167"/>
      <c r="I27" s="167">
        <v>18934</v>
      </c>
      <c r="J27" s="167">
        <v>18934</v>
      </c>
      <c r="K27" s="167">
        <v>18934</v>
      </c>
      <c r="L27" s="167">
        <v>18934</v>
      </c>
      <c r="M27" s="167">
        <v>13038</v>
      </c>
      <c r="N27" s="167">
        <v>13038</v>
      </c>
      <c r="O27" s="167">
        <v>13038</v>
      </c>
      <c r="P27" s="167">
        <v>13038</v>
      </c>
      <c r="Q27" s="167">
        <v>37363</v>
      </c>
      <c r="R27" s="167">
        <v>37363</v>
      </c>
      <c r="S27" s="167">
        <v>37363</v>
      </c>
      <c r="T27" s="167">
        <v>37363</v>
      </c>
      <c r="U27" s="167">
        <v>50752</v>
      </c>
      <c r="V27" s="167">
        <v>50752</v>
      </c>
      <c r="W27" s="167">
        <v>50752</v>
      </c>
    </row>
    <row r="28" spans="1:23">
      <c r="A28" s="151" t="s">
        <v>1068</v>
      </c>
      <c r="B28" s="151" t="s">
        <v>1069</v>
      </c>
      <c r="D28" s="167"/>
      <c r="E28" s="167">
        <v>200196</v>
      </c>
      <c r="F28" s="167">
        <v>203853</v>
      </c>
      <c r="G28" s="167">
        <v>191971</v>
      </c>
      <c r="H28" s="167">
        <v>206475</v>
      </c>
      <c r="I28" s="167">
        <v>208918</v>
      </c>
      <c r="J28" s="167">
        <v>216169</v>
      </c>
      <c r="K28" s="167">
        <v>222309</v>
      </c>
      <c r="L28" s="167">
        <v>226947</v>
      </c>
      <c r="M28" s="167">
        <v>225891</v>
      </c>
      <c r="N28" s="167">
        <v>226566</v>
      </c>
      <c r="O28" s="167">
        <v>224745</v>
      </c>
      <c r="P28" s="167">
        <v>228174</v>
      </c>
      <c r="Q28" s="167">
        <v>223823</v>
      </c>
      <c r="R28" s="167">
        <v>226239</v>
      </c>
      <c r="S28" s="167">
        <v>227394</v>
      </c>
      <c r="T28" s="167">
        <v>236182</v>
      </c>
      <c r="U28" s="167">
        <v>210392</v>
      </c>
      <c r="V28" s="167">
        <v>218794</v>
      </c>
      <c r="W28" s="167">
        <v>220785</v>
      </c>
    </row>
    <row r="29" spans="1:23">
      <c r="A29" s="151" t="s">
        <v>1076</v>
      </c>
      <c r="B29" s="151" t="s">
        <v>1077</v>
      </c>
      <c r="D29" s="167"/>
      <c r="E29" s="167"/>
      <c r="F29" s="167"/>
      <c r="G29" s="167"/>
      <c r="H29" s="167">
        <v>688875</v>
      </c>
      <c r="I29" s="167">
        <v>643291</v>
      </c>
      <c r="J29" s="167">
        <v>576538</v>
      </c>
      <c r="K29" s="167">
        <v>534228</v>
      </c>
      <c r="L29" s="167">
        <v>378756</v>
      </c>
      <c r="M29" s="167">
        <v>341793</v>
      </c>
      <c r="N29" s="167">
        <v>439472</v>
      </c>
      <c r="O29" s="167">
        <v>432065</v>
      </c>
      <c r="P29" s="167">
        <v>440060</v>
      </c>
      <c r="Q29" s="167">
        <v>326816</v>
      </c>
      <c r="R29" s="167">
        <v>289465</v>
      </c>
      <c r="S29" s="167">
        <v>268321</v>
      </c>
      <c r="T29" s="167">
        <v>235277</v>
      </c>
      <c r="U29" s="167">
        <v>184256</v>
      </c>
      <c r="V29" s="167">
        <v>152128</v>
      </c>
      <c r="W29" s="167">
        <v>490377</v>
      </c>
    </row>
    <row r="30" spans="1:23">
      <c r="A30" s="151" t="s">
        <v>1078</v>
      </c>
      <c r="B30" s="151" t="s">
        <v>1079</v>
      </c>
      <c r="D30" s="167">
        <v>622573</v>
      </c>
      <c r="E30" s="167">
        <v>734485</v>
      </c>
      <c r="F30" s="167">
        <v>348845</v>
      </c>
      <c r="G30" s="167">
        <v>670539</v>
      </c>
      <c r="H30" s="167"/>
      <c r="I30" s="167"/>
      <c r="J30" s="167"/>
      <c r="K30" s="167">
        <v>0</v>
      </c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</row>
    <row r="31" spans="1:23">
      <c r="A31" s="151" t="s">
        <v>1162</v>
      </c>
      <c r="B31" s="151" t="s">
        <v>1133</v>
      </c>
      <c r="D31" s="167"/>
      <c r="E31" s="167"/>
      <c r="F31" s="167"/>
      <c r="G31" s="167"/>
      <c r="H31" s="167"/>
      <c r="I31" s="167"/>
      <c r="J31" s="167"/>
      <c r="K31" s="167">
        <v>0</v>
      </c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</row>
    <row r="32" spans="1:23">
      <c r="A32" s="151" t="s">
        <v>1072</v>
      </c>
      <c r="B32" s="151" t="s">
        <v>1073</v>
      </c>
      <c r="D32" s="167">
        <v>14680</v>
      </c>
      <c r="E32" s="167">
        <v>20455</v>
      </c>
      <c r="F32" s="167"/>
      <c r="G32" s="167"/>
      <c r="H32" s="167"/>
      <c r="I32" s="167"/>
      <c r="J32" s="167">
        <v>4412</v>
      </c>
      <c r="K32" s="167">
        <v>0</v>
      </c>
      <c r="L32" s="167">
        <v>6612</v>
      </c>
      <c r="M32" s="167">
        <v>0</v>
      </c>
      <c r="N32" s="167">
        <v>7772</v>
      </c>
      <c r="O32" s="167">
        <v>84319</v>
      </c>
      <c r="P32" s="167">
        <v>84497</v>
      </c>
      <c r="Q32" s="167">
        <v>143542</v>
      </c>
      <c r="R32" s="167">
        <v>67181</v>
      </c>
      <c r="S32" s="167">
        <v>39129</v>
      </c>
      <c r="T32" s="167"/>
      <c r="U32" s="167">
        <v>4208</v>
      </c>
      <c r="V32" s="167">
        <v>0</v>
      </c>
      <c r="W32" s="167">
        <v>0</v>
      </c>
    </row>
    <row r="33" spans="1:23">
      <c r="A33" s="151" t="s">
        <v>1150</v>
      </c>
      <c r="B33" s="151" t="s">
        <v>1151</v>
      </c>
      <c r="D33" s="167"/>
      <c r="E33" s="167"/>
      <c r="F33" s="167"/>
      <c r="G33" s="167"/>
      <c r="H33" s="167"/>
      <c r="I33" s="167"/>
      <c r="J33" s="167"/>
      <c r="K33" s="167">
        <v>0</v>
      </c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</row>
    <row r="34" spans="1:23">
      <c r="A34" s="151" t="s">
        <v>1215</v>
      </c>
      <c r="B34" s="151" t="s">
        <v>1216</v>
      </c>
      <c r="D34" s="167">
        <v>167447</v>
      </c>
      <c r="E34" s="167"/>
      <c r="F34" s="167"/>
      <c r="G34" s="167"/>
      <c r="H34" s="167"/>
      <c r="I34" s="167"/>
      <c r="J34" s="167"/>
      <c r="K34" s="167">
        <v>0</v>
      </c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</row>
    <row r="35" spans="1:23">
      <c r="A35" s="151" t="s">
        <v>1080</v>
      </c>
      <c r="B35" s="151" t="s">
        <v>96</v>
      </c>
      <c r="D35" s="167">
        <v>1871</v>
      </c>
      <c r="E35" s="167">
        <v>1874</v>
      </c>
      <c r="F35" s="167">
        <v>1877</v>
      </c>
      <c r="G35" s="167">
        <v>1875</v>
      </c>
      <c r="H35" s="167">
        <v>1875</v>
      </c>
      <c r="I35" s="167">
        <v>1937</v>
      </c>
      <c r="J35" s="167">
        <v>17</v>
      </c>
      <c r="K35" s="167">
        <v>0</v>
      </c>
      <c r="L35" s="167"/>
      <c r="M35" s="167">
        <v>26</v>
      </c>
      <c r="N35" s="167">
        <v>9</v>
      </c>
      <c r="O35" s="167">
        <v>41</v>
      </c>
      <c r="P35" s="167">
        <v>30</v>
      </c>
      <c r="Q35" s="167">
        <v>10</v>
      </c>
      <c r="R35" s="167">
        <v>11</v>
      </c>
      <c r="S35" s="167">
        <v>12</v>
      </c>
      <c r="T35" s="167">
        <v>13</v>
      </c>
      <c r="U35" s="167">
        <v>1168</v>
      </c>
      <c r="V35" s="167">
        <v>822</v>
      </c>
      <c r="W35" s="167">
        <v>1379</v>
      </c>
    </row>
    <row r="36" spans="1:23" ht="15" thickBot="1">
      <c r="A36" s="154" t="s">
        <v>1086</v>
      </c>
      <c r="B36" s="154" t="s">
        <v>1087</v>
      </c>
      <c r="D36" s="167">
        <v>356667</v>
      </c>
      <c r="E36" s="167">
        <v>426473</v>
      </c>
      <c r="F36" s="167">
        <v>434878</v>
      </c>
      <c r="G36" s="167">
        <v>462987</v>
      </c>
      <c r="H36" s="167"/>
      <c r="I36" s="167">
        <v>485102</v>
      </c>
      <c r="J36" s="167">
        <v>506884</v>
      </c>
      <c r="K36" s="167">
        <v>541201</v>
      </c>
      <c r="L36" s="167">
        <v>558477</v>
      </c>
      <c r="M36" s="167">
        <v>609396</v>
      </c>
      <c r="N36" s="167">
        <v>639119</v>
      </c>
      <c r="O36" s="167">
        <v>672905</v>
      </c>
      <c r="P36" s="167">
        <v>715277</v>
      </c>
      <c r="Q36" s="167">
        <v>782759</v>
      </c>
      <c r="R36" s="167">
        <v>868991</v>
      </c>
      <c r="S36" s="167">
        <v>952678</v>
      </c>
      <c r="T36" s="167">
        <v>1010960</v>
      </c>
      <c r="U36" s="167">
        <v>1116348</v>
      </c>
      <c r="V36" s="167">
        <v>1182262</v>
      </c>
      <c r="W36" s="167">
        <v>1443538</v>
      </c>
    </row>
    <row r="37" spans="1:23" ht="15" thickBot="1">
      <c r="A37" s="155" t="s">
        <v>1164</v>
      </c>
      <c r="B37" s="155" t="s">
        <v>1165</v>
      </c>
      <c r="D37" s="156">
        <f t="shared" ref="D37:K37" si="9">SUM(D38:D42)</f>
        <v>2243590</v>
      </c>
      <c r="E37" s="156">
        <f t="shared" si="9"/>
        <v>2325226</v>
      </c>
      <c r="F37" s="156">
        <f t="shared" si="9"/>
        <v>2350283</v>
      </c>
      <c r="G37" s="156">
        <f t="shared" si="9"/>
        <v>2449060</v>
      </c>
      <c r="H37" s="156">
        <f t="shared" si="9"/>
        <v>3115554</v>
      </c>
      <c r="I37" s="156">
        <f t="shared" si="9"/>
        <v>2853374</v>
      </c>
      <c r="J37" s="156">
        <f t="shared" si="9"/>
        <v>3025323</v>
      </c>
      <c r="K37" s="156">
        <f t="shared" si="9"/>
        <v>3171834</v>
      </c>
      <c r="L37" s="156">
        <f t="shared" ref="L37:S37" si="10">SUM(L38:L42)</f>
        <v>3294148</v>
      </c>
      <c r="M37" s="156">
        <f t="shared" si="10"/>
        <v>3253637</v>
      </c>
      <c r="N37" s="156">
        <f t="shared" si="10"/>
        <v>3325852</v>
      </c>
      <c r="O37" s="156">
        <f t="shared" si="10"/>
        <v>3463021</v>
      </c>
      <c r="P37" s="156">
        <f t="shared" si="10"/>
        <v>3601083</v>
      </c>
      <c r="Q37" s="156">
        <f t="shared" si="10"/>
        <v>3828573</v>
      </c>
      <c r="R37" s="156">
        <f t="shared" si="10"/>
        <v>4042466</v>
      </c>
      <c r="S37" s="156">
        <f t="shared" si="10"/>
        <v>4195795</v>
      </c>
      <c r="T37" s="156">
        <f t="shared" ref="T37:V37" si="11">SUM(T38:T42)</f>
        <v>4437564</v>
      </c>
      <c r="U37" s="156">
        <f t="shared" si="11"/>
        <v>4555693</v>
      </c>
      <c r="V37" s="156">
        <f t="shared" si="11"/>
        <v>4708491</v>
      </c>
      <c r="W37" s="156">
        <f>SUM(W38:W42)</f>
        <v>4614068</v>
      </c>
    </row>
    <row r="38" spans="1:23">
      <c r="A38" s="151" t="s">
        <v>1088</v>
      </c>
      <c r="B38" s="151" t="s">
        <v>1089</v>
      </c>
      <c r="D38" s="167">
        <v>838</v>
      </c>
      <c r="E38" s="167">
        <v>635</v>
      </c>
      <c r="F38" s="167">
        <v>635</v>
      </c>
      <c r="G38" s="167">
        <v>635</v>
      </c>
      <c r="H38" s="167">
        <v>635</v>
      </c>
      <c r="I38" s="167">
        <v>635</v>
      </c>
      <c r="J38" s="167">
        <v>635</v>
      </c>
      <c r="K38" s="167">
        <v>0</v>
      </c>
      <c r="L38" s="167">
        <v>0</v>
      </c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</row>
    <row r="39" spans="1:23">
      <c r="A39" s="151" t="s">
        <v>1186</v>
      </c>
      <c r="B39" s="151" t="s">
        <v>1187</v>
      </c>
      <c r="D39" s="167">
        <v>59996</v>
      </c>
      <c r="E39" s="167">
        <v>120128</v>
      </c>
      <c r="F39" s="167">
        <v>170555</v>
      </c>
      <c r="G39" s="167">
        <v>336889</v>
      </c>
      <c r="H39" s="167">
        <v>1028660</v>
      </c>
      <c r="I39" s="167">
        <v>691921</v>
      </c>
      <c r="J39" s="167">
        <v>810904</v>
      </c>
      <c r="K39" s="167">
        <v>1067411</v>
      </c>
      <c r="L39" s="167">
        <v>1205723</v>
      </c>
      <c r="M39" s="167">
        <v>1061547</v>
      </c>
      <c r="N39" s="167">
        <v>1079385</v>
      </c>
      <c r="O39" s="167">
        <v>1142727</v>
      </c>
      <c r="P39" s="167">
        <v>1183231</v>
      </c>
      <c r="Q39" s="167">
        <v>1213912</v>
      </c>
      <c r="R39" s="167">
        <v>1283287</v>
      </c>
      <c r="S39" s="167">
        <v>1191769</v>
      </c>
      <c r="T39" s="167">
        <v>1341698</v>
      </c>
      <c r="U39" s="167">
        <v>1215790</v>
      </c>
      <c r="V39" s="167">
        <v>1230146</v>
      </c>
      <c r="W39" s="167">
        <v>339140</v>
      </c>
    </row>
    <row r="40" spans="1:23">
      <c r="A40" s="151" t="s">
        <v>1188</v>
      </c>
      <c r="B40" s="151" t="s">
        <v>1189</v>
      </c>
      <c r="D40" s="167">
        <v>122019</v>
      </c>
      <c r="E40" s="167">
        <v>69292</v>
      </c>
      <c r="F40" s="167">
        <v>70929</v>
      </c>
      <c r="G40" s="167"/>
      <c r="H40" s="167">
        <v>1349</v>
      </c>
      <c r="I40" s="167"/>
      <c r="J40" s="167"/>
      <c r="K40" s="167">
        <v>0</v>
      </c>
      <c r="L40" s="167"/>
      <c r="M40" s="167"/>
      <c r="N40" s="167"/>
      <c r="O40" s="167"/>
      <c r="P40" s="167"/>
      <c r="Q40" s="167"/>
      <c r="R40" s="167"/>
      <c r="S40" s="167"/>
      <c r="T40" s="167"/>
      <c r="U40" s="167"/>
      <c r="V40" s="167"/>
      <c r="W40" s="167"/>
    </row>
    <row r="41" spans="1:23">
      <c r="A41" s="151" t="s">
        <v>1096</v>
      </c>
      <c r="B41" s="151" t="s">
        <v>1097</v>
      </c>
      <c r="D41" s="167">
        <v>36648</v>
      </c>
      <c r="E41" s="167">
        <v>31490</v>
      </c>
      <c r="F41" s="167">
        <v>26579</v>
      </c>
      <c r="G41" s="167">
        <v>21801</v>
      </c>
      <c r="H41" s="167">
        <v>17048</v>
      </c>
      <c r="I41" s="167">
        <v>12294</v>
      </c>
      <c r="J41" s="167">
        <v>9248</v>
      </c>
      <c r="K41" s="167">
        <v>7057</v>
      </c>
      <c r="L41" s="167">
        <v>3324</v>
      </c>
      <c r="M41" s="167">
        <v>3376</v>
      </c>
      <c r="N41" s="167">
        <v>5625</v>
      </c>
      <c r="O41" s="167">
        <v>5305</v>
      </c>
      <c r="P41" s="167">
        <v>4753</v>
      </c>
      <c r="Q41" s="167">
        <v>3376</v>
      </c>
      <c r="R41" s="167">
        <v>3895</v>
      </c>
      <c r="S41" s="167">
        <v>4197</v>
      </c>
      <c r="T41" s="167">
        <v>5538</v>
      </c>
      <c r="U41" s="167">
        <v>5173</v>
      </c>
      <c r="V41" s="167">
        <v>4794</v>
      </c>
      <c r="W41" s="167">
        <v>4408</v>
      </c>
    </row>
    <row r="42" spans="1:23" ht="15" thickBot="1">
      <c r="A42" s="151" t="s">
        <v>1092</v>
      </c>
      <c r="B42" s="151" t="s">
        <v>1093</v>
      </c>
      <c r="D42" s="167">
        <v>2024089</v>
      </c>
      <c r="E42" s="167">
        <v>2103681</v>
      </c>
      <c r="F42" s="167">
        <v>2081585</v>
      </c>
      <c r="G42" s="167">
        <v>2089735</v>
      </c>
      <c r="H42" s="167">
        <v>2067862</v>
      </c>
      <c r="I42" s="167">
        <v>2148524</v>
      </c>
      <c r="J42" s="167">
        <v>2204536</v>
      </c>
      <c r="K42" s="167">
        <v>2097366</v>
      </c>
      <c r="L42" s="167">
        <v>2085101</v>
      </c>
      <c r="M42" s="167">
        <v>2188714</v>
      </c>
      <c r="N42" s="167">
        <v>2240842</v>
      </c>
      <c r="O42" s="167">
        <v>2314989</v>
      </c>
      <c r="P42" s="167">
        <v>2413099</v>
      </c>
      <c r="Q42" s="167">
        <v>2611285</v>
      </c>
      <c r="R42" s="167">
        <v>2755284</v>
      </c>
      <c r="S42" s="167">
        <v>2999829</v>
      </c>
      <c r="T42" s="167">
        <v>3090328</v>
      </c>
      <c r="U42" s="167">
        <v>3334730</v>
      </c>
      <c r="V42" s="167">
        <v>3473551</v>
      </c>
      <c r="W42" s="167">
        <v>4270520</v>
      </c>
    </row>
    <row r="43" spans="1:23" ht="15" thickBot="1">
      <c r="A43" s="155" t="s">
        <v>1098</v>
      </c>
      <c r="B43" s="155" t="s">
        <v>1099</v>
      </c>
      <c r="D43" s="156">
        <f t="shared" ref="D43:K43" si="12">D8+D23</f>
        <v>6497674</v>
      </c>
      <c r="E43" s="156">
        <f t="shared" si="12"/>
        <v>6743744</v>
      </c>
      <c r="F43" s="156">
        <f t="shared" si="12"/>
        <v>6211856</v>
      </c>
      <c r="G43" s="156">
        <f t="shared" si="12"/>
        <v>6261509</v>
      </c>
      <c r="H43" s="156">
        <f t="shared" si="12"/>
        <v>6223304</v>
      </c>
      <c r="I43" s="156">
        <f t="shared" si="12"/>
        <v>6839958</v>
      </c>
      <c r="J43" s="156">
        <f t="shared" si="12"/>
        <v>6974336</v>
      </c>
      <c r="K43" s="156">
        <f t="shared" si="12"/>
        <v>7502206</v>
      </c>
      <c r="L43" s="156">
        <f t="shared" ref="L43:S43" si="13">L8+L23</f>
        <v>7435736</v>
      </c>
      <c r="M43" s="156">
        <f t="shared" si="13"/>
        <v>7651856</v>
      </c>
      <c r="N43" s="156">
        <f t="shared" si="13"/>
        <v>7680398</v>
      </c>
      <c r="O43" s="156">
        <f t="shared" si="13"/>
        <v>7750661</v>
      </c>
      <c r="P43" s="156">
        <f t="shared" si="13"/>
        <v>7361389</v>
      </c>
      <c r="Q43" s="156">
        <f t="shared" si="13"/>
        <v>8212737</v>
      </c>
      <c r="R43" s="156">
        <f t="shared" si="13"/>
        <v>8252299</v>
      </c>
      <c r="S43" s="156">
        <f t="shared" si="13"/>
        <v>8602979</v>
      </c>
      <c r="T43" s="156">
        <f t="shared" ref="T43:V43" si="14">T8+T23</f>
        <v>8930239</v>
      </c>
      <c r="U43" s="156">
        <f t="shared" si="14"/>
        <v>9997536</v>
      </c>
      <c r="V43" s="156">
        <f t="shared" si="14"/>
        <v>10063944</v>
      </c>
      <c r="W43" s="156">
        <f>W8+W23</f>
        <v>10997561</v>
      </c>
    </row>
    <row r="44" spans="1:23">
      <c r="A44" s="151"/>
      <c r="B44" s="151"/>
    </row>
    <row r="45" spans="1:23" ht="15" thickBot="1">
      <c r="A45" s="6" t="s">
        <v>1100</v>
      </c>
      <c r="B45" s="6" t="s">
        <v>1101</v>
      </c>
      <c r="D45" s="434" t="s">
        <v>73</v>
      </c>
      <c r="E45" s="434" t="str">
        <f>E7</f>
        <v>4T21</v>
      </c>
      <c r="F45" s="434" t="str">
        <f>F7</f>
        <v>1T22</v>
      </c>
      <c r="G45" s="434" t="str">
        <f>G7</f>
        <v>2T22</v>
      </c>
      <c r="H45" s="434" t="s">
        <v>77</v>
      </c>
      <c r="I45" s="434" t="str">
        <f>I7</f>
        <v>4T22</v>
      </c>
      <c r="J45" s="434" t="str">
        <f>J7</f>
        <v>1T23</v>
      </c>
      <c r="K45" s="434" t="s">
        <v>80</v>
      </c>
      <c r="L45" s="434" t="s">
        <v>81</v>
      </c>
      <c r="M45" s="434" t="s">
        <v>82</v>
      </c>
      <c r="N45" s="434" t="s">
        <v>83</v>
      </c>
      <c r="O45" s="434" t="s">
        <v>84</v>
      </c>
      <c r="P45" s="434" t="s">
        <v>85</v>
      </c>
      <c r="Q45" s="434" t="s">
        <v>86</v>
      </c>
      <c r="R45" s="434" t="s">
        <v>87</v>
      </c>
      <c r="S45" s="434" t="str">
        <f>+S7</f>
        <v>2T25</v>
      </c>
      <c r="T45" s="434" t="str">
        <f>+T7</f>
        <v>3T25</v>
      </c>
      <c r="U45" s="434" t="str">
        <f>+U7</f>
        <v>4T25</v>
      </c>
      <c r="V45" s="434" t="str">
        <f>+V7</f>
        <v>1T26</v>
      </c>
      <c r="W45" s="434" t="str">
        <f>+W7</f>
        <v>2T26</v>
      </c>
    </row>
    <row r="46" spans="1:23" ht="15" thickBot="1">
      <c r="A46" s="147" t="s">
        <v>1051</v>
      </c>
      <c r="B46" s="147" t="s">
        <v>1052</v>
      </c>
      <c r="D46" s="149">
        <f t="shared" ref="D46:S46" si="15">SUM(D47:D63)</f>
        <v>2211298</v>
      </c>
      <c r="E46" s="149">
        <f t="shared" si="15"/>
        <v>2232518</v>
      </c>
      <c r="F46" s="149">
        <f t="shared" si="15"/>
        <v>1665690</v>
      </c>
      <c r="G46" s="149">
        <f t="shared" si="15"/>
        <v>1612044</v>
      </c>
      <c r="H46" s="149">
        <f t="shared" si="15"/>
        <v>2055144</v>
      </c>
      <c r="I46" s="149">
        <f t="shared" si="15"/>
        <v>2154302</v>
      </c>
      <c r="J46" s="149">
        <f t="shared" si="15"/>
        <v>2110464</v>
      </c>
      <c r="K46" s="149">
        <f t="shared" si="15"/>
        <v>2424789</v>
      </c>
      <c r="L46" s="149">
        <f t="shared" si="15"/>
        <v>3090830</v>
      </c>
      <c r="M46" s="149">
        <f t="shared" si="15"/>
        <v>2822722</v>
      </c>
      <c r="N46" s="149">
        <f t="shared" si="15"/>
        <v>2671218</v>
      </c>
      <c r="O46" s="149">
        <f t="shared" si="15"/>
        <v>2704817</v>
      </c>
      <c r="P46" s="149">
        <f t="shared" si="15"/>
        <v>2345113</v>
      </c>
      <c r="Q46" s="149">
        <f t="shared" si="15"/>
        <v>2221043</v>
      </c>
      <c r="R46" s="149">
        <f t="shared" si="15"/>
        <v>2269191</v>
      </c>
      <c r="S46" s="149">
        <f t="shared" si="15"/>
        <v>2195919</v>
      </c>
      <c r="T46" s="149">
        <f t="shared" ref="T46:V46" si="16">SUM(T47:T63)</f>
        <v>2270078</v>
      </c>
      <c r="U46" s="149">
        <f t="shared" si="16"/>
        <v>2229804</v>
      </c>
      <c r="V46" s="149">
        <f t="shared" si="16"/>
        <v>3073287</v>
      </c>
      <c r="W46" s="149">
        <f>SUM(W47:W63)</f>
        <v>3127914</v>
      </c>
    </row>
    <row r="47" spans="1:23">
      <c r="A47" s="160" t="s">
        <v>1102</v>
      </c>
      <c r="B47" s="160" t="s">
        <v>1103</v>
      </c>
      <c r="D47" s="167">
        <v>505816</v>
      </c>
      <c r="E47" s="167">
        <v>576912</v>
      </c>
      <c r="F47" s="167">
        <v>391997</v>
      </c>
      <c r="G47" s="167">
        <v>458878</v>
      </c>
      <c r="H47" s="167">
        <v>521297</v>
      </c>
      <c r="I47" s="167">
        <v>579822</v>
      </c>
      <c r="J47" s="167">
        <v>462409</v>
      </c>
      <c r="K47" s="167">
        <v>457347.00000000006</v>
      </c>
      <c r="L47" s="167">
        <v>477009</v>
      </c>
      <c r="M47" s="167">
        <v>623360</v>
      </c>
      <c r="N47" s="167">
        <v>587020</v>
      </c>
      <c r="O47" s="167">
        <v>633644</v>
      </c>
      <c r="P47" s="167">
        <v>705616</v>
      </c>
      <c r="Q47" s="167">
        <v>586810</v>
      </c>
      <c r="R47" s="167">
        <v>643236</v>
      </c>
      <c r="S47" s="167">
        <v>646391</v>
      </c>
      <c r="T47" s="167">
        <v>711198</v>
      </c>
      <c r="U47" s="167">
        <v>792130</v>
      </c>
      <c r="V47" s="167">
        <v>778390</v>
      </c>
      <c r="W47" s="167">
        <v>636885</v>
      </c>
    </row>
    <row r="48" spans="1:23">
      <c r="A48" s="160" t="s">
        <v>1104</v>
      </c>
      <c r="B48" s="160" t="s">
        <v>876</v>
      </c>
      <c r="D48" s="167">
        <v>242816</v>
      </c>
      <c r="E48" s="167">
        <v>116600</v>
      </c>
      <c r="F48" s="167">
        <v>103595</v>
      </c>
      <c r="G48" s="167">
        <v>111707</v>
      </c>
      <c r="H48" s="167">
        <v>103222</v>
      </c>
      <c r="I48" s="167">
        <v>89847</v>
      </c>
      <c r="J48" s="167">
        <v>45074</v>
      </c>
      <c r="K48" s="167">
        <v>37310</v>
      </c>
      <c r="L48" s="167">
        <v>40722</v>
      </c>
      <c r="M48" s="167">
        <v>32758</v>
      </c>
      <c r="N48" s="167">
        <v>33404</v>
      </c>
      <c r="O48" s="167">
        <v>22527</v>
      </c>
      <c r="P48" s="167">
        <v>22238</v>
      </c>
      <c r="Q48" s="167">
        <v>15973</v>
      </c>
      <c r="R48" s="167">
        <v>16677</v>
      </c>
      <c r="S48" s="167">
        <v>19079</v>
      </c>
      <c r="T48" s="167">
        <v>21590</v>
      </c>
      <c r="U48" s="167">
        <v>16909</v>
      </c>
      <c r="V48" s="167">
        <v>15678</v>
      </c>
      <c r="W48" s="167">
        <v>19311</v>
      </c>
    </row>
    <row r="49" spans="1:23">
      <c r="A49" s="151" t="s">
        <v>1105</v>
      </c>
      <c r="B49" s="151" t="s">
        <v>1106</v>
      </c>
      <c r="D49" s="167">
        <v>569626</v>
      </c>
      <c r="E49" s="167">
        <v>566018</v>
      </c>
      <c r="F49" s="167">
        <v>170519</v>
      </c>
      <c r="G49" s="167">
        <v>154831</v>
      </c>
      <c r="H49" s="167">
        <v>258400</v>
      </c>
      <c r="I49" s="167">
        <v>267472</v>
      </c>
      <c r="J49" s="167">
        <v>274957</v>
      </c>
      <c r="K49" s="167">
        <v>247223</v>
      </c>
      <c r="L49" s="167">
        <v>946732</v>
      </c>
      <c r="M49" s="167">
        <v>292879</v>
      </c>
      <c r="N49" s="167">
        <v>301223</v>
      </c>
      <c r="O49" s="167">
        <v>334444</v>
      </c>
      <c r="P49" s="167">
        <v>54560</v>
      </c>
      <c r="Q49" s="167">
        <v>40714</v>
      </c>
      <c r="R49" s="167">
        <v>82613</v>
      </c>
      <c r="S49" s="167">
        <v>117561</v>
      </c>
      <c r="T49" s="167">
        <v>169994</v>
      </c>
      <c r="U49" s="167">
        <v>128860</v>
      </c>
      <c r="V49" s="167">
        <v>986975</v>
      </c>
      <c r="W49" s="167">
        <v>917849</v>
      </c>
    </row>
    <row r="50" spans="1:23">
      <c r="A50" s="151" t="s">
        <v>1107</v>
      </c>
      <c r="B50" s="151" t="s">
        <v>1108</v>
      </c>
      <c r="D50" s="167">
        <v>9533</v>
      </c>
      <c r="E50" s="167">
        <v>39178</v>
      </c>
      <c r="F50" s="167">
        <v>17790</v>
      </c>
      <c r="G50" s="167">
        <v>62023</v>
      </c>
      <c r="H50" s="167">
        <v>323556</v>
      </c>
      <c r="I50" s="167">
        <v>371875</v>
      </c>
      <c r="J50" s="167">
        <v>326159</v>
      </c>
      <c r="K50" s="167">
        <v>369395</v>
      </c>
      <c r="L50" s="167">
        <v>323846</v>
      </c>
      <c r="M50" s="167">
        <v>359257</v>
      </c>
      <c r="N50" s="167">
        <v>354705</v>
      </c>
      <c r="O50" s="167">
        <v>356957</v>
      </c>
      <c r="P50" s="167">
        <v>366080</v>
      </c>
      <c r="Q50" s="167">
        <v>375884</v>
      </c>
      <c r="R50" s="167">
        <v>372062</v>
      </c>
      <c r="S50" s="167">
        <v>407185</v>
      </c>
      <c r="T50" s="167">
        <v>386371</v>
      </c>
      <c r="U50" s="167">
        <v>147139</v>
      </c>
      <c r="V50" s="167">
        <v>196066</v>
      </c>
      <c r="W50" s="167">
        <v>171215</v>
      </c>
    </row>
    <row r="51" spans="1:23">
      <c r="A51" s="151" t="s">
        <v>1109</v>
      </c>
      <c r="B51" s="151" t="s">
        <v>1110</v>
      </c>
      <c r="D51" s="167"/>
      <c r="E51" s="167"/>
      <c r="F51" s="167"/>
      <c r="G51" s="167">
        <v>22</v>
      </c>
      <c r="H51" s="167"/>
      <c r="I51" s="167"/>
      <c r="J51" s="167">
        <v>107963</v>
      </c>
      <c r="K51" s="167">
        <v>274491</v>
      </c>
      <c r="L51" s="167">
        <v>374203</v>
      </c>
      <c r="M51" s="167">
        <v>106702</v>
      </c>
      <c r="N51" s="167">
        <v>201682</v>
      </c>
      <c r="O51" s="167">
        <v>250833</v>
      </c>
      <c r="P51" s="167">
        <v>222428</v>
      </c>
      <c r="Q51" s="167">
        <v>315422</v>
      </c>
      <c r="R51" s="167">
        <v>215072</v>
      </c>
      <c r="S51" s="167">
        <v>41760</v>
      </c>
      <c r="T51" s="167"/>
      <c r="U51" s="167"/>
      <c r="V51" s="167"/>
      <c r="W51" s="167"/>
    </row>
    <row r="52" spans="1:23">
      <c r="A52" s="151" t="s">
        <v>1111</v>
      </c>
      <c r="B52" s="151" t="s">
        <v>1112</v>
      </c>
      <c r="D52" s="167">
        <v>264627</v>
      </c>
      <c r="E52" s="167">
        <v>292154</v>
      </c>
      <c r="F52" s="167">
        <v>280069</v>
      </c>
      <c r="G52" s="167">
        <v>275389</v>
      </c>
      <c r="H52" s="167">
        <v>276108</v>
      </c>
      <c r="I52" s="167">
        <v>259011</v>
      </c>
      <c r="J52" s="167">
        <v>294536</v>
      </c>
      <c r="K52" s="167">
        <v>261991</v>
      </c>
      <c r="L52" s="167">
        <v>262969</v>
      </c>
      <c r="M52" s="167">
        <v>282595</v>
      </c>
      <c r="N52" s="167">
        <v>217518</v>
      </c>
      <c r="O52" s="167">
        <v>233928</v>
      </c>
      <c r="P52" s="167">
        <v>186775</v>
      </c>
      <c r="Q52" s="167">
        <v>187435</v>
      </c>
      <c r="R52" s="167">
        <v>223384</v>
      </c>
      <c r="S52" s="167">
        <v>225320</v>
      </c>
      <c r="T52" s="167">
        <v>231556</v>
      </c>
      <c r="U52" s="167">
        <v>249579</v>
      </c>
      <c r="V52" s="167">
        <v>235329</v>
      </c>
      <c r="W52" s="167">
        <v>580891</v>
      </c>
    </row>
    <row r="53" spans="1:23">
      <c r="A53" s="151" t="s">
        <v>1190</v>
      </c>
      <c r="B53" s="151" t="s">
        <v>1114</v>
      </c>
      <c r="D53" s="167">
        <v>628</v>
      </c>
      <c r="E53" s="167">
        <v>606</v>
      </c>
      <c r="F53" s="167">
        <v>1085</v>
      </c>
      <c r="G53" s="167">
        <v>2829</v>
      </c>
      <c r="H53" s="167">
        <v>763</v>
      </c>
      <c r="I53" s="167">
        <v>842</v>
      </c>
      <c r="J53" s="167">
        <v>692</v>
      </c>
      <c r="K53" s="167">
        <v>234</v>
      </c>
      <c r="L53" s="167">
        <v>364</v>
      </c>
      <c r="M53" s="167">
        <v>631</v>
      </c>
      <c r="N53" s="167">
        <v>432</v>
      </c>
      <c r="O53" s="167">
        <v>425</v>
      </c>
      <c r="P53" s="167">
        <v>596</v>
      </c>
      <c r="Q53" s="167">
        <v>737</v>
      </c>
      <c r="R53" s="167">
        <v>422</v>
      </c>
      <c r="S53" s="167">
        <v>7</v>
      </c>
      <c r="T53" s="167">
        <v>7</v>
      </c>
      <c r="U53" s="167">
        <v>16</v>
      </c>
      <c r="V53" s="167">
        <v>19</v>
      </c>
      <c r="W53" s="167">
        <v>3</v>
      </c>
    </row>
    <row r="54" spans="1:23">
      <c r="A54" s="151" t="s">
        <v>1119</v>
      </c>
      <c r="B54" s="151" t="s">
        <v>1120</v>
      </c>
      <c r="D54" s="167"/>
      <c r="E54" s="167"/>
      <c r="F54" s="167"/>
      <c r="G54" s="167"/>
      <c r="H54" s="167"/>
      <c r="I54" s="167"/>
      <c r="J54" s="167"/>
      <c r="K54" s="167">
        <v>19984</v>
      </c>
      <c r="L54" s="167">
        <v>29479</v>
      </c>
      <c r="M54" s="167">
        <v>40540</v>
      </c>
      <c r="N54" s="167">
        <v>50908</v>
      </c>
      <c r="O54" s="167">
        <v>12190</v>
      </c>
      <c r="P54" s="167">
        <v>8210</v>
      </c>
      <c r="Q54" s="167">
        <v>18036</v>
      </c>
      <c r="R54" s="167">
        <v>18818</v>
      </c>
      <c r="S54" s="167">
        <v>17403</v>
      </c>
      <c r="T54" s="167">
        <v>20399</v>
      </c>
      <c r="U54" s="167">
        <v>20401</v>
      </c>
      <c r="V54" s="167">
        <v>16986</v>
      </c>
      <c r="W54" s="167">
        <v>19524</v>
      </c>
    </row>
    <row r="55" spans="1:23">
      <c r="A55" s="151" t="s">
        <v>1117</v>
      </c>
      <c r="B55" s="151" t="s">
        <v>1118</v>
      </c>
      <c r="D55" s="167">
        <v>291269</v>
      </c>
      <c r="E55" s="167">
        <v>103253</v>
      </c>
      <c r="F55" s="167">
        <v>112191</v>
      </c>
      <c r="G55" s="167">
        <v>108779</v>
      </c>
      <c r="H55" s="167">
        <v>111658</v>
      </c>
      <c r="I55" s="167">
        <v>50823</v>
      </c>
      <c r="J55" s="167">
        <v>52040</v>
      </c>
      <c r="K55" s="167">
        <v>44266</v>
      </c>
      <c r="L55" s="167">
        <v>44445</v>
      </c>
      <c r="M55" s="167">
        <v>78176</v>
      </c>
      <c r="N55" s="167">
        <v>70593</v>
      </c>
      <c r="O55" s="167">
        <v>68344</v>
      </c>
      <c r="P55" s="167">
        <v>70283</v>
      </c>
      <c r="Q55" s="167">
        <v>38778</v>
      </c>
      <c r="R55" s="167">
        <v>37469</v>
      </c>
      <c r="S55" s="167">
        <v>33622</v>
      </c>
      <c r="T55" s="167">
        <v>32566</v>
      </c>
      <c r="U55" s="167">
        <v>73635</v>
      </c>
      <c r="V55" s="167">
        <v>73075</v>
      </c>
      <c r="W55" s="167">
        <v>73654</v>
      </c>
    </row>
    <row r="56" spans="1:23">
      <c r="A56" s="151" t="s">
        <v>1123</v>
      </c>
      <c r="B56" s="151" t="s">
        <v>1124</v>
      </c>
      <c r="D56" s="167"/>
      <c r="E56" s="167"/>
      <c r="F56" s="167"/>
      <c r="G56" s="167"/>
      <c r="H56" s="167"/>
      <c r="I56" s="167"/>
      <c r="J56" s="167"/>
      <c r="K56" s="167">
        <v>3569</v>
      </c>
      <c r="L56" s="167">
        <v>3935</v>
      </c>
      <c r="M56" s="167">
        <v>5271</v>
      </c>
      <c r="N56" s="167">
        <v>2018</v>
      </c>
      <c r="O56" s="167">
        <v>1433</v>
      </c>
      <c r="P56" s="167">
        <v>3004</v>
      </c>
      <c r="Q56" s="167">
        <v>4967</v>
      </c>
      <c r="R56" s="167">
        <v>871</v>
      </c>
      <c r="S56" s="167">
        <v>344</v>
      </c>
      <c r="T56" s="167">
        <v>2500</v>
      </c>
      <c r="U56" s="167">
        <v>5084</v>
      </c>
      <c r="V56" s="167">
        <v>9437</v>
      </c>
      <c r="W56" s="167">
        <v>804</v>
      </c>
    </row>
    <row r="57" spans="1:23">
      <c r="A57" s="151" t="s">
        <v>1173</v>
      </c>
      <c r="B57" s="151" t="s">
        <v>1124</v>
      </c>
      <c r="D57" s="167"/>
      <c r="E57" s="167">
        <v>734</v>
      </c>
      <c r="F57" s="167">
        <v>30</v>
      </c>
      <c r="G57" s="167"/>
      <c r="H57" s="167"/>
      <c r="I57" s="167"/>
      <c r="J57" s="167">
        <v>21250</v>
      </c>
      <c r="K57" s="167">
        <v>31226</v>
      </c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</row>
    <row r="58" spans="1:23">
      <c r="A58" s="151" t="s">
        <v>1072</v>
      </c>
      <c r="B58" s="151" t="s">
        <v>1073</v>
      </c>
      <c r="D58" s="167"/>
      <c r="E58" s="167">
        <v>5069</v>
      </c>
      <c r="F58" s="167">
        <v>32538</v>
      </c>
      <c r="G58" s="167">
        <v>260</v>
      </c>
      <c r="H58" s="167">
        <v>75</v>
      </c>
      <c r="I58" s="167">
        <v>254</v>
      </c>
      <c r="J58" s="167">
        <v>126</v>
      </c>
      <c r="K58" s="167">
        <v>26980</v>
      </c>
      <c r="L58" s="167">
        <v>24717</v>
      </c>
      <c r="M58" s="167">
        <v>37678</v>
      </c>
      <c r="N58" s="167">
        <v>18203</v>
      </c>
      <c r="O58" s="167">
        <v>0</v>
      </c>
      <c r="P58" s="167"/>
      <c r="Q58" s="167"/>
      <c r="R58" s="167"/>
      <c r="S58" s="167"/>
      <c r="T58" s="167"/>
      <c r="U58" s="167"/>
      <c r="V58" s="167">
        <v>476</v>
      </c>
      <c r="W58" s="167">
        <v>0</v>
      </c>
    </row>
    <row r="59" spans="1:23">
      <c r="A59" s="151" t="s">
        <v>1127</v>
      </c>
      <c r="B59" s="151" t="s">
        <v>1128</v>
      </c>
      <c r="D59" s="167"/>
      <c r="E59" s="167"/>
      <c r="F59" s="167"/>
      <c r="G59" s="167"/>
      <c r="H59" s="167"/>
      <c r="I59" s="167"/>
      <c r="J59" s="167"/>
      <c r="K59" s="167">
        <v>114182</v>
      </c>
      <c r="L59" s="167">
        <v>35300</v>
      </c>
      <c r="M59" s="167">
        <v>349220</v>
      </c>
      <c r="N59" s="167">
        <v>240126</v>
      </c>
      <c r="O59" s="167">
        <v>151978</v>
      </c>
      <c r="P59" s="167">
        <v>54459</v>
      </c>
      <c r="Q59" s="167">
        <v>0</v>
      </c>
      <c r="R59" s="167"/>
      <c r="S59" s="167"/>
      <c r="T59" s="167"/>
      <c r="U59" s="167">
        <v>86609</v>
      </c>
      <c r="V59" s="167">
        <v>58781</v>
      </c>
      <c r="W59" s="167">
        <v>36993</v>
      </c>
    </row>
    <row r="60" spans="1:23">
      <c r="A60" s="151" t="s">
        <v>1208</v>
      </c>
      <c r="B60" s="151" t="s">
        <v>1126</v>
      </c>
      <c r="D60" s="167">
        <v>58654</v>
      </c>
      <c r="E60" s="167">
        <v>282486</v>
      </c>
      <c r="F60" s="167">
        <v>282486</v>
      </c>
      <c r="G60" s="167">
        <v>282486</v>
      </c>
      <c r="H60" s="167">
        <v>336083</v>
      </c>
      <c r="I60" s="167">
        <v>376954</v>
      </c>
      <c r="J60" s="167">
        <v>384294</v>
      </c>
      <c r="K60" s="167">
        <v>369869</v>
      </c>
      <c r="L60" s="167">
        <v>350929</v>
      </c>
      <c r="M60" s="167">
        <v>407326</v>
      </c>
      <c r="N60" s="167">
        <v>370260</v>
      </c>
      <c r="O60" s="167">
        <v>420519</v>
      </c>
      <c r="P60" s="167">
        <v>441379</v>
      </c>
      <c r="Q60" s="167">
        <v>390829</v>
      </c>
      <c r="R60" s="167">
        <v>402373</v>
      </c>
      <c r="S60" s="167">
        <v>415864</v>
      </c>
      <c r="T60" s="167">
        <v>424217</v>
      </c>
      <c r="U60" s="167">
        <v>409941</v>
      </c>
      <c r="V60" s="167">
        <v>415178</v>
      </c>
      <c r="W60" s="167">
        <v>423327</v>
      </c>
    </row>
    <row r="61" spans="1:23">
      <c r="A61" s="151" t="s">
        <v>1194</v>
      </c>
      <c r="B61" s="151" t="s">
        <v>1195</v>
      </c>
      <c r="D61" s="167"/>
      <c r="E61" s="167"/>
      <c r="F61" s="167"/>
      <c r="G61" s="167">
        <v>53641</v>
      </c>
      <c r="H61" s="167">
        <v>42066</v>
      </c>
      <c r="I61" s="167">
        <v>71249</v>
      </c>
      <c r="J61" s="167">
        <v>60601</v>
      </c>
      <c r="K61" s="167">
        <v>77903</v>
      </c>
      <c r="L61" s="167">
        <v>76170</v>
      </c>
      <c r="M61" s="167">
        <v>82304</v>
      </c>
      <c r="N61" s="167">
        <v>86633</v>
      </c>
      <c r="O61" s="167">
        <v>88323</v>
      </c>
      <c r="P61" s="167">
        <v>88512</v>
      </c>
      <c r="Q61" s="167">
        <v>80914</v>
      </c>
      <c r="R61" s="167">
        <v>92019</v>
      </c>
      <c r="S61" s="167">
        <v>93761</v>
      </c>
      <c r="T61" s="167">
        <v>99595</v>
      </c>
      <c r="U61" s="167">
        <v>105454</v>
      </c>
      <c r="V61" s="167">
        <v>107341</v>
      </c>
      <c r="W61" s="167">
        <v>112887</v>
      </c>
    </row>
    <row r="62" spans="1:23">
      <c r="A62" s="151" t="s">
        <v>1130</v>
      </c>
      <c r="B62" s="151" t="s">
        <v>1131</v>
      </c>
      <c r="D62" s="167">
        <v>15338</v>
      </c>
      <c r="E62" s="167">
        <v>20466</v>
      </c>
      <c r="F62" s="167">
        <v>18697</v>
      </c>
      <c r="G62" s="167">
        <v>16018</v>
      </c>
      <c r="H62" s="167">
        <v>13097</v>
      </c>
      <c r="I62" s="167">
        <v>9516</v>
      </c>
      <c r="J62" s="167">
        <v>6673</v>
      </c>
      <c r="K62" s="167">
        <v>4793</v>
      </c>
      <c r="L62" s="167">
        <v>616</v>
      </c>
      <c r="M62" s="167">
        <v>611</v>
      </c>
      <c r="N62" s="167">
        <v>1181</v>
      </c>
      <c r="O62" s="167">
        <v>1232</v>
      </c>
      <c r="P62" s="167">
        <v>1195</v>
      </c>
      <c r="Q62" s="167">
        <v>934</v>
      </c>
      <c r="R62" s="167">
        <v>1119</v>
      </c>
      <c r="S62" s="167">
        <v>1208</v>
      </c>
      <c r="T62" s="167">
        <v>1449</v>
      </c>
      <c r="U62" s="167">
        <v>1456</v>
      </c>
      <c r="V62" s="167">
        <v>1489</v>
      </c>
      <c r="W62" s="167">
        <v>1542</v>
      </c>
    </row>
    <row r="63" spans="1:23" ht="15" thickBot="1">
      <c r="A63" s="151" t="s">
        <v>1129</v>
      </c>
      <c r="B63" s="151" t="s">
        <v>96</v>
      </c>
      <c r="D63" s="167">
        <v>252991</v>
      </c>
      <c r="E63" s="167">
        <v>229042</v>
      </c>
      <c r="F63" s="167">
        <v>254693</v>
      </c>
      <c r="G63" s="167">
        <v>85181</v>
      </c>
      <c r="H63" s="167">
        <v>68819</v>
      </c>
      <c r="I63" s="167">
        <v>76637</v>
      </c>
      <c r="J63" s="167">
        <v>73690</v>
      </c>
      <c r="K63" s="167">
        <v>84026</v>
      </c>
      <c r="L63" s="167">
        <v>99394</v>
      </c>
      <c r="M63" s="167">
        <v>123414</v>
      </c>
      <c r="N63" s="167">
        <v>135312</v>
      </c>
      <c r="O63" s="167">
        <v>128040</v>
      </c>
      <c r="P63" s="167">
        <v>119778</v>
      </c>
      <c r="Q63" s="167">
        <v>163610</v>
      </c>
      <c r="R63" s="167">
        <v>163056</v>
      </c>
      <c r="S63" s="167">
        <v>176414</v>
      </c>
      <c r="T63" s="167">
        <v>168636</v>
      </c>
      <c r="U63" s="167">
        <v>192591</v>
      </c>
      <c r="V63" s="167">
        <v>178067</v>
      </c>
      <c r="W63" s="167">
        <v>133029</v>
      </c>
    </row>
    <row r="64" spans="1:23" ht="15" thickBot="1">
      <c r="A64" s="155" t="s">
        <v>1081</v>
      </c>
      <c r="B64" s="155" t="s">
        <v>1082</v>
      </c>
      <c r="D64" s="156">
        <f t="shared" ref="D64:K64" si="17">SUM(D65:D80)</f>
        <v>7354049</v>
      </c>
      <c r="E64" s="156">
        <f t="shared" si="17"/>
        <v>7169069</v>
      </c>
      <c r="F64" s="156">
        <f t="shared" si="17"/>
        <v>7195238</v>
      </c>
      <c r="G64" s="156">
        <f t="shared" si="17"/>
        <v>7407387</v>
      </c>
      <c r="H64" s="156">
        <f t="shared" si="17"/>
        <v>6940177</v>
      </c>
      <c r="I64" s="156">
        <f t="shared" si="17"/>
        <v>7430313</v>
      </c>
      <c r="J64" s="156">
        <f t="shared" si="17"/>
        <v>7567392</v>
      </c>
      <c r="K64" s="156">
        <f t="shared" si="17"/>
        <v>7949145</v>
      </c>
      <c r="L64" s="156">
        <f t="shared" ref="L64:S64" si="18">SUM(L65:L80)</f>
        <v>7310443</v>
      </c>
      <c r="M64" s="156">
        <f t="shared" si="18"/>
        <v>8183771</v>
      </c>
      <c r="N64" s="156">
        <f t="shared" si="18"/>
        <v>8333957</v>
      </c>
      <c r="O64" s="156">
        <f t="shared" si="18"/>
        <v>8585458</v>
      </c>
      <c r="P64" s="156">
        <f t="shared" si="18"/>
        <v>8699269</v>
      </c>
      <c r="Q64" s="156">
        <f t="shared" si="18"/>
        <v>9610025</v>
      </c>
      <c r="R64" s="156">
        <f t="shared" si="18"/>
        <v>9600941</v>
      </c>
      <c r="S64" s="156">
        <f t="shared" si="18"/>
        <v>10184437</v>
      </c>
      <c r="T64" s="156">
        <f t="shared" ref="T64" si="19">SUM(T65:T80)</f>
        <v>10691445</v>
      </c>
      <c r="U64" s="156">
        <f t="shared" ref="U64:V64" si="20">SUM(U65:U80)</f>
        <v>12036277</v>
      </c>
      <c r="V64" s="156">
        <f t="shared" si="20"/>
        <v>11302431</v>
      </c>
      <c r="W64" s="156">
        <f>SUM(W65:W80)</f>
        <v>12120997</v>
      </c>
    </row>
    <row r="65" spans="1:23">
      <c r="A65" s="151" t="s">
        <v>1105</v>
      </c>
      <c r="B65" s="151" t="s">
        <v>1106</v>
      </c>
      <c r="D65" s="179">
        <v>1021911</v>
      </c>
      <c r="E65" s="179">
        <v>1052891</v>
      </c>
      <c r="F65" s="179">
        <v>983612</v>
      </c>
      <c r="G65" s="179">
        <v>1046338</v>
      </c>
      <c r="H65" s="179">
        <v>824020</v>
      </c>
      <c r="I65" s="179">
        <v>1235888</v>
      </c>
      <c r="J65" s="179">
        <v>1252724</v>
      </c>
      <c r="K65" s="179">
        <v>1844249</v>
      </c>
      <c r="L65" s="179">
        <v>1428510</v>
      </c>
      <c r="M65" s="179">
        <v>1394944</v>
      </c>
      <c r="N65" s="179">
        <v>1418474</v>
      </c>
      <c r="O65" s="179">
        <v>1502433</v>
      </c>
      <c r="P65" s="179">
        <v>1492602</v>
      </c>
      <c r="Q65" s="179">
        <v>2013848</v>
      </c>
      <c r="R65" s="179">
        <v>1940432</v>
      </c>
      <c r="S65" s="179">
        <v>1829986</v>
      </c>
      <c r="T65" s="179">
        <v>2295974</v>
      </c>
      <c r="U65" s="179">
        <v>2121823</v>
      </c>
      <c r="V65" s="179">
        <v>1240050</v>
      </c>
      <c r="W65" s="179">
        <v>1728625</v>
      </c>
    </row>
    <row r="66" spans="1:23">
      <c r="A66" s="151" t="s">
        <v>1107</v>
      </c>
      <c r="B66" s="151" t="s">
        <v>1108</v>
      </c>
      <c r="D66" s="179">
        <v>1492905</v>
      </c>
      <c r="E66" s="179">
        <v>1504849</v>
      </c>
      <c r="F66" s="179">
        <v>1512476</v>
      </c>
      <c r="G66" s="179">
        <v>1522008</v>
      </c>
      <c r="H66" s="179">
        <v>1219745</v>
      </c>
      <c r="I66" s="179">
        <v>1473928</v>
      </c>
      <c r="J66" s="179">
        <v>1487245</v>
      </c>
      <c r="K66" s="179">
        <v>1494768</v>
      </c>
      <c r="L66" s="179">
        <v>1377382</v>
      </c>
      <c r="M66" s="179">
        <v>2380295</v>
      </c>
      <c r="N66" s="179">
        <v>2397699</v>
      </c>
      <c r="O66" s="179">
        <v>2645610</v>
      </c>
      <c r="P66" s="179">
        <v>2848970</v>
      </c>
      <c r="Q66" s="179">
        <v>3271216</v>
      </c>
      <c r="R66" s="179">
        <v>3311152</v>
      </c>
      <c r="S66" s="179">
        <v>3961738</v>
      </c>
      <c r="T66" s="179">
        <v>3922038</v>
      </c>
      <c r="U66" s="179">
        <v>5654721</v>
      </c>
      <c r="V66" s="179">
        <v>5681929</v>
      </c>
      <c r="W66" s="179">
        <v>6424669</v>
      </c>
    </row>
    <row r="67" spans="1:23">
      <c r="A67" s="151" t="s">
        <v>1111</v>
      </c>
      <c r="B67" s="151" t="s">
        <v>1112</v>
      </c>
      <c r="D67" s="179">
        <v>2253865</v>
      </c>
      <c r="E67" s="179">
        <v>2259142</v>
      </c>
      <c r="F67" s="179">
        <v>2281384</v>
      </c>
      <c r="G67" s="179">
        <v>2307447</v>
      </c>
      <c r="H67" s="179">
        <v>2341337</v>
      </c>
      <c r="I67" s="179">
        <v>2378522</v>
      </c>
      <c r="J67" s="179">
        <v>2415348</v>
      </c>
      <c r="K67" s="179">
        <v>2452333</v>
      </c>
      <c r="L67" s="179">
        <v>2491439</v>
      </c>
      <c r="M67" s="179">
        <v>2522099</v>
      </c>
      <c r="N67" s="179">
        <v>2547467</v>
      </c>
      <c r="O67" s="179">
        <v>2603401</v>
      </c>
      <c r="P67" s="179">
        <v>2622196</v>
      </c>
      <c r="Q67" s="179">
        <v>2638250</v>
      </c>
      <c r="R67" s="179">
        <v>2654150</v>
      </c>
      <c r="S67" s="179">
        <v>2672503</v>
      </c>
      <c r="T67" s="179">
        <v>2698396</v>
      </c>
      <c r="U67" s="179">
        <v>2630360</v>
      </c>
      <c r="V67" s="179">
        <v>2654674</v>
      </c>
      <c r="W67" s="179">
        <v>1805907</v>
      </c>
    </row>
    <row r="68" spans="1:23">
      <c r="A68" s="151" t="s">
        <v>1209</v>
      </c>
      <c r="B68" s="151" t="s">
        <v>1210</v>
      </c>
      <c r="D68" s="179"/>
      <c r="E68" s="179"/>
      <c r="F68" s="179"/>
      <c r="G68" s="179"/>
      <c r="H68" s="179"/>
      <c r="I68" s="179"/>
      <c r="J68" s="179"/>
      <c r="K68" s="179">
        <v>0</v>
      </c>
      <c r="L68" s="179"/>
      <c r="M68" s="179"/>
      <c r="N68" s="179"/>
      <c r="O68" s="179"/>
      <c r="P68" s="179"/>
      <c r="Q68" s="179"/>
      <c r="R68" s="179"/>
      <c r="S68" s="179"/>
      <c r="T68" s="179"/>
      <c r="U68" s="179"/>
      <c r="V68" s="179"/>
      <c r="W68" s="179"/>
    </row>
    <row r="69" spans="1:23">
      <c r="A69" s="151" t="s">
        <v>1162</v>
      </c>
      <c r="B69" s="151" t="s">
        <v>1133</v>
      </c>
      <c r="D69" s="179"/>
      <c r="E69" s="179"/>
      <c r="F69" s="179"/>
      <c r="G69" s="179"/>
      <c r="H69" s="179"/>
      <c r="I69" s="179"/>
      <c r="J69" s="179"/>
      <c r="K69" s="179">
        <v>0</v>
      </c>
      <c r="L69" s="179"/>
      <c r="M69" s="179"/>
      <c r="N69" s="179"/>
      <c r="O69" s="179"/>
      <c r="P69" s="179"/>
      <c r="Q69" s="179"/>
      <c r="R69" s="179"/>
      <c r="S69" s="179"/>
      <c r="T69" s="179"/>
      <c r="U69" s="179"/>
      <c r="V69" s="179"/>
      <c r="W69" s="179"/>
    </row>
    <row r="70" spans="1:23">
      <c r="A70" s="151" t="s">
        <v>1072</v>
      </c>
      <c r="B70" s="151" t="s">
        <v>1073</v>
      </c>
      <c r="D70" s="179"/>
      <c r="E70" s="179"/>
      <c r="F70" s="179">
        <v>36851</v>
      </c>
      <c r="G70" s="179">
        <v>39478</v>
      </c>
      <c r="H70" s="179">
        <v>25121</v>
      </c>
      <c r="I70" s="179">
        <v>36153</v>
      </c>
      <c r="J70" s="179">
        <v>42279</v>
      </c>
      <c r="K70" s="179">
        <v>48216</v>
      </c>
      <c r="L70" s="179">
        <v>0</v>
      </c>
      <c r="M70" s="179">
        <v>20149</v>
      </c>
      <c r="N70" s="179">
        <v>0</v>
      </c>
      <c r="O70" s="179"/>
      <c r="P70" s="179"/>
      <c r="Q70" s="179"/>
      <c r="R70" s="179"/>
      <c r="S70" s="179"/>
      <c r="T70" s="179">
        <v>43010</v>
      </c>
      <c r="U70" s="179">
        <v>0</v>
      </c>
      <c r="V70" s="179">
        <v>70142</v>
      </c>
      <c r="W70" s="179">
        <v>134300</v>
      </c>
    </row>
    <row r="71" spans="1:23">
      <c r="A71" s="151" t="s">
        <v>1208</v>
      </c>
      <c r="B71" s="151" t="s">
        <v>1126</v>
      </c>
      <c r="D71" s="179">
        <v>707398</v>
      </c>
      <c r="E71" s="179">
        <v>491200</v>
      </c>
      <c r="F71" s="179">
        <v>516407</v>
      </c>
      <c r="G71" s="179">
        <v>518509</v>
      </c>
      <c r="H71" s="179">
        <v>466325</v>
      </c>
      <c r="I71" s="179">
        <v>428566</v>
      </c>
      <c r="J71" s="179">
        <v>439041</v>
      </c>
      <c r="K71" s="179">
        <v>468748</v>
      </c>
      <c r="L71" s="179">
        <v>482744</v>
      </c>
      <c r="M71" s="179">
        <v>490842</v>
      </c>
      <c r="N71" s="179">
        <v>562328</v>
      </c>
      <c r="O71" s="179">
        <v>514022</v>
      </c>
      <c r="P71" s="179">
        <v>494907</v>
      </c>
      <c r="Q71" s="179">
        <v>496023</v>
      </c>
      <c r="R71" s="179">
        <v>500318</v>
      </c>
      <c r="S71" s="179">
        <v>583740</v>
      </c>
      <c r="T71" s="179">
        <v>586016</v>
      </c>
      <c r="U71" s="179">
        <v>597000</v>
      </c>
      <c r="V71" s="179">
        <v>617031</v>
      </c>
      <c r="W71" s="179">
        <v>621716</v>
      </c>
    </row>
    <row r="72" spans="1:23">
      <c r="A72" s="151" t="s">
        <v>1109</v>
      </c>
      <c r="B72" s="151" t="s">
        <v>1110</v>
      </c>
      <c r="D72" s="179"/>
      <c r="E72" s="179"/>
      <c r="F72" s="179"/>
      <c r="G72" s="179">
        <v>99172</v>
      </c>
      <c r="H72" s="179">
        <v>181136</v>
      </c>
      <c r="I72" s="179">
        <v>184594</v>
      </c>
      <c r="J72" s="179">
        <v>300677</v>
      </c>
      <c r="K72" s="179">
        <v>200774</v>
      </c>
      <c r="L72" s="179">
        <v>63978</v>
      </c>
      <c r="M72" s="179">
        <v>207912</v>
      </c>
      <c r="N72" s="179">
        <v>226041</v>
      </c>
      <c r="O72" s="179">
        <v>133027</v>
      </c>
      <c r="P72" s="179">
        <v>35619</v>
      </c>
      <c r="Q72" s="179">
        <v>0</v>
      </c>
      <c r="R72" s="179"/>
      <c r="S72" s="179"/>
      <c r="T72" s="179"/>
      <c r="U72" s="179"/>
      <c r="V72" s="179"/>
      <c r="W72" s="179"/>
    </row>
    <row r="73" spans="1:23">
      <c r="A73" s="151" t="s">
        <v>1173</v>
      </c>
      <c r="B73" s="151" t="s">
        <v>753</v>
      </c>
      <c r="D73" s="179"/>
      <c r="E73" s="179"/>
      <c r="F73" s="179"/>
      <c r="G73" s="179"/>
      <c r="H73" s="179"/>
      <c r="I73" s="179"/>
      <c r="J73" s="179"/>
      <c r="K73" s="179">
        <v>0</v>
      </c>
      <c r="L73" s="179"/>
      <c r="M73" s="179"/>
      <c r="N73" s="179"/>
      <c r="O73" s="179"/>
      <c r="P73" s="179"/>
      <c r="Q73" s="179"/>
      <c r="R73" s="179"/>
      <c r="S73" s="179"/>
      <c r="T73" s="179"/>
      <c r="U73" s="179"/>
      <c r="V73" s="179"/>
      <c r="W73" s="179"/>
    </row>
    <row r="74" spans="1:23">
      <c r="A74" s="151" t="s">
        <v>1119</v>
      </c>
      <c r="B74" s="151" t="s">
        <v>1120</v>
      </c>
      <c r="D74" s="179"/>
      <c r="E74" s="179"/>
      <c r="F74" s="179"/>
      <c r="G74" s="179"/>
      <c r="H74" s="179"/>
      <c r="I74" s="179"/>
      <c r="J74" s="179"/>
      <c r="K74" s="179">
        <v>0</v>
      </c>
      <c r="L74" s="179"/>
      <c r="M74" s="179"/>
      <c r="N74" s="179"/>
      <c r="O74" s="179"/>
      <c r="P74" s="179"/>
      <c r="Q74" s="179"/>
      <c r="R74" s="179"/>
      <c r="S74" s="179"/>
      <c r="T74" s="179"/>
      <c r="U74" s="179"/>
      <c r="V74" s="179"/>
      <c r="W74" s="179"/>
    </row>
    <row r="75" spans="1:23">
      <c r="A75" s="151" t="s">
        <v>1117</v>
      </c>
      <c r="B75" s="151" t="s">
        <v>1118</v>
      </c>
      <c r="D75" s="179">
        <v>21170</v>
      </c>
      <c r="E75" s="179">
        <v>26781</v>
      </c>
      <c r="F75" s="179">
        <v>31543</v>
      </c>
      <c r="G75" s="179">
        <v>35683</v>
      </c>
      <c r="H75" s="179">
        <v>38700</v>
      </c>
      <c r="I75" s="179">
        <v>108265</v>
      </c>
      <c r="J75" s="179">
        <v>114835</v>
      </c>
      <c r="K75" s="179">
        <v>120760</v>
      </c>
      <c r="L75" s="179">
        <v>127801</v>
      </c>
      <c r="M75" s="179">
        <v>39350</v>
      </c>
      <c r="N75" s="179">
        <v>44834</v>
      </c>
      <c r="O75" s="179">
        <v>49344</v>
      </c>
      <c r="P75" s="179">
        <v>54767</v>
      </c>
      <c r="Q75" s="179">
        <v>84133</v>
      </c>
      <c r="R75" s="179">
        <v>89964</v>
      </c>
      <c r="S75" s="179">
        <v>95227</v>
      </c>
      <c r="T75" s="179">
        <v>101178</v>
      </c>
      <c r="U75" s="179">
        <v>57667</v>
      </c>
      <c r="V75" s="179">
        <v>66963</v>
      </c>
      <c r="W75" s="179">
        <v>75022</v>
      </c>
    </row>
    <row r="76" spans="1:23">
      <c r="A76" s="151" t="s">
        <v>1127</v>
      </c>
      <c r="B76" s="151" t="s">
        <v>1128</v>
      </c>
      <c r="D76" s="179">
        <v>795227</v>
      </c>
      <c r="E76" s="179">
        <v>836997</v>
      </c>
      <c r="F76" s="179">
        <v>817793</v>
      </c>
      <c r="G76" s="179">
        <v>804057</v>
      </c>
      <c r="H76" s="179">
        <v>792464</v>
      </c>
      <c r="I76" s="179">
        <v>754774</v>
      </c>
      <c r="J76" s="179">
        <v>668430</v>
      </c>
      <c r="K76" s="179">
        <v>484137</v>
      </c>
      <c r="L76" s="179">
        <v>497352</v>
      </c>
      <c r="M76" s="179">
        <v>126599</v>
      </c>
      <c r="N76" s="179">
        <v>135856</v>
      </c>
      <c r="O76" s="179">
        <v>132532</v>
      </c>
      <c r="P76" s="179">
        <v>140731</v>
      </c>
      <c r="Q76" s="179">
        <v>230478</v>
      </c>
      <c r="R76" s="179">
        <v>237168</v>
      </c>
      <c r="S76" s="179">
        <v>244430</v>
      </c>
      <c r="T76" s="179">
        <v>251799</v>
      </c>
      <c r="U76" s="179">
        <v>154801</v>
      </c>
      <c r="V76" s="179">
        <v>160228</v>
      </c>
      <c r="W76" s="179">
        <v>527277</v>
      </c>
    </row>
    <row r="77" spans="1:23">
      <c r="A77" s="151" t="s">
        <v>1174</v>
      </c>
      <c r="B77" s="151" t="s">
        <v>1175</v>
      </c>
      <c r="D77" s="179"/>
      <c r="E77" s="179"/>
      <c r="F77" s="179"/>
      <c r="G77" s="179"/>
      <c r="H77" s="179"/>
      <c r="I77" s="179"/>
      <c r="J77" s="179"/>
      <c r="K77" s="179">
        <v>0</v>
      </c>
      <c r="L77" s="179"/>
      <c r="M77" s="179"/>
      <c r="N77" s="179"/>
      <c r="O77" s="179"/>
      <c r="P77" s="179"/>
      <c r="Q77" s="179"/>
      <c r="R77" s="179"/>
      <c r="S77" s="179"/>
      <c r="T77" s="179"/>
      <c r="U77" s="179"/>
      <c r="V77" s="179"/>
      <c r="W77" s="179"/>
    </row>
    <row r="78" spans="1:23">
      <c r="A78" s="151" t="s">
        <v>1194</v>
      </c>
      <c r="B78" s="151" t="s">
        <v>1195</v>
      </c>
      <c r="D78" s="179">
        <v>1001513</v>
      </c>
      <c r="E78" s="179">
        <v>926446</v>
      </c>
      <c r="F78" s="179">
        <v>947723</v>
      </c>
      <c r="G78" s="179">
        <v>969606</v>
      </c>
      <c r="H78" s="179">
        <v>988437</v>
      </c>
      <c r="I78" s="179">
        <v>787802</v>
      </c>
      <c r="J78" s="179">
        <v>804353</v>
      </c>
      <c r="K78" s="179">
        <v>792736</v>
      </c>
      <c r="L78" s="179">
        <v>798386</v>
      </c>
      <c r="M78" s="179">
        <v>966137</v>
      </c>
      <c r="N78" s="179">
        <v>965152</v>
      </c>
      <c r="O78" s="179">
        <v>968396</v>
      </c>
      <c r="P78" s="179">
        <v>972421</v>
      </c>
      <c r="Q78" s="179">
        <v>720421</v>
      </c>
      <c r="R78" s="179">
        <v>705931</v>
      </c>
      <c r="S78" s="179">
        <v>706761</v>
      </c>
      <c r="T78" s="179">
        <v>698646</v>
      </c>
      <c r="U78" s="179">
        <v>723135</v>
      </c>
      <c r="V78" s="179">
        <v>713590</v>
      </c>
      <c r="W78" s="179">
        <v>704073</v>
      </c>
    </row>
    <row r="79" spans="1:23">
      <c r="A79" s="151" t="s">
        <v>1129</v>
      </c>
      <c r="B79" s="151" t="s">
        <v>96</v>
      </c>
      <c r="D79" s="179">
        <v>36037</v>
      </c>
      <c r="E79" s="179">
        <v>57084</v>
      </c>
      <c r="F79" s="179">
        <v>57083</v>
      </c>
      <c r="G79" s="179">
        <v>57084</v>
      </c>
      <c r="H79" s="179">
        <v>57084</v>
      </c>
      <c r="I79" s="179">
        <v>37658</v>
      </c>
      <c r="J79" s="179">
        <v>38768</v>
      </c>
      <c r="K79" s="179">
        <v>39211</v>
      </c>
      <c r="L79" s="179">
        <v>40126</v>
      </c>
      <c r="M79" s="179">
        <v>32605</v>
      </c>
      <c r="N79" s="179">
        <v>31492</v>
      </c>
      <c r="O79" s="179">
        <v>32377</v>
      </c>
      <c r="P79" s="179">
        <v>33203</v>
      </c>
      <c r="Q79" s="179">
        <v>152953</v>
      </c>
      <c r="R79" s="179">
        <v>158742</v>
      </c>
      <c r="S79" s="179">
        <v>86722</v>
      </c>
      <c r="T79" s="179">
        <v>89909</v>
      </c>
      <c r="U79" s="179">
        <v>92621</v>
      </c>
      <c r="V79" s="179">
        <v>94046</v>
      </c>
      <c r="W79" s="179">
        <v>96037</v>
      </c>
    </row>
    <row r="80" spans="1:23" ht="15" thickBot="1">
      <c r="A80" s="151" t="s">
        <v>1130</v>
      </c>
      <c r="B80" s="151" t="s">
        <v>1131</v>
      </c>
      <c r="D80" s="179">
        <v>24023</v>
      </c>
      <c r="E80" s="179">
        <v>13679</v>
      </c>
      <c r="F80" s="179">
        <v>10366</v>
      </c>
      <c r="G80" s="179">
        <v>8005</v>
      </c>
      <c r="H80" s="179">
        <v>5808</v>
      </c>
      <c r="I80" s="179">
        <v>4163</v>
      </c>
      <c r="J80" s="179">
        <v>3692</v>
      </c>
      <c r="K80" s="179">
        <v>3213</v>
      </c>
      <c r="L80" s="179">
        <v>2725</v>
      </c>
      <c r="M80" s="179">
        <v>2839</v>
      </c>
      <c r="N80" s="179">
        <v>4614</v>
      </c>
      <c r="O80" s="179">
        <v>4316</v>
      </c>
      <c r="P80" s="179">
        <v>3853</v>
      </c>
      <c r="Q80" s="179">
        <v>2703</v>
      </c>
      <c r="R80" s="179">
        <v>3084</v>
      </c>
      <c r="S80" s="179">
        <v>3330</v>
      </c>
      <c r="T80" s="179">
        <v>4479</v>
      </c>
      <c r="U80" s="179">
        <v>4149</v>
      </c>
      <c r="V80" s="179">
        <v>3778</v>
      </c>
      <c r="W80" s="179">
        <v>3371</v>
      </c>
    </row>
    <row r="81" spans="1:23" ht="15" thickBot="1">
      <c r="A81" s="155" t="s">
        <v>1135</v>
      </c>
      <c r="B81" s="155" t="s">
        <v>1136</v>
      </c>
      <c r="D81" s="156">
        <f t="shared" ref="D81:K81" si="21">SUM(D82:D88)</f>
        <v>-3067673</v>
      </c>
      <c r="E81" s="156">
        <f t="shared" si="21"/>
        <v>-2657843</v>
      </c>
      <c r="F81" s="156">
        <f t="shared" si="21"/>
        <v>-2649072</v>
      </c>
      <c r="G81" s="156">
        <f t="shared" si="21"/>
        <v>-2757922</v>
      </c>
      <c r="H81" s="156">
        <f t="shared" si="21"/>
        <v>-2772017</v>
      </c>
      <c r="I81" s="156">
        <f t="shared" si="21"/>
        <v>-2744657</v>
      </c>
      <c r="J81" s="156">
        <f t="shared" si="21"/>
        <v>-2703520</v>
      </c>
      <c r="K81" s="156">
        <f t="shared" si="21"/>
        <v>-2871728</v>
      </c>
      <c r="L81" s="156">
        <f t="shared" ref="L81:S81" si="22">SUM(L82:L88)</f>
        <v>-2965537</v>
      </c>
      <c r="M81" s="156">
        <f t="shared" si="22"/>
        <v>-3354637</v>
      </c>
      <c r="N81" s="156">
        <f t="shared" si="22"/>
        <v>-3324777</v>
      </c>
      <c r="O81" s="156">
        <f t="shared" si="22"/>
        <v>-3539614</v>
      </c>
      <c r="P81" s="156">
        <f t="shared" si="22"/>
        <v>-3682993</v>
      </c>
      <c r="Q81" s="156">
        <f t="shared" si="22"/>
        <v>-3618331</v>
      </c>
      <c r="R81" s="156">
        <f t="shared" si="22"/>
        <v>-3617833</v>
      </c>
      <c r="S81" s="156">
        <f t="shared" si="22"/>
        <v>-3777377</v>
      </c>
      <c r="T81" s="156">
        <f t="shared" ref="T81" si="23">SUM(T82:T88)</f>
        <v>-4031284</v>
      </c>
      <c r="U81" s="156">
        <f t="shared" ref="U81:V81" si="24">SUM(U82:U88)</f>
        <v>-4268545</v>
      </c>
      <c r="V81" s="156">
        <f t="shared" si="24"/>
        <v>-4311774</v>
      </c>
      <c r="W81" s="156">
        <f>SUM(W82:W88)</f>
        <v>-4251350</v>
      </c>
    </row>
    <row r="82" spans="1:23">
      <c r="A82" s="151" t="s">
        <v>1137</v>
      </c>
      <c r="B82" s="151" t="s">
        <v>1138</v>
      </c>
      <c r="D82" s="167">
        <v>3385861</v>
      </c>
      <c r="E82" s="167">
        <v>3385861</v>
      </c>
      <c r="F82" s="167">
        <v>3385861</v>
      </c>
      <c r="G82" s="167">
        <v>3385861</v>
      </c>
      <c r="H82" s="167">
        <v>3385861</v>
      </c>
      <c r="I82" s="167">
        <v>3385861</v>
      </c>
      <c r="J82" s="167">
        <v>3385861</v>
      </c>
      <c r="K82" s="167">
        <v>3385861</v>
      </c>
      <c r="L82" s="167">
        <v>3385861</v>
      </c>
      <c r="M82" s="167">
        <v>3385861</v>
      </c>
      <c r="N82" s="167">
        <v>3385861</v>
      </c>
      <c r="O82" s="167">
        <v>3385861</v>
      </c>
      <c r="P82" s="167">
        <v>3385861</v>
      </c>
      <c r="Q82" s="167">
        <v>3385861</v>
      </c>
      <c r="R82" s="167">
        <v>3385861</v>
      </c>
      <c r="S82" s="167">
        <v>3385861</v>
      </c>
      <c r="T82" s="167">
        <v>3385861</v>
      </c>
      <c r="U82" s="167">
        <v>3385861</v>
      </c>
      <c r="V82" s="167">
        <v>3385861</v>
      </c>
      <c r="W82" s="167">
        <v>3385861</v>
      </c>
    </row>
    <row r="83" spans="1:23">
      <c r="A83" s="151" t="s">
        <v>1178</v>
      </c>
      <c r="B83" s="151" t="s">
        <v>1179</v>
      </c>
      <c r="D83" s="167"/>
      <c r="E83" s="167"/>
      <c r="F83" s="167"/>
      <c r="G83" s="167"/>
      <c r="H83" s="167"/>
      <c r="I83" s="167"/>
      <c r="J83" s="167"/>
      <c r="K83" s="167">
        <v>0</v>
      </c>
      <c r="L83" s="167"/>
      <c r="M83" s="167"/>
      <c r="N83" s="167"/>
      <c r="O83" s="167"/>
      <c r="P83" s="167"/>
      <c r="Q83" s="167"/>
      <c r="R83" s="167"/>
      <c r="S83" s="167"/>
      <c r="T83" s="167"/>
      <c r="U83" s="167"/>
      <c r="V83" s="167"/>
      <c r="W83" s="167"/>
    </row>
    <row r="84" spans="1:23">
      <c r="A84" s="151" t="s">
        <v>1180</v>
      </c>
      <c r="B84" s="151" t="s">
        <v>1140</v>
      </c>
      <c r="D84" s="167"/>
      <c r="E84" s="167"/>
      <c r="F84" s="167">
        <v>51</v>
      </c>
      <c r="G84" s="167">
        <v>274</v>
      </c>
      <c r="H84" s="167">
        <v>498</v>
      </c>
      <c r="I84" s="167">
        <v>722</v>
      </c>
      <c r="J84" s="167">
        <v>919</v>
      </c>
      <c r="K84" s="167">
        <v>1113</v>
      </c>
      <c r="L84" s="167">
        <v>1171</v>
      </c>
      <c r="M84" s="167">
        <v>1296</v>
      </c>
      <c r="N84" s="167">
        <v>1407</v>
      </c>
      <c r="O84" s="167">
        <v>1475</v>
      </c>
      <c r="P84" s="167">
        <v>1523</v>
      </c>
      <c r="Q84" s="167">
        <v>1570</v>
      </c>
      <c r="R84" s="167">
        <v>1616</v>
      </c>
      <c r="S84" s="167">
        <v>1773</v>
      </c>
      <c r="T84" s="167">
        <v>1817</v>
      </c>
      <c r="U84" s="167">
        <v>1865</v>
      </c>
      <c r="V84" s="167">
        <v>1901</v>
      </c>
      <c r="W84" s="167">
        <v>2064</v>
      </c>
    </row>
    <row r="85" spans="1:23">
      <c r="A85" s="151" t="s">
        <v>1199</v>
      </c>
      <c r="B85" s="151" t="s">
        <v>1144</v>
      </c>
      <c r="D85" s="167">
        <v>-1330320</v>
      </c>
      <c r="E85" s="167"/>
      <c r="F85" s="167"/>
      <c r="G85" s="167"/>
      <c r="H85" s="167">
        <v>-1290692</v>
      </c>
      <c r="I85" s="167">
        <v>-1090718</v>
      </c>
      <c r="J85" s="167"/>
      <c r="K85" s="167">
        <v>0</v>
      </c>
      <c r="L85" s="167"/>
      <c r="M85" s="167"/>
      <c r="N85" s="167"/>
      <c r="O85" s="167"/>
      <c r="P85" s="167"/>
      <c r="Q85" s="167"/>
      <c r="R85" s="167"/>
      <c r="S85" s="167"/>
      <c r="T85" s="167"/>
      <c r="U85" s="167"/>
      <c r="V85" s="167"/>
      <c r="W85" s="167"/>
    </row>
    <row r="86" spans="1:23">
      <c r="A86" s="151" t="s">
        <v>1217</v>
      </c>
      <c r="B86" s="151" t="s">
        <v>1218</v>
      </c>
      <c r="D86" s="167">
        <v>-5123214</v>
      </c>
      <c r="E86" s="167">
        <v>-4712822</v>
      </c>
      <c r="F86" s="167">
        <v>-4774350</v>
      </c>
      <c r="G86" s="167">
        <v>-4774350</v>
      </c>
      <c r="H86" s="167">
        <v>-4867684</v>
      </c>
      <c r="I86" s="167">
        <v>-4774350</v>
      </c>
      <c r="J86" s="167">
        <v>-5040522</v>
      </c>
      <c r="K86" s="167">
        <v>-5040524</v>
      </c>
      <c r="L86" s="167">
        <v>-5040523</v>
      </c>
      <c r="M86" s="167">
        <v>-5040523</v>
      </c>
      <c r="N86" s="167">
        <v>-5492082</v>
      </c>
      <c r="O86" s="167">
        <v>-5492082</v>
      </c>
      <c r="P86" s="167">
        <v>-5492081</v>
      </c>
      <c r="Q86" s="167">
        <v>-5492084</v>
      </c>
      <c r="R86" s="167">
        <v>-5930969</v>
      </c>
      <c r="S86" s="167">
        <v>-5930969</v>
      </c>
      <c r="T86" s="167">
        <v>-5930973</v>
      </c>
      <c r="U86" s="167">
        <v>-5930970</v>
      </c>
      <c r="V86" s="167">
        <v>-6635553</v>
      </c>
      <c r="W86" s="167">
        <v>-6635553</v>
      </c>
    </row>
    <row r="87" spans="1:23">
      <c r="A87" s="151" t="s">
        <v>1143</v>
      </c>
      <c r="B87" s="151" t="s">
        <v>1144</v>
      </c>
      <c r="D87" s="167"/>
      <c r="E87" s="167">
        <v>-1269351</v>
      </c>
      <c r="F87" s="167">
        <v>-1277060</v>
      </c>
      <c r="G87" s="167">
        <v>-1285100</v>
      </c>
      <c r="H87" s="167"/>
      <c r="I87" s="167"/>
      <c r="J87" s="167">
        <v>-1090765</v>
      </c>
      <c r="K87" s="167">
        <v>-1099719</v>
      </c>
      <c r="L87" s="167">
        <v>-1091442</v>
      </c>
      <c r="M87" s="167">
        <v>-1249712</v>
      </c>
      <c r="N87" s="167">
        <v>-1252956</v>
      </c>
      <c r="O87" s="167">
        <v>-1251878</v>
      </c>
      <c r="P87" s="167">
        <v>-1261965</v>
      </c>
      <c r="Q87" s="167">
        <v>-1074790</v>
      </c>
      <c r="R87" s="167">
        <v>-1070959</v>
      </c>
      <c r="S87" s="167">
        <v>-995332</v>
      </c>
      <c r="T87" s="167">
        <v>-985903</v>
      </c>
      <c r="U87" s="167">
        <v>-1020717</v>
      </c>
      <c r="V87" s="167">
        <v>-1023176</v>
      </c>
      <c r="W87" s="167">
        <v>-1036303</v>
      </c>
    </row>
    <row r="88" spans="1:23" ht="15" thickBot="1">
      <c r="A88" s="151" t="s">
        <v>1200</v>
      </c>
      <c r="B88" s="151" t="s">
        <v>777</v>
      </c>
      <c r="D88" s="167"/>
      <c r="E88" s="167">
        <v>-61531</v>
      </c>
      <c r="F88" s="167">
        <v>16426</v>
      </c>
      <c r="G88" s="167">
        <v>-84607</v>
      </c>
      <c r="H88" s="167"/>
      <c r="I88" s="167">
        <v>-266172</v>
      </c>
      <c r="J88" s="167">
        <v>40987</v>
      </c>
      <c r="K88" s="167">
        <v>-118459</v>
      </c>
      <c r="L88" s="167">
        <v>-220604</v>
      </c>
      <c r="M88" s="167">
        <v>-451559</v>
      </c>
      <c r="N88" s="167">
        <v>32993</v>
      </c>
      <c r="O88" s="167">
        <v>-182990</v>
      </c>
      <c r="P88" s="167">
        <v>-316331</v>
      </c>
      <c r="Q88" s="167">
        <v>-438888</v>
      </c>
      <c r="R88" s="167">
        <v>-3382</v>
      </c>
      <c r="S88" s="167">
        <v>-238710</v>
      </c>
      <c r="T88" s="167">
        <v>-502086</v>
      </c>
      <c r="U88" s="167">
        <v>-704584</v>
      </c>
      <c r="V88" s="167">
        <v>-40807</v>
      </c>
      <c r="W88" s="167">
        <v>32581</v>
      </c>
    </row>
    <row r="89" spans="1:23" ht="15" thickBot="1">
      <c r="A89" s="155" t="s">
        <v>1147</v>
      </c>
      <c r="B89" s="155" t="s">
        <v>1148</v>
      </c>
      <c r="D89" s="156">
        <f t="shared" ref="D89:O89" si="25">D81+D64+D46</f>
        <v>6497674</v>
      </c>
      <c r="E89" s="156">
        <f t="shared" si="25"/>
        <v>6743744</v>
      </c>
      <c r="F89" s="156">
        <f t="shared" si="25"/>
        <v>6211856</v>
      </c>
      <c r="G89" s="156">
        <f t="shared" si="25"/>
        <v>6261509</v>
      </c>
      <c r="H89" s="156">
        <f t="shared" si="25"/>
        <v>6223304</v>
      </c>
      <c r="I89" s="156">
        <f t="shared" si="25"/>
        <v>6839958</v>
      </c>
      <c r="J89" s="156">
        <f t="shared" si="25"/>
        <v>6974336</v>
      </c>
      <c r="K89" s="156">
        <f t="shared" si="25"/>
        <v>7502206</v>
      </c>
      <c r="L89" s="156">
        <f t="shared" si="25"/>
        <v>7435736</v>
      </c>
      <c r="M89" s="156">
        <f t="shared" si="25"/>
        <v>7651856</v>
      </c>
      <c r="N89" s="156">
        <f t="shared" si="25"/>
        <v>7680398</v>
      </c>
      <c r="O89" s="156">
        <f t="shared" si="25"/>
        <v>7750661</v>
      </c>
      <c r="P89" s="156">
        <f t="shared" ref="P89:V89" si="26">P81+P64+P46</f>
        <v>7361389</v>
      </c>
      <c r="Q89" s="156">
        <f t="shared" si="26"/>
        <v>8212737</v>
      </c>
      <c r="R89" s="156">
        <f t="shared" si="26"/>
        <v>8252299</v>
      </c>
      <c r="S89" s="156">
        <f t="shared" si="26"/>
        <v>8602979</v>
      </c>
      <c r="T89" s="156">
        <f t="shared" si="26"/>
        <v>8930239</v>
      </c>
      <c r="U89" s="156">
        <f t="shared" si="26"/>
        <v>9997536</v>
      </c>
      <c r="V89" s="156">
        <f t="shared" si="26"/>
        <v>10063944</v>
      </c>
      <c r="W89" s="156">
        <f>W81+W64+W46</f>
        <v>10997561</v>
      </c>
    </row>
    <row r="90" spans="1:23">
      <c r="D90" s="167">
        <f t="shared" ref="D90:O90" si="27">D89-D43</f>
        <v>0</v>
      </c>
      <c r="E90" s="167">
        <f t="shared" si="27"/>
        <v>0</v>
      </c>
      <c r="F90" s="167">
        <f t="shared" si="27"/>
        <v>0</v>
      </c>
      <c r="G90" s="167">
        <f t="shared" si="27"/>
        <v>0</v>
      </c>
      <c r="H90" s="167">
        <f t="shared" si="27"/>
        <v>0</v>
      </c>
      <c r="I90" s="167">
        <f t="shared" si="27"/>
        <v>0</v>
      </c>
      <c r="J90" s="167">
        <f t="shared" si="27"/>
        <v>0</v>
      </c>
      <c r="K90" s="167">
        <f t="shared" si="27"/>
        <v>0</v>
      </c>
      <c r="L90" s="167">
        <f t="shared" si="27"/>
        <v>0</v>
      </c>
      <c r="M90" s="167">
        <f t="shared" si="27"/>
        <v>0</v>
      </c>
      <c r="N90" s="167">
        <f t="shared" si="27"/>
        <v>0</v>
      </c>
      <c r="O90" s="167">
        <f t="shared" si="27"/>
        <v>0</v>
      </c>
      <c r="P90" s="167">
        <f t="shared" ref="P90:V90" si="28">P89-P43</f>
        <v>0</v>
      </c>
      <c r="Q90" s="167">
        <f t="shared" si="28"/>
        <v>0</v>
      </c>
      <c r="R90" s="167">
        <f t="shared" si="28"/>
        <v>0</v>
      </c>
      <c r="S90" s="167">
        <f t="shared" si="28"/>
        <v>0</v>
      </c>
      <c r="T90" s="167">
        <f t="shared" si="28"/>
        <v>0</v>
      </c>
      <c r="U90" s="167">
        <f t="shared" si="28"/>
        <v>0</v>
      </c>
      <c r="V90" s="167">
        <f t="shared" si="28"/>
        <v>0</v>
      </c>
      <c r="W90" s="167">
        <f>W89-W43</f>
        <v>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theme="9" tint="0.79998168889431442"/>
  </sheetPr>
  <dimension ref="A6:T76"/>
  <sheetViews>
    <sheetView showGridLines="0" zoomScale="90" zoomScaleNormal="90" workbookViewId="0">
      <pane xSplit="2" topLeftCell="C1" activePane="topRight" state="frozen"/>
      <selection activeCell="BB24" sqref="BB24"/>
      <selection pane="topRight" activeCell="T76" sqref="T76"/>
    </sheetView>
  </sheetViews>
  <sheetFormatPr defaultColWidth="9.21875" defaultRowHeight="14.4"/>
  <cols>
    <col min="1" max="2" width="47.5546875" style="35" customWidth="1"/>
    <col min="3" max="3" width="0.5546875" customWidth="1"/>
    <col min="4" max="20" width="9.5546875" style="35" bestFit="1" customWidth="1"/>
    <col min="21" max="16384" width="9.21875" style="35"/>
  </cols>
  <sheetData>
    <row r="6" spans="1:20">
      <c r="A6" s="38" t="s">
        <v>122</v>
      </c>
      <c r="B6" s="38" t="s">
        <v>122</v>
      </c>
      <c r="C6" s="111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</row>
    <row r="7" spans="1:20" ht="15" thickBot="1">
      <c r="A7" s="6" t="s">
        <v>1049</v>
      </c>
      <c r="B7" s="6" t="s">
        <v>1050</v>
      </c>
      <c r="C7" s="146"/>
      <c r="D7" s="434" t="s">
        <v>76</v>
      </c>
      <c r="E7" s="434" t="s">
        <v>77</v>
      </c>
      <c r="F7" s="434" t="s">
        <v>78</v>
      </c>
      <c r="G7" s="434" t="s">
        <v>79</v>
      </c>
      <c r="H7" s="434" t="s">
        <v>80</v>
      </c>
      <c r="I7" s="434" t="s">
        <v>81</v>
      </c>
      <c r="J7" s="434" t="s">
        <v>82</v>
      </c>
      <c r="K7" s="434" t="s">
        <v>83</v>
      </c>
      <c r="L7" s="434" t="s">
        <v>84</v>
      </c>
      <c r="M7" s="434" t="s">
        <v>85</v>
      </c>
      <c r="N7" s="434" t="s">
        <v>86</v>
      </c>
      <c r="O7" s="434" t="s">
        <v>87</v>
      </c>
      <c r="P7" s="434" t="s">
        <v>88</v>
      </c>
      <c r="Q7" s="434" t="s">
        <v>2074</v>
      </c>
      <c r="R7" s="434" t="s">
        <v>2127</v>
      </c>
      <c r="S7" s="434" t="s">
        <v>2360</v>
      </c>
      <c r="T7" s="434" t="s">
        <v>2494</v>
      </c>
    </row>
    <row r="8" spans="1:20" ht="15" thickBot="1">
      <c r="A8" s="147" t="s">
        <v>1051</v>
      </c>
      <c r="B8" s="147" t="s">
        <v>1052</v>
      </c>
      <c r="C8" s="148"/>
      <c r="D8" s="149">
        <f t="shared" ref="D8:P8" si="0">SUM(D9:D21)</f>
        <v>1114917</v>
      </c>
      <c r="E8" s="149">
        <f t="shared" si="0"/>
        <v>623544</v>
      </c>
      <c r="F8" s="149">
        <f t="shared" si="0"/>
        <v>561543</v>
      </c>
      <c r="G8" s="149">
        <f t="shared" si="0"/>
        <v>685697</v>
      </c>
      <c r="H8" s="149">
        <f t="shared" si="0"/>
        <v>559430</v>
      </c>
      <c r="I8" s="149">
        <f t="shared" si="0"/>
        <v>589061</v>
      </c>
      <c r="J8" s="149">
        <f t="shared" si="0"/>
        <v>930989</v>
      </c>
      <c r="K8" s="149">
        <f t="shared" si="0"/>
        <v>725368</v>
      </c>
      <c r="L8" s="149">
        <f t="shared" si="0"/>
        <v>995640</v>
      </c>
      <c r="M8" s="149">
        <f t="shared" si="0"/>
        <v>1266382</v>
      </c>
      <c r="N8" s="149">
        <f t="shared" si="0"/>
        <v>1576754</v>
      </c>
      <c r="O8" s="149">
        <f t="shared" si="0"/>
        <v>1159274</v>
      </c>
      <c r="P8" s="149">
        <f t="shared" si="0"/>
        <v>1096128</v>
      </c>
      <c r="Q8" s="149">
        <f t="shared" ref="Q8:S8" si="1">SUM(Q9:Q21)</f>
        <v>1505591</v>
      </c>
      <c r="R8" s="149">
        <f t="shared" si="1"/>
        <v>1266795</v>
      </c>
      <c r="S8" s="149">
        <f t="shared" si="1"/>
        <v>1023718</v>
      </c>
      <c r="T8" s="149">
        <f>SUM(T9:T21)</f>
        <v>1372160</v>
      </c>
    </row>
    <row r="9" spans="1:20">
      <c r="A9" s="151" t="s">
        <v>1053</v>
      </c>
      <c r="B9" s="151" t="s">
        <v>1054</v>
      </c>
      <c r="C9" s="152"/>
      <c r="D9" s="167">
        <v>46736</v>
      </c>
      <c r="E9" s="167">
        <v>26665</v>
      </c>
      <c r="F9" s="167">
        <v>25620</v>
      </c>
      <c r="G9" s="167">
        <v>3976</v>
      </c>
      <c r="H9" s="167">
        <v>16737</v>
      </c>
      <c r="I9" s="167">
        <v>53810</v>
      </c>
      <c r="J9" s="167">
        <v>48700</v>
      </c>
      <c r="K9" s="167">
        <v>75413</v>
      </c>
      <c r="L9" s="167">
        <v>10101</v>
      </c>
      <c r="M9" s="167">
        <v>51574</v>
      </c>
      <c r="N9" s="167">
        <v>83347</v>
      </c>
      <c r="O9" s="167">
        <v>38995</v>
      </c>
      <c r="P9" s="167">
        <v>57822</v>
      </c>
      <c r="Q9" s="167">
        <v>59228</v>
      </c>
      <c r="R9" s="167">
        <v>72766</v>
      </c>
      <c r="S9" s="167">
        <v>164246</v>
      </c>
      <c r="T9" s="167">
        <v>531060</v>
      </c>
    </row>
    <row r="10" spans="1:20">
      <c r="A10" s="151" t="s">
        <v>1184</v>
      </c>
      <c r="B10" s="151" t="s">
        <v>1056</v>
      </c>
      <c r="C10" s="152"/>
      <c r="D10" s="167">
        <v>767369</v>
      </c>
      <c r="E10" s="167">
        <v>326635</v>
      </c>
      <c r="F10" s="167">
        <v>112091</v>
      </c>
      <c r="G10" s="167">
        <v>260595</v>
      </c>
      <c r="H10" s="167">
        <v>107154</v>
      </c>
      <c r="I10" s="167">
        <v>99597</v>
      </c>
      <c r="J10" s="167">
        <v>438904</v>
      </c>
      <c r="K10" s="167">
        <v>198584</v>
      </c>
      <c r="L10" s="167">
        <v>458859</v>
      </c>
      <c r="M10" s="167">
        <v>733235</v>
      </c>
      <c r="N10" s="167">
        <v>878538</v>
      </c>
      <c r="O10" s="167">
        <v>529513</v>
      </c>
      <c r="P10" s="167">
        <v>439079</v>
      </c>
      <c r="Q10" s="167">
        <v>784054</v>
      </c>
      <c r="R10" s="167">
        <v>619767</v>
      </c>
      <c r="S10" s="167">
        <v>236119</v>
      </c>
      <c r="T10" s="167">
        <v>217118</v>
      </c>
    </row>
    <row r="11" spans="1:20">
      <c r="A11" s="151" t="s">
        <v>1057</v>
      </c>
      <c r="B11" s="151" t="s">
        <v>1058</v>
      </c>
      <c r="C11" s="152"/>
      <c r="D11" s="167">
        <v>294395</v>
      </c>
      <c r="E11" s="167">
        <v>201812</v>
      </c>
      <c r="F11" s="167">
        <v>251208</v>
      </c>
      <c r="G11" s="167">
        <v>271599</v>
      </c>
      <c r="H11" s="167">
        <v>302883.00000000006</v>
      </c>
      <c r="I11" s="167">
        <v>306057</v>
      </c>
      <c r="J11" s="167">
        <v>335823</v>
      </c>
      <c r="K11" s="167">
        <v>323989</v>
      </c>
      <c r="L11" s="167">
        <v>327234</v>
      </c>
      <c r="M11" s="167">
        <v>347219</v>
      </c>
      <c r="N11" s="167">
        <v>353355</v>
      </c>
      <c r="O11" s="167">
        <v>322550</v>
      </c>
      <c r="P11" s="167">
        <v>386190</v>
      </c>
      <c r="Q11" s="167">
        <v>404899</v>
      </c>
      <c r="R11" s="167">
        <v>404929</v>
      </c>
      <c r="S11" s="167">
        <v>371117</v>
      </c>
      <c r="T11" s="167">
        <v>392286</v>
      </c>
    </row>
    <row r="12" spans="1:20">
      <c r="A12" s="151" t="s">
        <v>1212</v>
      </c>
      <c r="B12" s="151" t="s">
        <v>1219</v>
      </c>
      <c r="C12" s="152"/>
      <c r="D12" s="167">
        <v>1672</v>
      </c>
      <c r="E12" s="167"/>
      <c r="F12" s="167"/>
      <c r="G12" s="167"/>
      <c r="H12" s="167">
        <v>0</v>
      </c>
      <c r="I12" s="167"/>
      <c r="J12" s="167"/>
      <c r="K12" s="167"/>
      <c r="L12" s="167"/>
      <c r="M12" s="167"/>
      <c r="N12" s="167"/>
      <c r="O12" s="167"/>
      <c r="P12" s="167"/>
      <c r="Q12" s="167"/>
      <c r="R12" s="167"/>
      <c r="S12" s="167"/>
      <c r="T12" s="167"/>
    </row>
    <row r="13" spans="1:20">
      <c r="A13" s="151" t="s">
        <v>1150</v>
      </c>
      <c r="B13" s="151" t="s">
        <v>1151</v>
      </c>
      <c r="C13" s="152"/>
      <c r="D13" s="167">
        <v>-91311</v>
      </c>
      <c r="E13" s="167"/>
      <c r="F13" s="167"/>
      <c r="G13" s="167"/>
      <c r="H13" s="167">
        <v>0</v>
      </c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</row>
    <row r="14" spans="1:20">
      <c r="A14" s="151" t="s">
        <v>1066</v>
      </c>
      <c r="B14" s="151" t="s">
        <v>1067</v>
      </c>
      <c r="C14" s="152"/>
      <c r="D14" s="167"/>
      <c r="E14" s="167"/>
      <c r="F14" s="167">
        <v>11354</v>
      </c>
      <c r="G14" s="167">
        <v>9232</v>
      </c>
      <c r="H14" s="167">
        <v>8460</v>
      </c>
      <c r="I14" s="167">
        <v>9827</v>
      </c>
      <c r="J14" s="167">
        <v>10364</v>
      </c>
      <c r="K14" s="167">
        <v>10710</v>
      </c>
      <c r="L14" s="167">
        <v>10302</v>
      </c>
      <c r="M14" s="167">
        <v>16049</v>
      </c>
      <c r="N14" s="167">
        <v>11347</v>
      </c>
      <c r="O14" s="167">
        <v>10138</v>
      </c>
      <c r="P14" s="167">
        <v>11768</v>
      </c>
      <c r="Q14" s="167">
        <v>12450</v>
      </c>
      <c r="R14" s="167">
        <v>8790</v>
      </c>
      <c r="S14" s="167">
        <v>3578</v>
      </c>
      <c r="T14" s="167">
        <v>11247</v>
      </c>
    </row>
    <row r="15" spans="1:20">
      <c r="A15" s="151" t="s">
        <v>1203</v>
      </c>
      <c r="B15" s="151" t="s">
        <v>1064</v>
      </c>
      <c r="C15" s="152"/>
      <c r="D15" s="167">
        <v>4285</v>
      </c>
      <c r="E15" s="167">
        <v>7246</v>
      </c>
      <c r="F15" s="167">
        <v>8029</v>
      </c>
      <c r="G15" s="167">
        <v>8758</v>
      </c>
      <c r="H15" s="167">
        <v>7094</v>
      </c>
      <c r="I15" s="167">
        <v>11434</v>
      </c>
      <c r="J15" s="167">
        <v>25835</v>
      </c>
      <c r="K15" s="167">
        <v>19671</v>
      </c>
      <c r="L15" s="167">
        <v>24943</v>
      </c>
      <c r="M15" s="167">
        <v>28633</v>
      </c>
      <c r="N15" s="167">
        <v>37205</v>
      </c>
      <c r="O15" s="167">
        <v>40427</v>
      </c>
      <c r="P15" s="167">
        <v>37609</v>
      </c>
      <c r="Q15" s="167">
        <v>36360</v>
      </c>
      <c r="R15" s="167">
        <v>34576</v>
      </c>
      <c r="S15" s="167">
        <v>29035</v>
      </c>
      <c r="T15" s="167">
        <v>28387</v>
      </c>
    </row>
    <row r="16" spans="1:20">
      <c r="A16" s="151" t="s">
        <v>1152</v>
      </c>
      <c r="B16" s="151" t="s">
        <v>1071</v>
      </c>
      <c r="C16" s="152"/>
      <c r="D16" s="167">
        <v>2023</v>
      </c>
      <c r="E16" s="167"/>
      <c r="F16" s="167"/>
      <c r="G16" s="167"/>
      <c r="H16" s="167">
        <v>1347</v>
      </c>
      <c r="I16" s="167">
        <v>4420</v>
      </c>
      <c r="J16" s="167">
        <v>15495</v>
      </c>
      <c r="K16" s="167">
        <v>36504</v>
      </c>
      <c r="L16" s="167">
        <v>79436</v>
      </c>
      <c r="M16" s="167">
        <v>1349</v>
      </c>
      <c r="N16" s="167">
        <v>0</v>
      </c>
      <c r="O16" s="167">
        <v>0</v>
      </c>
      <c r="P16" s="167"/>
      <c r="Q16" s="167">
        <v>64244</v>
      </c>
      <c r="R16" s="167">
        <v>0</v>
      </c>
      <c r="S16" s="167">
        <v>38971</v>
      </c>
      <c r="T16" s="167">
        <v>15533</v>
      </c>
    </row>
    <row r="17" spans="1:20">
      <c r="A17" s="151" t="s">
        <v>1214</v>
      </c>
      <c r="B17" s="151" t="s">
        <v>1075</v>
      </c>
      <c r="C17" s="152"/>
      <c r="D17" s="167">
        <v>2004</v>
      </c>
      <c r="E17" s="167">
        <v>4211</v>
      </c>
      <c r="F17" s="167">
        <v>5005</v>
      </c>
      <c r="G17" s="167">
        <v>5509</v>
      </c>
      <c r="H17" s="167">
        <v>5149</v>
      </c>
      <c r="I17" s="167">
        <v>6633</v>
      </c>
      <c r="J17" s="167">
        <v>5469</v>
      </c>
      <c r="K17" s="167">
        <v>6030</v>
      </c>
      <c r="L17" s="167">
        <v>6280</v>
      </c>
      <c r="M17" s="167">
        <v>6916</v>
      </c>
      <c r="N17" s="167">
        <v>7652</v>
      </c>
      <c r="O17" s="167">
        <v>7689</v>
      </c>
      <c r="P17" s="167">
        <v>8295</v>
      </c>
      <c r="Q17" s="167">
        <v>9940</v>
      </c>
      <c r="R17" s="167">
        <v>9321</v>
      </c>
      <c r="S17" s="167">
        <v>9648</v>
      </c>
      <c r="T17" s="167">
        <v>14069</v>
      </c>
    </row>
    <row r="18" spans="1:20">
      <c r="A18" s="151" t="s">
        <v>1076</v>
      </c>
      <c r="B18" s="151" t="s">
        <v>1077</v>
      </c>
      <c r="C18" s="152"/>
      <c r="D18" s="167">
        <v>13709</v>
      </c>
      <c r="E18" s="167">
        <v>33399</v>
      </c>
      <c r="F18" s="167">
        <v>85585</v>
      </c>
      <c r="G18" s="167">
        <v>83722</v>
      </c>
      <c r="H18" s="167">
        <v>66939</v>
      </c>
      <c r="I18" s="167">
        <v>19811</v>
      </c>
      <c r="J18" s="167">
        <v>9126</v>
      </c>
      <c r="K18" s="167">
        <v>9183</v>
      </c>
      <c r="L18" s="167">
        <v>19509</v>
      </c>
      <c r="M18" s="167">
        <v>25271</v>
      </c>
      <c r="N18" s="167">
        <v>47494</v>
      </c>
      <c r="O18" s="167">
        <v>45326</v>
      </c>
      <c r="P18" s="167">
        <v>40740</v>
      </c>
      <c r="Q18" s="167">
        <v>37416</v>
      </c>
      <c r="R18" s="167">
        <v>38208</v>
      </c>
      <c r="S18" s="167">
        <v>48363</v>
      </c>
      <c r="T18" s="167">
        <v>35367</v>
      </c>
    </row>
    <row r="19" spans="1:20">
      <c r="A19" s="151" t="s">
        <v>1078</v>
      </c>
      <c r="B19" s="151" t="s">
        <v>1079</v>
      </c>
      <c r="C19" s="152"/>
      <c r="D19" s="167">
        <v>12875</v>
      </c>
      <c r="E19" s="167">
        <v>16939</v>
      </c>
      <c r="F19" s="167">
        <v>31911</v>
      </c>
      <c r="G19" s="167">
        <v>11604</v>
      </c>
      <c r="H19" s="167">
        <v>11707</v>
      </c>
      <c r="I19" s="167">
        <v>20423</v>
      </c>
      <c r="J19" s="167">
        <v>20625</v>
      </c>
      <c r="K19" s="167">
        <v>23569</v>
      </c>
      <c r="L19" s="167">
        <v>25479</v>
      </c>
      <c r="M19" s="167">
        <v>17398</v>
      </c>
      <c r="N19" s="167">
        <v>21605</v>
      </c>
      <c r="O19" s="167">
        <v>33258</v>
      </c>
      <c r="P19" s="167">
        <v>40422</v>
      </c>
      <c r="Q19" s="167">
        <v>43078</v>
      </c>
      <c r="R19" s="167">
        <v>28408</v>
      </c>
      <c r="S19" s="167">
        <v>41257</v>
      </c>
      <c r="T19" s="167">
        <v>57925</v>
      </c>
    </row>
    <row r="20" spans="1:20">
      <c r="A20" s="151" t="s">
        <v>1072</v>
      </c>
      <c r="B20" s="151" t="s">
        <v>1073</v>
      </c>
      <c r="C20" s="152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>
        <v>33966</v>
      </c>
      <c r="O20" s="167">
        <v>29360</v>
      </c>
      <c r="P20" s="167">
        <v>5259</v>
      </c>
      <c r="Q20" s="167"/>
      <c r="R20" s="167">
        <v>8244</v>
      </c>
      <c r="S20" s="167">
        <v>0</v>
      </c>
      <c r="T20" s="167">
        <v>0</v>
      </c>
    </row>
    <row r="21" spans="1:20" ht="15" thickBot="1">
      <c r="A21" s="151" t="s">
        <v>1080</v>
      </c>
      <c r="B21" s="151" t="s">
        <v>96</v>
      </c>
      <c r="C21" s="152"/>
      <c r="D21" s="167">
        <v>61160</v>
      </c>
      <c r="E21" s="167">
        <v>6637</v>
      </c>
      <c r="F21" s="167">
        <v>30740</v>
      </c>
      <c r="G21" s="167">
        <v>30702</v>
      </c>
      <c r="H21" s="167">
        <v>31960</v>
      </c>
      <c r="I21" s="167">
        <v>57049</v>
      </c>
      <c r="J21" s="167">
        <v>20648</v>
      </c>
      <c r="K21" s="167">
        <v>21715</v>
      </c>
      <c r="L21" s="167">
        <v>33497</v>
      </c>
      <c r="M21" s="167">
        <v>38738</v>
      </c>
      <c r="N21" s="167">
        <v>102245</v>
      </c>
      <c r="O21" s="167">
        <v>102018</v>
      </c>
      <c r="P21" s="167">
        <v>68944</v>
      </c>
      <c r="Q21" s="167">
        <v>53922</v>
      </c>
      <c r="R21" s="167">
        <v>41786</v>
      </c>
      <c r="S21" s="167">
        <v>81384</v>
      </c>
      <c r="T21" s="167">
        <v>69168</v>
      </c>
    </row>
    <row r="22" spans="1:20" ht="15" thickBot="1">
      <c r="A22" s="155" t="s">
        <v>1081</v>
      </c>
      <c r="B22" s="155" t="s">
        <v>1082</v>
      </c>
      <c r="C22" s="148"/>
      <c r="D22" s="156">
        <f t="shared" ref="D22:I22" si="2">D23+D32</f>
        <v>567015</v>
      </c>
      <c r="E22" s="156">
        <f t="shared" si="2"/>
        <v>801854</v>
      </c>
      <c r="F22" s="156">
        <f t="shared" si="2"/>
        <v>860877</v>
      </c>
      <c r="G22" s="156">
        <f t="shared" si="2"/>
        <v>965252</v>
      </c>
      <c r="H22" s="156">
        <f t="shared" si="2"/>
        <v>1101021</v>
      </c>
      <c r="I22" s="156">
        <f t="shared" si="2"/>
        <v>1204407</v>
      </c>
      <c r="J22" s="156">
        <f t="shared" ref="J22:P22" si="3">J23+J32</f>
        <v>1277949</v>
      </c>
      <c r="K22" s="156">
        <f t="shared" si="3"/>
        <v>1344989</v>
      </c>
      <c r="L22" s="156">
        <f t="shared" si="3"/>
        <v>1497313</v>
      </c>
      <c r="M22" s="156">
        <f t="shared" si="3"/>
        <v>1475703</v>
      </c>
      <c r="N22" s="156">
        <f t="shared" si="3"/>
        <v>1670970</v>
      </c>
      <c r="O22" s="156">
        <f t="shared" si="3"/>
        <v>1666635</v>
      </c>
      <c r="P22" s="156">
        <f t="shared" si="3"/>
        <v>1714879</v>
      </c>
      <c r="Q22" s="156">
        <f t="shared" ref="Q22:S22" si="4">Q23+Q32</f>
        <v>1717229</v>
      </c>
      <c r="R22" s="156">
        <f t="shared" si="4"/>
        <v>1805177</v>
      </c>
      <c r="S22" s="156">
        <f t="shared" si="4"/>
        <v>1743548</v>
      </c>
      <c r="T22" s="156">
        <f>T23+T32</f>
        <v>1951915</v>
      </c>
    </row>
    <row r="23" spans="1:20" ht="15" thickBot="1">
      <c r="A23" s="155" t="s">
        <v>1158</v>
      </c>
      <c r="B23" s="155" t="s">
        <v>1159</v>
      </c>
      <c r="C23" s="148"/>
      <c r="D23" s="156">
        <f t="shared" ref="D23:I23" si="5">SUM(D24:D31)</f>
        <v>181901</v>
      </c>
      <c r="E23" s="156">
        <f t="shared" si="5"/>
        <v>236047</v>
      </c>
      <c r="F23" s="156">
        <f t="shared" si="5"/>
        <v>170484</v>
      </c>
      <c r="G23" s="156">
        <f t="shared" si="5"/>
        <v>179740</v>
      </c>
      <c r="H23" s="156">
        <f t="shared" si="5"/>
        <v>227564</v>
      </c>
      <c r="I23" s="156">
        <f t="shared" si="5"/>
        <v>242164</v>
      </c>
      <c r="J23" s="156">
        <f t="shared" ref="J23:P23" si="6">SUM(J24:J31)</f>
        <v>248575</v>
      </c>
      <c r="K23" s="156">
        <f t="shared" si="6"/>
        <v>281859</v>
      </c>
      <c r="L23" s="156">
        <f t="shared" si="6"/>
        <v>365541</v>
      </c>
      <c r="M23" s="156">
        <f t="shared" si="6"/>
        <v>294361</v>
      </c>
      <c r="N23" s="156">
        <f t="shared" si="6"/>
        <v>401279</v>
      </c>
      <c r="O23" s="156">
        <f t="shared" si="6"/>
        <v>340635</v>
      </c>
      <c r="P23" s="156">
        <f t="shared" si="6"/>
        <v>317208</v>
      </c>
      <c r="Q23" s="156">
        <f t="shared" ref="Q23:S23" si="7">SUM(Q24:Q31)</f>
        <v>290551</v>
      </c>
      <c r="R23" s="156">
        <f t="shared" si="7"/>
        <v>400615</v>
      </c>
      <c r="S23" s="156">
        <f t="shared" si="7"/>
        <v>263801</v>
      </c>
      <c r="T23" s="156">
        <f>SUM(T24:T31)</f>
        <v>450002</v>
      </c>
    </row>
    <row r="24" spans="1:20">
      <c r="A24" s="151" t="s">
        <v>1057</v>
      </c>
      <c r="B24" s="151" t="s">
        <v>1058</v>
      </c>
      <c r="C24" s="152"/>
      <c r="D24" s="167">
        <v>49407</v>
      </c>
      <c r="E24" s="167">
        <v>54608</v>
      </c>
      <c r="F24" s="167">
        <v>51482</v>
      </c>
      <c r="G24" s="167">
        <v>52999</v>
      </c>
      <c r="H24" s="167">
        <v>54580</v>
      </c>
      <c r="I24" s="167">
        <v>65534</v>
      </c>
      <c r="J24" s="167">
        <v>62145</v>
      </c>
      <c r="K24" s="167">
        <v>65154</v>
      </c>
      <c r="L24" s="167">
        <v>71030</v>
      </c>
      <c r="M24" s="167">
        <v>70365</v>
      </c>
      <c r="N24" s="167">
        <v>71057</v>
      </c>
      <c r="O24" s="167">
        <v>67753</v>
      </c>
      <c r="P24" s="167">
        <v>65995</v>
      </c>
      <c r="Q24" s="167">
        <v>49613</v>
      </c>
      <c r="R24" s="167">
        <v>47920</v>
      </c>
      <c r="S24" s="167">
        <v>49197</v>
      </c>
      <c r="T24" s="167">
        <v>48731</v>
      </c>
    </row>
    <row r="25" spans="1:20">
      <c r="A25" s="151" t="s">
        <v>1068</v>
      </c>
      <c r="B25" s="151" t="s">
        <v>1069</v>
      </c>
      <c r="C25" s="152"/>
      <c r="D25" s="167">
        <v>3457</v>
      </c>
      <c r="E25" s="167">
        <v>3673</v>
      </c>
      <c r="F25" s="167">
        <v>3748</v>
      </c>
      <c r="G25" s="167">
        <v>3866</v>
      </c>
      <c r="H25" s="167">
        <v>3423</v>
      </c>
      <c r="I25" s="167">
        <v>3639</v>
      </c>
      <c r="J25" s="167">
        <v>3180</v>
      </c>
      <c r="K25" s="167">
        <v>9450</v>
      </c>
      <c r="L25" s="167">
        <v>11594</v>
      </c>
      <c r="M25" s="167">
        <v>7156</v>
      </c>
      <c r="N25" s="167">
        <v>7773</v>
      </c>
      <c r="O25" s="167">
        <v>8657</v>
      </c>
      <c r="P25" s="167">
        <v>8472</v>
      </c>
      <c r="Q25" s="167">
        <v>8870</v>
      </c>
      <c r="R25" s="167">
        <v>7356</v>
      </c>
      <c r="S25" s="167">
        <v>7448</v>
      </c>
      <c r="T25" s="167">
        <v>7845</v>
      </c>
    </row>
    <row r="26" spans="1:20">
      <c r="A26" s="151" t="s">
        <v>1220</v>
      </c>
      <c r="B26" s="151" t="s">
        <v>1221</v>
      </c>
      <c r="C26" s="152"/>
      <c r="D26" s="167"/>
      <c r="E26" s="167"/>
      <c r="F26" s="167"/>
      <c r="G26" s="167"/>
      <c r="H26" s="167"/>
      <c r="I26" s="167"/>
      <c r="J26" s="167"/>
      <c r="K26" s="167">
        <v>20735</v>
      </c>
      <c r="L26" s="167">
        <v>64273</v>
      </c>
      <c r="M26" s="167">
        <v>0</v>
      </c>
      <c r="N26" s="167">
        <v>72652</v>
      </c>
      <c r="O26" s="167">
        <v>70069</v>
      </c>
      <c r="P26" s="167">
        <v>45322</v>
      </c>
      <c r="Q26" s="167">
        <v>25009</v>
      </c>
      <c r="R26" s="167">
        <v>127139</v>
      </c>
      <c r="S26" s="167">
        <v>0</v>
      </c>
      <c r="T26" s="167">
        <v>161701</v>
      </c>
    </row>
    <row r="27" spans="1:20">
      <c r="A27" s="151" t="s">
        <v>1063</v>
      </c>
      <c r="B27" s="151" t="s">
        <v>1222</v>
      </c>
      <c r="C27" s="152"/>
      <c r="D27" s="167"/>
      <c r="E27" s="167"/>
      <c r="F27" s="167"/>
      <c r="G27" s="167"/>
      <c r="H27" s="167"/>
      <c r="I27" s="167"/>
      <c r="J27" s="167"/>
      <c r="K27" s="167">
        <v>7221</v>
      </c>
      <c r="L27" s="167">
        <v>7248</v>
      </c>
      <c r="M27" s="167">
        <v>7267</v>
      </c>
      <c r="N27" s="167">
        <v>4270</v>
      </c>
      <c r="O27" s="167">
        <v>4300</v>
      </c>
      <c r="P27" s="167">
        <v>4417</v>
      </c>
      <c r="Q27" s="167">
        <v>4422</v>
      </c>
      <c r="R27" s="167">
        <v>5750</v>
      </c>
      <c r="S27" s="167">
        <v>5504</v>
      </c>
      <c r="T27" s="167">
        <v>5758</v>
      </c>
    </row>
    <row r="28" spans="1:20">
      <c r="A28" s="151" t="s">
        <v>1076</v>
      </c>
      <c r="B28" s="151" t="s">
        <v>1079</v>
      </c>
      <c r="C28" s="152"/>
      <c r="D28" s="167">
        <v>68499</v>
      </c>
      <c r="E28" s="167">
        <v>166444</v>
      </c>
      <c r="F28" s="167">
        <v>101674</v>
      </c>
      <c r="G28" s="167">
        <v>109468</v>
      </c>
      <c r="H28" s="167">
        <v>135387</v>
      </c>
      <c r="I28" s="167">
        <v>138657</v>
      </c>
      <c r="J28" s="167">
        <v>143879</v>
      </c>
      <c r="K28" s="167">
        <v>143975</v>
      </c>
      <c r="L28" s="167">
        <v>144709</v>
      </c>
      <c r="M28" s="167">
        <v>144236</v>
      </c>
      <c r="N28" s="167">
        <v>117026</v>
      </c>
      <c r="O28" s="167">
        <v>115822</v>
      </c>
      <c r="P28" s="167">
        <v>115830</v>
      </c>
      <c r="Q28" s="167">
        <v>118794</v>
      </c>
      <c r="R28" s="167">
        <v>110040</v>
      </c>
      <c r="S28" s="167">
        <v>96766</v>
      </c>
      <c r="T28" s="167">
        <v>47663</v>
      </c>
    </row>
    <row r="29" spans="1:20">
      <c r="A29" s="151" t="s">
        <v>1072</v>
      </c>
      <c r="B29" s="151" t="s">
        <v>1073</v>
      </c>
      <c r="C29" s="152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>
        <v>58125</v>
      </c>
      <c r="O29" s="167">
        <v>0</v>
      </c>
      <c r="P29" s="167"/>
      <c r="Q29" s="167"/>
      <c r="R29" s="167"/>
      <c r="S29" s="167"/>
      <c r="T29" s="167"/>
    </row>
    <row r="30" spans="1:20">
      <c r="A30" s="151" t="s">
        <v>1080</v>
      </c>
      <c r="B30" s="151" t="s">
        <v>96</v>
      </c>
      <c r="C30" s="152"/>
      <c r="D30" s="167">
        <v>49278</v>
      </c>
      <c r="E30" s="167">
        <v>199</v>
      </c>
      <c r="F30" s="167">
        <v>2748</v>
      </c>
      <c r="G30" s="167">
        <v>2044</v>
      </c>
      <c r="H30" s="167">
        <v>2036</v>
      </c>
      <c r="I30" s="167">
        <v>2059</v>
      </c>
      <c r="J30" s="167">
        <v>7329</v>
      </c>
      <c r="K30" s="167">
        <v>2663</v>
      </c>
      <c r="L30" s="167">
        <v>17034</v>
      </c>
      <c r="M30" s="167">
        <v>14630</v>
      </c>
      <c r="N30" s="167">
        <v>15088</v>
      </c>
      <c r="O30" s="167">
        <v>14459</v>
      </c>
      <c r="P30" s="167">
        <v>14472</v>
      </c>
      <c r="Q30" s="167">
        <v>14470</v>
      </c>
      <c r="R30" s="167">
        <v>15025</v>
      </c>
      <c r="S30" s="167">
        <v>14858</v>
      </c>
      <c r="T30" s="167">
        <v>60863</v>
      </c>
    </row>
    <row r="31" spans="1:20" ht="15" thickBot="1">
      <c r="A31" s="154" t="s">
        <v>1086</v>
      </c>
      <c r="B31" s="154" t="s">
        <v>1087</v>
      </c>
      <c r="C31" s="152"/>
      <c r="D31" s="167">
        <v>11260</v>
      </c>
      <c r="E31" s="167">
        <v>11123</v>
      </c>
      <c r="F31" s="167">
        <v>10832</v>
      </c>
      <c r="G31" s="167">
        <v>11363</v>
      </c>
      <c r="H31" s="167">
        <v>32137.999999999996</v>
      </c>
      <c r="I31" s="167">
        <v>32275</v>
      </c>
      <c r="J31" s="167">
        <v>32042</v>
      </c>
      <c r="K31" s="167">
        <v>32661</v>
      </c>
      <c r="L31" s="167">
        <v>49653</v>
      </c>
      <c r="M31" s="167">
        <v>50707</v>
      </c>
      <c r="N31" s="167">
        <v>55288</v>
      </c>
      <c r="O31" s="167">
        <v>59575</v>
      </c>
      <c r="P31" s="167">
        <v>62700</v>
      </c>
      <c r="Q31" s="167">
        <v>69373</v>
      </c>
      <c r="R31" s="167">
        <v>87385</v>
      </c>
      <c r="S31" s="167">
        <v>90028</v>
      </c>
      <c r="T31" s="167">
        <v>117441</v>
      </c>
    </row>
    <row r="32" spans="1:20" ht="15" thickBot="1">
      <c r="A32" s="155" t="s">
        <v>1164</v>
      </c>
      <c r="B32" s="155" t="s">
        <v>1165</v>
      </c>
      <c r="C32" s="148"/>
      <c r="D32" s="156">
        <f t="shared" ref="D32:P32" si="8">SUM(D33:D37)</f>
        <v>385114</v>
      </c>
      <c r="E32" s="156">
        <f t="shared" si="8"/>
        <v>565807</v>
      </c>
      <c r="F32" s="156">
        <f t="shared" si="8"/>
        <v>690393</v>
      </c>
      <c r="G32" s="156">
        <f t="shared" si="8"/>
        <v>785512</v>
      </c>
      <c r="H32" s="156">
        <f t="shared" si="8"/>
        <v>873457</v>
      </c>
      <c r="I32" s="156">
        <f t="shared" si="8"/>
        <v>962243</v>
      </c>
      <c r="J32" s="156">
        <f t="shared" si="8"/>
        <v>1029374</v>
      </c>
      <c r="K32" s="156">
        <f t="shared" si="8"/>
        <v>1063130</v>
      </c>
      <c r="L32" s="156">
        <f t="shared" si="8"/>
        <v>1131772</v>
      </c>
      <c r="M32" s="156">
        <f t="shared" si="8"/>
        <v>1181342</v>
      </c>
      <c r="N32" s="156">
        <f t="shared" si="8"/>
        <v>1269691</v>
      </c>
      <c r="O32" s="156">
        <f t="shared" si="8"/>
        <v>1326000</v>
      </c>
      <c r="P32" s="156">
        <f t="shared" si="8"/>
        <v>1397671</v>
      </c>
      <c r="Q32" s="156">
        <f t="shared" ref="Q32:S32" si="9">SUM(Q33:Q37)</f>
        <v>1426678</v>
      </c>
      <c r="R32" s="156">
        <f t="shared" si="9"/>
        <v>1404562</v>
      </c>
      <c r="S32" s="156">
        <f t="shared" si="9"/>
        <v>1479747</v>
      </c>
      <c r="T32" s="156">
        <f>SUM(T33:T37)</f>
        <v>1501913</v>
      </c>
    </row>
    <row r="33" spans="1:20">
      <c r="A33" s="151" t="s">
        <v>1088</v>
      </c>
      <c r="B33" s="151" t="s">
        <v>1089</v>
      </c>
      <c r="C33" s="152"/>
      <c r="D33" s="167"/>
      <c r="E33" s="167"/>
      <c r="F33" s="167"/>
      <c r="G33" s="167"/>
      <c r="H33" s="167">
        <v>0</v>
      </c>
      <c r="I33" s="167"/>
      <c r="J33" s="167"/>
      <c r="K33" s="167"/>
      <c r="L33" s="167">
        <v>0</v>
      </c>
      <c r="M33" s="167"/>
      <c r="N33" s="167"/>
      <c r="O33" s="167"/>
      <c r="P33" s="167"/>
      <c r="Q33" s="167"/>
      <c r="R33" s="167"/>
      <c r="S33" s="167"/>
      <c r="T33" s="167"/>
    </row>
    <row r="34" spans="1:20">
      <c r="A34" s="151" t="s">
        <v>1186</v>
      </c>
      <c r="B34" s="151" t="s">
        <v>1187</v>
      </c>
      <c r="C34" s="152"/>
      <c r="D34" s="167">
        <v>105956</v>
      </c>
      <c r="E34" s="167">
        <v>213828</v>
      </c>
      <c r="F34" s="167">
        <v>343432</v>
      </c>
      <c r="G34" s="167">
        <v>426233</v>
      </c>
      <c r="H34" s="167">
        <v>175470</v>
      </c>
      <c r="I34" s="167">
        <v>257810</v>
      </c>
      <c r="J34" s="167">
        <v>340975</v>
      </c>
      <c r="K34" s="167">
        <v>367768</v>
      </c>
      <c r="L34" s="167">
        <v>455415</v>
      </c>
      <c r="M34" s="167">
        <v>495373</v>
      </c>
      <c r="N34" s="167">
        <v>536685</v>
      </c>
      <c r="O34" s="167">
        <v>526352</v>
      </c>
      <c r="P34" s="167">
        <v>535734</v>
      </c>
      <c r="Q34" s="167">
        <v>479592</v>
      </c>
      <c r="R34" s="167">
        <v>350434</v>
      </c>
      <c r="S34" s="167">
        <v>400782</v>
      </c>
      <c r="T34" s="167">
        <v>103777</v>
      </c>
    </row>
    <row r="35" spans="1:20">
      <c r="A35" s="151" t="s">
        <v>1188</v>
      </c>
      <c r="B35" s="151" t="s">
        <v>1189</v>
      </c>
      <c r="C35" s="152"/>
      <c r="D35" s="167"/>
      <c r="E35" s="167"/>
      <c r="F35" s="167"/>
      <c r="G35" s="167"/>
      <c r="H35" s="167">
        <v>0</v>
      </c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</row>
    <row r="36" spans="1:20">
      <c r="A36" s="151" t="s">
        <v>1096</v>
      </c>
      <c r="B36" s="151" t="s">
        <v>1097</v>
      </c>
      <c r="C36" s="152"/>
      <c r="D36" s="167">
        <v>441</v>
      </c>
      <c r="E36" s="167"/>
      <c r="F36" s="167"/>
      <c r="G36" s="167"/>
      <c r="H36" s="167">
        <v>0</v>
      </c>
      <c r="I36" s="167"/>
      <c r="J36" s="167"/>
      <c r="K36" s="167"/>
      <c r="L36" s="167">
        <v>0</v>
      </c>
      <c r="M36" s="167"/>
      <c r="N36" s="167"/>
      <c r="O36" s="167"/>
      <c r="P36" s="167"/>
      <c r="Q36" s="167"/>
      <c r="R36" s="167"/>
      <c r="S36" s="167">
        <v>348</v>
      </c>
      <c r="T36" s="167">
        <v>330</v>
      </c>
    </row>
    <row r="37" spans="1:20" ht="15" thickBot="1">
      <c r="A37" s="151" t="s">
        <v>1092</v>
      </c>
      <c r="B37" s="151" t="s">
        <v>1093</v>
      </c>
      <c r="C37" s="152"/>
      <c r="D37" s="167">
        <v>278717</v>
      </c>
      <c r="E37" s="167">
        <v>351979</v>
      </c>
      <c r="F37" s="167">
        <v>346961</v>
      </c>
      <c r="G37" s="167">
        <v>359279</v>
      </c>
      <c r="H37" s="167">
        <v>697987</v>
      </c>
      <c r="I37" s="167">
        <v>704433</v>
      </c>
      <c r="J37" s="167">
        <v>688399</v>
      </c>
      <c r="K37" s="167">
        <v>695362</v>
      </c>
      <c r="L37" s="167">
        <v>676357</v>
      </c>
      <c r="M37" s="167">
        <v>685969</v>
      </c>
      <c r="N37" s="167">
        <v>733006</v>
      </c>
      <c r="O37" s="167">
        <v>799648</v>
      </c>
      <c r="P37" s="167">
        <v>861937</v>
      </c>
      <c r="Q37" s="167">
        <v>947086</v>
      </c>
      <c r="R37" s="167">
        <v>1054128</v>
      </c>
      <c r="S37" s="167">
        <v>1078617</v>
      </c>
      <c r="T37" s="167">
        <v>1397806</v>
      </c>
    </row>
    <row r="38" spans="1:20" ht="15" thickBot="1">
      <c r="A38" s="155" t="s">
        <v>1098</v>
      </c>
      <c r="B38" s="155" t="s">
        <v>1099</v>
      </c>
      <c r="C38" s="148"/>
      <c r="D38" s="156">
        <f t="shared" ref="D38:P38" si="10">D8+D22</f>
        <v>1681932</v>
      </c>
      <c r="E38" s="156">
        <f t="shared" si="10"/>
        <v>1425398</v>
      </c>
      <c r="F38" s="156">
        <f t="shared" si="10"/>
        <v>1422420</v>
      </c>
      <c r="G38" s="156">
        <f t="shared" si="10"/>
        <v>1650949</v>
      </c>
      <c r="H38" s="156">
        <f t="shared" si="10"/>
        <v>1660451</v>
      </c>
      <c r="I38" s="156">
        <f t="shared" si="10"/>
        <v>1793468</v>
      </c>
      <c r="J38" s="156">
        <f t="shared" si="10"/>
        <v>2208938</v>
      </c>
      <c r="K38" s="156">
        <f t="shared" si="10"/>
        <v>2070357</v>
      </c>
      <c r="L38" s="156">
        <f t="shared" si="10"/>
        <v>2492953</v>
      </c>
      <c r="M38" s="156">
        <f t="shared" si="10"/>
        <v>2742085</v>
      </c>
      <c r="N38" s="156">
        <f t="shared" si="10"/>
        <v>3247724</v>
      </c>
      <c r="O38" s="156">
        <f t="shared" si="10"/>
        <v>2825909</v>
      </c>
      <c r="P38" s="156">
        <f t="shared" si="10"/>
        <v>2811007</v>
      </c>
      <c r="Q38" s="156">
        <f t="shared" ref="Q38:S38" si="11">Q8+Q22</f>
        <v>3222820</v>
      </c>
      <c r="R38" s="156">
        <f t="shared" si="11"/>
        <v>3071972</v>
      </c>
      <c r="S38" s="156">
        <f t="shared" si="11"/>
        <v>2767266</v>
      </c>
      <c r="T38" s="156">
        <f>T8+T22</f>
        <v>3324075</v>
      </c>
    </row>
    <row r="39" spans="1:20">
      <c r="A39" s="151"/>
      <c r="B39" s="151"/>
      <c r="C39" s="152"/>
    </row>
    <row r="40" spans="1:20" ht="15" thickBot="1">
      <c r="A40" s="6" t="s">
        <v>1100</v>
      </c>
      <c r="B40" s="6" t="s">
        <v>1101</v>
      </c>
      <c r="C40" s="146"/>
      <c r="D40" s="434" t="str">
        <f>D7</f>
        <v>2T22</v>
      </c>
      <c r="E40" s="434" t="s">
        <v>77</v>
      </c>
      <c r="F40" s="434" t="str">
        <f>F7</f>
        <v>4T22</v>
      </c>
      <c r="G40" s="434" t="str">
        <f>G7</f>
        <v>1T23</v>
      </c>
      <c r="H40" s="434" t="s">
        <v>80</v>
      </c>
      <c r="I40" s="434" t="s">
        <v>81</v>
      </c>
      <c r="J40" s="434" t="s">
        <v>82</v>
      </c>
      <c r="K40" s="434" t="s">
        <v>83</v>
      </c>
      <c r="L40" s="434" t="s">
        <v>84</v>
      </c>
      <c r="M40" s="434" t="s">
        <v>85</v>
      </c>
      <c r="N40" s="434" t="s">
        <v>86</v>
      </c>
      <c r="O40" s="434" t="s">
        <v>87</v>
      </c>
      <c r="P40" s="434" t="str">
        <f>+P7</f>
        <v>2T25</v>
      </c>
      <c r="Q40" s="434" t="str">
        <f>+Q7</f>
        <v>3T25</v>
      </c>
      <c r="R40" s="434" t="str">
        <f>+R7</f>
        <v>4T25</v>
      </c>
      <c r="S40" s="434" t="str">
        <f>+S7</f>
        <v>1T26</v>
      </c>
      <c r="T40" s="434" t="str">
        <f>+T7</f>
        <v>2T26</v>
      </c>
    </row>
    <row r="41" spans="1:20" ht="15" thickBot="1">
      <c r="A41" s="147" t="s">
        <v>1051</v>
      </c>
      <c r="B41" s="147" t="s">
        <v>1052</v>
      </c>
      <c r="C41" s="148"/>
      <c r="D41" s="149">
        <f t="shared" ref="D41:P41" si="12">SUM(D42:D55)</f>
        <v>1166815</v>
      </c>
      <c r="E41" s="149">
        <f t="shared" si="12"/>
        <v>909935</v>
      </c>
      <c r="F41" s="149">
        <f t="shared" si="12"/>
        <v>916609</v>
      </c>
      <c r="G41" s="149">
        <f t="shared" si="12"/>
        <v>819420</v>
      </c>
      <c r="H41" s="149">
        <f t="shared" si="12"/>
        <v>855831</v>
      </c>
      <c r="I41" s="149">
        <f t="shared" si="12"/>
        <v>687116</v>
      </c>
      <c r="J41" s="149">
        <f t="shared" si="12"/>
        <v>607880</v>
      </c>
      <c r="K41" s="149">
        <f t="shared" si="12"/>
        <v>819292</v>
      </c>
      <c r="L41" s="149">
        <f t="shared" si="12"/>
        <v>873833</v>
      </c>
      <c r="M41" s="149">
        <f t="shared" si="12"/>
        <v>823666</v>
      </c>
      <c r="N41" s="149">
        <f t="shared" si="12"/>
        <v>1107508</v>
      </c>
      <c r="O41" s="149">
        <f t="shared" si="12"/>
        <v>1044641</v>
      </c>
      <c r="P41" s="149">
        <f t="shared" si="12"/>
        <v>1035333</v>
      </c>
      <c r="Q41" s="149">
        <f t="shared" ref="Q41:S41" si="13">SUM(Q42:Q55)</f>
        <v>1069104</v>
      </c>
      <c r="R41" s="149">
        <f t="shared" si="13"/>
        <v>1036710</v>
      </c>
      <c r="S41" s="149">
        <f t="shared" si="13"/>
        <v>725201</v>
      </c>
      <c r="T41" s="149">
        <f>SUM(T42:T55)</f>
        <v>765994</v>
      </c>
    </row>
    <row r="42" spans="1:20">
      <c r="A42" s="160" t="s">
        <v>1102</v>
      </c>
      <c r="B42" s="160" t="s">
        <v>1103</v>
      </c>
      <c r="C42" s="161"/>
      <c r="D42" s="167">
        <v>495853</v>
      </c>
      <c r="E42" s="167">
        <v>181959</v>
      </c>
      <c r="F42" s="167">
        <v>239868</v>
      </c>
      <c r="G42" s="167">
        <v>185019</v>
      </c>
      <c r="H42" s="167">
        <v>205453.99999999997</v>
      </c>
      <c r="I42" s="167">
        <v>182133</v>
      </c>
      <c r="J42" s="167">
        <v>201694</v>
      </c>
      <c r="K42" s="167">
        <v>163461</v>
      </c>
      <c r="L42" s="167">
        <v>165836</v>
      </c>
      <c r="M42" s="167">
        <v>166102</v>
      </c>
      <c r="N42" s="167">
        <v>182344</v>
      </c>
      <c r="O42" s="167">
        <v>162882</v>
      </c>
      <c r="P42" s="167">
        <v>183503</v>
      </c>
      <c r="Q42" s="167">
        <v>232690</v>
      </c>
      <c r="R42" s="167">
        <v>209082</v>
      </c>
      <c r="S42" s="167">
        <v>214464</v>
      </c>
      <c r="T42" s="167">
        <v>228091</v>
      </c>
    </row>
    <row r="43" spans="1:20">
      <c r="A43" s="160" t="s">
        <v>1104</v>
      </c>
      <c r="B43" s="160" t="s">
        <v>876</v>
      </c>
      <c r="C43" s="161"/>
      <c r="D43" s="167">
        <v>5037</v>
      </c>
      <c r="E43" s="167">
        <v>4832</v>
      </c>
      <c r="F43" s="167">
        <v>3617</v>
      </c>
      <c r="G43" s="167">
        <v>5036</v>
      </c>
      <c r="H43" s="167">
        <v>5241</v>
      </c>
      <c r="I43" s="167">
        <v>5752</v>
      </c>
      <c r="J43" s="167">
        <v>3939</v>
      </c>
      <c r="K43" s="167">
        <v>5858</v>
      </c>
      <c r="L43" s="167">
        <v>4355</v>
      </c>
      <c r="M43" s="167">
        <v>4816</v>
      </c>
      <c r="N43" s="167">
        <v>3867</v>
      </c>
      <c r="O43" s="167">
        <v>4791</v>
      </c>
      <c r="P43" s="167">
        <v>5305</v>
      </c>
      <c r="Q43" s="167">
        <v>6070</v>
      </c>
      <c r="R43" s="167">
        <v>4779</v>
      </c>
      <c r="S43" s="167">
        <v>5473</v>
      </c>
      <c r="T43" s="167">
        <v>6381</v>
      </c>
    </row>
    <row r="44" spans="1:20">
      <c r="A44" s="151" t="s">
        <v>1105</v>
      </c>
      <c r="B44" s="151" t="s">
        <v>1106</v>
      </c>
      <c r="C44" s="152"/>
      <c r="D44" s="167">
        <v>3000</v>
      </c>
      <c r="E44" s="167">
        <v>2681</v>
      </c>
      <c r="F44" s="167">
        <v>3016</v>
      </c>
      <c r="G44" s="167">
        <v>5398</v>
      </c>
      <c r="H44" s="167">
        <v>10615</v>
      </c>
      <c r="I44" s="167">
        <v>5801</v>
      </c>
      <c r="J44" s="167">
        <v>14144</v>
      </c>
      <c r="K44" s="167">
        <v>240309</v>
      </c>
      <c r="L44" s="167">
        <v>275966</v>
      </c>
      <c r="M44" s="167">
        <v>262574</v>
      </c>
      <c r="N44" s="167">
        <v>441421</v>
      </c>
      <c r="O44" s="167">
        <v>478553</v>
      </c>
      <c r="P44" s="167">
        <v>458057</v>
      </c>
      <c r="Q44" s="167">
        <v>455981</v>
      </c>
      <c r="R44" s="167">
        <v>478556</v>
      </c>
      <c r="S44" s="167">
        <v>129643</v>
      </c>
      <c r="T44" s="167">
        <v>130818</v>
      </c>
    </row>
    <row r="45" spans="1:20">
      <c r="A45" s="151" t="s">
        <v>1107</v>
      </c>
      <c r="B45" s="151" t="s">
        <v>1108</v>
      </c>
      <c r="C45" s="152"/>
      <c r="D45" s="167"/>
      <c r="E45" s="167"/>
      <c r="F45" s="167"/>
      <c r="G45" s="167"/>
      <c r="H45" s="167"/>
      <c r="I45" s="167">
        <v>16906</v>
      </c>
      <c r="J45" s="167">
        <v>45717</v>
      </c>
      <c r="K45" s="167">
        <v>27152</v>
      </c>
      <c r="L45" s="167">
        <v>42768</v>
      </c>
      <c r="M45" s="167">
        <v>28638</v>
      </c>
      <c r="N45" s="167">
        <v>57085</v>
      </c>
      <c r="O45" s="167">
        <v>38363</v>
      </c>
      <c r="P45" s="167">
        <v>67257</v>
      </c>
      <c r="Q45" s="167">
        <v>36020</v>
      </c>
      <c r="R45" s="167">
        <v>33928</v>
      </c>
      <c r="S45" s="167">
        <v>44960</v>
      </c>
      <c r="T45" s="167">
        <v>54025</v>
      </c>
    </row>
    <row r="46" spans="1:20">
      <c r="A46" s="151" t="s">
        <v>1111</v>
      </c>
      <c r="B46" s="151" t="s">
        <v>1112</v>
      </c>
      <c r="C46" s="152"/>
      <c r="D46" s="167">
        <v>370081</v>
      </c>
      <c r="E46" s="167">
        <v>346259</v>
      </c>
      <c r="F46" s="167">
        <v>381935</v>
      </c>
      <c r="G46" s="167">
        <v>348724</v>
      </c>
      <c r="H46" s="167">
        <v>353953</v>
      </c>
      <c r="I46" s="167">
        <v>203509</v>
      </c>
      <c r="J46" s="167">
        <v>109066</v>
      </c>
      <c r="K46" s="167">
        <v>112484</v>
      </c>
      <c r="L46" s="167">
        <v>120756</v>
      </c>
      <c r="M46" s="167">
        <v>120420</v>
      </c>
      <c r="N46" s="167">
        <v>117195</v>
      </c>
      <c r="O46" s="167">
        <v>115657</v>
      </c>
      <c r="P46" s="167">
        <v>122637</v>
      </c>
      <c r="Q46" s="167">
        <v>134143</v>
      </c>
      <c r="R46" s="167">
        <v>129916</v>
      </c>
      <c r="S46" s="167">
        <v>126558</v>
      </c>
      <c r="T46" s="167">
        <v>135854</v>
      </c>
    </row>
    <row r="47" spans="1:20">
      <c r="A47" s="151" t="s">
        <v>1190</v>
      </c>
      <c r="B47" s="151" t="s">
        <v>1114</v>
      </c>
      <c r="C47" s="152"/>
      <c r="D47" s="167">
        <v>123030</v>
      </c>
      <c r="E47" s="167">
        <v>152250</v>
      </c>
      <c r="F47" s="167">
        <v>30599</v>
      </c>
      <c r="G47" s="167">
        <v>26368</v>
      </c>
      <c r="H47" s="167">
        <v>28816</v>
      </c>
      <c r="I47" s="167">
        <v>26330</v>
      </c>
      <c r="J47" s="167">
        <v>518</v>
      </c>
      <c r="K47" s="167">
        <v>167</v>
      </c>
      <c r="L47" s="167">
        <v>152</v>
      </c>
      <c r="M47" s="167">
        <v>192</v>
      </c>
      <c r="N47" s="167">
        <v>288</v>
      </c>
      <c r="O47" s="167">
        <v>2322</v>
      </c>
      <c r="P47" s="167">
        <v>9779</v>
      </c>
      <c r="Q47" s="167">
        <v>14296</v>
      </c>
      <c r="R47" s="167">
        <v>0</v>
      </c>
      <c r="S47" s="167">
        <v>5053</v>
      </c>
      <c r="T47" s="167">
        <v>16749</v>
      </c>
    </row>
    <row r="48" spans="1:20">
      <c r="A48" s="151" t="s">
        <v>1119</v>
      </c>
      <c r="B48" s="151" t="s">
        <v>1120</v>
      </c>
      <c r="C48" s="152"/>
      <c r="D48" s="167">
        <v>4997</v>
      </c>
      <c r="E48" s="167">
        <v>3058</v>
      </c>
      <c r="F48" s="167">
        <v>3309</v>
      </c>
      <c r="G48" s="167">
        <v>3171</v>
      </c>
      <c r="H48" s="167">
        <v>3245</v>
      </c>
      <c r="I48" s="167">
        <v>3160</v>
      </c>
      <c r="J48" s="167">
        <v>5201</v>
      </c>
      <c r="K48" s="167">
        <v>4382</v>
      </c>
      <c r="L48" s="167">
        <v>6499</v>
      </c>
      <c r="M48" s="167">
        <v>4311</v>
      </c>
      <c r="N48" s="167">
        <v>4270</v>
      </c>
      <c r="O48" s="167">
        <v>4209</v>
      </c>
      <c r="P48" s="167">
        <v>1433</v>
      </c>
      <c r="Q48" s="167">
        <v>5874</v>
      </c>
      <c r="R48" s="167">
        <v>4806</v>
      </c>
      <c r="S48" s="167">
        <v>4342</v>
      </c>
      <c r="T48" s="167">
        <v>5177</v>
      </c>
    </row>
    <row r="49" spans="1:20">
      <c r="A49" s="151" t="s">
        <v>1223</v>
      </c>
      <c r="B49" s="151" t="s">
        <v>1110</v>
      </c>
      <c r="C49" s="152"/>
      <c r="D49" s="167"/>
      <c r="E49" s="167">
        <v>58499</v>
      </c>
      <c r="F49" s="167">
        <v>1351</v>
      </c>
      <c r="G49" s="167">
        <v>771</v>
      </c>
      <c r="H49" s="167">
        <v>0</v>
      </c>
      <c r="I49" s="167"/>
      <c r="J49" s="167"/>
      <c r="K49" s="167"/>
      <c r="L49" s="167"/>
      <c r="M49" s="167"/>
      <c r="N49" s="167">
        <v>122585</v>
      </c>
      <c r="O49" s="167">
        <v>68773</v>
      </c>
      <c r="P49" s="167">
        <v>7738</v>
      </c>
      <c r="Q49" s="167"/>
      <c r="R49" s="167">
        <v>1191</v>
      </c>
      <c r="S49" s="167">
        <v>0</v>
      </c>
      <c r="T49" s="167">
        <v>0</v>
      </c>
    </row>
    <row r="50" spans="1:20">
      <c r="A50" s="151" t="s">
        <v>1117</v>
      </c>
      <c r="B50" s="151" t="s">
        <v>1122</v>
      </c>
      <c r="C50" s="152"/>
      <c r="D50" s="167">
        <v>36200</v>
      </c>
      <c r="E50" s="167">
        <v>35763</v>
      </c>
      <c r="F50" s="167">
        <v>63514</v>
      </c>
      <c r="G50" s="167">
        <v>65868</v>
      </c>
      <c r="H50" s="167">
        <v>68360</v>
      </c>
      <c r="I50" s="167">
        <v>71021</v>
      </c>
      <c r="J50" s="167">
        <v>61147</v>
      </c>
      <c r="K50" s="167">
        <v>62152</v>
      </c>
      <c r="L50" s="167">
        <v>63967</v>
      </c>
      <c r="M50" s="167">
        <v>65991</v>
      </c>
      <c r="N50" s="167">
        <v>16078</v>
      </c>
      <c r="O50" s="167">
        <v>16248</v>
      </c>
      <c r="P50" s="167">
        <v>16800</v>
      </c>
      <c r="Q50" s="167">
        <v>17667</v>
      </c>
      <c r="R50" s="167">
        <v>18156</v>
      </c>
      <c r="S50" s="167">
        <v>17496</v>
      </c>
      <c r="T50" s="167">
        <v>18112</v>
      </c>
    </row>
    <row r="51" spans="1:20">
      <c r="A51" s="151" t="s">
        <v>1072</v>
      </c>
      <c r="B51" s="151" t="s">
        <v>1073</v>
      </c>
      <c r="C51" s="152"/>
      <c r="D51" s="167">
        <v>943</v>
      </c>
      <c r="E51" s="167">
        <v>467</v>
      </c>
      <c r="F51" s="167">
        <v>383</v>
      </c>
      <c r="G51" s="167">
        <v>581</v>
      </c>
      <c r="H51" s="167">
        <v>1288</v>
      </c>
      <c r="I51" s="167">
        <v>620</v>
      </c>
      <c r="J51" s="167">
        <v>2044</v>
      </c>
      <c r="K51" s="167">
        <v>27186</v>
      </c>
      <c r="L51" s="167">
        <v>2869</v>
      </c>
      <c r="M51" s="167">
        <v>611</v>
      </c>
      <c r="N51" s="167"/>
      <c r="O51" s="167"/>
      <c r="P51" s="167"/>
      <c r="Q51" s="167">
        <v>2494</v>
      </c>
      <c r="R51" s="167">
        <v>0</v>
      </c>
      <c r="S51" s="167">
        <v>19691</v>
      </c>
      <c r="T51" s="167">
        <v>15605</v>
      </c>
    </row>
    <row r="52" spans="1:20">
      <c r="A52" s="151" t="s">
        <v>1208</v>
      </c>
      <c r="B52" s="151" t="s">
        <v>1126</v>
      </c>
      <c r="C52" s="152"/>
      <c r="D52" s="167">
        <v>115536</v>
      </c>
      <c r="E52" s="167">
        <v>111515</v>
      </c>
      <c r="F52" s="167">
        <v>126526</v>
      </c>
      <c r="G52" s="167">
        <v>124599</v>
      </c>
      <c r="H52" s="167">
        <v>133240</v>
      </c>
      <c r="I52" s="167">
        <v>134271</v>
      </c>
      <c r="J52" s="167">
        <v>134155</v>
      </c>
      <c r="K52" s="167">
        <v>140896</v>
      </c>
      <c r="L52" s="167">
        <v>136470</v>
      </c>
      <c r="M52" s="167">
        <v>131671</v>
      </c>
      <c r="N52" s="167">
        <v>125172</v>
      </c>
      <c r="O52" s="167">
        <v>126728</v>
      </c>
      <c r="P52" s="167">
        <v>128910</v>
      </c>
      <c r="Q52" s="167">
        <v>131512</v>
      </c>
      <c r="R52" s="167">
        <v>125673</v>
      </c>
      <c r="S52" s="167">
        <v>123766</v>
      </c>
      <c r="T52" s="167">
        <v>122873</v>
      </c>
    </row>
    <row r="53" spans="1:20">
      <c r="A53" s="151" t="s">
        <v>1130</v>
      </c>
      <c r="B53" s="151" t="s">
        <v>1131</v>
      </c>
      <c r="C53" s="152"/>
      <c r="D53" s="167">
        <v>469</v>
      </c>
      <c r="E53" s="167"/>
      <c r="F53" s="167"/>
      <c r="G53" s="167"/>
      <c r="H53" s="167">
        <v>0</v>
      </c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>
        <v>57</v>
      </c>
      <c r="T53" s="167">
        <v>107</v>
      </c>
    </row>
    <row r="54" spans="1:20">
      <c r="A54" s="151" t="s">
        <v>1127</v>
      </c>
      <c r="B54" s="151" t="s">
        <v>1128</v>
      </c>
      <c r="C54" s="152"/>
      <c r="D54" s="167"/>
      <c r="E54" s="167"/>
      <c r="F54" s="167">
        <v>49113</v>
      </c>
      <c r="G54" s="167">
        <v>37139</v>
      </c>
      <c r="H54" s="167">
        <v>24091</v>
      </c>
      <c r="I54" s="167">
        <v>11691</v>
      </c>
      <c r="J54" s="167">
        <v>3226</v>
      </c>
      <c r="K54" s="167">
        <v>3226</v>
      </c>
      <c r="L54" s="167">
        <v>3226</v>
      </c>
      <c r="M54" s="167">
        <v>3226</v>
      </c>
      <c r="N54" s="167"/>
      <c r="O54" s="167"/>
      <c r="P54" s="167"/>
      <c r="Q54" s="167"/>
      <c r="R54" s="167"/>
      <c r="S54" s="167"/>
      <c r="T54" s="167"/>
    </row>
    <row r="55" spans="1:20" ht="15" thickBot="1">
      <c r="A55" s="151" t="s">
        <v>1129</v>
      </c>
      <c r="B55" s="151" t="s">
        <v>96</v>
      </c>
      <c r="C55" s="152"/>
      <c r="D55" s="167">
        <v>11669</v>
      </c>
      <c r="E55" s="167">
        <v>12652</v>
      </c>
      <c r="F55" s="167">
        <v>13378</v>
      </c>
      <c r="G55" s="167">
        <v>16746</v>
      </c>
      <c r="H55" s="167">
        <v>21528.000000000004</v>
      </c>
      <c r="I55" s="167">
        <v>25922</v>
      </c>
      <c r="J55" s="167">
        <v>27029</v>
      </c>
      <c r="K55" s="167">
        <v>32019</v>
      </c>
      <c r="L55" s="167">
        <v>50969</v>
      </c>
      <c r="M55" s="167">
        <v>35114</v>
      </c>
      <c r="N55" s="167">
        <v>37203</v>
      </c>
      <c r="O55" s="167">
        <v>26115</v>
      </c>
      <c r="P55" s="167">
        <v>33914</v>
      </c>
      <c r="Q55" s="167">
        <v>32357</v>
      </c>
      <c r="R55" s="167">
        <v>30623</v>
      </c>
      <c r="S55" s="167">
        <v>33698</v>
      </c>
      <c r="T55" s="167">
        <v>32202</v>
      </c>
    </row>
    <row r="56" spans="1:20" ht="15" thickBot="1">
      <c r="A56" s="155" t="s">
        <v>1081</v>
      </c>
      <c r="B56" s="155" t="s">
        <v>1082</v>
      </c>
      <c r="C56" s="148"/>
      <c r="D56" s="156">
        <f t="shared" ref="D56:P56" si="14">SUM(D57:D66)</f>
        <v>1645415</v>
      </c>
      <c r="E56" s="156">
        <f t="shared" si="14"/>
        <v>1490487</v>
      </c>
      <c r="F56" s="156">
        <f t="shared" si="14"/>
        <v>1468873</v>
      </c>
      <c r="G56" s="156">
        <f t="shared" si="14"/>
        <v>1814429</v>
      </c>
      <c r="H56" s="156">
        <f t="shared" si="14"/>
        <v>1800049</v>
      </c>
      <c r="I56" s="156">
        <f t="shared" si="14"/>
        <v>2086248</v>
      </c>
      <c r="J56" s="156">
        <f t="shared" si="14"/>
        <v>2479439</v>
      </c>
      <c r="K56" s="156">
        <f t="shared" si="14"/>
        <v>2147873</v>
      </c>
      <c r="L56" s="156">
        <f t="shared" si="14"/>
        <v>2413345</v>
      </c>
      <c r="M56" s="156">
        <f t="shared" si="14"/>
        <v>2662360</v>
      </c>
      <c r="N56" s="156">
        <f t="shared" si="14"/>
        <v>2811744</v>
      </c>
      <c r="O56" s="156">
        <f t="shared" si="14"/>
        <v>2438575</v>
      </c>
      <c r="P56" s="156">
        <f t="shared" si="14"/>
        <v>2412795</v>
      </c>
      <c r="Q56" s="156">
        <f t="shared" ref="Q56" si="15">SUM(Q57:Q66)</f>
        <v>2821314</v>
      </c>
      <c r="R56" s="156">
        <f t="shared" ref="R56:S56" si="16">SUM(R57:R66)</f>
        <v>2706511</v>
      </c>
      <c r="S56" s="156">
        <f t="shared" si="16"/>
        <v>2719967</v>
      </c>
      <c r="T56" s="156">
        <f>SUM(T57:T66)</f>
        <v>3231456</v>
      </c>
    </row>
    <row r="57" spans="1:20">
      <c r="A57" s="151" t="s">
        <v>1102</v>
      </c>
      <c r="B57" s="151" t="s">
        <v>1103</v>
      </c>
      <c r="C57" s="148"/>
      <c r="D57" s="179">
        <v>153193</v>
      </c>
      <c r="E57" s="179"/>
      <c r="F57" s="179"/>
      <c r="G57" s="179"/>
      <c r="H57" s="179"/>
      <c r="I57" s="179"/>
      <c r="J57" s="179"/>
      <c r="K57" s="179"/>
      <c r="L57" s="179"/>
      <c r="M57" s="179"/>
      <c r="N57" s="179"/>
      <c r="O57" s="179"/>
      <c r="P57" s="179"/>
      <c r="Q57" s="179"/>
      <c r="R57" s="179"/>
      <c r="S57" s="179"/>
      <c r="T57" s="179"/>
    </row>
    <row r="58" spans="1:20">
      <c r="A58" s="151" t="s">
        <v>1105</v>
      </c>
      <c r="B58" s="151" t="s">
        <v>1106</v>
      </c>
      <c r="C58" s="152"/>
      <c r="D58" s="179">
        <v>475369</v>
      </c>
      <c r="E58" s="179">
        <v>490357</v>
      </c>
      <c r="F58" s="179">
        <v>474541</v>
      </c>
      <c r="G58" s="179">
        <v>774906</v>
      </c>
      <c r="H58" s="179">
        <v>734538</v>
      </c>
      <c r="I58" s="179">
        <v>763128</v>
      </c>
      <c r="J58" s="179">
        <v>731953</v>
      </c>
      <c r="K58" s="179">
        <v>519042</v>
      </c>
      <c r="L58" s="179">
        <v>574980</v>
      </c>
      <c r="M58" s="179">
        <v>566672</v>
      </c>
      <c r="N58" s="179">
        <v>508850</v>
      </c>
      <c r="O58" s="179">
        <v>126470</v>
      </c>
      <c r="P58" s="179">
        <v>120107</v>
      </c>
      <c r="Q58" s="179">
        <v>567698</v>
      </c>
      <c r="R58" s="179">
        <v>460368</v>
      </c>
      <c r="S58" s="179">
        <v>446468</v>
      </c>
      <c r="T58" s="179">
        <v>438374</v>
      </c>
    </row>
    <row r="59" spans="1:20">
      <c r="A59" s="151" t="s">
        <v>1107</v>
      </c>
      <c r="B59" s="151" t="s">
        <v>1108</v>
      </c>
      <c r="C59" s="152"/>
      <c r="D59" s="179">
        <v>530527</v>
      </c>
      <c r="E59" s="179">
        <v>549890</v>
      </c>
      <c r="F59" s="179">
        <v>569255</v>
      </c>
      <c r="G59" s="179">
        <v>589630</v>
      </c>
      <c r="H59" s="179">
        <v>610054</v>
      </c>
      <c r="I59" s="179">
        <v>812988</v>
      </c>
      <c r="J59" s="179">
        <v>1198716</v>
      </c>
      <c r="K59" s="179">
        <v>1209218</v>
      </c>
      <c r="L59" s="179">
        <v>1482186</v>
      </c>
      <c r="M59" s="179">
        <v>1758314</v>
      </c>
      <c r="N59" s="179">
        <v>2006387</v>
      </c>
      <c r="O59" s="179">
        <v>2024444</v>
      </c>
      <c r="P59" s="179">
        <v>2030903</v>
      </c>
      <c r="Q59" s="179">
        <v>1938754</v>
      </c>
      <c r="R59" s="179">
        <v>1975377</v>
      </c>
      <c r="S59" s="179">
        <v>1947378</v>
      </c>
      <c r="T59" s="179">
        <v>2430315</v>
      </c>
    </row>
    <row r="60" spans="1:20">
      <c r="A60" s="151" t="s">
        <v>1111</v>
      </c>
      <c r="B60" s="151" t="s">
        <v>1112</v>
      </c>
      <c r="C60" s="152"/>
      <c r="D60" s="179">
        <v>127424</v>
      </c>
      <c r="E60" s="179">
        <v>128197</v>
      </c>
      <c r="F60" s="179">
        <v>186517</v>
      </c>
      <c r="G60" s="179">
        <v>197793</v>
      </c>
      <c r="H60" s="179">
        <v>190874</v>
      </c>
      <c r="I60" s="179">
        <v>283051</v>
      </c>
      <c r="J60" s="179">
        <v>269953</v>
      </c>
      <c r="K60" s="179">
        <v>253939</v>
      </c>
      <c r="L60" s="179">
        <v>237370</v>
      </c>
      <c r="M60" s="179">
        <v>219985</v>
      </c>
      <c r="N60" s="179">
        <v>201971</v>
      </c>
      <c r="O60" s="179">
        <v>183595</v>
      </c>
      <c r="P60" s="179">
        <v>164672</v>
      </c>
      <c r="Q60" s="179">
        <v>145153</v>
      </c>
      <c r="R60" s="179">
        <v>124767</v>
      </c>
      <c r="S60" s="179">
        <v>103425</v>
      </c>
      <c r="T60" s="179">
        <v>81236</v>
      </c>
    </row>
    <row r="61" spans="1:20">
      <c r="A61" s="151" t="s">
        <v>1072</v>
      </c>
      <c r="B61" s="151" t="s">
        <v>1073</v>
      </c>
      <c r="C61" s="152"/>
      <c r="D61" s="179">
        <v>74506</v>
      </c>
      <c r="E61" s="179">
        <v>78358</v>
      </c>
      <c r="F61" s="179">
        <v>81357</v>
      </c>
      <c r="G61" s="179">
        <v>98206</v>
      </c>
      <c r="H61" s="179">
        <v>144755</v>
      </c>
      <c r="I61" s="179">
        <v>103087</v>
      </c>
      <c r="J61" s="179">
        <v>136102</v>
      </c>
      <c r="K61" s="179">
        <v>63664</v>
      </c>
      <c r="L61" s="179">
        <v>13953</v>
      </c>
      <c r="M61" s="179">
        <v>11702</v>
      </c>
      <c r="N61" s="179"/>
      <c r="O61" s="179">
        <v>12096</v>
      </c>
      <c r="P61" s="179">
        <v>9252</v>
      </c>
      <c r="Q61" s="179">
        <v>83894</v>
      </c>
      <c r="R61" s="179">
        <v>68684</v>
      </c>
      <c r="S61" s="179">
        <v>138808</v>
      </c>
      <c r="T61" s="179">
        <v>197532</v>
      </c>
    </row>
    <row r="62" spans="1:20">
      <c r="A62" s="151" t="s">
        <v>1208</v>
      </c>
      <c r="B62" s="151" t="s">
        <v>1126</v>
      </c>
      <c r="C62" s="152"/>
      <c r="D62" s="179">
        <v>108549</v>
      </c>
      <c r="E62" s="179">
        <v>111583</v>
      </c>
      <c r="F62" s="179">
        <v>136389</v>
      </c>
      <c r="G62" s="179">
        <v>141786</v>
      </c>
      <c r="H62" s="179">
        <v>112518</v>
      </c>
      <c r="I62" s="179">
        <v>114754</v>
      </c>
      <c r="J62" s="179">
        <v>112133</v>
      </c>
      <c r="K62" s="179">
        <v>79559</v>
      </c>
      <c r="L62" s="179">
        <v>81136</v>
      </c>
      <c r="M62" s="179">
        <v>78086</v>
      </c>
      <c r="N62" s="179">
        <v>72786</v>
      </c>
      <c r="O62" s="179">
        <v>68541</v>
      </c>
      <c r="P62" s="179">
        <v>63852</v>
      </c>
      <c r="Q62" s="179">
        <v>59529</v>
      </c>
      <c r="R62" s="179">
        <v>48469</v>
      </c>
      <c r="S62" s="179">
        <v>49009</v>
      </c>
      <c r="T62" s="179">
        <v>49036</v>
      </c>
    </row>
    <row r="63" spans="1:20">
      <c r="A63" s="151" t="s">
        <v>1109</v>
      </c>
      <c r="B63" s="151" t="s">
        <v>1110</v>
      </c>
      <c r="C63" s="152"/>
      <c r="D63" s="179">
        <v>108952</v>
      </c>
      <c r="E63" s="179">
        <v>63631</v>
      </c>
      <c r="F63" s="179">
        <v>14534</v>
      </c>
      <c r="G63" s="179">
        <v>6055</v>
      </c>
      <c r="H63" s="179">
        <v>1479</v>
      </c>
      <c r="I63" s="179">
        <v>3633</v>
      </c>
      <c r="J63" s="179">
        <v>10279</v>
      </c>
      <c r="K63" s="179"/>
      <c r="L63" s="179"/>
      <c r="M63" s="179">
        <v>2613</v>
      </c>
      <c r="N63" s="179">
        <v>0</v>
      </c>
      <c r="O63" s="179"/>
      <c r="P63" s="179"/>
      <c r="Q63" s="179"/>
      <c r="R63" s="179"/>
      <c r="S63" s="179">
        <v>2275</v>
      </c>
      <c r="T63" s="179">
        <v>0</v>
      </c>
    </row>
    <row r="64" spans="1:20">
      <c r="A64" s="151" t="s">
        <v>1117</v>
      </c>
      <c r="B64" s="151" t="s">
        <v>1122</v>
      </c>
      <c r="C64" s="152"/>
      <c r="D64" s="179">
        <v>22</v>
      </c>
      <c r="E64" s="179">
        <v>22</v>
      </c>
      <c r="F64" s="179"/>
      <c r="G64" s="179"/>
      <c r="H64" s="179">
        <v>0</v>
      </c>
      <c r="I64" s="179"/>
      <c r="J64" s="179">
        <v>13954</v>
      </c>
      <c r="K64" s="179">
        <v>14542</v>
      </c>
      <c r="L64" s="179">
        <v>16084</v>
      </c>
      <c r="M64" s="179">
        <v>17406</v>
      </c>
      <c r="N64" s="179">
        <v>9426</v>
      </c>
      <c r="O64" s="179">
        <v>10677</v>
      </c>
      <c r="P64" s="179">
        <v>12018</v>
      </c>
      <c r="Q64" s="179">
        <v>13734</v>
      </c>
      <c r="R64" s="179">
        <v>15446</v>
      </c>
      <c r="S64" s="179">
        <v>17495</v>
      </c>
      <c r="T64" s="179">
        <v>20128</v>
      </c>
    </row>
    <row r="65" spans="1:20">
      <c r="A65" s="151" t="s">
        <v>1127</v>
      </c>
      <c r="B65" s="151" t="s">
        <v>1128</v>
      </c>
      <c r="C65" s="152"/>
      <c r="D65" s="179">
        <v>59875</v>
      </c>
      <c r="E65" s="179">
        <v>61821</v>
      </c>
      <c r="F65" s="179">
        <v>80</v>
      </c>
      <c r="G65" s="179">
        <v>80</v>
      </c>
      <c r="H65" s="179">
        <v>80</v>
      </c>
      <c r="I65" s="179">
        <v>80</v>
      </c>
      <c r="J65" s="179">
        <v>0</v>
      </c>
      <c r="K65" s="179"/>
      <c r="L65" s="179"/>
      <c r="M65" s="179"/>
      <c r="N65" s="179"/>
      <c r="O65" s="179"/>
      <c r="P65" s="179"/>
      <c r="Q65" s="179"/>
      <c r="R65" s="179"/>
      <c r="S65" s="179"/>
      <c r="T65" s="179"/>
    </row>
    <row r="66" spans="1:20" ht="15" thickBot="1">
      <c r="A66" s="151" t="s">
        <v>1129</v>
      </c>
      <c r="B66" s="151" t="s">
        <v>96</v>
      </c>
      <c r="C66" s="152"/>
      <c r="D66" s="179">
        <v>6998</v>
      </c>
      <c r="E66" s="179">
        <v>6628</v>
      </c>
      <c r="F66" s="179">
        <v>6200</v>
      </c>
      <c r="G66" s="179">
        <v>5973</v>
      </c>
      <c r="H66" s="179">
        <v>5751</v>
      </c>
      <c r="I66" s="179">
        <v>5527</v>
      </c>
      <c r="J66" s="179">
        <v>6349</v>
      </c>
      <c r="K66" s="179">
        <v>7909</v>
      </c>
      <c r="L66" s="179">
        <v>7636</v>
      </c>
      <c r="M66" s="179">
        <v>7582</v>
      </c>
      <c r="N66" s="179">
        <v>12324</v>
      </c>
      <c r="O66" s="179">
        <v>12752</v>
      </c>
      <c r="P66" s="179">
        <v>11991</v>
      </c>
      <c r="Q66" s="179">
        <v>12552</v>
      </c>
      <c r="R66" s="179">
        <v>13400</v>
      </c>
      <c r="S66" s="179">
        <v>15109</v>
      </c>
      <c r="T66" s="179">
        <v>14835</v>
      </c>
    </row>
    <row r="67" spans="1:20" ht="15" thickBot="1">
      <c r="A67" s="155" t="s">
        <v>1135</v>
      </c>
      <c r="B67" s="155" t="s">
        <v>1136</v>
      </c>
      <c r="C67" s="148"/>
      <c r="D67" s="156">
        <f t="shared" ref="D67:P67" si="17">SUM(D68:D74)</f>
        <v>-1130298</v>
      </c>
      <c r="E67" s="156">
        <f t="shared" si="17"/>
        <v>-975024</v>
      </c>
      <c r="F67" s="156">
        <f t="shared" si="17"/>
        <v>-963062</v>
      </c>
      <c r="G67" s="156">
        <f t="shared" si="17"/>
        <v>-982900</v>
      </c>
      <c r="H67" s="156">
        <f t="shared" si="17"/>
        <v>-995429</v>
      </c>
      <c r="I67" s="156">
        <f t="shared" si="17"/>
        <v>-979896</v>
      </c>
      <c r="J67" s="156">
        <f t="shared" si="17"/>
        <v>-878381</v>
      </c>
      <c r="K67" s="156">
        <f t="shared" si="17"/>
        <v>-896808</v>
      </c>
      <c r="L67" s="156">
        <f t="shared" si="17"/>
        <v>-794225</v>
      </c>
      <c r="M67" s="156">
        <f t="shared" si="17"/>
        <v>-743941</v>
      </c>
      <c r="N67" s="156">
        <f t="shared" si="17"/>
        <v>-671528</v>
      </c>
      <c r="O67" s="156">
        <f t="shared" si="17"/>
        <v>-657307</v>
      </c>
      <c r="P67" s="156">
        <f t="shared" si="17"/>
        <v>-637121</v>
      </c>
      <c r="Q67" s="156">
        <f t="shared" ref="Q67" si="18">SUM(Q68:Q74)</f>
        <v>-667598</v>
      </c>
      <c r="R67" s="156">
        <f t="shared" ref="R67:S67" si="19">SUM(R68:R74)</f>
        <v>-671249</v>
      </c>
      <c r="S67" s="156">
        <f t="shared" si="19"/>
        <v>-677902</v>
      </c>
      <c r="T67" s="156">
        <f>SUM(T68:T74)</f>
        <v>-673375</v>
      </c>
    </row>
    <row r="68" spans="1:20">
      <c r="A68" s="151" t="s">
        <v>1137</v>
      </c>
      <c r="B68" s="151" t="s">
        <v>1138</v>
      </c>
      <c r="C68" s="152"/>
      <c r="D68" s="167">
        <v>1517876</v>
      </c>
      <c r="E68" s="167">
        <v>1517876</v>
      </c>
      <c r="F68" s="167">
        <v>1517876</v>
      </c>
      <c r="G68" s="167">
        <v>1517876</v>
      </c>
      <c r="H68" s="167">
        <v>1517876</v>
      </c>
      <c r="I68" s="167">
        <v>1517876</v>
      </c>
      <c r="J68" s="167">
        <v>1517876</v>
      </c>
      <c r="K68" s="167">
        <v>1517876</v>
      </c>
      <c r="L68" s="167">
        <v>1517876</v>
      </c>
      <c r="M68" s="167">
        <v>1517876</v>
      </c>
      <c r="N68" s="167">
        <v>1517876</v>
      </c>
      <c r="O68" s="167">
        <v>1517876</v>
      </c>
      <c r="P68" s="167">
        <v>1517876</v>
      </c>
      <c r="Q68" s="167">
        <v>1517876</v>
      </c>
      <c r="R68" s="167">
        <v>1517876</v>
      </c>
      <c r="S68" s="167">
        <v>1517876</v>
      </c>
      <c r="T68" s="167">
        <v>1517876</v>
      </c>
    </row>
    <row r="69" spans="1:20">
      <c r="A69" s="151" t="s">
        <v>1178</v>
      </c>
      <c r="B69" s="151" t="s">
        <v>1179</v>
      </c>
      <c r="C69" s="152"/>
      <c r="D69" s="167"/>
      <c r="E69" s="167"/>
      <c r="F69" s="167"/>
      <c r="G69" s="167"/>
      <c r="H69" s="167">
        <v>0</v>
      </c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7"/>
    </row>
    <row r="70" spans="1:20">
      <c r="A70" s="151" t="s">
        <v>1180</v>
      </c>
      <c r="B70" s="151" t="s">
        <v>1142</v>
      </c>
      <c r="C70" s="152"/>
      <c r="D70" s="167"/>
      <c r="E70" s="167"/>
      <c r="F70" s="167"/>
      <c r="G70" s="167"/>
      <c r="H70" s="167">
        <v>0</v>
      </c>
      <c r="I70" s="167"/>
      <c r="J70" s="167"/>
      <c r="K70" s="167"/>
      <c r="L70" s="167"/>
      <c r="M70" s="167">
        <v>158</v>
      </c>
      <c r="N70" s="167">
        <v>263</v>
      </c>
      <c r="O70" s="167">
        <v>367</v>
      </c>
      <c r="P70" s="167">
        <v>540</v>
      </c>
      <c r="Q70" s="167">
        <v>605</v>
      </c>
      <c r="R70" s="167">
        <v>676</v>
      </c>
      <c r="S70" s="167">
        <v>739</v>
      </c>
      <c r="T70" s="167">
        <v>966</v>
      </c>
    </row>
    <row r="71" spans="1:20">
      <c r="A71" s="151" t="s">
        <v>1199</v>
      </c>
      <c r="B71" s="151" t="s">
        <v>1144</v>
      </c>
      <c r="C71" s="152"/>
      <c r="D71" s="167"/>
      <c r="E71" s="167">
        <v>3277</v>
      </c>
      <c r="F71" s="167">
        <v>15466</v>
      </c>
      <c r="G71" s="167">
        <v>1882</v>
      </c>
      <c r="H71" s="167">
        <v>0</v>
      </c>
      <c r="I71" s="167"/>
      <c r="J71" s="167">
        <v>23165</v>
      </c>
      <c r="K71" s="167">
        <v>26489</v>
      </c>
      <c r="L71" s="167">
        <v>32830</v>
      </c>
      <c r="M71" s="167">
        <v>35705</v>
      </c>
      <c r="N71" s="167">
        <v>28775</v>
      </c>
      <c r="O71" s="167">
        <v>35210</v>
      </c>
      <c r="P71" s="167">
        <v>43275</v>
      </c>
      <c r="Q71" s="167">
        <v>43843</v>
      </c>
      <c r="R71" s="167">
        <v>40677</v>
      </c>
      <c r="S71" s="167">
        <v>38758</v>
      </c>
      <c r="T71" s="167">
        <v>48683</v>
      </c>
    </row>
    <row r="72" spans="1:20">
      <c r="A72" s="151" t="s">
        <v>1217</v>
      </c>
      <c r="B72" s="151" t="s">
        <v>1218</v>
      </c>
      <c r="C72" s="152"/>
      <c r="D72" s="167">
        <v>-2885472</v>
      </c>
      <c r="E72" s="167">
        <v>-2496177</v>
      </c>
      <c r="F72" s="167">
        <v>-2885473</v>
      </c>
      <c r="G72" s="167">
        <v>-2496403</v>
      </c>
      <c r="H72" s="167">
        <v>-2496404</v>
      </c>
      <c r="I72" s="167">
        <v>-2496404</v>
      </c>
      <c r="J72" s="167">
        <v>-2496404</v>
      </c>
      <c r="K72" s="167">
        <v>-2419422</v>
      </c>
      <c r="L72" s="167">
        <v>-2419422</v>
      </c>
      <c r="M72" s="167">
        <v>-2419421</v>
      </c>
      <c r="N72" s="167">
        <v>-2419421</v>
      </c>
      <c r="O72" s="167">
        <v>-2218443</v>
      </c>
      <c r="P72" s="167">
        <v>-2218442</v>
      </c>
      <c r="Q72" s="167">
        <v>-2218443</v>
      </c>
      <c r="R72" s="167">
        <v>-2218442</v>
      </c>
      <c r="S72" s="167">
        <v>-2230478</v>
      </c>
      <c r="T72" s="167">
        <v>-2230479</v>
      </c>
    </row>
    <row r="73" spans="1:20">
      <c r="A73" s="151" t="s">
        <v>1211</v>
      </c>
      <c r="B73" s="151" t="s">
        <v>1198</v>
      </c>
      <c r="C73" s="152"/>
      <c r="D73" s="167">
        <v>18983</v>
      </c>
      <c r="E73" s="167"/>
      <c r="F73" s="167"/>
      <c r="G73" s="167"/>
      <c r="H73" s="167">
        <v>109</v>
      </c>
      <c r="I73" s="167">
        <v>8308</v>
      </c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</row>
    <row r="74" spans="1:20" ht="15" thickBot="1">
      <c r="A74" s="151" t="s">
        <v>1200</v>
      </c>
      <c r="B74" s="151" t="s">
        <v>777</v>
      </c>
      <c r="C74" s="152"/>
      <c r="D74" s="167">
        <v>218315</v>
      </c>
      <c r="E74" s="167"/>
      <c r="F74" s="167">
        <v>389069</v>
      </c>
      <c r="G74" s="167">
        <v>-6255</v>
      </c>
      <c r="H74" s="167">
        <v>-17010</v>
      </c>
      <c r="I74" s="167">
        <v>-9676</v>
      </c>
      <c r="J74" s="167">
        <v>76982</v>
      </c>
      <c r="K74" s="167">
        <v>-21751</v>
      </c>
      <c r="L74" s="167">
        <v>74491</v>
      </c>
      <c r="M74" s="167">
        <v>121741</v>
      </c>
      <c r="N74" s="167">
        <v>200979</v>
      </c>
      <c r="O74" s="167">
        <v>7683</v>
      </c>
      <c r="P74" s="167">
        <v>19630</v>
      </c>
      <c r="Q74" s="167">
        <v>-11479</v>
      </c>
      <c r="R74" s="167">
        <v>-12036</v>
      </c>
      <c r="S74" s="167">
        <v>-4797</v>
      </c>
      <c r="T74" s="167">
        <v>-10421</v>
      </c>
    </row>
    <row r="75" spans="1:20" ht="15" thickBot="1">
      <c r="A75" s="155" t="s">
        <v>1147</v>
      </c>
      <c r="B75" s="155" t="s">
        <v>1148</v>
      </c>
      <c r="C75" s="148"/>
      <c r="D75" s="156">
        <f t="shared" ref="D75:I75" si="20">D67+D56+D41</f>
        <v>1681932</v>
      </c>
      <c r="E75" s="156">
        <f t="shared" si="20"/>
        <v>1425398</v>
      </c>
      <c r="F75" s="156">
        <f t="shared" si="20"/>
        <v>1422420</v>
      </c>
      <c r="G75" s="156">
        <f t="shared" si="20"/>
        <v>1650949</v>
      </c>
      <c r="H75" s="156">
        <f t="shared" si="20"/>
        <v>1660451</v>
      </c>
      <c r="I75" s="156">
        <f t="shared" si="20"/>
        <v>1793468</v>
      </c>
      <c r="J75" s="156">
        <f t="shared" ref="J75:P75" si="21">J67+J56+J41</f>
        <v>2208938</v>
      </c>
      <c r="K75" s="156">
        <f t="shared" si="21"/>
        <v>2070357</v>
      </c>
      <c r="L75" s="156">
        <f t="shared" si="21"/>
        <v>2492953</v>
      </c>
      <c r="M75" s="156">
        <f t="shared" si="21"/>
        <v>2742085</v>
      </c>
      <c r="N75" s="156">
        <f t="shared" si="21"/>
        <v>3247724</v>
      </c>
      <c r="O75" s="156">
        <f t="shared" si="21"/>
        <v>2825909</v>
      </c>
      <c r="P75" s="156">
        <f t="shared" si="21"/>
        <v>2811007</v>
      </c>
      <c r="Q75" s="156">
        <f t="shared" ref="Q75:S75" si="22">Q67+Q56+Q41</f>
        <v>3222820</v>
      </c>
      <c r="R75" s="156">
        <f t="shared" si="22"/>
        <v>3071972</v>
      </c>
      <c r="S75" s="156">
        <f t="shared" si="22"/>
        <v>2767266</v>
      </c>
      <c r="T75" s="156">
        <f>T67+T56+T41</f>
        <v>3324075</v>
      </c>
    </row>
    <row r="76" spans="1:20">
      <c r="D76" s="167">
        <f t="shared" ref="D76:I76" si="23">D75-D38</f>
        <v>0</v>
      </c>
      <c r="E76" s="167">
        <f t="shared" si="23"/>
        <v>0</v>
      </c>
      <c r="F76" s="167">
        <f t="shared" si="23"/>
        <v>0</v>
      </c>
      <c r="G76" s="167">
        <f t="shared" si="23"/>
        <v>0</v>
      </c>
      <c r="H76" s="167">
        <f t="shared" si="23"/>
        <v>0</v>
      </c>
      <c r="I76" s="167">
        <f t="shared" si="23"/>
        <v>0</v>
      </c>
      <c r="J76" s="167">
        <f t="shared" ref="J76:P76" si="24">J75-J38</f>
        <v>0</v>
      </c>
      <c r="K76" s="167">
        <f t="shared" si="24"/>
        <v>0</v>
      </c>
      <c r="L76" s="167">
        <f t="shared" si="24"/>
        <v>0</v>
      </c>
      <c r="M76" s="167">
        <f t="shared" si="24"/>
        <v>0</v>
      </c>
      <c r="N76" s="167">
        <f t="shared" si="24"/>
        <v>0</v>
      </c>
      <c r="O76" s="167">
        <f t="shared" si="24"/>
        <v>0</v>
      </c>
      <c r="P76" s="167">
        <f t="shared" si="24"/>
        <v>0</v>
      </c>
      <c r="Q76" s="167">
        <f t="shared" ref="Q76:S76" si="25">Q75-Q38</f>
        <v>0</v>
      </c>
      <c r="R76" s="167">
        <f t="shared" si="25"/>
        <v>0</v>
      </c>
      <c r="S76" s="167">
        <f t="shared" si="25"/>
        <v>0</v>
      </c>
      <c r="T76" s="167">
        <f>T75-T38</f>
        <v>0</v>
      </c>
    </row>
  </sheetData>
  <pageMargins left="0.511811024" right="0.511811024" top="0.78740157499999996" bottom="0.78740157499999996" header="0.31496062000000002" footer="0.31496062000000002"/>
  <ignoredErrors>
    <ignoredError sqref="F40:G40" unlockedFormula="1"/>
  </ignoredErrors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theme="9" tint="0.79998168889431442"/>
  </sheetPr>
  <dimension ref="A6:R96"/>
  <sheetViews>
    <sheetView showGridLines="0" zoomScale="90" zoomScaleNormal="90" workbookViewId="0">
      <pane xSplit="2" topLeftCell="P1" activePane="topRight" state="frozen"/>
      <selection activeCell="BB24" sqref="BB24"/>
      <selection pane="topRight" activeCell="S22" sqref="S22"/>
    </sheetView>
  </sheetViews>
  <sheetFormatPr defaultColWidth="9.21875" defaultRowHeight="14.4"/>
  <cols>
    <col min="1" max="2" width="47.5546875" style="35" customWidth="1"/>
    <col min="3" max="3" width="0.5546875" customWidth="1"/>
    <col min="4" max="15" width="9.5546875" style="35" bestFit="1" customWidth="1"/>
    <col min="16" max="18" width="10.21875" style="35" bestFit="1" customWidth="1"/>
    <col min="19" max="16384" width="9.21875" style="35"/>
  </cols>
  <sheetData>
    <row r="6" spans="1:18">
      <c r="A6" s="38" t="s">
        <v>1224</v>
      </c>
      <c r="B6" s="38" t="s">
        <v>1224</v>
      </c>
      <c r="C6" s="111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</row>
    <row r="7" spans="1:18" ht="15" thickBot="1">
      <c r="A7" s="6" t="s">
        <v>1049</v>
      </c>
      <c r="B7" s="6" t="s">
        <v>1050</v>
      </c>
      <c r="C7" s="146"/>
      <c r="D7" s="434" t="s">
        <v>78</v>
      </c>
      <c r="E7" s="434" t="s">
        <v>79</v>
      </c>
      <c r="F7" s="434" t="s">
        <v>80</v>
      </c>
      <c r="G7" s="434" t="s">
        <v>81</v>
      </c>
      <c r="H7" s="434" t="s">
        <v>82</v>
      </c>
      <c r="I7" s="434" t="s">
        <v>83</v>
      </c>
      <c r="J7" s="434" t="s">
        <v>84</v>
      </c>
      <c r="K7" s="434" t="s">
        <v>85</v>
      </c>
      <c r="L7" s="434" t="s">
        <v>86</v>
      </c>
      <c r="M7" s="434" t="s">
        <v>87</v>
      </c>
      <c r="N7" s="434" t="s">
        <v>88</v>
      </c>
      <c r="O7" s="434" t="s">
        <v>2074</v>
      </c>
      <c r="P7" s="434" t="s">
        <v>2127</v>
      </c>
      <c r="Q7" s="434" t="s">
        <v>2360</v>
      </c>
      <c r="R7" s="434" t="s">
        <v>2494</v>
      </c>
    </row>
    <row r="8" spans="1:18" ht="15" thickBot="1">
      <c r="A8" s="147" t="s">
        <v>1051</v>
      </c>
      <c r="B8" s="147" t="s">
        <v>1052</v>
      </c>
      <c r="C8" s="148"/>
      <c r="D8" s="149">
        <f t="shared" ref="D8:N8" si="0">SUM(D9:D21)</f>
        <v>3099391</v>
      </c>
      <c r="E8" s="149">
        <f t="shared" si="0"/>
        <v>3389961</v>
      </c>
      <c r="F8" s="149">
        <f t="shared" si="0"/>
        <v>3870055</v>
      </c>
      <c r="G8" s="149">
        <f t="shared" si="0"/>
        <v>3448216</v>
      </c>
      <c r="H8" s="149">
        <f t="shared" si="0"/>
        <v>4701333</v>
      </c>
      <c r="I8" s="149">
        <f t="shared" si="0"/>
        <v>3991377</v>
      </c>
      <c r="J8" s="149">
        <f t="shared" si="0"/>
        <v>5218286</v>
      </c>
      <c r="K8" s="149">
        <f t="shared" si="0"/>
        <v>4543337</v>
      </c>
      <c r="L8" s="149">
        <f t="shared" si="0"/>
        <v>4380417</v>
      </c>
      <c r="M8" s="149">
        <f t="shared" si="0"/>
        <v>3871069</v>
      </c>
      <c r="N8" s="149">
        <f t="shared" si="0"/>
        <v>3615390</v>
      </c>
      <c r="O8" s="149">
        <f t="shared" ref="O8:Q8" si="1">SUM(O9:O21)</f>
        <v>5613778</v>
      </c>
      <c r="P8" s="149">
        <f t="shared" si="1"/>
        <v>4861338</v>
      </c>
      <c r="Q8" s="149">
        <f t="shared" si="1"/>
        <v>5838153</v>
      </c>
      <c r="R8" s="149">
        <f>SUM(R9:R21)</f>
        <v>5562333</v>
      </c>
    </row>
    <row r="9" spans="1:18">
      <c r="A9" s="151" t="s">
        <v>1053</v>
      </c>
      <c r="B9" s="151" t="s">
        <v>1054</v>
      </c>
      <c r="C9" s="152"/>
      <c r="D9" s="167">
        <v>80363</v>
      </c>
      <c r="E9" s="167">
        <v>155569</v>
      </c>
      <c r="F9" s="167">
        <v>819536</v>
      </c>
      <c r="G9" s="167">
        <v>374546</v>
      </c>
      <c r="H9" s="167">
        <v>432005</v>
      </c>
      <c r="I9" s="167">
        <v>64852</v>
      </c>
      <c r="J9" s="167">
        <v>88892</v>
      </c>
      <c r="K9" s="167">
        <v>153081</v>
      </c>
      <c r="L9" s="167">
        <v>85029</v>
      </c>
      <c r="M9" s="167">
        <v>99583</v>
      </c>
      <c r="N9" s="167">
        <v>145272</v>
      </c>
      <c r="O9" s="167">
        <v>51472</v>
      </c>
      <c r="P9" s="167">
        <v>42214</v>
      </c>
      <c r="Q9" s="167">
        <v>853588</v>
      </c>
      <c r="R9" s="167">
        <v>1000502</v>
      </c>
    </row>
    <row r="10" spans="1:18">
      <c r="A10" s="151" t="s">
        <v>1184</v>
      </c>
      <c r="B10" s="151" t="s">
        <v>1056</v>
      </c>
      <c r="C10" s="152"/>
      <c r="D10" s="167">
        <v>10833</v>
      </c>
      <c r="E10" s="167">
        <v>208529</v>
      </c>
      <c r="F10" s="167">
        <v>326758</v>
      </c>
      <c r="G10" s="167">
        <v>87405</v>
      </c>
      <c r="H10" s="167">
        <v>830791</v>
      </c>
      <c r="I10" s="167">
        <v>643620</v>
      </c>
      <c r="J10" s="167">
        <v>1939584</v>
      </c>
      <c r="K10" s="167">
        <v>976027</v>
      </c>
      <c r="L10" s="167">
        <v>1132207</v>
      </c>
      <c r="M10" s="167">
        <v>566724</v>
      </c>
      <c r="N10" s="167">
        <v>311354</v>
      </c>
      <c r="O10" s="167">
        <v>1540532</v>
      </c>
      <c r="P10" s="167">
        <v>718835</v>
      </c>
      <c r="Q10" s="167">
        <v>955485</v>
      </c>
      <c r="R10" s="167">
        <v>314817</v>
      </c>
    </row>
    <row r="11" spans="1:18">
      <c r="A11" s="151" t="s">
        <v>1057</v>
      </c>
      <c r="B11" s="151" t="s">
        <v>1058</v>
      </c>
      <c r="C11" s="152"/>
      <c r="D11" s="167">
        <v>1827263</v>
      </c>
      <c r="E11" s="167">
        <v>2150922</v>
      </c>
      <c r="F11" s="167">
        <v>2046614</v>
      </c>
      <c r="G11" s="167">
        <v>1892553</v>
      </c>
      <c r="H11" s="167">
        <v>1900114</v>
      </c>
      <c r="I11" s="167">
        <v>1923097</v>
      </c>
      <c r="J11" s="167">
        <v>1862334</v>
      </c>
      <c r="K11" s="167">
        <v>1939111</v>
      </c>
      <c r="L11" s="167">
        <v>1865034</v>
      </c>
      <c r="M11" s="167">
        <v>1866744</v>
      </c>
      <c r="N11" s="167">
        <v>1836514</v>
      </c>
      <c r="O11" s="167">
        <v>1948567</v>
      </c>
      <c r="P11" s="167">
        <v>2099129</v>
      </c>
      <c r="Q11" s="167">
        <v>1907534</v>
      </c>
      <c r="R11" s="167">
        <v>1970117</v>
      </c>
    </row>
    <row r="12" spans="1:18">
      <c r="A12" s="151" t="s">
        <v>1212</v>
      </c>
      <c r="B12" s="151" t="s">
        <v>1219</v>
      </c>
      <c r="C12" s="152"/>
      <c r="D12" s="167"/>
      <c r="E12" s="167"/>
      <c r="F12" s="167">
        <v>0</v>
      </c>
      <c r="G12" s="167"/>
      <c r="H12" s="167"/>
      <c r="I12" s="167"/>
      <c r="J12" s="167"/>
      <c r="K12" s="167"/>
      <c r="L12" s="167"/>
      <c r="M12" s="167"/>
      <c r="N12" s="167"/>
      <c r="O12" s="167"/>
      <c r="P12" s="167"/>
      <c r="Q12" s="167"/>
      <c r="R12" s="167"/>
    </row>
    <row r="13" spans="1:18">
      <c r="A13" s="151" t="s">
        <v>1150</v>
      </c>
      <c r="B13" s="151" t="s">
        <v>1151</v>
      </c>
      <c r="C13" s="152"/>
      <c r="D13" s="167"/>
      <c r="E13" s="167">
        <v>-352459</v>
      </c>
      <c r="F13" s="167">
        <v>-341165</v>
      </c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</row>
    <row r="14" spans="1:18">
      <c r="A14" s="151" t="s">
        <v>1061</v>
      </c>
      <c r="B14" s="151" t="s">
        <v>1062</v>
      </c>
      <c r="C14" s="152"/>
      <c r="D14" s="167"/>
      <c r="E14" s="167"/>
      <c r="F14" s="167">
        <v>0</v>
      </c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</row>
    <row r="15" spans="1:18">
      <c r="A15" s="151" t="s">
        <v>1203</v>
      </c>
      <c r="B15" s="151" t="s">
        <v>1064</v>
      </c>
      <c r="C15" s="152"/>
      <c r="D15" s="167">
        <v>63784</v>
      </c>
      <c r="E15" s="167">
        <v>68792</v>
      </c>
      <c r="F15" s="167">
        <v>93599</v>
      </c>
      <c r="G15" s="167">
        <v>83189</v>
      </c>
      <c r="H15" s="167">
        <v>126315</v>
      </c>
      <c r="I15" s="167">
        <v>135342</v>
      </c>
      <c r="J15" s="167">
        <v>146256</v>
      </c>
      <c r="K15" s="167">
        <v>159102</v>
      </c>
      <c r="L15" s="167">
        <v>93496</v>
      </c>
      <c r="M15" s="167">
        <v>104677</v>
      </c>
      <c r="N15" s="167">
        <v>96093</v>
      </c>
      <c r="O15" s="167">
        <v>159609</v>
      </c>
      <c r="P15" s="167">
        <v>120683</v>
      </c>
      <c r="Q15" s="167">
        <v>148793</v>
      </c>
      <c r="R15" s="167">
        <v>163315</v>
      </c>
    </row>
    <row r="16" spans="1:18">
      <c r="A16" s="151" t="s">
        <v>1068</v>
      </c>
      <c r="B16" s="151" t="s">
        <v>1069</v>
      </c>
      <c r="C16" s="152"/>
      <c r="D16" s="167"/>
      <c r="E16" s="167"/>
      <c r="F16" s="167">
        <v>0</v>
      </c>
      <c r="G16" s="167"/>
      <c r="H16" s="167"/>
      <c r="I16" s="167"/>
      <c r="J16" s="167"/>
      <c r="K16" s="167"/>
      <c r="L16" s="167"/>
      <c r="M16" s="167"/>
      <c r="N16" s="167"/>
      <c r="O16" s="167"/>
      <c r="P16" s="167">
        <v>9478</v>
      </c>
      <c r="Q16" s="167">
        <v>9328</v>
      </c>
      <c r="R16" s="167">
        <v>10632</v>
      </c>
    </row>
    <row r="17" spans="1:18">
      <c r="A17" s="151" t="s">
        <v>1152</v>
      </c>
      <c r="B17" s="151" t="s">
        <v>1071</v>
      </c>
      <c r="C17" s="152"/>
      <c r="D17" s="167">
        <v>147098</v>
      </c>
      <c r="E17" s="167">
        <v>89567</v>
      </c>
      <c r="F17" s="167">
        <v>0</v>
      </c>
      <c r="G17" s="167"/>
      <c r="H17" s="167"/>
      <c r="I17" s="167"/>
      <c r="J17" s="167"/>
      <c r="K17" s="167"/>
      <c r="L17" s="167"/>
      <c r="M17" s="167"/>
      <c r="N17" s="167">
        <v>11928</v>
      </c>
      <c r="O17" s="167">
        <v>544830</v>
      </c>
      <c r="P17" s="167">
        <v>430643</v>
      </c>
      <c r="Q17" s="167">
        <v>470563</v>
      </c>
      <c r="R17" s="167">
        <v>518762</v>
      </c>
    </row>
    <row r="18" spans="1:18">
      <c r="A18" s="151" t="s">
        <v>1214</v>
      </c>
      <c r="B18" s="151" t="s">
        <v>1075</v>
      </c>
      <c r="C18" s="152"/>
      <c r="D18" s="167">
        <v>21408</v>
      </c>
      <c r="E18" s="167">
        <v>25882</v>
      </c>
      <c r="F18" s="167">
        <v>33546</v>
      </c>
      <c r="G18" s="167">
        <v>27101</v>
      </c>
      <c r="H18" s="167">
        <v>24322</v>
      </c>
      <c r="I18" s="167">
        <v>28802</v>
      </c>
      <c r="J18" s="167">
        <v>26092</v>
      </c>
      <c r="K18" s="167">
        <v>18881</v>
      </c>
      <c r="L18" s="167">
        <v>14890</v>
      </c>
      <c r="M18" s="167">
        <v>16456</v>
      </c>
      <c r="N18" s="167">
        <v>17857</v>
      </c>
      <c r="O18" s="167">
        <v>25806</v>
      </c>
      <c r="P18" s="167">
        <v>66787</v>
      </c>
      <c r="Q18" s="167">
        <v>54710</v>
      </c>
      <c r="R18" s="167">
        <v>52917</v>
      </c>
    </row>
    <row r="19" spans="1:18">
      <c r="A19" s="151" t="s">
        <v>1076</v>
      </c>
      <c r="B19" s="151" t="s">
        <v>1077</v>
      </c>
      <c r="C19" s="152"/>
      <c r="D19" s="167">
        <v>691671</v>
      </c>
      <c r="E19" s="167">
        <v>699917</v>
      </c>
      <c r="F19" s="167">
        <v>687938</v>
      </c>
      <c r="G19" s="167">
        <v>702206</v>
      </c>
      <c r="H19" s="167">
        <v>969072</v>
      </c>
      <c r="I19" s="167">
        <v>787218</v>
      </c>
      <c r="J19" s="167">
        <v>731550</v>
      </c>
      <c r="K19" s="167">
        <v>795847</v>
      </c>
      <c r="L19" s="167">
        <v>738509</v>
      </c>
      <c r="M19" s="167">
        <v>742918</v>
      </c>
      <c r="N19" s="167">
        <v>739298</v>
      </c>
      <c r="O19" s="167">
        <v>753099</v>
      </c>
      <c r="P19" s="167">
        <v>754547</v>
      </c>
      <c r="Q19" s="167">
        <v>768540</v>
      </c>
      <c r="R19" s="167">
        <v>788814</v>
      </c>
    </row>
    <row r="20" spans="1:18">
      <c r="A20" s="151" t="s">
        <v>1078</v>
      </c>
      <c r="B20" s="151" t="s">
        <v>1079</v>
      </c>
      <c r="C20" s="152"/>
      <c r="D20" s="167">
        <v>40415</v>
      </c>
      <c r="E20" s="167">
        <v>71514</v>
      </c>
      <c r="F20" s="167">
        <v>69574</v>
      </c>
      <c r="G20" s="167">
        <v>74247</v>
      </c>
      <c r="H20" s="167">
        <v>80868</v>
      </c>
      <c r="I20" s="167">
        <v>87877</v>
      </c>
      <c r="J20" s="167">
        <v>97403</v>
      </c>
      <c r="K20" s="167">
        <v>109290</v>
      </c>
      <c r="L20" s="167">
        <v>135524</v>
      </c>
      <c r="M20" s="167">
        <v>146698</v>
      </c>
      <c r="N20" s="167">
        <v>133928</v>
      </c>
      <c r="O20" s="167">
        <v>136445</v>
      </c>
      <c r="P20" s="167">
        <v>85444</v>
      </c>
      <c r="Q20" s="167">
        <v>98287</v>
      </c>
      <c r="R20" s="167">
        <v>110914</v>
      </c>
    </row>
    <row r="21" spans="1:18" ht="15" thickBot="1">
      <c r="A21" s="154" t="s">
        <v>1080</v>
      </c>
      <c r="B21" s="154" t="s">
        <v>96</v>
      </c>
      <c r="C21" s="152"/>
      <c r="D21" s="167">
        <v>216556</v>
      </c>
      <c r="E21" s="167">
        <v>271728</v>
      </c>
      <c r="F21" s="167">
        <v>133655</v>
      </c>
      <c r="G21" s="167">
        <v>206969</v>
      </c>
      <c r="H21" s="167">
        <v>337846</v>
      </c>
      <c r="I21" s="167">
        <v>320569</v>
      </c>
      <c r="J21" s="167">
        <v>326175</v>
      </c>
      <c r="K21" s="167">
        <v>391998</v>
      </c>
      <c r="L21" s="167">
        <v>315728</v>
      </c>
      <c r="M21" s="167">
        <v>327269</v>
      </c>
      <c r="N21" s="167">
        <v>323146</v>
      </c>
      <c r="O21" s="167">
        <v>453418</v>
      </c>
      <c r="P21" s="167">
        <v>533578</v>
      </c>
      <c r="Q21" s="167">
        <v>571325</v>
      </c>
      <c r="R21" s="167">
        <v>631543</v>
      </c>
    </row>
    <row r="22" spans="1:18" ht="15" thickBot="1">
      <c r="A22" s="155" t="s">
        <v>1081</v>
      </c>
      <c r="B22" s="155" t="s">
        <v>1082</v>
      </c>
      <c r="C22" s="148"/>
      <c r="D22" s="156">
        <f t="shared" ref="D22:I22" si="2">D23+D37</f>
        <v>16384287</v>
      </c>
      <c r="E22" s="156">
        <f t="shared" si="2"/>
        <v>16558664</v>
      </c>
      <c r="F22" s="156">
        <f t="shared" si="2"/>
        <v>17441154</v>
      </c>
      <c r="G22" s="156">
        <f t="shared" si="2"/>
        <v>17667560</v>
      </c>
      <c r="H22" s="156">
        <f t="shared" si="2"/>
        <v>17610312</v>
      </c>
      <c r="I22" s="156">
        <f t="shared" si="2"/>
        <v>17911520</v>
      </c>
      <c r="J22" s="156">
        <f t="shared" ref="J22:Q22" si="3">J23+J37</f>
        <v>18193923</v>
      </c>
      <c r="K22" s="156">
        <f t="shared" si="3"/>
        <v>18466730</v>
      </c>
      <c r="L22" s="156">
        <f t="shared" si="3"/>
        <v>19398637</v>
      </c>
      <c r="M22" s="156">
        <f t="shared" si="3"/>
        <v>19636318</v>
      </c>
      <c r="N22" s="156">
        <f t="shared" si="3"/>
        <v>20138174</v>
      </c>
      <c r="O22" s="156">
        <f t="shared" si="3"/>
        <v>20491298</v>
      </c>
      <c r="P22" s="156">
        <f t="shared" si="3"/>
        <v>21366412</v>
      </c>
      <c r="Q22" s="156">
        <f t="shared" si="3"/>
        <v>21760014</v>
      </c>
      <c r="R22" s="156">
        <f>R23+R37</f>
        <v>22196441</v>
      </c>
    </row>
    <row r="23" spans="1:18" ht="15" thickBot="1">
      <c r="A23" s="155" t="s">
        <v>1158</v>
      </c>
      <c r="B23" s="155" t="s">
        <v>1159</v>
      </c>
      <c r="C23" s="148"/>
      <c r="D23" s="156">
        <f>SUM(D24:D36)</f>
        <v>5377547</v>
      </c>
      <c r="E23" s="156">
        <f>SUM(E24:E36)</f>
        <v>5375424</v>
      </c>
      <c r="F23" s="156">
        <f t="shared" ref="F23:K23" si="4">SUM(F24:F36)</f>
        <v>6209860</v>
      </c>
      <c r="G23" s="156">
        <f t="shared" si="4"/>
        <v>6223400</v>
      </c>
      <c r="H23" s="156">
        <f t="shared" si="4"/>
        <v>6000415</v>
      </c>
      <c r="I23" s="156">
        <f t="shared" si="4"/>
        <v>6194657</v>
      </c>
      <c r="J23" s="156">
        <f t="shared" si="4"/>
        <v>6312607</v>
      </c>
      <c r="K23" s="156">
        <f t="shared" si="4"/>
        <v>6263522</v>
      </c>
      <c r="L23" s="156">
        <f t="shared" ref="L23:Q23" si="5">SUM(L24:L36)</f>
        <v>6935913</v>
      </c>
      <c r="M23" s="156">
        <f t="shared" si="5"/>
        <v>6948371</v>
      </c>
      <c r="N23" s="156">
        <f t="shared" si="5"/>
        <v>6987987</v>
      </c>
      <c r="O23" s="156">
        <f t="shared" si="5"/>
        <v>6934175</v>
      </c>
      <c r="P23" s="156">
        <f t="shared" si="5"/>
        <v>7489547</v>
      </c>
      <c r="Q23" s="156">
        <f t="shared" si="5"/>
        <v>7518041</v>
      </c>
      <c r="R23" s="156">
        <f>SUM(R24:R36)</f>
        <v>7612898</v>
      </c>
    </row>
    <row r="24" spans="1:18">
      <c r="A24" s="329" t="s">
        <v>1055</v>
      </c>
      <c r="B24" s="329" t="s">
        <v>1056</v>
      </c>
      <c r="C24" s="152"/>
      <c r="D24" s="167"/>
      <c r="E24" s="167"/>
      <c r="F24" s="167">
        <v>26475</v>
      </c>
      <c r="G24" s="167">
        <v>27163</v>
      </c>
      <c r="H24" s="167">
        <v>27846</v>
      </c>
      <c r="I24" s="167">
        <v>28462</v>
      </c>
      <c r="J24" s="167">
        <v>26353</v>
      </c>
      <c r="K24" s="167">
        <v>26895</v>
      </c>
      <c r="L24" s="167">
        <v>27506</v>
      </c>
      <c r="M24" s="167">
        <v>28175</v>
      </c>
      <c r="N24" s="167">
        <v>28992</v>
      </c>
      <c r="O24" s="167">
        <v>29833</v>
      </c>
      <c r="P24" s="167">
        <v>30749</v>
      </c>
      <c r="Q24" s="167">
        <v>31608</v>
      </c>
      <c r="R24" s="167">
        <v>32543</v>
      </c>
    </row>
    <row r="25" spans="1:18">
      <c r="A25" s="151" t="s">
        <v>1057</v>
      </c>
      <c r="B25" s="151" t="s">
        <v>1058</v>
      </c>
      <c r="C25" s="152"/>
      <c r="D25" s="167">
        <v>75962</v>
      </c>
      <c r="E25" s="167">
        <v>74162</v>
      </c>
      <c r="F25" s="167">
        <v>81044</v>
      </c>
      <c r="G25" s="167">
        <v>79374</v>
      </c>
      <c r="H25" s="167">
        <v>53484</v>
      </c>
      <c r="I25" s="167">
        <v>53258</v>
      </c>
      <c r="J25" s="167">
        <v>48831</v>
      </c>
      <c r="K25" s="167">
        <v>44542</v>
      </c>
      <c r="L25" s="167">
        <v>65247</v>
      </c>
      <c r="M25" s="167">
        <v>65478</v>
      </c>
      <c r="N25" s="167">
        <v>66417</v>
      </c>
      <c r="O25" s="167">
        <v>65085</v>
      </c>
      <c r="P25" s="167">
        <v>63418</v>
      </c>
      <c r="Q25" s="167">
        <v>64572</v>
      </c>
      <c r="R25" s="167">
        <v>62137</v>
      </c>
    </row>
    <row r="26" spans="1:18">
      <c r="A26" s="151" t="s">
        <v>1152</v>
      </c>
      <c r="B26" s="151" t="s">
        <v>1071</v>
      </c>
      <c r="C26" s="152"/>
      <c r="D26" s="167"/>
      <c r="E26" s="167"/>
      <c r="F26" s="167">
        <v>0</v>
      </c>
      <c r="G26" s="167"/>
      <c r="H26" s="167"/>
      <c r="I26" s="167"/>
      <c r="J26" s="167"/>
      <c r="K26" s="167"/>
      <c r="L26" s="167"/>
      <c r="M26" s="167"/>
      <c r="N26" s="167">
        <v>73720</v>
      </c>
      <c r="O26" s="167">
        <v>46402</v>
      </c>
      <c r="P26" s="167">
        <v>246715</v>
      </c>
      <c r="Q26" s="167">
        <v>194789</v>
      </c>
      <c r="R26" s="167">
        <v>183054</v>
      </c>
    </row>
    <row r="27" spans="1:18">
      <c r="A27" s="151" t="s">
        <v>1063</v>
      </c>
      <c r="B27" s="151" t="s">
        <v>1064</v>
      </c>
      <c r="C27" s="152"/>
      <c r="D27" s="167"/>
      <c r="E27" s="167"/>
      <c r="F27" s="167">
        <v>0</v>
      </c>
      <c r="G27" s="167"/>
      <c r="H27" s="167">
        <v>15277</v>
      </c>
      <c r="I27" s="167">
        <v>15277</v>
      </c>
      <c r="J27" s="167">
        <v>15277</v>
      </c>
      <c r="K27" s="167">
        <v>15277</v>
      </c>
      <c r="L27" s="167">
        <v>65889</v>
      </c>
      <c r="M27" s="167">
        <v>65889</v>
      </c>
      <c r="N27" s="167">
        <v>65889</v>
      </c>
      <c r="O27" s="167"/>
      <c r="P27" s="167">
        <v>62357</v>
      </c>
      <c r="Q27" s="167">
        <v>62357</v>
      </c>
      <c r="R27" s="167">
        <v>62357</v>
      </c>
    </row>
    <row r="28" spans="1:18">
      <c r="A28" s="151" t="s">
        <v>1068</v>
      </c>
      <c r="B28" s="151" t="s">
        <v>1069</v>
      </c>
      <c r="C28" s="152"/>
      <c r="D28" s="167">
        <v>146465</v>
      </c>
      <c r="E28" s="167">
        <v>150899</v>
      </c>
      <c r="F28" s="167">
        <v>170415</v>
      </c>
      <c r="G28" s="167">
        <v>170688</v>
      </c>
      <c r="H28" s="167">
        <v>162106</v>
      </c>
      <c r="I28" s="167">
        <v>167398</v>
      </c>
      <c r="J28" s="167">
        <v>173725</v>
      </c>
      <c r="K28" s="167">
        <v>176519</v>
      </c>
      <c r="L28" s="167">
        <v>170708</v>
      </c>
      <c r="M28" s="167">
        <v>177295</v>
      </c>
      <c r="N28" s="167">
        <v>177967</v>
      </c>
      <c r="O28" s="167">
        <v>179433</v>
      </c>
      <c r="P28" s="167">
        <v>158891</v>
      </c>
      <c r="Q28" s="167">
        <v>160567</v>
      </c>
      <c r="R28" s="167">
        <v>171427</v>
      </c>
    </row>
    <row r="29" spans="1:18">
      <c r="A29" s="151" t="s">
        <v>1076</v>
      </c>
      <c r="B29" s="151" t="s">
        <v>1077</v>
      </c>
      <c r="C29" s="152"/>
      <c r="D29" s="167"/>
      <c r="E29" s="167"/>
      <c r="F29" s="167">
        <v>0</v>
      </c>
      <c r="G29" s="167"/>
      <c r="H29" s="167"/>
      <c r="I29" s="167"/>
      <c r="J29" s="167"/>
      <c r="K29" s="167"/>
      <c r="L29" s="167"/>
      <c r="M29" s="167"/>
      <c r="N29" s="167"/>
      <c r="O29" s="167"/>
      <c r="P29" s="167">
        <v>1277550</v>
      </c>
      <c r="Q29" s="167">
        <v>1221238</v>
      </c>
      <c r="R29" s="167">
        <v>1106389</v>
      </c>
    </row>
    <row r="30" spans="1:18">
      <c r="A30" s="151" t="s">
        <v>1078</v>
      </c>
      <c r="B30" s="151" t="s">
        <v>1079</v>
      </c>
      <c r="C30" s="152"/>
      <c r="D30" s="167">
        <v>2371976</v>
      </c>
      <c r="E30" s="167">
        <v>2257478</v>
      </c>
      <c r="F30" s="167">
        <v>2235801</v>
      </c>
      <c r="G30" s="167">
        <v>2151144</v>
      </c>
      <c r="H30" s="167">
        <v>1740348</v>
      </c>
      <c r="I30" s="167">
        <v>1829606</v>
      </c>
      <c r="J30" s="167">
        <v>1829172</v>
      </c>
      <c r="K30" s="167">
        <v>1648302</v>
      </c>
      <c r="L30" s="167">
        <v>1682816</v>
      </c>
      <c r="M30" s="167">
        <v>1609748</v>
      </c>
      <c r="N30" s="167">
        <v>1493584</v>
      </c>
      <c r="O30" s="167">
        <v>1427736</v>
      </c>
      <c r="P30" s="167">
        <v>75600</v>
      </c>
      <c r="Q30" s="167">
        <v>77311</v>
      </c>
      <c r="R30" s="167">
        <v>66887</v>
      </c>
    </row>
    <row r="31" spans="1:18">
      <c r="A31" s="151" t="s">
        <v>1162</v>
      </c>
      <c r="B31" s="151" t="s">
        <v>1133</v>
      </c>
      <c r="C31" s="152"/>
      <c r="D31" s="167">
        <v>1375535</v>
      </c>
      <c r="E31" s="167">
        <v>1352081</v>
      </c>
      <c r="F31" s="167">
        <v>1537043</v>
      </c>
      <c r="G31" s="167">
        <v>1576997</v>
      </c>
      <c r="H31" s="167">
        <v>1776447</v>
      </c>
      <c r="I31" s="167">
        <v>1794991</v>
      </c>
      <c r="J31" s="167">
        <v>1775092</v>
      </c>
      <c r="K31" s="167">
        <v>1785112</v>
      </c>
      <c r="L31" s="167">
        <v>2249542</v>
      </c>
      <c r="M31" s="167">
        <v>2233011</v>
      </c>
      <c r="N31" s="167">
        <v>2217967</v>
      </c>
      <c r="O31" s="167">
        <v>2252456</v>
      </c>
      <c r="P31" s="167">
        <v>2483974</v>
      </c>
      <c r="Q31" s="167">
        <v>2567291</v>
      </c>
      <c r="R31" s="167">
        <v>2623122</v>
      </c>
    </row>
    <row r="32" spans="1:18">
      <c r="A32" s="151" t="s">
        <v>1072</v>
      </c>
      <c r="B32" s="151" t="s">
        <v>1073</v>
      </c>
      <c r="C32" s="152"/>
      <c r="D32" s="167"/>
      <c r="E32" s="167"/>
      <c r="F32" s="167">
        <v>0</v>
      </c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</row>
    <row r="33" spans="1:18">
      <c r="A33" s="151" t="s">
        <v>1150</v>
      </c>
      <c r="B33" s="151" t="s">
        <v>1151</v>
      </c>
      <c r="C33" s="152"/>
      <c r="D33" s="167"/>
      <c r="E33" s="167"/>
      <c r="F33" s="167">
        <v>0</v>
      </c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</row>
    <row r="34" spans="1:18">
      <c r="A34" s="151" t="s">
        <v>1215</v>
      </c>
      <c r="B34" s="151" t="s">
        <v>1216</v>
      </c>
      <c r="C34" s="152"/>
      <c r="D34" s="167"/>
      <c r="E34" s="167"/>
      <c r="F34" s="167">
        <v>0</v>
      </c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</row>
    <row r="35" spans="1:18">
      <c r="A35" s="151" t="s">
        <v>1080</v>
      </c>
      <c r="B35" s="151" t="s">
        <v>96</v>
      </c>
      <c r="C35" s="152"/>
      <c r="D35" s="167">
        <v>597921</v>
      </c>
      <c r="E35" s="167">
        <v>589998</v>
      </c>
      <c r="F35" s="167">
        <v>781874</v>
      </c>
      <c r="G35" s="167">
        <v>823855</v>
      </c>
      <c r="H35" s="167">
        <v>827647</v>
      </c>
      <c r="I35" s="167">
        <v>832625</v>
      </c>
      <c r="J35" s="167">
        <v>851190</v>
      </c>
      <c r="K35" s="167">
        <v>837614</v>
      </c>
      <c r="L35" s="167">
        <v>749004</v>
      </c>
      <c r="M35" s="167">
        <v>746569</v>
      </c>
      <c r="N35" s="167">
        <v>774885</v>
      </c>
      <c r="O35" s="167">
        <v>670420</v>
      </c>
      <c r="P35" s="167">
        <v>653910</v>
      </c>
      <c r="Q35" s="167">
        <v>622644</v>
      </c>
      <c r="R35" s="167">
        <v>623296</v>
      </c>
    </row>
    <row r="36" spans="1:18" ht="15" thickBot="1">
      <c r="A36" s="154" t="s">
        <v>1086</v>
      </c>
      <c r="B36" s="154" t="s">
        <v>1087</v>
      </c>
      <c r="C36" s="152"/>
      <c r="D36" s="167">
        <v>809688</v>
      </c>
      <c r="E36" s="167">
        <v>950806</v>
      </c>
      <c r="F36" s="167">
        <v>1377208</v>
      </c>
      <c r="G36" s="167">
        <v>1394179</v>
      </c>
      <c r="H36" s="167">
        <v>1397260</v>
      </c>
      <c r="I36" s="167">
        <v>1473040</v>
      </c>
      <c r="J36" s="167">
        <v>1592967</v>
      </c>
      <c r="K36" s="167">
        <v>1729261</v>
      </c>
      <c r="L36" s="167">
        <v>1925201</v>
      </c>
      <c r="M36" s="167">
        <v>2022206</v>
      </c>
      <c r="N36" s="167">
        <v>2088566</v>
      </c>
      <c r="O36" s="167">
        <v>2262810</v>
      </c>
      <c r="P36" s="167">
        <v>2436383</v>
      </c>
      <c r="Q36" s="167">
        <v>2515664</v>
      </c>
      <c r="R36" s="167">
        <v>2681686</v>
      </c>
    </row>
    <row r="37" spans="1:18" ht="15" thickBot="1">
      <c r="A37" s="155" t="s">
        <v>1164</v>
      </c>
      <c r="B37" s="155" t="s">
        <v>1165</v>
      </c>
      <c r="C37" s="148"/>
      <c r="D37" s="156">
        <f t="shared" ref="D37:N37" si="6">SUM(D38:D42)</f>
        <v>11006740</v>
      </c>
      <c r="E37" s="156">
        <f t="shared" si="6"/>
        <v>11183240</v>
      </c>
      <c r="F37" s="156">
        <f t="shared" si="6"/>
        <v>11231294</v>
      </c>
      <c r="G37" s="156">
        <f t="shared" si="6"/>
        <v>11444160</v>
      </c>
      <c r="H37" s="156">
        <f t="shared" si="6"/>
        <v>11609897</v>
      </c>
      <c r="I37" s="156">
        <f t="shared" si="6"/>
        <v>11716863</v>
      </c>
      <c r="J37" s="156">
        <f t="shared" si="6"/>
        <v>11881316</v>
      </c>
      <c r="K37" s="156">
        <f t="shared" si="6"/>
        <v>12203208</v>
      </c>
      <c r="L37" s="156">
        <f t="shared" si="6"/>
        <v>12462724</v>
      </c>
      <c r="M37" s="156">
        <f t="shared" si="6"/>
        <v>12687947</v>
      </c>
      <c r="N37" s="156">
        <f t="shared" si="6"/>
        <v>13150187</v>
      </c>
      <c r="O37" s="156">
        <f t="shared" ref="O37:Q37" si="7">SUM(O38:O42)</f>
        <v>13557123</v>
      </c>
      <c r="P37" s="156">
        <f t="shared" si="7"/>
        <v>13876865</v>
      </c>
      <c r="Q37" s="156">
        <f t="shared" si="7"/>
        <v>14241973</v>
      </c>
      <c r="R37" s="156">
        <f>SUM(R38:R42)</f>
        <v>14583543</v>
      </c>
    </row>
    <row r="38" spans="1:18">
      <c r="A38" s="151" t="s">
        <v>1088</v>
      </c>
      <c r="B38" s="151" t="s">
        <v>1089</v>
      </c>
      <c r="C38" s="152"/>
      <c r="D38" s="167"/>
      <c r="E38" s="167"/>
      <c r="F38" s="167">
        <v>0</v>
      </c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</row>
    <row r="39" spans="1:18">
      <c r="A39" s="151" t="s">
        <v>1205</v>
      </c>
      <c r="B39" s="151" t="s">
        <v>1187</v>
      </c>
      <c r="C39" s="152"/>
      <c r="D39" s="167">
        <v>2207951</v>
      </c>
      <c r="E39" s="167">
        <v>2435187</v>
      </c>
      <c r="F39" s="167">
        <v>1535956</v>
      </c>
      <c r="G39" s="167">
        <v>1490935</v>
      </c>
      <c r="H39" s="167">
        <v>1589097</v>
      </c>
      <c r="I39" s="167">
        <v>1684149</v>
      </c>
      <c r="J39" s="167">
        <v>1692683</v>
      </c>
      <c r="K39" s="167">
        <v>1745737</v>
      </c>
      <c r="L39" s="167">
        <v>1747377</v>
      </c>
      <c r="M39" s="167">
        <v>1808010</v>
      </c>
      <c r="N39" s="167">
        <v>2090635</v>
      </c>
      <c r="O39" s="167">
        <v>2460159</v>
      </c>
      <c r="P39" s="167">
        <v>2318175</v>
      </c>
      <c r="Q39" s="167">
        <v>2725446</v>
      </c>
      <c r="R39" s="167">
        <v>2793193</v>
      </c>
    </row>
    <row r="40" spans="1:18">
      <c r="A40" s="151" t="s">
        <v>1188</v>
      </c>
      <c r="B40" s="151" t="s">
        <v>1189</v>
      </c>
      <c r="C40" s="152"/>
      <c r="D40" s="167"/>
      <c r="E40" s="167"/>
      <c r="F40" s="167">
        <v>0</v>
      </c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</row>
    <row r="41" spans="1:18">
      <c r="A41" s="151" t="s">
        <v>1096</v>
      </c>
      <c r="B41" s="151" t="s">
        <v>1097</v>
      </c>
      <c r="C41" s="152"/>
      <c r="D41" s="167">
        <v>19211</v>
      </c>
      <c r="E41" s="167">
        <v>15631</v>
      </c>
      <c r="F41" s="167">
        <v>12333</v>
      </c>
      <c r="G41" s="167">
        <v>9090</v>
      </c>
      <c r="H41" s="167">
        <v>6702</v>
      </c>
      <c r="I41" s="167">
        <v>5858</v>
      </c>
      <c r="J41" s="167">
        <v>3554</v>
      </c>
      <c r="K41" s="167">
        <v>3950</v>
      </c>
      <c r="L41" s="167">
        <v>3643</v>
      </c>
      <c r="M41" s="167">
        <v>4605</v>
      </c>
      <c r="N41" s="167">
        <v>5205</v>
      </c>
      <c r="O41" s="167">
        <v>4751</v>
      </c>
      <c r="P41" s="167">
        <v>4224</v>
      </c>
      <c r="Q41" s="167">
        <v>3905</v>
      </c>
      <c r="R41" s="167">
        <v>3553</v>
      </c>
    </row>
    <row r="42" spans="1:18" ht="15" thickBot="1">
      <c r="A42" s="151" t="s">
        <v>1092</v>
      </c>
      <c r="B42" s="151" t="s">
        <v>1093</v>
      </c>
      <c r="C42" s="152"/>
      <c r="D42" s="167">
        <v>8779578</v>
      </c>
      <c r="E42" s="167">
        <v>8732422</v>
      </c>
      <c r="F42" s="167">
        <v>9683005</v>
      </c>
      <c r="G42" s="167">
        <v>9944135</v>
      </c>
      <c r="H42" s="167">
        <v>10014098</v>
      </c>
      <c r="I42" s="167">
        <v>10026856</v>
      </c>
      <c r="J42" s="167">
        <v>10185079</v>
      </c>
      <c r="K42" s="167">
        <v>10453521</v>
      </c>
      <c r="L42" s="167">
        <v>10711704</v>
      </c>
      <c r="M42" s="167">
        <v>10875332</v>
      </c>
      <c r="N42" s="167">
        <v>11054347</v>
      </c>
      <c r="O42" s="167">
        <v>11092213</v>
      </c>
      <c r="P42" s="167">
        <v>11554466</v>
      </c>
      <c r="Q42" s="167">
        <v>11512622</v>
      </c>
      <c r="R42" s="167">
        <v>11786797</v>
      </c>
    </row>
    <row r="43" spans="1:18" ht="15" thickBot="1">
      <c r="A43" s="155" t="s">
        <v>1098</v>
      </c>
      <c r="B43" s="155" t="s">
        <v>1099</v>
      </c>
      <c r="C43" s="148"/>
      <c r="D43" s="156">
        <f t="shared" ref="D43:N43" si="8">D8+D22</f>
        <v>19483678</v>
      </c>
      <c r="E43" s="156">
        <f t="shared" si="8"/>
        <v>19948625</v>
      </c>
      <c r="F43" s="156">
        <f t="shared" si="8"/>
        <v>21311209</v>
      </c>
      <c r="G43" s="156">
        <f t="shared" si="8"/>
        <v>21115776</v>
      </c>
      <c r="H43" s="156">
        <f t="shared" si="8"/>
        <v>22311645</v>
      </c>
      <c r="I43" s="156">
        <f t="shared" si="8"/>
        <v>21902897</v>
      </c>
      <c r="J43" s="156">
        <f t="shared" si="8"/>
        <v>23412209</v>
      </c>
      <c r="K43" s="156">
        <f t="shared" si="8"/>
        <v>23010067</v>
      </c>
      <c r="L43" s="156">
        <f t="shared" si="8"/>
        <v>23779054</v>
      </c>
      <c r="M43" s="156">
        <f t="shared" si="8"/>
        <v>23507387</v>
      </c>
      <c r="N43" s="156">
        <f t="shared" si="8"/>
        <v>23753564</v>
      </c>
      <c r="O43" s="156">
        <f t="shared" ref="O43:Q43" si="9">O8+O22</f>
        <v>26105076</v>
      </c>
      <c r="P43" s="156">
        <f t="shared" si="9"/>
        <v>26227750</v>
      </c>
      <c r="Q43" s="156">
        <f t="shared" si="9"/>
        <v>27598167</v>
      </c>
      <c r="R43" s="156">
        <f>R8+R22</f>
        <v>27758774</v>
      </c>
    </row>
    <row r="44" spans="1:18">
      <c r="A44" s="151"/>
      <c r="B44" s="151"/>
      <c r="C44" s="152"/>
    </row>
    <row r="45" spans="1:18" ht="15" thickBot="1">
      <c r="A45" s="6" t="s">
        <v>1100</v>
      </c>
      <c r="B45" s="6" t="s">
        <v>1101</v>
      </c>
      <c r="C45" s="146"/>
      <c r="D45" s="434" t="str">
        <f>D7</f>
        <v>4T22</v>
      </c>
      <c r="E45" s="434" t="str">
        <f>E7</f>
        <v>1T23</v>
      </c>
      <c r="F45" s="434" t="s">
        <v>80</v>
      </c>
      <c r="G45" s="434" t="s">
        <v>81</v>
      </c>
      <c r="H45" s="434" t="s">
        <v>82</v>
      </c>
      <c r="I45" s="434" t="s">
        <v>83</v>
      </c>
      <c r="J45" s="434" t="s">
        <v>84</v>
      </c>
      <c r="K45" s="434" t="s">
        <v>85</v>
      </c>
      <c r="L45" s="434" t="s">
        <v>86</v>
      </c>
      <c r="M45" s="434" t="s">
        <v>87</v>
      </c>
      <c r="N45" s="434" t="str">
        <f>+N7</f>
        <v>2T25</v>
      </c>
      <c r="O45" s="434" t="str">
        <f>+O7</f>
        <v>3T25</v>
      </c>
      <c r="P45" s="434" t="str">
        <f>+P7</f>
        <v>4T25</v>
      </c>
      <c r="Q45" s="434" t="str">
        <f>+Q7</f>
        <v>1T26</v>
      </c>
      <c r="R45" s="434" t="str">
        <f>+R7</f>
        <v>2T26</v>
      </c>
    </row>
    <row r="46" spans="1:18" ht="15" thickBot="1">
      <c r="A46" s="147" t="s">
        <v>1051</v>
      </c>
      <c r="B46" s="147" t="s">
        <v>1052</v>
      </c>
      <c r="C46" s="148"/>
      <c r="D46" s="149">
        <f t="shared" ref="D46:N46" si="10">SUM(D47:D65)</f>
        <v>9322065</v>
      </c>
      <c r="E46" s="149">
        <f t="shared" si="10"/>
        <v>2754484</v>
      </c>
      <c r="F46" s="149">
        <f t="shared" si="10"/>
        <v>3406190</v>
      </c>
      <c r="G46" s="149">
        <f t="shared" si="10"/>
        <v>4246619</v>
      </c>
      <c r="H46" s="149">
        <f t="shared" si="10"/>
        <v>3465730</v>
      </c>
      <c r="I46" s="149">
        <f t="shared" si="10"/>
        <v>3075071</v>
      </c>
      <c r="J46" s="149">
        <f t="shared" si="10"/>
        <v>3264617</v>
      </c>
      <c r="K46" s="149">
        <f t="shared" si="10"/>
        <v>3045799</v>
      </c>
      <c r="L46" s="149">
        <f t="shared" si="10"/>
        <v>3168455</v>
      </c>
      <c r="M46" s="149">
        <f t="shared" si="10"/>
        <v>3257015</v>
      </c>
      <c r="N46" s="149">
        <f t="shared" si="10"/>
        <v>3202273</v>
      </c>
      <c r="O46" s="149">
        <f t="shared" ref="O46:Q46" si="11">SUM(O47:O65)</f>
        <v>3273662</v>
      </c>
      <c r="P46" s="149">
        <f t="shared" si="11"/>
        <v>4658634</v>
      </c>
      <c r="Q46" s="149">
        <f t="shared" si="11"/>
        <v>4440026</v>
      </c>
      <c r="R46" s="149">
        <f>SUM(R47:R65)</f>
        <v>3723317</v>
      </c>
    </row>
    <row r="47" spans="1:18">
      <c r="A47" s="160" t="s">
        <v>1102</v>
      </c>
      <c r="B47" s="160" t="s">
        <v>1103</v>
      </c>
      <c r="C47" s="161"/>
      <c r="D47" s="167">
        <v>1428060</v>
      </c>
      <c r="E47" s="167">
        <v>1336691</v>
      </c>
      <c r="F47" s="167">
        <v>1359994</v>
      </c>
      <c r="G47" s="167">
        <v>1368980</v>
      </c>
      <c r="H47" s="167">
        <v>1556678</v>
      </c>
      <c r="I47" s="167">
        <v>1311429</v>
      </c>
      <c r="J47" s="167">
        <v>1373025</v>
      </c>
      <c r="K47" s="167">
        <v>1310709</v>
      </c>
      <c r="L47" s="167">
        <v>1369165</v>
      </c>
      <c r="M47" s="167">
        <v>1199215</v>
      </c>
      <c r="N47" s="167">
        <v>1381419</v>
      </c>
      <c r="O47" s="167">
        <v>1312313</v>
      </c>
      <c r="P47" s="167">
        <v>1200724</v>
      </c>
      <c r="Q47" s="167">
        <v>1204911</v>
      </c>
      <c r="R47" s="167">
        <v>1178373</v>
      </c>
    </row>
    <row r="48" spans="1:18">
      <c r="A48" s="160" t="s">
        <v>1104</v>
      </c>
      <c r="B48" s="160" t="s">
        <v>876</v>
      </c>
      <c r="C48" s="161"/>
      <c r="D48" s="167">
        <v>51863</v>
      </c>
      <c r="E48" s="167">
        <v>65870</v>
      </c>
      <c r="F48" s="167">
        <v>86023</v>
      </c>
      <c r="G48" s="167">
        <v>74163</v>
      </c>
      <c r="H48" s="167">
        <v>74649</v>
      </c>
      <c r="I48" s="167">
        <v>63913</v>
      </c>
      <c r="J48" s="167">
        <v>58060</v>
      </c>
      <c r="K48" s="167">
        <v>82859</v>
      </c>
      <c r="L48" s="167">
        <v>83278</v>
      </c>
      <c r="M48" s="167">
        <v>45404</v>
      </c>
      <c r="N48" s="167">
        <v>50051</v>
      </c>
      <c r="O48" s="167">
        <v>64943</v>
      </c>
      <c r="P48" s="167">
        <v>32667</v>
      </c>
      <c r="Q48" s="167">
        <v>38192</v>
      </c>
      <c r="R48" s="167">
        <v>49477</v>
      </c>
    </row>
    <row r="49" spans="1:18">
      <c r="A49" s="151" t="s">
        <v>1105</v>
      </c>
      <c r="B49" s="151" t="s">
        <v>1106</v>
      </c>
      <c r="C49" s="152"/>
      <c r="D49" s="167">
        <v>7056087</v>
      </c>
      <c r="E49" s="167">
        <v>588934</v>
      </c>
      <c r="F49" s="167">
        <v>609159</v>
      </c>
      <c r="G49" s="167">
        <v>639093</v>
      </c>
      <c r="H49" s="167">
        <v>11977</v>
      </c>
      <c r="I49" s="167">
        <v>12162</v>
      </c>
      <c r="J49" s="167">
        <v>12340</v>
      </c>
      <c r="K49" s="167">
        <v>17064</v>
      </c>
      <c r="L49" s="167">
        <v>26378</v>
      </c>
      <c r="M49" s="167">
        <v>25286</v>
      </c>
      <c r="N49" s="167">
        <v>42658</v>
      </c>
      <c r="O49" s="167">
        <v>80977</v>
      </c>
      <c r="P49" s="167">
        <v>689381</v>
      </c>
      <c r="Q49" s="167">
        <v>709655</v>
      </c>
      <c r="R49" s="167">
        <v>83164</v>
      </c>
    </row>
    <row r="50" spans="1:18">
      <c r="A50" s="151" t="s">
        <v>1107</v>
      </c>
      <c r="B50" s="151" t="s">
        <v>1108</v>
      </c>
      <c r="C50" s="152"/>
      <c r="D50" s="167"/>
      <c r="E50" s="167">
        <v>139638</v>
      </c>
      <c r="F50" s="167">
        <v>392639</v>
      </c>
      <c r="G50" s="167">
        <v>181386</v>
      </c>
      <c r="H50" s="167">
        <v>360244</v>
      </c>
      <c r="I50" s="167">
        <v>231198</v>
      </c>
      <c r="J50" s="167">
        <v>297168</v>
      </c>
      <c r="K50" s="167">
        <v>222452</v>
      </c>
      <c r="L50" s="167">
        <v>237272</v>
      </c>
      <c r="M50" s="167">
        <v>265376</v>
      </c>
      <c r="N50" s="167">
        <v>298756</v>
      </c>
      <c r="O50" s="167">
        <v>317174</v>
      </c>
      <c r="P50" s="167">
        <v>324492</v>
      </c>
      <c r="Q50" s="167">
        <v>270171</v>
      </c>
      <c r="R50" s="167">
        <v>355813</v>
      </c>
    </row>
    <row r="51" spans="1:18">
      <c r="A51" s="151" t="s">
        <v>1109</v>
      </c>
      <c r="B51" s="151" t="s">
        <v>1110</v>
      </c>
      <c r="C51" s="152"/>
      <c r="D51" s="167"/>
      <c r="E51" s="167"/>
      <c r="F51" s="167">
        <v>281289</v>
      </c>
      <c r="G51" s="167">
        <v>470471</v>
      </c>
      <c r="H51" s="167">
        <v>146117</v>
      </c>
      <c r="I51" s="167">
        <v>311388</v>
      </c>
      <c r="J51" s="167">
        <v>528254</v>
      </c>
      <c r="K51" s="167">
        <v>511658</v>
      </c>
      <c r="L51" s="167">
        <v>375315</v>
      </c>
      <c r="M51" s="167">
        <v>273379</v>
      </c>
      <c r="N51" s="167">
        <v>0</v>
      </c>
      <c r="O51" s="167"/>
      <c r="P51" s="167"/>
      <c r="Q51" s="167"/>
      <c r="R51" s="167"/>
    </row>
    <row r="52" spans="1:18">
      <c r="A52" s="151" t="s">
        <v>1111</v>
      </c>
      <c r="B52" s="151" t="s">
        <v>1112</v>
      </c>
      <c r="C52" s="152"/>
      <c r="D52" s="167">
        <v>114105</v>
      </c>
      <c r="E52" s="167">
        <v>141638</v>
      </c>
      <c r="F52" s="167">
        <v>101432</v>
      </c>
      <c r="G52" s="167">
        <v>124860</v>
      </c>
      <c r="H52" s="167">
        <v>103290</v>
      </c>
      <c r="I52" s="167">
        <v>135571</v>
      </c>
      <c r="J52" s="167">
        <v>215474</v>
      </c>
      <c r="K52" s="167">
        <v>202124</v>
      </c>
      <c r="L52" s="167">
        <v>161386</v>
      </c>
      <c r="M52" s="167">
        <v>226589</v>
      </c>
      <c r="N52" s="167">
        <v>204512</v>
      </c>
      <c r="O52" s="167">
        <v>241764</v>
      </c>
      <c r="P52" s="167">
        <v>328616</v>
      </c>
      <c r="Q52" s="167">
        <v>283266</v>
      </c>
      <c r="R52" s="167">
        <v>277779</v>
      </c>
    </row>
    <row r="53" spans="1:18">
      <c r="A53" s="151" t="s">
        <v>1190</v>
      </c>
      <c r="B53" s="151" t="s">
        <v>1114</v>
      </c>
      <c r="C53" s="152"/>
      <c r="D53" s="167">
        <v>55011</v>
      </c>
      <c r="E53" s="167">
        <v>106227</v>
      </c>
      <c r="F53" s="167">
        <v>73478</v>
      </c>
      <c r="G53" s="167">
        <v>62412</v>
      </c>
      <c r="H53" s="167">
        <v>0</v>
      </c>
      <c r="I53" s="167">
        <v>0</v>
      </c>
      <c r="J53" s="167"/>
      <c r="K53" s="167">
        <v>32939</v>
      </c>
      <c r="L53" s="167"/>
      <c r="M53" s="167">
        <v>7290</v>
      </c>
      <c r="N53" s="167">
        <v>35927</v>
      </c>
      <c r="O53" s="167">
        <v>47010</v>
      </c>
      <c r="P53" s="167">
        <v>572</v>
      </c>
      <c r="Q53" s="167">
        <v>7218</v>
      </c>
      <c r="R53" s="167">
        <v>7196</v>
      </c>
    </row>
    <row r="54" spans="1:18">
      <c r="A54" s="151" t="s">
        <v>1225</v>
      </c>
      <c r="B54" s="151" t="s">
        <v>1116</v>
      </c>
      <c r="C54" s="152"/>
      <c r="D54" s="167"/>
      <c r="E54" s="167"/>
      <c r="F54" s="167">
        <v>0</v>
      </c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</row>
    <row r="55" spans="1:18">
      <c r="A55" s="151" t="s">
        <v>1207</v>
      </c>
      <c r="B55" s="151" t="s">
        <v>1118</v>
      </c>
      <c r="C55" s="152"/>
      <c r="D55" s="167"/>
      <c r="E55" s="167"/>
      <c r="F55" s="167">
        <v>0</v>
      </c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</row>
    <row r="56" spans="1:18">
      <c r="A56" s="151" t="s">
        <v>1119</v>
      </c>
      <c r="B56" s="151" t="s">
        <v>1120</v>
      </c>
      <c r="C56" s="152"/>
      <c r="D56" s="167">
        <v>58481</v>
      </c>
      <c r="E56" s="167">
        <v>65152</v>
      </c>
      <c r="F56" s="167">
        <v>58245</v>
      </c>
      <c r="G56" s="167">
        <v>58220</v>
      </c>
      <c r="H56" s="167">
        <v>52484</v>
      </c>
      <c r="I56" s="167">
        <v>53740</v>
      </c>
      <c r="J56" s="167">
        <v>53008</v>
      </c>
      <c r="K56" s="167">
        <v>54499</v>
      </c>
      <c r="L56" s="167">
        <v>57451</v>
      </c>
      <c r="M56" s="167">
        <v>59329</v>
      </c>
      <c r="N56" s="167">
        <v>60388</v>
      </c>
      <c r="O56" s="167">
        <v>63709</v>
      </c>
      <c r="P56" s="167">
        <v>74683</v>
      </c>
      <c r="Q56" s="167">
        <v>77096</v>
      </c>
      <c r="R56" s="167">
        <v>80387</v>
      </c>
    </row>
    <row r="57" spans="1:18">
      <c r="A57" s="151" t="s">
        <v>1117</v>
      </c>
      <c r="B57" s="151" t="s">
        <v>1122</v>
      </c>
      <c r="C57" s="152"/>
      <c r="D57" s="167">
        <v>100640</v>
      </c>
      <c r="E57" s="167">
        <v>59293</v>
      </c>
      <c r="F57" s="167">
        <v>85516</v>
      </c>
      <c r="G57" s="167">
        <v>66093</v>
      </c>
      <c r="H57" s="167">
        <v>108946</v>
      </c>
      <c r="I57" s="167">
        <v>107376</v>
      </c>
      <c r="J57" s="167">
        <v>104151</v>
      </c>
      <c r="K57" s="167">
        <v>158814</v>
      </c>
      <c r="L57" s="167">
        <v>61997</v>
      </c>
      <c r="M57" s="167">
        <v>63900</v>
      </c>
      <c r="N57" s="167">
        <v>82811</v>
      </c>
      <c r="O57" s="167">
        <v>89611</v>
      </c>
      <c r="P57" s="167">
        <v>38978</v>
      </c>
      <c r="Q57" s="167">
        <v>33746</v>
      </c>
      <c r="R57" s="167">
        <v>36503</v>
      </c>
    </row>
    <row r="58" spans="1:18">
      <c r="A58" s="151" t="s">
        <v>1123</v>
      </c>
      <c r="B58" s="151" t="s">
        <v>1124</v>
      </c>
      <c r="C58" s="152"/>
      <c r="D58" s="167"/>
      <c r="E58" s="167"/>
      <c r="F58" s="167">
        <v>0</v>
      </c>
      <c r="G58" s="167"/>
      <c r="H58" s="167"/>
      <c r="I58" s="167"/>
      <c r="J58" s="167"/>
      <c r="K58" s="167"/>
      <c r="L58" s="167"/>
      <c r="M58" s="167"/>
      <c r="N58" s="167"/>
      <c r="O58" s="167"/>
      <c r="P58" s="167">
        <v>30856</v>
      </c>
      <c r="Q58" s="167">
        <v>47100</v>
      </c>
      <c r="R58" s="167">
        <v>20368</v>
      </c>
    </row>
    <row r="59" spans="1:18">
      <c r="A59" s="151" t="s">
        <v>1173</v>
      </c>
      <c r="B59" s="151" t="s">
        <v>753</v>
      </c>
      <c r="C59" s="152"/>
      <c r="D59" s="167"/>
      <c r="E59" s="167"/>
      <c r="F59" s="167">
        <v>0</v>
      </c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</row>
    <row r="60" spans="1:18">
      <c r="A60" s="151" t="s">
        <v>1072</v>
      </c>
      <c r="B60" s="151" t="s">
        <v>1073</v>
      </c>
      <c r="C60" s="152"/>
      <c r="D60" s="167"/>
      <c r="E60" s="167"/>
      <c r="F60" s="167">
        <v>0</v>
      </c>
      <c r="G60" s="167"/>
      <c r="H60" s="167"/>
      <c r="I60" s="167"/>
      <c r="J60" s="167">
        <v>65</v>
      </c>
      <c r="K60" s="167">
        <v>544</v>
      </c>
      <c r="L60" s="167">
        <v>814</v>
      </c>
      <c r="M60" s="167">
        <v>2050</v>
      </c>
      <c r="N60" s="167">
        <v>1163</v>
      </c>
      <c r="O60" s="167">
        <v>3273</v>
      </c>
      <c r="P60" s="167">
        <v>1154</v>
      </c>
      <c r="Q60" s="167">
        <v>1086</v>
      </c>
      <c r="R60" s="167">
        <v>2546</v>
      </c>
    </row>
    <row r="61" spans="1:18">
      <c r="A61" s="151" t="s">
        <v>1127</v>
      </c>
      <c r="B61" s="151" t="s">
        <v>1128</v>
      </c>
      <c r="C61" s="152"/>
      <c r="D61" s="167">
        <v>218032</v>
      </c>
      <c r="E61" s="167">
        <v>53586</v>
      </c>
      <c r="F61" s="167">
        <v>132432</v>
      </c>
      <c r="G61" s="167">
        <v>968707</v>
      </c>
      <c r="H61" s="167">
        <v>728972</v>
      </c>
      <c r="I61" s="167">
        <v>472252</v>
      </c>
      <c r="J61" s="167">
        <v>204708</v>
      </c>
      <c r="K61" s="167">
        <v>0</v>
      </c>
      <c r="L61" s="167">
        <v>204611</v>
      </c>
      <c r="M61" s="167">
        <v>145473</v>
      </c>
      <c r="N61" s="167">
        <v>81205</v>
      </c>
      <c r="O61" s="167">
        <v>17944</v>
      </c>
      <c r="P61" s="167">
        <v>367877</v>
      </c>
      <c r="Q61" s="167">
        <v>252809</v>
      </c>
      <c r="R61" s="167">
        <v>130571</v>
      </c>
    </row>
    <row r="62" spans="1:18">
      <c r="A62" s="151" t="s">
        <v>1208</v>
      </c>
      <c r="B62" s="151" t="s">
        <v>1126</v>
      </c>
      <c r="C62" s="152"/>
      <c r="D62" s="167"/>
      <c r="E62" s="167"/>
      <c r="F62" s="167">
        <v>0</v>
      </c>
      <c r="G62" s="167"/>
      <c r="H62" s="167"/>
      <c r="I62" s="167"/>
      <c r="J62" s="167"/>
      <c r="K62" s="167"/>
      <c r="L62" s="167"/>
      <c r="M62" s="167">
        <v>378167</v>
      </c>
      <c r="N62" s="167">
        <v>325507</v>
      </c>
      <c r="O62" s="167">
        <v>334444</v>
      </c>
      <c r="P62" s="167">
        <v>770305</v>
      </c>
      <c r="Q62" s="167">
        <v>759537</v>
      </c>
      <c r="R62" s="167">
        <v>757996</v>
      </c>
    </row>
    <row r="63" spans="1:18">
      <c r="A63" s="151" t="s">
        <v>1194</v>
      </c>
      <c r="B63" s="151" t="s">
        <v>1195</v>
      </c>
      <c r="C63" s="152"/>
      <c r="D63" s="167"/>
      <c r="E63" s="167"/>
      <c r="F63" s="167">
        <v>2219</v>
      </c>
      <c r="G63" s="167">
        <v>2236</v>
      </c>
      <c r="H63" s="167">
        <v>2485</v>
      </c>
      <c r="I63" s="167">
        <v>2548</v>
      </c>
      <c r="J63" s="167">
        <v>2591</v>
      </c>
      <c r="K63" s="167">
        <v>2388</v>
      </c>
      <c r="L63" s="167">
        <v>2437</v>
      </c>
      <c r="M63" s="167">
        <v>2499</v>
      </c>
      <c r="N63" s="167">
        <v>2548</v>
      </c>
      <c r="O63" s="167">
        <v>2572</v>
      </c>
      <c r="P63" s="167">
        <v>2603</v>
      </c>
      <c r="Q63" s="167">
        <v>2648</v>
      </c>
      <c r="R63" s="167">
        <v>2724</v>
      </c>
    </row>
    <row r="64" spans="1:18">
      <c r="A64" s="151" t="s">
        <v>1130</v>
      </c>
      <c r="B64" s="151" t="s">
        <v>1131</v>
      </c>
      <c r="C64" s="152"/>
      <c r="D64" s="167">
        <v>13238</v>
      </c>
      <c r="E64" s="167">
        <v>13425</v>
      </c>
      <c r="F64" s="167">
        <v>12542</v>
      </c>
      <c r="G64" s="167">
        <v>9362</v>
      </c>
      <c r="H64" s="167">
        <v>6238</v>
      </c>
      <c r="I64" s="167">
        <v>3242</v>
      </c>
      <c r="J64" s="167">
        <v>938</v>
      </c>
      <c r="K64" s="167">
        <v>1001</v>
      </c>
      <c r="L64" s="167">
        <v>959</v>
      </c>
      <c r="M64" s="167">
        <v>1212</v>
      </c>
      <c r="N64" s="167">
        <v>1324</v>
      </c>
      <c r="O64" s="167">
        <v>1331</v>
      </c>
      <c r="P64" s="167">
        <v>1285</v>
      </c>
      <c r="Q64" s="167">
        <v>1284</v>
      </c>
      <c r="R64" s="167">
        <v>1285</v>
      </c>
    </row>
    <row r="65" spans="1:18" ht="15" thickBot="1">
      <c r="A65" s="151" t="s">
        <v>1129</v>
      </c>
      <c r="B65" s="151" t="s">
        <v>96</v>
      </c>
      <c r="C65" s="152"/>
      <c r="D65" s="167">
        <v>226548</v>
      </c>
      <c r="E65" s="167">
        <v>184030</v>
      </c>
      <c r="F65" s="167">
        <v>211222</v>
      </c>
      <c r="G65" s="167">
        <v>220636</v>
      </c>
      <c r="H65" s="167">
        <v>313650</v>
      </c>
      <c r="I65" s="167">
        <v>370252</v>
      </c>
      <c r="J65" s="167">
        <v>414835</v>
      </c>
      <c r="K65" s="167">
        <v>448748</v>
      </c>
      <c r="L65" s="167">
        <v>587392</v>
      </c>
      <c r="M65" s="167">
        <v>561846</v>
      </c>
      <c r="N65" s="167">
        <v>634004</v>
      </c>
      <c r="O65" s="167">
        <v>696597</v>
      </c>
      <c r="P65" s="167">
        <v>794441</v>
      </c>
      <c r="Q65" s="167">
        <v>751307</v>
      </c>
      <c r="R65" s="167">
        <v>739135</v>
      </c>
    </row>
    <row r="66" spans="1:18" ht="15" thickBot="1">
      <c r="A66" s="155" t="s">
        <v>1081</v>
      </c>
      <c r="B66" s="155" t="s">
        <v>1082</v>
      </c>
      <c r="C66" s="148"/>
      <c r="D66" s="156">
        <f t="shared" ref="D66:N66" si="12">SUM(D67:D84)</f>
        <v>5011242</v>
      </c>
      <c r="E66" s="156">
        <f t="shared" si="12"/>
        <v>12103894</v>
      </c>
      <c r="F66" s="156">
        <f t="shared" si="12"/>
        <v>13237010</v>
      </c>
      <c r="G66" s="156">
        <f t="shared" si="12"/>
        <v>12279209</v>
      </c>
      <c r="H66" s="156">
        <f t="shared" si="12"/>
        <v>14305855</v>
      </c>
      <c r="I66" s="156">
        <f t="shared" si="12"/>
        <v>14345851</v>
      </c>
      <c r="J66" s="156">
        <f t="shared" si="12"/>
        <v>15781914</v>
      </c>
      <c r="K66" s="156">
        <f t="shared" si="12"/>
        <v>15519418</v>
      </c>
      <c r="L66" s="156">
        <f t="shared" si="12"/>
        <v>15773038</v>
      </c>
      <c r="M66" s="156">
        <f t="shared" si="12"/>
        <v>15454130</v>
      </c>
      <c r="N66" s="156">
        <f t="shared" si="12"/>
        <v>15641014</v>
      </c>
      <c r="O66" s="156">
        <f t="shared" ref="O66" si="13">SUM(O67:O84)</f>
        <v>17918014</v>
      </c>
      <c r="P66" s="156">
        <f t="shared" ref="P66:Q66" si="14">SUM(P67:P84)</f>
        <v>17050196</v>
      </c>
      <c r="Q66" s="156">
        <f t="shared" si="14"/>
        <v>18718702</v>
      </c>
      <c r="R66" s="156">
        <f>SUM(R67:R84)</f>
        <v>19678317</v>
      </c>
    </row>
    <row r="67" spans="1:18">
      <c r="A67" s="160" t="s">
        <v>1102</v>
      </c>
      <c r="B67" s="160" t="s">
        <v>1103</v>
      </c>
      <c r="C67" s="148"/>
      <c r="D67" s="177">
        <v>290061</v>
      </c>
      <c r="E67" s="177">
        <v>261055</v>
      </c>
      <c r="F67" s="177">
        <v>232049</v>
      </c>
      <c r="G67" s="178">
        <v>203043</v>
      </c>
      <c r="H67" s="178">
        <v>174037</v>
      </c>
      <c r="I67" s="178">
        <v>145031</v>
      </c>
      <c r="J67" s="178">
        <v>116024</v>
      </c>
      <c r="K67" s="178">
        <v>87018</v>
      </c>
      <c r="L67" s="178">
        <v>58012</v>
      </c>
      <c r="M67" s="178">
        <v>29006</v>
      </c>
      <c r="N67" s="178"/>
      <c r="O67" s="178"/>
      <c r="P67" s="178"/>
      <c r="Q67" s="178"/>
      <c r="R67" s="178"/>
    </row>
    <row r="68" spans="1:18">
      <c r="A68" s="151" t="s">
        <v>1105</v>
      </c>
      <c r="B68" s="151" t="s">
        <v>1106</v>
      </c>
      <c r="C68" s="152"/>
      <c r="D68" s="179">
        <v>50970</v>
      </c>
      <c r="E68" s="177">
        <v>46886</v>
      </c>
      <c r="F68" s="177">
        <v>43961</v>
      </c>
      <c r="G68" s="178">
        <v>40988</v>
      </c>
      <c r="H68" s="178">
        <v>37966</v>
      </c>
      <c r="I68" s="178">
        <v>34893</v>
      </c>
      <c r="J68" s="178">
        <v>31769</v>
      </c>
      <c r="K68" s="178">
        <v>411746</v>
      </c>
      <c r="L68" s="178">
        <v>636958</v>
      </c>
      <c r="M68" s="178">
        <v>604403</v>
      </c>
      <c r="N68" s="178">
        <v>863435</v>
      </c>
      <c r="O68" s="178">
        <v>1599466</v>
      </c>
      <c r="P68" s="178">
        <v>1621687</v>
      </c>
      <c r="Q68" s="178">
        <v>1580274</v>
      </c>
      <c r="R68" s="178">
        <v>2328306</v>
      </c>
    </row>
    <row r="69" spans="1:18">
      <c r="A69" s="151" t="s">
        <v>1107</v>
      </c>
      <c r="B69" s="151" t="s">
        <v>1108</v>
      </c>
      <c r="C69" s="152"/>
      <c r="D69" s="179"/>
      <c r="E69" s="177">
        <v>6930913</v>
      </c>
      <c r="F69" s="177">
        <v>7915564</v>
      </c>
      <c r="G69" s="178">
        <v>7924222</v>
      </c>
      <c r="H69" s="178">
        <v>9545531</v>
      </c>
      <c r="I69" s="178">
        <v>9611894</v>
      </c>
      <c r="J69" s="178">
        <v>11197972</v>
      </c>
      <c r="K69" s="178">
        <v>10738846</v>
      </c>
      <c r="L69" s="178">
        <v>11242780</v>
      </c>
      <c r="M69" s="178">
        <v>11346655</v>
      </c>
      <c r="N69" s="178">
        <v>11305576</v>
      </c>
      <c r="O69" s="178">
        <v>12722255</v>
      </c>
      <c r="P69" s="178">
        <v>12309325</v>
      </c>
      <c r="Q69" s="178">
        <v>13945919</v>
      </c>
      <c r="R69" s="178">
        <v>13977324</v>
      </c>
    </row>
    <row r="70" spans="1:18">
      <c r="A70" s="151" t="s">
        <v>1111</v>
      </c>
      <c r="B70" s="151" t="s">
        <v>1112</v>
      </c>
      <c r="C70" s="152"/>
      <c r="D70" s="179">
        <v>5634</v>
      </c>
      <c r="E70" s="177">
        <v>5366</v>
      </c>
      <c r="F70" s="177">
        <v>5098</v>
      </c>
      <c r="G70" s="178">
        <v>4829</v>
      </c>
      <c r="H70" s="178">
        <v>3446</v>
      </c>
      <c r="I70" s="178">
        <v>3184</v>
      </c>
      <c r="J70" s="178">
        <v>2983</v>
      </c>
      <c r="K70" s="178">
        <v>0</v>
      </c>
      <c r="L70" s="178">
        <v>38695</v>
      </c>
      <c r="M70" s="178">
        <v>35338</v>
      </c>
      <c r="N70" s="178">
        <v>33994</v>
      </c>
      <c r="O70" s="178">
        <v>28610</v>
      </c>
      <c r="P70" s="178">
        <v>22765</v>
      </c>
      <c r="Q70" s="178">
        <v>18384</v>
      </c>
      <c r="R70" s="178">
        <v>13602</v>
      </c>
    </row>
    <row r="71" spans="1:18">
      <c r="A71" s="151" t="s">
        <v>1209</v>
      </c>
      <c r="B71" s="151" t="s">
        <v>1210</v>
      </c>
      <c r="C71" s="152"/>
      <c r="D71" s="179"/>
      <c r="E71" s="179"/>
      <c r="F71" s="177">
        <v>0</v>
      </c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</row>
    <row r="72" spans="1:18">
      <c r="A72" s="151" t="s">
        <v>1162</v>
      </c>
      <c r="B72" s="151" t="s">
        <v>1133</v>
      </c>
      <c r="C72" s="152"/>
      <c r="D72" s="179"/>
      <c r="E72" s="179"/>
      <c r="F72" s="177"/>
      <c r="G72" s="178">
        <v>0</v>
      </c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</row>
    <row r="73" spans="1:18">
      <c r="A73" s="151" t="s">
        <v>1072</v>
      </c>
      <c r="B73" s="151" t="s">
        <v>1073</v>
      </c>
      <c r="C73" s="152"/>
      <c r="D73" s="179"/>
      <c r="E73" s="179"/>
      <c r="F73" s="179"/>
      <c r="G73" s="179">
        <v>0</v>
      </c>
      <c r="H73" s="179"/>
      <c r="I73" s="179"/>
      <c r="J73" s="179"/>
      <c r="K73" s="179"/>
    </row>
    <row r="74" spans="1:18">
      <c r="A74" s="151" t="s">
        <v>1208</v>
      </c>
      <c r="B74" s="151" t="s">
        <v>1126</v>
      </c>
      <c r="C74" s="152"/>
      <c r="D74" s="179">
        <v>1364464</v>
      </c>
      <c r="E74" s="179">
        <v>1412738</v>
      </c>
      <c r="F74" s="179">
        <v>1982363</v>
      </c>
      <c r="G74" s="179">
        <v>2025310</v>
      </c>
      <c r="H74" s="179">
        <v>2048712</v>
      </c>
      <c r="I74" s="179">
        <v>2075530</v>
      </c>
      <c r="J74" s="179">
        <v>2082138</v>
      </c>
      <c r="K74" s="179">
        <v>2073266</v>
      </c>
      <c r="L74" s="179">
        <v>1708394</v>
      </c>
      <c r="M74" s="179">
        <v>1359325</v>
      </c>
      <c r="N74" s="179">
        <v>1386904</v>
      </c>
      <c r="O74" s="179">
        <v>1343322</v>
      </c>
      <c r="P74" s="179">
        <v>1329410</v>
      </c>
      <c r="Q74" s="179">
        <v>1302144</v>
      </c>
      <c r="R74" s="179">
        <v>1272853</v>
      </c>
    </row>
    <row r="75" spans="1:18">
      <c r="A75" s="151" t="s">
        <v>1109</v>
      </c>
      <c r="B75" s="151" t="s">
        <v>1110</v>
      </c>
      <c r="C75" s="152"/>
      <c r="D75" s="179">
        <v>254440</v>
      </c>
      <c r="E75" s="179">
        <v>312917</v>
      </c>
      <c r="F75" s="179">
        <v>112432</v>
      </c>
      <c r="G75" s="179">
        <v>37025</v>
      </c>
      <c r="H75" s="179">
        <v>431761</v>
      </c>
      <c r="I75" s="179">
        <v>358322</v>
      </c>
      <c r="J75" s="179">
        <v>231954</v>
      </c>
      <c r="K75" s="179">
        <v>38044</v>
      </c>
      <c r="L75" s="179">
        <v>85376</v>
      </c>
      <c r="M75" s="179">
        <v>22250</v>
      </c>
      <c r="N75" s="179">
        <v>0</v>
      </c>
      <c r="O75" s="179"/>
      <c r="P75" s="179"/>
      <c r="Q75" s="179"/>
      <c r="R75" s="179"/>
    </row>
    <row r="76" spans="1:18">
      <c r="A76" s="151" t="s">
        <v>1173</v>
      </c>
      <c r="B76" s="151" t="s">
        <v>753</v>
      </c>
      <c r="C76" s="152"/>
      <c r="D76" s="179"/>
      <c r="E76" s="179"/>
      <c r="F76" s="179">
        <v>0</v>
      </c>
      <c r="G76" s="179"/>
      <c r="H76" s="179"/>
      <c r="I76" s="179"/>
      <c r="J76" s="179"/>
      <c r="K76" s="179"/>
      <c r="L76" s="179"/>
      <c r="M76" s="179"/>
      <c r="N76" s="179"/>
      <c r="O76" s="179"/>
      <c r="P76" s="179"/>
      <c r="Q76" s="179"/>
      <c r="R76" s="179"/>
    </row>
    <row r="77" spans="1:18">
      <c r="A77" s="151" t="s">
        <v>1119</v>
      </c>
      <c r="B77" s="151" t="s">
        <v>1120</v>
      </c>
      <c r="C77" s="152"/>
      <c r="D77" s="179"/>
      <c r="E77" s="179"/>
      <c r="F77" s="179">
        <v>0</v>
      </c>
      <c r="G77" s="179"/>
      <c r="H77" s="179"/>
      <c r="I77" s="179"/>
      <c r="J77" s="179"/>
      <c r="K77" s="179"/>
      <c r="L77" s="179"/>
      <c r="M77" s="179"/>
      <c r="N77" s="179"/>
      <c r="O77" s="179"/>
      <c r="P77" s="179"/>
      <c r="Q77" s="179"/>
      <c r="R77" s="179"/>
    </row>
    <row r="78" spans="1:18">
      <c r="A78" s="151" t="s">
        <v>1117</v>
      </c>
      <c r="B78" s="151" t="s">
        <v>1118</v>
      </c>
      <c r="C78" s="152"/>
      <c r="D78" s="179">
        <v>36633</v>
      </c>
      <c r="E78" s="179">
        <v>64163</v>
      </c>
      <c r="F78" s="178">
        <v>70894</v>
      </c>
      <c r="G78" s="179">
        <v>81189</v>
      </c>
      <c r="H78" s="179">
        <v>64817</v>
      </c>
      <c r="I78" s="179">
        <v>75413</v>
      </c>
      <c r="J78" s="179">
        <v>83938</v>
      </c>
      <c r="K78" s="179">
        <v>95827</v>
      </c>
      <c r="L78" s="179">
        <v>106209</v>
      </c>
      <c r="M78" s="179">
        <v>116354</v>
      </c>
      <c r="N78" s="179">
        <v>127297</v>
      </c>
      <c r="O78" s="179">
        <v>139620</v>
      </c>
      <c r="P78" s="179">
        <v>152002</v>
      </c>
      <c r="Q78" s="179">
        <v>166186</v>
      </c>
      <c r="R78" s="179">
        <v>182149</v>
      </c>
    </row>
    <row r="79" spans="1:18">
      <c r="A79" s="151" t="s">
        <v>1072</v>
      </c>
      <c r="B79" s="151" t="s">
        <v>1073</v>
      </c>
      <c r="C79" s="152"/>
      <c r="D79" s="179"/>
      <c r="E79" s="179"/>
      <c r="F79" s="178"/>
      <c r="G79" s="179"/>
      <c r="H79" s="179"/>
      <c r="I79" s="179"/>
      <c r="J79" s="179">
        <v>23797</v>
      </c>
      <c r="K79" s="179">
        <v>29468</v>
      </c>
      <c r="L79" s="179">
        <v>131746</v>
      </c>
      <c r="M79" s="179">
        <v>141818</v>
      </c>
      <c r="N79" s="179">
        <v>91295</v>
      </c>
      <c r="O79" s="179">
        <v>200285</v>
      </c>
      <c r="P79" s="179">
        <v>150551</v>
      </c>
      <c r="Q79" s="179">
        <v>205462</v>
      </c>
      <c r="R79" s="179">
        <v>372844</v>
      </c>
    </row>
    <row r="80" spans="1:18">
      <c r="A80" s="151" t="s">
        <v>1127</v>
      </c>
      <c r="B80" s="151" t="s">
        <v>1128</v>
      </c>
      <c r="C80" s="152"/>
      <c r="D80" s="179">
        <v>2807467</v>
      </c>
      <c r="E80" s="179">
        <v>2869501</v>
      </c>
      <c r="F80" s="179">
        <v>2663331</v>
      </c>
      <c r="G80" s="333">
        <v>1751092</v>
      </c>
      <c r="H80" s="333">
        <v>1795557</v>
      </c>
      <c r="I80" s="333">
        <v>1834249</v>
      </c>
      <c r="J80" s="333">
        <v>1804127</v>
      </c>
      <c r="K80" s="333">
        <v>1837749</v>
      </c>
      <c r="L80" s="333">
        <v>1537807</v>
      </c>
      <c r="M80" s="333">
        <v>1570400</v>
      </c>
      <c r="N80" s="333">
        <v>1603351</v>
      </c>
      <c r="O80" s="333">
        <v>1651918</v>
      </c>
      <c r="P80" s="333">
        <v>1185992</v>
      </c>
      <c r="Q80" s="333">
        <v>1213332</v>
      </c>
      <c r="R80" s="771">
        <v>1240629</v>
      </c>
    </row>
    <row r="81" spans="1:18">
      <c r="A81" s="151" t="s">
        <v>1174</v>
      </c>
      <c r="B81" s="151" t="s">
        <v>1175</v>
      </c>
      <c r="C81" s="152"/>
      <c r="D81" s="179"/>
      <c r="E81" s="179"/>
      <c r="F81" s="179">
        <v>0</v>
      </c>
      <c r="G81" s="179"/>
      <c r="H81" s="179"/>
      <c r="I81" s="179"/>
      <c r="J81" s="179"/>
      <c r="K81" s="179"/>
      <c r="L81" s="179"/>
      <c r="M81" s="179"/>
      <c r="N81" s="179"/>
      <c r="O81" s="179"/>
      <c r="P81" s="179"/>
      <c r="Q81" s="179"/>
      <c r="R81" s="179"/>
    </row>
    <row r="82" spans="1:18">
      <c r="A82" s="151" t="s">
        <v>1194</v>
      </c>
      <c r="B82" s="151" t="s">
        <v>1195</v>
      </c>
      <c r="C82" s="152"/>
      <c r="D82" s="179">
        <v>162522</v>
      </c>
      <c r="E82" s="179">
        <v>164181</v>
      </c>
      <c r="F82" s="179">
        <v>164252</v>
      </c>
      <c r="G82" s="179">
        <v>166249</v>
      </c>
      <c r="H82" s="179">
        <v>159084</v>
      </c>
      <c r="I82" s="179">
        <v>160331</v>
      </c>
      <c r="J82" s="179">
        <v>161598</v>
      </c>
      <c r="K82" s="179">
        <v>163111</v>
      </c>
      <c r="L82" s="179">
        <v>151121</v>
      </c>
      <c r="M82" s="179">
        <v>151779</v>
      </c>
      <c r="N82" s="179">
        <v>152285</v>
      </c>
      <c r="O82" s="179">
        <v>152532</v>
      </c>
      <c r="P82" s="179">
        <v>182558</v>
      </c>
      <c r="Q82" s="179">
        <v>183531</v>
      </c>
      <c r="R82" s="179">
        <v>184748</v>
      </c>
    </row>
    <row r="83" spans="1:18">
      <c r="A83" s="151" t="s">
        <v>1129</v>
      </c>
      <c r="B83" s="151" t="s">
        <v>96</v>
      </c>
      <c r="C83" s="152"/>
      <c r="D83" s="179">
        <v>32569</v>
      </c>
      <c r="E83" s="179">
        <v>33123</v>
      </c>
      <c r="F83" s="179">
        <v>46408</v>
      </c>
      <c r="G83" s="179">
        <v>44756</v>
      </c>
      <c r="H83" s="179">
        <v>43865</v>
      </c>
      <c r="I83" s="179">
        <v>44072</v>
      </c>
      <c r="J83" s="179">
        <v>42889</v>
      </c>
      <c r="K83" s="179">
        <v>41238</v>
      </c>
      <c r="L83" s="179">
        <v>73068</v>
      </c>
      <c r="M83" s="179">
        <v>73182</v>
      </c>
      <c r="N83" s="179">
        <v>72716</v>
      </c>
      <c r="O83" s="179">
        <v>76301</v>
      </c>
      <c r="P83" s="179">
        <v>92640</v>
      </c>
      <c r="Q83" s="179">
        <v>100483</v>
      </c>
      <c r="R83" s="179">
        <v>103205</v>
      </c>
    </row>
    <row r="84" spans="1:18" ht="15" thickBot="1">
      <c r="A84" s="151" t="s">
        <v>1130</v>
      </c>
      <c r="B84" s="151" t="s">
        <v>1131</v>
      </c>
      <c r="C84" s="152"/>
      <c r="D84" s="179">
        <v>6482</v>
      </c>
      <c r="E84" s="179">
        <v>3051</v>
      </c>
      <c r="F84" s="333">
        <v>658</v>
      </c>
      <c r="G84" s="179">
        <v>506</v>
      </c>
      <c r="H84" s="179">
        <v>1079</v>
      </c>
      <c r="I84" s="179">
        <v>2932</v>
      </c>
      <c r="J84" s="179">
        <v>2725</v>
      </c>
      <c r="K84" s="179">
        <v>3105</v>
      </c>
      <c r="L84" s="179">
        <v>2872</v>
      </c>
      <c r="M84" s="179">
        <v>3620</v>
      </c>
      <c r="N84" s="179">
        <v>4161</v>
      </c>
      <c r="O84" s="179">
        <v>3705</v>
      </c>
      <c r="P84" s="179">
        <v>3266</v>
      </c>
      <c r="Q84" s="179">
        <v>2987</v>
      </c>
      <c r="R84" s="179">
        <v>2657</v>
      </c>
    </row>
    <row r="85" spans="1:18" ht="15" thickBot="1">
      <c r="A85" s="155" t="s">
        <v>1135</v>
      </c>
      <c r="B85" s="155" t="s">
        <v>1136</v>
      </c>
      <c r="C85" s="148"/>
      <c r="D85" s="156">
        <f>SUM(D86:D94)</f>
        <v>5150371</v>
      </c>
      <c r="E85" s="156">
        <f>SUM(E86:E94)</f>
        <v>5090247</v>
      </c>
      <c r="F85" s="156">
        <f t="shared" ref="F85:N85" si="15">SUM(F86:F94)</f>
        <v>4668009</v>
      </c>
      <c r="G85" s="156">
        <f t="shared" si="15"/>
        <v>4589948</v>
      </c>
      <c r="H85" s="156">
        <f t="shared" si="15"/>
        <v>4540060</v>
      </c>
      <c r="I85" s="156">
        <f t="shared" si="15"/>
        <v>4481975</v>
      </c>
      <c r="J85" s="156">
        <f t="shared" si="15"/>
        <v>4365678</v>
      </c>
      <c r="K85" s="156">
        <f t="shared" si="15"/>
        <v>4444850</v>
      </c>
      <c r="L85" s="156">
        <f t="shared" si="15"/>
        <v>4837561</v>
      </c>
      <c r="M85" s="156">
        <f t="shared" si="15"/>
        <v>4796242</v>
      </c>
      <c r="N85" s="156">
        <f t="shared" si="15"/>
        <v>4910277</v>
      </c>
      <c r="O85" s="156">
        <f t="shared" ref="O85" si="16">SUM(O86:O94)</f>
        <v>4913400</v>
      </c>
      <c r="P85" s="156">
        <f t="shared" ref="P85:Q85" si="17">SUM(P86:P94)</f>
        <v>4518920</v>
      </c>
      <c r="Q85" s="156">
        <f t="shared" si="17"/>
        <v>4439439</v>
      </c>
      <c r="R85" s="156">
        <f>SUM(R86:R94)</f>
        <v>4357140</v>
      </c>
    </row>
    <row r="86" spans="1:18">
      <c r="A86" s="151" t="s">
        <v>1226</v>
      </c>
      <c r="B86" s="151" t="s">
        <v>1226</v>
      </c>
      <c r="C86" s="152"/>
      <c r="D86" s="167"/>
      <c r="E86" s="167"/>
      <c r="F86" s="167">
        <v>5664952</v>
      </c>
      <c r="G86" s="167">
        <v>5664952</v>
      </c>
      <c r="H86" s="167">
        <v>3509456</v>
      </c>
      <c r="I86" s="167"/>
      <c r="J86" s="167"/>
      <c r="K86" s="167"/>
      <c r="L86" s="167"/>
      <c r="M86" s="167"/>
      <c r="N86" s="167"/>
      <c r="O86" s="167"/>
      <c r="P86" s="167"/>
      <c r="Q86" s="167"/>
      <c r="R86" s="167"/>
    </row>
    <row r="87" spans="1:18">
      <c r="A87" s="151" t="s">
        <v>1139</v>
      </c>
      <c r="B87" s="151" t="s">
        <v>1140</v>
      </c>
      <c r="C87" s="152"/>
      <c r="D87" s="167"/>
      <c r="E87" s="167"/>
      <c r="F87" s="167"/>
      <c r="G87" s="167"/>
      <c r="H87" s="167"/>
      <c r="I87" s="167">
        <v>3510182</v>
      </c>
      <c r="J87" s="167">
        <v>3511078</v>
      </c>
      <c r="K87" s="167">
        <v>3511607</v>
      </c>
      <c r="L87" s="167">
        <v>3511744</v>
      </c>
      <c r="M87" s="167">
        <v>3511804</v>
      </c>
      <c r="N87" s="167">
        <v>3511979</v>
      </c>
      <c r="O87" s="167">
        <v>3512278</v>
      </c>
      <c r="P87" s="167">
        <v>3512421</v>
      </c>
      <c r="Q87" s="167">
        <v>3512532</v>
      </c>
      <c r="R87" s="167">
        <v>3512958</v>
      </c>
    </row>
    <row r="88" spans="1:18">
      <c r="A88" s="151" t="s">
        <v>1137</v>
      </c>
      <c r="B88" s="151" t="s">
        <v>1138</v>
      </c>
      <c r="C88" s="152"/>
      <c r="D88" s="167">
        <v>5664952</v>
      </c>
      <c r="E88" s="167">
        <v>5664952</v>
      </c>
      <c r="F88" s="167">
        <v>3508086</v>
      </c>
      <c r="G88" s="167">
        <v>3508722</v>
      </c>
      <c r="H88" s="167">
        <v>5664952</v>
      </c>
      <c r="I88" s="167">
        <v>5664952</v>
      </c>
      <c r="J88" s="167">
        <v>5664952</v>
      </c>
      <c r="K88" s="167">
        <v>5664952</v>
      </c>
      <c r="L88" s="167">
        <v>5664952</v>
      </c>
      <c r="M88" s="167">
        <v>5664952</v>
      </c>
      <c r="N88" s="167">
        <v>5664952</v>
      </c>
      <c r="O88" s="167">
        <v>5664952</v>
      </c>
      <c r="P88" s="167">
        <v>5664952</v>
      </c>
      <c r="Q88" s="167">
        <v>5664952</v>
      </c>
      <c r="R88" s="167">
        <v>5664952</v>
      </c>
    </row>
    <row r="89" spans="1:18">
      <c r="A89" s="151" t="s">
        <v>1178</v>
      </c>
      <c r="B89" s="151" t="s">
        <v>1179</v>
      </c>
      <c r="C89" s="152"/>
      <c r="D89" s="167">
        <v>55918</v>
      </c>
      <c r="E89" s="167">
        <v>52684</v>
      </c>
      <c r="F89" s="167">
        <v>49634</v>
      </c>
      <c r="G89" s="167">
        <v>46745</v>
      </c>
      <c r="H89" s="167">
        <v>44167</v>
      </c>
      <c r="I89" s="167">
        <v>41683</v>
      </c>
      <c r="J89" s="167">
        <v>42170</v>
      </c>
      <c r="K89" s="167">
        <v>36647</v>
      </c>
      <c r="L89" s="167">
        <v>34229</v>
      </c>
      <c r="M89" s="167">
        <v>29939</v>
      </c>
      <c r="N89" s="167">
        <v>28023</v>
      </c>
      <c r="O89" s="167">
        <v>26556</v>
      </c>
      <c r="P89" s="167">
        <v>22950</v>
      </c>
      <c r="Q89" s="167">
        <v>18897</v>
      </c>
      <c r="R89" s="167">
        <v>13881</v>
      </c>
    </row>
    <row r="90" spans="1:18">
      <c r="A90" s="151" t="s">
        <v>1181</v>
      </c>
      <c r="B90" s="151" t="s">
        <v>1142</v>
      </c>
      <c r="C90" s="152"/>
      <c r="D90" s="167">
        <v>3507653</v>
      </c>
      <c r="E90" s="167">
        <v>3507653</v>
      </c>
      <c r="F90" s="167">
        <v>0</v>
      </c>
      <c r="G90" s="167"/>
      <c r="H90" s="167"/>
      <c r="I90" s="167">
        <v>0</v>
      </c>
      <c r="J90" s="167"/>
      <c r="K90" s="167"/>
      <c r="L90" s="167"/>
      <c r="M90" s="167"/>
      <c r="N90" s="167"/>
      <c r="O90" s="167"/>
      <c r="P90" s="167"/>
      <c r="Q90" s="167"/>
      <c r="R90" s="167"/>
    </row>
    <row r="91" spans="1:18">
      <c r="A91" s="151" t="s">
        <v>1199</v>
      </c>
      <c r="B91" s="151" t="s">
        <v>1144</v>
      </c>
      <c r="C91" s="152"/>
      <c r="D91" s="167">
        <v>35769</v>
      </c>
      <c r="E91" s="167">
        <v>35769</v>
      </c>
      <c r="F91" s="167">
        <v>35769</v>
      </c>
      <c r="G91" s="167">
        <v>35769</v>
      </c>
      <c r="H91" s="167">
        <v>37601</v>
      </c>
      <c r="I91" s="167">
        <v>37601</v>
      </c>
      <c r="J91" s="167">
        <v>14020</v>
      </c>
      <c r="K91" s="167">
        <v>23136</v>
      </c>
      <c r="L91" s="167">
        <v>-24077</v>
      </c>
      <c r="M91" s="167">
        <v>-67820</v>
      </c>
      <c r="N91" s="167">
        <v>41095</v>
      </c>
      <c r="O91" s="167">
        <v>40635</v>
      </c>
      <c r="P91" s="167">
        <v>9555</v>
      </c>
      <c r="Q91" s="167">
        <v>17687</v>
      </c>
      <c r="R91" s="167">
        <v>18851</v>
      </c>
    </row>
    <row r="92" spans="1:18">
      <c r="A92" s="151" t="s">
        <v>1217</v>
      </c>
      <c r="B92" s="151" t="s">
        <v>1218</v>
      </c>
      <c r="C92" s="152"/>
      <c r="D92" s="167">
        <v>-4113921</v>
      </c>
      <c r="E92" s="167">
        <v>-4110687</v>
      </c>
      <c r="F92" s="167">
        <v>-4107636.0000000005</v>
      </c>
      <c r="G92" s="167">
        <v>-4104748</v>
      </c>
      <c r="H92" s="167">
        <v>-4102169</v>
      </c>
      <c r="I92" s="167">
        <v>-4713632</v>
      </c>
      <c r="J92" s="167">
        <v>-4714119</v>
      </c>
      <c r="K92" s="167">
        <v>-4708597</v>
      </c>
      <c r="L92" s="167">
        <v>-4706179</v>
      </c>
      <c r="M92" s="167">
        <v>-4344995</v>
      </c>
      <c r="N92" s="167">
        <v>-4343081</v>
      </c>
      <c r="O92" s="167">
        <v>-4341612</v>
      </c>
      <c r="P92" s="167">
        <v>-4338006</v>
      </c>
      <c r="Q92" s="167">
        <v>-4686907</v>
      </c>
      <c r="R92" s="167">
        <v>-4681891</v>
      </c>
    </row>
    <row r="93" spans="1:18">
      <c r="A93" s="151" t="s">
        <v>1211</v>
      </c>
      <c r="B93" s="151" t="s">
        <v>1198</v>
      </c>
      <c r="C93" s="152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</row>
    <row r="94" spans="1:18" ht="15" thickBot="1">
      <c r="A94" s="151" t="s">
        <v>1200</v>
      </c>
      <c r="B94" s="151" t="s">
        <v>777</v>
      </c>
      <c r="C94" s="152"/>
      <c r="D94" s="167"/>
      <c r="E94" s="167">
        <v>-60124</v>
      </c>
      <c r="F94" s="167">
        <v>-482796</v>
      </c>
      <c r="G94" s="167">
        <v>-561492</v>
      </c>
      <c r="H94" s="167">
        <v>-613947</v>
      </c>
      <c r="I94" s="167">
        <v>-58811</v>
      </c>
      <c r="J94" s="167">
        <v>-152423</v>
      </c>
      <c r="K94" s="167">
        <v>-82895</v>
      </c>
      <c r="L94" s="167">
        <v>356892</v>
      </c>
      <c r="M94" s="167">
        <v>2362</v>
      </c>
      <c r="N94" s="167">
        <v>7309</v>
      </c>
      <c r="O94" s="167">
        <v>10591</v>
      </c>
      <c r="P94" s="167">
        <v>-352952</v>
      </c>
      <c r="Q94" s="167">
        <v>-87722</v>
      </c>
      <c r="R94" s="167">
        <v>-171611</v>
      </c>
    </row>
    <row r="95" spans="1:18" ht="15" thickBot="1">
      <c r="A95" s="155" t="s">
        <v>1147</v>
      </c>
      <c r="B95" s="155" t="s">
        <v>1148</v>
      </c>
      <c r="C95" s="148"/>
      <c r="D95" s="156">
        <f t="shared" ref="D95:I95" si="18">D85+D66+D46</f>
        <v>19483678</v>
      </c>
      <c r="E95" s="156">
        <f t="shared" si="18"/>
        <v>19948625</v>
      </c>
      <c r="F95" s="156">
        <f t="shared" si="18"/>
        <v>21311209</v>
      </c>
      <c r="G95" s="156">
        <f t="shared" si="18"/>
        <v>21115776</v>
      </c>
      <c r="H95" s="156">
        <f t="shared" si="18"/>
        <v>22311645</v>
      </c>
      <c r="I95" s="156">
        <f t="shared" si="18"/>
        <v>21902897</v>
      </c>
      <c r="J95" s="156">
        <f t="shared" ref="J95:Q95" si="19">J85+J66+J46</f>
        <v>23412209</v>
      </c>
      <c r="K95" s="156">
        <f t="shared" si="19"/>
        <v>23010067</v>
      </c>
      <c r="L95" s="156">
        <f t="shared" si="19"/>
        <v>23779054</v>
      </c>
      <c r="M95" s="156">
        <f t="shared" si="19"/>
        <v>23507387</v>
      </c>
      <c r="N95" s="156">
        <f t="shared" si="19"/>
        <v>23753564</v>
      </c>
      <c r="O95" s="156">
        <f t="shared" si="19"/>
        <v>26105076</v>
      </c>
      <c r="P95" s="156">
        <f t="shared" si="19"/>
        <v>26227750</v>
      </c>
      <c r="Q95" s="156">
        <f t="shared" si="19"/>
        <v>27598167</v>
      </c>
      <c r="R95" s="156">
        <f>R85+R66+R46</f>
        <v>27758774</v>
      </c>
    </row>
    <row r="96" spans="1:18">
      <c r="D96" s="167">
        <f t="shared" ref="D96:I96" si="20">D95-D43</f>
        <v>0</v>
      </c>
      <c r="E96" s="167">
        <f t="shared" si="20"/>
        <v>0</v>
      </c>
      <c r="F96" s="167">
        <f t="shared" si="20"/>
        <v>0</v>
      </c>
      <c r="G96" s="167">
        <f t="shared" si="20"/>
        <v>0</v>
      </c>
      <c r="H96" s="167">
        <f t="shared" si="20"/>
        <v>0</v>
      </c>
      <c r="I96" s="167">
        <f t="shared" si="20"/>
        <v>0</v>
      </c>
      <c r="J96" s="167">
        <f t="shared" ref="J96:Q96" si="21">J95-J43</f>
        <v>0</v>
      </c>
      <c r="K96" s="167">
        <f t="shared" si="21"/>
        <v>0</v>
      </c>
      <c r="L96" s="167">
        <f t="shared" si="21"/>
        <v>0</v>
      </c>
      <c r="M96" s="167">
        <f t="shared" si="21"/>
        <v>0</v>
      </c>
      <c r="N96" s="167">
        <f t="shared" si="21"/>
        <v>0</v>
      </c>
      <c r="O96" s="167">
        <f t="shared" si="21"/>
        <v>0</v>
      </c>
      <c r="P96" s="167">
        <f t="shared" si="21"/>
        <v>0</v>
      </c>
      <c r="Q96" s="167">
        <f t="shared" si="21"/>
        <v>0</v>
      </c>
      <c r="R96" s="167">
        <f>R95-R43</f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theme="9" tint="0.79998168889431442"/>
  </sheetPr>
  <dimension ref="A6:R64"/>
  <sheetViews>
    <sheetView showGridLines="0" topLeftCell="A4" zoomScale="90" zoomScaleNormal="90" workbookViewId="0">
      <pane xSplit="2" topLeftCell="N1" activePane="topRight" state="frozen"/>
      <selection activeCell="BB24" sqref="BB24"/>
      <selection pane="topRight" activeCell="R57" sqref="R57"/>
    </sheetView>
  </sheetViews>
  <sheetFormatPr defaultColWidth="8.5546875" defaultRowHeight="14.4"/>
  <cols>
    <col min="1" max="2" width="47.5546875" customWidth="1"/>
    <col min="3" max="3" width="0.5546875" customWidth="1"/>
    <col min="4" max="15" width="9.21875" customWidth="1"/>
    <col min="16" max="18" width="9.33203125" customWidth="1"/>
  </cols>
  <sheetData>
    <row r="6" spans="1:18">
      <c r="A6" s="38" t="s">
        <v>554</v>
      </c>
      <c r="B6" s="38" t="s">
        <v>554</v>
      </c>
      <c r="C6" s="144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</row>
    <row r="7" spans="1:18" ht="15" thickBot="1">
      <c r="A7" s="6" t="s">
        <v>1049</v>
      </c>
      <c r="B7" s="6" t="s">
        <v>1050</v>
      </c>
      <c r="C7" s="146"/>
      <c r="D7" s="434" t="s">
        <v>78</v>
      </c>
      <c r="E7" s="434" t="s">
        <v>79</v>
      </c>
      <c r="F7" s="434" t="s">
        <v>80</v>
      </c>
      <c r="G7" s="434" t="s">
        <v>81</v>
      </c>
      <c r="H7" s="434" t="s">
        <v>82</v>
      </c>
      <c r="I7" s="434" t="s">
        <v>83</v>
      </c>
      <c r="J7" s="434" t="s">
        <v>84</v>
      </c>
      <c r="K7" s="434" t="s">
        <v>85</v>
      </c>
      <c r="L7" s="434" t="s">
        <v>86</v>
      </c>
      <c r="M7" s="434" t="s">
        <v>87</v>
      </c>
      <c r="N7" s="434" t="s">
        <v>88</v>
      </c>
      <c r="O7" s="434" t="s">
        <v>2074</v>
      </c>
      <c r="P7" s="434" t="s">
        <v>2127</v>
      </c>
      <c r="Q7" s="434" t="s">
        <v>2360</v>
      </c>
      <c r="R7" s="434" t="s">
        <v>2494</v>
      </c>
    </row>
    <row r="8" spans="1:18" ht="15" thickBot="1">
      <c r="A8" s="147" t="s">
        <v>1227</v>
      </c>
      <c r="B8" s="147" t="s">
        <v>1052</v>
      </c>
      <c r="C8" s="148"/>
      <c r="D8" s="149">
        <f>SUM(D9:D20)</f>
        <v>86018</v>
      </c>
      <c r="E8" s="149">
        <f>SUM(E9:E20)</f>
        <v>64901</v>
      </c>
      <c r="F8" s="149">
        <f>SUM(F9:F20)</f>
        <v>88230</v>
      </c>
      <c r="G8" s="149">
        <f t="shared" ref="G8:N8" si="0">SUM(G9:G20)</f>
        <v>183837.00891</v>
      </c>
      <c r="H8" s="149">
        <f t="shared" si="0"/>
        <v>162655</v>
      </c>
      <c r="I8" s="149">
        <f t="shared" si="0"/>
        <v>135889</v>
      </c>
      <c r="J8" s="149">
        <f t="shared" si="0"/>
        <v>104774</v>
      </c>
      <c r="K8" s="149">
        <f t="shared" si="0"/>
        <v>129118</v>
      </c>
      <c r="L8" s="149">
        <f t="shared" si="0"/>
        <v>58118</v>
      </c>
      <c r="M8" s="149">
        <f t="shared" si="0"/>
        <v>65810</v>
      </c>
      <c r="N8" s="149">
        <f t="shared" si="0"/>
        <v>76415</v>
      </c>
      <c r="O8" s="149">
        <f t="shared" ref="O8:Q8" si="1">SUM(O9:O20)</f>
        <v>65727</v>
      </c>
      <c r="P8" s="149">
        <f t="shared" si="1"/>
        <v>85099</v>
      </c>
      <c r="Q8" s="149">
        <f t="shared" si="1"/>
        <v>89717</v>
      </c>
      <c r="R8" s="149">
        <f>SUM(R9:R20)</f>
        <v>95588</v>
      </c>
    </row>
    <row r="9" spans="1:18">
      <c r="A9" s="4" t="s">
        <v>1228</v>
      </c>
      <c r="B9" s="4" t="s">
        <v>1054</v>
      </c>
      <c r="C9" s="148"/>
      <c r="D9" s="340">
        <v>11222</v>
      </c>
      <c r="E9" s="340">
        <v>13950</v>
      </c>
      <c r="F9" s="340">
        <v>3854</v>
      </c>
      <c r="G9" s="340">
        <v>124475</v>
      </c>
      <c r="H9" s="340">
        <v>105622</v>
      </c>
      <c r="I9" s="340">
        <v>82386</v>
      </c>
      <c r="J9" s="340">
        <v>45534</v>
      </c>
      <c r="K9" s="340">
        <v>31365</v>
      </c>
      <c r="L9" s="340">
        <v>2718</v>
      </c>
      <c r="M9" s="340">
        <v>129</v>
      </c>
      <c r="N9" s="340">
        <v>900</v>
      </c>
      <c r="O9" s="340">
        <v>193</v>
      </c>
      <c r="P9" s="340">
        <v>3619</v>
      </c>
      <c r="Q9" s="340">
        <v>2216</v>
      </c>
      <c r="R9" s="340">
        <v>3142</v>
      </c>
    </row>
    <row r="10" spans="1:18">
      <c r="A10" s="4" t="s">
        <v>1055</v>
      </c>
      <c r="B10" s="4" t="s">
        <v>1229</v>
      </c>
      <c r="C10" s="152"/>
      <c r="D10" s="340">
        <v>39553</v>
      </c>
      <c r="E10" s="340"/>
      <c r="F10" s="340">
        <v>31194</v>
      </c>
      <c r="G10" s="340">
        <v>12904</v>
      </c>
      <c r="H10" s="340">
        <v>12012</v>
      </c>
      <c r="I10" s="340">
        <v>6135</v>
      </c>
      <c r="J10" s="340">
        <v>3734</v>
      </c>
      <c r="K10" s="340">
        <v>31569</v>
      </c>
      <c r="L10" s="340">
        <v>2639</v>
      </c>
      <c r="M10" s="340">
        <v>8322</v>
      </c>
      <c r="N10" s="340">
        <v>14132</v>
      </c>
      <c r="O10" s="340">
        <v>1099</v>
      </c>
      <c r="P10" s="340">
        <v>2705</v>
      </c>
      <c r="Q10" s="340">
        <v>4036</v>
      </c>
      <c r="R10" s="340">
        <v>5325</v>
      </c>
    </row>
    <row r="11" spans="1:18">
      <c r="A11" s="4" t="s">
        <v>1230</v>
      </c>
      <c r="B11" s="4" t="s">
        <v>1058</v>
      </c>
      <c r="C11" s="152"/>
      <c r="D11" s="340">
        <v>27383</v>
      </c>
      <c r="E11" s="340">
        <v>41787</v>
      </c>
      <c r="F11" s="340">
        <v>43851</v>
      </c>
      <c r="G11" s="340">
        <v>37904.008910000004</v>
      </c>
      <c r="H11" s="340">
        <v>37352</v>
      </c>
      <c r="I11" s="340">
        <v>37830</v>
      </c>
      <c r="J11" s="340">
        <v>41276</v>
      </c>
      <c r="K11" s="340">
        <v>38838</v>
      </c>
      <c r="L11" s="340">
        <v>43733</v>
      </c>
      <c r="M11" s="340">
        <v>47203</v>
      </c>
      <c r="N11" s="340">
        <v>50634</v>
      </c>
      <c r="O11" s="340">
        <v>52823</v>
      </c>
      <c r="P11" s="340">
        <v>67524</v>
      </c>
      <c r="Q11" s="340">
        <v>72452</v>
      </c>
      <c r="R11" s="340">
        <v>75544</v>
      </c>
    </row>
    <row r="12" spans="1:18">
      <c r="A12" s="4" t="s">
        <v>1231</v>
      </c>
      <c r="B12" s="4" t="s">
        <v>1091</v>
      </c>
      <c r="C12" s="152"/>
      <c r="D12" s="340"/>
      <c r="E12" s="340"/>
      <c r="F12" s="340"/>
      <c r="G12" s="340"/>
      <c r="H12" s="340"/>
      <c r="I12" s="340"/>
      <c r="J12" s="340"/>
      <c r="K12" s="340"/>
      <c r="L12" s="340"/>
      <c r="M12" s="340"/>
      <c r="N12" s="340"/>
      <c r="O12" s="340"/>
      <c r="P12" s="340"/>
      <c r="Q12" s="340"/>
      <c r="R12" s="340"/>
    </row>
    <row r="13" spans="1:18">
      <c r="A13" s="4" t="s">
        <v>1078</v>
      </c>
      <c r="B13" s="4" t="s">
        <v>1079</v>
      </c>
      <c r="C13" s="152"/>
      <c r="D13" s="340">
        <v>2547</v>
      </c>
      <c r="E13" s="340">
        <v>2767</v>
      </c>
      <c r="F13" s="340">
        <v>2394</v>
      </c>
      <c r="G13" s="340">
        <v>2848</v>
      </c>
      <c r="H13" s="340">
        <v>2783</v>
      </c>
      <c r="I13" s="340">
        <v>3273</v>
      </c>
      <c r="J13" s="340">
        <v>3629</v>
      </c>
      <c r="K13" s="340">
        <v>4102</v>
      </c>
      <c r="L13" s="340">
        <v>2895</v>
      </c>
      <c r="M13" s="340">
        <v>3031</v>
      </c>
      <c r="N13" s="340">
        <v>3278</v>
      </c>
      <c r="O13" s="340">
        <v>2007</v>
      </c>
      <c r="P13" s="340">
        <v>2342</v>
      </c>
      <c r="Q13" s="340">
        <v>2616</v>
      </c>
      <c r="R13" s="340">
        <v>2922</v>
      </c>
    </row>
    <row r="14" spans="1:18">
      <c r="A14" s="4" t="s">
        <v>1076</v>
      </c>
      <c r="B14" s="4" t="s">
        <v>1077</v>
      </c>
      <c r="C14" s="152"/>
      <c r="D14" s="340"/>
      <c r="E14" s="340"/>
      <c r="F14" s="340">
        <v>15</v>
      </c>
      <c r="G14" s="340">
        <v>8</v>
      </c>
      <c r="H14" s="340">
        <v>8</v>
      </c>
      <c r="I14" s="340">
        <v>11</v>
      </c>
      <c r="J14" s="340">
        <v>11</v>
      </c>
      <c r="K14" s="340">
        <v>1108</v>
      </c>
      <c r="L14" s="340">
        <v>367</v>
      </c>
      <c r="M14" s="340">
        <v>152</v>
      </c>
      <c r="N14" s="340">
        <v>152</v>
      </c>
      <c r="O14" s="340">
        <v>152</v>
      </c>
      <c r="P14" s="340">
        <v>152</v>
      </c>
      <c r="Q14" s="340">
        <v>151</v>
      </c>
      <c r="R14" s="340">
        <v>151</v>
      </c>
    </row>
    <row r="15" spans="1:18">
      <c r="A15" s="4" t="s">
        <v>1232</v>
      </c>
      <c r="B15" s="4" t="s">
        <v>1233</v>
      </c>
      <c r="C15" s="152"/>
      <c r="D15" s="340"/>
      <c r="E15" s="340"/>
      <c r="F15" s="340"/>
      <c r="G15" s="340"/>
      <c r="H15" s="340"/>
      <c r="I15" s="340"/>
      <c r="J15" s="340"/>
      <c r="K15" s="340"/>
      <c r="L15" s="340"/>
      <c r="M15" s="340"/>
      <c r="N15" s="340"/>
      <c r="O15" s="340"/>
      <c r="P15" s="340"/>
      <c r="Q15" s="340"/>
      <c r="R15" s="340"/>
    </row>
    <row r="16" spans="1:18">
      <c r="A16" s="4" t="s">
        <v>1214</v>
      </c>
      <c r="B16" s="4" t="s">
        <v>1075</v>
      </c>
      <c r="C16" s="152"/>
      <c r="D16" s="340">
        <v>4372</v>
      </c>
      <c r="E16" s="340">
        <v>4565</v>
      </c>
      <c r="F16" s="340">
        <v>4804</v>
      </c>
      <c r="G16" s="340">
        <v>4570</v>
      </c>
      <c r="H16" s="340">
        <v>3762</v>
      </c>
      <c r="I16" s="340">
        <v>3669</v>
      </c>
      <c r="J16" s="340">
        <v>8384</v>
      </c>
      <c r="K16" s="340">
        <v>19058</v>
      </c>
      <c r="L16" s="340">
        <v>4954</v>
      </c>
      <c r="M16" s="340">
        <v>4672</v>
      </c>
      <c r="N16" s="340">
        <v>5906</v>
      </c>
      <c r="O16" s="340">
        <v>6379</v>
      </c>
      <c r="P16" s="340">
        <v>5813</v>
      </c>
      <c r="Q16" s="340">
        <v>6361</v>
      </c>
      <c r="R16" s="340">
        <v>6754</v>
      </c>
    </row>
    <row r="17" spans="1:18">
      <c r="A17" s="4" t="s">
        <v>1234</v>
      </c>
      <c r="B17" s="4" t="s">
        <v>1116</v>
      </c>
      <c r="C17" s="152"/>
      <c r="D17" s="340"/>
      <c r="E17" s="340"/>
      <c r="F17" s="340"/>
      <c r="G17" s="340"/>
      <c r="H17" s="340"/>
      <c r="I17" s="340"/>
      <c r="J17" s="340"/>
      <c r="K17" s="340"/>
      <c r="L17" s="340"/>
      <c r="M17" s="340"/>
      <c r="N17" s="340"/>
      <c r="O17" s="340"/>
      <c r="P17" s="340"/>
      <c r="Q17" s="340"/>
      <c r="R17" s="340"/>
    </row>
    <row r="18" spans="1:18">
      <c r="A18" s="4" t="s">
        <v>1235</v>
      </c>
      <c r="B18" s="4" t="s">
        <v>1236</v>
      </c>
      <c r="C18" s="152"/>
      <c r="D18" s="340"/>
      <c r="E18" s="340"/>
      <c r="F18" s="340"/>
      <c r="G18" s="340"/>
      <c r="H18" s="340"/>
      <c r="I18" s="340"/>
      <c r="J18" s="340"/>
      <c r="K18" s="340"/>
      <c r="L18" s="340"/>
      <c r="M18" s="340"/>
      <c r="N18" s="340"/>
      <c r="O18" s="340"/>
      <c r="P18" s="340"/>
      <c r="Q18" s="340"/>
      <c r="R18" s="340"/>
    </row>
    <row r="19" spans="1:18">
      <c r="A19" s="4" t="s">
        <v>1237</v>
      </c>
      <c r="B19" s="4" t="s">
        <v>1073</v>
      </c>
      <c r="C19" s="152"/>
      <c r="D19" s="340"/>
      <c r="E19" s="340"/>
      <c r="F19" s="340"/>
      <c r="G19" s="340"/>
      <c r="H19" s="340"/>
      <c r="I19" s="340"/>
      <c r="J19" s="340"/>
      <c r="K19" s="340"/>
      <c r="L19" s="340"/>
      <c r="M19" s="340"/>
      <c r="N19" s="340"/>
      <c r="O19" s="340"/>
      <c r="P19" s="340"/>
      <c r="Q19" s="340"/>
      <c r="R19" s="340"/>
    </row>
    <row r="20" spans="1:18" ht="15" thickBot="1">
      <c r="A20" s="4" t="s">
        <v>1238</v>
      </c>
      <c r="B20" s="4" t="s">
        <v>96</v>
      </c>
      <c r="C20" s="152"/>
      <c r="D20" s="340">
        <v>941</v>
      </c>
      <c r="E20" s="340">
        <v>1832</v>
      </c>
      <c r="F20" s="340">
        <v>2118</v>
      </c>
      <c r="G20" s="340">
        <v>1128</v>
      </c>
      <c r="H20" s="340">
        <v>1116</v>
      </c>
      <c r="I20" s="340">
        <v>2585</v>
      </c>
      <c r="J20" s="340">
        <v>2206</v>
      </c>
      <c r="K20" s="340">
        <v>3078</v>
      </c>
      <c r="L20" s="340">
        <v>812</v>
      </c>
      <c r="M20" s="340">
        <v>2301</v>
      </c>
      <c r="N20" s="340">
        <v>1413</v>
      </c>
      <c r="O20" s="340">
        <v>3074</v>
      </c>
      <c r="P20" s="340">
        <v>2944</v>
      </c>
      <c r="Q20" s="340">
        <v>1885</v>
      </c>
      <c r="R20" s="340">
        <v>1750</v>
      </c>
    </row>
    <row r="21" spans="1:18" ht="15" thickBot="1">
      <c r="A21" s="147" t="s">
        <v>1239</v>
      </c>
      <c r="B21" s="147" t="s">
        <v>1240</v>
      </c>
      <c r="C21" s="148"/>
      <c r="D21" s="149">
        <f t="shared" ref="D21:I21" si="2">SUM(D22:D29)</f>
        <v>992424</v>
      </c>
      <c r="E21" s="149">
        <f t="shared" si="2"/>
        <v>1005792</v>
      </c>
      <c r="F21" s="149">
        <f t="shared" si="2"/>
        <v>1023453</v>
      </c>
      <c r="G21" s="149">
        <f t="shared" si="2"/>
        <v>1034688</v>
      </c>
      <c r="H21" s="149">
        <f t="shared" si="2"/>
        <v>1045173</v>
      </c>
      <c r="I21" s="149">
        <f t="shared" si="2"/>
        <v>1068166</v>
      </c>
      <c r="J21" s="149">
        <f t="shared" ref="J21:O21" si="3">SUM(J22:J29)</f>
        <v>1100916</v>
      </c>
      <c r="K21" s="149">
        <f t="shared" si="3"/>
        <v>1133496</v>
      </c>
      <c r="L21" s="149">
        <f t="shared" si="3"/>
        <v>1185108</v>
      </c>
      <c r="M21" s="149">
        <f t="shared" si="3"/>
        <v>1213447</v>
      </c>
      <c r="N21" s="149">
        <f t="shared" si="3"/>
        <v>1241760</v>
      </c>
      <c r="O21" s="149">
        <f t="shared" si="3"/>
        <v>1252059</v>
      </c>
      <c r="P21" s="149">
        <f t="shared" ref="P21:Q21" si="4">SUM(P22:P29)</f>
        <v>952960</v>
      </c>
      <c r="Q21" s="149">
        <f t="shared" si="4"/>
        <v>957539</v>
      </c>
      <c r="R21" s="149">
        <f>SUM(R22:R29)</f>
        <v>961449</v>
      </c>
    </row>
    <row r="22" spans="1:18">
      <c r="A22" s="4" t="s">
        <v>1241</v>
      </c>
      <c r="B22" s="4" t="s">
        <v>1079</v>
      </c>
      <c r="C22" s="148"/>
      <c r="D22" s="340"/>
      <c r="E22" s="340"/>
      <c r="F22" s="340"/>
      <c r="G22" s="340"/>
      <c r="H22" s="340"/>
      <c r="I22" s="340"/>
      <c r="J22" s="340">
        <v>2353</v>
      </c>
      <c r="K22" s="340">
        <v>1624</v>
      </c>
      <c r="L22" s="340">
        <v>2501</v>
      </c>
      <c r="M22" s="340">
        <v>3179</v>
      </c>
      <c r="N22" s="340">
        <v>3988</v>
      </c>
      <c r="O22" s="340">
        <v>4646</v>
      </c>
      <c r="P22" s="340">
        <v>5089</v>
      </c>
      <c r="Q22" s="340">
        <v>5525</v>
      </c>
      <c r="R22" s="340">
        <v>5944</v>
      </c>
    </row>
    <row r="23" spans="1:18">
      <c r="A23" s="4" t="s">
        <v>1078</v>
      </c>
      <c r="B23" s="4" t="s">
        <v>96</v>
      </c>
      <c r="C23" s="148"/>
      <c r="D23" s="340"/>
      <c r="E23" s="340">
        <v>18</v>
      </c>
      <c r="F23" s="340">
        <v>18</v>
      </c>
      <c r="G23" s="340">
        <v>73</v>
      </c>
      <c r="H23" s="340">
        <v>63</v>
      </c>
      <c r="I23" s="340">
        <v>63</v>
      </c>
      <c r="J23" s="340">
        <v>63</v>
      </c>
      <c r="K23" s="340">
        <v>63</v>
      </c>
      <c r="L23" s="340">
        <v>1290</v>
      </c>
      <c r="M23" s="340">
        <v>63</v>
      </c>
      <c r="N23" s="340">
        <v>63</v>
      </c>
      <c r="O23" s="340">
        <v>63</v>
      </c>
      <c r="P23" s="340">
        <v>63</v>
      </c>
      <c r="Q23" s="340">
        <v>63</v>
      </c>
      <c r="R23" s="340">
        <v>63</v>
      </c>
    </row>
    <row r="24" spans="1:18">
      <c r="A24" s="4" t="s">
        <v>1238</v>
      </c>
      <c r="B24" s="4" t="s">
        <v>96</v>
      </c>
      <c r="C24" s="148"/>
      <c r="D24" s="340"/>
      <c r="E24" s="340">
        <v>7</v>
      </c>
      <c r="F24" s="340"/>
      <c r="G24" s="340"/>
      <c r="H24" s="340"/>
      <c r="I24" s="340">
        <v>8</v>
      </c>
      <c r="J24" s="340"/>
      <c r="K24" s="340"/>
      <c r="L24" s="340"/>
      <c r="M24" s="340"/>
      <c r="N24" s="340"/>
      <c r="O24" s="340"/>
      <c r="P24" s="340">
        <v>862</v>
      </c>
      <c r="Q24" s="340">
        <v>1051</v>
      </c>
      <c r="R24" s="340">
        <v>1712</v>
      </c>
    </row>
    <row r="25" spans="1:18">
      <c r="A25" s="4" t="s">
        <v>1186</v>
      </c>
      <c r="B25" s="4" t="s">
        <v>1187</v>
      </c>
      <c r="C25" s="148"/>
      <c r="D25" s="340">
        <v>61456</v>
      </c>
      <c r="E25" s="340">
        <v>76675</v>
      </c>
      <c r="F25" s="340">
        <v>101247</v>
      </c>
      <c r="G25" s="340">
        <v>119330</v>
      </c>
      <c r="H25" s="340">
        <v>134491</v>
      </c>
      <c r="I25" s="340">
        <v>154689</v>
      </c>
      <c r="J25" s="340">
        <v>188104</v>
      </c>
      <c r="K25" s="340">
        <v>227735</v>
      </c>
      <c r="L25" s="340">
        <v>254589</v>
      </c>
      <c r="M25" s="340">
        <v>278946</v>
      </c>
      <c r="N25" s="340">
        <v>258982</v>
      </c>
      <c r="O25" s="340">
        <v>252245</v>
      </c>
      <c r="P25" s="340">
        <v>274412</v>
      </c>
      <c r="Q25" s="340">
        <v>283568</v>
      </c>
      <c r="R25" s="340">
        <v>261824</v>
      </c>
    </row>
    <row r="26" spans="1:18">
      <c r="A26" s="4" t="s">
        <v>1088</v>
      </c>
      <c r="B26" s="4" t="s">
        <v>1089</v>
      </c>
      <c r="C26" s="148"/>
      <c r="D26" s="340"/>
      <c r="E26" s="340"/>
      <c r="F26" s="340"/>
      <c r="G26" s="340"/>
      <c r="H26" s="340"/>
      <c r="I26" s="340"/>
      <c r="J26" s="340"/>
      <c r="K26" s="340">
        <v>0</v>
      </c>
      <c r="L26" s="340"/>
      <c r="M26" s="340"/>
      <c r="N26" s="340"/>
      <c r="O26" s="340"/>
      <c r="P26" s="340"/>
      <c r="Q26" s="340"/>
      <c r="R26" s="340"/>
    </row>
    <row r="27" spans="1:18">
      <c r="A27" s="4" t="s">
        <v>1166</v>
      </c>
      <c r="B27" s="4" t="s">
        <v>1097</v>
      </c>
      <c r="C27" s="148"/>
      <c r="D27" s="340"/>
      <c r="E27" s="340"/>
      <c r="F27" s="340"/>
      <c r="G27" s="340">
        <v>0</v>
      </c>
      <c r="H27" s="340">
        <v>2163</v>
      </c>
      <c r="I27" s="340">
        <v>11928</v>
      </c>
      <c r="J27" s="340">
        <v>11553</v>
      </c>
      <c r="K27" s="340">
        <v>11177</v>
      </c>
      <c r="L27" s="340">
        <v>10824</v>
      </c>
      <c r="M27" s="340">
        <v>10576</v>
      </c>
      <c r="N27" s="340">
        <v>10199</v>
      </c>
      <c r="O27" s="340">
        <v>9822</v>
      </c>
      <c r="P27" s="340">
        <v>6656</v>
      </c>
      <c r="Q27" s="340">
        <v>6943</v>
      </c>
      <c r="R27" s="340">
        <v>9709</v>
      </c>
    </row>
    <row r="28" spans="1:18">
      <c r="A28" s="4" t="s">
        <v>1188</v>
      </c>
      <c r="B28" s="4" t="s">
        <v>1189</v>
      </c>
      <c r="C28" s="152"/>
      <c r="D28" s="340"/>
      <c r="E28" s="340"/>
      <c r="F28" s="340"/>
      <c r="G28" s="340">
        <v>4099</v>
      </c>
      <c r="H28" s="340">
        <v>4049</v>
      </c>
      <c r="I28" s="340">
        <v>3854</v>
      </c>
      <c r="J28" s="340">
        <v>7867</v>
      </c>
      <c r="K28" s="340">
        <v>0</v>
      </c>
      <c r="L28" s="340">
        <v>22441</v>
      </c>
      <c r="M28" s="340">
        <v>23410</v>
      </c>
      <c r="N28" s="340">
        <v>35709</v>
      </c>
      <c r="O28" s="340">
        <v>38433</v>
      </c>
      <c r="P28" s="340">
        <v>11399</v>
      </c>
      <c r="Q28" s="340">
        <v>13122</v>
      </c>
      <c r="R28" s="340">
        <v>21197</v>
      </c>
    </row>
    <row r="29" spans="1:18" ht="15" thickBot="1">
      <c r="A29" s="4" t="s">
        <v>1092</v>
      </c>
      <c r="B29" s="4" t="s">
        <v>1093</v>
      </c>
      <c r="C29" s="152"/>
      <c r="D29" s="340">
        <v>930968</v>
      </c>
      <c r="E29" s="340">
        <v>929092</v>
      </c>
      <c r="F29" s="340">
        <v>922188</v>
      </c>
      <c r="G29" s="340">
        <v>911186</v>
      </c>
      <c r="H29" s="340">
        <v>904407</v>
      </c>
      <c r="I29" s="340">
        <v>897624</v>
      </c>
      <c r="J29" s="340">
        <v>890976</v>
      </c>
      <c r="K29" s="340">
        <v>892897</v>
      </c>
      <c r="L29" s="340">
        <v>893463</v>
      </c>
      <c r="M29" s="340">
        <v>897273</v>
      </c>
      <c r="N29" s="340">
        <v>932819</v>
      </c>
      <c r="O29" s="340">
        <v>946850</v>
      </c>
      <c r="P29" s="340">
        <v>654479</v>
      </c>
      <c r="Q29" s="340">
        <v>647267</v>
      </c>
      <c r="R29" s="340">
        <v>661000</v>
      </c>
    </row>
    <row r="30" spans="1:18" ht="15" thickBot="1">
      <c r="A30" s="147" t="s">
        <v>1242</v>
      </c>
      <c r="B30" s="147" t="s">
        <v>1099</v>
      </c>
      <c r="C30" s="148"/>
      <c r="D30" s="149">
        <f>D8+D21</f>
        <v>1078442</v>
      </c>
      <c r="E30" s="149">
        <f>E8+E21</f>
        <v>1070693</v>
      </c>
      <c r="F30" s="149">
        <f>F8+F21</f>
        <v>1111683</v>
      </c>
      <c r="G30" s="149">
        <f t="shared" ref="G30:N30" si="5">G8+G21</f>
        <v>1218525.0089100001</v>
      </c>
      <c r="H30" s="149">
        <f t="shared" si="5"/>
        <v>1207828</v>
      </c>
      <c r="I30" s="149">
        <f t="shared" si="5"/>
        <v>1204055</v>
      </c>
      <c r="J30" s="149">
        <f t="shared" si="5"/>
        <v>1205690</v>
      </c>
      <c r="K30" s="149">
        <f t="shared" si="5"/>
        <v>1262614</v>
      </c>
      <c r="L30" s="149">
        <f t="shared" si="5"/>
        <v>1243226</v>
      </c>
      <c r="M30" s="149">
        <f t="shared" si="5"/>
        <v>1279257</v>
      </c>
      <c r="N30" s="149">
        <f t="shared" si="5"/>
        <v>1318175</v>
      </c>
      <c r="O30" s="149">
        <f t="shared" ref="O30:Q30" si="6">O8+O21</f>
        <v>1317786</v>
      </c>
      <c r="P30" s="149">
        <f t="shared" si="6"/>
        <v>1038059</v>
      </c>
      <c r="Q30" s="149">
        <f t="shared" si="6"/>
        <v>1047256</v>
      </c>
      <c r="R30" s="149">
        <f>R8+R21</f>
        <v>1057037</v>
      </c>
    </row>
    <row r="31" spans="1:18">
      <c r="A31" s="400"/>
      <c r="B31" s="400"/>
      <c r="C31" s="152"/>
    </row>
    <row r="32" spans="1:18" ht="15" thickBot="1">
      <c r="A32" s="6" t="s">
        <v>1100</v>
      </c>
      <c r="B32" s="6" t="s">
        <v>1101</v>
      </c>
      <c r="C32" s="146"/>
      <c r="D32" s="434" t="str">
        <f>D7</f>
        <v>4T22</v>
      </c>
      <c r="E32" s="434" t="str">
        <f>E7</f>
        <v>1T23</v>
      </c>
      <c r="F32" s="434" t="str">
        <f>F7</f>
        <v>2T23</v>
      </c>
      <c r="G32" s="434" t="s">
        <v>81</v>
      </c>
      <c r="H32" s="434" t="s">
        <v>82</v>
      </c>
      <c r="I32" s="434" t="s">
        <v>83</v>
      </c>
      <c r="J32" s="434" t="s">
        <v>84</v>
      </c>
      <c r="K32" s="434" t="s">
        <v>85</v>
      </c>
      <c r="L32" s="434" t="s">
        <v>86</v>
      </c>
      <c r="M32" s="434" t="s">
        <v>87</v>
      </c>
      <c r="N32" s="434" t="str">
        <f>+N7</f>
        <v>2T25</v>
      </c>
      <c r="O32" s="434" t="str">
        <f>+O7</f>
        <v>3T25</v>
      </c>
      <c r="P32" s="434" t="str">
        <f>+P7</f>
        <v>4T25</v>
      </c>
      <c r="Q32" s="434" t="str">
        <f>+Q7</f>
        <v>1T26</v>
      </c>
      <c r="R32" s="434" t="str">
        <f>+R7</f>
        <v>2T26</v>
      </c>
    </row>
    <row r="33" spans="1:18" ht="15" thickBot="1">
      <c r="A33" s="147" t="s">
        <v>1243</v>
      </c>
      <c r="B33" s="147" t="s">
        <v>1244</v>
      </c>
      <c r="C33" s="148"/>
      <c r="D33" s="149">
        <f t="shared" ref="D33:N33" si="7">SUM(D34:D44)</f>
        <v>16501</v>
      </c>
      <c r="E33" s="149">
        <f t="shared" si="7"/>
        <v>15437</v>
      </c>
      <c r="F33" s="149">
        <f t="shared" si="7"/>
        <v>1253831</v>
      </c>
      <c r="G33" s="149">
        <f t="shared" si="7"/>
        <v>1303028.0089100001</v>
      </c>
      <c r="H33" s="149">
        <f t="shared" si="7"/>
        <v>391170</v>
      </c>
      <c r="I33" s="149">
        <f t="shared" si="7"/>
        <v>402171</v>
      </c>
      <c r="J33" s="149">
        <f t="shared" si="7"/>
        <v>174761</v>
      </c>
      <c r="K33" s="149">
        <f t="shared" si="7"/>
        <v>194487</v>
      </c>
      <c r="L33" s="149">
        <f t="shared" si="7"/>
        <v>190662</v>
      </c>
      <c r="M33" s="149">
        <f t="shared" si="7"/>
        <v>191334</v>
      </c>
      <c r="N33" s="149">
        <f t="shared" si="7"/>
        <v>183939</v>
      </c>
      <c r="O33" s="149">
        <f t="shared" ref="O33" si="8">SUM(O34:O44)</f>
        <v>181685</v>
      </c>
      <c r="P33" s="149">
        <f t="shared" ref="P33:Q33" si="9">SUM(P34:P44)</f>
        <v>49833</v>
      </c>
      <c r="Q33" s="149">
        <f t="shared" si="9"/>
        <v>44153</v>
      </c>
      <c r="R33" s="149">
        <f>SUM(R34:R44)</f>
        <v>42333</v>
      </c>
    </row>
    <row r="34" spans="1:18">
      <c r="A34" s="4" t="s">
        <v>1102</v>
      </c>
      <c r="B34" s="4" t="s">
        <v>1103</v>
      </c>
      <c r="C34" s="152"/>
      <c r="D34" s="340">
        <v>12735</v>
      </c>
      <c r="E34" s="340">
        <v>10057</v>
      </c>
      <c r="F34" s="340">
        <v>17255</v>
      </c>
      <c r="G34" s="340">
        <v>19827</v>
      </c>
      <c r="H34" s="340">
        <v>25206</v>
      </c>
      <c r="I34" s="340">
        <v>23775</v>
      </c>
      <c r="J34" s="340">
        <v>36113</v>
      </c>
      <c r="K34" s="340">
        <v>41090</v>
      </c>
      <c r="L34" s="340">
        <v>47153</v>
      </c>
      <c r="M34" s="340">
        <v>35820</v>
      </c>
      <c r="N34" s="340">
        <v>43772</v>
      </c>
      <c r="O34" s="340">
        <v>29845</v>
      </c>
      <c r="P34" s="340">
        <v>35568</v>
      </c>
      <c r="Q34" s="340">
        <v>28623</v>
      </c>
      <c r="R34" s="340">
        <v>26534</v>
      </c>
    </row>
    <row r="35" spans="1:18">
      <c r="A35" s="4" t="s">
        <v>1105</v>
      </c>
      <c r="B35" s="4" t="s">
        <v>1106</v>
      </c>
      <c r="C35" s="152"/>
      <c r="D35" s="340">
        <v>7</v>
      </c>
      <c r="E35" s="340">
        <v>62</v>
      </c>
      <c r="F35" s="340">
        <v>23</v>
      </c>
      <c r="G35" s="340">
        <v>263</v>
      </c>
      <c r="H35" s="340">
        <v>266</v>
      </c>
      <c r="I35" s="340">
        <v>590</v>
      </c>
      <c r="J35" s="340">
        <v>366</v>
      </c>
      <c r="K35" s="340">
        <v>85</v>
      </c>
      <c r="L35" s="340">
        <v>352</v>
      </c>
      <c r="M35" s="340">
        <v>930</v>
      </c>
      <c r="N35" s="340">
        <v>234</v>
      </c>
      <c r="O35" s="340">
        <v>27</v>
      </c>
      <c r="P35" s="340">
        <v>228</v>
      </c>
      <c r="Q35" s="340">
        <v>596</v>
      </c>
      <c r="R35" s="340">
        <v>492</v>
      </c>
    </row>
    <row r="36" spans="1:18">
      <c r="A36" s="4" t="s">
        <v>1107</v>
      </c>
      <c r="B36" s="4" t="s">
        <v>1108</v>
      </c>
      <c r="C36" s="152"/>
      <c r="D36" s="340">
        <v>-1094</v>
      </c>
      <c r="E36" s="340">
        <v>-1094</v>
      </c>
      <c r="F36" s="340">
        <v>1231567</v>
      </c>
      <c r="G36" s="340">
        <v>1276510</v>
      </c>
      <c r="H36" s="340">
        <v>358040</v>
      </c>
      <c r="I36" s="340">
        <v>368901</v>
      </c>
      <c r="J36" s="340">
        <v>127561</v>
      </c>
      <c r="K36" s="340">
        <v>138910</v>
      </c>
      <c r="L36" s="340">
        <v>127506</v>
      </c>
      <c r="M36" s="340">
        <v>140328</v>
      </c>
      <c r="N36" s="340">
        <v>126919</v>
      </c>
      <c r="O36" s="340">
        <v>137384</v>
      </c>
      <c r="P36" s="340">
        <v>0</v>
      </c>
      <c r="Q36" s="340">
        <v>0</v>
      </c>
      <c r="R36" s="340">
        <v>0</v>
      </c>
    </row>
    <row r="37" spans="1:18">
      <c r="A37" s="4" t="s">
        <v>1245</v>
      </c>
      <c r="B37" s="4" t="s">
        <v>1246</v>
      </c>
      <c r="C37" s="152"/>
      <c r="D37" s="340"/>
      <c r="E37" s="340"/>
      <c r="F37" s="340"/>
      <c r="G37" s="340"/>
      <c r="H37" s="340"/>
      <c r="I37" s="340"/>
      <c r="J37" s="340"/>
      <c r="K37" s="340"/>
      <c r="L37" s="340"/>
      <c r="M37" s="340"/>
      <c r="N37" s="340"/>
      <c r="O37" s="340"/>
      <c r="P37" s="340"/>
      <c r="Q37" s="340"/>
      <c r="R37" s="340"/>
    </row>
    <row r="38" spans="1:18">
      <c r="A38" s="4" t="s">
        <v>1111</v>
      </c>
      <c r="B38" s="4" t="s">
        <v>1112</v>
      </c>
      <c r="C38" s="152"/>
      <c r="D38" s="340"/>
      <c r="E38" s="340"/>
      <c r="F38" s="340"/>
      <c r="G38" s="340"/>
      <c r="H38" s="340"/>
      <c r="I38" s="340"/>
      <c r="J38" s="340"/>
      <c r="K38" s="340"/>
      <c r="L38" s="340"/>
      <c r="M38" s="340">
        <v>4941</v>
      </c>
      <c r="N38" s="340">
        <v>5018</v>
      </c>
      <c r="O38" s="340">
        <v>5212</v>
      </c>
      <c r="P38" s="340">
        <v>5936</v>
      </c>
      <c r="Q38" s="340">
        <v>5916</v>
      </c>
      <c r="R38" s="340">
        <v>6078</v>
      </c>
    </row>
    <row r="39" spans="1:18">
      <c r="A39" s="4" t="s">
        <v>1190</v>
      </c>
      <c r="B39" s="4" t="s">
        <v>1114</v>
      </c>
      <c r="C39" s="152"/>
      <c r="D39" s="340">
        <v>2503</v>
      </c>
      <c r="E39" s="340">
        <v>2233</v>
      </c>
      <c r="F39" s="340">
        <v>1062</v>
      </c>
      <c r="G39" s="340">
        <v>1590</v>
      </c>
      <c r="H39" s="340">
        <v>1947</v>
      </c>
      <c r="I39" s="340">
        <v>1596</v>
      </c>
      <c r="J39" s="340">
        <v>2485</v>
      </c>
      <c r="K39" s="340">
        <v>3543</v>
      </c>
      <c r="L39" s="340">
        <v>5658</v>
      </c>
      <c r="M39" s="340">
        <v>28</v>
      </c>
      <c r="N39" s="340">
        <v>0</v>
      </c>
      <c r="O39" s="340"/>
      <c r="P39" s="340"/>
      <c r="Q39" s="340"/>
      <c r="R39" s="340"/>
    </row>
    <row r="40" spans="1:18">
      <c r="A40" s="4" t="s">
        <v>1247</v>
      </c>
      <c r="B40" s="4" t="s">
        <v>1248</v>
      </c>
      <c r="C40" s="148"/>
      <c r="D40" s="340">
        <v>1494</v>
      </c>
      <c r="E40" s="340">
        <v>2399</v>
      </c>
      <c r="F40" s="340">
        <v>2487</v>
      </c>
      <c r="G40" s="340">
        <v>2859</v>
      </c>
      <c r="H40" s="340">
        <v>1881</v>
      </c>
      <c r="I40" s="340">
        <v>2540</v>
      </c>
      <c r="J40" s="340">
        <v>2497</v>
      </c>
      <c r="K40" s="340">
        <v>2748</v>
      </c>
      <c r="L40" s="340">
        <v>1748</v>
      </c>
      <c r="M40" s="340">
        <v>2315</v>
      </c>
      <c r="N40" s="340">
        <v>2326</v>
      </c>
      <c r="O40" s="340">
        <v>2468</v>
      </c>
      <c r="P40" s="340">
        <v>1804</v>
      </c>
      <c r="Q40" s="340">
        <v>2043</v>
      </c>
      <c r="R40" s="340">
        <v>2291</v>
      </c>
    </row>
    <row r="41" spans="1:18">
      <c r="A41" s="4" t="s">
        <v>1123</v>
      </c>
      <c r="B41" s="4" t="s">
        <v>1124</v>
      </c>
      <c r="C41" s="148"/>
      <c r="D41" s="340"/>
      <c r="E41" s="340">
        <v>1648</v>
      </c>
      <c r="F41" s="340">
        <v>1211</v>
      </c>
      <c r="G41" s="340">
        <v>1968</v>
      </c>
      <c r="H41" s="340">
        <v>2761</v>
      </c>
      <c r="I41" s="340">
        <v>3467</v>
      </c>
      <c r="J41" s="340">
        <v>4435</v>
      </c>
      <c r="K41" s="340">
        <v>5648</v>
      </c>
      <c r="L41" s="340">
        <v>6861</v>
      </c>
      <c r="M41" s="340">
        <v>5345</v>
      </c>
      <c r="N41" s="340">
        <v>4335</v>
      </c>
      <c r="O41" s="340">
        <v>4832</v>
      </c>
      <c r="P41" s="340">
        <v>5329</v>
      </c>
      <c r="Q41" s="340">
        <v>6352</v>
      </c>
      <c r="R41" s="340">
        <v>5315</v>
      </c>
    </row>
    <row r="42" spans="1:18">
      <c r="A42" s="4" t="s">
        <v>1130</v>
      </c>
      <c r="B42" s="4" t="s">
        <v>1249</v>
      </c>
      <c r="C42" s="152"/>
      <c r="D42" s="340"/>
      <c r="E42" s="340"/>
      <c r="F42" s="340"/>
      <c r="G42" s="340"/>
      <c r="H42" s="340">
        <v>1024</v>
      </c>
      <c r="I42" s="340">
        <v>1193</v>
      </c>
      <c r="J42" s="340">
        <v>1228</v>
      </c>
      <c r="K42" s="340">
        <v>1263</v>
      </c>
      <c r="L42" s="340">
        <v>1001</v>
      </c>
      <c r="M42" s="340">
        <v>733</v>
      </c>
      <c r="N42" s="340">
        <v>455</v>
      </c>
      <c r="O42" s="340">
        <v>169</v>
      </c>
      <c r="P42" s="340">
        <v>174</v>
      </c>
      <c r="Q42" s="340">
        <v>187</v>
      </c>
      <c r="R42" s="340">
        <v>1247</v>
      </c>
    </row>
    <row r="43" spans="1:18">
      <c r="A43" s="4" t="s">
        <v>1250</v>
      </c>
      <c r="B43" s="4" t="s">
        <v>1251</v>
      </c>
      <c r="C43" s="152"/>
      <c r="D43" s="340"/>
      <c r="E43" s="340"/>
      <c r="F43" s="340"/>
      <c r="G43" s="340"/>
      <c r="H43" s="340"/>
      <c r="I43" s="340"/>
      <c r="J43" s="340"/>
      <c r="K43" s="340"/>
      <c r="L43" s="340"/>
      <c r="M43" s="340"/>
      <c r="N43" s="340"/>
      <c r="O43" s="340"/>
      <c r="P43" s="340"/>
      <c r="Q43" s="340"/>
      <c r="R43" s="340"/>
    </row>
    <row r="44" spans="1:18" ht="15" customHeight="1" thickBot="1">
      <c r="A44" s="4" t="s">
        <v>1129</v>
      </c>
      <c r="B44" s="4" t="s">
        <v>96</v>
      </c>
      <c r="C44" s="152"/>
      <c r="D44" s="340">
        <v>856</v>
      </c>
      <c r="E44" s="340">
        <v>132</v>
      </c>
      <c r="F44" s="340">
        <v>226</v>
      </c>
      <c r="G44" s="340">
        <v>11.008910000000014</v>
      </c>
      <c r="H44" s="340">
        <v>45</v>
      </c>
      <c r="I44" s="340">
        <v>109</v>
      </c>
      <c r="J44" s="340">
        <v>76</v>
      </c>
      <c r="K44" s="340">
        <v>1200</v>
      </c>
      <c r="L44" s="340">
        <v>383</v>
      </c>
      <c r="M44" s="340">
        <v>894</v>
      </c>
      <c r="N44" s="340">
        <v>880</v>
      </c>
      <c r="O44" s="340">
        <v>1748</v>
      </c>
      <c r="P44" s="340">
        <v>794</v>
      </c>
      <c r="Q44" s="340">
        <v>436</v>
      </c>
      <c r="R44" s="340">
        <v>376</v>
      </c>
    </row>
    <row r="45" spans="1:18" ht="15" thickBot="1">
      <c r="A45" s="147" t="s">
        <v>1252</v>
      </c>
      <c r="B45" s="147" t="s">
        <v>1082</v>
      </c>
      <c r="C45" s="148"/>
      <c r="D45" s="149">
        <f t="shared" ref="D45:N45" si="10">SUM(D46:D56)</f>
        <v>1161003</v>
      </c>
      <c r="E45" s="149">
        <f t="shared" si="10"/>
        <v>1201578</v>
      </c>
      <c r="F45" s="149">
        <f t="shared" si="10"/>
        <v>10996</v>
      </c>
      <c r="G45" s="149">
        <f t="shared" si="10"/>
        <v>135236</v>
      </c>
      <c r="H45" s="149">
        <f t="shared" si="10"/>
        <v>1099226</v>
      </c>
      <c r="I45" s="149">
        <f t="shared" si="10"/>
        <v>1141270</v>
      </c>
      <c r="J45" s="149">
        <f t="shared" si="10"/>
        <v>1419329</v>
      </c>
      <c r="K45" s="149">
        <f t="shared" si="10"/>
        <v>1443160</v>
      </c>
      <c r="L45" s="149">
        <f t="shared" si="10"/>
        <v>1476543</v>
      </c>
      <c r="M45" s="149">
        <f t="shared" si="10"/>
        <v>1516050</v>
      </c>
      <c r="N45" s="149">
        <f t="shared" si="10"/>
        <v>1420239</v>
      </c>
      <c r="O45" s="149">
        <f t="shared" ref="O45" si="11">SUM(O46:O56)</f>
        <v>1447584</v>
      </c>
      <c r="P45" s="149">
        <f t="shared" ref="P45:Q45" si="12">SUM(P46:P56)</f>
        <v>1350697</v>
      </c>
      <c r="Q45" s="149">
        <f t="shared" si="12"/>
        <v>1386280</v>
      </c>
      <c r="R45" s="149">
        <f>SUM(R46:R56)</f>
        <v>1435920</v>
      </c>
    </row>
    <row r="46" spans="1:18">
      <c r="A46" s="4" t="s">
        <v>1105</v>
      </c>
      <c r="B46" s="4" t="s">
        <v>1106</v>
      </c>
      <c r="C46" s="152"/>
      <c r="D46" s="340">
        <v>11080</v>
      </c>
      <c r="E46" s="340">
        <v>11072</v>
      </c>
      <c r="F46" s="340">
        <v>10696</v>
      </c>
      <c r="G46" s="340">
        <v>134892</v>
      </c>
      <c r="H46" s="340">
        <v>134670</v>
      </c>
      <c r="I46" s="340">
        <v>134686</v>
      </c>
      <c r="J46" s="340">
        <v>134692</v>
      </c>
      <c r="K46" s="340">
        <v>134458</v>
      </c>
      <c r="L46" s="340">
        <v>134478</v>
      </c>
      <c r="M46" s="340">
        <v>134486</v>
      </c>
      <c r="N46" s="340">
        <v>134493</v>
      </c>
      <c r="O46" s="340">
        <v>134502</v>
      </c>
      <c r="P46" s="340">
        <v>134511</v>
      </c>
      <c r="Q46" s="340">
        <v>134519</v>
      </c>
      <c r="R46" s="340">
        <v>134528</v>
      </c>
    </row>
    <row r="47" spans="1:18">
      <c r="A47" s="4" t="s">
        <v>1107</v>
      </c>
      <c r="B47" s="4" t="s">
        <v>1108</v>
      </c>
      <c r="C47" s="146"/>
      <c r="D47" s="340">
        <v>1148170</v>
      </c>
      <c r="E47" s="340">
        <v>1190352</v>
      </c>
      <c r="F47" s="340">
        <v>0</v>
      </c>
      <c r="G47" s="340"/>
      <c r="H47" s="340">
        <v>962871</v>
      </c>
      <c r="I47" s="340">
        <v>995228</v>
      </c>
      <c r="J47" s="340">
        <v>1273529</v>
      </c>
      <c r="K47" s="340">
        <v>1297849</v>
      </c>
      <c r="L47" s="340">
        <v>1331164</v>
      </c>
      <c r="M47" s="340">
        <v>1370690</v>
      </c>
      <c r="N47" s="340">
        <v>1274968</v>
      </c>
      <c r="O47" s="340">
        <v>1302348</v>
      </c>
      <c r="P47" s="340">
        <v>1204500</v>
      </c>
      <c r="Q47" s="340">
        <v>1239680</v>
      </c>
      <c r="R47" s="340">
        <v>1287015</v>
      </c>
    </row>
    <row r="48" spans="1:18">
      <c r="A48" s="4" t="s">
        <v>1253</v>
      </c>
      <c r="B48" s="4" t="s">
        <v>1254</v>
      </c>
      <c r="C48" s="148"/>
      <c r="D48" s="340"/>
      <c r="E48" s="340"/>
      <c r="F48" s="340"/>
      <c r="G48" s="340"/>
      <c r="H48" s="340"/>
      <c r="I48" s="340"/>
      <c r="J48" s="340"/>
      <c r="K48" s="340"/>
      <c r="L48" s="340"/>
      <c r="M48" s="340"/>
      <c r="N48" s="340"/>
      <c r="O48" s="340"/>
      <c r="P48" s="340"/>
      <c r="Q48" s="340"/>
      <c r="R48" s="340"/>
    </row>
    <row r="49" spans="1:18">
      <c r="A49" s="4" t="s">
        <v>1255</v>
      </c>
      <c r="B49" s="4" t="s">
        <v>1256</v>
      </c>
      <c r="C49" s="161"/>
      <c r="D49" s="340"/>
      <c r="E49" s="340"/>
      <c r="F49" s="340"/>
      <c r="G49" s="340"/>
      <c r="H49" s="340"/>
      <c r="I49" s="340"/>
      <c r="J49" s="340"/>
      <c r="K49" s="340"/>
      <c r="L49" s="340"/>
      <c r="M49" s="340"/>
      <c r="N49" s="340"/>
      <c r="O49" s="340"/>
      <c r="P49" s="340"/>
      <c r="Q49" s="340"/>
      <c r="R49" s="340"/>
    </row>
    <row r="50" spans="1:18">
      <c r="A50" s="4" t="s">
        <v>1257</v>
      </c>
      <c r="B50" s="4" t="s">
        <v>1258</v>
      </c>
      <c r="C50" s="161"/>
      <c r="D50" s="340">
        <v>36</v>
      </c>
      <c r="E50" s="340">
        <v>154</v>
      </c>
      <c r="F50" s="340">
        <v>300</v>
      </c>
      <c r="G50" s="340">
        <v>344</v>
      </c>
      <c r="H50" s="340">
        <v>386</v>
      </c>
      <c r="I50" s="340">
        <v>394</v>
      </c>
      <c r="J50" s="340">
        <v>466</v>
      </c>
      <c r="K50" s="340">
        <v>541</v>
      </c>
      <c r="L50" s="340">
        <v>607</v>
      </c>
      <c r="M50" s="340">
        <v>494</v>
      </c>
      <c r="N50" s="340">
        <v>441</v>
      </c>
      <c r="O50" s="340">
        <v>441</v>
      </c>
      <c r="P50" s="340">
        <v>486</v>
      </c>
      <c r="Q50" s="340">
        <v>581</v>
      </c>
      <c r="R50" s="340">
        <v>705</v>
      </c>
    </row>
    <row r="51" spans="1:18">
      <c r="A51" s="4" t="s">
        <v>1123</v>
      </c>
      <c r="B51" s="4" t="s">
        <v>1124</v>
      </c>
      <c r="C51" s="161"/>
      <c r="D51" s="340">
        <v>1717</v>
      </c>
      <c r="E51" s="340"/>
      <c r="F51" s="340"/>
      <c r="G51" s="340"/>
      <c r="H51" s="340"/>
      <c r="I51" s="340"/>
      <c r="J51" s="340"/>
      <c r="K51" s="340"/>
      <c r="L51" s="340"/>
      <c r="M51" s="340"/>
      <c r="N51" s="340"/>
      <c r="O51" s="340"/>
      <c r="P51" s="340"/>
      <c r="Q51" s="340"/>
      <c r="R51" s="340"/>
    </row>
    <row r="52" spans="1:18">
      <c r="A52" s="4" t="s">
        <v>1259</v>
      </c>
      <c r="B52" s="4" t="s">
        <v>1260</v>
      </c>
      <c r="C52" s="152"/>
      <c r="D52" s="340"/>
      <c r="E52" s="340"/>
      <c r="F52" s="340"/>
      <c r="G52" s="340"/>
      <c r="H52" s="340"/>
      <c r="I52" s="340"/>
      <c r="J52" s="340"/>
      <c r="K52" s="340"/>
      <c r="L52" s="340"/>
      <c r="M52" s="340"/>
      <c r="N52" s="340"/>
      <c r="O52" s="340"/>
      <c r="P52" s="340">
        <v>831</v>
      </c>
      <c r="Q52" s="340">
        <v>658</v>
      </c>
      <c r="R52" s="340">
        <v>831</v>
      </c>
    </row>
    <row r="53" spans="1:18">
      <c r="A53" s="4" t="s">
        <v>1250</v>
      </c>
      <c r="B53" s="4" t="s">
        <v>1251</v>
      </c>
      <c r="C53" s="152"/>
      <c r="D53" s="340"/>
      <c r="E53" s="340"/>
      <c r="F53" s="340"/>
      <c r="G53" s="340"/>
      <c r="H53" s="340"/>
      <c r="I53" s="340"/>
      <c r="J53" s="340"/>
      <c r="K53" s="340"/>
      <c r="L53" s="340"/>
      <c r="M53" s="340"/>
      <c r="N53" s="340"/>
      <c r="O53" s="340"/>
      <c r="P53" s="340"/>
      <c r="Q53" s="340"/>
      <c r="R53" s="340"/>
    </row>
    <row r="54" spans="1:18">
      <c r="A54" s="4" t="s">
        <v>1130</v>
      </c>
      <c r="B54" s="4" t="s">
        <v>1249</v>
      </c>
      <c r="C54" s="152"/>
      <c r="D54" s="340"/>
      <c r="E54" s="340"/>
      <c r="F54" s="340"/>
      <c r="G54" s="340"/>
      <c r="H54" s="340">
        <v>1299</v>
      </c>
      <c r="I54" s="340">
        <v>10962</v>
      </c>
      <c r="J54" s="340">
        <v>10642</v>
      </c>
      <c r="K54" s="340">
        <v>10312</v>
      </c>
      <c r="L54" s="340">
        <v>10294</v>
      </c>
      <c r="M54" s="340">
        <v>10380</v>
      </c>
      <c r="N54" s="340">
        <v>10337</v>
      </c>
      <c r="O54" s="340">
        <v>10293</v>
      </c>
      <c r="P54" s="340">
        <v>10269</v>
      </c>
      <c r="Q54" s="340">
        <v>10636</v>
      </c>
      <c r="R54" s="340">
        <v>12495</v>
      </c>
    </row>
    <row r="55" spans="1:18">
      <c r="A55" s="4" t="s">
        <v>1245</v>
      </c>
      <c r="B55" s="4" t="s">
        <v>1246</v>
      </c>
      <c r="C55" s="152"/>
      <c r="D55" s="340"/>
      <c r="E55" s="340"/>
      <c r="F55" s="340"/>
      <c r="G55" s="340"/>
      <c r="H55" s="340"/>
      <c r="I55" s="340"/>
      <c r="J55" s="340"/>
      <c r="K55" s="340"/>
      <c r="L55" s="340"/>
      <c r="M55" s="340"/>
      <c r="N55" s="340"/>
      <c r="O55" s="340"/>
      <c r="P55" s="340"/>
      <c r="Q55" s="340"/>
      <c r="R55" s="340"/>
    </row>
    <row r="56" spans="1:18" ht="15" thickBot="1">
      <c r="A56" s="4" t="s">
        <v>1129</v>
      </c>
      <c r="B56" s="4" t="s">
        <v>96</v>
      </c>
      <c r="C56" s="152"/>
      <c r="D56" s="340"/>
      <c r="E56" s="340"/>
      <c r="F56" s="340"/>
      <c r="G56" s="340"/>
      <c r="H56" s="340"/>
      <c r="I56" s="340"/>
      <c r="J56" s="340"/>
      <c r="K56" s="340"/>
      <c r="L56" s="340"/>
      <c r="M56" s="340"/>
      <c r="N56" s="340"/>
      <c r="O56" s="340"/>
      <c r="P56" s="340">
        <v>100</v>
      </c>
      <c r="Q56" s="340">
        <v>206</v>
      </c>
      <c r="R56" s="340">
        <v>346</v>
      </c>
    </row>
    <row r="57" spans="1:18" ht="15" thickBot="1">
      <c r="A57" s="147" t="s">
        <v>1261</v>
      </c>
      <c r="B57" s="147" t="s">
        <v>1262</v>
      </c>
      <c r="C57" s="148"/>
      <c r="D57" s="149">
        <f t="shared" ref="D57:N57" si="13">+D33+D45</f>
        <v>1177504</v>
      </c>
      <c r="E57" s="149">
        <f t="shared" si="13"/>
        <v>1217015</v>
      </c>
      <c r="F57" s="149">
        <f t="shared" si="13"/>
        <v>1264827</v>
      </c>
      <c r="G57" s="149">
        <f t="shared" si="13"/>
        <v>1438264.0089100001</v>
      </c>
      <c r="H57" s="149">
        <f t="shared" si="13"/>
        <v>1490396</v>
      </c>
      <c r="I57" s="149">
        <f t="shared" si="13"/>
        <v>1543441</v>
      </c>
      <c r="J57" s="149">
        <f t="shared" si="13"/>
        <v>1594090</v>
      </c>
      <c r="K57" s="149">
        <f t="shared" si="13"/>
        <v>1637647</v>
      </c>
      <c r="L57" s="149">
        <f t="shared" si="13"/>
        <v>1667205</v>
      </c>
      <c r="M57" s="149">
        <f t="shared" si="13"/>
        <v>1707384</v>
      </c>
      <c r="N57" s="149">
        <f t="shared" si="13"/>
        <v>1604178</v>
      </c>
      <c r="O57" s="149">
        <f t="shared" ref="O57:Q57" si="14">+O33+O45</f>
        <v>1629269</v>
      </c>
      <c r="P57" s="149">
        <f t="shared" si="14"/>
        <v>1400530</v>
      </c>
      <c r="Q57" s="149">
        <f t="shared" si="14"/>
        <v>1430433</v>
      </c>
      <c r="R57" s="149">
        <f>+R33+R45</f>
        <v>1478253</v>
      </c>
    </row>
    <row r="58" spans="1:18">
      <c r="A58" s="4" t="s">
        <v>1177</v>
      </c>
      <c r="B58" s="4" t="s">
        <v>1138</v>
      </c>
      <c r="C58" s="152"/>
      <c r="D58" s="340">
        <v>50000</v>
      </c>
      <c r="E58" s="340">
        <v>50000</v>
      </c>
      <c r="F58" s="340">
        <v>100000</v>
      </c>
      <c r="G58" s="340">
        <v>100000</v>
      </c>
      <c r="H58" s="340">
        <v>100000</v>
      </c>
      <c r="I58" s="340">
        <v>100000</v>
      </c>
      <c r="J58" s="340">
        <v>100000</v>
      </c>
      <c r="K58" s="340">
        <v>157331</v>
      </c>
      <c r="L58" s="340">
        <v>160331</v>
      </c>
      <c r="M58" s="340">
        <v>215041</v>
      </c>
      <c r="N58" s="340">
        <v>404256</v>
      </c>
      <c r="O58" s="340">
        <v>424059</v>
      </c>
      <c r="P58" s="340">
        <v>707899</v>
      </c>
      <c r="Q58" s="340">
        <v>726899</v>
      </c>
      <c r="R58" s="340">
        <v>742899</v>
      </c>
    </row>
    <row r="59" spans="1:18">
      <c r="A59" s="4" t="s">
        <v>1180</v>
      </c>
      <c r="B59" s="4" t="s">
        <v>1140</v>
      </c>
      <c r="C59" s="152"/>
      <c r="D59" s="340">
        <v>722</v>
      </c>
      <c r="E59" s="340">
        <v>919</v>
      </c>
      <c r="F59" s="340">
        <v>1043</v>
      </c>
      <c r="G59" s="340">
        <v>1167</v>
      </c>
      <c r="H59" s="340">
        <v>1296</v>
      </c>
      <c r="I59" s="340">
        <v>1407</v>
      </c>
      <c r="J59" s="340">
        <v>1475</v>
      </c>
      <c r="K59" s="340">
        <v>1475</v>
      </c>
      <c r="L59" s="340">
        <v>1475</v>
      </c>
      <c r="M59" s="340">
        <v>1475</v>
      </c>
      <c r="N59" s="340">
        <v>1475</v>
      </c>
      <c r="O59" s="340">
        <v>1475</v>
      </c>
      <c r="P59" s="340">
        <v>1475</v>
      </c>
      <c r="Q59" s="340">
        <v>1475</v>
      </c>
      <c r="R59" s="340">
        <v>1475</v>
      </c>
    </row>
    <row r="60" spans="1:18">
      <c r="A60" s="4" t="s">
        <v>1217</v>
      </c>
      <c r="B60" s="4" t="s">
        <v>1218</v>
      </c>
      <c r="C60" s="152"/>
      <c r="D60" s="340">
        <v>-3629</v>
      </c>
      <c r="E60" s="340">
        <v>-149785</v>
      </c>
      <c r="F60" s="340">
        <v>-149785</v>
      </c>
      <c r="G60" s="340">
        <v>-149785</v>
      </c>
      <c r="H60" s="340">
        <v>-383864</v>
      </c>
      <c r="I60" s="340">
        <v>-383864</v>
      </c>
      <c r="J60" s="340">
        <v>-383864</v>
      </c>
      <c r="K60" s="340">
        <v>-383864</v>
      </c>
      <c r="L60" s="340">
        <v>-383864</v>
      </c>
      <c r="M60" s="340">
        <v>-585785</v>
      </c>
      <c r="N60" s="340">
        <v>-585785</v>
      </c>
      <c r="O60" s="340">
        <v>-585785</v>
      </c>
      <c r="P60" s="340">
        <v>-585785</v>
      </c>
      <c r="Q60" s="340">
        <v>-1071844</v>
      </c>
      <c r="R60" s="340">
        <v>-1071845</v>
      </c>
    </row>
    <row r="61" spans="1:18" ht="15" thickBot="1">
      <c r="A61" s="4" t="s">
        <v>903</v>
      </c>
      <c r="B61" s="4" t="s">
        <v>777</v>
      </c>
      <c r="C61" s="152"/>
      <c r="D61" s="340">
        <v>-146155</v>
      </c>
      <c r="E61" s="340">
        <v>-47456</v>
      </c>
      <c r="F61" s="340">
        <v>-104402</v>
      </c>
      <c r="G61" s="340">
        <v>-171121</v>
      </c>
      <c r="H61" s="340">
        <v>0</v>
      </c>
      <c r="I61" s="340">
        <v>-56929</v>
      </c>
      <c r="J61" s="340">
        <v>-106011</v>
      </c>
      <c r="K61" s="340">
        <v>-149975</v>
      </c>
      <c r="L61" s="340">
        <v>-201921</v>
      </c>
      <c r="M61" s="340">
        <v>-58858</v>
      </c>
      <c r="N61" s="340">
        <v>-105949</v>
      </c>
      <c r="O61" s="340">
        <v>-151232</v>
      </c>
      <c r="P61" s="340">
        <v>-486060</v>
      </c>
      <c r="Q61" s="340">
        <v>-39707</v>
      </c>
      <c r="R61" s="340">
        <v>-93745</v>
      </c>
    </row>
    <row r="62" spans="1:18" ht="15" thickBot="1">
      <c r="A62" s="147" t="s">
        <v>1263</v>
      </c>
      <c r="B62" s="147" t="s">
        <v>1136</v>
      </c>
      <c r="C62" s="148"/>
      <c r="D62" s="149">
        <f t="shared" ref="D62:I62" si="15">SUM(D58:D61)</f>
        <v>-99062</v>
      </c>
      <c r="E62" s="149">
        <f t="shared" si="15"/>
        <v>-146322</v>
      </c>
      <c r="F62" s="149">
        <f t="shared" si="15"/>
        <v>-153144</v>
      </c>
      <c r="G62" s="149">
        <f t="shared" si="15"/>
        <v>-219739</v>
      </c>
      <c r="H62" s="149">
        <f t="shared" si="15"/>
        <v>-282568</v>
      </c>
      <c r="I62" s="149">
        <f t="shared" si="15"/>
        <v>-339386</v>
      </c>
      <c r="J62" s="149">
        <f t="shared" ref="J62:O62" si="16">SUM(J58:J61)</f>
        <v>-388400</v>
      </c>
      <c r="K62" s="149">
        <f t="shared" si="16"/>
        <v>-375033</v>
      </c>
      <c r="L62" s="149">
        <f t="shared" si="16"/>
        <v>-423979</v>
      </c>
      <c r="M62" s="149">
        <f t="shared" si="16"/>
        <v>-428127</v>
      </c>
      <c r="N62" s="149">
        <f t="shared" si="16"/>
        <v>-286003</v>
      </c>
      <c r="O62" s="149">
        <f t="shared" si="16"/>
        <v>-311483</v>
      </c>
      <c r="P62" s="149">
        <f t="shared" ref="P62:Q62" si="17">SUM(P58:P61)</f>
        <v>-362471</v>
      </c>
      <c r="Q62" s="149">
        <f t="shared" si="17"/>
        <v>-383177</v>
      </c>
      <c r="R62" s="149">
        <f>SUM(R58:R61)</f>
        <v>-421216</v>
      </c>
    </row>
    <row r="63" spans="1:18" ht="15" thickBot="1">
      <c r="A63" s="147" t="s">
        <v>1264</v>
      </c>
      <c r="B63" s="147" t="s">
        <v>1148</v>
      </c>
      <c r="C63" s="148"/>
      <c r="D63" s="149">
        <f t="shared" ref="D63:I63" si="18">D62+D57</f>
        <v>1078442</v>
      </c>
      <c r="E63" s="149">
        <f t="shared" si="18"/>
        <v>1070693</v>
      </c>
      <c r="F63" s="149">
        <f t="shared" si="18"/>
        <v>1111683</v>
      </c>
      <c r="G63" s="149">
        <f t="shared" si="18"/>
        <v>1218525.0089100001</v>
      </c>
      <c r="H63" s="149">
        <f t="shared" si="18"/>
        <v>1207828</v>
      </c>
      <c r="I63" s="149">
        <f t="shared" si="18"/>
        <v>1204055</v>
      </c>
      <c r="J63" s="149">
        <f t="shared" ref="J63:Q63" si="19">J62+J57</f>
        <v>1205690</v>
      </c>
      <c r="K63" s="149">
        <f t="shared" si="19"/>
        <v>1262614</v>
      </c>
      <c r="L63" s="149">
        <f t="shared" si="19"/>
        <v>1243226</v>
      </c>
      <c r="M63" s="149">
        <f t="shared" si="19"/>
        <v>1279257</v>
      </c>
      <c r="N63" s="149">
        <f t="shared" si="19"/>
        <v>1318175</v>
      </c>
      <c r="O63" s="149">
        <f t="shared" si="19"/>
        <v>1317786</v>
      </c>
      <c r="P63" s="149">
        <f t="shared" si="19"/>
        <v>1038059</v>
      </c>
      <c r="Q63" s="149">
        <f t="shared" si="19"/>
        <v>1047256</v>
      </c>
      <c r="R63" s="149">
        <f>R62+R57</f>
        <v>1057037</v>
      </c>
    </row>
    <row r="64" spans="1:18">
      <c r="C64" s="148"/>
      <c r="D64" s="401">
        <f t="shared" ref="D64:I64" si="20">+D63-D30</f>
        <v>0</v>
      </c>
      <c r="E64" s="401">
        <f t="shared" si="20"/>
        <v>0</v>
      </c>
      <c r="F64" s="401">
        <f t="shared" si="20"/>
        <v>0</v>
      </c>
      <c r="G64" s="401">
        <f t="shared" si="20"/>
        <v>0</v>
      </c>
      <c r="H64" s="401">
        <f t="shared" si="20"/>
        <v>0</v>
      </c>
      <c r="I64" s="401">
        <f t="shared" si="20"/>
        <v>0</v>
      </c>
      <c r="J64" s="401">
        <f t="shared" ref="J64:Q64" si="21">+J63-J30</f>
        <v>0</v>
      </c>
      <c r="K64" s="401">
        <f t="shared" si="21"/>
        <v>0</v>
      </c>
      <c r="L64" s="401">
        <f t="shared" si="21"/>
        <v>0</v>
      </c>
      <c r="M64" s="401">
        <f t="shared" si="21"/>
        <v>0</v>
      </c>
      <c r="N64" s="401">
        <f t="shared" si="21"/>
        <v>0</v>
      </c>
      <c r="O64" s="401">
        <f t="shared" si="21"/>
        <v>0</v>
      </c>
      <c r="P64" s="401">
        <f t="shared" si="21"/>
        <v>0</v>
      </c>
      <c r="Q64" s="401">
        <f t="shared" si="21"/>
        <v>0</v>
      </c>
      <c r="R64" s="401">
        <f>+R63-R30</f>
        <v>0</v>
      </c>
    </row>
  </sheetData>
  <pageMargins left="0.511811024" right="0.511811024" top="0.78740157499999996" bottom="0.78740157499999996" header="0.31496062000000002" footer="0.31496062000000002"/>
  <ignoredErrors>
    <ignoredError sqref="D32:F32" unlockedFormula="1"/>
  </ignoredErrors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theme="9" tint="0.79998168889431442"/>
  </sheetPr>
  <dimension ref="A6:N73"/>
  <sheetViews>
    <sheetView showGridLines="0" zoomScale="90" zoomScaleNormal="90" workbookViewId="0">
      <pane xSplit="2" topLeftCell="G1" activePane="topRight" state="frozen"/>
      <selection activeCell="BB24" sqref="BB24"/>
      <selection pane="topRight" activeCell="Q68" sqref="Q68"/>
    </sheetView>
  </sheetViews>
  <sheetFormatPr defaultColWidth="8.5546875" defaultRowHeight="14.4"/>
  <cols>
    <col min="1" max="2" width="47.5546875" customWidth="1"/>
    <col min="3" max="3" width="0.5546875" customWidth="1"/>
    <col min="4" max="14" width="9.21875" customWidth="1"/>
  </cols>
  <sheetData>
    <row r="6" spans="1:14">
      <c r="A6" s="38" t="s">
        <v>2114</v>
      </c>
      <c r="B6" s="38" t="s">
        <v>2115</v>
      </c>
      <c r="C6" s="144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</row>
    <row r="7" spans="1:14" ht="15" thickBot="1">
      <c r="A7" s="6" t="s">
        <v>1049</v>
      </c>
      <c r="B7" s="6" t="s">
        <v>1050</v>
      </c>
      <c r="C7" s="146"/>
      <c r="D7" s="645">
        <v>2023</v>
      </c>
      <c r="E7" s="434" t="s">
        <v>83</v>
      </c>
      <c r="F7" s="434" t="s">
        <v>84</v>
      </c>
      <c r="G7" s="434" t="s">
        <v>85</v>
      </c>
      <c r="H7" s="434" t="s">
        <v>86</v>
      </c>
      <c r="I7" s="434" t="s">
        <v>87</v>
      </c>
      <c r="J7" s="434" t="s">
        <v>88</v>
      </c>
      <c r="K7" s="434" t="s">
        <v>2074</v>
      </c>
      <c r="L7" s="434" t="s">
        <v>2127</v>
      </c>
      <c r="M7" s="434" t="s">
        <v>2360</v>
      </c>
      <c r="N7" s="434" t="s">
        <v>2494</v>
      </c>
    </row>
    <row r="8" spans="1:14" ht="15" thickBot="1">
      <c r="A8" s="147" t="s">
        <v>1227</v>
      </c>
      <c r="B8" s="147" t="s">
        <v>1052</v>
      </c>
      <c r="C8" s="148"/>
      <c r="D8" s="149">
        <f t="shared" ref="D8:K8" si="0">SUM(D9:D19)</f>
        <v>224766</v>
      </c>
      <c r="E8" s="149">
        <f t="shared" si="0"/>
        <v>245070</v>
      </c>
      <c r="F8" s="149">
        <f t="shared" si="0"/>
        <v>379829</v>
      </c>
      <c r="G8" s="149">
        <f t="shared" si="0"/>
        <v>730971</v>
      </c>
      <c r="H8" s="149">
        <f t="shared" si="0"/>
        <v>501208</v>
      </c>
      <c r="I8" s="149">
        <f t="shared" si="0"/>
        <v>1016254</v>
      </c>
      <c r="J8" s="149">
        <f t="shared" si="0"/>
        <v>825776</v>
      </c>
      <c r="K8" s="149">
        <f t="shared" si="0"/>
        <v>771329</v>
      </c>
      <c r="L8" s="149">
        <f t="shared" ref="L8:M8" si="1">SUM(L9:L19)</f>
        <v>715816</v>
      </c>
      <c r="M8" s="149">
        <f t="shared" si="1"/>
        <v>745151</v>
      </c>
      <c r="N8" s="149">
        <f>SUM(N9:N19)</f>
        <v>647574</v>
      </c>
    </row>
    <row r="9" spans="1:14">
      <c r="A9" s="4" t="s">
        <v>1228</v>
      </c>
      <c r="B9" s="4" t="s">
        <v>1054</v>
      </c>
      <c r="C9" s="148"/>
      <c r="D9" s="340">
        <v>6389</v>
      </c>
      <c r="E9" s="340">
        <v>16412</v>
      </c>
      <c r="F9" s="340">
        <v>52305</v>
      </c>
      <c r="G9" s="340">
        <v>43885</v>
      </c>
      <c r="H9" s="340">
        <v>26090</v>
      </c>
      <c r="I9" s="340">
        <v>15125</v>
      </c>
      <c r="J9" s="340">
        <v>18206</v>
      </c>
      <c r="K9" s="340">
        <v>30823</v>
      </c>
      <c r="L9" s="340">
        <v>27598</v>
      </c>
      <c r="M9" s="340">
        <v>53296</v>
      </c>
      <c r="N9" s="340">
        <v>52236</v>
      </c>
    </row>
    <row r="10" spans="1:14">
      <c r="A10" s="4" t="s">
        <v>1055</v>
      </c>
      <c r="B10" s="4" t="s">
        <v>1229</v>
      </c>
      <c r="C10" s="152"/>
      <c r="D10" s="340">
        <v>30493</v>
      </c>
      <c r="E10" s="340">
        <v>26041</v>
      </c>
      <c r="F10" s="340">
        <v>59447</v>
      </c>
      <c r="G10" s="340">
        <v>65208</v>
      </c>
      <c r="H10" s="340">
        <v>25594</v>
      </c>
      <c r="I10" s="340">
        <v>54645</v>
      </c>
      <c r="J10" s="340">
        <v>54457</v>
      </c>
      <c r="K10" s="340">
        <v>48553</v>
      </c>
      <c r="L10" s="340">
        <v>21311</v>
      </c>
      <c r="M10" s="340">
        <v>5282</v>
      </c>
      <c r="N10" s="340">
        <v>653</v>
      </c>
    </row>
    <row r="11" spans="1:14">
      <c r="A11" s="4" t="s">
        <v>1230</v>
      </c>
      <c r="B11" s="4" t="s">
        <v>1058</v>
      </c>
      <c r="C11" s="152"/>
      <c r="D11" s="340">
        <v>89894</v>
      </c>
      <c r="E11" s="340">
        <v>99197</v>
      </c>
      <c r="F11" s="340">
        <v>105823</v>
      </c>
      <c r="G11" s="340">
        <v>206821</v>
      </c>
      <c r="H11" s="340">
        <v>204481</v>
      </c>
      <c r="I11" s="340">
        <v>346562</v>
      </c>
      <c r="J11" s="340">
        <v>322631</v>
      </c>
      <c r="K11" s="340">
        <v>378692</v>
      </c>
      <c r="L11" s="340">
        <v>432556</v>
      </c>
      <c r="M11" s="340">
        <v>423818</v>
      </c>
      <c r="N11" s="340">
        <v>348048</v>
      </c>
    </row>
    <row r="12" spans="1:14">
      <c r="A12" s="151" t="s">
        <v>1203</v>
      </c>
      <c r="B12" s="151" t="s">
        <v>1064</v>
      </c>
      <c r="C12" s="152"/>
      <c r="D12" s="340"/>
      <c r="E12" s="340"/>
      <c r="F12" s="340"/>
      <c r="G12" s="340">
        <v>1177</v>
      </c>
      <c r="H12" s="340">
        <v>23</v>
      </c>
      <c r="I12" s="340"/>
      <c r="J12" s="340"/>
      <c r="K12" s="340"/>
      <c r="L12" s="340">
        <v>873</v>
      </c>
      <c r="M12" s="340">
        <v>449</v>
      </c>
      <c r="N12" s="340">
        <v>1249</v>
      </c>
    </row>
    <row r="13" spans="1:14">
      <c r="A13" s="4" t="s">
        <v>1068</v>
      </c>
      <c r="B13" s="4" t="s">
        <v>1069</v>
      </c>
      <c r="C13" s="152"/>
      <c r="D13" s="340">
        <v>6</v>
      </c>
      <c r="E13" s="340">
        <v>6</v>
      </c>
      <c r="F13" s="340">
        <v>6</v>
      </c>
      <c r="G13" s="340">
        <v>6</v>
      </c>
      <c r="H13" s="340">
        <v>6</v>
      </c>
      <c r="I13" s="340">
        <v>6</v>
      </c>
      <c r="J13" s="340">
        <v>6</v>
      </c>
      <c r="K13" s="340"/>
      <c r="L13" s="340"/>
      <c r="M13" s="340"/>
      <c r="N13" s="340"/>
    </row>
    <row r="14" spans="1:14">
      <c r="A14" s="4" t="s">
        <v>1237</v>
      </c>
      <c r="B14" s="4" t="s">
        <v>1073</v>
      </c>
      <c r="C14" s="152"/>
      <c r="D14" s="340"/>
      <c r="E14" s="340">
        <v>1761</v>
      </c>
      <c r="F14" s="340">
        <v>5509</v>
      </c>
      <c r="G14" s="340">
        <v>222</v>
      </c>
      <c r="H14" s="340">
        <v>3517</v>
      </c>
      <c r="I14" s="340">
        <v>1156</v>
      </c>
      <c r="J14" s="340">
        <v>110</v>
      </c>
      <c r="K14" s="340"/>
      <c r="L14" s="340">
        <v>349</v>
      </c>
      <c r="M14" s="340">
        <v>0</v>
      </c>
      <c r="N14" s="340">
        <v>0</v>
      </c>
    </row>
    <row r="15" spans="1:14">
      <c r="A15" s="4" t="s">
        <v>1074</v>
      </c>
      <c r="B15" s="4" t="s">
        <v>1075</v>
      </c>
      <c r="D15" s="340">
        <v>13626</v>
      </c>
      <c r="E15" s="340">
        <v>12109</v>
      </c>
      <c r="F15" s="340">
        <v>11123</v>
      </c>
      <c r="G15" s="340">
        <v>8817</v>
      </c>
      <c r="H15" s="340">
        <v>7899</v>
      </c>
      <c r="I15" s="340">
        <v>7574</v>
      </c>
      <c r="J15" s="340">
        <v>7217</v>
      </c>
      <c r="K15" s="340">
        <v>8166</v>
      </c>
      <c r="L15" s="340">
        <v>5180</v>
      </c>
      <c r="M15" s="340">
        <v>5170</v>
      </c>
      <c r="N15" s="340">
        <v>5161</v>
      </c>
    </row>
    <row r="16" spans="1:14">
      <c r="A16" s="4" t="s">
        <v>1078</v>
      </c>
      <c r="B16" s="4" t="s">
        <v>1079</v>
      </c>
      <c r="C16" s="152"/>
      <c r="D16" s="340">
        <v>18444</v>
      </c>
      <c r="E16" s="340">
        <v>8446</v>
      </c>
      <c r="F16" s="340">
        <v>15037</v>
      </c>
      <c r="G16" s="340">
        <v>23963</v>
      </c>
      <c r="H16" s="340">
        <v>29371</v>
      </c>
      <c r="I16" s="340">
        <v>29990</v>
      </c>
      <c r="J16" s="340">
        <v>30473</v>
      </c>
      <c r="K16" s="340">
        <v>22452</v>
      </c>
      <c r="L16" s="340">
        <v>12289</v>
      </c>
      <c r="M16" s="340">
        <v>18099</v>
      </c>
      <c r="N16" s="340">
        <v>24190</v>
      </c>
    </row>
    <row r="17" spans="1:14">
      <c r="A17" s="4" t="s">
        <v>1076</v>
      </c>
      <c r="B17" s="4" t="s">
        <v>1077</v>
      </c>
      <c r="C17" s="152"/>
      <c r="D17" s="340">
        <v>14528</v>
      </c>
      <c r="E17" s="340">
        <v>21326</v>
      </c>
      <c r="F17" s="340">
        <v>28118</v>
      </c>
      <c r="G17" s="340">
        <v>24164</v>
      </c>
      <c r="H17" s="340">
        <v>59130</v>
      </c>
      <c r="I17" s="340">
        <v>80914</v>
      </c>
      <c r="J17" s="340">
        <v>118007</v>
      </c>
      <c r="K17" s="340">
        <v>94538</v>
      </c>
      <c r="L17" s="340">
        <v>32387</v>
      </c>
      <c r="M17" s="340">
        <v>63992</v>
      </c>
      <c r="N17" s="340">
        <v>46152</v>
      </c>
    </row>
    <row r="18" spans="1:14">
      <c r="A18" s="4" t="s">
        <v>1265</v>
      </c>
      <c r="B18" s="4" t="s">
        <v>1266</v>
      </c>
      <c r="C18" s="152"/>
      <c r="D18" s="340">
        <v>22402</v>
      </c>
      <c r="E18" s="340">
        <v>52684</v>
      </c>
      <c r="F18" s="340">
        <v>93520</v>
      </c>
      <c r="G18" s="340">
        <v>324261</v>
      </c>
      <c r="H18" s="340">
        <v>138820</v>
      </c>
      <c r="I18" s="340">
        <v>473645</v>
      </c>
      <c r="J18" s="340">
        <v>258806</v>
      </c>
      <c r="K18" s="340">
        <v>169145</v>
      </c>
      <c r="L18" s="340">
        <v>166786</v>
      </c>
      <c r="M18" s="340">
        <v>166056</v>
      </c>
      <c r="N18" s="340">
        <v>160720</v>
      </c>
    </row>
    <row r="19" spans="1:14" ht="15" thickBot="1">
      <c r="A19" s="4" t="s">
        <v>1080</v>
      </c>
      <c r="B19" s="4" t="s">
        <v>96</v>
      </c>
      <c r="D19" s="340">
        <v>28984</v>
      </c>
      <c r="E19" s="340">
        <v>7088</v>
      </c>
      <c r="F19" s="340">
        <v>8941</v>
      </c>
      <c r="G19" s="340">
        <v>32447</v>
      </c>
      <c r="H19" s="340">
        <v>6277</v>
      </c>
      <c r="I19" s="340">
        <v>6637</v>
      </c>
      <c r="J19" s="340">
        <v>15863</v>
      </c>
      <c r="K19" s="340">
        <v>18960</v>
      </c>
      <c r="L19" s="340">
        <v>16487</v>
      </c>
      <c r="M19" s="340">
        <v>8989</v>
      </c>
      <c r="N19" s="340">
        <v>9165</v>
      </c>
    </row>
    <row r="20" spans="1:14" ht="15" thickBot="1">
      <c r="A20" s="147" t="s">
        <v>1239</v>
      </c>
      <c r="B20" s="147" t="s">
        <v>1240</v>
      </c>
      <c r="C20" s="148"/>
      <c r="D20" s="149">
        <f t="shared" ref="D20:K20" si="2">SUM(D21:D31)</f>
        <v>247895</v>
      </c>
      <c r="E20" s="149">
        <f t="shared" si="2"/>
        <v>264845</v>
      </c>
      <c r="F20" s="149">
        <f t="shared" si="2"/>
        <v>291328</v>
      </c>
      <c r="G20" s="149">
        <f t="shared" si="2"/>
        <v>312767</v>
      </c>
      <c r="H20" s="149">
        <f t="shared" si="2"/>
        <v>285802</v>
      </c>
      <c r="I20" s="149">
        <f t="shared" si="2"/>
        <v>322001</v>
      </c>
      <c r="J20" s="149">
        <f t="shared" si="2"/>
        <v>312293</v>
      </c>
      <c r="K20" s="149">
        <f t="shared" si="2"/>
        <v>320807</v>
      </c>
      <c r="L20" s="149">
        <f t="shared" ref="L20:M20" si="3">SUM(L21:L31)</f>
        <v>347050</v>
      </c>
      <c r="M20" s="149">
        <f t="shared" si="3"/>
        <v>347082</v>
      </c>
      <c r="N20" s="149">
        <f>SUM(N21:N31)</f>
        <v>350622</v>
      </c>
    </row>
    <row r="21" spans="1:14">
      <c r="A21" s="151" t="s">
        <v>1068</v>
      </c>
      <c r="B21" s="151" t="s">
        <v>1069</v>
      </c>
      <c r="C21" s="148"/>
      <c r="D21" s="340">
        <v>119</v>
      </c>
      <c r="E21" s="340">
        <v>119</v>
      </c>
      <c r="F21" s="340">
        <v>119</v>
      </c>
      <c r="G21" s="340">
        <v>118</v>
      </c>
      <c r="H21" s="340">
        <v>118</v>
      </c>
      <c r="I21" s="340">
        <v>157</v>
      </c>
      <c r="J21" s="340">
        <v>188</v>
      </c>
      <c r="K21" s="340">
        <v>267</v>
      </c>
      <c r="L21" s="340">
        <v>32</v>
      </c>
      <c r="M21" s="340">
        <v>32</v>
      </c>
      <c r="N21" s="340">
        <v>32</v>
      </c>
    </row>
    <row r="22" spans="1:14">
      <c r="A22" s="151" t="s">
        <v>1072</v>
      </c>
      <c r="B22" s="151" t="s">
        <v>1073</v>
      </c>
      <c r="C22" s="148"/>
      <c r="D22" s="340"/>
      <c r="E22" s="340"/>
      <c r="F22" s="340">
        <v>1628</v>
      </c>
      <c r="G22" s="340"/>
      <c r="H22" s="340">
        <v>8516</v>
      </c>
      <c r="I22" s="340">
        <v>2292</v>
      </c>
      <c r="J22" s="340">
        <v>110</v>
      </c>
      <c r="K22" s="340"/>
      <c r="L22" s="340">
        <v>349</v>
      </c>
      <c r="M22" s="340">
        <v>0</v>
      </c>
      <c r="N22" s="340">
        <v>0</v>
      </c>
    </row>
    <row r="23" spans="1:14">
      <c r="A23" s="151" t="s">
        <v>1076</v>
      </c>
      <c r="B23" s="151" t="s">
        <v>1077</v>
      </c>
      <c r="C23" s="148"/>
      <c r="D23" s="340">
        <v>1445</v>
      </c>
      <c r="E23" s="340">
        <v>1447</v>
      </c>
      <c r="F23" s="340">
        <v>1466</v>
      </c>
      <c r="G23" s="340">
        <v>877</v>
      </c>
      <c r="H23" s="340">
        <v>685</v>
      </c>
      <c r="I23" s="340">
        <v>529</v>
      </c>
      <c r="J23" s="340">
        <v>416</v>
      </c>
      <c r="K23" s="340">
        <v>382</v>
      </c>
      <c r="L23" s="340">
        <v>299</v>
      </c>
      <c r="M23" s="340">
        <v>238</v>
      </c>
      <c r="N23" s="340">
        <v>343</v>
      </c>
    </row>
    <row r="24" spans="1:14">
      <c r="A24" s="151" t="s">
        <v>1162</v>
      </c>
      <c r="B24" s="151" t="s">
        <v>1133</v>
      </c>
      <c r="C24" s="148"/>
      <c r="D24" s="340"/>
      <c r="E24" s="340"/>
      <c r="F24" s="340"/>
      <c r="G24" s="340"/>
      <c r="H24" s="340">
        <v>259</v>
      </c>
      <c r="I24" s="340">
        <v>237</v>
      </c>
      <c r="J24" s="340">
        <v>159</v>
      </c>
      <c r="K24" s="340">
        <v>40</v>
      </c>
      <c r="L24" s="340">
        <v>82</v>
      </c>
      <c r="M24" s="340">
        <v>447</v>
      </c>
      <c r="N24" s="340">
        <v>297</v>
      </c>
    </row>
    <row r="25" spans="1:14">
      <c r="A25" s="151" t="s">
        <v>1283</v>
      </c>
      <c r="B25" s="151" t="s">
        <v>1284</v>
      </c>
      <c r="C25" s="148"/>
      <c r="D25" s="340"/>
      <c r="E25" s="340"/>
      <c r="F25" s="340"/>
      <c r="G25" s="340"/>
      <c r="H25" s="340">
        <v>1479</v>
      </c>
      <c r="I25" s="340"/>
      <c r="J25" s="340"/>
      <c r="K25" s="340"/>
      <c r="L25" s="340"/>
      <c r="M25" s="340"/>
      <c r="N25" s="340">
        <v>2352</v>
      </c>
    </row>
    <row r="26" spans="1:14">
      <c r="A26" s="4" t="s">
        <v>1265</v>
      </c>
      <c r="B26" s="4" t="s">
        <v>1266</v>
      </c>
      <c r="C26" s="148"/>
      <c r="D26" s="340">
        <v>10844</v>
      </c>
      <c r="E26" s="340">
        <v>27569</v>
      </c>
      <c r="F26" s="340">
        <v>41907</v>
      </c>
      <c r="G26" s="340">
        <v>58094</v>
      </c>
      <c r="H26" s="340">
        <v>11514</v>
      </c>
      <c r="I26" s="340">
        <v>48751</v>
      </c>
      <c r="J26" s="340">
        <v>42811</v>
      </c>
      <c r="K26" s="340">
        <v>48110</v>
      </c>
      <c r="L26" s="340">
        <v>68785</v>
      </c>
      <c r="M26" s="340">
        <v>70085</v>
      </c>
      <c r="N26" s="340">
        <v>65372</v>
      </c>
    </row>
    <row r="27" spans="1:14">
      <c r="A27" s="4" t="s">
        <v>1080</v>
      </c>
      <c r="B27" s="4" t="s">
        <v>96</v>
      </c>
      <c r="C27" s="148"/>
      <c r="D27" s="340">
        <v>571</v>
      </c>
      <c r="E27" s="340">
        <v>4</v>
      </c>
      <c r="F27" s="340">
        <v>3</v>
      </c>
      <c r="G27" s="340"/>
      <c r="H27" s="340">
        <v>2</v>
      </c>
      <c r="I27" s="340">
        <v>1</v>
      </c>
      <c r="J27" s="340"/>
      <c r="K27" s="340">
        <v>4</v>
      </c>
      <c r="L27" s="340">
        <v>235</v>
      </c>
      <c r="M27" s="340">
        <v>166</v>
      </c>
      <c r="N27" s="340">
        <v>96</v>
      </c>
    </row>
    <row r="28" spans="1:14">
      <c r="A28" s="4" t="s">
        <v>1088</v>
      </c>
      <c r="B28" s="4" t="s">
        <v>1089</v>
      </c>
      <c r="C28" s="148"/>
      <c r="D28" s="340">
        <v>3772</v>
      </c>
      <c r="E28" s="340">
        <v>3772</v>
      </c>
      <c r="F28" s="340">
        <v>3506</v>
      </c>
      <c r="G28" s="340">
        <v>3773</v>
      </c>
      <c r="H28" s="340">
        <v>3773</v>
      </c>
      <c r="I28" s="340">
        <v>3773</v>
      </c>
      <c r="J28" s="340">
        <v>820</v>
      </c>
      <c r="K28" s="340">
        <v>820</v>
      </c>
      <c r="L28" s="340">
        <v>820</v>
      </c>
      <c r="M28" s="340">
        <v>820</v>
      </c>
      <c r="N28" s="340">
        <v>820</v>
      </c>
    </row>
    <row r="29" spans="1:14">
      <c r="A29" s="4" t="s">
        <v>1166</v>
      </c>
      <c r="B29" s="4" t="s">
        <v>1097</v>
      </c>
      <c r="C29" s="148"/>
      <c r="D29" s="340">
        <v>8133</v>
      </c>
      <c r="E29" s="340">
        <v>7967</v>
      </c>
      <c r="F29" s="340">
        <v>7802</v>
      </c>
      <c r="G29" s="340">
        <v>7703</v>
      </c>
      <c r="H29" s="340">
        <v>7674</v>
      </c>
      <c r="I29" s="340">
        <v>7531</v>
      </c>
      <c r="J29" s="340">
        <v>7541</v>
      </c>
      <c r="K29" s="340">
        <v>7585</v>
      </c>
      <c r="L29" s="340">
        <v>7461</v>
      </c>
      <c r="M29" s="340">
        <v>7334</v>
      </c>
      <c r="N29" s="340">
        <v>7201</v>
      </c>
    </row>
    <row r="30" spans="1:14">
      <c r="A30" s="4" t="s">
        <v>1188</v>
      </c>
      <c r="B30" s="4" t="s">
        <v>1189</v>
      </c>
      <c r="C30" s="152"/>
      <c r="D30" s="340">
        <v>176769</v>
      </c>
      <c r="E30" s="340">
        <v>169815</v>
      </c>
      <c r="F30" s="340">
        <v>181234</v>
      </c>
      <c r="G30" s="340">
        <v>184235</v>
      </c>
      <c r="H30" s="340">
        <v>186579</v>
      </c>
      <c r="I30" s="340">
        <v>184454</v>
      </c>
      <c r="J30" s="340">
        <v>183279</v>
      </c>
      <c r="K30" s="340">
        <v>183461</v>
      </c>
      <c r="L30" s="340">
        <v>182882</v>
      </c>
      <c r="M30" s="340">
        <v>179852</v>
      </c>
      <c r="N30" s="340">
        <v>179467</v>
      </c>
    </row>
    <row r="31" spans="1:14" ht="15" thickBot="1">
      <c r="A31" s="4" t="s">
        <v>1092</v>
      </c>
      <c r="B31" s="4" t="s">
        <v>1093</v>
      </c>
      <c r="C31" s="152"/>
      <c r="D31" s="340">
        <v>46242</v>
      </c>
      <c r="E31" s="340">
        <v>54152</v>
      </c>
      <c r="F31" s="340">
        <v>53663</v>
      </c>
      <c r="G31" s="340">
        <v>57967</v>
      </c>
      <c r="H31" s="340">
        <v>65203</v>
      </c>
      <c r="I31" s="340">
        <v>74276</v>
      </c>
      <c r="J31" s="340">
        <v>76969</v>
      </c>
      <c r="K31" s="340">
        <v>80138</v>
      </c>
      <c r="L31" s="340">
        <v>86105</v>
      </c>
      <c r="M31" s="340">
        <v>88108</v>
      </c>
      <c r="N31" s="340">
        <v>94642</v>
      </c>
    </row>
    <row r="32" spans="1:14" ht="15" thickBot="1">
      <c r="A32" s="147" t="s">
        <v>1242</v>
      </c>
      <c r="B32" s="147" t="s">
        <v>1099</v>
      </c>
      <c r="C32" s="148"/>
      <c r="D32" s="149">
        <f t="shared" ref="D32:K32" si="4">D8+D20</f>
        <v>472661</v>
      </c>
      <c r="E32" s="149">
        <f t="shared" si="4"/>
        <v>509915</v>
      </c>
      <c r="F32" s="149">
        <f t="shared" si="4"/>
        <v>671157</v>
      </c>
      <c r="G32" s="149">
        <f t="shared" si="4"/>
        <v>1043738</v>
      </c>
      <c r="H32" s="149">
        <f t="shared" si="4"/>
        <v>787010</v>
      </c>
      <c r="I32" s="149">
        <f t="shared" si="4"/>
        <v>1338255</v>
      </c>
      <c r="J32" s="149">
        <f t="shared" si="4"/>
        <v>1138069</v>
      </c>
      <c r="K32" s="149">
        <f t="shared" si="4"/>
        <v>1092136</v>
      </c>
      <c r="L32" s="149">
        <f t="shared" ref="L32:M32" si="5">L8+L20</f>
        <v>1062866</v>
      </c>
      <c r="M32" s="149">
        <f t="shared" si="5"/>
        <v>1092233</v>
      </c>
      <c r="N32" s="149">
        <f>N8+N20</f>
        <v>998196</v>
      </c>
    </row>
    <row r="34" spans="1:14" ht="15" thickBot="1">
      <c r="A34" s="6" t="s">
        <v>1100</v>
      </c>
      <c r="B34" s="6" t="s">
        <v>1101</v>
      </c>
      <c r="C34" s="146"/>
      <c r="D34" s="645">
        <v>2023</v>
      </c>
      <c r="E34" s="434" t="s">
        <v>83</v>
      </c>
      <c r="F34" s="434" t="s">
        <v>84</v>
      </c>
      <c r="G34" s="434" t="s">
        <v>85</v>
      </c>
      <c r="H34" s="434" t="s">
        <v>86</v>
      </c>
      <c r="I34" s="434" t="s">
        <v>87</v>
      </c>
      <c r="J34" s="434" t="str">
        <f>+J7</f>
        <v>2T25</v>
      </c>
      <c r="K34" s="434" t="str">
        <f>+K7</f>
        <v>3T25</v>
      </c>
      <c r="L34" s="434" t="str">
        <f>+L7</f>
        <v>4T25</v>
      </c>
      <c r="M34" s="434" t="s">
        <v>2360</v>
      </c>
      <c r="N34" s="434" t="s">
        <v>2494</v>
      </c>
    </row>
    <row r="35" spans="1:14" ht="15" thickBot="1">
      <c r="A35" s="147" t="s">
        <v>1243</v>
      </c>
      <c r="B35" s="147" t="s">
        <v>1244</v>
      </c>
      <c r="C35" s="148"/>
      <c r="D35" s="149">
        <f t="shared" ref="D35:K35" si="6">SUM(D36:D49)</f>
        <v>317362</v>
      </c>
      <c r="E35" s="149">
        <f t="shared" si="6"/>
        <v>339654</v>
      </c>
      <c r="F35" s="149">
        <f t="shared" si="6"/>
        <v>411680</v>
      </c>
      <c r="G35" s="149">
        <f t="shared" si="6"/>
        <v>741885</v>
      </c>
      <c r="H35" s="149">
        <f t="shared" si="6"/>
        <v>394376</v>
      </c>
      <c r="I35" s="149">
        <f t="shared" si="6"/>
        <v>912952</v>
      </c>
      <c r="J35" s="149">
        <f t="shared" si="6"/>
        <v>677532</v>
      </c>
      <c r="K35" s="149">
        <f t="shared" si="6"/>
        <v>627738</v>
      </c>
      <c r="L35" s="149">
        <f t="shared" ref="L35:M35" si="7">SUM(L36:L49)</f>
        <v>563463</v>
      </c>
      <c r="M35" s="149">
        <f t="shared" si="7"/>
        <v>645333</v>
      </c>
      <c r="N35" s="149">
        <f>SUM(N36:N49)</f>
        <v>541363</v>
      </c>
    </row>
    <row r="36" spans="1:14">
      <c r="A36" s="4" t="s">
        <v>1102</v>
      </c>
      <c r="B36" s="4" t="s">
        <v>1103</v>
      </c>
      <c r="C36" s="152"/>
      <c r="D36" s="340">
        <v>74911</v>
      </c>
      <c r="E36" s="340">
        <v>64232</v>
      </c>
      <c r="F36" s="340">
        <v>65859</v>
      </c>
      <c r="G36" s="340">
        <v>162749</v>
      </c>
      <c r="H36" s="340">
        <v>110499</v>
      </c>
      <c r="I36" s="340">
        <v>259587</v>
      </c>
      <c r="J36" s="340">
        <v>217418</v>
      </c>
      <c r="K36" s="340">
        <v>293238</v>
      </c>
      <c r="L36" s="340">
        <v>312018</v>
      </c>
      <c r="M36" s="340">
        <v>337446</v>
      </c>
      <c r="N36" s="340">
        <v>230676</v>
      </c>
    </row>
    <row r="37" spans="1:14">
      <c r="A37" s="4" t="s">
        <v>1104</v>
      </c>
      <c r="B37" s="160" t="s">
        <v>876</v>
      </c>
      <c r="C37" s="152"/>
      <c r="D37" s="340">
        <v>9947</v>
      </c>
      <c r="E37" s="340">
        <v>12936</v>
      </c>
      <c r="F37" s="340">
        <v>16801</v>
      </c>
      <c r="G37" s="340">
        <v>18971</v>
      </c>
      <c r="H37" s="340">
        <v>16359</v>
      </c>
      <c r="I37" s="340">
        <v>18670</v>
      </c>
      <c r="J37" s="340">
        <v>18202</v>
      </c>
      <c r="K37" s="340">
        <v>17037</v>
      </c>
      <c r="L37" s="340">
        <v>12517</v>
      </c>
      <c r="M37" s="340">
        <v>15004</v>
      </c>
      <c r="N37" s="340">
        <v>17840</v>
      </c>
    </row>
    <row r="38" spans="1:14">
      <c r="A38" s="4" t="s">
        <v>1105</v>
      </c>
      <c r="B38" s="4" t="s">
        <v>1106</v>
      </c>
      <c r="C38" s="152"/>
      <c r="D38" s="340">
        <v>139998</v>
      </c>
      <c r="E38" s="340">
        <v>169908</v>
      </c>
      <c r="F38" s="340">
        <v>184865</v>
      </c>
      <c r="G38" s="340">
        <v>177743</v>
      </c>
      <c r="H38" s="340">
        <v>42324</v>
      </c>
      <c r="I38" s="340">
        <v>42467</v>
      </c>
      <c r="J38" s="340">
        <v>36439</v>
      </c>
      <c r="K38" s="340">
        <v>36678</v>
      </c>
      <c r="L38" s="340">
        <v>46188</v>
      </c>
      <c r="M38" s="340">
        <v>45098</v>
      </c>
      <c r="N38" s="340">
        <v>34320</v>
      </c>
    </row>
    <row r="39" spans="1:14">
      <c r="A39" s="4" t="s">
        <v>1111</v>
      </c>
      <c r="B39" s="4" t="s">
        <v>1112</v>
      </c>
      <c r="C39" s="152"/>
      <c r="D39" s="340">
        <v>15012</v>
      </c>
      <c r="E39" s="340">
        <v>18523</v>
      </c>
      <c r="F39" s="340">
        <v>24823</v>
      </c>
      <c r="G39" s="340">
        <v>11462</v>
      </c>
      <c r="H39" s="340">
        <v>44947</v>
      </c>
      <c r="I39" s="340">
        <v>77969</v>
      </c>
      <c r="J39" s="340">
        <v>95226</v>
      </c>
      <c r="K39" s="340">
        <v>70137</v>
      </c>
      <c r="L39" s="340">
        <v>24515</v>
      </c>
      <c r="M39" s="340">
        <v>47746</v>
      </c>
      <c r="N39" s="340">
        <v>35787</v>
      </c>
    </row>
    <row r="40" spans="1:14">
      <c r="A40" s="4" t="s">
        <v>1190</v>
      </c>
      <c r="B40" s="4" t="s">
        <v>1114</v>
      </c>
      <c r="C40" s="152"/>
      <c r="D40" s="340">
        <v>17552</v>
      </c>
      <c r="E40" s="340">
        <v>7655</v>
      </c>
      <c r="F40" s="340">
        <v>11910</v>
      </c>
      <c r="G40" s="340">
        <v>16320</v>
      </c>
      <c r="H40" s="340">
        <v>12478</v>
      </c>
      <c r="I40" s="340">
        <v>19087</v>
      </c>
      <c r="J40" s="340">
        <v>20557</v>
      </c>
      <c r="K40" s="340">
        <v>9058</v>
      </c>
      <c r="L40" s="340">
        <v>7052</v>
      </c>
      <c r="M40" s="340">
        <v>7442</v>
      </c>
      <c r="N40" s="340">
        <v>15223</v>
      </c>
    </row>
    <row r="41" spans="1:14">
      <c r="A41" s="4" t="s">
        <v>1283</v>
      </c>
      <c r="B41" s="151" t="s">
        <v>1284</v>
      </c>
      <c r="C41" s="152"/>
      <c r="D41" s="340">
        <v>184</v>
      </c>
      <c r="E41" s="340">
        <v>1323</v>
      </c>
      <c r="F41" s="340">
        <v>988</v>
      </c>
      <c r="G41" s="340">
        <v>810</v>
      </c>
      <c r="H41" s="340">
        <v>1133</v>
      </c>
      <c r="I41" s="340"/>
      <c r="J41" s="340"/>
      <c r="K41" s="340"/>
      <c r="L41" s="340"/>
      <c r="M41" s="340"/>
      <c r="N41" s="340"/>
    </row>
    <row r="42" spans="1:14">
      <c r="A42" s="4" t="s">
        <v>2116</v>
      </c>
      <c r="B42" s="151" t="s">
        <v>1116</v>
      </c>
      <c r="C42" s="152"/>
      <c r="D42" s="340"/>
      <c r="E42" s="340"/>
      <c r="F42" s="340"/>
      <c r="G42" s="340"/>
      <c r="H42" s="340">
        <v>12579</v>
      </c>
      <c r="I42" s="340">
        <v>12579</v>
      </c>
      <c r="J42" s="340">
        <v>12579</v>
      </c>
      <c r="K42" s="340">
        <v>12579</v>
      </c>
      <c r="L42" s="340">
        <v>7932</v>
      </c>
      <c r="M42" s="340">
        <v>7932</v>
      </c>
      <c r="N42" s="340">
        <v>7932</v>
      </c>
    </row>
    <row r="43" spans="1:14">
      <c r="A43" s="4" t="s">
        <v>1247</v>
      </c>
      <c r="B43" s="4" t="s">
        <v>1248</v>
      </c>
      <c r="C43" s="148"/>
      <c r="D43" s="340"/>
      <c r="E43" s="340"/>
      <c r="F43" s="340"/>
      <c r="G43" s="340"/>
      <c r="H43" s="340"/>
      <c r="I43" s="340"/>
      <c r="J43" s="340"/>
      <c r="K43" s="340"/>
      <c r="L43" s="340"/>
      <c r="M43" s="340"/>
      <c r="N43" s="340"/>
    </row>
    <row r="44" spans="1:14">
      <c r="A44" s="151" t="s">
        <v>1072</v>
      </c>
      <c r="B44" s="151" t="s">
        <v>1073</v>
      </c>
      <c r="C44" s="148"/>
      <c r="D44" s="340">
        <v>3804</v>
      </c>
      <c r="E44" s="340">
        <v>1561</v>
      </c>
      <c r="F44" s="340"/>
      <c r="G44" s="340">
        <v>121</v>
      </c>
      <c r="H44" s="340"/>
      <c r="I44" s="340">
        <v>7</v>
      </c>
      <c r="J44" s="340">
        <v>574</v>
      </c>
      <c r="K44" s="340">
        <v>2146</v>
      </c>
      <c r="L44" s="340">
        <v>918</v>
      </c>
      <c r="M44" s="340">
        <v>4202</v>
      </c>
      <c r="N44" s="340">
        <v>2297</v>
      </c>
    </row>
    <row r="45" spans="1:14">
      <c r="A45" s="4" t="s">
        <v>1123</v>
      </c>
      <c r="B45" s="4" t="s">
        <v>1124</v>
      </c>
      <c r="C45" s="148"/>
      <c r="D45" s="340">
        <v>4157</v>
      </c>
      <c r="E45" s="340">
        <v>4741</v>
      </c>
      <c r="F45" s="340">
        <v>6614</v>
      </c>
      <c r="G45" s="340">
        <v>8503</v>
      </c>
      <c r="H45" s="340">
        <v>6883</v>
      </c>
      <c r="I45" s="340">
        <v>4335</v>
      </c>
      <c r="J45" s="340">
        <v>2435</v>
      </c>
      <c r="K45" s="340">
        <v>6100</v>
      </c>
      <c r="L45" s="340">
        <v>9884</v>
      </c>
      <c r="M45" s="340">
        <v>11957</v>
      </c>
      <c r="N45" s="340">
        <v>3810</v>
      </c>
    </row>
    <row r="46" spans="1:14">
      <c r="A46" s="151" t="s">
        <v>1479</v>
      </c>
      <c r="B46" s="151" t="s">
        <v>1126</v>
      </c>
      <c r="C46" s="148"/>
      <c r="D46" s="340">
        <v>22</v>
      </c>
      <c r="E46" s="340"/>
      <c r="F46" s="340"/>
      <c r="G46" s="340">
        <v>14</v>
      </c>
      <c r="H46" s="340"/>
      <c r="I46" s="340"/>
      <c r="J46" s="340"/>
      <c r="K46" s="340"/>
      <c r="L46" s="340"/>
      <c r="M46" s="340"/>
      <c r="N46" s="340"/>
    </row>
    <row r="47" spans="1:14">
      <c r="A47" s="4" t="s">
        <v>1130</v>
      </c>
      <c r="B47" s="4" t="s">
        <v>1249</v>
      </c>
      <c r="C47" s="152"/>
      <c r="D47" s="340">
        <v>73</v>
      </c>
      <c r="E47" s="340">
        <v>460</v>
      </c>
      <c r="F47" s="340">
        <v>468</v>
      </c>
      <c r="G47" s="340">
        <v>478</v>
      </c>
      <c r="H47" s="340">
        <v>497</v>
      </c>
      <c r="I47" s="340">
        <v>513</v>
      </c>
      <c r="J47" s="340">
        <v>526</v>
      </c>
      <c r="K47" s="340">
        <v>553</v>
      </c>
      <c r="L47" s="340">
        <v>563</v>
      </c>
      <c r="M47" s="340">
        <v>575</v>
      </c>
      <c r="N47" s="340">
        <v>587</v>
      </c>
    </row>
    <row r="48" spans="1:14">
      <c r="A48" s="4" t="s">
        <v>1356</v>
      </c>
      <c r="B48" s="4" t="s">
        <v>1266</v>
      </c>
      <c r="C48" s="152"/>
      <c r="D48" s="340">
        <v>9383</v>
      </c>
      <c r="E48" s="340">
        <v>38385</v>
      </c>
      <c r="F48" s="340">
        <v>82835</v>
      </c>
      <c r="G48" s="340">
        <v>315501</v>
      </c>
      <c r="H48" s="340">
        <v>126568</v>
      </c>
      <c r="I48" s="340">
        <v>460801</v>
      </c>
      <c r="J48" s="340">
        <v>247487</v>
      </c>
      <c r="K48" s="340">
        <v>153492</v>
      </c>
      <c r="L48" s="340">
        <v>113456</v>
      </c>
      <c r="M48" s="340">
        <v>148001</v>
      </c>
      <c r="N48" s="340">
        <v>173951</v>
      </c>
    </row>
    <row r="49" spans="1:14" ht="15" customHeight="1" thickBot="1">
      <c r="A49" s="4" t="s">
        <v>1129</v>
      </c>
      <c r="B49" s="4" t="s">
        <v>96</v>
      </c>
      <c r="C49" s="152"/>
      <c r="D49" s="340">
        <v>42319</v>
      </c>
      <c r="E49" s="340">
        <v>19930</v>
      </c>
      <c r="F49" s="340">
        <v>16517</v>
      </c>
      <c r="G49" s="340">
        <v>29213</v>
      </c>
      <c r="H49" s="340">
        <v>20109</v>
      </c>
      <c r="I49" s="340">
        <v>16937</v>
      </c>
      <c r="J49" s="340">
        <v>26089</v>
      </c>
      <c r="K49" s="340">
        <v>26720</v>
      </c>
      <c r="L49" s="340">
        <v>28420</v>
      </c>
      <c r="M49" s="340">
        <v>19930</v>
      </c>
      <c r="N49" s="340">
        <v>18940</v>
      </c>
    </row>
    <row r="50" spans="1:14" ht="15" thickBot="1">
      <c r="A50" s="147" t="s">
        <v>1252</v>
      </c>
      <c r="B50" s="147" t="s">
        <v>1082</v>
      </c>
      <c r="C50" s="148"/>
      <c r="D50" s="149">
        <f t="shared" ref="D50:K50" si="8">SUM(D51:D62)</f>
        <v>54679</v>
      </c>
      <c r="E50" s="149">
        <f t="shared" si="8"/>
        <v>57772</v>
      </c>
      <c r="F50" s="149">
        <f t="shared" si="8"/>
        <v>122494</v>
      </c>
      <c r="G50" s="149">
        <f t="shared" si="8"/>
        <v>188526</v>
      </c>
      <c r="H50" s="149">
        <f t="shared" si="8"/>
        <v>163199</v>
      </c>
      <c r="I50" s="149">
        <f>SUM(I51:I62)</f>
        <v>173764</v>
      </c>
      <c r="J50" s="149">
        <f t="shared" si="8"/>
        <v>129001</v>
      </c>
      <c r="K50" s="149">
        <f t="shared" si="8"/>
        <v>129515</v>
      </c>
      <c r="L50" s="149">
        <f t="shared" ref="L50:M50" si="9">SUM(L51:L62)</f>
        <v>137961</v>
      </c>
      <c r="M50" s="149">
        <f t="shared" si="9"/>
        <v>118317</v>
      </c>
      <c r="N50" s="149">
        <f>SUM(N51:N62)</f>
        <v>73085</v>
      </c>
    </row>
    <row r="51" spans="1:14">
      <c r="A51" s="4" t="s">
        <v>1105</v>
      </c>
      <c r="B51" s="4" t="s">
        <v>1106</v>
      </c>
      <c r="C51" s="152"/>
      <c r="D51" s="340">
        <v>17169</v>
      </c>
      <c r="E51" s="340">
        <v>17666</v>
      </c>
      <c r="F51" s="340">
        <v>73342</v>
      </c>
      <c r="G51" s="340">
        <v>72480</v>
      </c>
      <c r="H51" s="340">
        <v>83570</v>
      </c>
      <c r="I51" s="340">
        <v>77848</v>
      </c>
      <c r="J51" s="340">
        <v>36285</v>
      </c>
      <c r="K51" s="340">
        <v>35346</v>
      </c>
      <c r="L51" s="340">
        <v>27003</v>
      </c>
      <c r="M51" s="340">
        <v>25756</v>
      </c>
      <c r="N51" s="340">
        <v>0</v>
      </c>
    </row>
    <row r="52" spans="1:14">
      <c r="A52" s="4" t="s">
        <v>1107</v>
      </c>
      <c r="B52" s="4" t="s">
        <v>1108</v>
      </c>
      <c r="C52" s="146"/>
      <c r="D52" s="340"/>
      <c r="E52" s="340"/>
      <c r="F52" s="340"/>
      <c r="G52" s="340"/>
      <c r="H52" s="340"/>
      <c r="I52" s="340"/>
      <c r="J52" s="340"/>
      <c r="K52" s="340"/>
      <c r="L52" s="340"/>
      <c r="M52" s="340"/>
      <c r="N52" s="340"/>
    </row>
    <row r="53" spans="1:14">
      <c r="A53" s="4" t="s">
        <v>1253</v>
      </c>
      <c r="B53" s="4" t="s">
        <v>1254</v>
      </c>
      <c r="C53" s="148"/>
      <c r="D53" s="340"/>
      <c r="E53" s="340"/>
      <c r="F53" s="340"/>
      <c r="G53" s="340"/>
      <c r="H53" s="340"/>
      <c r="I53" s="340"/>
      <c r="J53" s="340"/>
      <c r="K53" s="340"/>
      <c r="L53" s="340"/>
      <c r="M53" s="340"/>
      <c r="N53" s="340"/>
    </row>
    <row r="54" spans="1:14">
      <c r="A54" s="4" t="s">
        <v>1255</v>
      </c>
      <c r="B54" s="4" t="s">
        <v>1256</v>
      </c>
      <c r="C54" s="161"/>
      <c r="D54" s="340"/>
      <c r="E54" s="340"/>
      <c r="F54" s="340"/>
      <c r="G54" s="340"/>
      <c r="H54" s="340"/>
      <c r="I54" s="340"/>
      <c r="J54" s="340"/>
      <c r="K54" s="340"/>
      <c r="L54" s="340"/>
      <c r="M54" s="340"/>
      <c r="N54" s="340"/>
    </row>
    <row r="55" spans="1:14">
      <c r="A55" s="4" t="s">
        <v>1257</v>
      </c>
      <c r="B55" s="4" t="s">
        <v>1258</v>
      </c>
      <c r="C55" s="161"/>
      <c r="D55" s="340">
        <v>5121</v>
      </c>
      <c r="E55" s="340">
        <v>4696</v>
      </c>
      <c r="F55" s="340">
        <v>4744</v>
      </c>
      <c r="G55" s="340">
        <v>4647</v>
      </c>
      <c r="H55" s="340">
        <v>5538</v>
      </c>
      <c r="I55" s="340">
        <v>5602</v>
      </c>
      <c r="J55" s="340">
        <v>6038</v>
      </c>
      <c r="K55" s="340">
        <v>6844</v>
      </c>
      <c r="L55" s="340">
        <v>7118</v>
      </c>
      <c r="M55" s="340">
        <v>7035</v>
      </c>
      <c r="N55" s="340">
        <v>7043</v>
      </c>
    </row>
    <row r="56" spans="1:14">
      <c r="A56" s="151" t="s">
        <v>1111</v>
      </c>
      <c r="B56" s="151" t="s">
        <v>1112</v>
      </c>
      <c r="C56" s="161"/>
      <c r="D56" s="340">
        <v>294</v>
      </c>
      <c r="E56" s="340">
        <v>243</v>
      </c>
      <c r="F56" s="340">
        <v>194</v>
      </c>
      <c r="G56" s="340">
        <v>161</v>
      </c>
      <c r="H56" s="340">
        <v>127</v>
      </c>
      <c r="I56" s="340">
        <v>1374</v>
      </c>
      <c r="J56" s="340"/>
      <c r="K56" s="340"/>
      <c r="L56" s="340"/>
      <c r="M56" s="340"/>
      <c r="N56" s="340"/>
    </row>
    <row r="57" spans="1:14">
      <c r="A57" s="151" t="s">
        <v>1162</v>
      </c>
      <c r="B57" s="151" t="s">
        <v>1133</v>
      </c>
      <c r="C57" s="161"/>
      <c r="D57" s="340">
        <v>3530</v>
      </c>
      <c r="E57" s="340">
        <v>9732</v>
      </c>
      <c r="F57" s="340">
        <v>9892</v>
      </c>
      <c r="G57" s="340">
        <v>2550</v>
      </c>
      <c r="H57" s="340"/>
      <c r="I57" s="340">
        <v>8423</v>
      </c>
      <c r="J57" s="340">
        <v>5660</v>
      </c>
      <c r="K57" s="340">
        <v>9984</v>
      </c>
      <c r="L57" s="340">
        <v>29669</v>
      </c>
      <c r="M57" s="340">
        <v>21600</v>
      </c>
      <c r="N57" s="340">
        <v>12606</v>
      </c>
    </row>
    <row r="58" spans="1:14">
      <c r="A58" s="151" t="s">
        <v>1283</v>
      </c>
      <c r="B58" s="151" t="s">
        <v>1284</v>
      </c>
      <c r="C58" s="152"/>
      <c r="D58" s="340">
        <v>847</v>
      </c>
      <c r="E58" s="340">
        <v>1554</v>
      </c>
      <c r="F58" s="340">
        <v>1853</v>
      </c>
      <c r="G58" s="340">
        <v>-62</v>
      </c>
      <c r="H58" s="340"/>
      <c r="I58" s="340">
        <v>1188</v>
      </c>
      <c r="J58" s="340">
        <v>1696</v>
      </c>
      <c r="K58" s="340">
        <v>2993</v>
      </c>
      <c r="L58" s="340">
        <v>8894</v>
      </c>
      <c r="M58" s="340">
        <v>1149</v>
      </c>
      <c r="N58" s="340">
        <v>0</v>
      </c>
    </row>
    <row r="59" spans="1:14">
      <c r="A59" s="151" t="s">
        <v>1072</v>
      </c>
      <c r="B59" s="151" t="s">
        <v>1073</v>
      </c>
      <c r="C59" s="152"/>
      <c r="D59" s="340">
        <v>3008</v>
      </c>
      <c r="E59" s="340">
        <v>2820</v>
      </c>
      <c r="F59" s="340">
        <v>394</v>
      </c>
      <c r="G59" s="340">
        <v>1608</v>
      </c>
      <c r="H59" s="340"/>
      <c r="I59" s="340">
        <v>513</v>
      </c>
      <c r="J59" s="340">
        <v>574</v>
      </c>
      <c r="K59" s="340">
        <v>2067</v>
      </c>
      <c r="L59" s="340">
        <v>0</v>
      </c>
      <c r="M59" s="340">
        <v>1752</v>
      </c>
      <c r="N59" s="340">
        <v>0</v>
      </c>
    </row>
    <row r="60" spans="1:14">
      <c r="A60" s="4" t="s">
        <v>1130</v>
      </c>
      <c r="B60" s="4" t="s">
        <v>1249</v>
      </c>
      <c r="C60" s="152"/>
      <c r="D60" s="340">
        <v>8152</v>
      </c>
      <c r="E60" s="340">
        <v>7655</v>
      </c>
      <c r="F60" s="340">
        <v>7534</v>
      </c>
      <c r="G60" s="340">
        <v>7478</v>
      </c>
      <c r="H60" s="340">
        <v>7483</v>
      </c>
      <c r="I60" s="340">
        <v>7373</v>
      </c>
      <c r="J60" s="340">
        <v>7418</v>
      </c>
      <c r="K60" s="340">
        <v>7483</v>
      </c>
      <c r="L60" s="340">
        <v>7393</v>
      </c>
      <c r="M60" s="340">
        <v>7298</v>
      </c>
      <c r="N60" s="340">
        <v>7195</v>
      </c>
    </row>
    <row r="61" spans="1:14">
      <c r="A61" s="4" t="s">
        <v>1356</v>
      </c>
      <c r="B61" s="4" t="s">
        <v>1266</v>
      </c>
      <c r="C61" s="152"/>
      <c r="D61" s="340">
        <v>12715</v>
      </c>
      <c r="E61" s="340">
        <v>10766</v>
      </c>
      <c r="F61" s="340">
        <v>21872</v>
      </c>
      <c r="G61" s="340">
        <v>58764</v>
      </c>
      <c r="H61" s="340">
        <v>27505</v>
      </c>
      <c r="I61" s="340">
        <v>34297</v>
      </c>
      <c r="J61" s="340">
        <v>35788</v>
      </c>
      <c r="K61" s="340">
        <v>31407</v>
      </c>
      <c r="L61" s="340">
        <v>25960</v>
      </c>
      <c r="M61" s="340">
        <v>23461</v>
      </c>
      <c r="N61" s="340">
        <v>17417</v>
      </c>
    </row>
    <row r="62" spans="1:14" ht="15" thickBot="1">
      <c r="A62" s="4" t="s">
        <v>1129</v>
      </c>
      <c r="B62" s="4" t="s">
        <v>96</v>
      </c>
      <c r="C62" s="152"/>
      <c r="D62" s="340">
        <v>3843</v>
      </c>
      <c r="E62" s="340">
        <v>2640</v>
      </c>
      <c r="F62" s="340">
        <v>2669</v>
      </c>
      <c r="G62" s="340">
        <v>40900</v>
      </c>
      <c r="H62" s="340">
        <v>38976</v>
      </c>
      <c r="I62" s="340">
        <v>37146</v>
      </c>
      <c r="J62" s="340">
        <v>35542</v>
      </c>
      <c r="K62" s="340">
        <v>33391</v>
      </c>
      <c r="L62" s="340">
        <v>31924</v>
      </c>
      <c r="M62" s="340">
        <v>30266</v>
      </c>
      <c r="N62" s="340">
        <v>28824</v>
      </c>
    </row>
    <row r="63" spans="1:14" ht="15" thickBot="1">
      <c r="A63" s="147" t="s">
        <v>1261</v>
      </c>
      <c r="B63" s="147" t="s">
        <v>1262</v>
      </c>
      <c r="C63" s="148"/>
      <c r="D63" s="149">
        <f t="shared" ref="D63:K63" si="10">+D35+D50</f>
        <v>372041</v>
      </c>
      <c r="E63" s="149">
        <f t="shared" si="10"/>
        <v>397426</v>
      </c>
      <c r="F63" s="149">
        <f t="shared" si="10"/>
        <v>534174</v>
      </c>
      <c r="G63" s="149">
        <f t="shared" si="10"/>
        <v>930411</v>
      </c>
      <c r="H63" s="149">
        <f t="shared" si="10"/>
        <v>557575</v>
      </c>
      <c r="I63" s="149">
        <f t="shared" si="10"/>
        <v>1086716</v>
      </c>
      <c r="J63" s="149">
        <f t="shared" si="10"/>
        <v>806533</v>
      </c>
      <c r="K63" s="149">
        <f t="shared" si="10"/>
        <v>757253</v>
      </c>
      <c r="L63" s="149">
        <f t="shared" ref="L63:M63" si="11">+L35+L50</f>
        <v>701424</v>
      </c>
      <c r="M63" s="149">
        <f t="shared" si="11"/>
        <v>763650</v>
      </c>
      <c r="N63" s="149">
        <f>+N35+N50</f>
        <v>614448</v>
      </c>
    </row>
    <row r="64" spans="1:14">
      <c r="A64" s="4" t="s">
        <v>1177</v>
      </c>
      <c r="B64" s="4" t="s">
        <v>1138</v>
      </c>
      <c r="C64" s="152"/>
      <c r="D64" s="340">
        <v>63246</v>
      </c>
      <c r="E64" s="340">
        <v>63246</v>
      </c>
      <c r="F64" s="340">
        <v>63246</v>
      </c>
      <c r="G64" s="340">
        <v>63246</v>
      </c>
      <c r="H64" s="340">
        <v>203273</v>
      </c>
      <c r="I64" s="340">
        <v>226273</v>
      </c>
      <c r="J64" s="340">
        <v>302394</v>
      </c>
      <c r="K64" s="340">
        <v>314394</v>
      </c>
      <c r="L64" s="340">
        <v>314394</v>
      </c>
      <c r="M64" s="340">
        <v>346394</v>
      </c>
      <c r="N64" s="340">
        <v>440294</v>
      </c>
    </row>
    <row r="65" spans="1:14">
      <c r="A65" s="4" t="s">
        <v>1180</v>
      </c>
      <c r="B65" s="4" t="s">
        <v>1140</v>
      </c>
      <c r="C65" s="152"/>
      <c r="D65" s="340">
        <v>1876</v>
      </c>
      <c r="E65" s="340">
        <v>1880</v>
      </c>
      <c r="F65" s="340">
        <v>38464</v>
      </c>
      <c r="G65" s="340">
        <v>1883</v>
      </c>
      <c r="H65" s="340">
        <v>1883</v>
      </c>
      <c r="I65" s="340">
        <v>1883</v>
      </c>
      <c r="J65" s="340">
        <v>1883</v>
      </c>
      <c r="K65" s="340">
        <v>1883</v>
      </c>
      <c r="L65" s="340">
        <v>1883</v>
      </c>
      <c r="M65" s="340">
        <v>1883</v>
      </c>
      <c r="N65" s="340">
        <v>3685</v>
      </c>
    </row>
    <row r="66" spans="1:14">
      <c r="A66" s="4" t="s">
        <v>2117</v>
      </c>
      <c r="B66" s="151" t="s">
        <v>1142</v>
      </c>
      <c r="C66" s="152"/>
      <c r="D66" s="340">
        <v>60715</v>
      </c>
      <c r="E66" s="340">
        <v>35198</v>
      </c>
      <c r="F66" s="340">
        <v>35198</v>
      </c>
      <c r="G66" s="340">
        <v>35198</v>
      </c>
      <c r="H66" s="340">
        <v>35198</v>
      </c>
      <c r="I66" s="340">
        <v>5517</v>
      </c>
      <c r="J66" s="340">
        <v>5517</v>
      </c>
      <c r="K66" s="340">
        <v>5517</v>
      </c>
      <c r="L66" s="340">
        <v>30982</v>
      </c>
      <c r="M66" s="340">
        <v>30982</v>
      </c>
      <c r="N66" s="340">
        <v>30982</v>
      </c>
    </row>
    <row r="67" spans="1:14">
      <c r="A67" s="4" t="s">
        <v>1143</v>
      </c>
      <c r="B67" s="151" t="s">
        <v>1144</v>
      </c>
      <c r="C67" s="152"/>
      <c r="D67" s="340">
        <v>299</v>
      </c>
      <c r="E67" s="340">
        <v>853</v>
      </c>
      <c r="F67" s="340">
        <v>-121</v>
      </c>
      <c r="G67" s="340">
        <v>331</v>
      </c>
      <c r="H67" s="340">
        <v>-377</v>
      </c>
      <c r="I67" s="340">
        <v>-168</v>
      </c>
      <c r="J67" s="340">
        <v>-2936</v>
      </c>
      <c r="K67" s="340">
        <v>-2538</v>
      </c>
      <c r="L67" s="340">
        <v>-2626</v>
      </c>
      <c r="M67" s="340">
        <v>-2731</v>
      </c>
      <c r="N67" s="340">
        <v>-2242</v>
      </c>
    </row>
    <row r="68" spans="1:14">
      <c r="A68" s="4" t="s">
        <v>1217</v>
      </c>
      <c r="B68" s="4" t="s">
        <v>1218</v>
      </c>
      <c r="C68" s="152"/>
      <c r="D68" s="340">
        <v>1</v>
      </c>
      <c r="E68" s="340">
        <v>1</v>
      </c>
      <c r="F68" s="340">
        <v>-1</v>
      </c>
      <c r="G68" s="340"/>
      <c r="H68" s="340">
        <v>-14798</v>
      </c>
      <c r="I68" s="340"/>
      <c r="J68" s="340">
        <v>109</v>
      </c>
      <c r="K68" s="340"/>
      <c r="L68" s="340">
        <v>-33398</v>
      </c>
      <c r="M68" s="340">
        <v>0</v>
      </c>
      <c r="N68" s="340">
        <v>0</v>
      </c>
    </row>
    <row r="69" spans="1:14">
      <c r="A69" s="4" t="s">
        <v>903</v>
      </c>
      <c r="B69" s="4" t="s">
        <v>777</v>
      </c>
      <c r="C69" s="152"/>
      <c r="D69" s="340">
        <v>-25517</v>
      </c>
      <c r="E69" s="340">
        <v>11311</v>
      </c>
      <c r="F69" s="340">
        <v>197</v>
      </c>
      <c r="G69" s="340">
        <v>-14877</v>
      </c>
      <c r="H69" s="340">
        <v>-14883</v>
      </c>
      <c r="I69" s="340">
        <v>65</v>
      </c>
      <c r="J69" s="340">
        <v>7494</v>
      </c>
      <c r="K69" s="340">
        <v>647</v>
      </c>
      <c r="L69" s="340">
        <v>33398</v>
      </c>
      <c r="M69" s="340">
        <v>-58846</v>
      </c>
      <c r="N69" s="340">
        <v>-95032</v>
      </c>
    </row>
    <row r="70" spans="1:14" ht="15" thickBot="1">
      <c r="A70" s="4" t="s">
        <v>2118</v>
      </c>
      <c r="B70" s="4" t="s">
        <v>2119</v>
      </c>
      <c r="G70" s="340">
        <v>27546</v>
      </c>
      <c r="H70" s="340">
        <v>19139</v>
      </c>
      <c r="I70" s="340">
        <v>17969</v>
      </c>
      <c r="J70" s="340">
        <v>17075</v>
      </c>
      <c r="K70" s="340">
        <v>14980</v>
      </c>
      <c r="L70" s="340">
        <v>16809</v>
      </c>
      <c r="M70" s="340">
        <v>10901</v>
      </c>
      <c r="N70" s="340">
        <v>6061</v>
      </c>
    </row>
    <row r="71" spans="1:14" ht="15" thickBot="1">
      <c r="A71" s="147" t="s">
        <v>1263</v>
      </c>
      <c r="B71" s="147" t="s">
        <v>1136</v>
      </c>
      <c r="C71" s="148"/>
      <c r="D71" s="149">
        <f>SUM(D64:D69)</f>
        <v>100620</v>
      </c>
      <c r="E71" s="149">
        <f>SUM(E64:E69)</f>
        <v>112489</v>
      </c>
      <c r="F71" s="149">
        <f>SUM(F64:F69)</f>
        <v>136983</v>
      </c>
      <c r="G71" s="149">
        <f>SUM(G64:G70)</f>
        <v>113327</v>
      </c>
      <c r="H71" s="149">
        <f t="shared" ref="H71:K71" si="12">SUM(H64:H70)</f>
        <v>229435</v>
      </c>
      <c r="I71" s="149">
        <f t="shared" si="12"/>
        <v>251539</v>
      </c>
      <c r="J71" s="149">
        <f t="shared" si="12"/>
        <v>331536</v>
      </c>
      <c r="K71" s="149">
        <f t="shared" si="12"/>
        <v>334883</v>
      </c>
      <c r="L71" s="149">
        <f t="shared" ref="L71:M71" si="13">SUM(L64:L70)</f>
        <v>361442</v>
      </c>
      <c r="M71" s="149">
        <f t="shared" si="13"/>
        <v>328583</v>
      </c>
      <c r="N71" s="149">
        <f>SUM(N64:N70)</f>
        <v>383748</v>
      </c>
    </row>
    <row r="72" spans="1:14" ht="15" thickBot="1">
      <c r="A72" s="147" t="s">
        <v>1264</v>
      </c>
      <c r="B72" s="147" t="s">
        <v>1148</v>
      </c>
      <c r="C72" s="148"/>
      <c r="D72" s="149">
        <f t="shared" ref="D72:K72" si="14">D71+D63</f>
        <v>472661</v>
      </c>
      <c r="E72" s="149">
        <f t="shared" si="14"/>
        <v>509915</v>
      </c>
      <c r="F72" s="149">
        <f t="shared" si="14"/>
        <v>671157</v>
      </c>
      <c r="G72" s="149">
        <f t="shared" si="14"/>
        <v>1043738</v>
      </c>
      <c r="H72" s="149">
        <f t="shared" si="14"/>
        <v>787010</v>
      </c>
      <c r="I72" s="149">
        <f t="shared" si="14"/>
        <v>1338255</v>
      </c>
      <c r="J72" s="149">
        <f t="shared" si="14"/>
        <v>1138069</v>
      </c>
      <c r="K72" s="149">
        <f t="shared" si="14"/>
        <v>1092136</v>
      </c>
      <c r="L72" s="149">
        <f t="shared" ref="L72:M72" si="15">L71+L63</f>
        <v>1062866</v>
      </c>
      <c r="M72" s="149">
        <f t="shared" si="15"/>
        <v>1092233</v>
      </c>
      <c r="N72" s="149">
        <f>N71+N63</f>
        <v>998196</v>
      </c>
    </row>
    <row r="73" spans="1:14">
      <c r="C73" s="148"/>
      <c r="D73" s="401">
        <f t="shared" ref="D73:K73" si="16">+D72-D32</f>
        <v>0</v>
      </c>
      <c r="E73" s="401">
        <f t="shared" si="16"/>
        <v>0</v>
      </c>
      <c r="F73" s="401">
        <f t="shared" si="16"/>
        <v>0</v>
      </c>
      <c r="G73" s="401">
        <f t="shared" si="16"/>
        <v>0</v>
      </c>
      <c r="H73" s="401">
        <f t="shared" si="16"/>
        <v>0</v>
      </c>
      <c r="I73" s="401">
        <f t="shared" si="16"/>
        <v>0</v>
      </c>
      <c r="J73" s="401">
        <f t="shared" si="16"/>
        <v>0</v>
      </c>
      <c r="K73" s="401">
        <f t="shared" si="16"/>
        <v>0</v>
      </c>
      <c r="L73" s="401">
        <f t="shared" ref="L73:M73" si="17">+L72-L32</f>
        <v>0</v>
      </c>
      <c r="M73" s="401">
        <f t="shared" si="17"/>
        <v>0</v>
      </c>
      <c r="N73" s="401">
        <f>+N72-N32</f>
        <v>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theme="9" tint="0.79998168889431442"/>
  </sheetPr>
  <dimension ref="A6:Z78"/>
  <sheetViews>
    <sheetView showGridLines="0" zoomScale="90" zoomScaleNormal="90" workbookViewId="0">
      <pane xSplit="2" topLeftCell="M1" activePane="topRight" state="frozen"/>
      <selection activeCell="E9" sqref="E9"/>
      <selection pane="topRight" activeCell="Z24" sqref="Z24"/>
    </sheetView>
  </sheetViews>
  <sheetFormatPr defaultColWidth="8.5546875" defaultRowHeight="14.4" outlineLevelCol="1"/>
  <cols>
    <col min="1" max="2" width="47.5546875" customWidth="1"/>
    <col min="3" max="3" width="1" customWidth="1"/>
    <col min="4" max="4" width="10.5546875" customWidth="1" outlineLevel="1"/>
    <col min="5" max="8" width="9.21875" customWidth="1" outlineLevel="1"/>
    <col min="9" max="23" width="9.21875" customWidth="1"/>
    <col min="24" max="26" width="9.33203125" customWidth="1"/>
    <col min="28" max="28" width="8.88671875" bestFit="1" customWidth="1"/>
  </cols>
  <sheetData>
    <row r="6" spans="1:26">
      <c r="A6" s="794" t="s">
        <v>2563</v>
      </c>
      <c r="B6" s="794" t="s">
        <v>2564</v>
      </c>
      <c r="C6" s="795"/>
      <c r="D6" s="795" t="s">
        <v>2565</v>
      </c>
      <c r="E6" s="795"/>
      <c r="F6" s="795"/>
      <c r="G6" s="795"/>
      <c r="H6" s="795"/>
      <c r="I6" s="795"/>
      <c r="J6" s="795"/>
      <c r="K6" s="795"/>
      <c r="L6" s="795"/>
      <c r="M6" s="795"/>
      <c r="N6" s="795"/>
      <c r="O6" s="795"/>
      <c r="P6" s="795"/>
      <c r="Q6" s="795"/>
      <c r="R6" s="795"/>
      <c r="S6" s="795"/>
      <c r="T6" s="795"/>
      <c r="U6" s="795"/>
      <c r="V6" s="145"/>
      <c r="W6" s="145"/>
      <c r="X6" s="145"/>
      <c r="Y6" s="145"/>
      <c r="Z6" s="145"/>
    </row>
    <row r="7" spans="1:26" ht="15" thickBot="1">
      <c r="A7" s="796" t="s">
        <v>1285</v>
      </c>
      <c r="B7" s="796" t="s">
        <v>2566</v>
      </c>
      <c r="C7" s="796"/>
      <c r="D7" s="797" t="s">
        <v>75</v>
      </c>
      <c r="E7" s="797" t="s">
        <v>76</v>
      </c>
      <c r="F7" s="797" t="s">
        <v>77</v>
      </c>
      <c r="G7" s="797" t="s">
        <v>78</v>
      </c>
      <c r="H7" s="797" t="s">
        <v>79</v>
      </c>
      <c r="I7" s="797" t="s">
        <v>80</v>
      </c>
      <c r="J7" s="797" t="s">
        <v>81</v>
      </c>
      <c r="K7" s="797" t="s">
        <v>82</v>
      </c>
      <c r="L7" s="797" t="s">
        <v>83</v>
      </c>
      <c r="M7" s="797" t="s">
        <v>84</v>
      </c>
      <c r="N7" s="797" t="s">
        <v>85</v>
      </c>
      <c r="O7" s="797" t="s">
        <v>86</v>
      </c>
      <c r="P7" s="797" t="s">
        <v>87</v>
      </c>
      <c r="Q7" s="797" t="s">
        <v>88</v>
      </c>
      <c r="R7" s="797" t="s">
        <v>2074</v>
      </c>
      <c r="S7" s="797" t="s">
        <v>2127</v>
      </c>
      <c r="T7" s="797" t="s">
        <v>2360</v>
      </c>
      <c r="U7" s="797" t="s">
        <v>2494</v>
      </c>
      <c r="V7" s="434"/>
      <c r="W7" s="434"/>
      <c r="X7" s="434"/>
      <c r="Y7" s="434"/>
      <c r="Z7" s="434"/>
    </row>
    <row r="8" spans="1:26" ht="15" thickBot="1">
      <c r="A8" s="798" t="s">
        <v>1227</v>
      </c>
      <c r="B8" s="798" t="s">
        <v>2567</v>
      </c>
      <c r="C8" s="798"/>
      <c r="D8" s="799">
        <f t="shared" ref="D8:U8" si="0">SUM(D9:D21)</f>
        <v>683741</v>
      </c>
      <c r="E8" s="799">
        <f t="shared" si="0"/>
        <v>630130</v>
      </c>
      <c r="F8" s="799">
        <f t="shared" si="0"/>
        <v>678536</v>
      </c>
      <c r="G8" s="799">
        <f t="shared" si="0"/>
        <v>638219</v>
      </c>
      <c r="H8" s="799">
        <f t="shared" si="0"/>
        <v>854726</v>
      </c>
      <c r="I8" s="799">
        <f t="shared" si="0"/>
        <v>678664</v>
      </c>
      <c r="J8" s="799">
        <f t="shared" si="0"/>
        <v>656899</v>
      </c>
      <c r="K8" s="799">
        <f t="shared" si="0"/>
        <v>694604</v>
      </c>
      <c r="L8" s="799">
        <f t="shared" si="0"/>
        <v>625985</v>
      </c>
      <c r="M8" s="799">
        <f t="shared" si="0"/>
        <v>542977</v>
      </c>
      <c r="N8" s="799">
        <f t="shared" si="0"/>
        <v>572182</v>
      </c>
      <c r="O8" s="799">
        <f t="shared" si="0"/>
        <v>648273</v>
      </c>
      <c r="P8" s="799">
        <f t="shared" si="0"/>
        <v>660646</v>
      </c>
      <c r="Q8" s="799">
        <f t="shared" si="0"/>
        <v>753737</v>
      </c>
      <c r="R8" s="799">
        <f t="shared" si="0"/>
        <v>823328</v>
      </c>
      <c r="S8" s="799">
        <f t="shared" si="0"/>
        <v>842272</v>
      </c>
      <c r="T8" s="799">
        <f t="shared" si="0"/>
        <v>876589</v>
      </c>
      <c r="U8" s="799">
        <f t="shared" si="0"/>
        <v>847381</v>
      </c>
      <c r="V8" s="149"/>
      <c r="W8" s="149"/>
      <c r="X8" s="149"/>
      <c r="Y8" s="149"/>
      <c r="Z8" s="149"/>
    </row>
    <row r="9" spans="1:26">
      <c r="A9" s="800" t="s">
        <v>1053</v>
      </c>
      <c r="B9" s="800" t="s">
        <v>2568</v>
      </c>
      <c r="D9" s="801">
        <v>455982</v>
      </c>
      <c r="E9" s="801">
        <v>388316</v>
      </c>
      <c r="F9" s="801">
        <v>403033</v>
      </c>
      <c r="G9" s="801">
        <v>373295</v>
      </c>
      <c r="H9" s="801">
        <v>458889</v>
      </c>
      <c r="I9" s="801">
        <v>457121</v>
      </c>
      <c r="J9" s="801">
        <v>416044</v>
      </c>
      <c r="K9" s="801">
        <v>440960</v>
      </c>
      <c r="L9" s="801">
        <v>410908</v>
      </c>
      <c r="M9" s="801">
        <v>279294</v>
      </c>
      <c r="N9" s="801">
        <v>300429</v>
      </c>
      <c r="O9" s="801">
        <v>372181</v>
      </c>
      <c r="P9" s="801">
        <v>397242</v>
      </c>
      <c r="Q9" s="801">
        <v>450952</v>
      </c>
      <c r="R9" s="801">
        <v>489691</v>
      </c>
      <c r="S9" s="801">
        <v>523333</v>
      </c>
      <c r="T9" s="801">
        <v>541530</v>
      </c>
      <c r="U9" s="801">
        <v>527124</v>
      </c>
      <c r="V9" s="340"/>
      <c r="W9" s="340"/>
      <c r="X9" s="340"/>
      <c r="Y9" s="340"/>
      <c r="Z9" s="340"/>
    </row>
    <row r="10" spans="1:26">
      <c r="A10" s="800" t="s">
        <v>2272</v>
      </c>
      <c r="B10" s="800" t="s">
        <v>2327</v>
      </c>
      <c r="D10" s="801">
        <v>13975</v>
      </c>
      <c r="E10" s="801">
        <v>11551</v>
      </c>
      <c r="F10" s="801">
        <v>15217</v>
      </c>
      <c r="G10" s="801">
        <v>15456</v>
      </c>
      <c r="H10" s="801">
        <v>17223</v>
      </c>
      <c r="I10" s="801">
        <v>17015</v>
      </c>
      <c r="J10" s="801">
        <v>17481</v>
      </c>
      <c r="K10" s="801">
        <v>16648</v>
      </c>
      <c r="L10" s="801">
        <v>21079</v>
      </c>
      <c r="M10" s="801">
        <v>16661</v>
      </c>
      <c r="N10" s="801">
        <v>23007</v>
      </c>
      <c r="O10" s="801">
        <v>17397</v>
      </c>
      <c r="P10" s="801">
        <v>19903</v>
      </c>
      <c r="Q10" s="801">
        <v>16946</v>
      </c>
      <c r="R10" s="801">
        <v>21014</v>
      </c>
      <c r="S10" s="801">
        <v>18521</v>
      </c>
      <c r="T10" s="801">
        <v>21560</v>
      </c>
      <c r="U10" s="801">
        <v>20909</v>
      </c>
      <c r="V10" s="340"/>
      <c r="W10" s="340"/>
      <c r="X10" s="340"/>
      <c r="Y10" s="340"/>
      <c r="Z10" s="340"/>
    </row>
    <row r="11" spans="1:26">
      <c r="A11" s="800" t="s">
        <v>1230</v>
      </c>
      <c r="B11" s="800" t="s">
        <v>2569</v>
      </c>
      <c r="D11" s="801">
        <v>121665</v>
      </c>
      <c r="E11" s="801">
        <v>136133</v>
      </c>
      <c r="F11" s="801">
        <v>150328</v>
      </c>
      <c r="G11" s="801">
        <v>131675</v>
      </c>
      <c r="H11" s="801">
        <v>114924</v>
      </c>
      <c r="I11" s="801">
        <v>107350</v>
      </c>
      <c r="J11" s="801">
        <v>131708</v>
      </c>
      <c r="K11" s="801">
        <v>132200</v>
      </c>
      <c r="L11" s="801">
        <v>111474</v>
      </c>
      <c r="M11" s="801">
        <v>157589</v>
      </c>
      <c r="N11" s="801">
        <v>137856</v>
      </c>
      <c r="O11" s="801">
        <v>174607</v>
      </c>
      <c r="P11" s="801">
        <v>149422</v>
      </c>
      <c r="Q11" s="801">
        <v>155274</v>
      </c>
      <c r="R11" s="801">
        <v>194619</v>
      </c>
      <c r="S11" s="801">
        <v>158048</v>
      </c>
      <c r="T11" s="801">
        <v>160582</v>
      </c>
      <c r="U11" s="801">
        <v>154120</v>
      </c>
      <c r="V11" s="340"/>
      <c r="W11" s="340"/>
      <c r="X11" s="340"/>
      <c r="Y11" s="340"/>
      <c r="Z11" s="340"/>
    </row>
    <row r="12" spans="1:26">
      <c r="A12" s="800" t="s">
        <v>1295</v>
      </c>
      <c r="B12" s="800" t="s">
        <v>1267</v>
      </c>
      <c r="D12" s="801">
        <v>23816</v>
      </c>
      <c r="E12" s="801">
        <v>27127</v>
      </c>
      <c r="F12" s="801">
        <v>26274</v>
      </c>
      <c r="G12" s="801">
        <v>26857</v>
      </c>
      <c r="H12" s="801">
        <v>175692</v>
      </c>
      <c r="I12" s="801">
        <v>6936</v>
      </c>
      <c r="J12" s="801">
        <v>8975</v>
      </c>
      <c r="K12" s="801">
        <v>6868</v>
      </c>
      <c r="L12" s="801">
        <v>7196</v>
      </c>
      <c r="M12" s="801">
        <v>9879</v>
      </c>
      <c r="N12" s="801">
        <v>10996</v>
      </c>
      <c r="O12" s="801">
        <v>11379</v>
      </c>
      <c r="P12" s="801">
        <v>8892</v>
      </c>
      <c r="Q12" s="801">
        <v>18252</v>
      </c>
      <c r="R12" s="801">
        <v>20194</v>
      </c>
      <c r="S12" s="801">
        <v>18285</v>
      </c>
      <c r="T12" s="801">
        <v>17513</v>
      </c>
      <c r="U12" s="801">
        <v>16714</v>
      </c>
      <c r="V12" s="340"/>
      <c r="W12" s="340"/>
      <c r="X12" s="340"/>
      <c r="Y12" s="340"/>
      <c r="Z12" s="340"/>
    </row>
    <row r="13" spans="1:26">
      <c r="A13" s="800" t="s">
        <v>2570</v>
      </c>
      <c r="B13" s="800" t="s">
        <v>2571</v>
      </c>
      <c r="D13" s="801">
        <v>21823</v>
      </c>
      <c r="E13" s="801">
        <v>23503</v>
      </c>
      <c r="F13" s="801">
        <v>23069</v>
      </c>
      <c r="G13" s="801">
        <v>20255</v>
      </c>
      <c r="H13" s="801">
        <v>23017</v>
      </c>
      <c r="I13" s="801">
        <v>26597</v>
      </c>
      <c r="J13" s="801">
        <v>16962</v>
      </c>
      <c r="K13" s="801">
        <v>23128</v>
      </c>
      <c r="L13" s="801">
        <v>6697</v>
      </c>
      <c r="M13" s="801">
        <v>14374</v>
      </c>
      <c r="N13" s="801">
        <v>7327</v>
      </c>
      <c r="O13" s="801">
        <v>7143</v>
      </c>
      <c r="P13" s="801">
        <v>8923</v>
      </c>
      <c r="Q13" s="801">
        <v>16746</v>
      </c>
      <c r="R13" s="801">
        <v>11589</v>
      </c>
      <c r="S13" s="801">
        <v>6971</v>
      </c>
      <c r="T13" s="801">
        <v>6100</v>
      </c>
      <c r="U13" s="801">
        <v>18054</v>
      </c>
      <c r="V13" s="340"/>
      <c r="W13" s="340"/>
      <c r="X13" s="340"/>
      <c r="Y13" s="340"/>
      <c r="Z13" s="340"/>
    </row>
    <row r="14" spans="1:26">
      <c r="A14" s="800" t="s">
        <v>2227</v>
      </c>
      <c r="B14" s="800" t="s">
        <v>2572</v>
      </c>
      <c r="D14" s="801">
        <v>6970</v>
      </c>
      <c r="E14" s="801">
        <v>6811</v>
      </c>
      <c r="F14" s="801">
        <v>8176</v>
      </c>
      <c r="G14" s="801">
        <v>7042</v>
      </c>
      <c r="H14" s="801">
        <v>7723</v>
      </c>
      <c r="I14" s="801">
        <v>7410</v>
      </c>
      <c r="J14" s="801">
        <v>8678</v>
      </c>
      <c r="K14" s="801">
        <v>12731</v>
      </c>
      <c r="L14" s="801">
        <v>12243</v>
      </c>
      <c r="M14" s="801">
        <v>10944</v>
      </c>
      <c r="N14" s="801">
        <v>11243</v>
      </c>
      <c r="O14" s="801">
        <v>11917</v>
      </c>
      <c r="P14" s="801">
        <v>12483</v>
      </c>
      <c r="Q14" s="801">
        <v>15873</v>
      </c>
      <c r="R14" s="801">
        <v>17108</v>
      </c>
      <c r="S14" s="801">
        <v>16384</v>
      </c>
      <c r="T14" s="801">
        <v>18824</v>
      </c>
      <c r="U14" s="801">
        <v>21484</v>
      </c>
      <c r="V14" s="340"/>
      <c r="W14" s="340"/>
      <c r="X14" s="340"/>
      <c r="Y14" s="340"/>
      <c r="Z14" s="340"/>
    </row>
    <row r="15" spans="1:26">
      <c r="A15" s="800" t="s">
        <v>2229</v>
      </c>
      <c r="B15" s="800" t="s">
        <v>2298</v>
      </c>
      <c r="D15" s="801">
        <v>26825</v>
      </c>
      <c r="E15" s="801">
        <v>21197</v>
      </c>
      <c r="F15" s="801">
        <v>33302</v>
      </c>
      <c r="G15" s="801">
        <v>25391</v>
      </c>
      <c r="H15" s="801">
        <v>21189</v>
      </c>
      <c r="I15" s="801">
        <v>16699</v>
      </c>
      <c r="J15" s="801">
        <v>23928</v>
      </c>
      <c r="K15" s="801">
        <v>17401</v>
      </c>
      <c r="L15" s="801">
        <v>10640</v>
      </c>
      <c r="M15" s="801">
        <v>4075</v>
      </c>
      <c r="N15" s="801">
        <v>23838</v>
      </c>
      <c r="O15" s="801">
        <v>17718</v>
      </c>
      <c r="P15" s="801">
        <v>8781</v>
      </c>
      <c r="Q15" s="801">
        <v>4689</v>
      </c>
      <c r="R15" s="801">
        <v>464</v>
      </c>
      <c r="S15" s="801">
        <v>21112</v>
      </c>
      <c r="T15" s="801">
        <v>29261</v>
      </c>
      <c r="U15" s="801">
        <v>5106</v>
      </c>
      <c r="V15" s="340"/>
      <c r="W15" s="340"/>
      <c r="X15" s="340"/>
      <c r="Y15" s="340"/>
      <c r="Z15" s="340"/>
    </row>
    <row r="16" spans="1:26">
      <c r="A16" s="800" t="s">
        <v>1214</v>
      </c>
      <c r="B16" s="800" t="s">
        <v>1075</v>
      </c>
      <c r="D16" s="801">
        <v>9941</v>
      </c>
      <c r="E16" s="801">
        <v>13251</v>
      </c>
      <c r="F16" s="801">
        <v>16163</v>
      </c>
      <c r="G16" s="801">
        <v>15590</v>
      </c>
      <c r="H16" s="801">
        <v>16528</v>
      </c>
      <c r="I16" s="801">
        <v>22360</v>
      </c>
      <c r="J16" s="801">
        <v>27364</v>
      </c>
      <c r="K16" s="801">
        <v>27563</v>
      </c>
      <c r="L16" s="801">
        <v>29193</v>
      </c>
      <c r="M16" s="801">
        <v>31476</v>
      </c>
      <c r="N16" s="801">
        <v>36504</v>
      </c>
      <c r="O16" s="801">
        <v>26550</v>
      </c>
      <c r="P16" s="801">
        <v>45327</v>
      </c>
      <c r="Q16" s="801">
        <v>66557</v>
      </c>
      <c r="R16" s="801">
        <v>62412</v>
      </c>
      <c r="S16" s="801">
        <v>70907</v>
      </c>
      <c r="T16" s="801">
        <v>75211</v>
      </c>
      <c r="U16" s="801">
        <v>80376</v>
      </c>
      <c r="V16" s="340"/>
      <c r="W16" s="340"/>
      <c r="X16" s="340"/>
      <c r="Y16" s="340"/>
      <c r="Z16" s="340"/>
    </row>
    <row r="17" spans="1:26">
      <c r="A17" s="800" t="s">
        <v>1234</v>
      </c>
      <c r="B17" s="800" t="s">
        <v>2012</v>
      </c>
      <c r="D17" s="801">
        <v>0</v>
      </c>
      <c r="E17" s="801">
        <v>0</v>
      </c>
      <c r="F17" s="801">
        <v>0</v>
      </c>
      <c r="G17" s="801">
        <v>0</v>
      </c>
      <c r="H17" s="801">
        <v>0</v>
      </c>
      <c r="I17" s="801">
        <v>0</v>
      </c>
      <c r="J17" s="801">
        <v>0</v>
      </c>
      <c r="K17" s="801">
        <v>0</v>
      </c>
      <c r="L17" s="801">
        <v>0</v>
      </c>
      <c r="M17" s="801">
        <v>0</v>
      </c>
      <c r="N17" s="801">
        <v>0</v>
      </c>
      <c r="O17" s="801">
        <v>0</v>
      </c>
      <c r="P17" s="801">
        <v>0</v>
      </c>
      <c r="Q17" s="801">
        <v>0</v>
      </c>
      <c r="R17" s="801">
        <v>0</v>
      </c>
      <c r="S17" s="801">
        <v>0</v>
      </c>
      <c r="T17" s="801">
        <v>0</v>
      </c>
      <c r="U17" s="801">
        <v>0</v>
      </c>
      <c r="V17" s="340"/>
      <c r="W17" s="340"/>
      <c r="X17" s="340"/>
      <c r="Y17" s="340"/>
      <c r="Z17" s="340"/>
    </row>
    <row r="18" spans="1:26">
      <c r="A18" s="800" t="s">
        <v>1173</v>
      </c>
      <c r="B18" s="800" t="s">
        <v>2344</v>
      </c>
      <c r="D18" s="801">
        <v>1981</v>
      </c>
      <c r="E18" s="801">
        <v>1981</v>
      </c>
      <c r="F18" s="801">
        <v>1981</v>
      </c>
      <c r="G18" s="801">
        <v>6348</v>
      </c>
      <c r="H18" s="801"/>
      <c r="I18" s="801">
        <v>3041</v>
      </c>
      <c r="J18" s="801">
        <v>4230</v>
      </c>
      <c r="K18" s="801">
        <v>5383</v>
      </c>
      <c r="L18" s="801">
        <v>5138</v>
      </c>
      <c r="M18" s="801">
        <v>3558</v>
      </c>
      <c r="N18" s="801">
        <v>5856</v>
      </c>
      <c r="O18" s="801">
        <v>8761</v>
      </c>
      <c r="P18" s="801">
        <v>8474</v>
      </c>
      <c r="Q18" s="801">
        <v>6935</v>
      </c>
      <c r="R18" s="801">
        <v>4680</v>
      </c>
      <c r="S18" s="801">
        <v>7223</v>
      </c>
      <c r="T18" s="801">
        <v>4892</v>
      </c>
      <c r="U18" s="801">
        <v>2024</v>
      </c>
      <c r="V18" s="340"/>
      <c r="W18" s="340"/>
      <c r="X18" s="340"/>
      <c r="Y18" s="340"/>
      <c r="Z18" s="340"/>
    </row>
    <row r="19" spans="1:26">
      <c r="A19" s="800" t="s">
        <v>1072</v>
      </c>
      <c r="B19" s="800" t="s">
        <v>1204</v>
      </c>
      <c r="D19" s="801"/>
      <c r="E19" s="801"/>
      <c r="F19" s="801"/>
      <c r="G19" s="801">
        <v>193</v>
      </c>
      <c r="H19" s="801">
        <v>193</v>
      </c>
      <c r="I19" s="801">
        <v>0</v>
      </c>
      <c r="J19" s="801">
        <v>0</v>
      </c>
      <c r="K19" s="801">
        <v>0</v>
      </c>
      <c r="L19" s="801"/>
      <c r="M19" s="801"/>
      <c r="N19" s="801"/>
      <c r="O19" s="801">
        <v>0</v>
      </c>
      <c r="P19" s="801"/>
      <c r="Q19" s="801"/>
      <c r="R19" s="801"/>
      <c r="S19" s="801">
        <v>478</v>
      </c>
      <c r="T19" s="801">
        <v>0</v>
      </c>
      <c r="U19" s="801">
        <v>0</v>
      </c>
      <c r="V19" s="340"/>
      <c r="W19" s="340"/>
      <c r="X19" s="340"/>
      <c r="Y19" s="340"/>
      <c r="Z19" s="340"/>
    </row>
    <row r="20" spans="1:26">
      <c r="A20" s="800" t="s">
        <v>1265</v>
      </c>
      <c r="B20" s="800" t="s">
        <v>1266</v>
      </c>
      <c r="D20" s="801"/>
      <c r="E20" s="801"/>
      <c r="F20" s="801"/>
      <c r="G20" s="801">
        <v>13073</v>
      </c>
      <c r="H20" s="801">
        <v>11769</v>
      </c>
      <c r="I20" s="801">
        <v>12206</v>
      </c>
      <c r="J20" s="801">
        <v>0</v>
      </c>
      <c r="K20" s="801">
        <v>0</v>
      </c>
      <c r="L20" s="801"/>
      <c r="M20" s="801"/>
      <c r="N20" s="801"/>
      <c r="O20" s="801"/>
      <c r="P20" s="801"/>
      <c r="Q20" s="801"/>
      <c r="R20" s="801"/>
      <c r="S20" s="801"/>
      <c r="T20" s="801"/>
      <c r="U20" s="801"/>
      <c r="V20" s="340"/>
      <c r="W20" s="340"/>
      <c r="X20" s="340"/>
      <c r="Y20" s="340"/>
      <c r="Z20" s="340"/>
    </row>
    <row r="21" spans="1:26" ht="15" thickBot="1">
      <c r="A21" s="800" t="s">
        <v>1238</v>
      </c>
      <c r="B21" s="800" t="s">
        <v>2573</v>
      </c>
      <c r="D21" s="801">
        <v>763</v>
      </c>
      <c r="E21" s="801">
        <v>260</v>
      </c>
      <c r="F21" s="801">
        <v>993</v>
      </c>
      <c r="G21" s="801">
        <v>3044</v>
      </c>
      <c r="H21" s="801">
        <v>7579</v>
      </c>
      <c r="I21" s="801">
        <v>1929</v>
      </c>
      <c r="J21" s="801">
        <v>1529</v>
      </c>
      <c r="K21" s="801">
        <v>11722</v>
      </c>
      <c r="L21" s="801">
        <v>11417</v>
      </c>
      <c r="M21" s="801">
        <v>15127</v>
      </c>
      <c r="N21" s="801">
        <v>15126</v>
      </c>
      <c r="O21" s="801">
        <v>620</v>
      </c>
      <c r="P21" s="801">
        <v>1199</v>
      </c>
      <c r="Q21" s="801">
        <v>1513</v>
      </c>
      <c r="R21" s="801">
        <v>1557</v>
      </c>
      <c r="S21" s="801">
        <v>1010</v>
      </c>
      <c r="T21" s="801">
        <v>1116</v>
      </c>
      <c r="U21" s="801">
        <v>1470</v>
      </c>
      <c r="V21" s="340"/>
      <c r="W21" s="340"/>
      <c r="X21" s="340"/>
      <c r="Y21" s="340"/>
      <c r="Z21" s="340"/>
    </row>
    <row r="22" spans="1:26" ht="15" thickBot="1">
      <c r="A22" s="798" t="s">
        <v>2574</v>
      </c>
      <c r="B22" s="798" t="s">
        <v>2575</v>
      </c>
      <c r="C22" s="798"/>
      <c r="D22" s="799">
        <f t="shared" ref="D22:U22" si="1">SUM(D23:D28)</f>
        <v>468347</v>
      </c>
      <c r="E22" s="799">
        <f t="shared" si="1"/>
        <v>461585</v>
      </c>
      <c r="F22" s="799">
        <f t="shared" si="1"/>
        <v>508267</v>
      </c>
      <c r="G22" s="799">
        <f t="shared" si="1"/>
        <v>553897</v>
      </c>
      <c r="H22" s="799">
        <f t="shared" si="1"/>
        <v>587654</v>
      </c>
      <c r="I22" s="799">
        <f t="shared" si="1"/>
        <v>605140</v>
      </c>
      <c r="J22" s="799">
        <f t="shared" si="1"/>
        <v>620599</v>
      </c>
      <c r="K22" s="799">
        <f t="shared" si="1"/>
        <v>581969</v>
      </c>
      <c r="L22" s="799">
        <f t="shared" si="1"/>
        <v>576532</v>
      </c>
      <c r="M22" s="799">
        <f t="shared" si="1"/>
        <v>651107</v>
      </c>
      <c r="N22" s="799">
        <f t="shared" si="1"/>
        <v>696719</v>
      </c>
      <c r="O22" s="799">
        <f t="shared" si="1"/>
        <v>722612</v>
      </c>
      <c r="P22" s="799">
        <f t="shared" si="1"/>
        <v>747729</v>
      </c>
      <c r="Q22" s="799">
        <f t="shared" si="1"/>
        <v>756707</v>
      </c>
      <c r="R22" s="799">
        <f t="shared" si="1"/>
        <v>767995</v>
      </c>
      <c r="S22" s="799">
        <f t="shared" si="1"/>
        <v>793185</v>
      </c>
      <c r="T22" s="799">
        <f t="shared" si="1"/>
        <v>822153</v>
      </c>
      <c r="U22" s="799">
        <f t="shared" si="1"/>
        <v>833307</v>
      </c>
      <c r="V22" s="149"/>
      <c r="W22" s="149"/>
      <c r="X22" s="149"/>
      <c r="Y22" s="149"/>
      <c r="Z22" s="149"/>
    </row>
    <row r="23" spans="1:26">
      <c r="A23" s="800" t="s">
        <v>1230</v>
      </c>
      <c r="B23" s="800" t="s">
        <v>2569</v>
      </c>
      <c r="D23" s="801">
        <v>51456</v>
      </c>
      <c r="E23" s="801">
        <v>23112</v>
      </c>
      <c r="F23" s="801">
        <v>36713</v>
      </c>
      <c r="G23" s="801">
        <v>37192</v>
      </c>
      <c r="H23" s="801">
        <v>33355</v>
      </c>
      <c r="I23" s="801">
        <v>28390</v>
      </c>
      <c r="J23" s="801">
        <v>36210</v>
      </c>
      <c r="K23" s="801">
        <v>36363</v>
      </c>
      <c r="L23" s="801">
        <v>23137</v>
      </c>
      <c r="M23" s="801">
        <v>12608</v>
      </c>
      <c r="N23" s="801">
        <v>34744</v>
      </c>
      <c r="O23" s="801">
        <v>41572</v>
      </c>
      <c r="P23" s="801">
        <v>33023</v>
      </c>
      <c r="Q23" s="801">
        <v>29347</v>
      </c>
      <c r="R23" s="801">
        <v>35668</v>
      </c>
      <c r="S23" s="801">
        <v>39482</v>
      </c>
      <c r="T23" s="801">
        <v>32451</v>
      </c>
      <c r="U23" s="801">
        <v>32533</v>
      </c>
      <c r="V23" s="340"/>
      <c r="W23" s="340"/>
      <c r="X23" s="340"/>
      <c r="Y23" s="340"/>
      <c r="Z23" s="340"/>
    </row>
    <row r="24" spans="1:26">
      <c r="A24" s="800" t="s">
        <v>2272</v>
      </c>
      <c r="B24" s="800" t="s">
        <v>2327</v>
      </c>
      <c r="D24" s="801">
        <v>388321</v>
      </c>
      <c r="E24" s="801">
        <v>415932</v>
      </c>
      <c r="F24" s="801">
        <v>450132</v>
      </c>
      <c r="G24" s="801">
        <v>480991</v>
      </c>
      <c r="H24" s="801">
        <v>508095</v>
      </c>
      <c r="I24" s="801">
        <v>520344</v>
      </c>
      <c r="J24" s="801">
        <v>550224</v>
      </c>
      <c r="K24" s="801">
        <v>514605</v>
      </c>
      <c r="L24" s="801">
        <v>522683</v>
      </c>
      <c r="M24" s="801">
        <v>606999</v>
      </c>
      <c r="N24" s="801">
        <v>639756</v>
      </c>
      <c r="O24" s="801">
        <v>658510</v>
      </c>
      <c r="P24" s="801">
        <v>693185</v>
      </c>
      <c r="Q24" s="801">
        <v>705445</v>
      </c>
      <c r="R24" s="801">
        <v>709995</v>
      </c>
      <c r="S24" s="801">
        <v>730750</v>
      </c>
      <c r="T24" s="801">
        <v>766301</v>
      </c>
      <c r="U24" s="801">
        <v>776903</v>
      </c>
      <c r="V24" s="340"/>
      <c r="W24" s="340"/>
      <c r="X24" s="340"/>
      <c r="Y24" s="340"/>
      <c r="Z24" s="340"/>
    </row>
    <row r="25" spans="1:26">
      <c r="A25" s="800" t="s">
        <v>1068</v>
      </c>
      <c r="B25" s="800" t="s">
        <v>2297</v>
      </c>
      <c r="D25" s="801">
        <v>16879</v>
      </c>
      <c r="E25" s="801">
        <v>16879</v>
      </c>
      <c r="F25" s="801">
        <v>16879</v>
      </c>
      <c r="G25" s="801">
        <v>18392</v>
      </c>
      <c r="H25" s="801">
        <v>18392</v>
      </c>
      <c r="I25" s="801">
        <v>18392</v>
      </c>
      <c r="J25" s="801">
        <v>19760</v>
      </c>
      <c r="K25" s="801">
        <v>20113</v>
      </c>
      <c r="L25" s="801">
        <v>19831</v>
      </c>
      <c r="M25" s="801">
        <v>20176</v>
      </c>
      <c r="N25" s="801">
        <v>20523</v>
      </c>
      <c r="O25" s="801">
        <v>21045</v>
      </c>
      <c r="P25" s="801">
        <v>21451</v>
      </c>
      <c r="Q25" s="801">
        <v>21853</v>
      </c>
      <c r="R25" s="801">
        <v>22276</v>
      </c>
      <c r="S25" s="801">
        <v>22903</v>
      </c>
      <c r="T25" s="801">
        <v>23353</v>
      </c>
      <c r="U25" s="801">
        <v>23823</v>
      </c>
      <c r="V25" s="340"/>
      <c r="W25" s="340"/>
      <c r="X25" s="340"/>
      <c r="Y25" s="340"/>
      <c r="Z25" s="340"/>
    </row>
    <row r="26" spans="1:26">
      <c r="A26" s="800" t="s">
        <v>2229</v>
      </c>
      <c r="B26" s="800" t="s">
        <v>2298</v>
      </c>
      <c r="D26" s="801">
        <v>11397</v>
      </c>
      <c r="E26" s="801">
        <v>5368</v>
      </c>
      <c r="F26" s="801">
        <v>4254</v>
      </c>
      <c r="G26" s="801">
        <v>5048</v>
      </c>
      <c r="H26" s="801">
        <v>11898</v>
      </c>
      <c r="I26" s="801">
        <v>15425</v>
      </c>
      <c r="J26" s="801">
        <v>14405</v>
      </c>
      <c r="K26" s="801">
        <v>10852</v>
      </c>
      <c r="L26" s="801">
        <v>10846</v>
      </c>
      <c r="M26" s="801">
        <v>11289</v>
      </c>
      <c r="N26" s="801">
        <v>1661</v>
      </c>
      <c r="O26" s="801">
        <v>1450</v>
      </c>
      <c r="P26" s="801">
        <v>35</v>
      </c>
      <c r="Q26" s="801">
        <v>27</v>
      </c>
      <c r="R26" s="801">
        <v>21</v>
      </c>
      <c r="S26" s="801">
        <v>15</v>
      </c>
      <c r="T26" s="801">
        <v>13</v>
      </c>
      <c r="U26" s="801">
        <v>13</v>
      </c>
      <c r="V26" s="340"/>
      <c r="W26" s="340"/>
      <c r="X26" s="340"/>
      <c r="Y26" s="340"/>
      <c r="Z26" s="340"/>
    </row>
    <row r="27" spans="1:26">
      <c r="A27" s="800" t="s">
        <v>1265</v>
      </c>
      <c r="B27" s="800" t="s">
        <v>1266</v>
      </c>
      <c r="D27" s="801"/>
      <c r="E27" s="801"/>
      <c r="F27" s="801"/>
      <c r="G27" s="801">
        <v>11985</v>
      </c>
      <c r="H27" s="801">
        <v>15625</v>
      </c>
      <c r="I27" s="801">
        <v>22552</v>
      </c>
      <c r="J27" s="801">
        <v>0</v>
      </c>
      <c r="K27" s="801">
        <v>0</v>
      </c>
      <c r="L27" s="801"/>
      <c r="M27" s="801"/>
      <c r="N27" s="801"/>
      <c r="O27" s="801"/>
      <c r="P27" s="801"/>
      <c r="Q27" s="801"/>
      <c r="R27" s="801"/>
      <c r="S27" s="801"/>
      <c r="T27" s="801"/>
      <c r="U27" s="801"/>
      <c r="V27" s="340"/>
      <c r="W27" s="340"/>
      <c r="X27" s="340"/>
      <c r="Y27" s="340"/>
      <c r="Z27" s="340"/>
    </row>
    <row r="28" spans="1:26" ht="15" thickBot="1">
      <c r="A28" s="800" t="s">
        <v>1238</v>
      </c>
      <c r="B28" s="800" t="s">
        <v>2573</v>
      </c>
      <c r="D28" s="801">
        <v>294</v>
      </c>
      <c r="E28" s="801">
        <v>294</v>
      </c>
      <c r="F28" s="801">
        <v>289</v>
      </c>
      <c r="G28" s="801">
        <v>289</v>
      </c>
      <c r="H28" s="801">
        <v>289</v>
      </c>
      <c r="I28" s="801">
        <v>37</v>
      </c>
      <c r="J28" s="801">
        <v>0</v>
      </c>
      <c r="K28" s="801">
        <v>36</v>
      </c>
      <c r="L28" s="801">
        <v>35</v>
      </c>
      <c r="M28" s="801">
        <v>35</v>
      </c>
      <c r="N28" s="801">
        <v>35</v>
      </c>
      <c r="O28" s="801">
        <v>35</v>
      </c>
      <c r="P28" s="801">
        <v>35</v>
      </c>
      <c r="Q28" s="801">
        <v>35</v>
      </c>
      <c r="R28" s="801">
        <v>35</v>
      </c>
      <c r="S28" s="801">
        <v>35</v>
      </c>
      <c r="T28" s="801">
        <v>35</v>
      </c>
      <c r="U28" s="801">
        <v>35</v>
      </c>
      <c r="V28" s="340"/>
      <c r="W28" s="340"/>
      <c r="X28" s="340"/>
      <c r="Y28" s="340"/>
      <c r="Z28" s="340"/>
    </row>
    <row r="29" spans="1:26" ht="15" thickBot="1">
      <c r="A29" s="798" t="s">
        <v>1239</v>
      </c>
      <c r="B29" s="798" t="s">
        <v>2576</v>
      </c>
      <c r="C29" s="798"/>
      <c r="D29" s="799">
        <f t="shared" ref="D29:U29" si="2">D22+SUM(D30:D33)</f>
        <v>6189011</v>
      </c>
      <c r="E29" s="799">
        <f t="shared" si="2"/>
        <v>6137772</v>
      </c>
      <c r="F29" s="799">
        <f t="shared" si="2"/>
        <v>6194548</v>
      </c>
      <c r="G29" s="799">
        <f t="shared" si="2"/>
        <v>6248063</v>
      </c>
      <c r="H29" s="799">
        <f t="shared" si="2"/>
        <v>6231526</v>
      </c>
      <c r="I29" s="799">
        <f t="shared" si="2"/>
        <v>6913720</v>
      </c>
      <c r="J29" s="799">
        <f t="shared" si="2"/>
        <v>5991917</v>
      </c>
      <c r="K29" s="799">
        <f t="shared" si="2"/>
        <v>6243718</v>
      </c>
      <c r="L29" s="799">
        <f t="shared" si="2"/>
        <v>6185183</v>
      </c>
      <c r="M29" s="799">
        <f t="shared" si="2"/>
        <v>6218989</v>
      </c>
      <c r="N29" s="799">
        <f t="shared" si="2"/>
        <v>6215750</v>
      </c>
      <c r="O29" s="799">
        <f t="shared" si="2"/>
        <v>6209778</v>
      </c>
      <c r="P29" s="799">
        <f t="shared" si="2"/>
        <v>6177031</v>
      </c>
      <c r="Q29" s="799">
        <f t="shared" si="2"/>
        <v>6133026</v>
      </c>
      <c r="R29" s="799">
        <f t="shared" si="2"/>
        <v>6137794</v>
      </c>
      <c r="S29" s="799">
        <f t="shared" si="2"/>
        <v>5876510</v>
      </c>
      <c r="T29" s="799">
        <f t="shared" si="2"/>
        <v>5867134</v>
      </c>
      <c r="U29" s="799">
        <f t="shared" si="2"/>
        <v>5858040</v>
      </c>
      <c r="V29" s="799"/>
      <c r="W29" s="799"/>
      <c r="X29" s="799"/>
      <c r="Y29" s="799"/>
      <c r="Z29" s="799"/>
    </row>
    <row r="30" spans="1:26">
      <c r="A30" s="800" t="s">
        <v>1088</v>
      </c>
      <c r="B30" s="800" t="s">
        <v>1089</v>
      </c>
      <c r="D30" s="801">
        <v>0</v>
      </c>
      <c r="E30" s="801">
        <v>0</v>
      </c>
      <c r="F30" s="801">
        <v>0</v>
      </c>
      <c r="G30" s="801">
        <v>0</v>
      </c>
      <c r="H30" s="801">
        <v>0</v>
      </c>
      <c r="I30" s="801">
        <v>0</v>
      </c>
      <c r="J30" s="801">
        <v>0</v>
      </c>
      <c r="K30" s="801">
        <v>0</v>
      </c>
      <c r="L30" s="801">
        <v>0</v>
      </c>
      <c r="M30" s="801">
        <v>0</v>
      </c>
      <c r="N30" s="801">
        <v>0</v>
      </c>
      <c r="O30" s="801">
        <v>0</v>
      </c>
      <c r="P30" s="801">
        <v>0</v>
      </c>
      <c r="Q30" s="801">
        <v>0</v>
      </c>
      <c r="R30" s="801">
        <v>0</v>
      </c>
      <c r="S30" s="801">
        <v>0</v>
      </c>
      <c r="T30" s="801">
        <v>0</v>
      </c>
      <c r="U30" s="801">
        <v>0</v>
      </c>
      <c r="V30" s="340"/>
      <c r="W30" s="340"/>
      <c r="X30" s="340"/>
      <c r="Y30" s="340"/>
      <c r="Z30" s="340"/>
    </row>
    <row r="31" spans="1:26">
      <c r="A31" s="800" t="s">
        <v>1166</v>
      </c>
      <c r="B31" s="800" t="s">
        <v>2577</v>
      </c>
      <c r="D31" s="801">
        <v>82662</v>
      </c>
      <c r="E31" s="801">
        <v>83170</v>
      </c>
      <c r="F31" s="801">
        <v>82464</v>
      </c>
      <c r="G31" s="801">
        <v>106872</v>
      </c>
      <c r="H31" s="801">
        <v>104491</v>
      </c>
      <c r="I31" s="801">
        <v>102797</v>
      </c>
      <c r="J31" s="801">
        <v>102194</v>
      </c>
      <c r="K31" s="801">
        <v>400139</v>
      </c>
      <c r="L31" s="801">
        <v>396838</v>
      </c>
      <c r="M31" s="801">
        <v>395826</v>
      </c>
      <c r="N31" s="801">
        <v>392142</v>
      </c>
      <c r="O31" s="801">
        <v>388665</v>
      </c>
      <c r="P31" s="801">
        <v>385191</v>
      </c>
      <c r="Q31" s="801">
        <v>381714</v>
      </c>
      <c r="R31" s="801">
        <v>378238</v>
      </c>
      <c r="S31" s="801">
        <v>356360</v>
      </c>
      <c r="T31" s="801">
        <v>352890</v>
      </c>
      <c r="U31" s="801">
        <v>349414</v>
      </c>
      <c r="V31" s="340"/>
      <c r="W31" s="340"/>
      <c r="X31" s="340"/>
      <c r="Y31" s="340"/>
      <c r="Z31" s="340"/>
    </row>
    <row r="32" spans="1:26">
      <c r="A32" s="800" t="s">
        <v>1188</v>
      </c>
      <c r="B32" s="800" t="s">
        <v>2578</v>
      </c>
      <c r="D32" s="801">
        <v>5043100</v>
      </c>
      <c r="E32" s="801">
        <v>5000263</v>
      </c>
      <c r="F32" s="801">
        <v>4958158</v>
      </c>
      <c r="G32" s="801">
        <v>4923496</v>
      </c>
      <c r="H32" s="801">
        <v>4889487</v>
      </c>
      <c r="I32" s="801">
        <v>5623020</v>
      </c>
      <c r="J32" s="801">
        <v>4761480</v>
      </c>
      <c r="K32" s="801">
        <v>4755645</v>
      </c>
      <c r="L32" s="801">
        <v>4716062</v>
      </c>
      <c r="M32" s="801">
        <v>4684203</v>
      </c>
      <c r="N32" s="801">
        <v>4648235</v>
      </c>
      <c r="O32" s="801">
        <v>4626773</v>
      </c>
      <c r="P32" s="801">
        <v>4581658</v>
      </c>
      <c r="Q32" s="801">
        <v>4539806</v>
      </c>
      <c r="R32" s="801">
        <v>4547194</v>
      </c>
      <c r="S32" s="801">
        <v>4290022</v>
      </c>
      <c r="T32" s="801">
        <v>4264692</v>
      </c>
      <c r="U32" s="801">
        <v>4257265</v>
      </c>
      <c r="V32" s="801"/>
      <c r="W32" s="801"/>
      <c r="X32" s="801"/>
      <c r="Y32" s="801"/>
      <c r="Z32" s="801"/>
    </row>
    <row r="33" spans="1:26" ht="15" thickBot="1">
      <c r="A33" s="800" t="s">
        <v>1092</v>
      </c>
      <c r="B33" s="800" t="s">
        <v>2579</v>
      </c>
      <c r="D33" s="801">
        <v>594902</v>
      </c>
      <c r="E33" s="801">
        <v>592754</v>
      </c>
      <c r="F33" s="801">
        <v>645659</v>
      </c>
      <c r="G33" s="801">
        <v>663798</v>
      </c>
      <c r="H33" s="801">
        <v>649894</v>
      </c>
      <c r="I33" s="801">
        <v>582763</v>
      </c>
      <c r="J33" s="801">
        <v>507644</v>
      </c>
      <c r="K33" s="801">
        <v>505965</v>
      </c>
      <c r="L33" s="801">
        <v>495751</v>
      </c>
      <c r="M33" s="801">
        <v>487853</v>
      </c>
      <c r="N33" s="801">
        <v>478654</v>
      </c>
      <c r="O33" s="801">
        <v>471728</v>
      </c>
      <c r="P33" s="801">
        <v>462453</v>
      </c>
      <c r="Q33" s="801">
        <v>454799</v>
      </c>
      <c r="R33" s="801">
        <v>444367</v>
      </c>
      <c r="S33" s="801">
        <v>436943</v>
      </c>
      <c r="T33" s="801">
        <v>427399</v>
      </c>
      <c r="U33" s="801">
        <v>418054</v>
      </c>
      <c r="V33" s="801"/>
      <c r="W33" s="801"/>
      <c r="X33" s="801"/>
      <c r="Y33" s="801"/>
      <c r="Z33" s="801"/>
    </row>
    <row r="34" spans="1:26" ht="15" thickBot="1">
      <c r="A34" s="798" t="s">
        <v>1242</v>
      </c>
      <c r="B34" s="798" t="s">
        <v>2580</v>
      </c>
      <c r="C34" s="798"/>
      <c r="D34" s="799">
        <f t="shared" ref="D34:U34" si="3">D8+D29</f>
        <v>6872752</v>
      </c>
      <c r="E34" s="799">
        <f t="shared" si="3"/>
        <v>6767902</v>
      </c>
      <c r="F34" s="799">
        <f t="shared" si="3"/>
        <v>6873084</v>
      </c>
      <c r="G34" s="799">
        <f t="shared" si="3"/>
        <v>6886282</v>
      </c>
      <c r="H34" s="799">
        <f t="shared" si="3"/>
        <v>7086252</v>
      </c>
      <c r="I34" s="799">
        <f t="shared" si="3"/>
        <v>7592384</v>
      </c>
      <c r="J34" s="799">
        <f t="shared" si="3"/>
        <v>6648816</v>
      </c>
      <c r="K34" s="799">
        <f t="shared" si="3"/>
        <v>6938322</v>
      </c>
      <c r="L34" s="799">
        <f t="shared" si="3"/>
        <v>6811168</v>
      </c>
      <c r="M34" s="799">
        <f t="shared" si="3"/>
        <v>6761966</v>
      </c>
      <c r="N34" s="799">
        <f t="shared" si="3"/>
        <v>6787932</v>
      </c>
      <c r="O34" s="799">
        <f t="shared" si="3"/>
        <v>6858051</v>
      </c>
      <c r="P34" s="799">
        <f t="shared" si="3"/>
        <v>6837677</v>
      </c>
      <c r="Q34" s="799">
        <f t="shared" si="3"/>
        <v>6886763</v>
      </c>
      <c r="R34" s="799">
        <f t="shared" si="3"/>
        <v>6961122</v>
      </c>
      <c r="S34" s="799">
        <f t="shared" si="3"/>
        <v>6718782</v>
      </c>
      <c r="T34" s="799">
        <f t="shared" si="3"/>
        <v>6743723</v>
      </c>
      <c r="U34" s="799">
        <f t="shared" si="3"/>
        <v>6705421</v>
      </c>
      <c r="V34" s="799"/>
      <c r="W34" s="799"/>
      <c r="X34" s="799"/>
      <c r="Y34" s="799"/>
      <c r="Z34" s="799"/>
    </row>
    <row r="35" spans="1:26">
      <c r="A35" s="805"/>
    </row>
    <row r="36" spans="1:26" ht="15" thickBot="1">
      <c r="A36" s="796" t="s">
        <v>2581</v>
      </c>
      <c r="B36" s="796" t="s">
        <v>2582</v>
      </c>
      <c r="C36" s="796"/>
      <c r="D36" s="797" t="s">
        <v>75</v>
      </c>
      <c r="E36" s="797" t="s">
        <v>76</v>
      </c>
      <c r="F36" s="797" t="s">
        <v>77</v>
      </c>
      <c r="G36" s="797" t="s">
        <v>78</v>
      </c>
      <c r="H36" s="797" t="s">
        <v>79</v>
      </c>
      <c r="I36" s="797" t="s">
        <v>80</v>
      </c>
      <c r="J36" s="797" t="s">
        <v>81</v>
      </c>
      <c r="K36" s="797" t="s">
        <v>82</v>
      </c>
      <c r="L36" s="797" t="s">
        <v>83</v>
      </c>
      <c r="M36" s="797" t="s">
        <v>84</v>
      </c>
      <c r="N36" s="797" t="s">
        <v>85</v>
      </c>
      <c r="O36" s="797" t="s">
        <v>86</v>
      </c>
      <c r="P36" s="797" t="s">
        <v>87</v>
      </c>
      <c r="Q36" s="797" t="s">
        <v>88</v>
      </c>
      <c r="R36" s="797" t="s">
        <v>2074</v>
      </c>
      <c r="S36" s="797" t="s">
        <v>2127</v>
      </c>
      <c r="T36" s="797" t="s">
        <v>2360</v>
      </c>
      <c r="U36" s="797" t="s">
        <v>2494</v>
      </c>
      <c r="V36" s="797"/>
      <c r="W36" s="797"/>
      <c r="X36" s="797"/>
      <c r="Y36" s="797"/>
      <c r="Z36" s="797"/>
    </row>
    <row r="37" spans="1:26" ht="15" thickBot="1">
      <c r="A37" s="798" t="s">
        <v>2583</v>
      </c>
      <c r="B37" s="798" t="s">
        <v>2584</v>
      </c>
      <c r="C37" s="798"/>
      <c r="D37" s="799">
        <f t="shared" ref="D37:U37" si="4">SUM(D38:D52)</f>
        <v>614464</v>
      </c>
      <c r="E37" s="799">
        <f t="shared" si="4"/>
        <v>551778</v>
      </c>
      <c r="F37" s="799">
        <f t="shared" si="4"/>
        <v>634369</v>
      </c>
      <c r="G37" s="799">
        <f t="shared" si="4"/>
        <v>627751</v>
      </c>
      <c r="H37" s="799">
        <f t="shared" si="4"/>
        <v>717545</v>
      </c>
      <c r="I37" s="799">
        <f t="shared" si="4"/>
        <v>953591</v>
      </c>
      <c r="J37" s="799">
        <f t="shared" si="4"/>
        <v>907789</v>
      </c>
      <c r="K37" s="799">
        <f t="shared" si="4"/>
        <v>560335</v>
      </c>
      <c r="L37" s="799">
        <f t="shared" si="4"/>
        <v>481632</v>
      </c>
      <c r="M37" s="799">
        <f t="shared" si="4"/>
        <v>517211</v>
      </c>
      <c r="N37" s="799">
        <f t="shared" si="4"/>
        <v>543039</v>
      </c>
      <c r="O37" s="799">
        <f t="shared" si="4"/>
        <v>609404</v>
      </c>
      <c r="P37" s="799">
        <f t="shared" si="4"/>
        <v>672741</v>
      </c>
      <c r="Q37" s="799">
        <f t="shared" si="4"/>
        <v>773567</v>
      </c>
      <c r="R37" s="799">
        <f t="shared" si="4"/>
        <v>727907</v>
      </c>
      <c r="S37" s="799">
        <f t="shared" si="4"/>
        <v>762576</v>
      </c>
      <c r="T37" s="799">
        <f t="shared" si="4"/>
        <v>815595</v>
      </c>
      <c r="U37" s="799">
        <f t="shared" si="4"/>
        <v>858115</v>
      </c>
      <c r="V37" s="799"/>
      <c r="W37" s="799"/>
      <c r="X37" s="799"/>
      <c r="Y37" s="799"/>
      <c r="Z37" s="799"/>
    </row>
    <row r="38" spans="1:26">
      <c r="A38" s="800" t="s">
        <v>1102</v>
      </c>
      <c r="B38" s="800" t="s">
        <v>1103</v>
      </c>
      <c r="D38" s="801">
        <v>33900</v>
      </c>
      <c r="E38" s="801">
        <v>39729</v>
      </c>
      <c r="F38" s="801">
        <v>60709</v>
      </c>
      <c r="G38" s="801">
        <v>71451</v>
      </c>
      <c r="H38" s="801">
        <v>66698</v>
      </c>
      <c r="I38" s="801">
        <v>275707</v>
      </c>
      <c r="J38" s="801">
        <v>47360</v>
      </c>
      <c r="K38" s="801">
        <v>45233</v>
      </c>
      <c r="L38" s="801">
        <v>39812</v>
      </c>
      <c r="M38" s="801">
        <v>47514</v>
      </c>
      <c r="N38" s="801">
        <v>58698</v>
      </c>
      <c r="O38" s="801">
        <v>53819</v>
      </c>
      <c r="P38" s="801">
        <v>53849</v>
      </c>
      <c r="Q38" s="801">
        <v>81456</v>
      </c>
      <c r="R38" s="801">
        <v>105406</v>
      </c>
      <c r="S38" s="801">
        <v>133912</v>
      </c>
      <c r="T38" s="801">
        <v>126431</v>
      </c>
      <c r="U38" s="801">
        <v>97327</v>
      </c>
      <c r="V38" s="801"/>
      <c r="W38" s="801"/>
      <c r="X38" s="801"/>
      <c r="Y38" s="801"/>
      <c r="Z38" s="801"/>
    </row>
    <row r="39" spans="1:26">
      <c r="A39" s="800" t="s">
        <v>1271</v>
      </c>
      <c r="B39" s="800" t="s">
        <v>2585</v>
      </c>
      <c r="D39" s="801">
        <v>182769</v>
      </c>
      <c r="E39" s="801">
        <v>174762</v>
      </c>
      <c r="F39" s="801">
        <v>172432</v>
      </c>
      <c r="G39" s="801">
        <v>179467</v>
      </c>
      <c r="H39" s="801">
        <v>199353</v>
      </c>
      <c r="I39" s="801">
        <v>207224</v>
      </c>
      <c r="J39" s="801">
        <v>194200</v>
      </c>
      <c r="K39" s="801">
        <v>198496</v>
      </c>
      <c r="L39" s="801">
        <v>204603</v>
      </c>
      <c r="M39" s="801">
        <v>210128</v>
      </c>
      <c r="N39" s="801">
        <v>200357</v>
      </c>
      <c r="O39" s="801">
        <v>210489</v>
      </c>
      <c r="P39" s="801">
        <v>226500</v>
      </c>
      <c r="Q39" s="801">
        <v>331619</v>
      </c>
      <c r="R39" s="801">
        <v>220077</v>
      </c>
      <c r="S39" s="801">
        <v>226768</v>
      </c>
      <c r="T39" s="801">
        <v>230617</v>
      </c>
      <c r="U39" s="801">
        <v>238128</v>
      </c>
      <c r="V39" s="801"/>
      <c r="W39" s="801"/>
      <c r="X39" s="801"/>
      <c r="Y39" s="801"/>
      <c r="Z39" s="801"/>
    </row>
    <row r="40" spans="1:26">
      <c r="A40" s="800" t="s">
        <v>1107</v>
      </c>
      <c r="B40" s="800" t="s">
        <v>1108</v>
      </c>
      <c r="D40" s="801">
        <v>130385</v>
      </c>
      <c r="E40" s="801">
        <v>99811</v>
      </c>
      <c r="F40" s="801">
        <v>109686</v>
      </c>
      <c r="G40" s="801">
        <v>67771</v>
      </c>
      <c r="H40" s="801">
        <v>81753</v>
      </c>
      <c r="I40" s="801">
        <v>73671</v>
      </c>
      <c r="J40" s="801">
        <v>383766</v>
      </c>
      <c r="K40" s="801">
        <v>74744</v>
      </c>
      <c r="L40" s="801">
        <v>85189</v>
      </c>
      <c r="M40" s="801">
        <v>100275</v>
      </c>
      <c r="N40" s="801">
        <v>110913</v>
      </c>
      <c r="O40" s="801">
        <v>110192</v>
      </c>
      <c r="P40" s="801">
        <v>151118</v>
      </c>
      <c r="Q40" s="801">
        <v>115215</v>
      </c>
      <c r="R40" s="801">
        <v>127610</v>
      </c>
      <c r="S40" s="801">
        <v>118000</v>
      </c>
      <c r="T40" s="801">
        <v>132001</v>
      </c>
      <c r="U40" s="801">
        <v>139224</v>
      </c>
      <c r="V40" s="801"/>
      <c r="W40" s="801"/>
      <c r="X40" s="801"/>
      <c r="Y40" s="801"/>
      <c r="Z40" s="801"/>
    </row>
    <row r="41" spans="1:26">
      <c r="A41" s="800" t="s">
        <v>2264</v>
      </c>
      <c r="B41" s="800" t="s">
        <v>2586</v>
      </c>
      <c r="D41" s="801">
        <v>10947</v>
      </c>
      <c r="E41" s="801">
        <v>13004</v>
      </c>
      <c r="F41" s="801">
        <v>17189</v>
      </c>
      <c r="G41" s="801">
        <v>20044</v>
      </c>
      <c r="H41" s="801">
        <v>25703</v>
      </c>
      <c r="I41" s="801">
        <v>25475</v>
      </c>
      <c r="J41" s="801">
        <v>28600</v>
      </c>
      <c r="K41" s="801">
        <v>29323</v>
      </c>
      <c r="L41" s="801">
        <v>11298</v>
      </c>
      <c r="M41" s="801">
        <v>12173</v>
      </c>
      <c r="N41" s="801">
        <v>14795</v>
      </c>
      <c r="O41" s="801">
        <v>10811</v>
      </c>
      <c r="P41" s="801">
        <v>14471</v>
      </c>
      <c r="Q41" s="801">
        <v>17264</v>
      </c>
      <c r="R41" s="801">
        <v>21984</v>
      </c>
      <c r="S41" s="801">
        <v>16860</v>
      </c>
      <c r="T41" s="801">
        <v>19268</v>
      </c>
      <c r="U41" s="801">
        <v>19913</v>
      </c>
      <c r="V41" s="801"/>
      <c r="W41" s="801"/>
      <c r="X41" s="801"/>
      <c r="Y41" s="801"/>
      <c r="Z41" s="801"/>
    </row>
    <row r="42" spans="1:26">
      <c r="A42" s="800" t="s">
        <v>2263</v>
      </c>
      <c r="B42" s="800" t="s">
        <v>2304</v>
      </c>
      <c r="D42" s="801">
        <v>56170</v>
      </c>
      <c r="E42" s="801">
        <v>9540</v>
      </c>
      <c r="F42" s="801">
        <v>12581</v>
      </c>
      <c r="G42" s="801">
        <v>10196</v>
      </c>
      <c r="H42" s="801">
        <v>14407</v>
      </c>
      <c r="I42" s="801">
        <v>15572</v>
      </c>
      <c r="J42" s="801">
        <v>16319</v>
      </c>
      <c r="K42" s="801">
        <v>15653</v>
      </c>
      <c r="L42" s="801">
        <v>13971</v>
      </c>
      <c r="M42" s="801">
        <v>15192</v>
      </c>
      <c r="N42" s="801">
        <v>8773</v>
      </c>
      <c r="O42" s="801">
        <v>11634</v>
      </c>
      <c r="P42" s="801">
        <v>9989</v>
      </c>
      <c r="Q42" s="801">
        <v>15985</v>
      </c>
      <c r="R42" s="801">
        <v>15102</v>
      </c>
      <c r="S42" s="801">
        <v>10728</v>
      </c>
      <c r="T42" s="801">
        <v>20401</v>
      </c>
      <c r="U42" s="801">
        <v>23885</v>
      </c>
      <c r="V42" s="801"/>
      <c r="W42" s="801"/>
      <c r="X42" s="801"/>
      <c r="Y42" s="801"/>
      <c r="Z42" s="801"/>
    </row>
    <row r="43" spans="1:26">
      <c r="A43" s="800" t="s">
        <v>2587</v>
      </c>
      <c r="B43" s="800" t="s">
        <v>2588</v>
      </c>
      <c r="D43" s="801">
        <v>8684</v>
      </c>
      <c r="E43" s="801">
        <v>11507</v>
      </c>
      <c r="F43" s="801">
        <v>15181</v>
      </c>
      <c r="G43" s="801">
        <v>20375</v>
      </c>
      <c r="H43" s="801">
        <v>24679</v>
      </c>
      <c r="I43" s="801">
        <v>16470</v>
      </c>
      <c r="J43" s="801">
        <v>17440</v>
      </c>
      <c r="K43" s="801">
        <v>10707</v>
      </c>
      <c r="L43" s="801">
        <v>12766</v>
      </c>
      <c r="M43" s="801">
        <v>4794</v>
      </c>
      <c r="N43" s="801">
        <v>5938</v>
      </c>
      <c r="O43" s="801">
        <v>9213</v>
      </c>
      <c r="P43" s="801">
        <v>8822</v>
      </c>
      <c r="Q43" s="801">
        <v>4988</v>
      </c>
      <c r="R43" s="801">
        <v>6337</v>
      </c>
      <c r="S43" s="801">
        <v>16317</v>
      </c>
      <c r="T43" s="801">
        <v>19633</v>
      </c>
      <c r="U43" s="801">
        <v>13940</v>
      </c>
      <c r="V43" s="801"/>
      <c r="W43" s="801"/>
      <c r="X43" s="801"/>
      <c r="Y43" s="801"/>
      <c r="Z43" s="801"/>
    </row>
    <row r="44" spans="1:26">
      <c r="A44" s="800" t="s">
        <v>2589</v>
      </c>
      <c r="B44" s="800" t="s">
        <v>2590</v>
      </c>
      <c r="D44" s="801">
        <v>1981</v>
      </c>
      <c r="E44" s="801">
        <v>0</v>
      </c>
      <c r="F44" s="801">
        <v>0</v>
      </c>
      <c r="G44" s="801">
        <v>0</v>
      </c>
      <c r="H44" s="801"/>
      <c r="I44" s="801"/>
      <c r="J44" s="801"/>
      <c r="K44" s="801">
        <v>540</v>
      </c>
      <c r="L44" s="801">
        <v>272</v>
      </c>
      <c r="M44" s="801">
        <v>212</v>
      </c>
      <c r="N44" s="801">
        <v>537</v>
      </c>
      <c r="O44" s="801">
        <v>537</v>
      </c>
      <c r="P44" s="801">
        <v>1090</v>
      </c>
      <c r="Q44" s="801">
        <v>1857</v>
      </c>
      <c r="R44" s="801">
        <v>2577</v>
      </c>
      <c r="S44" s="801">
        <v>3375</v>
      </c>
      <c r="T44" s="801">
        <v>3615</v>
      </c>
      <c r="U44" s="801">
        <v>4800</v>
      </c>
      <c r="V44" s="801"/>
      <c r="W44" s="801"/>
      <c r="X44" s="801"/>
      <c r="Y44" s="801"/>
      <c r="Z44" s="801"/>
    </row>
    <row r="45" spans="1:26">
      <c r="A45" s="800" t="s">
        <v>1268</v>
      </c>
      <c r="B45" s="800" t="s">
        <v>2591</v>
      </c>
      <c r="D45" s="801">
        <v>130191</v>
      </c>
      <c r="E45" s="801">
        <v>143117</v>
      </c>
      <c r="F45" s="801">
        <v>164558</v>
      </c>
      <c r="G45" s="801">
        <v>164215</v>
      </c>
      <c r="H45" s="801">
        <v>164215</v>
      </c>
      <c r="I45" s="801">
        <v>172915</v>
      </c>
      <c r="J45" s="801">
        <v>184091</v>
      </c>
      <c r="K45" s="801">
        <v>157047</v>
      </c>
      <c r="L45" s="801">
        <v>80028</v>
      </c>
      <c r="M45" s="801">
        <v>75428</v>
      </c>
      <c r="N45" s="801">
        <v>81264</v>
      </c>
      <c r="O45" s="801">
        <v>159523</v>
      </c>
      <c r="P45" s="801">
        <v>167329</v>
      </c>
      <c r="Q45" s="801">
        <v>192175</v>
      </c>
      <c r="R45" s="801">
        <v>218305</v>
      </c>
      <c r="S45" s="801">
        <v>229036</v>
      </c>
      <c r="T45" s="801">
        <v>240409</v>
      </c>
      <c r="U45" s="801">
        <v>286090</v>
      </c>
      <c r="V45" s="801"/>
      <c r="W45" s="801"/>
      <c r="X45" s="801"/>
      <c r="Y45" s="801"/>
      <c r="Z45" s="801"/>
    </row>
    <row r="46" spans="1:26">
      <c r="A46" s="800" t="s">
        <v>1245</v>
      </c>
      <c r="B46" s="800" t="s">
        <v>2592</v>
      </c>
      <c r="D46" s="801">
        <v>10356</v>
      </c>
      <c r="E46" s="801">
        <v>7915</v>
      </c>
      <c r="F46" s="801">
        <v>11846</v>
      </c>
      <c r="G46" s="801">
        <v>11846</v>
      </c>
      <c r="H46" s="801">
        <v>11846</v>
      </c>
      <c r="I46" s="801">
        <v>11846</v>
      </c>
      <c r="J46" s="801">
        <v>11846</v>
      </c>
      <c r="K46" s="801">
        <v>11846</v>
      </c>
      <c r="L46" s="801">
        <v>11846</v>
      </c>
      <c r="M46" s="801">
        <v>24322</v>
      </c>
      <c r="N46" s="801">
        <v>12629</v>
      </c>
      <c r="O46" s="801">
        <v>32322</v>
      </c>
      <c r="P46" s="801">
        <v>36907</v>
      </c>
      <c r="Q46" s="801">
        <v>10217</v>
      </c>
      <c r="R46" s="801">
        <v>8046</v>
      </c>
      <c r="S46" s="801">
        <v>4479</v>
      </c>
      <c r="T46" s="801">
        <v>12095</v>
      </c>
      <c r="U46" s="801">
        <v>20368</v>
      </c>
      <c r="V46" s="801"/>
      <c r="W46" s="801"/>
      <c r="X46" s="801"/>
      <c r="Y46" s="801"/>
      <c r="Z46" s="801"/>
    </row>
    <row r="47" spans="1:26">
      <c r="A47" s="800" t="s">
        <v>1173</v>
      </c>
      <c r="B47" s="800" t="s">
        <v>2344</v>
      </c>
      <c r="D47" s="801"/>
      <c r="E47" s="801"/>
      <c r="F47" s="801"/>
      <c r="G47" s="801"/>
      <c r="H47" s="801"/>
      <c r="I47" s="801"/>
      <c r="J47" s="801"/>
      <c r="K47" s="801"/>
      <c r="L47" s="801"/>
      <c r="M47" s="801">
        <v>0</v>
      </c>
      <c r="N47" s="801">
        <v>0</v>
      </c>
      <c r="O47" s="801"/>
      <c r="P47" s="801"/>
      <c r="Q47" s="801">
        <v>0</v>
      </c>
      <c r="R47" s="801">
        <v>0</v>
      </c>
      <c r="S47" s="801"/>
      <c r="T47" s="801"/>
      <c r="U47" s="801"/>
      <c r="V47" s="801"/>
      <c r="W47" s="801"/>
      <c r="X47" s="801"/>
      <c r="Y47" s="801"/>
      <c r="Z47" s="801"/>
    </row>
    <row r="48" spans="1:26">
      <c r="A48" s="800" t="s">
        <v>1270</v>
      </c>
      <c r="B48" s="800" t="s">
        <v>2593</v>
      </c>
      <c r="D48" s="801">
        <v>1055</v>
      </c>
      <c r="E48" s="801">
        <v>1199</v>
      </c>
      <c r="F48" s="801">
        <v>1271</v>
      </c>
      <c r="G48" s="801">
        <v>2510</v>
      </c>
      <c r="H48" s="801">
        <v>1906</v>
      </c>
      <c r="I48" s="801">
        <v>2433</v>
      </c>
      <c r="J48" s="801">
        <v>2477</v>
      </c>
      <c r="K48" s="801">
        <v>1723</v>
      </c>
      <c r="L48" s="801">
        <v>1788</v>
      </c>
      <c r="M48" s="801">
        <v>2365</v>
      </c>
      <c r="N48" s="801">
        <v>2568</v>
      </c>
      <c r="O48" s="801">
        <v>2626</v>
      </c>
      <c r="P48" s="801">
        <v>2600</v>
      </c>
      <c r="Q48" s="801">
        <v>2647</v>
      </c>
      <c r="R48" s="801">
        <v>2429</v>
      </c>
      <c r="S48" s="801">
        <v>3067</v>
      </c>
      <c r="T48" s="801">
        <v>2707</v>
      </c>
      <c r="U48" s="801">
        <v>2679</v>
      </c>
      <c r="V48" s="801"/>
      <c r="W48" s="801"/>
      <c r="X48" s="801"/>
      <c r="Y48" s="801"/>
      <c r="Z48" s="801"/>
    </row>
    <row r="49" spans="1:26" ht="15" customHeight="1">
      <c r="A49" s="800" t="s">
        <v>1072</v>
      </c>
      <c r="B49" s="800" t="s">
        <v>1204</v>
      </c>
      <c r="D49" s="801"/>
      <c r="E49" s="801"/>
      <c r="F49" s="801"/>
      <c r="G49" s="801">
        <v>15716</v>
      </c>
      <c r="H49" s="801">
        <v>69406</v>
      </c>
      <c r="I49" s="801">
        <v>112947</v>
      </c>
      <c r="J49" s="801">
        <v>0</v>
      </c>
      <c r="K49" s="801">
        <v>0</v>
      </c>
      <c r="L49" s="801"/>
      <c r="M49" s="801"/>
      <c r="N49" s="801"/>
      <c r="O49" s="801"/>
      <c r="P49" s="801"/>
      <c r="Q49" s="801"/>
      <c r="R49" s="801"/>
      <c r="S49" s="801"/>
      <c r="T49" s="801">
        <v>8384</v>
      </c>
      <c r="U49" s="801">
        <v>11733</v>
      </c>
      <c r="V49" s="801"/>
      <c r="W49" s="801"/>
      <c r="X49" s="801"/>
      <c r="Y49" s="801"/>
      <c r="Z49" s="801"/>
    </row>
    <row r="50" spans="1:26">
      <c r="A50" s="800" t="s">
        <v>1265</v>
      </c>
      <c r="B50" s="800" t="s">
        <v>1266</v>
      </c>
      <c r="D50" s="801"/>
      <c r="E50" s="801"/>
      <c r="F50" s="801"/>
      <c r="G50" s="801">
        <v>12275</v>
      </c>
      <c r="H50" s="801">
        <v>11073</v>
      </c>
      <c r="I50" s="801">
        <v>11684</v>
      </c>
      <c r="J50" s="801">
        <v>0</v>
      </c>
      <c r="K50" s="801">
        <v>0</v>
      </c>
      <c r="L50" s="801"/>
      <c r="M50" s="801"/>
      <c r="N50" s="801"/>
      <c r="O50" s="801"/>
      <c r="P50" s="801"/>
      <c r="Q50" s="801"/>
      <c r="R50" s="801"/>
      <c r="S50" s="801"/>
      <c r="T50" s="801"/>
      <c r="U50" s="801"/>
      <c r="V50" s="801"/>
      <c r="W50" s="801"/>
      <c r="X50" s="801"/>
      <c r="Y50" s="801"/>
      <c r="Z50" s="801"/>
    </row>
    <row r="51" spans="1:26">
      <c r="A51" s="800" t="s">
        <v>1276</v>
      </c>
      <c r="B51" s="800" t="s">
        <v>1277</v>
      </c>
      <c r="D51" s="801"/>
      <c r="E51" s="801"/>
      <c r="F51" s="801">
        <v>50547</v>
      </c>
      <c r="G51" s="801">
        <v>37907</v>
      </c>
      <c r="H51" s="801">
        <v>34115</v>
      </c>
      <c r="I51" s="801">
        <v>12270</v>
      </c>
      <c r="J51" s="801">
        <v>0</v>
      </c>
      <c r="K51" s="801">
        <v>0</v>
      </c>
      <c r="L51" s="801"/>
      <c r="M51" s="801"/>
      <c r="N51" s="801"/>
      <c r="O51" s="801"/>
      <c r="P51" s="801"/>
      <c r="Q51" s="801"/>
      <c r="R51" s="801"/>
      <c r="S51" s="801"/>
      <c r="T51" s="801"/>
      <c r="U51" s="801"/>
      <c r="V51" s="801"/>
      <c r="W51" s="801"/>
      <c r="X51" s="801"/>
      <c r="Y51" s="801"/>
      <c r="Z51" s="801"/>
    </row>
    <row r="52" spans="1:26" ht="15" thickBot="1">
      <c r="A52" s="800" t="s">
        <v>1129</v>
      </c>
      <c r="B52" s="800" t="s">
        <v>2594</v>
      </c>
      <c r="D52" s="801">
        <v>48026</v>
      </c>
      <c r="E52" s="801">
        <v>51194</v>
      </c>
      <c r="F52" s="801">
        <v>18369</v>
      </c>
      <c r="G52" s="801">
        <v>13978</v>
      </c>
      <c r="H52" s="801">
        <v>12391</v>
      </c>
      <c r="I52" s="801">
        <v>15377</v>
      </c>
      <c r="J52" s="801">
        <v>21690</v>
      </c>
      <c r="K52" s="801">
        <v>15023</v>
      </c>
      <c r="L52" s="801">
        <v>20059</v>
      </c>
      <c r="M52" s="801">
        <v>24808</v>
      </c>
      <c r="N52" s="801">
        <v>46567</v>
      </c>
      <c r="O52" s="801">
        <v>8238</v>
      </c>
      <c r="P52" s="801">
        <v>66</v>
      </c>
      <c r="Q52" s="801">
        <v>144</v>
      </c>
      <c r="R52" s="801">
        <v>34</v>
      </c>
      <c r="S52" s="801">
        <v>34</v>
      </c>
      <c r="T52" s="801">
        <v>34</v>
      </c>
      <c r="U52" s="801">
        <v>28</v>
      </c>
      <c r="V52" s="801"/>
      <c r="W52" s="801"/>
      <c r="X52" s="801"/>
      <c r="Y52" s="801"/>
      <c r="Z52" s="801"/>
    </row>
    <row r="53" spans="1:26" ht="15" thickBot="1">
      <c r="A53" s="798" t="s">
        <v>1252</v>
      </c>
      <c r="B53" s="798" t="s">
        <v>2595</v>
      </c>
      <c r="C53" s="798"/>
      <c r="D53" s="799">
        <f t="shared" ref="D53:U53" si="5">SUM(D54:D66)</f>
        <v>4339356</v>
      </c>
      <c r="E53" s="799">
        <f t="shared" si="5"/>
        <v>4394087</v>
      </c>
      <c r="F53" s="799">
        <f t="shared" si="5"/>
        <v>4340466</v>
      </c>
      <c r="G53" s="799">
        <f t="shared" si="5"/>
        <v>4339097</v>
      </c>
      <c r="H53" s="799">
        <f t="shared" si="5"/>
        <v>4318897</v>
      </c>
      <c r="I53" s="799">
        <f t="shared" si="5"/>
        <v>4375272</v>
      </c>
      <c r="J53" s="799">
        <f t="shared" si="5"/>
        <v>3895552</v>
      </c>
      <c r="K53" s="799">
        <f t="shared" si="5"/>
        <v>4119471</v>
      </c>
      <c r="L53" s="799">
        <f t="shared" si="5"/>
        <v>4104704</v>
      </c>
      <c r="M53" s="799">
        <f t="shared" si="5"/>
        <v>4051751</v>
      </c>
      <c r="N53" s="799">
        <f t="shared" si="5"/>
        <v>3977607</v>
      </c>
      <c r="O53" s="799">
        <f t="shared" si="5"/>
        <v>3782105</v>
      </c>
      <c r="P53" s="799">
        <f t="shared" si="5"/>
        <v>3724784</v>
      </c>
      <c r="Q53" s="799">
        <f t="shared" si="5"/>
        <v>3695937</v>
      </c>
      <c r="R53" s="799">
        <f t="shared" si="5"/>
        <v>3759136</v>
      </c>
      <c r="S53" s="799">
        <f t="shared" si="5"/>
        <v>3659085</v>
      </c>
      <c r="T53" s="799">
        <f t="shared" si="5"/>
        <v>3627083</v>
      </c>
      <c r="U53" s="799">
        <f t="shared" si="5"/>
        <v>3562480</v>
      </c>
      <c r="V53" s="799"/>
      <c r="W53" s="799"/>
      <c r="X53" s="799"/>
      <c r="Y53" s="799"/>
      <c r="Z53" s="799"/>
    </row>
    <row r="54" spans="1:26">
      <c r="A54" s="800" t="s">
        <v>1271</v>
      </c>
      <c r="B54" s="800" t="s">
        <v>2585</v>
      </c>
      <c r="D54" s="801">
        <v>2743350</v>
      </c>
      <c r="E54" s="801">
        <v>2741505</v>
      </c>
      <c r="F54" s="801">
        <v>2690911</v>
      </c>
      <c r="G54" s="801">
        <v>2648114</v>
      </c>
      <c r="H54" s="801">
        <v>2602575</v>
      </c>
      <c r="I54" s="801">
        <v>2661371</v>
      </c>
      <c r="J54" s="801">
        <v>2519998</v>
      </c>
      <c r="K54" s="801">
        <v>2475168</v>
      </c>
      <c r="L54" s="801">
        <v>2422284</v>
      </c>
      <c r="M54" s="801">
        <v>2382828</v>
      </c>
      <c r="N54" s="801">
        <v>2332010</v>
      </c>
      <c r="O54" s="801">
        <v>2285601</v>
      </c>
      <c r="P54" s="801">
        <v>2222306</v>
      </c>
      <c r="Q54" s="801">
        <v>2186042</v>
      </c>
      <c r="R54" s="801">
        <v>2237086</v>
      </c>
      <c r="S54" s="801">
        <v>2196759</v>
      </c>
      <c r="T54" s="801">
        <v>2143064</v>
      </c>
      <c r="U54" s="801">
        <v>2106589</v>
      </c>
      <c r="V54" s="801"/>
      <c r="W54" s="801"/>
      <c r="X54" s="801"/>
      <c r="Y54" s="801"/>
      <c r="Z54" s="801"/>
    </row>
    <row r="55" spans="1:26">
      <c r="A55" s="800" t="s">
        <v>1107</v>
      </c>
      <c r="B55" s="800" t="s">
        <v>1108</v>
      </c>
      <c r="D55" s="801">
        <v>1133008</v>
      </c>
      <c r="E55" s="801">
        <v>1171544</v>
      </c>
      <c r="F55" s="801">
        <v>1162981</v>
      </c>
      <c r="G55" s="801">
        <v>1148300</v>
      </c>
      <c r="H55" s="801">
        <v>1159805</v>
      </c>
      <c r="I55" s="801">
        <v>1149893</v>
      </c>
      <c r="J55" s="801">
        <v>848632</v>
      </c>
      <c r="K55" s="801">
        <v>822252</v>
      </c>
      <c r="L55" s="801">
        <v>830772</v>
      </c>
      <c r="M55" s="801">
        <v>795015</v>
      </c>
      <c r="N55" s="801">
        <v>793768</v>
      </c>
      <c r="O55" s="801">
        <v>761991</v>
      </c>
      <c r="P55" s="801">
        <v>742479</v>
      </c>
      <c r="Q55" s="801">
        <v>731584</v>
      </c>
      <c r="R55" s="801">
        <v>726711</v>
      </c>
      <c r="S55" s="801">
        <v>688037</v>
      </c>
      <c r="T55" s="801">
        <v>686295</v>
      </c>
      <c r="U55" s="801">
        <v>636173</v>
      </c>
      <c r="V55" s="801"/>
      <c r="W55" s="801"/>
      <c r="X55" s="801"/>
      <c r="Y55" s="801"/>
      <c r="Z55" s="801"/>
    </row>
    <row r="56" spans="1:26">
      <c r="A56" s="800" t="s">
        <v>2263</v>
      </c>
      <c r="B56" s="800" t="s">
        <v>2304</v>
      </c>
      <c r="D56" s="801">
        <v>9153</v>
      </c>
      <c r="E56" s="801">
        <v>8459</v>
      </c>
      <c r="F56" s="801">
        <v>7744</v>
      </c>
      <c r="G56" s="801">
        <v>4875</v>
      </c>
      <c r="H56" s="801">
        <v>5144</v>
      </c>
      <c r="I56" s="801">
        <v>4567</v>
      </c>
      <c r="J56" s="801">
        <v>3969</v>
      </c>
      <c r="K56" s="801">
        <v>3370</v>
      </c>
      <c r="L56" s="801">
        <v>2899</v>
      </c>
      <c r="M56" s="801">
        <v>2573</v>
      </c>
      <c r="N56" s="801">
        <v>2226</v>
      </c>
      <c r="O56" s="801">
        <v>2143</v>
      </c>
      <c r="P56" s="801">
        <v>2144</v>
      </c>
      <c r="Q56" s="801">
        <v>1414</v>
      </c>
      <c r="R56" s="801">
        <v>1414</v>
      </c>
      <c r="S56" s="801">
        <v>962</v>
      </c>
      <c r="T56" s="801">
        <v>963</v>
      </c>
      <c r="U56" s="801">
        <v>963</v>
      </c>
      <c r="V56" s="801"/>
      <c r="W56" s="801"/>
      <c r="X56" s="801"/>
      <c r="Y56" s="801"/>
      <c r="Z56" s="801"/>
    </row>
    <row r="57" spans="1:26">
      <c r="A57" s="800" t="s">
        <v>1274</v>
      </c>
      <c r="B57" s="800" t="s">
        <v>2596</v>
      </c>
      <c r="D57" s="801">
        <v>43584</v>
      </c>
      <c r="E57" s="801">
        <v>44767</v>
      </c>
      <c r="F57" s="801">
        <v>45912</v>
      </c>
      <c r="G57" s="801">
        <v>64822</v>
      </c>
      <c r="H57" s="801">
        <v>66223</v>
      </c>
      <c r="I57" s="801">
        <v>67655</v>
      </c>
      <c r="J57" s="801">
        <v>69117</v>
      </c>
      <c r="K57" s="801">
        <v>369623</v>
      </c>
      <c r="L57" s="801">
        <v>372816</v>
      </c>
      <c r="M57" s="801">
        <v>376036</v>
      </c>
      <c r="N57" s="801">
        <v>379284</v>
      </c>
      <c r="O57" s="801">
        <v>382560</v>
      </c>
      <c r="P57" s="801">
        <v>385864</v>
      </c>
      <c r="Q57" s="801">
        <v>389197</v>
      </c>
      <c r="R57" s="801">
        <v>392559</v>
      </c>
      <c r="S57" s="801">
        <v>395950</v>
      </c>
      <c r="T57" s="801">
        <v>399370</v>
      </c>
      <c r="U57" s="801">
        <v>402819</v>
      </c>
      <c r="V57" s="801"/>
      <c r="W57" s="801"/>
      <c r="X57" s="801"/>
      <c r="Y57" s="801"/>
      <c r="Z57" s="801"/>
    </row>
    <row r="58" spans="1:26">
      <c r="A58" s="800" t="s">
        <v>1259</v>
      </c>
      <c r="B58" s="800" t="s">
        <v>1260</v>
      </c>
      <c r="D58" s="801">
        <v>190553</v>
      </c>
      <c r="E58" s="801">
        <v>187343</v>
      </c>
      <c r="F58" s="801">
        <v>184133</v>
      </c>
      <c r="G58" s="801">
        <v>181691</v>
      </c>
      <c r="H58" s="801">
        <v>178401</v>
      </c>
      <c r="I58" s="801">
        <v>175173</v>
      </c>
      <c r="J58" s="801">
        <v>171294</v>
      </c>
      <c r="K58" s="801">
        <v>168084</v>
      </c>
      <c r="L58" s="801">
        <v>164875</v>
      </c>
      <c r="M58" s="801">
        <v>161665</v>
      </c>
      <c r="N58" s="801">
        <v>158455</v>
      </c>
      <c r="O58" s="801">
        <v>108671</v>
      </c>
      <c r="P58" s="801">
        <v>105461</v>
      </c>
      <c r="Q58" s="801">
        <v>104177</v>
      </c>
      <c r="R58" s="801">
        <v>100967</v>
      </c>
      <c r="S58" s="801">
        <v>99683</v>
      </c>
      <c r="T58" s="801">
        <v>97436</v>
      </c>
      <c r="U58" s="801">
        <v>95190</v>
      </c>
      <c r="V58" s="801"/>
      <c r="W58" s="801"/>
      <c r="X58" s="801"/>
      <c r="Y58" s="801"/>
      <c r="Z58" s="801"/>
    </row>
    <row r="59" spans="1:26">
      <c r="A59" s="800" t="s">
        <v>1268</v>
      </c>
      <c r="B59" s="800" t="s">
        <v>2591</v>
      </c>
      <c r="D59" s="801">
        <v>45128</v>
      </c>
      <c r="E59" s="801">
        <v>72756</v>
      </c>
      <c r="F59" s="801">
        <v>63982</v>
      </c>
      <c r="G59" s="801">
        <v>64520</v>
      </c>
      <c r="H59" s="801">
        <v>77188</v>
      </c>
      <c r="I59" s="801">
        <v>111096</v>
      </c>
      <c r="J59" s="801">
        <v>110133</v>
      </c>
      <c r="K59" s="801">
        <v>112003</v>
      </c>
      <c r="L59" s="801">
        <v>145279</v>
      </c>
      <c r="M59" s="801">
        <v>164830</v>
      </c>
      <c r="N59" s="801">
        <v>160411</v>
      </c>
      <c r="O59" s="801">
        <v>94789</v>
      </c>
      <c r="P59" s="801">
        <v>126631</v>
      </c>
      <c r="Q59" s="801">
        <v>148371</v>
      </c>
      <c r="R59" s="801">
        <v>148384</v>
      </c>
      <c r="S59" s="801">
        <v>143151</v>
      </c>
      <c r="T59" s="801">
        <v>176531</v>
      </c>
      <c r="U59" s="801">
        <v>200724</v>
      </c>
      <c r="V59" s="801"/>
      <c r="W59" s="801"/>
      <c r="X59" s="801"/>
      <c r="Y59" s="801"/>
      <c r="Z59" s="801"/>
    </row>
    <row r="60" spans="1:26">
      <c r="A60" s="800" t="s">
        <v>1270</v>
      </c>
      <c r="B60" s="800" t="s">
        <v>2593</v>
      </c>
      <c r="D60" s="801">
        <v>58703</v>
      </c>
      <c r="E60" s="801">
        <v>58422</v>
      </c>
      <c r="F60" s="801">
        <v>58239</v>
      </c>
      <c r="G60" s="801">
        <v>64893</v>
      </c>
      <c r="H60" s="801">
        <v>64862</v>
      </c>
      <c r="I60" s="801">
        <v>64533</v>
      </c>
      <c r="J60" s="801">
        <v>64189</v>
      </c>
      <c r="K60" s="801">
        <v>64347</v>
      </c>
      <c r="L60" s="801">
        <v>63965</v>
      </c>
      <c r="M60" s="801">
        <v>65054</v>
      </c>
      <c r="N60" s="801">
        <v>64468</v>
      </c>
      <c r="O60" s="801">
        <v>63593</v>
      </c>
      <c r="P60" s="801">
        <v>63030</v>
      </c>
      <c r="Q60" s="801">
        <v>62473</v>
      </c>
      <c r="R60" s="801">
        <v>61699</v>
      </c>
      <c r="S60" s="801">
        <v>60884</v>
      </c>
      <c r="T60" s="801">
        <v>60368</v>
      </c>
      <c r="U60" s="801">
        <v>59647</v>
      </c>
      <c r="V60" s="801"/>
      <c r="W60" s="801"/>
      <c r="X60" s="801"/>
      <c r="Y60" s="801"/>
      <c r="Z60" s="801"/>
    </row>
    <row r="61" spans="1:26">
      <c r="A61" s="800" t="s">
        <v>1245</v>
      </c>
      <c r="B61" s="800" t="s">
        <v>2592</v>
      </c>
      <c r="D61" s="801">
        <v>105779</v>
      </c>
      <c r="E61" s="801">
        <v>104764</v>
      </c>
      <c r="F61" s="801">
        <v>97641</v>
      </c>
      <c r="G61" s="801">
        <v>94072</v>
      </c>
      <c r="H61" s="801">
        <v>91326</v>
      </c>
      <c r="I61" s="801">
        <v>89085</v>
      </c>
      <c r="J61" s="801">
        <v>85892</v>
      </c>
      <c r="K61" s="801">
        <v>82324</v>
      </c>
      <c r="L61" s="801">
        <v>79573</v>
      </c>
      <c r="M61" s="801">
        <v>81108</v>
      </c>
      <c r="N61" s="801">
        <v>74652</v>
      </c>
      <c r="O61" s="801">
        <v>75416</v>
      </c>
      <c r="P61" s="801">
        <v>76869</v>
      </c>
      <c r="Q61" s="801">
        <v>72679</v>
      </c>
      <c r="R61" s="801">
        <v>89889</v>
      </c>
      <c r="S61" s="801">
        <v>73659</v>
      </c>
      <c r="T61" s="801">
        <v>63056</v>
      </c>
      <c r="U61" s="801">
        <v>60375</v>
      </c>
      <c r="V61" s="801"/>
      <c r="W61" s="801"/>
      <c r="X61" s="801"/>
      <c r="Y61" s="801"/>
      <c r="Z61" s="801"/>
    </row>
    <row r="62" spans="1:26">
      <c r="A62" s="800" t="s">
        <v>1272</v>
      </c>
      <c r="B62" s="800" t="s">
        <v>1273</v>
      </c>
      <c r="D62" s="801">
        <v>3168</v>
      </c>
      <c r="E62" s="801">
        <v>3168</v>
      </c>
      <c r="F62" s="801">
        <v>3168</v>
      </c>
      <c r="G62" s="801">
        <v>3168</v>
      </c>
      <c r="H62" s="801">
        <v>3168</v>
      </c>
      <c r="I62" s="801">
        <v>3168</v>
      </c>
      <c r="J62" s="801">
        <v>3168</v>
      </c>
      <c r="K62" s="801">
        <v>3168</v>
      </c>
      <c r="L62" s="801">
        <v>3168</v>
      </c>
      <c r="M62" s="801">
        <v>3168</v>
      </c>
      <c r="N62" s="801">
        <v>3168</v>
      </c>
      <c r="O62" s="801"/>
      <c r="P62" s="801"/>
      <c r="Q62" s="801"/>
      <c r="R62" s="801"/>
      <c r="S62" s="801"/>
      <c r="T62" s="801"/>
      <c r="U62" s="801"/>
      <c r="V62" s="801"/>
      <c r="W62" s="801"/>
      <c r="X62" s="801"/>
      <c r="Y62" s="801"/>
      <c r="Z62" s="801"/>
    </row>
    <row r="63" spans="1:26">
      <c r="A63" s="800" t="s">
        <v>1276</v>
      </c>
      <c r="B63" s="800" t="s">
        <v>1277</v>
      </c>
      <c r="D63" s="801"/>
      <c r="E63" s="801"/>
      <c r="F63" s="801">
        <v>18802</v>
      </c>
      <c r="G63" s="801">
        <v>44947</v>
      </c>
      <c r="H63" s="801">
        <v>43797</v>
      </c>
      <c r="I63" s="801">
        <v>11130</v>
      </c>
      <c r="J63" s="801">
        <v>0</v>
      </c>
      <c r="K63" s="801">
        <v>0</v>
      </c>
      <c r="L63" s="801"/>
      <c r="M63" s="801"/>
      <c r="N63" s="801"/>
      <c r="O63" s="801"/>
      <c r="P63" s="801"/>
      <c r="Q63" s="801"/>
      <c r="R63" s="801"/>
      <c r="S63" s="801"/>
      <c r="T63" s="801"/>
      <c r="U63" s="801"/>
      <c r="V63" s="801"/>
      <c r="W63" s="801"/>
      <c r="X63" s="801"/>
      <c r="Y63" s="801"/>
      <c r="Z63" s="801"/>
    </row>
    <row r="64" spans="1:26">
      <c r="A64" s="800" t="s">
        <v>1265</v>
      </c>
      <c r="B64" s="800" t="s">
        <v>1266</v>
      </c>
      <c r="D64" s="801"/>
      <c r="E64" s="801"/>
      <c r="F64" s="801"/>
      <c r="G64" s="801">
        <v>10947</v>
      </c>
      <c r="H64" s="801">
        <v>14604</v>
      </c>
      <c r="I64" s="801">
        <v>21406</v>
      </c>
      <c r="J64" s="801">
        <v>0</v>
      </c>
      <c r="K64" s="801">
        <v>0</v>
      </c>
      <c r="L64" s="801"/>
      <c r="M64" s="801"/>
      <c r="N64" s="801"/>
      <c r="O64" s="801"/>
      <c r="P64" s="801"/>
      <c r="Q64" s="801"/>
      <c r="R64" s="801"/>
      <c r="S64" s="801"/>
      <c r="T64" s="801"/>
      <c r="U64" s="801"/>
      <c r="V64" s="801"/>
      <c r="W64" s="801"/>
      <c r="X64" s="801"/>
      <c r="Y64" s="801"/>
      <c r="Z64" s="801"/>
    </row>
    <row r="65" spans="1:26">
      <c r="A65" s="800" t="s">
        <v>1072</v>
      </c>
      <c r="B65" s="800" t="s">
        <v>1204</v>
      </c>
      <c r="D65" s="801"/>
      <c r="E65" s="801"/>
      <c r="F65" s="801"/>
      <c r="G65" s="801"/>
      <c r="H65" s="801"/>
      <c r="I65" s="801"/>
      <c r="J65" s="801"/>
      <c r="K65" s="801"/>
      <c r="L65" s="801"/>
      <c r="M65" s="801"/>
      <c r="N65" s="801"/>
      <c r="O65" s="801"/>
      <c r="P65" s="801"/>
      <c r="Q65" s="801"/>
      <c r="R65" s="801">
        <v>427</v>
      </c>
      <c r="S65" s="801"/>
      <c r="T65" s="801"/>
      <c r="U65" s="801"/>
      <c r="V65" s="801"/>
      <c r="W65" s="801"/>
      <c r="X65" s="801"/>
      <c r="Y65" s="801"/>
      <c r="Z65" s="801"/>
    </row>
    <row r="66" spans="1:26" ht="15" thickBot="1">
      <c r="A66" s="800" t="s">
        <v>1129</v>
      </c>
      <c r="B66" s="800" t="s">
        <v>2594</v>
      </c>
      <c r="D66" s="801">
        <v>6930</v>
      </c>
      <c r="E66" s="801">
        <v>1359</v>
      </c>
      <c r="F66" s="801">
        <v>6953</v>
      </c>
      <c r="G66" s="801">
        <v>8748</v>
      </c>
      <c r="H66" s="801">
        <v>11804</v>
      </c>
      <c r="I66" s="801">
        <v>16195</v>
      </c>
      <c r="J66" s="801">
        <v>19160</v>
      </c>
      <c r="K66" s="801">
        <v>19132</v>
      </c>
      <c r="L66" s="801">
        <v>19073</v>
      </c>
      <c r="M66" s="801">
        <v>19474</v>
      </c>
      <c r="N66" s="801">
        <v>9165</v>
      </c>
      <c r="O66" s="801">
        <v>7341</v>
      </c>
      <c r="P66" s="801">
        <v>0</v>
      </c>
      <c r="Q66" s="801">
        <v>0</v>
      </c>
      <c r="R66" s="801">
        <v>0</v>
      </c>
      <c r="S66" s="801">
        <v>0</v>
      </c>
      <c r="T66" s="801"/>
      <c r="U66" s="801"/>
      <c r="V66" s="801"/>
      <c r="W66" s="801"/>
      <c r="X66" s="801"/>
      <c r="Y66" s="801"/>
      <c r="Z66" s="801"/>
    </row>
    <row r="67" spans="1:26" ht="15" thickBot="1">
      <c r="A67" s="798" t="s">
        <v>1261</v>
      </c>
      <c r="B67" s="798" t="s">
        <v>2597</v>
      </c>
      <c r="C67" s="798"/>
      <c r="D67" s="799">
        <f t="shared" ref="D67:U67" si="6">D37+D53</f>
        <v>4953820</v>
      </c>
      <c r="E67" s="799">
        <f t="shared" si="6"/>
        <v>4945865</v>
      </c>
      <c r="F67" s="799">
        <f t="shared" si="6"/>
        <v>4974835</v>
      </c>
      <c r="G67" s="799">
        <f t="shared" si="6"/>
        <v>4966848</v>
      </c>
      <c r="H67" s="799">
        <f t="shared" si="6"/>
        <v>5036442</v>
      </c>
      <c r="I67" s="799">
        <f t="shared" si="6"/>
        <v>5328863</v>
      </c>
      <c r="J67" s="799">
        <f t="shared" si="6"/>
        <v>4803341</v>
      </c>
      <c r="K67" s="799">
        <f t="shared" si="6"/>
        <v>4679806</v>
      </c>
      <c r="L67" s="799">
        <f t="shared" si="6"/>
        <v>4586336</v>
      </c>
      <c r="M67" s="799">
        <f t="shared" si="6"/>
        <v>4568962</v>
      </c>
      <c r="N67" s="799">
        <f t="shared" si="6"/>
        <v>4520646</v>
      </c>
      <c r="O67" s="799">
        <f t="shared" si="6"/>
        <v>4391509</v>
      </c>
      <c r="P67" s="799">
        <f t="shared" si="6"/>
        <v>4397525</v>
      </c>
      <c r="Q67" s="799">
        <f t="shared" si="6"/>
        <v>4469504</v>
      </c>
      <c r="R67" s="799">
        <f t="shared" si="6"/>
        <v>4487043</v>
      </c>
      <c r="S67" s="799">
        <f t="shared" si="6"/>
        <v>4421661</v>
      </c>
      <c r="T67" s="799">
        <f t="shared" si="6"/>
        <v>4442678</v>
      </c>
      <c r="U67" s="799">
        <f t="shared" si="6"/>
        <v>4420595</v>
      </c>
      <c r="V67" s="799"/>
      <c r="W67" s="799"/>
      <c r="X67" s="799"/>
      <c r="Y67" s="799"/>
      <c r="Z67" s="799"/>
    </row>
    <row r="68" spans="1:26" ht="15" thickBot="1">
      <c r="A68" s="798" t="s">
        <v>1278</v>
      </c>
      <c r="B68" s="798" t="s">
        <v>2598</v>
      </c>
      <c r="C68" s="798"/>
      <c r="D68" s="799">
        <f t="shared" ref="D68:U68" si="7">D75+D76</f>
        <v>1918932</v>
      </c>
      <c r="E68" s="799">
        <f t="shared" si="7"/>
        <v>1822037</v>
      </c>
      <c r="F68" s="799">
        <f t="shared" si="7"/>
        <v>1898249</v>
      </c>
      <c r="G68" s="799">
        <f t="shared" si="7"/>
        <v>1919434</v>
      </c>
      <c r="H68" s="799">
        <f t="shared" si="7"/>
        <v>2049810</v>
      </c>
      <c r="I68" s="799">
        <f t="shared" si="7"/>
        <v>2263521</v>
      </c>
      <c r="J68" s="799">
        <f t="shared" si="7"/>
        <v>1845475</v>
      </c>
      <c r="K68" s="799">
        <f t="shared" si="7"/>
        <v>2258516</v>
      </c>
      <c r="L68" s="799">
        <f t="shared" si="7"/>
        <v>2224832</v>
      </c>
      <c r="M68" s="799">
        <f t="shared" si="7"/>
        <v>2193004</v>
      </c>
      <c r="N68" s="799">
        <f t="shared" si="7"/>
        <v>2267286</v>
      </c>
      <c r="O68" s="799">
        <f t="shared" si="7"/>
        <v>2466542</v>
      </c>
      <c r="P68" s="799">
        <f t="shared" si="7"/>
        <v>2440152</v>
      </c>
      <c r="Q68" s="799">
        <f t="shared" si="7"/>
        <v>2417259</v>
      </c>
      <c r="R68" s="799">
        <f t="shared" si="7"/>
        <v>2474079</v>
      </c>
      <c r="S68" s="799">
        <f t="shared" si="7"/>
        <v>2297121</v>
      </c>
      <c r="T68" s="799">
        <f t="shared" si="7"/>
        <v>2301045</v>
      </c>
      <c r="U68" s="799">
        <f t="shared" si="7"/>
        <v>2284826</v>
      </c>
      <c r="V68" s="799"/>
      <c r="W68" s="799"/>
      <c r="X68" s="799"/>
      <c r="Y68" s="799"/>
      <c r="Z68" s="799"/>
    </row>
    <row r="69" spans="1:26">
      <c r="A69" s="800" t="s">
        <v>1137</v>
      </c>
      <c r="B69" s="800" t="s">
        <v>2599</v>
      </c>
      <c r="D69" s="801">
        <v>2525874</v>
      </c>
      <c r="E69" s="801">
        <v>2525874</v>
      </c>
      <c r="F69" s="801">
        <v>2525874</v>
      </c>
      <c r="G69" s="801">
        <v>2527184</v>
      </c>
      <c r="H69" s="801">
        <v>2752984</v>
      </c>
      <c r="I69" s="801">
        <v>2968173</v>
      </c>
      <c r="J69" s="801">
        <v>2471145</v>
      </c>
      <c r="K69" s="801">
        <v>2783145</v>
      </c>
      <c r="L69" s="801">
        <v>2783145</v>
      </c>
      <c r="M69" s="801">
        <v>2783145</v>
      </c>
      <c r="N69" s="801">
        <v>2783145</v>
      </c>
      <c r="O69" s="801">
        <v>2896145</v>
      </c>
      <c r="P69" s="801">
        <v>2896145</v>
      </c>
      <c r="Q69" s="801">
        <v>2896145</v>
      </c>
      <c r="R69" s="801">
        <v>2896145</v>
      </c>
      <c r="S69" s="801">
        <v>2947295</v>
      </c>
      <c r="T69" s="801">
        <v>2978309</v>
      </c>
      <c r="U69" s="801">
        <v>3020509</v>
      </c>
      <c r="V69" s="801"/>
      <c r="W69" s="801"/>
      <c r="X69" s="801"/>
      <c r="Y69" s="801"/>
      <c r="Z69" s="801"/>
    </row>
    <row r="70" spans="1:26">
      <c r="A70" s="800" t="s">
        <v>1180</v>
      </c>
      <c r="B70" s="800" t="s">
        <v>2600</v>
      </c>
      <c r="D70" s="801">
        <v>1981</v>
      </c>
      <c r="E70" s="801">
        <v>1981</v>
      </c>
      <c r="F70" s="801">
        <v>1981</v>
      </c>
      <c r="G70" s="801">
        <v>1981</v>
      </c>
      <c r="H70" s="801">
        <v>1981</v>
      </c>
      <c r="I70" s="801">
        <v>1981</v>
      </c>
      <c r="J70" s="801">
        <v>1981</v>
      </c>
      <c r="K70" s="801">
        <v>1981</v>
      </c>
      <c r="L70" s="801">
        <v>1981</v>
      </c>
      <c r="M70" s="801">
        <v>1981</v>
      </c>
      <c r="N70" s="801">
        <v>1981</v>
      </c>
      <c r="O70" s="801"/>
      <c r="P70" s="801"/>
      <c r="Q70" s="801"/>
      <c r="R70" s="801"/>
      <c r="S70" s="801"/>
      <c r="T70" s="801"/>
      <c r="U70" s="801">
        <v>2147</v>
      </c>
      <c r="V70" s="801"/>
      <c r="W70" s="801"/>
      <c r="X70" s="801"/>
      <c r="Y70" s="801"/>
      <c r="Z70" s="801"/>
    </row>
    <row r="71" spans="1:26">
      <c r="A71" s="800" t="s">
        <v>1197</v>
      </c>
      <c r="B71" s="800" t="s">
        <v>2601</v>
      </c>
      <c r="D71" s="801"/>
      <c r="E71" s="801"/>
      <c r="F71" s="801"/>
      <c r="G71" s="801">
        <v>-15716</v>
      </c>
      <c r="H71" s="801">
        <v>-69406</v>
      </c>
      <c r="I71" s="801">
        <v>-71026</v>
      </c>
      <c r="J71" s="801">
        <v>0</v>
      </c>
      <c r="K71" s="801">
        <v>0</v>
      </c>
      <c r="L71" s="801"/>
      <c r="M71" s="801"/>
      <c r="N71" s="801"/>
      <c r="O71" s="801">
        <v>0</v>
      </c>
      <c r="P71" s="801"/>
      <c r="Q71" s="801"/>
      <c r="R71" s="801">
        <v>-325</v>
      </c>
      <c r="S71" s="801">
        <v>-442</v>
      </c>
      <c r="T71" s="801">
        <v>-1796</v>
      </c>
      <c r="U71" s="801">
        <v>-1464</v>
      </c>
      <c r="V71" s="801"/>
      <c r="W71" s="801"/>
      <c r="X71" s="801"/>
      <c r="Y71" s="801"/>
      <c r="Z71" s="801"/>
    </row>
    <row r="72" spans="1:26">
      <c r="A72" s="800" t="s">
        <v>1143</v>
      </c>
      <c r="B72" s="800" t="s">
        <v>1144</v>
      </c>
      <c r="D72" s="801"/>
      <c r="E72" s="801"/>
      <c r="F72" s="801"/>
      <c r="G72" s="801"/>
      <c r="H72" s="801"/>
      <c r="I72" s="801"/>
      <c r="J72" s="801"/>
      <c r="K72" s="801"/>
      <c r="L72" s="801"/>
      <c r="M72" s="801"/>
      <c r="N72" s="801"/>
      <c r="O72" s="801"/>
      <c r="P72" s="801"/>
      <c r="Q72" s="801"/>
      <c r="R72" s="801"/>
      <c r="S72" s="801"/>
      <c r="T72" s="801"/>
      <c r="U72" s="801">
        <v>-17888</v>
      </c>
      <c r="V72" s="801"/>
      <c r="W72" s="801"/>
      <c r="X72" s="801"/>
      <c r="Y72" s="801"/>
      <c r="Z72" s="801"/>
    </row>
    <row r="73" spans="1:26">
      <c r="A73" s="800" t="s">
        <v>2602</v>
      </c>
      <c r="B73" s="800" t="s">
        <v>2603</v>
      </c>
      <c r="D73" s="801"/>
      <c r="E73" s="801"/>
      <c r="F73" s="801"/>
      <c r="G73" s="801"/>
      <c r="H73" s="801"/>
      <c r="I73" s="801">
        <v>-22385</v>
      </c>
      <c r="J73" s="801"/>
      <c r="K73" s="801"/>
      <c r="L73" s="801"/>
      <c r="M73" s="801"/>
      <c r="N73" s="801"/>
      <c r="O73" s="801"/>
      <c r="P73" s="801"/>
      <c r="Q73" s="801"/>
      <c r="R73" s="801"/>
      <c r="S73" s="801"/>
      <c r="T73" s="801"/>
      <c r="U73" s="801"/>
      <c r="V73" s="801"/>
      <c r="W73" s="801"/>
      <c r="X73" s="801"/>
      <c r="Y73" s="801"/>
      <c r="Z73" s="801"/>
    </row>
    <row r="74" spans="1:26" ht="15" thickBot="1">
      <c r="A74" s="800" t="s">
        <v>1217</v>
      </c>
      <c r="B74" s="800" t="s">
        <v>1218</v>
      </c>
      <c r="D74" s="801">
        <v>-608923</v>
      </c>
      <c r="E74" s="801">
        <v>-705818</v>
      </c>
      <c r="F74" s="801">
        <v>-629606</v>
      </c>
      <c r="G74" s="801">
        <v>-594015</v>
      </c>
      <c r="H74" s="801">
        <v>-635749</v>
      </c>
      <c r="I74" s="801">
        <v>-684817</v>
      </c>
      <c r="J74" s="801">
        <v>-627560</v>
      </c>
      <c r="K74" s="801">
        <v>-526519</v>
      </c>
      <c r="L74" s="801">
        <v>-560294</v>
      </c>
      <c r="M74" s="801">
        <v>-592122</v>
      </c>
      <c r="N74" s="801">
        <v>-517840</v>
      </c>
      <c r="O74" s="801">
        <v>-429603</v>
      </c>
      <c r="P74" s="801">
        <v>-455993</v>
      </c>
      <c r="Q74" s="801">
        <v>-478886</v>
      </c>
      <c r="R74" s="801">
        <v>-421741</v>
      </c>
      <c r="S74" s="801">
        <v>-649732</v>
      </c>
      <c r="T74" s="801">
        <v>-675468</v>
      </c>
      <c r="U74" s="801">
        <v>-735286</v>
      </c>
      <c r="V74" s="801"/>
      <c r="W74" s="801"/>
      <c r="X74" s="801"/>
      <c r="Y74" s="801"/>
      <c r="Z74" s="801"/>
    </row>
    <row r="75" spans="1:26" ht="15" thickBot="1">
      <c r="A75" s="798" t="s">
        <v>2604</v>
      </c>
      <c r="B75" s="798" t="s">
        <v>2605</v>
      </c>
      <c r="C75" s="798"/>
      <c r="D75" s="799">
        <f t="shared" ref="D75:U75" si="8">SUM(D69:D74)</f>
        <v>1918932</v>
      </c>
      <c r="E75" s="799">
        <f t="shared" si="8"/>
        <v>1822037</v>
      </c>
      <c r="F75" s="799">
        <f t="shared" si="8"/>
        <v>1898249</v>
      </c>
      <c r="G75" s="799">
        <f t="shared" si="8"/>
        <v>1919434</v>
      </c>
      <c r="H75" s="799">
        <f t="shared" si="8"/>
        <v>2049810</v>
      </c>
      <c r="I75" s="799">
        <f t="shared" si="8"/>
        <v>2191926</v>
      </c>
      <c r="J75" s="799">
        <f t="shared" si="8"/>
        <v>1845566</v>
      </c>
      <c r="K75" s="799">
        <f t="shared" si="8"/>
        <v>2258607</v>
      </c>
      <c r="L75" s="799">
        <f t="shared" si="8"/>
        <v>2224832</v>
      </c>
      <c r="M75" s="799">
        <f t="shared" si="8"/>
        <v>2193004</v>
      </c>
      <c r="N75" s="799">
        <f t="shared" si="8"/>
        <v>2267286</v>
      </c>
      <c r="O75" s="799">
        <f t="shared" si="8"/>
        <v>2466542</v>
      </c>
      <c r="P75" s="799">
        <f t="shared" si="8"/>
        <v>2440152</v>
      </c>
      <c r="Q75" s="799">
        <f t="shared" si="8"/>
        <v>2417259</v>
      </c>
      <c r="R75" s="799">
        <f t="shared" si="8"/>
        <v>2474079</v>
      </c>
      <c r="S75" s="799">
        <f t="shared" si="8"/>
        <v>2297121</v>
      </c>
      <c r="T75" s="799">
        <f t="shared" si="8"/>
        <v>2301045</v>
      </c>
      <c r="U75" s="799">
        <f t="shared" si="8"/>
        <v>2268018</v>
      </c>
      <c r="V75" s="799"/>
      <c r="W75" s="799"/>
      <c r="X75" s="799"/>
      <c r="Y75" s="799"/>
      <c r="Z75" s="799"/>
    </row>
    <row r="76" spans="1:26" ht="15" thickBot="1">
      <c r="A76" s="800" t="s">
        <v>2606</v>
      </c>
      <c r="B76" s="800" t="s">
        <v>2607</v>
      </c>
      <c r="D76" s="801"/>
      <c r="E76" s="801"/>
      <c r="F76" s="801"/>
      <c r="G76" s="801"/>
      <c r="H76" s="801"/>
      <c r="I76" s="801">
        <v>71595</v>
      </c>
      <c r="J76" s="801">
        <v>-91</v>
      </c>
      <c r="K76" s="801">
        <v>-91</v>
      </c>
      <c r="L76" s="801"/>
      <c r="M76" s="801"/>
      <c r="N76" s="801"/>
      <c r="O76" s="801"/>
      <c r="P76" s="801"/>
      <c r="Q76" s="801"/>
      <c r="R76" s="801"/>
      <c r="S76" s="801"/>
      <c r="T76" s="801"/>
      <c r="U76" s="801">
        <v>16808</v>
      </c>
      <c r="V76" s="801"/>
      <c r="W76" s="801"/>
      <c r="X76" s="801"/>
      <c r="Y76" s="801"/>
      <c r="Z76" s="801"/>
    </row>
    <row r="77" spans="1:26" ht="15" thickBot="1">
      <c r="A77" s="798" t="s">
        <v>1264</v>
      </c>
      <c r="B77" s="798" t="s">
        <v>1148</v>
      </c>
      <c r="C77" s="798"/>
      <c r="D77" s="799">
        <f t="shared" ref="D77:U77" si="9">D67+D68</f>
        <v>6872752</v>
      </c>
      <c r="E77" s="799">
        <f t="shared" si="9"/>
        <v>6767902</v>
      </c>
      <c r="F77" s="799">
        <f t="shared" si="9"/>
        <v>6873084</v>
      </c>
      <c r="G77" s="799">
        <f t="shared" si="9"/>
        <v>6886282</v>
      </c>
      <c r="H77" s="799">
        <f t="shared" si="9"/>
        <v>7086252</v>
      </c>
      <c r="I77" s="799">
        <f t="shared" si="9"/>
        <v>7592384</v>
      </c>
      <c r="J77" s="799">
        <f t="shared" si="9"/>
        <v>6648816</v>
      </c>
      <c r="K77" s="799">
        <f t="shared" si="9"/>
        <v>6938322</v>
      </c>
      <c r="L77" s="799">
        <f t="shared" si="9"/>
        <v>6811168</v>
      </c>
      <c r="M77" s="799">
        <f t="shared" si="9"/>
        <v>6761966</v>
      </c>
      <c r="N77" s="799">
        <f t="shared" si="9"/>
        <v>6787932</v>
      </c>
      <c r="O77" s="799">
        <f t="shared" si="9"/>
        <v>6858051</v>
      </c>
      <c r="P77" s="799">
        <f t="shared" si="9"/>
        <v>6837677</v>
      </c>
      <c r="Q77" s="799">
        <f t="shared" si="9"/>
        <v>6886763</v>
      </c>
      <c r="R77" s="799">
        <f t="shared" si="9"/>
        <v>6961122</v>
      </c>
      <c r="S77" s="799">
        <f t="shared" si="9"/>
        <v>6718782</v>
      </c>
      <c r="T77" s="799">
        <f t="shared" si="9"/>
        <v>6743723</v>
      </c>
      <c r="U77" s="799">
        <f t="shared" si="9"/>
        <v>6705421</v>
      </c>
      <c r="V77" s="799"/>
      <c r="W77" s="799"/>
      <c r="X77" s="799"/>
      <c r="Y77" s="799"/>
      <c r="Z77" s="799"/>
    </row>
    <row r="78" spans="1:26">
      <c r="A78" s="802"/>
      <c r="D78" s="803">
        <f t="shared" ref="D78:U78" si="10">D77-D34</f>
        <v>0</v>
      </c>
      <c r="E78" s="803">
        <f t="shared" si="10"/>
        <v>0</v>
      </c>
      <c r="F78" s="803">
        <f t="shared" si="10"/>
        <v>0</v>
      </c>
      <c r="G78" s="803">
        <f t="shared" si="10"/>
        <v>0</v>
      </c>
      <c r="H78" s="803">
        <f t="shared" si="10"/>
        <v>0</v>
      </c>
      <c r="I78" s="803">
        <f t="shared" si="10"/>
        <v>0</v>
      </c>
      <c r="J78" s="803">
        <f t="shared" si="10"/>
        <v>0</v>
      </c>
      <c r="K78" s="803">
        <f t="shared" si="10"/>
        <v>0</v>
      </c>
      <c r="L78" s="803">
        <f t="shared" si="10"/>
        <v>0</v>
      </c>
      <c r="M78" s="803">
        <f t="shared" si="10"/>
        <v>0</v>
      </c>
      <c r="N78" s="803">
        <f t="shared" si="10"/>
        <v>0</v>
      </c>
      <c r="O78" s="803">
        <f t="shared" si="10"/>
        <v>0</v>
      </c>
      <c r="P78" s="803">
        <f t="shared" si="10"/>
        <v>0</v>
      </c>
      <c r="Q78" s="803">
        <f t="shared" si="10"/>
        <v>0</v>
      </c>
      <c r="R78" s="803">
        <f t="shared" si="10"/>
        <v>0</v>
      </c>
      <c r="S78" s="803">
        <f t="shared" si="10"/>
        <v>0</v>
      </c>
      <c r="T78" s="803">
        <f t="shared" si="10"/>
        <v>0</v>
      </c>
      <c r="U78" s="803">
        <f t="shared" si="10"/>
        <v>0</v>
      </c>
      <c r="V78" s="803"/>
      <c r="W78" s="803"/>
      <c r="X78" s="803"/>
      <c r="Y78" s="803"/>
      <c r="Z78" s="803"/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theme="9" tint="0.79998168889431442"/>
  </sheetPr>
  <dimension ref="A6:N69"/>
  <sheetViews>
    <sheetView showGridLines="0" zoomScale="90" zoomScaleNormal="90" workbookViewId="0">
      <pane xSplit="2" topLeftCell="C1" activePane="topRight" state="frozen"/>
      <selection activeCell="O10" sqref="O10"/>
      <selection pane="topRight" activeCell="C6" sqref="C6"/>
    </sheetView>
  </sheetViews>
  <sheetFormatPr defaultColWidth="8.5546875" defaultRowHeight="14.4"/>
  <cols>
    <col min="1" max="2" width="47.5546875" customWidth="1"/>
    <col min="3" max="3" width="0.5546875" customWidth="1"/>
    <col min="4" max="4" width="9.21875" customWidth="1"/>
    <col min="5" max="7" width="9.21875" hidden="1" customWidth="1"/>
    <col min="8" max="13" width="9.21875" customWidth="1"/>
    <col min="14" max="14" width="9.33203125" customWidth="1"/>
  </cols>
  <sheetData>
    <row r="6" spans="1:14">
      <c r="A6" s="794" t="s">
        <v>2617</v>
      </c>
      <c r="B6" s="794" t="s">
        <v>2564</v>
      </c>
      <c r="C6" s="795"/>
      <c r="D6" s="795" t="s">
        <v>2565</v>
      </c>
      <c r="E6" s="795"/>
      <c r="F6" s="795"/>
      <c r="G6" s="795"/>
      <c r="H6" s="795"/>
      <c r="I6" s="795"/>
      <c r="J6" s="795"/>
      <c r="K6" s="795"/>
      <c r="L6" s="795"/>
      <c r="M6" s="795"/>
      <c r="N6" s="795"/>
    </row>
    <row r="7" spans="1:14" ht="15" thickBot="1">
      <c r="A7" s="796" t="s">
        <v>1285</v>
      </c>
      <c r="B7" s="796" t="s">
        <v>2566</v>
      </c>
      <c r="C7" s="796"/>
      <c r="D7" s="797" t="s">
        <v>82</v>
      </c>
      <c r="E7" s="797" t="s">
        <v>83</v>
      </c>
      <c r="F7" s="797" t="s">
        <v>84</v>
      </c>
      <c r="G7" s="797" t="s">
        <v>85</v>
      </c>
      <c r="H7" s="797" t="s">
        <v>86</v>
      </c>
      <c r="I7" s="797" t="s">
        <v>87</v>
      </c>
      <c r="J7" s="797" t="s">
        <v>88</v>
      </c>
      <c r="K7" s="797" t="s">
        <v>2074</v>
      </c>
      <c r="L7" s="797" t="s">
        <v>2127</v>
      </c>
      <c r="M7" s="797" t="s">
        <v>2360</v>
      </c>
      <c r="N7" s="797" t="s">
        <v>2494</v>
      </c>
    </row>
    <row r="8" spans="1:14" ht="15" thickBot="1">
      <c r="A8" s="798" t="s">
        <v>1227</v>
      </c>
      <c r="B8" s="798" t="s">
        <v>2567</v>
      </c>
      <c r="C8" s="798"/>
      <c r="D8" s="799">
        <f t="shared" ref="D8:N8" si="0">SUM(D9:D20)</f>
        <v>156308</v>
      </c>
      <c r="E8" s="799">
        <f t="shared" si="0"/>
        <v>0</v>
      </c>
      <c r="F8" s="799">
        <f t="shared" si="0"/>
        <v>0</v>
      </c>
      <c r="G8" s="799">
        <f t="shared" si="0"/>
        <v>0</v>
      </c>
      <c r="H8" s="799">
        <f t="shared" si="0"/>
        <v>169534</v>
      </c>
      <c r="I8" s="799">
        <f t="shared" si="0"/>
        <v>213707</v>
      </c>
      <c r="J8" s="799">
        <f t="shared" si="0"/>
        <v>217769</v>
      </c>
      <c r="K8" s="799">
        <f t="shared" si="0"/>
        <v>191028</v>
      </c>
      <c r="L8" s="799">
        <f t="shared" si="0"/>
        <v>204400</v>
      </c>
      <c r="M8" s="799">
        <f t="shared" si="0"/>
        <v>155731</v>
      </c>
      <c r="N8" s="799">
        <f t="shared" si="0"/>
        <v>150318</v>
      </c>
    </row>
    <row r="9" spans="1:14">
      <c r="A9" s="800" t="s">
        <v>1053</v>
      </c>
      <c r="B9" s="800" t="s">
        <v>2568</v>
      </c>
      <c r="D9" s="801">
        <v>123516</v>
      </c>
      <c r="E9" s="801"/>
      <c r="F9" s="801"/>
      <c r="G9" s="801"/>
      <c r="H9" s="801">
        <v>52201</v>
      </c>
      <c r="I9" s="801">
        <v>115168</v>
      </c>
      <c r="J9" s="801">
        <v>140649</v>
      </c>
      <c r="K9" s="801">
        <v>136118</v>
      </c>
      <c r="L9" s="801">
        <v>128704</v>
      </c>
      <c r="M9" s="801">
        <v>80150</v>
      </c>
      <c r="N9" s="801">
        <v>80331</v>
      </c>
    </row>
    <row r="10" spans="1:14">
      <c r="A10" s="800" t="s">
        <v>2272</v>
      </c>
      <c r="B10" s="800" t="s">
        <v>2327</v>
      </c>
      <c r="D10" s="801">
        <v>0</v>
      </c>
      <c r="E10" s="801"/>
      <c r="F10" s="801"/>
      <c r="G10" s="801"/>
      <c r="H10" s="801">
        <v>40529</v>
      </c>
      <c r="I10" s="801">
        <v>4026</v>
      </c>
      <c r="J10" s="801">
        <v>1540</v>
      </c>
      <c r="K10" s="801">
        <v>1582</v>
      </c>
      <c r="L10" s="801">
        <v>1654</v>
      </c>
      <c r="M10" s="801">
        <v>1701</v>
      </c>
      <c r="N10" s="801">
        <v>1</v>
      </c>
    </row>
    <row r="11" spans="1:14">
      <c r="A11" s="800" t="s">
        <v>1230</v>
      </c>
      <c r="B11" s="800" t="s">
        <v>2569</v>
      </c>
      <c r="D11" s="801">
        <v>0</v>
      </c>
      <c r="E11" s="801"/>
      <c r="F11" s="801"/>
      <c r="G11" s="801"/>
      <c r="H11" s="801">
        <v>23183</v>
      </c>
      <c r="I11" s="801">
        <v>50036</v>
      </c>
      <c r="J11" s="801">
        <v>40285</v>
      </c>
      <c r="K11" s="801">
        <v>22296</v>
      </c>
      <c r="L11" s="801">
        <v>39796</v>
      </c>
      <c r="M11" s="801">
        <v>38933</v>
      </c>
      <c r="N11" s="801">
        <v>37270</v>
      </c>
    </row>
    <row r="12" spans="1:14">
      <c r="A12" s="800" t="s">
        <v>1265</v>
      </c>
      <c r="B12" s="800" t="s">
        <v>1266</v>
      </c>
      <c r="D12" s="801">
        <v>10744</v>
      </c>
      <c r="E12" s="801"/>
      <c r="F12" s="801"/>
      <c r="G12" s="801"/>
      <c r="H12" s="801">
        <v>6652</v>
      </c>
      <c r="I12" s="801">
        <v>16174</v>
      </c>
      <c r="J12" s="801">
        <v>7401</v>
      </c>
      <c r="K12" s="801">
        <v>4731</v>
      </c>
      <c r="L12" s="801">
        <v>4836</v>
      </c>
      <c r="M12" s="801">
        <v>3408</v>
      </c>
      <c r="N12" s="801">
        <v>3001</v>
      </c>
    </row>
    <row r="13" spans="1:14">
      <c r="A13" s="800" t="s">
        <v>1295</v>
      </c>
      <c r="B13" s="800" t="s">
        <v>1267</v>
      </c>
      <c r="D13" s="801">
        <v>47</v>
      </c>
      <c r="E13" s="801"/>
      <c r="F13" s="801"/>
      <c r="G13" s="801"/>
      <c r="H13" s="801">
        <v>29</v>
      </c>
      <c r="I13" s="801">
        <v>29</v>
      </c>
      <c r="J13" s="801">
        <v>981</v>
      </c>
      <c r="K13" s="801">
        <v>105</v>
      </c>
      <c r="L13" s="801">
        <v>53</v>
      </c>
      <c r="M13" s="801">
        <v>309</v>
      </c>
      <c r="N13" s="801">
        <v>51</v>
      </c>
    </row>
    <row r="14" spans="1:14">
      <c r="A14" s="800" t="s">
        <v>2227</v>
      </c>
      <c r="B14" s="800" t="s">
        <v>2572</v>
      </c>
      <c r="D14" s="801">
        <v>3040</v>
      </c>
      <c r="E14" s="801"/>
      <c r="F14" s="801"/>
      <c r="G14" s="801"/>
      <c r="H14" s="801">
        <v>3371</v>
      </c>
      <c r="I14" s="801">
        <v>2528</v>
      </c>
      <c r="J14" s="801">
        <v>2686</v>
      </c>
      <c r="K14" s="801">
        <v>2717</v>
      </c>
      <c r="L14" s="801">
        <v>2534</v>
      </c>
      <c r="M14" s="801">
        <v>2334</v>
      </c>
      <c r="N14" s="801">
        <v>2464</v>
      </c>
    </row>
    <row r="15" spans="1:14">
      <c r="A15" s="800" t="s">
        <v>2570</v>
      </c>
      <c r="B15" s="800" t="s">
        <v>2571</v>
      </c>
      <c r="D15" s="801">
        <v>7449</v>
      </c>
      <c r="E15" s="801"/>
      <c r="F15" s="801"/>
      <c r="G15" s="801"/>
      <c r="H15" s="801">
        <v>16923</v>
      </c>
      <c r="I15" s="801">
        <v>15850</v>
      </c>
      <c r="J15" s="801">
        <v>16651</v>
      </c>
      <c r="K15" s="801">
        <v>16404</v>
      </c>
      <c r="L15" s="801">
        <v>16665</v>
      </c>
      <c r="M15" s="801">
        <v>16751</v>
      </c>
      <c r="N15" s="801">
        <v>18411</v>
      </c>
    </row>
    <row r="16" spans="1:14">
      <c r="A16" s="800" t="s">
        <v>2229</v>
      </c>
      <c r="B16" s="800" t="s">
        <v>2298</v>
      </c>
      <c r="D16" s="801">
        <v>4642</v>
      </c>
      <c r="E16" s="801"/>
      <c r="F16" s="801"/>
      <c r="G16" s="801"/>
      <c r="H16" s="801">
        <v>8070</v>
      </c>
      <c r="I16" s="801">
        <v>4453</v>
      </c>
      <c r="J16" s="801">
        <v>2591</v>
      </c>
      <c r="K16" s="801">
        <v>1491</v>
      </c>
      <c r="L16" s="801">
        <v>4747</v>
      </c>
      <c r="M16" s="801">
        <v>5826</v>
      </c>
      <c r="N16" s="801">
        <v>1477</v>
      </c>
    </row>
    <row r="17" spans="1:14">
      <c r="A17" s="800" t="s">
        <v>1214</v>
      </c>
      <c r="B17" s="800" t="s">
        <v>1075</v>
      </c>
      <c r="D17" s="801">
        <v>0</v>
      </c>
      <c r="E17" s="801"/>
      <c r="F17" s="801"/>
      <c r="G17" s="801"/>
      <c r="H17" s="801">
        <v>3092</v>
      </c>
      <c r="I17" s="801">
        <v>3988</v>
      </c>
      <c r="J17" s="801">
        <v>4309</v>
      </c>
      <c r="K17" s="801">
        <v>5314</v>
      </c>
      <c r="L17" s="801">
        <v>5323</v>
      </c>
      <c r="M17" s="801">
        <v>6282</v>
      </c>
      <c r="N17" s="801">
        <v>6342</v>
      </c>
    </row>
    <row r="18" spans="1:14">
      <c r="A18" s="800" t="s">
        <v>1173</v>
      </c>
      <c r="B18" s="800" t="s">
        <v>2344</v>
      </c>
      <c r="D18" s="801">
        <v>0</v>
      </c>
      <c r="E18" s="801"/>
      <c r="F18" s="801"/>
      <c r="G18" s="801"/>
      <c r="H18" s="801">
        <v>1357</v>
      </c>
      <c r="I18" s="801">
        <v>1368</v>
      </c>
      <c r="J18" s="801">
        <v>635</v>
      </c>
      <c r="K18" s="801">
        <v>137</v>
      </c>
      <c r="L18" s="801">
        <v>78</v>
      </c>
      <c r="M18" s="801">
        <v>28</v>
      </c>
      <c r="N18" s="801">
        <v>921</v>
      </c>
    </row>
    <row r="19" spans="1:14">
      <c r="A19" s="800" t="s">
        <v>1072</v>
      </c>
      <c r="B19" s="800" t="s">
        <v>1204</v>
      </c>
      <c r="D19" s="801">
        <v>6743</v>
      </c>
      <c r="E19" s="801"/>
      <c r="F19" s="801"/>
      <c r="G19" s="801"/>
      <c r="H19" s="801">
        <v>14125</v>
      </c>
      <c r="I19" s="801">
        <v>0</v>
      </c>
      <c r="J19" s="801">
        <v>0</v>
      </c>
      <c r="K19" s="801">
        <v>0</v>
      </c>
      <c r="L19" s="801"/>
      <c r="M19" s="801"/>
      <c r="N19" s="801"/>
    </row>
    <row r="20" spans="1:14" ht="15" thickBot="1">
      <c r="A20" s="800" t="s">
        <v>1238</v>
      </c>
      <c r="B20" s="800" t="s">
        <v>2573</v>
      </c>
      <c r="D20" s="801">
        <v>127</v>
      </c>
      <c r="E20" s="801"/>
      <c r="F20" s="801"/>
      <c r="G20" s="801"/>
      <c r="H20" s="801">
        <v>2</v>
      </c>
      <c r="I20" s="801">
        <v>87</v>
      </c>
      <c r="J20" s="801">
        <v>41</v>
      </c>
      <c r="K20" s="801">
        <v>133</v>
      </c>
      <c r="L20" s="801">
        <v>10</v>
      </c>
      <c r="M20" s="801">
        <v>9</v>
      </c>
      <c r="N20" s="801">
        <v>49</v>
      </c>
    </row>
    <row r="21" spans="1:14" ht="15" thickBot="1">
      <c r="A21" s="798" t="s">
        <v>2574</v>
      </c>
      <c r="B21" s="798" t="s">
        <v>2575</v>
      </c>
      <c r="C21" s="798"/>
      <c r="D21" s="799">
        <f t="shared" ref="D21:N21" si="1">SUM(D22:D27)</f>
        <v>16793</v>
      </c>
      <c r="E21" s="799">
        <f t="shared" si="1"/>
        <v>0</v>
      </c>
      <c r="F21" s="799">
        <f t="shared" si="1"/>
        <v>0</v>
      </c>
      <c r="G21" s="799">
        <f t="shared" si="1"/>
        <v>0</v>
      </c>
      <c r="H21" s="799">
        <f t="shared" si="1"/>
        <v>5466</v>
      </c>
      <c r="I21" s="799">
        <f t="shared" si="1"/>
        <v>36769</v>
      </c>
      <c r="J21" s="799">
        <f t="shared" si="1"/>
        <v>56731</v>
      </c>
      <c r="K21" s="799">
        <f t="shared" si="1"/>
        <v>53478</v>
      </c>
      <c r="L21" s="799">
        <f t="shared" si="1"/>
        <v>58648</v>
      </c>
      <c r="M21" s="799">
        <f t="shared" si="1"/>
        <v>56698</v>
      </c>
      <c r="N21" s="799">
        <f t="shared" si="1"/>
        <v>55214</v>
      </c>
    </row>
    <row r="22" spans="1:14">
      <c r="A22" s="800" t="s">
        <v>1265</v>
      </c>
      <c r="B22" s="800" t="s">
        <v>1266</v>
      </c>
      <c r="D22" s="801">
        <v>13115</v>
      </c>
      <c r="E22" s="801"/>
      <c r="F22" s="801"/>
      <c r="G22" s="801"/>
      <c r="H22" s="801">
        <v>2946</v>
      </c>
      <c r="I22" s="801">
        <v>1917</v>
      </c>
      <c r="J22" s="801">
        <v>1755</v>
      </c>
      <c r="K22" s="801">
        <v>1880</v>
      </c>
      <c r="L22" s="801">
        <v>2826</v>
      </c>
      <c r="M22" s="801">
        <v>2254</v>
      </c>
      <c r="N22" s="801">
        <v>1745</v>
      </c>
    </row>
    <row r="23" spans="1:14">
      <c r="A23" s="800" t="s">
        <v>2272</v>
      </c>
      <c r="B23" s="800" t="s">
        <v>2327</v>
      </c>
      <c r="D23" s="801">
        <v>0</v>
      </c>
      <c r="E23" s="801"/>
      <c r="F23" s="801"/>
      <c r="G23" s="801"/>
      <c r="H23" s="801">
        <v>0</v>
      </c>
      <c r="I23" s="801">
        <v>33395</v>
      </c>
      <c r="J23" s="801">
        <v>53855</v>
      </c>
      <c r="K23" s="801">
        <v>50622</v>
      </c>
      <c r="L23" s="801">
        <v>54753</v>
      </c>
      <c r="M23" s="801">
        <v>53368</v>
      </c>
      <c r="N23" s="801">
        <v>52373</v>
      </c>
    </row>
    <row r="24" spans="1:14">
      <c r="A24" s="800" t="s">
        <v>1173</v>
      </c>
      <c r="B24" s="800" t="s">
        <v>2344</v>
      </c>
      <c r="D24" s="801">
        <v>0</v>
      </c>
      <c r="E24" s="801"/>
      <c r="F24" s="801"/>
      <c r="G24" s="801"/>
      <c r="H24" s="801"/>
      <c r="I24" s="801"/>
      <c r="J24" s="801">
        <v>0</v>
      </c>
      <c r="K24" s="801">
        <v>0</v>
      </c>
      <c r="L24" s="801">
        <v>0</v>
      </c>
      <c r="M24" s="801">
        <v>0</v>
      </c>
      <c r="N24" s="801">
        <v>0</v>
      </c>
    </row>
    <row r="25" spans="1:14">
      <c r="A25" s="800" t="s">
        <v>1068</v>
      </c>
      <c r="B25" s="800" t="s">
        <v>2297</v>
      </c>
      <c r="D25" s="801">
        <v>235</v>
      </c>
      <c r="E25" s="801"/>
      <c r="F25" s="801"/>
      <c r="G25" s="801"/>
      <c r="H25" s="801">
        <v>872</v>
      </c>
      <c r="I25" s="801">
        <v>937</v>
      </c>
      <c r="J25" s="801">
        <v>955</v>
      </c>
      <c r="K25" s="801">
        <v>974</v>
      </c>
      <c r="L25" s="801">
        <v>1050</v>
      </c>
      <c r="M25" s="801">
        <v>1073</v>
      </c>
      <c r="N25" s="801">
        <v>1096</v>
      </c>
    </row>
    <row r="26" spans="1:14">
      <c r="A26" s="800" t="s">
        <v>2229</v>
      </c>
      <c r="B26" s="800" t="s">
        <v>2298</v>
      </c>
      <c r="D26" s="801">
        <v>3443</v>
      </c>
      <c r="E26" s="801"/>
      <c r="F26" s="801"/>
      <c r="G26" s="801"/>
      <c r="H26" s="801">
        <v>1646</v>
      </c>
      <c r="I26" s="801">
        <v>518</v>
      </c>
      <c r="J26" s="801">
        <v>164</v>
      </c>
      <c r="K26" s="801">
        <v>0</v>
      </c>
      <c r="L26" s="801"/>
      <c r="M26" s="801"/>
      <c r="N26" s="801"/>
    </row>
    <row r="27" spans="1:14" ht="15" thickBot="1">
      <c r="A27" s="800" t="s">
        <v>1238</v>
      </c>
      <c r="B27" s="800" t="s">
        <v>2573</v>
      </c>
      <c r="D27" s="801">
        <v>0</v>
      </c>
      <c r="E27" s="801"/>
      <c r="F27" s="801"/>
      <c r="G27" s="801"/>
      <c r="H27" s="801">
        <v>2</v>
      </c>
      <c r="I27" s="801">
        <v>2</v>
      </c>
      <c r="J27" s="801">
        <v>2</v>
      </c>
      <c r="K27" s="801">
        <v>2</v>
      </c>
      <c r="L27" s="801">
        <v>19</v>
      </c>
      <c r="M27" s="801">
        <v>3</v>
      </c>
      <c r="N27" s="801">
        <v>0</v>
      </c>
    </row>
    <row r="28" spans="1:14" ht="15" thickBot="1">
      <c r="A28" s="798" t="s">
        <v>1239</v>
      </c>
      <c r="B28" s="798" t="s">
        <v>2576</v>
      </c>
      <c r="C28" s="798"/>
      <c r="D28" s="799">
        <f t="shared" ref="D28:N28" si="2">D21+SUM(D29:D32)</f>
        <v>2608434</v>
      </c>
      <c r="E28" s="799">
        <f t="shared" si="2"/>
        <v>0</v>
      </c>
      <c r="F28" s="799">
        <f t="shared" si="2"/>
        <v>0</v>
      </c>
      <c r="G28" s="799">
        <f t="shared" si="2"/>
        <v>0</v>
      </c>
      <c r="H28" s="799">
        <f t="shared" si="2"/>
        <v>2877007</v>
      </c>
      <c r="I28" s="799">
        <f t="shared" si="2"/>
        <v>2891621</v>
      </c>
      <c r="J28" s="799">
        <f t="shared" si="2"/>
        <v>2882980</v>
      </c>
      <c r="K28" s="799">
        <f t="shared" si="2"/>
        <v>2862067</v>
      </c>
      <c r="L28" s="799">
        <f t="shared" si="2"/>
        <v>2243553</v>
      </c>
      <c r="M28" s="799">
        <f t="shared" si="2"/>
        <v>2223074</v>
      </c>
      <c r="N28" s="799">
        <f t="shared" si="2"/>
        <v>2202048</v>
      </c>
    </row>
    <row r="29" spans="1:14">
      <c r="A29" s="800" t="s">
        <v>1088</v>
      </c>
      <c r="B29" s="800" t="s">
        <v>1089</v>
      </c>
      <c r="D29" s="801">
        <v>0</v>
      </c>
      <c r="E29" s="801"/>
      <c r="F29" s="801"/>
      <c r="G29" s="801"/>
      <c r="H29" s="801">
        <v>0</v>
      </c>
      <c r="I29" s="801">
        <v>0</v>
      </c>
      <c r="J29" s="801">
        <v>0</v>
      </c>
      <c r="K29" s="801">
        <v>0</v>
      </c>
      <c r="L29" s="801">
        <v>0</v>
      </c>
      <c r="M29" s="801">
        <v>0</v>
      </c>
      <c r="N29" s="801">
        <v>0</v>
      </c>
    </row>
    <row r="30" spans="1:14">
      <c r="A30" s="800" t="s">
        <v>1166</v>
      </c>
      <c r="B30" s="800" t="s">
        <v>2577</v>
      </c>
      <c r="D30" s="801">
        <v>86341</v>
      </c>
      <c r="E30" s="801"/>
      <c r="F30" s="801"/>
      <c r="G30" s="801"/>
      <c r="H30" s="801">
        <v>84293</v>
      </c>
      <c r="I30" s="801">
        <v>83781</v>
      </c>
      <c r="J30" s="801">
        <v>83269</v>
      </c>
      <c r="K30" s="801">
        <v>82757</v>
      </c>
      <c r="L30" s="801">
        <v>82245</v>
      </c>
      <c r="M30" s="801">
        <v>81734</v>
      </c>
      <c r="N30" s="801">
        <v>81222</v>
      </c>
    </row>
    <row r="31" spans="1:14">
      <c r="A31" s="800" t="s">
        <v>1188</v>
      </c>
      <c r="B31" s="800" t="s">
        <v>2578</v>
      </c>
      <c r="D31" s="801">
        <v>2410712</v>
      </c>
      <c r="E31" s="801"/>
      <c r="F31" s="801"/>
      <c r="G31" s="801"/>
      <c r="H31" s="801">
        <v>2739810</v>
      </c>
      <c r="I31" s="801">
        <v>2723480</v>
      </c>
      <c r="J31" s="801">
        <v>2695248</v>
      </c>
      <c r="K31" s="801">
        <v>2678037</v>
      </c>
      <c r="L31" s="801">
        <v>2054254</v>
      </c>
      <c r="M31" s="801">
        <v>2036221</v>
      </c>
      <c r="N31" s="801">
        <v>2017172</v>
      </c>
    </row>
    <row r="32" spans="1:14" ht="15" thickBot="1">
      <c r="A32" s="800" t="s">
        <v>1092</v>
      </c>
      <c r="B32" s="800" t="s">
        <v>2579</v>
      </c>
      <c r="D32" s="801">
        <v>94588</v>
      </c>
      <c r="E32" s="801"/>
      <c r="F32" s="801"/>
      <c r="G32" s="801"/>
      <c r="H32" s="801">
        <v>47438</v>
      </c>
      <c r="I32" s="801">
        <v>47591</v>
      </c>
      <c r="J32" s="801">
        <v>47732</v>
      </c>
      <c r="K32" s="801">
        <v>47795</v>
      </c>
      <c r="L32" s="801">
        <v>48406</v>
      </c>
      <c r="M32" s="801">
        <v>48421</v>
      </c>
      <c r="N32" s="801">
        <v>48440</v>
      </c>
    </row>
    <row r="33" spans="1:14" ht="15" thickBot="1">
      <c r="A33" s="798" t="s">
        <v>1242</v>
      </c>
      <c r="B33" s="798" t="s">
        <v>2580</v>
      </c>
      <c r="C33" s="798"/>
      <c r="D33" s="799">
        <f t="shared" ref="D33:N33" si="3">D8+D28</f>
        <v>2764742</v>
      </c>
      <c r="E33" s="799">
        <f t="shared" si="3"/>
        <v>0</v>
      </c>
      <c r="F33" s="799">
        <f t="shared" si="3"/>
        <v>0</v>
      </c>
      <c r="G33" s="799">
        <f t="shared" si="3"/>
        <v>0</v>
      </c>
      <c r="H33" s="799">
        <f t="shared" si="3"/>
        <v>3046541</v>
      </c>
      <c r="I33" s="799">
        <f t="shared" si="3"/>
        <v>3105328</v>
      </c>
      <c r="J33" s="799">
        <f t="shared" si="3"/>
        <v>3100749</v>
      </c>
      <c r="K33" s="799">
        <f t="shared" si="3"/>
        <v>3053095</v>
      </c>
      <c r="L33" s="799">
        <f t="shared" si="3"/>
        <v>2447953</v>
      </c>
      <c r="M33" s="799">
        <f t="shared" si="3"/>
        <v>2378805</v>
      </c>
      <c r="N33" s="799">
        <f t="shared" si="3"/>
        <v>2352366</v>
      </c>
    </row>
    <row r="34" spans="1:14">
      <c r="A34" s="805" t="s">
        <v>2616</v>
      </c>
    </row>
    <row r="35" spans="1:14" ht="15" thickBot="1">
      <c r="A35" s="796" t="s">
        <v>2581</v>
      </c>
      <c r="B35" s="796" t="s">
        <v>2582</v>
      </c>
      <c r="C35" s="796"/>
      <c r="D35" s="797" t="s">
        <v>82</v>
      </c>
      <c r="E35" s="797" t="s">
        <v>83</v>
      </c>
      <c r="F35" s="797" t="s">
        <v>84</v>
      </c>
      <c r="G35" s="797" t="s">
        <v>85</v>
      </c>
      <c r="H35" s="797" t="s">
        <v>86</v>
      </c>
      <c r="I35" s="797" t="s">
        <v>87</v>
      </c>
      <c r="J35" s="797" t="s">
        <v>88</v>
      </c>
      <c r="K35" s="797" t="s">
        <v>2074</v>
      </c>
      <c r="L35" s="797" t="s">
        <v>2127</v>
      </c>
      <c r="M35" s="797" t="s">
        <v>2360</v>
      </c>
      <c r="N35" s="797" t="s">
        <v>2494</v>
      </c>
    </row>
    <row r="36" spans="1:14" ht="15" thickBot="1">
      <c r="A36" s="798" t="s">
        <v>2583</v>
      </c>
      <c r="B36" s="798" t="s">
        <v>2584</v>
      </c>
      <c r="C36" s="798"/>
      <c r="D36" s="799">
        <f t="shared" ref="D36:N36" si="4">SUM(D37:D50)</f>
        <v>1569304</v>
      </c>
      <c r="E36" s="799">
        <f t="shared" si="4"/>
        <v>0</v>
      </c>
      <c r="F36" s="799">
        <f t="shared" si="4"/>
        <v>0</v>
      </c>
      <c r="G36" s="799">
        <f t="shared" si="4"/>
        <v>0</v>
      </c>
      <c r="H36" s="799">
        <f t="shared" si="4"/>
        <v>498974</v>
      </c>
      <c r="I36" s="799">
        <f t="shared" si="4"/>
        <v>584261</v>
      </c>
      <c r="J36" s="799">
        <f t="shared" si="4"/>
        <v>261024</v>
      </c>
      <c r="K36" s="799">
        <f t="shared" si="4"/>
        <v>144499</v>
      </c>
      <c r="L36" s="799">
        <f t="shared" si="4"/>
        <v>182793</v>
      </c>
      <c r="M36" s="799">
        <f t="shared" si="4"/>
        <v>158602</v>
      </c>
      <c r="N36" s="799">
        <f t="shared" si="4"/>
        <v>162778</v>
      </c>
    </row>
    <row r="37" spans="1:14">
      <c r="A37" s="800" t="s">
        <v>1102</v>
      </c>
      <c r="B37" s="800" t="s">
        <v>1103</v>
      </c>
      <c r="D37" s="801">
        <v>56780</v>
      </c>
      <c r="E37" s="801"/>
      <c r="F37" s="801"/>
      <c r="G37" s="801"/>
      <c r="H37" s="801">
        <v>31088</v>
      </c>
      <c r="I37" s="801">
        <v>57561</v>
      </c>
      <c r="J37" s="801">
        <v>40322</v>
      </c>
      <c r="K37" s="801">
        <v>16302</v>
      </c>
      <c r="L37" s="801">
        <v>41657</v>
      </c>
      <c r="M37" s="801">
        <v>36891</v>
      </c>
      <c r="N37" s="801">
        <v>25095</v>
      </c>
    </row>
    <row r="38" spans="1:14">
      <c r="A38" s="800" t="s">
        <v>1265</v>
      </c>
      <c r="B38" s="800" t="s">
        <v>1266</v>
      </c>
      <c r="D38" s="801">
        <v>10527</v>
      </c>
      <c r="E38" s="801"/>
      <c r="F38" s="801"/>
      <c r="G38" s="801"/>
      <c r="H38" s="801">
        <v>6456</v>
      </c>
      <c r="I38" s="801">
        <v>15811</v>
      </c>
      <c r="J38" s="801">
        <v>7085</v>
      </c>
      <c r="K38" s="801">
        <v>4414</v>
      </c>
      <c r="L38" s="801">
        <v>4514</v>
      </c>
      <c r="M38" s="801">
        <v>3021</v>
      </c>
      <c r="N38" s="801">
        <v>2514</v>
      </c>
    </row>
    <row r="39" spans="1:14">
      <c r="A39" s="800" t="s">
        <v>1271</v>
      </c>
      <c r="B39" s="800" t="s">
        <v>2585</v>
      </c>
      <c r="D39" s="801">
        <v>1460303</v>
      </c>
      <c r="E39" s="801"/>
      <c r="F39" s="801"/>
      <c r="G39" s="801"/>
      <c r="H39" s="801">
        <v>358457</v>
      </c>
      <c r="I39" s="801">
        <v>366670</v>
      </c>
      <c r="J39" s="801">
        <v>81626</v>
      </c>
      <c r="K39" s="801">
        <v>79258</v>
      </c>
      <c r="L39" s="801">
        <v>78733</v>
      </c>
      <c r="M39" s="801">
        <v>80335</v>
      </c>
      <c r="N39" s="801">
        <v>80422</v>
      </c>
    </row>
    <row r="40" spans="1:14" ht="15" customHeight="1">
      <c r="A40" s="800" t="s">
        <v>1107</v>
      </c>
      <c r="B40" s="800" t="s">
        <v>1108</v>
      </c>
      <c r="D40" s="801">
        <v>0</v>
      </c>
      <c r="E40" s="801"/>
      <c r="F40" s="801"/>
      <c r="G40" s="801"/>
      <c r="H40" s="801">
        <v>82563</v>
      </c>
      <c r="I40" s="801">
        <v>119626</v>
      </c>
      <c r="J40" s="801">
        <v>110389</v>
      </c>
      <c r="K40" s="801">
        <v>32646</v>
      </c>
      <c r="L40" s="801">
        <v>51251</v>
      </c>
      <c r="M40" s="801">
        <v>34096</v>
      </c>
      <c r="N40" s="801">
        <v>50715</v>
      </c>
    </row>
    <row r="41" spans="1:14">
      <c r="A41" s="800" t="s">
        <v>2263</v>
      </c>
      <c r="B41" s="800" t="s">
        <v>2304</v>
      </c>
      <c r="D41" s="801">
        <v>545</v>
      </c>
      <c r="E41" s="801"/>
      <c r="F41" s="801"/>
      <c r="G41" s="801"/>
      <c r="H41" s="801">
        <v>985</v>
      </c>
      <c r="I41" s="801">
        <v>1089</v>
      </c>
      <c r="J41" s="801">
        <v>1245</v>
      </c>
      <c r="K41" s="801">
        <v>61</v>
      </c>
      <c r="L41" s="801">
        <v>144</v>
      </c>
      <c r="M41" s="801">
        <v>0</v>
      </c>
      <c r="N41" s="801">
        <v>0</v>
      </c>
    </row>
    <row r="42" spans="1:14">
      <c r="A42" s="800" t="s">
        <v>2264</v>
      </c>
      <c r="B42" s="800" t="s">
        <v>2586</v>
      </c>
      <c r="D42" s="801">
        <v>1949</v>
      </c>
      <c r="E42" s="801"/>
      <c r="F42" s="801"/>
      <c r="G42" s="801"/>
      <c r="H42" s="801">
        <v>1983</v>
      </c>
      <c r="I42" s="801">
        <v>2995</v>
      </c>
      <c r="J42" s="801">
        <v>4400</v>
      </c>
      <c r="K42" s="801">
        <v>5054</v>
      </c>
      <c r="L42" s="801">
        <v>4211</v>
      </c>
      <c r="M42" s="801">
        <v>3432</v>
      </c>
      <c r="N42" s="801">
        <v>3353</v>
      </c>
    </row>
    <row r="43" spans="1:14">
      <c r="A43" s="800" t="s">
        <v>2587</v>
      </c>
      <c r="B43" s="800" t="s">
        <v>2588</v>
      </c>
      <c r="D43" s="801">
        <v>3458</v>
      </c>
      <c r="E43" s="801"/>
      <c r="F43" s="801"/>
      <c r="G43" s="801"/>
      <c r="H43" s="801">
        <v>1634</v>
      </c>
      <c r="I43" s="801">
        <v>1662</v>
      </c>
      <c r="J43" s="801">
        <v>1998</v>
      </c>
      <c r="K43" s="801">
        <v>2352</v>
      </c>
      <c r="L43" s="801">
        <v>486</v>
      </c>
      <c r="M43" s="801">
        <v>621</v>
      </c>
      <c r="N43" s="801">
        <v>584</v>
      </c>
    </row>
    <row r="44" spans="1:14">
      <c r="A44" s="800" t="s">
        <v>2589</v>
      </c>
      <c r="B44" s="800" t="s">
        <v>2590</v>
      </c>
      <c r="D44" s="801">
        <v>0</v>
      </c>
      <c r="E44" s="801"/>
      <c r="F44" s="801"/>
      <c r="G44" s="801"/>
      <c r="H44" s="801">
        <v>124</v>
      </c>
      <c r="I44" s="801">
        <v>124</v>
      </c>
      <c r="J44" s="801">
        <v>0</v>
      </c>
      <c r="K44" s="801">
        <v>0</v>
      </c>
      <c r="L44" s="801"/>
      <c r="M44" s="801"/>
      <c r="N44" s="801"/>
    </row>
    <row r="45" spans="1:14">
      <c r="A45" s="800" t="s">
        <v>1245</v>
      </c>
      <c r="B45" s="800" t="s">
        <v>2592</v>
      </c>
      <c r="D45" s="801">
        <v>0</v>
      </c>
      <c r="E45" s="801"/>
      <c r="F45" s="801"/>
      <c r="G45" s="801"/>
      <c r="H45" s="801">
        <v>26</v>
      </c>
      <c r="I45" s="801">
        <v>26</v>
      </c>
      <c r="J45" s="801">
        <v>26</v>
      </c>
      <c r="K45" s="801">
        <v>26</v>
      </c>
      <c r="L45" s="801">
        <v>26</v>
      </c>
      <c r="M45" s="801">
        <v>26</v>
      </c>
      <c r="N45" s="801">
        <v>26</v>
      </c>
    </row>
    <row r="46" spans="1:14">
      <c r="A46" s="800" t="s">
        <v>1072</v>
      </c>
      <c r="B46" s="800" t="s">
        <v>1204</v>
      </c>
      <c r="D46" s="801">
        <v>20147</v>
      </c>
      <c r="E46" s="801"/>
      <c r="F46" s="801"/>
      <c r="G46" s="801"/>
      <c r="H46" s="801">
        <v>0</v>
      </c>
      <c r="I46" s="801">
        <v>4642</v>
      </c>
      <c r="J46" s="801"/>
      <c r="K46" s="801"/>
      <c r="L46" s="801"/>
      <c r="M46" s="801"/>
      <c r="N46" s="801"/>
    </row>
    <row r="47" spans="1:14">
      <c r="A47" s="800" t="s">
        <v>1173</v>
      </c>
      <c r="B47" s="800" t="s">
        <v>2344</v>
      </c>
      <c r="D47" s="801">
        <v>0</v>
      </c>
      <c r="E47" s="801"/>
      <c r="F47" s="801"/>
      <c r="G47" s="801"/>
      <c r="H47" s="801">
        <v>2231</v>
      </c>
      <c r="I47" s="801">
        <v>2231</v>
      </c>
      <c r="J47" s="801">
        <v>2713</v>
      </c>
      <c r="K47" s="801">
        <v>2713</v>
      </c>
      <c r="L47" s="801">
        <v>1760</v>
      </c>
      <c r="M47" s="801">
        <v>10</v>
      </c>
      <c r="N47" s="801">
        <v>0</v>
      </c>
    </row>
    <row r="48" spans="1:14">
      <c r="A48" s="800" t="s">
        <v>1276</v>
      </c>
      <c r="B48" s="800" t="s">
        <v>1277</v>
      </c>
      <c r="D48" s="801">
        <v>15242</v>
      </c>
      <c r="E48" s="801"/>
      <c r="F48" s="801"/>
      <c r="G48" s="801"/>
      <c r="H48" s="801">
        <v>11135</v>
      </c>
      <c r="I48" s="801">
        <v>11135</v>
      </c>
      <c r="J48" s="801">
        <v>11135</v>
      </c>
      <c r="K48" s="801">
        <v>1607</v>
      </c>
      <c r="L48" s="801"/>
      <c r="M48" s="801"/>
      <c r="N48" s="801"/>
    </row>
    <row r="49" spans="1:14">
      <c r="A49" s="800" t="s">
        <v>1115</v>
      </c>
      <c r="B49" s="800" t="s">
        <v>2308</v>
      </c>
      <c r="D49" s="801"/>
      <c r="E49" s="801"/>
      <c r="F49" s="801"/>
      <c r="G49" s="801"/>
      <c r="H49" s="801"/>
      <c r="I49" s="801"/>
      <c r="J49" s="801"/>
      <c r="K49" s="801"/>
      <c r="L49" s="801">
        <v>1</v>
      </c>
      <c r="M49" s="801">
        <v>0</v>
      </c>
      <c r="N49" s="801">
        <v>0</v>
      </c>
    </row>
    <row r="50" spans="1:14" ht="15" thickBot="1">
      <c r="A50" s="800" t="s">
        <v>1129</v>
      </c>
      <c r="B50" s="800" t="s">
        <v>2594</v>
      </c>
      <c r="D50" s="801">
        <v>353</v>
      </c>
      <c r="E50" s="801"/>
      <c r="F50" s="801"/>
      <c r="G50" s="801"/>
      <c r="H50" s="801">
        <v>2292</v>
      </c>
      <c r="I50" s="801">
        <v>689</v>
      </c>
      <c r="J50" s="801">
        <v>85</v>
      </c>
      <c r="K50" s="801">
        <v>66</v>
      </c>
      <c r="L50" s="801">
        <v>10</v>
      </c>
      <c r="M50" s="801">
        <v>170</v>
      </c>
      <c r="N50" s="801">
        <v>69</v>
      </c>
    </row>
    <row r="51" spans="1:14" ht="15" thickBot="1">
      <c r="A51" s="798" t="s">
        <v>1252</v>
      </c>
      <c r="B51" s="798" t="s">
        <v>2595</v>
      </c>
      <c r="C51" s="798"/>
      <c r="D51" s="799">
        <f t="shared" ref="D51:N51" si="5">SUM(D52:D59)</f>
        <v>463811</v>
      </c>
      <c r="E51" s="799">
        <f t="shared" si="5"/>
        <v>0</v>
      </c>
      <c r="F51" s="799">
        <f t="shared" si="5"/>
        <v>0</v>
      </c>
      <c r="G51" s="799">
        <f t="shared" si="5"/>
        <v>0</v>
      </c>
      <c r="H51" s="799">
        <f t="shared" si="5"/>
        <v>1847455</v>
      </c>
      <c r="I51" s="799">
        <f t="shared" si="5"/>
        <v>1900050</v>
      </c>
      <c r="J51" s="799">
        <f t="shared" si="5"/>
        <v>2146361</v>
      </c>
      <c r="K51" s="799">
        <f t="shared" si="5"/>
        <v>2169294</v>
      </c>
      <c r="L51" s="799">
        <f t="shared" si="5"/>
        <v>2173526</v>
      </c>
      <c r="M51" s="799">
        <f t="shared" si="5"/>
        <v>2176148</v>
      </c>
      <c r="N51" s="799">
        <f t="shared" si="5"/>
        <v>2202303</v>
      </c>
    </row>
    <row r="52" spans="1:14">
      <c r="A52" s="800" t="s">
        <v>1271</v>
      </c>
      <c r="B52" s="800" t="s">
        <v>2585</v>
      </c>
      <c r="D52" s="801">
        <v>345107</v>
      </c>
      <c r="E52" s="801"/>
      <c r="F52" s="801"/>
      <c r="G52" s="801"/>
      <c r="H52" s="801">
        <v>780919</v>
      </c>
      <c r="I52" s="801">
        <v>828402</v>
      </c>
      <c r="J52" s="801">
        <v>1036995</v>
      </c>
      <c r="K52" s="801">
        <v>1066474</v>
      </c>
      <c r="L52" s="801">
        <v>1059234</v>
      </c>
      <c r="M52" s="801">
        <v>1057328</v>
      </c>
      <c r="N52" s="801">
        <v>1058647</v>
      </c>
    </row>
    <row r="53" spans="1:14">
      <c r="A53" s="800" t="s">
        <v>1107</v>
      </c>
      <c r="B53" s="800" t="s">
        <v>1108</v>
      </c>
      <c r="D53" s="801">
        <v>0</v>
      </c>
      <c r="E53" s="801"/>
      <c r="F53" s="801"/>
      <c r="G53" s="801"/>
      <c r="H53" s="801">
        <v>971061</v>
      </c>
      <c r="I53" s="801">
        <v>979483</v>
      </c>
      <c r="J53" s="801">
        <v>1016559</v>
      </c>
      <c r="K53" s="801">
        <v>1009075</v>
      </c>
      <c r="L53" s="801">
        <v>1018784</v>
      </c>
      <c r="M53" s="801">
        <v>1022974</v>
      </c>
      <c r="N53" s="801">
        <v>1047352</v>
      </c>
    </row>
    <row r="54" spans="1:14">
      <c r="A54" s="800" t="s">
        <v>1132</v>
      </c>
      <c r="B54" s="800" t="s">
        <v>2608</v>
      </c>
      <c r="D54" s="801">
        <v>404</v>
      </c>
      <c r="E54" s="801"/>
      <c r="F54" s="801"/>
      <c r="G54" s="801"/>
      <c r="H54" s="801">
        <v>2666</v>
      </c>
      <c r="I54" s="801">
        <v>354</v>
      </c>
      <c r="J54" s="801">
        <v>319</v>
      </c>
      <c r="K54" s="801">
        <v>301</v>
      </c>
      <c r="L54" s="801">
        <v>286</v>
      </c>
      <c r="M54" s="801">
        <v>258</v>
      </c>
      <c r="N54" s="801">
        <v>247</v>
      </c>
    </row>
    <row r="55" spans="1:14">
      <c r="A55" s="800" t="s">
        <v>1274</v>
      </c>
      <c r="B55" s="800" t="s">
        <v>2596</v>
      </c>
      <c r="D55" s="801">
        <v>86760</v>
      </c>
      <c r="E55" s="801"/>
      <c r="F55" s="801"/>
      <c r="G55" s="801"/>
      <c r="H55" s="801">
        <v>89796</v>
      </c>
      <c r="I55" s="801">
        <v>90572</v>
      </c>
      <c r="J55" s="801">
        <v>91354</v>
      </c>
      <c r="K55" s="801">
        <v>92143</v>
      </c>
      <c r="L55" s="801">
        <v>92939</v>
      </c>
      <c r="M55" s="801">
        <v>93742</v>
      </c>
      <c r="N55" s="801">
        <v>94552</v>
      </c>
    </row>
    <row r="56" spans="1:14">
      <c r="A56" s="800" t="s">
        <v>2609</v>
      </c>
      <c r="B56" s="800" t="s">
        <v>2610</v>
      </c>
      <c r="D56" s="801">
        <v>121</v>
      </c>
      <c r="E56" s="801"/>
      <c r="F56" s="801"/>
      <c r="G56" s="801"/>
      <c r="H56" s="801">
        <v>94</v>
      </c>
      <c r="I56" s="801">
        <v>106</v>
      </c>
      <c r="J56" s="801">
        <v>96</v>
      </c>
      <c r="K56" s="801">
        <v>81</v>
      </c>
      <c r="L56" s="801">
        <v>63</v>
      </c>
      <c r="M56" s="801">
        <v>42</v>
      </c>
      <c r="N56" s="801">
        <v>74</v>
      </c>
    </row>
    <row r="57" spans="1:14">
      <c r="A57" s="800" t="s">
        <v>1265</v>
      </c>
      <c r="B57" s="800" t="s">
        <v>1266</v>
      </c>
      <c r="D57" s="801">
        <v>12024</v>
      </c>
      <c r="E57" s="801"/>
      <c r="F57" s="801"/>
      <c r="G57" s="801"/>
      <c r="H57" s="801">
        <v>2129</v>
      </c>
      <c r="I57" s="801">
        <v>1133</v>
      </c>
      <c r="J57" s="801">
        <v>1038</v>
      </c>
      <c r="K57" s="801">
        <v>1220</v>
      </c>
      <c r="L57" s="801">
        <v>2220</v>
      </c>
      <c r="M57" s="801">
        <v>1804</v>
      </c>
      <c r="N57" s="801">
        <v>1431</v>
      </c>
    </row>
    <row r="58" spans="1:14">
      <c r="A58" s="800" t="s">
        <v>1276</v>
      </c>
      <c r="B58" s="800" t="s">
        <v>1277</v>
      </c>
      <c r="D58" s="801">
        <v>18814</v>
      </c>
      <c r="E58" s="801"/>
      <c r="F58" s="801"/>
      <c r="G58" s="801"/>
      <c r="H58" s="801"/>
      <c r="I58" s="801"/>
      <c r="J58" s="801"/>
      <c r="K58" s="801"/>
      <c r="L58" s="801"/>
      <c r="M58" s="801"/>
      <c r="N58" s="801"/>
    </row>
    <row r="59" spans="1:14" ht="15" thickBot="1">
      <c r="A59" s="800" t="s">
        <v>1129</v>
      </c>
      <c r="B59" s="800" t="s">
        <v>2594</v>
      </c>
      <c r="D59" s="801">
        <v>581</v>
      </c>
      <c r="E59" s="801"/>
      <c r="F59" s="801"/>
      <c r="G59" s="801"/>
      <c r="H59" s="801">
        <v>790</v>
      </c>
      <c r="I59" s="801">
        <v>0</v>
      </c>
      <c r="J59" s="801">
        <v>0</v>
      </c>
      <c r="K59" s="801">
        <v>0</v>
      </c>
      <c r="L59" s="801"/>
      <c r="M59" s="801"/>
      <c r="N59" s="801"/>
    </row>
    <row r="60" spans="1:14" ht="15" thickBot="1">
      <c r="A60" s="798" t="s">
        <v>1261</v>
      </c>
      <c r="B60" s="798" t="s">
        <v>2597</v>
      </c>
      <c r="C60" s="798"/>
      <c r="D60" s="799">
        <f t="shared" ref="D60:N60" si="6">D36+D51</f>
        <v>2033115</v>
      </c>
      <c r="E60" s="799">
        <f t="shared" si="6"/>
        <v>0</v>
      </c>
      <c r="F60" s="799">
        <f t="shared" si="6"/>
        <v>0</v>
      </c>
      <c r="G60" s="799">
        <f t="shared" si="6"/>
        <v>0</v>
      </c>
      <c r="H60" s="799">
        <f t="shared" si="6"/>
        <v>2346429</v>
      </c>
      <c r="I60" s="799">
        <f t="shared" si="6"/>
        <v>2484311</v>
      </c>
      <c r="J60" s="799">
        <f t="shared" si="6"/>
        <v>2407385</v>
      </c>
      <c r="K60" s="799">
        <f t="shared" si="6"/>
        <v>2313793</v>
      </c>
      <c r="L60" s="799">
        <f t="shared" si="6"/>
        <v>2356319</v>
      </c>
      <c r="M60" s="799">
        <f t="shared" si="6"/>
        <v>2334750</v>
      </c>
      <c r="N60" s="799">
        <f t="shared" si="6"/>
        <v>2365081</v>
      </c>
    </row>
    <row r="61" spans="1:14" ht="15" thickBot="1">
      <c r="A61" s="798" t="s">
        <v>1278</v>
      </c>
      <c r="B61" s="798" t="s">
        <v>2598</v>
      </c>
      <c r="C61" s="798"/>
      <c r="D61" s="799">
        <f t="shared" ref="D61:N61" si="7">D66+D67</f>
        <v>731627</v>
      </c>
      <c r="E61" s="799">
        <f t="shared" si="7"/>
        <v>0</v>
      </c>
      <c r="F61" s="799">
        <f t="shared" si="7"/>
        <v>0</v>
      </c>
      <c r="G61" s="799">
        <f t="shared" si="7"/>
        <v>0</v>
      </c>
      <c r="H61" s="799">
        <f t="shared" si="7"/>
        <v>700112</v>
      </c>
      <c r="I61" s="799">
        <f t="shared" si="7"/>
        <v>621017</v>
      </c>
      <c r="J61" s="799">
        <f t="shared" si="7"/>
        <v>693364</v>
      </c>
      <c r="K61" s="799">
        <f t="shared" si="7"/>
        <v>739302</v>
      </c>
      <c r="L61" s="799">
        <f t="shared" si="7"/>
        <v>91634</v>
      </c>
      <c r="M61" s="799">
        <f t="shared" si="7"/>
        <v>44055</v>
      </c>
      <c r="N61" s="799">
        <f t="shared" si="7"/>
        <v>-12715</v>
      </c>
    </row>
    <row r="62" spans="1:14">
      <c r="A62" s="800" t="s">
        <v>1137</v>
      </c>
      <c r="B62" s="800" t="s">
        <v>2599</v>
      </c>
      <c r="D62" s="801">
        <v>745840</v>
      </c>
      <c r="E62" s="801"/>
      <c r="F62" s="801"/>
      <c r="G62" s="801"/>
      <c r="H62" s="801">
        <v>863140</v>
      </c>
      <c r="I62" s="801">
        <v>863140</v>
      </c>
      <c r="J62" s="801">
        <v>972202</v>
      </c>
      <c r="K62" s="801">
        <v>1048981</v>
      </c>
      <c r="L62" s="801">
        <v>1048981</v>
      </c>
      <c r="M62" s="801">
        <v>1048981</v>
      </c>
      <c r="N62" s="801">
        <v>1048981</v>
      </c>
    </row>
    <row r="63" spans="1:14">
      <c r="A63" s="800" t="s">
        <v>1217</v>
      </c>
      <c r="B63" s="800" t="s">
        <v>1218</v>
      </c>
      <c r="D63" s="801">
        <v>-993</v>
      </c>
      <c r="E63" s="801"/>
      <c r="F63" s="801"/>
      <c r="G63" s="801"/>
      <c r="H63" s="801">
        <v>-167598</v>
      </c>
      <c r="I63" s="801">
        <v>-239058</v>
      </c>
      <c r="J63" s="801">
        <v>-279963</v>
      </c>
      <c r="K63" s="801">
        <v>-311517</v>
      </c>
      <c r="L63" s="801">
        <v>-933440</v>
      </c>
      <c r="M63" s="801">
        <v>-983413</v>
      </c>
      <c r="N63" s="801">
        <v>-1042111</v>
      </c>
    </row>
    <row r="64" spans="1:14">
      <c r="A64" s="800" t="s">
        <v>1143</v>
      </c>
      <c r="B64" s="800" t="s">
        <v>1144</v>
      </c>
      <c r="D64" s="801"/>
      <c r="E64" s="801"/>
      <c r="F64" s="801"/>
      <c r="G64" s="801"/>
      <c r="H64" s="801"/>
      <c r="I64" s="801"/>
      <c r="J64" s="801">
        <v>711</v>
      </c>
      <c r="K64" s="801">
        <v>711</v>
      </c>
      <c r="L64" s="801">
        <v>711</v>
      </c>
      <c r="M64" s="801">
        <v>-323119</v>
      </c>
      <c r="N64" s="801">
        <v>-323119</v>
      </c>
    </row>
    <row r="65" spans="1:14" ht="15" thickBot="1">
      <c r="A65" s="800" t="s">
        <v>1197</v>
      </c>
      <c r="B65" s="800" t="s">
        <v>2601</v>
      </c>
      <c r="D65" s="801">
        <v>-13220</v>
      </c>
      <c r="E65" s="801"/>
      <c r="F65" s="801"/>
      <c r="G65" s="801"/>
      <c r="H65" s="801">
        <v>4570</v>
      </c>
      <c r="I65" s="801">
        <v>-3065</v>
      </c>
      <c r="J65" s="801">
        <v>0</v>
      </c>
      <c r="K65" s="801">
        <v>0</v>
      </c>
      <c r="L65" s="801">
        <v>0</v>
      </c>
      <c r="M65" s="801">
        <v>0</v>
      </c>
      <c r="N65" s="801"/>
    </row>
    <row r="66" spans="1:14" ht="15" thickBot="1">
      <c r="A66" s="798" t="s">
        <v>2604</v>
      </c>
      <c r="B66" s="798" t="s">
        <v>2605</v>
      </c>
      <c r="C66" s="798"/>
      <c r="D66" s="799">
        <f t="shared" ref="D66:N66" si="8">SUM(D62:D65)</f>
        <v>731627</v>
      </c>
      <c r="E66" s="799">
        <f t="shared" si="8"/>
        <v>0</v>
      </c>
      <c r="F66" s="799">
        <f t="shared" si="8"/>
        <v>0</v>
      </c>
      <c r="G66" s="799">
        <f t="shared" si="8"/>
        <v>0</v>
      </c>
      <c r="H66" s="799">
        <f t="shared" si="8"/>
        <v>700112</v>
      </c>
      <c r="I66" s="799">
        <f t="shared" si="8"/>
        <v>621017</v>
      </c>
      <c r="J66" s="799">
        <f t="shared" si="8"/>
        <v>692950</v>
      </c>
      <c r="K66" s="799">
        <f t="shared" si="8"/>
        <v>738175</v>
      </c>
      <c r="L66" s="799">
        <f t="shared" si="8"/>
        <v>116252</v>
      </c>
      <c r="M66" s="799">
        <f t="shared" si="8"/>
        <v>-257551</v>
      </c>
      <c r="N66" s="799">
        <f t="shared" si="8"/>
        <v>-316249</v>
      </c>
    </row>
    <row r="67" spans="1:14" ht="15" thickBot="1">
      <c r="A67" s="800" t="s">
        <v>2606</v>
      </c>
      <c r="B67" s="800" t="s">
        <v>2607</v>
      </c>
      <c r="D67" s="801"/>
      <c r="E67" s="801"/>
      <c r="F67" s="801"/>
      <c r="G67" s="801"/>
      <c r="H67" s="801"/>
      <c r="I67" s="801"/>
      <c r="J67" s="801">
        <v>414</v>
      </c>
      <c r="K67" s="801">
        <v>1127</v>
      </c>
      <c r="L67" s="801">
        <v>-24618</v>
      </c>
      <c r="M67" s="801">
        <v>301606</v>
      </c>
      <c r="N67" s="801">
        <v>303534</v>
      </c>
    </row>
    <row r="68" spans="1:14" ht="15" thickBot="1">
      <c r="A68" s="798" t="s">
        <v>1264</v>
      </c>
      <c r="B68" s="798" t="s">
        <v>1148</v>
      </c>
      <c r="C68" s="798"/>
      <c r="D68" s="799">
        <f t="shared" ref="D68:N68" si="9">D60+D61</f>
        <v>2764742</v>
      </c>
      <c r="E68" s="799">
        <f t="shared" si="9"/>
        <v>0</v>
      </c>
      <c r="F68" s="799">
        <f t="shared" si="9"/>
        <v>0</v>
      </c>
      <c r="G68" s="799">
        <f t="shared" si="9"/>
        <v>0</v>
      </c>
      <c r="H68" s="799">
        <f t="shared" si="9"/>
        <v>3046541</v>
      </c>
      <c r="I68" s="799">
        <f t="shared" si="9"/>
        <v>3105328</v>
      </c>
      <c r="J68" s="799">
        <f t="shared" si="9"/>
        <v>3100749</v>
      </c>
      <c r="K68" s="799">
        <f t="shared" si="9"/>
        <v>3053095</v>
      </c>
      <c r="L68" s="799">
        <f t="shared" si="9"/>
        <v>2447953</v>
      </c>
      <c r="M68" s="799">
        <f t="shared" si="9"/>
        <v>2378805</v>
      </c>
      <c r="N68" s="799">
        <f t="shared" si="9"/>
        <v>2352366</v>
      </c>
    </row>
    <row r="69" spans="1:14">
      <c r="A69" s="802"/>
      <c r="D69" s="803">
        <f t="shared" ref="D69:N69" si="10">D68-D33</f>
        <v>0</v>
      </c>
      <c r="E69" s="803">
        <f t="shared" si="10"/>
        <v>0</v>
      </c>
      <c r="F69" s="803">
        <f t="shared" si="10"/>
        <v>0</v>
      </c>
      <c r="G69" s="803">
        <f t="shared" si="10"/>
        <v>0</v>
      </c>
      <c r="H69" s="803">
        <f t="shared" si="10"/>
        <v>0</v>
      </c>
      <c r="I69" s="803">
        <f t="shared" si="10"/>
        <v>0</v>
      </c>
      <c r="J69" s="803">
        <f t="shared" si="10"/>
        <v>0</v>
      </c>
      <c r="K69" s="803">
        <f t="shared" si="10"/>
        <v>0</v>
      </c>
      <c r="L69" s="803">
        <f t="shared" si="10"/>
        <v>0</v>
      </c>
      <c r="M69" s="803">
        <f t="shared" si="10"/>
        <v>0</v>
      </c>
      <c r="N69" s="803">
        <f t="shared" si="10"/>
        <v>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theme="9" tint="0.79998168889431442"/>
  </sheetPr>
  <dimension ref="A6:AL95"/>
  <sheetViews>
    <sheetView showGridLines="0" zoomScale="70" zoomScaleNormal="70" workbookViewId="0">
      <pane xSplit="2" topLeftCell="AB1" activePane="topRight" state="frozen"/>
      <selection activeCell="BB24" sqref="BB24"/>
      <selection pane="topRight" activeCell="B23" sqref="B23"/>
    </sheetView>
  </sheetViews>
  <sheetFormatPr defaultColWidth="9.21875" defaultRowHeight="14.4" outlineLevelCol="1"/>
  <cols>
    <col min="1" max="2" width="47.5546875" style="35" customWidth="1"/>
    <col min="3" max="3" width="0.77734375" customWidth="1"/>
    <col min="4" max="15" width="0" style="35" hidden="1" customWidth="1" outlineLevel="1"/>
    <col min="16" max="23" width="11.44140625" style="35" hidden="1" customWidth="1" outlineLevel="1"/>
    <col min="24" max="24" width="11.44140625" style="35" bestFit="1" customWidth="1" collapsed="1"/>
    <col min="25" max="38" width="11.44140625" style="35" bestFit="1" customWidth="1"/>
    <col min="39" max="16384" width="9.21875" style="35"/>
  </cols>
  <sheetData>
    <row r="6" spans="1:38">
      <c r="A6" s="38" t="s">
        <v>925</v>
      </c>
      <c r="B6" s="38" t="s">
        <v>926</v>
      </c>
      <c r="C6" s="111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</row>
    <row r="7" spans="1:38" ht="15" thickBot="1">
      <c r="A7" s="6" t="s">
        <v>1285</v>
      </c>
      <c r="B7" s="6" t="s">
        <v>1286</v>
      </c>
      <c r="C7" s="341"/>
      <c r="D7" s="434" t="s">
        <v>55</v>
      </c>
      <c r="E7" s="434" t="s">
        <v>56</v>
      </c>
      <c r="F7" s="434" t="s">
        <v>57</v>
      </c>
      <c r="G7" s="434" t="s">
        <v>58</v>
      </c>
      <c r="H7" s="434" t="s">
        <v>59</v>
      </c>
      <c r="I7" s="434" t="s">
        <v>60</v>
      </c>
      <c r="J7" s="434" t="s">
        <v>61</v>
      </c>
      <c r="K7" s="434" t="s">
        <v>62</v>
      </c>
      <c r="L7" s="434" t="s">
        <v>63</v>
      </c>
      <c r="M7" s="434" t="s">
        <v>64</v>
      </c>
      <c r="N7" s="434" t="s">
        <v>65</v>
      </c>
      <c r="O7" s="434" t="s">
        <v>66</v>
      </c>
      <c r="P7" s="434" t="s">
        <v>67</v>
      </c>
      <c r="Q7" s="434" t="s">
        <v>68</v>
      </c>
      <c r="R7" s="434" t="s">
        <v>69</v>
      </c>
      <c r="S7" s="434" t="s">
        <v>70</v>
      </c>
      <c r="T7" s="434" t="s">
        <v>71</v>
      </c>
      <c r="U7" s="434" t="s">
        <v>72</v>
      </c>
      <c r="V7" s="434" t="s">
        <v>73</v>
      </c>
      <c r="W7" s="434" t="s">
        <v>74</v>
      </c>
      <c r="X7" s="434" t="s">
        <v>75</v>
      </c>
      <c r="Y7" s="434" t="s">
        <v>76</v>
      </c>
      <c r="Z7" s="434" t="s">
        <v>77</v>
      </c>
      <c r="AA7" s="434" t="s">
        <v>78</v>
      </c>
      <c r="AB7" s="434" t="s">
        <v>79</v>
      </c>
      <c r="AC7" s="434" t="s">
        <v>80</v>
      </c>
      <c r="AD7" s="434" t="s">
        <v>81</v>
      </c>
      <c r="AE7" s="434" t="s">
        <v>82</v>
      </c>
      <c r="AF7" s="434" t="s">
        <v>83</v>
      </c>
      <c r="AG7" s="434" t="s">
        <v>84</v>
      </c>
      <c r="AH7" s="434" t="s">
        <v>85</v>
      </c>
      <c r="AI7" s="434" t="s">
        <v>86</v>
      </c>
      <c r="AJ7" s="434" t="s">
        <v>87</v>
      </c>
      <c r="AK7" s="434" t="s">
        <v>88</v>
      </c>
      <c r="AL7" s="434" t="s">
        <v>2074</v>
      </c>
    </row>
    <row r="8" spans="1:38" ht="15" thickBot="1">
      <c r="A8" s="155" t="s">
        <v>1051</v>
      </c>
      <c r="B8" s="155" t="s">
        <v>1052</v>
      </c>
      <c r="C8" s="342"/>
      <c r="D8" s="156">
        <f t="shared" ref="D8:AC8" si="0">SUM(D9:D25)</f>
        <v>24357</v>
      </c>
      <c r="E8" s="156">
        <f t="shared" si="0"/>
        <v>9004</v>
      </c>
      <c r="F8" s="156">
        <f t="shared" si="0"/>
        <v>9301</v>
      </c>
      <c r="G8" s="156">
        <f t="shared" si="0"/>
        <v>33245</v>
      </c>
      <c r="H8" s="156">
        <f t="shared" si="0"/>
        <v>264051</v>
      </c>
      <c r="I8" s="156">
        <f t="shared" si="0"/>
        <v>404214</v>
      </c>
      <c r="J8" s="156">
        <f t="shared" si="0"/>
        <v>729284</v>
      </c>
      <c r="K8" s="156">
        <f t="shared" si="0"/>
        <v>892508</v>
      </c>
      <c r="L8" s="156">
        <f t="shared" si="0"/>
        <v>682104</v>
      </c>
      <c r="M8" s="156">
        <f t="shared" si="0"/>
        <v>1260962</v>
      </c>
      <c r="N8" s="156">
        <f t="shared" si="0"/>
        <v>646705</v>
      </c>
      <c r="O8" s="156">
        <f t="shared" si="0"/>
        <v>1146057</v>
      </c>
      <c r="P8" s="156">
        <f t="shared" si="0"/>
        <v>1377596</v>
      </c>
      <c r="Q8" s="156">
        <f t="shared" si="0"/>
        <v>1354549</v>
      </c>
      <c r="R8" s="156">
        <f t="shared" si="0"/>
        <v>1173388</v>
      </c>
      <c r="S8" s="156">
        <f t="shared" si="0"/>
        <v>1005896.72413</v>
      </c>
      <c r="T8" s="156">
        <f>SUM(T9:T25)</f>
        <v>1288765.0695</v>
      </c>
      <c r="U8" s="156">
        <f t="shared" si="0"/>
        <v>1547021.44035</v>
      </c>
      <c r="V8" s="156">
        <f t="shared" si="0"/>
        <v>1675742</v>
      </c>
      <c r="W8" s="156">
        <f t="shared" si="0"/>
        <v>2023256</v>
      </c>
      <c r="X8" s="156">
        <f t="shared" si="0"/>
        <v>2724000</v>
      </c>
      <c r="Y8" s="156">
        <f t="shared" si="0"/>
        <v>2705826</v>
      </c>
      <c r="Z8" s="156">
        <f t="shared" si="0"/>
        <v>3060627</v>
      </c>
      <c r="AA8" s="156">
        <f t="shared" si="0"/>
        <v>3089329</v>
      </c>
      <c r="AB8" s="156">
        <f t="shared" si="0"/>
        <v>3237648</v>
      </c>
      <c r="AC8" s="156">
        <f t="shared" si="0"/>
        <v>3106598</v>
      </c>
      <c r="AD8" s="156">
        <f>SUM(AD9:AD25)</f>
        <v>4085930</v>
      </c>
      <c r="AE8" s="156">
        <f>SUM(AE9:AE25)</f>
        <v>4142463</v>
      </c>
      <c r="AF8" s="156">
        <f>SUM(AF9:AF25)</f>
        <v>3819318</v>
      </c>
      <c r="AG8" s="156">
        <f t="shared" ref="AG8:AL8" si="1">SUM(AG9:AG26)</f>
        <v>5110307</v>
      </c>
      <c r="AH8" s="156">
        <f t="shared" si="1"/>
        <v>5318759</v>
      </c>
      <c r="AI8" s="156">
        <f t="shared" si="1"/>
        <v>4448548</v>
      </c>
      <c r="AJ8" s="156">
        <f t="shared" si="1"/>
        <v>3982093</v>
      </c>
      <c r="AK8" s="156">
        <f t="shared" si="1"/>
        <v>4203986</v>
      </c>
      <c r="AL8" s="156">
        <f t="shared" si="1"/>
        <v>4447227</v>
      </c>
    </row>
    <row r="9" spans="1:38">
      <c r="A9" s="151" t="s">
        <v>1053</v>
      </c>
      <c r="B9" s="151" t="s">
        <v>1054</v>
      </c>
      <c r="C9" s="343"/>
      <c r="D9" s="167">
        <v>24280</v>
      </c>
      <c r="E9" s="167">
        <v>3555</v>
      </c>
      <c r="F9" s="167">
        <v>8622</v>
      </c>
      <c r="G9" s="167">
        <v>32459</v>
      </c>
      <c r="H9" s="167">
        <v>262899</v>
      </c>
      <c r="I9" s="167">
        <v>400707</v>
      </c>
      <c r="J9" s="167">
        <v>723289</v>
      </c>
      <c r="K9" s="167">
        <v>874781</v>
      </c>
      <c r="L9" s="167">
        <v>652646</v>
      </c>
      <c r="M9" s="167">
        <f>2255+1129310</f>
        <v>1131565</v>
      </c>
      <c r="N9" s="167">
        <v>471899</v>
      </c>
      <c r="O9" s="167">
        <f>612118+2073</f>
        <v>614191</v>
      </c>
      <c r="P9" s="167">
        <v>938</v>
      </c>
      <c r="Q9" s="167">
        <v>1981</v>
      </c>
      <c r="R9" s="167">
        <v>134</v>
      </c>
      <c r="S9" s="167">
        <v>-17.613050000000019</v>
      </c>
      <c r="T9" s="167">
        <v>311.47853999999995</v>
      </c>
      <c r="U9" s="167">
        <v>562.66906000000006</v>
      </c>
      <c r="V9" s="167">
        <v>46746</v>
      </c>
      <c r="W9" s="167">
        <v>51845</v>
      </c>
      <c r="X9" s="167">
        <v>457000</v>
      </c>
      <c r="Y9" s="167">
        <v>617509</v>
      </c>
      <c r="Z9" s="167">
        <v>652930.00000000012</v>
      </c>
      <c r="AA9" s="167">
        <v>826673</v>
      </c>
      <c r="AB9" s="167">
        <v>470439</v>
      </c>
      <c r="AC9" s="167">
        <v>855054</v>
      </c>
      <c r="AD9" s="167">
        <v>1083203</v>
      </c>
      <c r="AE9" s="167">
        <v>1330757</v>
      </c>
      <c r="AF9" s="167">
        <v>964221</v>
      </c>
      <c r="AG9" s="167">
        <v>956909</v>
      </c>
      <c r="AH9" s="167">
        <v>917846</v>
      </c>
      <c r="AI9" s="167">
        <v>1296133</v>
      </c>
      <c r="AJ9" s="167">
        <v>656729</v>
      </c>
      <c r="AK9" s="167">
        <v>914362</v>
      </c>
      <c r="AL9" s="167">
        <v>731134</v>
      </c>
    </row>
    <row r="10" spans="1:38">
      <c r="A10" s="151" t="s">
        <v>1149</v>
      </c>
      <c r="B10" s="151" t="s">
        <v>1056</v>
      </c>
      <c r="C10" s="343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>
        <v>487871</v>
      </c>
      <c r="Q10" s="167">
        <v>492207</v>
      </c>
      <c r="R10" s="167">
        <v>368798</v>
      </c>
      <c r="S10" s="167">
        <v>282432.70522</v>
      </c>
      <c r="T10" s="167">
        <v>243340.59095999997</v>
      </c>
      <c r="U10" s="167">
        <v>297648.80634999997</v>
      </c>
      <c r="V10" s="167">
        <v>446433</v>
      </c>
      <c r="W10" s="167">
        <v>552073</v>
      </c>
      <c r="X10" s="167">
        <v>750000</v>
      </c>
      <c r="Y10" s="167">
        <v>579214</v>
      </c>
      <c r="Z10" s="167">
        <v>657577</v>
      </c>
      <c r="AA10" s="167">
        <v>500293</v>
      </c>
      <c r="AB10" s="167">
        <v>882052.99999999988</v>
      </c>
      <c r="AC10" s="167">
        <v>501783</v>
      </c>
      <c r="AD10" s="167">
        <v>1074377</v>
      </c>
      <c r="AE10" s="167">
        <v>884464</v>
      </c>
      <c r="AF10" s="167">
        <v>972635</v>
      </c>
      <c r="AG10" s="167">
        <v>1122257</v>
      </c>
      <c r="AH10" s="167">
        <v>1306163</v>
      </c>
      <c r="AI10" s="167">
        <v>1350844</v>
      </c>
      <c r="AJ10" s="167">
        <v>1427982</v>
      </c>
      <c r="AK10" s="167">
        <v>1427420</v>
      </c>
      <c r="AL10" s="167">
        <v>1788929</v>
      </c>
    </row>
    <row r="11" spans="1:38">
      <c r="A11" s="151" t="s">
        <v>1287</v>
      </c>
      <c r="B11" s="151" t="s">
        <v>1058</v>
      </c>
      <c r="C11" s="343"/>
      <c r="D11" s="167"/>
      <c r="E11" s="167"/>
      <c r="F11" s="167"/>
      <c r="G11" s="167"/>
      <c r="H11" s="167"/>
      <c r="I11" s="167"/>
      <c r="J11" s="167"/>
      <c r="K11" s="167"/>
      <c r="L11" s="167"/>
      <c r="M11" s="167"/>
      <c r="N11" s="167"/>
      <c r="O11" s="167"/>
      <c r="P11" s="167">
        <v>21585</v>
      </c>
      <c r="Q11" s="167">
        <v>26295</v>
      </c>
      <c r="R11" s="167">
        <v>31619</v>
      </c>
      <c r="S11" s="167">
        <v>63840.168339999997</v>
      </c>
      <c r="T11" s="167">
        <v>82684</v>
      </c>
      <c r="U11" s="167">
        <v>100914.10228000001</v>
      </c>
      <c r="V11" s="167">
        <v>96743</v>
      </c>
      <c r="W11" s="167">
        <v>121943</v>
      </c>
      <c r="X11" s="167">
        <v>235000</v>
      </c>
      <c r="Y11" s="167">
        <v>236004.00000000003</v>
      </c>
      <c r="Z11" s="167">
        <v>248246</v>
      </c>
      <c r="AA11" s="167">
        <v>252134</v>
      </c>
      <c r="AB11" s="167">
        <v>233410</v>
      </c>
      <c r="AC11" s="167">
        <v>244843</v>
      </c>
      <c r="AD11" s="167">
        <v>287241</v>
      </c>
      <c r="AE11" s="167">
        <v>287291</v>
      </c>
      <c r="AF11" s="167">
        <v>279404</v>
      </c>
      <c r="AG11" s="167">
        <v>314820</v>
      </c>
      <c r="AH11" s="167">
        <v>326472</v>
      </c>
      <c r="AI11" s="167">
        <v>353306</v>
      </c>
      <c r="AJ11" s="167">
        <v>363108</v>
      </c>
      <c r="AK11" s="167">
        <v>360326</v>
      </c>
      <c r="AL11" s="167">
        <v>401262</v>
      </c>
    </row>
    <row r="12" spans="1:38">
      <c r="A12" s="151" t="s">
        <v>1288</v>
      </c>
      <c r="B12" s="151" t="s">
        <v>1087</v>
      </c>
      <c r="C12" s="343"/>
      <c r="D12" s="167">
        <v>0</v>
      </c>
      <c r="E12" s="167">
        <v>0</v>
      </c>
      <c r="F12" s="167">
        <v>0</v>
      </c>
      <c r="G12" s="167">
        <v>0</v>
      </c>
      <c r="H12" s="167">
        <v>0</v>
      </c>
      <c r="I12" s="167">
        <v>0</v>
      </c>
      <c r="J12" s="167">
        <v>0</v>
      </c>
      <c r="K12" s="167"/>
      <c r="L12" s="167">
        <v>0</v>
      </c>
      <c r="M12" s="167"/>
      <c r="N12" s="167">
        <v>4663</v>
      </c>
      <c r="O12" s="167"/>
      <c r="P12" s="167"/>
      <c r="Q12" s="167"/>
      <c r="R12" s="167"/>
      <c r="S12" s="167"/>
      <c r="T12" s="167"/>
      <c r="U12" s="167">
        <v>1029848</v>
      </c>
      <c r="V12" s="167">
        <v>960733</v>
      </c>
      <c r="W12" s="167">
        <v>1212314</v>
      </c>
      <c r="X12" s="167">
        <v>1091000</v>
      </c>
      <c r="Y12" s="167">
        <v>1067371</v>
      </c>
      <c r="Z12" s="167">
        <v>1245047</v>
      </c>
      <c r="AA12" s="167">
        <v>1238435</v>
      </c>
      <c r="AB12" s="167">
        <v>1229181</v>
      </c>
      <c r="AC12" s="167">
        <v>1287137</v>
      </c>
      <c r="AD12" s="167">
        <v>1399388</v>
      </c>
      <c r="AE12" s="167">
        <v>1388395</v>
      </c>
      <c r="AF12" s="167">
        <v>1348920</v>
      </c>
      <c r="AG12" s="167">
        <v>1138545</v>
      </c>
      <c r="AH12" s="167">
        <v>1192725</v>
      </c>
      <c r="AI12" s="167">
        <v>1123855</v>
      </c>
      <c r="AJ12" s="167">
        <v>1191780</v>
      </c>
      <c r="AK12" s="167">
        <v>1193823</v>
      </c>
      <c r="AL12" s="167"/>
    </row>
    <row r="13" spans="1:38">
      <c r="A13" s="151" t="s">
        <v>1289</v>
      </c>
      <c r="B13" s="151" t="s">
        <v>1290</v>
      </c>
      <c r="C13" s="343"/>
      <c r="D13" s="167">
        <v>0</v>
      </c>
      <c r="E13" s="167">
        <v>0</v>
      </c>
      <c r="F13" s="167">
        <v>0</v>
      </c>
      <c r="G13" s="167">
        <v>0</v>
      </c>
      <c r="H13" s="167">
        <v>0</v>
      </c>
      <c r="I13" s="167">
        <v>0</v>
      </c>
      <c r="J13" s="167">
        <v>0</v>
      </c>
      <c r="K13" s="167"/>
      <c r="L13" s="167">
        <v>0</v>
      </c>
      <c r="M13" s="167"/>
      <c r="N13" s="167"/>
      <c r="O13" s="167"/>
      <c r="P13" s="167"/>
      <c r="Q13" s="167"/>
      <c r="R13" s="167"/>
      <c r="S13" s="167">
        <v>16041.235810000004</v>
      </c>
      <c r="T13" s="167"/>
      <c r="U13" s="167">
        <v>38642.601519999989</v>
      </c>
      <c r="V13" s="167">
        <v>48657</v>
      </c>
      <c r="W13" s="167"/>
      <c r="X13" s="167">
        <v>92000</v>
      </c>
      <c r="Y13" s="167">
        <v>0</v>
      </c>
      <c r="Z13" s="167">
        <v>114150</v>
      </c>
      <c r="AA13" s="167"/>
      <c r="AB13" s="167">
        <v>125919.99999999999</v>
      </c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</row>
    <row r="14" spans="1:38">
      <c r="A14" s="151" t="s">
        <v>1203</v>
      </c>
      <c r="B14" s="151" t="s">
        <v>1064</v>
      </c>
      <c r="C14" s="343"/>
      <c r="D14" s="167"/>
      <c r="E14" s="167"/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  <c r="AC14" s="167">
        <v>3119</v>
      </c>
      <c r="AD14" s="167">
        <v>3186</v>
      </c>
      <c r="AE14" s="167">
        <v>5842</v>
      </c>
      <c r="AF14" s="167">
        <v>7313</v>
      </c>
      <c r="AG14" s="167">
        <v>7949</v>
      </c>
      <c r="AH14" s="167">
        <v>9403</v>
      </c>
      <c r="AI14" s="167">
        <v>10942</v>
      </c>
      <c r="AJ14" s="167">
        <v>11359</v>
      </c>
      <c r="AK14" s="167">
        <v>12141</v>
      </c>
      <c r="AL14" s="167">
        <v>15307</v>
      </c>
    </row>
    <row r="15" spans="1:38">
      <c r="A15" s="151" t="s">
        <v>1291</v>
      </c>
      <c r="B15" s="151" t="s">
        <v>1233</v>
      </c>
      <c r="C15" s="343"/>
      <c r="D15" s="167">
        <v>0</v>
      </c>
      <c r="E15" s="167">
        <v>0</v>
      </c>
      <c r="F15" s="167">
        <v>0</v>
      </c>
      <c r="G15" s="167">
        <v>0</v>
      </c>
      <c r="H15" s="167">
        <v>0</v>
      </c>
      <c r="I15" s="167">
        <v>0</v>
      </c>
      <c r="J15" s="167">
        <v>0</v>
      </c>
      <c r="K15" s="167"/>
      <c r="L15" s="167">
        <v>0</v>
      </c>
      <c r="M15" s="167"/>
      <c r="N15" s="167"/>
      <c r="O15" s="167"/>
      <c r="P15" s="167"/>
      <c r="Q15" s="167"/>
      <c r="R15" s="167"/>
      <c r="S15" s="167">
        <v>97624.034360000005</v>
      </c>
      <c r="T15" s="167"/>
      <c r="U15" s="167"/>
      <c r="V15" s="167">
        <v>39910</v>
      </c>
      <c r="W15" s="167"/>
      <c r="X15" s="167">
        <v>44000</v>
      </c>
      <c r="Y15" s="167">
        <v>0</v>
      </c>
      <c r="Z15" s="167">
        <v>0</v>
      </c>
      <c r="AA15" s="167"/>
      <c r="AB15" s="167">
        <v>3058</v>
      </c>
      <c r="AC15" s="167"/>
      <c r="AD15" s="167"/>
      <c r="AE15" s="167"/>
      <c r="AF15" s="167"/>
      <c r="AG15" s="167"/>
      <c r="AH15" s="167"/>
      <c r="AI15" s="167"/>
      <c r="AJ15" s="167"/>
      <c r="AK15" s="167"/>
      <c r="AL15" s="167"/>
    </row>
    <row r="16" spans="1:38">
      <c r="A16" s="151" t="s">
        <v>1234</v>
      </c>
      <c r="B16" s="151" t="s">
        <v>1116</v>
      </c>
      <c r="C16" s="343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>
        <v>262.76008000002093</v>
      </c>
      <c r="V16" s="167"/>
      <c r="W16" s="167"/>
      <c r="X16" s="167"/>
      <c r="Y16" s="167">
        <v>0</v>
      </c>
      <c r="Z16" s="344">
        <v>-378.00000000000011</v>
      </c>
      <c r="AA16" s="344"/>
      <c r="AB16" s="344"/>
      <c r="AC16" s="344">
        <v>0</v>
      </c>
      <c r="AD16" s="167"/>
      <c r="AE16" s="167"/>
      <c r="AF16" s="167"/>
      <c r="AG16" s="167"/>
      <c r="AH16" s="167"/>
      <c r="AI16" s="167"/>
      <c r="AJ16" s="167"/>
      <c r="AK16" s="167"/>
      <c r="AL16" s="167"/>
    </row>
    <row r="17" spans="1:38">
      <c r="A17" s="151" t="s">
        <v>1072</v>
      </c>
      <c r="B17" s="151" t="s">
        <v>1073</v>
      </c>
      <c r="C17" s="343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344"/>
      <c r="AA17" s="344"/>
      <c r="AB17" s="344"/>
      <c r="AC17" s="344"/>
      <c r="AD17" s="167">
        <v>34455</v>
      </c>
      <c r="AE17" s="167">
        <v>7607</v>
      </c>
      <c r="AF17" s="167">
        <v>3123</v>
      </c>
      <c r="AG17" s="167">
        <v>70961</v>
      </c>
      <c r="AH17" s="167">
        <v>0</v>
      </c>
      <c r="AI17" s="167">
        <v>14125</v>
      </c>
      <c r="AJ17" s="167">
        <v>0</v>
      </c>
      <c r="AK17" s="167"/>
      <c r="AL17" s="167"/>
    </row>
    <row r="18" spans="1:38">
      <c r="A18" s="151" t="s">
        <v>1214</v>
      </c>
      <c r="B18" s="151" t="s">
        <v>1075</v>
      </c>
      <c r="C18" s="343"/>
      <c r="D18" s="167">
        <v>0</v>
      </c>
      <c r="E18" s="167">
        <v>2313</v>
      </c>
      <c r="F18" s="167">
        <v>0</v>
      </c>
      <c r="G18" s="167">
        <v>0</v>
      </c>
      <c r="H18" s="167">
        <v>0</v>
      </c>
      <c r="I18" s="167">
        <v>0</v>
      </c>
      <c r="J18" s="167">
        <v>0</v>
      </c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>
        <v>10000</v>
      </c>
      <c r="Y18" s="167"/>
      <c r="Z18" s="167">
        <v>16834</v>
      </c>
      <c r="AA18" s="167">
        <v>16953</v>
      </c>
      <c r="AB18" s="167">
        <v>16528</v>
      </c>
      <c r="AC18" s="167">
        <v>22360</v>
      </c>
      <c r="AD18" s="167">
        <v>38348</v>
      </c>
      <c r="AE18" s="167">
        <v>37640</v>
      </c>
      <c r="AF18" s="167">
        <v>39271</v>
      </c>
      <c r="AG18" s="167">
        <v>40782</v>
      </c>
      <c r="AH18" s="167">
        <v>45639</v>
      </c>
      <c r="AI18" s="167">
        <v>38843</v>
      </c>
      <c r="AJ18" s="167">
        <v>58523</v>
      </c>
      <c r="AK18" s="167">
        <v>75368</v>
      </c>
      <c r="AL18" s="167">
        <v>72228</v>
      </c>
    </row>
    <row r="19" spans="1:38">
      <c r="A19" s="151" t="s">
        <v>1076</v>
      </c>
      <c r="B19" s="151" t="s">
        <v>1077</v>
      </c>
      <c r="C19" s="343"/>
      <c r="D19" s="167">
        <v>0</v>
      </c>
      <c r="E19" s="167">
        <v>0</v>
      </c>
      <c r="F19" s="167">
        <v>0</v>
      </c>
      <c r="G19" s="167">
        <v>0</v>
      </c>
      <c r="H19" s="167">
        <v>142</v>
      </c>
      <c r="I19" s="167">
        <v>202</v>
      </c>
      <c r="J19" s="167">
        <v>202</v>
      </c>
      <c r="K19" s="167">
        <v>3078</v>
      </c>
      <c r="L19" s="167">
        <v>206</v>
      </c>
      <c r="M19" s="167">
        <v>10517</v>
      </c>
      <c r="N19" s="167">
        <v>706</v>
      </c>
      <c r="O19" s="167">
        <v>1310</v>
      </c>
      <c r="P19" s="167">
        <v>3121</v>
      </c>
      <c r="Q19" s="167">
        <v>3805</v>
      </c>
      <c r="R19" s="167">
        <v>3783</v>
      </c>
      <c r="S19" s="167"/>
      <c r="T19" s="167">
        <v>3968</v>
      </c>
      <c r="U19" s="167"/>
      <c r="V19" s="167"/>
      <c r="W19" s="167">
        <v>4087</v>
      </c>
      <c r="X19" s="167"/>
      <c r="Y19" s="167">
        <v>10990</v>
      </c>
      <c r="Z19" s="167"/>
      <c r="AA19" s="167">
        <v>11239</v>
      </c>
      <c r="AB19" s="167"/>
      <c r="AC19" s="167">
        <v>14024</v>
      </c>
      <c r="AD19" s="167">
        <v>14703</v>
      </c>
      <c r="AE19" s="167">
        <v>19991</v>
      </c>
      <c r="AF19" s="167">
        <v>19401</v>
      </c>
      <c r="AG19" s="167">
        <v>16799</v>
      </c>
      <c r="AH19" s="167">
        <v>16931</v>
      </c>
      <c r="AI19" s="167">
        <v>18102</v>
      </c>
      <c r="AJ19" s="167">
        <v>17960</v>
      </c>
      <c r="AK19" s="167">
        <v>21344</v>
      </c>
      <c r="AL19" s="167">
        <v>22426</v>
      </c>
    </row>
    <row r="20" spans="1:38">
      <c r="A20" s="151" t="s">
        <v>1078</v>
      </c>
      <c r="B20" s="151" t="s">
        <v>1079</v>
      </c>
      <c r="C20" s="343"/>
      <c r="D20" s="167">
        <v>0</v>
      </c>
      <c r="E20" s="167">
        <v>9</v>
      </c>
      <c r="F20" s="167">
        <v>30</v>
      </c>
      <c r="G20" s="167">
        <v>77</v>
      </c>
      <c r="H20" s="167">
        <v>258</v>
      </c>
      <c r="I20" s="167">
        <v>1071</v>
      </c>
      <c r="J20" s="167">
        <v>1788</v>
      </c>
      <c r="K20" s="167">
        <v>4773</v>
      </c>
      <c r="L20" s="167">
        <v>7427</v>
      </c>
      <c r="M20" s="167">
        <v>9724</v>
      </c>
      <c r="N20" s="167">
        <v>12473</v>
      </c>
      <c r="O20" s="167">
        <v>7527</v>
      </c>
      <c r="P20" s="167">
        <v>7860</v>
      </c>
      <c r="Q20" s="167">
        <v>13864</v>
      </c>
      <c r="R20" s="167">
        <v>13855</v>
      </c>
      <c r="S20" s="167"/>
      <c r="T20" s="167">
        <v>10963</v>
      </c>
      <c r="U20" s="167"/>
      <c r="V20" s="167"/>
      <c r="W20" s="167">
        <v>50590</v>
      </c>
      <c r="X20" s="167"/>
      <c r="Y20" s="167">
        <v>89378</v>
      </c>
      <c r="Z20" s="167"/>
      <c r="AA20" s="167">
        <v>122107</v>
      </c>
      <c r="AB20" s="167"/>
      <c r="AC20" s="167">
        <v>99733</v>
      </c>
      <c r="AD20" s="167">
        <v>84195</v>
      </c>
      <c r="AE20" s="167">
        <v>114636</v>
      </c>
      <c r="AF20" s="167">
        <v>108750</v>
      </c>
      <c r="AG20" s="167">
        <v>127329</v>
      </c>
      <c r="AH20" s="167">
        <v>112923</v>
      </c>
      <c r="AI20" s="167">
        <v>100601</v>
      </c>
      <c r="AJ20" s="167">
        <v>115213</v>
      </c>
      <c r="AK20" s="167">
        <v>148779</v>
      </c>
      <c r="AL20" s="167">
        <v>115349</v>
      </c>
    </row>
    <row r="21" spans="1:38">
      <c r="A21" s="151" t="s">
        <v>1288</v>
      </c>
      <c r="B21" s="151" t="s">
        <v>1187</v>
      </c>
      <c r="C21" s="343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>
        <v>522074</v>
      </c>
      <c r="P21" s="167">
        <v>539523</v>
      </c>
      <c r="Q21" s="167">
        <v>539529</v>
      </c>
      <c r="R21" s="167">
        <v>539523</v>
      </c>
      <c r="S21" s="167">
        <v>539522.01609000005</v>
      </c>
      <c r="T21" s="167">
        <v>894487</v>
      </c>
      <c r="U21" s="167">
        <v>39007.652040000001</v>
      </c>
      <c r="V21" s="167"/>
      <c r="W21" s="167"/>
      <c r="X21" s="167"/>
      <c r="Y21" s="167">
        <v>0</v>
      </c>
      <c r="Z21" s="167"/>
      <c r="AA21" s="167"/>
      <c r="AB21" s="167"/>
      <c r="AC21" s="167"/>
      <c r="AD21" s="167"/>
      <c r="AE21" s="167"/>
      <c r="AF21" s="167"/>
      <c r="AG21" s="167"/>
      <c r="AH21" s="167"/>
      <c r="AI21" s="167"/>
      <c r="AJ21" s="167"/>
      <c r="AK21" s="167"/>
      <c r="AL21" s="167"/>
    </row>
    <row r="22" spans="1:38">
      <c r="A22" s="151" t="s">
        <v>1292</v>
      </c>
      <c r="B22" s="151" t="s">
        <v>1266</v>
      </c>
      <c r="C22" s="343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7"/>
      <c r="AC22" s="167">
        <v>12206</v>
      </c>
      <c r="AD22" s="167">
        <v>11691</v>
      </c>
      <c r="AE22" s="167">
        <v>10744</v>
      </c>
      <c r="AF22" s="167">
        <v>5380</v>
      </c>
      <c r="AG22" s="167">
        <v>4324</v>
      </c>
      <c r="AH22" s="167">
        <v>12292</v>
      </c>
      <c r="AI22" s="167">
        <v>6652</v>
      </c>
      <c r="AJ22" s="167">
        <v>16174</v>
      </c>
      <c r="AK22" s="167">
        <v>7401</v>
      </c>
      <c r="AL22" s="167">
        <v>4731</v>
      </c>
    </row>
    <row r="23" spans="1:38">
      <c r="A23" s="151" t="s">
        <v>1293</v>
      </c>
      <c r="B23" s="151" t="s">
        <v>1294</v>
      </c>
      <c r="C23" s="343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167"/>
      <c r="AC23" s="167"/>
      <c r="AD23" s="167"/>
      <c r="AE23" s="167"/>
      <c r="AF23" s="167">
        <v>23451</v>
      </c>
      <c r="AG23" s="167"/>
      <c r="AH23" s="167">
        <v>12544</v>
      </c>
      <c r="AI23" s="167">
        <v>12927</v>
      </c>
      <c r="AJ23" s="167">
        <v>13361</v>
      </c>
      <c r="AK23" s="167"/>
      <c r="AL23" s="167"/>
    </row>
    <row r="24" spans="1:38">
      <c r="A24" s="151" t="s">
        <v>1295</v>
      </c>
      <c r="B24" s="151" t="s">
        <v>1091</v>
      </c>
      <c r="C24" s="343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>
        <v>47581</v>
      </c>
      <c r="U24" s="167"/>
      <c r="V24" s="167"/>
      <c r="W24" s="167">
        <v>19100</v>
      </c>
      <c r="X24" s="167"/>
      <c r="Y24" s="167">
        <v>45493</v>
      </c>
      <c r="Z24" s="167">
        <v>52803.999999999993</v>
      </c>
      <c r="AA24" s="167">
        <v>2918</v>
      </c>
      <c r="AB24" s="167">
        <v>56137</v>
      </c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</row>
    <row r="25" spans="1:38">
      <c r="A25" s="151" t="s">
        <v>1296</v>
      </c>
      <c r="B25" s="151" t="s">
        <v>1297</v>
      </c>
      <c r="C25" s="343"/>
      <c r="D25" s="167">
        <v>77</v>
      </c>
      <c r="E25" s="167">
        <v>3127</v>
      </c>
      <c r="F25" s="167">
        <v>649</v>
      </c>
      <c r="G25" s="167">
        <v>709</v>
      </c>
      <c r="H25" s="167">
        <v>752</v>
      </c>
      <c r="I25" s="167">
        <v>2234</v>
      </c>
      <c r="J25" s="167">
        <v>4005</v>
      </c>
      <c r="K25" s="167">
        <v>9876</v>
      </c>
      <c r="L25" s="167">
        <v>21825</v>
      </c>
      <c r="M25" s="167">
        <v>109156</v>
      </c>
      <c r="N25" s="167">
        <v>156964</v>
      </c>
      <c r="O25" s="167">
        <f>955</f>
        <v>955</v>
      </c>
      <c r="P25" s="167">
        <v>316698</v>
      </c>
      <c r="Q25" s="167">
        <v>276868</v>
      </c>
      <c r="R25" s="167">
        <v>215676</v>
      </c>
      <c r="S25" s="167">
        <v>6454.1773599999988</v>
      </c>
      <c r="T25" s="167">
        <v>5430</v>
      </c>
      <c r="U25" s="167">
        <v>40134.849019999994</v>
      </c>
      <c r="V25" s="167">
        <v>36519.999999999993</v>
      </c>
      <c r="W25" s="167">
        <v>11304</v>
      </c>
      <c r="X25" s="167">
        <v>45000</v>
      </c>
      <c r="Y25" s="167">
        <v>59867</v>
      </c>
      <c r="Z25" s="167">
        <v>73417</v>
      </c>
      <c r="AA25" s="167">
        <v>118577</v>
      </c>
      <c r="AB25" s="167">
        <v>220922</v>
      </c>
      <c r="AC25" s="167">
        <v>66339</v>
      </c>
      <c r="AD25" s="167">
        <v>55143</v>
      </c>
      <c r="AE25" s="167">
        <v>55096</v>
      </c>
      <c r="AF25" s="167">
        <v>47449</v>
      </c>
      <c r="AG25" s="167">
        <v>49238</v>
      </c>
      <c r="AH25" s="167">
        <v>68309</v>
      </c>
      <c r="AI25" s="167">
        <v>122218</v>
      </c>
      <c r="AJ25" s="167">
        <v>109904</v>
      </c>
      <c r="AK25" s="167">
        <v>43022</v>
      </c>
      <c r="AL25" s="167">
        <v>1295861</v>
      </c>
    </row>
    <row r="26" spans="1:38" ht="15" thickBot="1">
      <c r="A26" s="151" t="s">
        <v>1298</v>
      </c>
      <c r="B26" s="151" t="s">
        <v>1299</v>
      </c>
      <c r="C26" s="343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7"/>
      <c r="AE26" s="167"/>
      <c r="AF26" s="167"/>
      <c r="AG26" s="167">
        <v>1260394</v>
      </c>
      <c r="AH26" s="167">
        <v>1297512</v>
      </c>
      <c r="AI26" s="167"/>
      <c r="AJ26" s="167"/>
      <c r="AK26" s="167"/>
      <c r="AL26" s="167"/>
    </row>
    <row r="27" spans="1:38" ht="15" thickBot="1">
      <c r="A27" s="155" t="s">
        <v>1081</v>
      </c>
      <c r="B27" s="155" t="s">
        <v>1082</v>
      </c>
      <c r="C27" s="342"/>
      <c r="D27" s="156">
        <f t="shared" ref="D27:AG27" si="2">+D28+D37</f>
        <v>0</v>
      </c>
      <c r="E27" s="156">
        <f t="shared" si="2"/>
        <v>62105</v>
      </c>
      <c r="F27" s="156">
        <f t="shared" si="2"/>
        <v>105035</v>
      </c>
      <c r="G27" s="156">
        <f t="shared" si="2"/>
        <v>265181</v>
      </c>
      <c r="H27" s="156">
        <f t="shared" si="2"/>
        <v>370557</v>
      </c>
      <c r="I27" s="156">
        <f t="shared" si="2"/>
        <v>500952</v>
      </c>
      <c r="J27" s="156">
        <f t="shared" si="2"/>
        <v>714460</v>
      </c>
      <c r="K27" s="156">
        <f t="shared" si="2"/>
        <v>1372972</v>
      </c>
      <c r="L27" s="156">
        <f t="shared" si="2"/>
        <v>2282515</v>
      </c>
      <c r="M27" s="156">
        <f t="shared" si="2"/>
        <v>3311726</v>
      </c>
      <c r="N27" s="156">
        <f t="shared" si="2"/>
        <v>4705114</v>
      </c>
      <c r="O27" s="156">
        <f t="shared" si="2"/>
        <v>6208259</v>
      </c>
      <c r="P27" s="156">
        <f t="shared" si="2"/>
        <v>6829014</v>
      </c>
      <c r="Q27" s="156">
        <f t="shared" si="2"/>
        <v>7359980</v>
      </c>
      <c r="R27" s="156">
        <f t="shared" si="2"/>
        <v>7902355</v>
      </c>
      <c r="S27" s="156">
        <f t="shared" si="2"/>
        <v>8501681.7630300019</v>
      </c>
      <c r="T27" s="156">
        <f t="shared" si="2"/>
        <v>8270307.4796500001</v>
      </c>
      <c r="U27" s="156">
        <f t="shared" si="2"/>
        <v>8217936.1825200003</v>
      </c>
      <c r="V27" s="156">
        <f t="shared" si="2"/>
        <v>8359026.9709699992</v>
      </c>
      <c r="W27" s="156">
        <f t="shared" si="2"/>
        <v>8274367</v>
      </c>
      <c r="X27" s="156">
        <f t="shared" si="2"/>
        <v>19818000</v>
      </c>
      <c r="Y27" s="156">
        <f t="shared" si="2"/>
        <v>19613431</v>
      </c>
      <c r="Z27" s="156">
        <f t="shared" si="2"/>
        <v>19522176</v>
      </c>
      <c r="AA27" s="156">
        <f t="shared" si="2"/>
        <v>19531105</v>
      </c>
      <c r="AB27" s="156">
        <f t="shared" si="2"/>
        <v>19529851</v>
      </c>
      <c r="AC27" s="156">
        <f t="shared" si="2"/>
        <v>20240703</v>
      </c>
      <c r="AD27" s="156">
        <f t="shared" si="2"/>
        <v>21250852</v>
      </c>
      <c r="AE27" s="156">
        <f t="shared" si="2"/>
        <v>22091921</v>
      </c>
      <c r="AF27" s="156">
        <f t="shared" si="2"/>
        <v>22306560</v>
      </c>
      <c r="AG27" s="156">
        <f t="shared" si="2"/>
        <v>21548387</v>
      </c>
      <c r="AH27" s="156">
        <f t="shared" ref="AH27:AL27" si="3">+AH28+AH37</f>
        <v>21365923</v>
      </c>
      <c r="AI27" s="156">
        <f t="shared" si="3"/>
        <v>21541383</v>
      </c>
      <c r="AJ27" s="156">
        <f t="shared" si="3"/>
        <v>21405948</v>
      </c>
      <c r="AK27" s="156">
        <f t="shared" si="3"/>
        <v>21302817</v>
      </c>
      <c r="AL27" s="156">
        <f t="shared" si="3"/>
        <v>21179552</v>
      </c>
    </row>
    <row r="28" spans="1:38" ht="15" thickBot="1">
      <c r="A28" s="155" t="s">
        <v>1158</v>
      </c>
      <c r="B28" s="155" t="s">
        <v>1159</v>
      </c>
      <c r="C28" s="342"/>
      <c r="D28" s="156">
        <f t="shared" ref="D28:AG28" si="4">SUM(D29:D36)</f>
        <v>0</v>
      </c>
      <c r="E28" s="156">
        <f t="shared" si="4"/>
        <v>0</v>
      </c>
      <c r="F28" s="156">
        <f t="shared" si="4"/>
        <v>12719</v>
      </c>
      <c r="G28" s="156">
        <f t="shared" si="4"/>
        <v>155557</v>
      </c>
      <c r="H28" s="156">
        <f t="shared" si="4"/>
        <v>300590</v>
      </c>
      <c r="I28" s="156">
        <f t="shared" si="4"/>
        <v>405381</v>
      </c>
      <c r="J28" s="156">
        <f t="shared" si="4"/>
        <v>546109</v>
      </c>
      <c r="K28" s="156">
        <f t="shared" si="4"/>
        <v>1114199</v>
      </c>
      <c r="L28" s="156">
        <f t="shared" si="4"/>
        <v>2273617</v>
      </c>
      <c r="M28" s="156">
        <f t="shared" si="4"/>
        <v>3302553</v>
      </c>
      <c r="N28" s="156">
        <f t="shared" si="4"/>
        <v>4695717</v>
      </c>
      <c r="O28" s="156">
        <f t="shared" si="4"/>
        <v>6198708</v>
      </c>
      <c r="P28" s="156">
        <f t="shared" si="4"/>
        <v>6820856</v>
      </c>
      <c r="Q28" s="156">
        <f t="shared" si="4"/>
        <v>7351827</v>
      </c>
      <c r="R28" s="156">
        <f t="shared" si="4"/>
        <v>7891978</v>
      </c>
      <c r="S28" s="156">
        <f t="shared" si="4"/>
        <v>8491276.2002600022</v>
      </c>
      <c r="T28" s="156">
        <f t="shared" si="4"/>
        <v>8257910.66873</v>
      </c>
      <c r="U28" s="156">
        <f t="shared" si="4"/>
        <v>8206174.2815399999</v>
      </c>
      <c r="V28" s="156">
        <f t="shared" si="4"/>
        <v>8350633.9999999991</v>
      </c>
      <c r="W28" s="156">
        <f t="shared" si="4"/>
        <v>8262413</v>
      </c>
      <c r="X28" s="156">
        <f t="shared" si="4"/>
        <v>9085000</v>
      </c>
      <c r="Y28" s="156">
        <f t="shared" si="4"/>
        <v>9217286</v>
      </c>
      <c r="Z28" s="156">
        <f t="shared" si="4"/>
        <v>9001278</v>
      </c>
      <c r="AA28" s="156">
        <f t="shared" si="4"/>
        <v>9136854</v>
      </c>
      <c r="AB28" s="156">
        <f t="shared" si="4"/>
        <v>9253020</v>
      </c>
      <c r="AC28" s="156">
        <f t="shared" si="4"/>
        <v>9295443</v>
      </c>
      <c r="AD28" s="156">
        <f t="shared" si="4"/>
        <v>9362193</v>
      </c>
      <c r="AE28" s="156">
        <f t="shared" si="4"/>
        <v>9378987</v>
      </c>
      <c r="AF28" s="156">
        <f t="shared" si="4"/>
        <v>9473108</v>
      </c>
      <c r="AG28" s="156">
        <f t="shared" si="4"/>
        <v>8682582</v>
      </c>
      <c r="AH28" s="156">
        <f t="shared" ref="AH28:AL28" si="5">SUM(AH29:AH36)</f>
        <v>8616362</v>
      </c>
      <c r="AI28" s="156">
        <f t="shared" si="5"/>
        <v>8949619</v>
      </c>
      <c r="AJ28" s="156">
        <f t="shared" si="5"/>
        <v>8951613</v>
      </c>
      <c r="AK28" s="156">
        <f t="shared" si="5"/>
        <v>8993166</v>
      </c>
      <c r="AL28" s="156">
        <f t="shared" si="5"/>
        <v>9041091</v>
      </c>
    </row>
    <row r="29" spans="1:38">
      <c r="A29" s="151" t="s">
        <v>1076</v>
      </c>
      <c r="B29" s="151" t="s">
        <v>1077</v>
      </c>
      <c r="C29" s="343"/>
      <c r="D29" s="167">
        <v>0</v>
      </c>
      <c r="E29" s="167">
        <v>0</v>
      </c>
      <c r="F29" s="167">
        <v>102</v>
      </c>
      <c r="G29" s="167">
        <v>102</v>
      </c>
      <c r="H29" s="167">
        <v>153</v>
      </c>
      <c r="I29" s="167">
        <v>233</v>
      </c>
      <c r="J29" s="167">
        <v>284</v>
      </c>
      <c r="K29" s="167">
        <v>5430</v>
      </c>
      <c r="L29" s="167">
        <v>17427</v>
      </c>
      <c r="M29" s="167">
        <v>15</v>
      </c>
      <c r="N29" s="167">
        <v>58</v>
      </c>
      <c r="O29" s="167">
        <v>6397</v>
      </c>
      <c r="P29" s="167">
        <v>7010</v>
      </c>
      <c r="Q29" s="167">
        <v>7010</v>
      </c>
      <c r="R29" s="167">
        <v>7010</v>
      </c>
      <c r="S29" s="167">
        <v>7009.5854799999988</v>
      </c>
      <c r="T29" s="167">
        <f>6980+30</f>
        <v>7010</v>
      </c>
      <c r="U29" s="167">
        <v>7009.5854799999988</v>
      </c>
      <c r="V29" s="167">
        <v>6000</v>
      </c>
      <c r="W29" s="167">
        <v>7010.0000000000009</v>
      </c>
      <c r="X29" s="167">
        <v>6000</v>
      </c>
      <c r="Y29" s="167">
        <v>7010.0000000000009</v>
      </c>
      <c r="Z29" s="167">
        <v>7011.0000000000009</v>
      </c>
      <c r="AA29" s="167">
        <v>7010</v>
      </c>
      <c r="AB29" s="167">
        <v>7011.0000000000009</v>
      </c>
      <c r="AC29" s="167">
        <v>418</v>
      </c>
      <c r="AD29" s="167">
        <v>419</v>
      </c>
      <c r="AE29" s="167">
        <v>419</v>
      </c>
      <c r="AF29" s="167">
        <v>419</v>
      </c>
      <c r="AG29" s="167">
        <v>409</v>
      </c>
      <c r="AH29" s="167">
        <v>379</v>
      </c>
      <c r="AI29" s="167">
        <v>430</v>
      </c>
      <c r="AJ29" s="167">
        <v>377</v>
      </c>
      <c r="AK29" s="167">
        <v>377</v>
      </c>
      <c r="AL29" s="167"/>
    </row>
    <row r="30" spans="1:38">
      <c r="A30" s="151" t="s">
        <v>1287</v>
      </c>
      <c r="B30" s="151" t="s">
        <v>1058</v>
      </c>
      <c r="C30" s="343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>
        <v>28390</v>
      </c>
      <c r="AD30" s="167">
        <v>36210</v>
      </c>
      <c r="AE30" s="167">
        <v>36363</v>
      </c>
      <c r="AF30" s="167">
        <v>23136</v>
      </c>
      <c r="AG30" s="167">
        <v>12608</v>
      </c>
      <c r="AH30" s="167">
        <v>34744</v>
      </c>
      <c r="AI30" s="167">
        <v>41572</v>
      </c>
      <c r="AJ30" s="167">
        <v>33023</v>
      </c>
      <c r="AK30" s="167">
        <v>29347</v>
      </c>
      <c r="AL30" s="167">
        <v>35668</v>
      </c>
    </row>
    <row r="31" spans="1:38">
      <c r="A31" s="151" t="s">
        <v>1300</v>
      </c>
      <c r="B31" s="151" t="s">
        <v>1087</v>
      </c>
      <c r="C31" s="343"/>
      <c r="D31" s="167">
        <v>0</v>
      </c>
      <c r="E31" s="167">
        <v>0</v>
      </c>
      <c r="F31" s="167">
        <v>9922</v>
      </c>
      <c r="G31" s="167">
        <v>152919</v>
      </c>
      <c r="H31" s="167">
        <v>297674</v>
      </c>
      <c r="I31" s="167">
        <v>399777</v>
      </c>
      <c r="J31" s="167">
        <v>534538</v>
      </c>
      <c r="K31" s="167">
        <v>0</v>
      </c>
      <c r="L31" s="167"/>
      <c r="M31" s="167">
        <v>125702</v>
      </c>
      <c r="N31" s="167">
        <v>130172</v>
      </c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AC31" s="167"/>
      <c r="AD31" s="167"/>
      <c r="AE31" s="167"/>
      <c r="AF31" s="167"/>
      <c r="AG31" s="167"/>
      <c r="AH31" s="167"/>
      <c r="AI31" s="167"/>
      <c r="AJ31" s="167"/>
      <c r="AK31" s="167"/>
      <c r="AL31" s="167"/>
    </row>
    <row r="32" spans="1:38">
      <c r="A32" s="151" t="s">
        <v>1094</v>
      </c>
      <c r="B32" s="151" t="s">
        <v>1187</v>
      </c>
      <c r="C32" s="343"/>
      <c r="D32" s="167">
        <v>0</v>
      </c>
      <c r="E32" s="167">
        <v>0</v>
      </c>
      <c r="F32" s="167">
        <v>0</v>
      </c>
      <c r="G32" s="167">
        <v>0</v>
      </c>
      <c r="H32" s="167">
        <v>0</v>
      </c>
      <c r="I32" s="167">
        <v>0</v>
      </c>
      <c r="J32" s="167">
        <v>0</v>
      </c>
      <c r="K32" s="167">
        <v>1091001</v>
      </c>
      <c r="L32" s="177">
        <v>1766627</v>
      </c>
      <c r="M32" s="177">
        <v>2696012</v>
      </c>
      <c r="N32" s="177">
        <v>4122146</v>
      </c>
      <c r="O32" s="177">
        <v>5826235</v>
      </c>
      <c r="P32" s="167">
        <v>6755820</v>
      </c>
      <c r="Q32" s="167">
        <v>7285342</v>
      </c>
      <c r="R32" s="167">
        <v>7848461</v>
      </c>
      <c r="S32" s="167">
        <v>8446221.6795300003</v>
      </c>
      <c r="T32" s="167">
        <v>8213445</v>
      </c>
      <c r="U32" s="167">
        <v>8161349</v>
      </c>
      <c r="V32" s="167">
        <v>8307300.9999999991</v>
      </c>
      <c r="W32" s="167">
        <v>8216430</v>
      </c>
      <c r="X32" s="167">
        <v>8474000</v>
      </c>
      <c r="Y32" s="167">
        <f>8578748+83170</f>
        <v>8661918</v>
      </c>
      <c r="Z32" s="167">
        <v>8465832</v>
      </c>
      <c r="AA32" s="167">
        <v>8544763</v>
      </c>
      <c r="AB32" s="167">
        <v>8629885</v>
      </c>
      <c r="AC32" s="167">
        <v>8658547</v>
      </c>
      <c r="AD32" s="167">
        <v>8673451</v>
      </c>
      <c r="AE32" s="167">
        <v>8784939</v>
      </c>
      <c r="AF32" s="167">
        <v>8895184</v>
      </c>
      <c r="AG32" s="178">
        <v>8029313</v>
      </c>
      <c r="AH32" s="178">
        <v>8032201</v>
      </c>
      <c r="AI32" s="178">
        <v>8166290</v>
      </c>
      <c r="AJ32" s="178">
        <v>8165004</v>
      </c>
      <c r="AK32" s="178">
        <v>8231910</v>
      </c>
      <c r="AL32" s="178">
        <v>8217651</v>
      </c>
    </row>
    <row r="33" spans="1:38">
      <c r="A33" s="151" t="s">
        <v>1055</v>
      </c>
      <c r="B33" s="151" t="s">
        <v>1056</v>
      </c>
      <c r="C33" s="343"/>
      <c r="D33" s="167">
        <v>0</v>
      </c>
      <c r="E33" s="167">
        <v>0</v>
      </c>
      <c r="F33" s="167">
        <v>0</v>
      </c>
      <c r="G33" s="167">
        <v>0</v>
      </c>
      <c r="H33" s="167">
        <v>0</v>
      </c>
      <c r="I33" s="167">
        <v>0</v>
      </c>
      <c r="J33" s="167">
        <v>0</v>
      </c>
      <c r="K33" s="167"/>
      <c r="L33" s="167">
        <v>0</v>
      </c>
      <c r="M33" s="167"/>
      <c r="N33" s="167">
        <v>22508</v>
      </c>
      <c r="O33" s="167">
        <v>30079</v>
      </c>
      <c r="P33" s="167">
        <v>33938</v>
      </c>
      <c r="Q33" s="167">
        <v>35323</v>
      </c>
      <c r="R33" s="167">
        <v>35669</v>
      </c>
      <c r="S33" s="167">
        <v>37251.444859999996</v>
      </c>
      <c r="T33" s="167">
        <v>37455.668729999998</v>
      </c>
      <c r="U33" s="167"/>
      <c r="V33" s="167">
        <v>37333</v>
      </c>
      <c r="W33" s="167">
        <v>38768</v>
      </c>
      <c r="X33" s="167">
        <v>442000</v>
      </c>
      <c r="Y33" s="167">
        <v>495209</v>
      </c>
      <c r="Z33" s="167">
        <v>506808</v>
      </c>
      <c r="AA33" s="167">
        <v>523122</v>
      </c>
      <c r="AB33" s="167">
        <v>552189.00000000012</v>
      </c>
      <c r="AC33" s="167">
        <v>551682</v>
      </c>
      <c r="AD33" s="167">
        <v>594989</v>
      </c>
      <c r="AE33" s="167">
        <v>509470</v>
      </c>
      <c r="AF33" s="167">
        <v>515420</v>
      </c>
      <c r="AG33" s="167">
        <v>599919</v>
      </c>
      <c r="AH33" s="167">
        <v>519142</v>
      </c>
      <c r="AI33" s="167">
        <v>653372</v>
      </c>
      <c r="AJ33" s="167">
        <v>668353</v>
      </c>
      <c r="AK33" s="167">
        <v>668745</v>
      </c>
      <c r="AL33" s="167">
        <v>724581</v>
      </c>
    </row>
    <row r="34" spans="1:38">
      <c r="A34" s="151" t="s">
        <v>1068</v>
      </c>
      <c r="B34" s="151" t="s">
        <v>1069</v>
      </c>
      <c r="C34" s="343"/>
      <c r="D34" s="167">
        <v>0</v>
      </c>
      <c r="E34" s="167">
        <v>0</v>
      </c>
      <c r="F34" s="167">
        <v>0</v>
      </c>
      <c r="G34" s="167">
        <v>0</v>
      </c>
      <c r="H34" s="167">
        <v>388</v>
      </c>
      <c r="I34" s="167">
        <v>3100</v>
      </c>
      <c r="J34" s="167">
        <v>9223</v>
      </c>
      <c r="K34" s="167">
        <v>15879</v>
      </c>
      <c r="L34" s="167">
        <v>18197</v>
      </c>
      <c r="M34" s="167">
        <v>20140</v>
      </c>
      <c r="N34" s="167">
        <v>21446</v>
      </c>
      <c r="O34" s="167">
        <v>21946</v>
      </c>
      <c r="P34" s="167">
        <v>21963</v>
      </c>
      <c r="Q34" s="167">
        <v>22027</v>
      </c>
      <c r="R34" s="167"/>
      <c r="S34" s="167"/>
      <c r="T34" s="167"/>
      <c r="U34" s="167"/>
      <c r="V34" s="167"/>
      <c r="W34" s="167"/>
      <c r="X34" s="167"/>
      <c r="Y34" s="167"/>
      <c r="Z34" s="167"/>
      <c r="AA34" s="167">
        <v>18392</v>
      </c>
      <c r="AB34" s="167">
        <v>18392</v>
      </c>
      <c r="AC34" s="167">
        <v>18392</v>
      </c>
      <c r="AD34" s="167">
        <v>19760</v>
      </c>
      <c r="AE34" s="167">
        <v>20113</v>
      </c>
      <c r="AF34" s="167">
        <v>20070</v>
      </c>
      <c r="AG34" s="167">
        <v>20423</v>
      </c>
      <c r="AH34" s="167">
        <v>20770</v>
      </c>
      <c r="AI34" s="167">
        <v>21917</v>
      </c>
      <c r="AJ34" s="167">
        <v>22388</v>
      </c>
      <c r="AK34" s="167">
        <v>22808</v>
      </c>
      <c r="AL34" s="167">
        <v>23254</v>
      </c>
    </row>
    <row r="35" spans="1:38">
      <c r="A35" s="151" t="s">
        <v>1292</v>
      </c>
      <c r="B35" s="151" t="s">
        <v>1266</v>
      </c>
      <c r="C35" s="343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167"/>
      <c r="AC35" s="167">
        <v>22552</v>
      </c>
      <c r="AD35" s="167">
        <v>18950</v>
      </c>
      <c r="AE35" s="167">
        <v>13115</v>
      </c>
      <c r="AF35" s="167">
        <v>5080</v>
      </c>
      <c r="AG35" s="167">
        <v>4300</v>
      </c>
      <c r="AH35" s="167">
        <v>4545</v>
      </c>
      <c r="AI35" s="167">
        <v>2946</v>
      </c>
      <c r="AJ35" s="167">
        <v>1917</v>
      </c>
      <c r="AK35" s="167">
        <v>1755</v>
      </c>
      <c r="AL35" s="167">
        <v>1880</v>
      </c>
    </row>
    <row r="36" spans="1:38" ht="15" thickBot="1">
      <c r="A36" s="151" t="s">
        <v>1080</v>
      </c>
      <c r="B36" s="151" t="s">
        <v>96</v>
      </c>
      <c r="C36" s="343"/>
      <c r="D36" s="167">
        <v>0</v>
      </c>
      <c r="E36" s="167">
        <v>0</v>
      </c>
      <c r="F36" s="167">
        <v>2695</v>
      </c>
      <c r="G36" s="167">
        <v>2536</v>
      </c>
      <c r="H36" s="167">
        <v>2375</v>
      </c>
      <c r="I36" s="167">
        <v>2271</v>
      </c>
      <c r="J36" s="167">
        <v>2064</v>
      </c>
      <c r="K36" s="167">
        <v>1889</v>
      </c>
      <c r="L36" s="167">
        <v>471366</v>
      </c>
      <c r="M36" s="167">
        <v>460684</v>
      </c>
      <c r="N36" s="167">
        <v>399387</v>
      </c>
      <c r="O36" s="167">
        <v>314051</v>
      </c>
      <c r="P36" s="167">
        <v>2125</v>
      </c>
      <c r="Q36" s="167">
        <v>2125</v>
      </c>
      <c r="R36" s="167">
        <v>838</v>
      </c>
      <c r="S36" s="167">
        <v>793.49038999999993</v>
      </c>
      <c r="T36" s="167"/>
      <c r="U36" s="167">
        <v>37815.696059999995</v>
      </c>
      <c r="V36" s="167"/>
      <c r="W36" s="167">
        <v>205</v>
      </c>
      <c r="X36" s="167">
        <v>163000</v>
      </c>
      <c r="Y36" s="167">
        <f>30037+23112</f>
        <v>53149</v>
      </c>
      <c r="Z36" s="167">
        <v>21627</v>
      </c>
      <c r="AA36" s="167">
        <v>43567</v>
      </c>
      <c r="AB36" s="167">
        <v>45543</v>
      </c>
      <c r="AC36" s="167">
        <v>15462</v>
      </c>
      <c r="AD36" s="167">
        <v>18414</v>
      </c>
      <c r="AE36" s="167">
        <v>14568</v>
      </c>
      <c r="AF36" s="167">
        <v>13799</v>
      </c>
      <c r="AG36" s="167">
        <v>15610</v>
      </c>
      <c r="AH36" s="167">
        <v>4581</v>
      </c>
      <c r="AI36" s="167">
        <v>63092</v>
      </c>
      <c r="AJ36" s="167">
        <v>60551</v>
      </c>
      <c r="AK36" s="167">
        <v>38224</v>
      </c>
      <c r="AL36" s="167">
        <v>38057</v>
      </c>
    </row>
    <row r="37" spans="1:38" ht="15" thickBot="1">
      <c r="A37" s="155" t="s">
        <v>1164</v>
      </c>
      <c r="B37" s="155" t="s">
        <v>1165</v>
      </c>
      <c r="C37" s="342"/>
      <c r="D37" s="156">
        <f t="shared" ref="D37:AK37" si="6">SUM(D38:D43)</f>
        <v>0</v>
      </c>
      <c r="E37" s="156">
        <f t="shared" si="6"/>
        <v>62105</v>
      </c>
      <c r="F37" s="156">
        <f t="shared" si="6"/>
        <v>92316</v>
      </c>
      <c r="G37" s="156">
        <f t="shared" si="6"/>
        <v>109624</v>
      </c>
      <c r="H37" s="156">
        <f t="shared" si="6"/>
        <v>69967</v>
      </c>
      <c r="I37" s="156">
        <f t="shared" si="6"/>
        <v>95571</v>
      </c>
      <c r="J37" s="156">
        <f t="shared" si="6"/>
        <v>168351</v>
      </c>
      <c r="K37" s="156">
        <f t="shared" si="6"/>
        <v>258773</v>
      </c>
      <c r="L37" s="156">
        <f t="shared" si="6"/>
        <v>8898</v>
      </c>
      <c r="M37" s="156">
        <f t="shared" si="6"/>
        <v>9173</v>
      </c>
      <c r="N37" s="156">
        <f t="shared" si="6"/>
        <v>9397</v>
      </c>
      <c r="O37" s="156">
        <f t="shared" si="6"/>
        <v>9551</v>
      </c>
      <c r="P37" s="156">
        <f t="shared" si="6"/>
        <v>8158</v>
      </c>
      <c r="Q37" s="156">
        <f t="shared" si="6"/>
        <v>8153</v>
      </c>
      <c r="R37" s="156">
        <f t="shared" si="6"/>
        <v>10377</v>
      </c>
      <c r="S37" s="156">
        <f t="shared" si="6"/>
        <v>10405.562770000333</v>
      </c>
      <c r="T37" s="156">
        <f t="shared" si="6"/>
        <v>12396.81092</v>
      </c>
      <c r="U37" s="156">
        <f t="shared" si="6"/>
        <v>11761.900980000031</v>
      </c>
      <c r="V37" s="156">
        <f t="shared" si="6"/>
        <v>8392.9709700001131</v>
      </c>
      <c r="W37" s="156">
        <f t="shared" si="6"/>
        <v>11953.9999999998</v>
      </c>
      <c r="X37" s="156">
        <f t="shared" si="6"/>
        <v>10733000</v>
      </c>
      <c r="Y37" s="156">
        <f t="shared" si="6"/>
        <v>10396145</v>
      </c>
      <c r="Z37" s="156">
        <f t="shared" si="6"/>
        <v>10520898.000000002</v>
      </c>
      <c r="AA37" s="156">
        <f t="shared" si="6"/>
        <v>10394251</v>
      </c>
      <c r="AB37" s="156">
        <f t="shared" si="6"/>
        <v>10276831</v>
      </c>
      <c r="AC37" s="156">
        <f t="shared" si="6"/>
        <v>10945260</v>
      </c>
      <c r="AD37" s="156">
        <f t="shared" si="6"/>
        <v>11888659</v>
      </c>
      <c r="AE37" s="156">
        <f t="shared" si="6"/>
        <v>12712934</v>
      </c>
      <c r="AF37" s="156">
        <f t="shared" si="6"/>
        <v>12833452</v>
      </c>
      <c r="AG37" s="156">
        <f t="shared" si="6"/>
        <v>12865805</v>
      </c>
      <c r="AH37" s="156">
        <f t="shared" si="6"/>
        <v>12749561</v>
      </c>
      <c r="AI37" s="156">
        <f t="shared" si="6"/>
        <v>12591764</v>
      </c>
      <c r="AJ37" s="156">
        <f t="shared" si="6"/>
        <v>12454335</v>
      </c>
      <c r="AK37" s="156">
        <f t="shared" si="6"/>
        <v>12309651</v>
      </c>
      <c r="AL37" s="156">
        <f t="shared" ref="AL37" si="7">SUM(AL38:AL43)</f>
        <v>12138461</v>
      </c>
    </row>
    <row r="38" spans="1:38">
      <c r="A38" s="151" t="s">
        <v>1088</v>
      </c>
      <c r="B38" s="151" t="s">
        <v>1089</v>
      </c>
      <c r="C38" s="342"/>
      <c r="D38" s="158"/>
      <c r="E38" s="158"/>
      <c r="F38" s="158"/>
      <c r="G38" s="158"/>
      <c r="H38" s="158"/>
      <c r="I38" s="158"/>
      <c r="J38" s="158"/>
      <c r="K38" s="158"/>
      <c r="L38" s="158"/>
      <c r="M38" s="158"/>
      <c r="N38" s="158"/>
      <c r="O38" s="158"/>
      <c r="P38" s="158"/>
      <c r="Q38" s="158"/>
      <c r="R38" s="158"/>
      <c r="S38" s="158"/>
      <c r="T38" s="177"/>
      <c r="U38" s="177">
        <v>210.00013999992007</v>
      </c>
      <c r="V38" s="177"/>
      <c r="W38" s="177">
        <v>-405.00000000020009</v>
      </c>
      <c r="X38" s="177">
        <v>5084000</v>
      </c>
      <c r="Y38" s="177">
        <v>0</v>
      </c>
      <c r="Z38" s="177"/>
      <c r="AA38" s="177"/>
      <c r="AB38" s="177"/>
      <c r="AC38" s="177"/>
      <c r="AD38" s="178"/>
      <c r="AE38" s="178"/>
      <c r="AF38" s="178">
        <v>0</v>
      </c>
      <c r="AG38" s="178">
        <v>34606</v>
      </c>
      <c r="AH38" s="178">
        <v>27546</v>
      </c>
      <c r="AI38" s="178">
        <v>19139</v>
      </c>
      <c r="AJ38" s="178">
        <v>17969</v>
      </c>
      <c r="AK38" s="178">
        <v>17075</v>
      </c>
      <c r="AL38" s="178">
        <v>14980</v>
      </c>
    </row>
    <row r="39" spans="1:38">
      <c r="A39" s="151" t="s">
        <v>1295</v>
      </c>
      <c r="B39" s="151" t="s">
        <v>1091</v>
      </c>
      <c r="C39" s="342"/>
      <c r="D39" s="177">
        <v>0</v>
      </c>
      <c r="E39" s="177">
        <v>0</v>
      </c>
      <c r="F39" s="177">
        <v>83809</v>
      </c>
      <c r="G39" s="177">
        <v>100773</v>
      </c>
      <c r="H39" s="177">
        <v>61115</v>
      </c>
      <c r="I39" s="177">
        <v>86737</v>
      </c>
      <c r="J39" s="177">
        <v>159486</v>
      </c>
      <c r="K39" s="177">
        <v>249925</v>
      </c>
      <c r="L39" s="177">
        <v>0</v>
      </c>
      <c r="M39" s="177"/>
      <c r="N39" s="177"/>
      <c r="O39" s="177"/>
      <c r="P39" s="177"/>
      <c r="Q39" s="177"/>
      <c r="R39" s="177"/>
      <c r="S39" s="177"/>
      <c r="T39" s="177">
        <v>793.49038999999993</v>
      </c>
      <c r="U39" s="177"/>
      <c r="V39" s="177"/>
      <c r="W39" s="177"/>
      <c r="X39" s="177"/>
      <c r="Y39" s="177"/>
      <c r="Z39" s="177"/>
      <c r="AA39" s="177"/>
      <c r="AB39" s="177"/>
      <c r="AC39" s="177"/>
      <c r="AD39" s="178"/>
      <c r="AE39" s="178"/>
      <c r="AF39" s="178"/>
      <c r="AG39" s="178"/>
      <c r="AH39" s="178"/>
      <c r="AI39" s="178"/>
      <c r="AJ39" s="178"/>
      <c r="AK39" s="178"/>
      <c r="AL39" s="178"/>
    </row>
    <row r="40" spans="1:38">
      <c r="A40" s="151" t="s">
        <v>1057</v>
      </c>
      <c r="B40" s="151" t="s">
        <v>1058</v>
      </c>
      <c r="C40" s="342"/>
      <c r="D40" s="177"/>
      <c r="E40" s="177"/>
      <c r="F40" s="177"/>
      <c r="G40" s="177"/>
      <c r="H40" s="177"/>
      <c r="I40" s="177"/>
      <c r="J40" s="177"/>
      <c r="K40" s="177"/>
      <c r="L40" s="177"/>
      <c r="M40" s="177"/>
      <c r="N40" s="177"/>
      <c r="O40" s="177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>
        <v>36713</v>
      </c>
      <c r="AA40" s="177"/>
      <c r="AB40" s="177"/>
      <c r="AC40" s="177"/>
      <c r="AD40" s="178"/>
      <c r="AE40" s="178"/>
      <c r="AF40" s="178"/>
      <c r="AG40" s="178"/>
      <c r="AH40" s="178"/>
      <c r="AI40" s="178"/>
      <c r="AJ40" s="178"/>
      <c r="AK40" s="178"/>
      <c r="AL40" s="178"/>
    </row>
    <row r="41" spans="1:38">
      <c r="A41" s="151" t="s">
        <v>1188</v>
      </c>
      <c r="B41" s="151" t="s">
        <v>1189</v>
      </c>
      <c r="C41" s="342"/>
      <c r="D41" s="177">
        <v>0</v>
      </c>
      <c r="E41" s="177">
        <v>62105</v>
      </c>
      <c r="F41" s="177">
        <v>0</v>
      </c>
      <c r="G41" s="177">
        <v>1236</v>
      </c>
      <c r="H41" s="177">
        <v>847</v>
      </c>
      <c r="I41" s="177">
        <v>883</v>
      </c>
      <c r="J41" s="177">
        <v>977</v>
      </c>
      <c r="K41" s="177">
        <v>1005</v>
      </c>
      <c r="L41" s="177">
        <v>829</v>
      </c>
      <c r="M41" s="177">
        <v>1119</v>
      </c>
      <c r="N41" s="177">
        <v>1119</v>
      </c>
      <c r="O41" s="177">
        <v>1236</v>
      </c>
      <c r="P41" s="177"/>
      <c r="Q41" s="177"/>
      <c r="R41" s="177">
        <v>1518</v>
      </c>
      <c r="S41" s="177">
        <v>1542.6197700003345</v>
      </c>
      <c r="T41" s="177">
        <v>1705</v>
      </c>
      <c r="U41" s="177">
        <v>1717.779470000113</v>
      </c>
      <c r="V41" s="177">
        <v>26.97097000011313</v>
      </c>
      <c r="W41" s="177">
        <v>1775</v>
      </c>
      <c r="X41" s="177">
        <v>5045000</v>
      </c>
      <c r="Y41" s="177">
        <v>5002017</v>
      </c>
      <c r="Z41" s="177">
        <v>4959919.0000000009</v>
      </c>
      <c r="AA41" s="177">
        <v>4925018</v>
      </c>
      <c r="AB41" s="177">
        <v>4891026</v>
      </c>
      <c r="AC41" s="177">
        <v>5624712</v>
      </c>
      <c r="AD41" s="178">
        <v>6641910</v>
      </c>
      <c r="AE41" s="178">
        <v>7168146</v>
      </c>
      <c r="AF41" s="178">
        <v>7364261</v>
      </c>
      <c r="AG41" s="178">
        <v>7432090</v>
      </c>
      <c r="AH41" s="178">
        <v>7397016</v>
      </c>
      <c r="AI41" s="178">
        <v>7368548</v>
      </c>
      <c r="AJ41" s="178">
        <v>7307185</v>
      </c>
      <c r="AK41" s="178">
        <v>7237034</v>
      </c>
      <c r="AL41" s="178">
        <v>7227165</v>
      </c>
    </row>
    <row r="42" spans="1:38">
      <c r="A42" s="151" t="s">
        <v>1092</v>
      </c>
      <c r="B42" s="151" t="s">
        <v>1093</v>
      </c>
      <c r="C42" s="342"/>
      <c r="D42" s="177">
        <v>0</v>
      </c>
      <c r="E42" s="177">
        <v>0</v>
      </c>
      <c r="F42" s="177">
        <v>8507</v>
      </c>
      <c r="G42" s="177">
        <v>7615</v>
      </c>
      <c r="H42" s="177">
        <v>8005</v>
      </c>
      <c r="I42" s="177">
        <v>7951</v>
      </c>
      <c r="J42" s="177">
        <v>7888</v>
      </c>
      <c r="K42" s="177">
        <v>7843</v>
      </c>
      <c r="L42" s="177">
        <v>8069</v>
      </c>
      <c r="M42" s="177">
        <v>8054</v>
      </c>
      <c r="N42" s="177">
        <v>8278</v>
      </c>
      <c r="O42" s="177">
        <v>8315</v>
      </c>
      <c r="P42" s="177">
        <v>8158</v>
      </c>
      <c r="Q42" s="177">
        <v>8153</v>
      </c>
      <c r="R42" s="177">
        <v>8859</v>
      </c>
      <c r="S42" s="177">
        <v>8862.9429999999993</v>
      </c>
      <c r="T42" s="177">
        <v>9898.3205300000009</v>
      </c>
      <c r="U42" s="177">
        <v>9834.1213699999989</v>
      </c>
      <c r="V42" s="177">
        <v>8366</v>
      </c>
      <c r="W42" s="177">
        <v>10584</v>
      </c>
      <c r="X42" s="177">
        <v>604000</v>
      </c>
      <c r="Y42" s="177">
        <v>5394128</v>
      </c>
      <c r="Z42" s="177">
        <v>5441802.0000000009</v>
      </c>
      <c r="AA42" s="177">
        <v>5362361</v>
      </c>
      <c r="AB42" s="177">
        <v>5281314</v>
      </c>
      <c r="AC42" s="177">
        <v>5217751</v>
      </c>
      <c r="AD42" s="178">
        <v>5144555</v>
      </c>
      <c r="AE42" s="178">
        <v>5058308</v>
      </c>
      <c r="AF42" s="178">
        <v>4986524</v>
      </c>
      <c r="AG42" s="178">
        <v>4917966</v>
      </c>
      <c r="AH42" s="178">
        <v>4848052</v>
      </c>
      <c r="AI42" s="178">
        <v>4731117</v>
      </c>
      <c r="AJ42" s="178">
        <v>4660209</v>
      </c>
      <c r="AK42" s="178">
        <v>4590557</v>
      </c>
      <c r="AL42" s="178">
        <v>4435319</v>
      </c>
    </row>
    <row r="43" spans="1:38" ht="15" thickBot="1">
      <c r="A43" s="151" t="s">
        <v>1166</v>
      </c>
      <c r="B43" s="151" t="s">
        <v>1097</v>
      </c>
      <c r="C43" s="342"/>
      <c r="D43" s="177"/>
      <c r="E43" s="177"/>
      <c r="F43" s="177"/>
      <c r="G43" s="177"/>
      <c r="H43" s="177"/>
      <c r="I43" s="177"/>
      <c r="J43" s="177"/>
      <c r="K43" s="177"/>
      <c r="L43" s="177"/>
      <c r="M43" s="177"/>
      <c r="N43" s="177"/>
      <c r="O43" s="177"/>
      <c r="P43" s="177"/>
      <c r="Q43" s="177"/>
      <c r="R43" s="177"/>
      <c r="S43" s="177"/>
      <c r="T43" s="177"/>
      <c r="U43" s="177"/>
      <c r="V43" s="177"/>
      <c r="W43" s="177"/>
      <c r="X43" s="177"/>
      <c r="Y43" s="177"/>
      <c r="Z43" s="177">
        <v>82464</v>
      </c>
      <c r="AA43" s="177">
        <v>106872</v>
      </c>
      <c r="AB43" s="177">
        <v>104491</v>
      </c>
      <c r="AC43" s="177">
        <v>102797</v>
      </c>
      <c r="AD43" s="178">
        <v>102194</v>
      </c>
      <c r="AE43" s="178">
        <v>486480</v>
      </c>
      <c r="AF43" s="178">
        <v>482667</v>
      </c>
      <c r="AG43" s="178">
        <v>481143</v>
      </c>
      <c r="AH43" s="178">
        <v>476947</v>
      </c>
      <c r="AI43" s="178">
        <v>472960</v>
      </c>
      <c r="AJ43" s="178">
        <v>468972</v>
      </c>
      <c r="AK43" s="178">
        <v>464985</v>
      </c>
      <c r="AL43" s="178">
        <v>460997</v>
      </c>
    </row>
    <row r="44" spans="1:38" ht="15" thickBot="1">
      <c r="A44" s="155" t="s">
        <v>1098</v>
      </c>
      <c r="B44" s="155" t="s">
        <v>1099</v>
      </c>
      <c r="C44" s="342"/>
      <c r="D44" s="156">
        <f t="shared" ref="D44:AK44" si="8">+D8+D27</f>
        <v>24357</v>
      </c>
      <c r="E44" s="156">
        <f t="shared" si="8"/>
        <v>71109</v>
      </c>
      <c r="F44" s="156">
        <f t="shared" si="8"/>
        <v>114336</v>
      </c>
      <c r="G44" s="156">
        <f t="shared" si="8"/>
        <v>298426</v>
      </c>
      <c r="H44" s="156">
        <f t="shared" si="8"/>
        <v>634608</v>
      </c>
      <c r="I44" s="156">
        <f t="shared" si="8"/>
        <v>905166</v>
      </c>
      <c r="J44" s="156">
        <f t="shared" si="8"/>
        <v>1443744</v>
      </c>
      <c r="K44" s="156">
        <f t="shared" si="8"/>
        <v>2265480</v>
      </c>
      <c r="L44" s="156">
        <f t="shared" si="8"/>
        <v>2964619</v>
      </c>
      <c r="M44" s="156">
        <f t="shared" si="8"/>
        <v>4572688</v>
      </c>
      <c r="N44" s="156">
        <f t="shared" si="8"/>
        <v>5351819</v>
      </c>
      <c r="O44" s="156">
        <f t="shared" si="8"/>
        <v>7354316</v>
      </c>
      <c r="P44" s="156">
        <f t="shared" si="8"/>
        <v>8206610</v>
      </c>
      <c r="Q44" s="156">
        <f t="shared" si="8"/>
        <v>8714529</v>
      </c>
      <c r="R44" s="156">
        <f t="shared" si="8"/>
        <v>9075743</v>
      </c>
      <c r="S44" s="156">
        <f t="shared" si="8"/>
        <v>9507578.487160001</v>
      </c>
      <c r="T44" s="156">
        <f t="shared" si="8"/>
        <v>9559072.5491499994</v>
      </c>
      <c r="U44" s="156">
        <f t="shared" si="8"/>
        <v>9764957.6228700001</v>
      </c>
      <c r="V44" s="156">
        <f t="shared" si="8"/>
        <v>10034768.970969999</v>
      </c>
      <c r="W44" s="156">
        <f t="shared" si="8"/>
        <v>10297623</v>
      </c>
      <c r="X44" s="156">
        <f t="shared" si="8"/>
        <v>22542000</v>
      </c>
      <c r="Y44" s="156">
        <f t="shared" si="8"/>
        <v>22319257</v>
      </c>
      <c r="Z44" s="156">
        <f t="shared" si="8"/>
        <v>22582803</v>
      </c>
      <c r="AA44" s="156">
        <f t="shared" si="8"/>
        <v>22620434</v>
      </c>
      <c r="AB44" s="156">
        <f t="shared" si="8"/>
        <v>22767499</v>
      </c>
      <c r="AC44" s="156">
        <f t="shared" si="8"/>
        <v>23347301</v>
      </c>
      <c r="AD44" s="156">
        <f t="shared" si="8"/>
        <v>25336782</v>
      </c>
      <c r="AE44" s="156">
        <f t="shared" si="8"/>
        <v>26234384</v>
      </c>
      <c r="AF44" s="156">
        <f t="shared" si="8"/>
        <v>26125878</v>
      </c>
      <c r="AG44" s="156">
        <f t="shared" si="8"/>
        <v>26658694</v>
      </c>
      <c r="AH44" s="156">
        <f t="shared" si="8"/>
        <v>26684682</v>
      </c>
      <c r="AI44" s="156">
        <f t="shared" si="8"/>
        <v>25989931</v>
      </c>
      <c r="AJ44" s="156">
        <f t="shared" si="8"/>
        <v>25388041</v>
      </c>
      <c r="AK44" s="156">
        <f t="shared" si="8"/>
        <v>25506803</v>
      </c>
      <c r="AL44" s="156">
        <f t="shared" ref="AL44" si="9">+AL8+AL27</f>
        <v>25626779</v>
      </c>
    </row>
    <row r="45" spans="1:38">
      <c r="A45" s="151"/>
      <c r="B45" s="151"/>
      <c r="C45" s="152"/>
      <c r="D45" s="151"/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1"/>
      <c r="AC45" s="151"/>
      <c r="AD45" s="151"/>
      <c r="AE45" s="159"/>
      <c r="AF45" s="159"/>
      <c r="AG45" s="159"/>
      <c r="AH45" s="159"/>
      <c r="AI45" s="159"/>
      <c r="AJ45" s="159"/>
      <c r="AK45" s="159"/>
      <c r="AL45" s="159"/>
    </row>
    <row r="46" spans="1:38" ht="15" thickBot="1">
      <c r="A46" s="6" t="s">
        <v>1301</v>
      </c>
      <c r="B46" s="6" t="s">
        <v>1302</v>
      </c>
      <c r="C46" s="341"/>
      <c r="D46" s="434" t="s">
        <v>55</v>
      </c>
      <c r="E46" s="434" t="s">
        <v>56</v>
      </c>
      <c r="F46" s="434" t="s">
        <v>57</v>
      </c>
      <c r="G46" s="434" t="s">
        <v>58</v>
      </c>
      <c r="H46" s="434" t="s">
        <v>59</v>
      </c>
      <c r="I46" s="434" t="s">
        <v>60</v>
      </c>
      <c r="J46" s="434" t="s">
        <v>61</v>
      </c>
      <c r="K46" s="434" t="s">
        <v>62</v>
      </c>
      <c r="L46" s="434" t="s">
        <v>63</v>
      </c>
      <c r="M46" s="434" t="s">
        <v>64</v>
      </c>
      <c r="N46" s="434" t="s">
        <v>65</v>
      </c>
      <c r="O46" s="434" t="s">
        <v>66</v>
      </c>
      <c r="P46" s="434" t="s">
        <v>67</v>
      </c>
      <c r="Q46" s="434" t="s">
        <v>68</v>
      </c>
      <c r="R46" s="434" t="s">
        <v>69</v>
      </c>
      <c r="S46" s="434" t="s">
        <v>70</v>
      </c>
      <c r="T46" s="434" t="s">
        <v>71</v>
      </c>
      <c r="U46" s="434" t="str">
        <f>U7</f>
        <v>2T21</v>
      </c>
      <c r="V46" s="434" t="s">
        <v>73</v>
      </c>
      <c r="W46" s="434" t="s">
        <v>74</v>
      </c>
      <c r="X46" s="434" t="s">
        <v>75</v>
      </c>
      <c r="Y46" s="434" t="s">
        <v>76</v>
      </c>
      <c r="Z46" s="434" t="s">
        <v>77</v>
      </c>
      <c r="AA46" s="434" t="str">
        <f>AA7</f>
        <v>4T22</v>
      </c>
      <c r="AB46" s="434" t="str">
        <f>AB7</f>
        <v>1T23</v>
      </c>
      <c r="AC46" s="434" t="s">
        <v>80</v>
      </c>
      <c r="AD46" s="434" t="s">
        <v>81</v>
      </c>
      <c r="AE46" s="434" t="s">
        <v>82</v>
      </c>
      <c r="AF46" s="434" t="s">
        <v>83</v>
      </c>
      <c r="AG46" s="434" t="s">
        <v>84</v>
      </c>
      <c r="AH46" s="434" t="s">
        <v>85</v>
      </c>
      <c r="AI46" s="434" t="s">
        <v>86</v>
      </c>
      <c r="AJ46" s="434" t="s">
        <v>87</v>
      </c>
      <c r="AK46" s="434" t="str">
        <f>+AK7</f>
        <v>2T25</v>
      </c>
      <c r="AL46" s="434" t="str">
        <f>+AL7</f>
        <v>3T25</v>
      </c>
    </row>
    <row r="47" spans="1:38" ht="15" thickBot="1">
      <c r="A47" s="155" t="s">
        <v>1051</v>
      </c>
      <c r="B47" s="155" t="s">
        <v>1052</v>
      </c>
      <c r="C47" s="342"/>
      <c r="D47" s="156">
        <f>SUM(D48:D65)</f>
        <v>24287</v>
      </c>
      <c r="E47" s="156">
        <f t="shared" ref="E47:O47" si="10">SUM(E48:E65)</f>
        <v>3238</v>
      </c>
      <c r="F47" s="156">
        <f t="shared" si="10"/>
        <v>17477</v>
      </c>
      <c r="G47" s="156">
        <f t="shared" si="10"/>
        <v>80669</v>
      </c>
      <c r="H47" s="156">
        <f t="shared" si="10"/>
        <v>34315</v>
      </c>
      <c r="I47" s="156">
        <f t="shared" si="10"/>
        <v>36639</v>
      </c>
      <c r="J47" s="156">
        <f t="shared" si="10"/>
        <v>261798</v>
      </c>
      <c r="K47" s="156">
        <f t="shared" si="10"/>
        <v>653824</v>
      </c>
      <c r="L47" s="156">
        <f t="shared" si="10"/>
        <v>784183</v>
      </c>
      <c r="M47" s="156">
        <f t="shared" si="10"/>
        <v>702660</v>
      </c>
      <c r="N47" s="156">
        <f t="shared" si="10"/>
        <v>874890</v>
      </c>
      <c r="O47" s="156">
        <f t="shared" si="10"/>
        <v>1077650</v>
      </c>
      <c r="P47" s="156">
        <f>SUM(P48:P65)</f>
        <v>1047204</v>
      </c>
      <c r="Q47" s="156">
        <v>1014684</v>
      </c>
      <c r="R47" s="156">
        <f>SUM(R48:R65)</f>
        <v>568890</v>
      </c>
      <c r="S47" s="156">
        <f>SUM(S48:S65)</f>
        <v>298636.99665697006</v>
      </c>
      <c r="T47" s="156">
        <f>SUM(T48:T65)</f>
        <v>253812</v>
      </c>
      <c r="U47" s="156">
        <v>483447.30434000009</v>
      </c>
      <c r="V47" s="156">
        <v>546740.00000000012</v>
      </c>
      <c r="W47" s="156">
        <v>430895.00000000006</v>
      </c>
      <c r="X47" s="156">
        <v>1091000</v>
      </c>
      <c r="Y47" s="156">
        <f t="shared" ref="Y47:AF47" si="11">SUM(Y48:Y65)</f>
        <v>1197665</v>
      </c>
      <c r="Z47" s="156">
        <f t="shared" si="11"/>
        <v>1168481</v>
      </c>
      <c r="AA47" s="156">
        <f t="shared" si="11"/>
        <v>1159805</v>
      </c>
      <c r="AB47" s="156">
        <f t="shared" si="11"/>
        <v>1296624</v>
      </c>
      <c r="AC47" s="156">
        <f t="shared" si="11"/>
        <v>1730151</v>
      </c>
      <c r="AD47" s="156">
        <f t="shared" si="11"/>
        <v>3181433</v>
      </c>
      <c r="AE47" s="156">
        <f t="shared" si="11"/>
        <v>2837376</v>
      </c>
      <c r="AF47" s="156">
        <f t="shared" si="11"/>
        <v>2668918</v>
      </c>
      <c r="AG47" s="156">
        <f t="shared" ref="AG47:AL47" si="12">SUM(AG48:AG66)</f>
        <v>2543562</v>
      </c>
      <c r="AH47" s="156">
        <f t="shared" si="12"/>
        <v>2447655</v>
      </c>
      <c r="AI47" s="156">
        <f t="shared" si="12"/>
        <v>2391024</v>
      </c>
      <c r="AJ47" s="156">
        <f t="shared" si="12"/>
        <v>1791195</v>
      </c>
      <c r="AK47" s="156">
        <f t="shared" si="12"/>
        <v>1571356</v>
      </c>
      <c r="AL47" s="156">
        <f t="shared" si="12"/>
        <v>1397688</v>
      </c>
    </row>
    <row r="48" spans="1:38">
      <c r="A48" s="160" t="s">
        <v>1102</v>
      </c>
      <c r="B48" s="160" t="s">
        <v>1103</v>
      </c>
      <c r="C48" s="343"/>
      <c r="D48" s="167">
        <v>0</v>
      </c>
      <c r="E48" s="167">
        <v>28</v>
      </c>
      <c r="F48" s="167">
        <v>0</v>
      </c>
      <c r="G48" s="167">
        <v>66008</v>
      </c>
      <c r="H48" s="167">
        <v>18912</v>
      </c>
      <c r="I48" s="167">
        <v>16293</v>
      </c>
      <c r="J48" s="167">
        <v>43085</v>
      </c>
      <c r="K48" s="167">
        <v>228708</v>
      </c>
      <c r="L48" s="167">
        <v>337565</v>
      </c>
      <c r="M48" s="167">
        <v>242809</v>
      </c>
      <c r="N48" s="167">
        <v>173367</v>
      </c>
      <c r="O48" s="167">
        <v>288450</v>
      </c>
      <c r="P48" s="167">
        <v>225457</v>
      </c>
      <c r="Q48" s="167">
        <v>182318</v>
      </c>
      <c r="R48" s="167">
        <v>169298</v>
      </c>
      <c r="S48" s="167">
        <v>124130.2257</v>
      </c>
      <c r="T48" s="167">
        <v>64001</v>
      </c>
      <c r="U48" s="167">
        <v>65092.070379999997</v>
      </c>
      <c r="V48" s="167">
        <v>45597</v>
      </c>
      <c r="W48" s="167">
        <v>75745.999999999985</v>
      </c>
      <c r="X48" s="167">
        <v>101000</v>
      </c>
      <c r="Y48" s="167">
        <v>100471</v>
      </c>
      <c r="Z48" s="167">
        <v>123503</v>
      </c>
      <c r="AA48" s="167">
        <v>142710</v>
      </c>
      <c r="AB48" s="167">
        <v>133972</v>
      </c>
      <c r="AC48" s="167">
        <v>341895</v>
      </c>
      <c r="AD48" s="167">
        <v>204683</v>
      </c>
      <c r="AE48" s="167">
        <v>165374</v>
      </c>
      <c r="AF48" s="167">
        <v>216422</v>
      </c>
      <c r="AG48" s="167">
        <v>163301</v>
      </c>
      <c r="AH48" s="167">
        <v>151052</v>
      </c>
      <c r="AI48" s="167">
        <v>131213</v>
      </c>
      <c r="AJ48" s="167">
        <v>150016</v>
      </c>
      <c r="AK48" s="167">
        <v>159090</v>
      </c>
      <c r="AL48" s="167">
        <v>160363</v>
      </c>
    </row>
    <row r="49" spans="1:38">
      <c r="A49" s="160" t="s">
        <v>1104</v>
      </c>
      <c r="B49" s="160" t="s">
        <v>876</v>
      </c>
      <c r="C49" s="343"/>
      <c r="D49" s="167">
        <v>0</v>
      </c>
      <c r="E49" s="167">
        <v>0</v>
      </c>
      <c r="F49" s="167">
        <v>2740</v>
      </c>
      <c r="G49" s="167">
        <v>0</v>
      </c>
      <c r="H49" s="167">
        <v>532</v>
      </c>
      <c r="I49" s="167">
        <v>609</v>
      </c>
      <c r="J49" s="167">
        <v>745</v>
      </c>
      <c r="K49" s="167">
        <v>633</v>
      </c>
      <c r="L49" s="167">
        <v>1206</v>
      </c>
      <c r="M49" s="167">
        <v>927</v>
      </c>
      <c r="N49" s="167">
        <v>1047</v>
      </c>
      <c r="O49" s="167">
        <v>973</v>
      </c>
      <c r="P49" s="167">
        <v>1746</v>
      </c>
      <c r="Q49" s="167">
        <v>2093</v>
      </c>
      <c r="R49" s="167">
        <v>2912</v>
      </c>
      <c r="S49" s="167">
        <v>7349.5765300000003</v>
      </c>
      <c r="T49" s="167">
        <v>2771</v>
      </c>
      <c r="U49" s="167">
        <v>6152.6860300000008</v>
      </c>
      <c r="V49" s="167">
        <v>8000</v>
      </c>
      <c r="W49" s="167">
        <v>8798</v>
      </c>
      <c r="X49" s="167">
        <v>19000</v>
      </c>
      <c r="Y49" s="167">
        <v>12556</v>
      </c>
      <c r="Z49" s="167">
        <v>20549.999999999996</v>
      </c>
      <c r="AA49" s="167">
        <v>22541</v>
      </c>
      <c r="AB49" s="167">
        <v>39760.999999999993</v>
      </c>
      <c r="AC49" s="167">
        <v>18709</v>
      </c>
      <c r="AD49" s="167">
        <v>22003</v>
      </c>
      <c r="AE49" s="167">
        <v>17303</v>
      </c>
      <c r="AF49" s="167">
        <v>20625</v>
      </c>
      <c r="AG49" s="167">
        <v>11077</v>
      </c>
      <c r="AH49" s="167">
        <v>11714</v>
      </c>
      <c r="AI49" s="167">
        <v>12977</v>
      </c>
      <c r="AJ49" s="167">
        <v>12934</v>
      </c>
      <c r="AK49" s="167">
        <v>9853</v>
      </c>
      <c r="AL49" s="167">
        <v>11439</v>
      </c>
    </row>
    <row r="50" spans="1:38">
      <c r="A50" s="151" t="s">
        <v>1173</v>
      </c>
      <c r="B50" s="151" t="s">
        <v>753</v>
      </c>
      <c r="C50" s="343"/>
      <c r="D50" s="167">
        <v>24287</v>
      </c>
      <c r="E50" s="167">
        <v>3019</v>
      </c>
      <c r="F50" s="167">
        <v>10363</v>
      </c>
      <c r="G50" s="167">
        <v>0</v>
      </c>
      <c r="H50" s="167">
        <v>1722</v>
      </c>
      <c r="I50" s="167">
        <v>1734</v>
      </c>
      <c r="J50" s="167">
        <v>2652</v>
      </c>
      <c r="K50" s="167">
        <v>3191</v>
      </c>
      <c r="L50" s="167">
        <v>3854</v>
      </c>
      <c r="M50" s="167">
        <v>4393</v>
      </c>
      <c r="N50" s="167">
        <v>3024</v>
      </c>
      <c r="O50" s="167"/>
      <c r="P50" s="167"/>
      <c r="Q50" s="167"/>
      <c r="R50" s="167"/>
      <c r="T50" s="167"/>
      <c r="U50" s="167">
        <v>38104.424030000002</v>
      </c>
      <c r="AC50" s="167"/>
      <c r="AD50" s="167"/>
      <c r="AE50" s="167"/>
      <c r="AF50" s="167"/>
      <c r="AG50" s="167" t="s">
        <v>447</v>
      </c>
      <c r="AH50" s="167"/>
      <c r="AI50" s="167"/>
      <c r="AJ50" s="167"/>
      <c r="AK50" s="167"/>
      <c r="AL50" s="167"/>
    </row>
    <row r="51" spans="1:38">
      <c r="A51" s="151" t="s">
        <v>1303</v>
      </c>
      <c r="B51" s="151" t="s">
        <v>1304</v>
      </c>
      <c r="C51" s="343"/>
      <c r="D51" s="167">
        <v>0</v>
      </c>
      <c r="E51" s="167">
        <v>0</v>
      </c>
      <c r="F51" s="167">
        <v>0</v>
      </c>
      <c r="G51" s="167">
        <v>0</v>
      </c>
      <c r="H51" s="167">
        <v>0</v>
      </c>
      <c r="I51" s="167">
        <v>0</v>
      </c>
      <c r="J51" s="167">
        <v>0</v>
      </c>
      <c r="K51" s="167"/>
      <c r="L51" s="167"/>
      <c r="M51" s="167"/>
      <c r="N51" s="167"/>
      <c r="O51" s="167"/>
      <c r="P51" s="167"/>
      <c r="Q51" s="167"/>
      <c r="R51" s="167"/>
      <c r="S51" s="167">
        <v>56070.170169999998</v>
      </c>
      <c r="T51" s="167"/>
      <c r="U51" s="167">
        <v>3179.5745499999998</v>
      </c>
      <c r="V51" s="167">
        <v>66000</v>
      </c>
      <c r="W51" s="167">
        <v>66000</v>
      </c>
      <c r="X51" s="167">
        <v>130000</v>
      </c>
      <c r="Y51" s="167">
        <v>143117</v>
      </c>
      <c r="Z51" s="167">
        <v>157876</v>
      </c>
      <c r="AA51" s="167"/>
      <c r="AB51" s="167">
        <v>37043</v>
      </c>
      <c r="AC51" s="167"/>
      <c r="AD51" s="167"/>
      <c r="AE51" s="167"/>
      <c r="AF51" s="167"/>
      <c r="AG51" s="167"/>
      <c r="AH51" s="167"/>
      <c r="AI51" s="167"/>
      <c r="AJ51" s="167"/>
      <c r="AK51" s="167"/>
      <c r="AL51" s="167"/>
    </row>
    <row r="52" spans="1:38">
      <c r="A52" s="151" t="s">
        <v>1305</v>
      </c>
      <c r="B52" s="151" t="s">
        <v>1306</v>
      </c>
      <c r="C52" s="343"/>
      <c r="D52" s="167">
        <v>0</v>
      </c>
      <c r="E52" s="167">
        <v>0</v>
      </c>
      <c r="F52" s="167">
        <v>0</v>
      </c>
      <c r="G52" s="167">
        <v>0</v>
      </c>
      <c r="H52" s="167">
        <v>0</v>
      </c>
      <c r="I52" s="167">
        <v>0</v>
      </c>
      <c r="J52" s="167">
        <v>0</v>
      </c>
      <c r="K52" s="167"/>
      <c r="L52" s="167"/>
      <c r="M52" s="167"/>
      <c r="N52" s="167"/>
      <c r="O52" s="167"/>
      <c r="P52" s="167"/>
      <c r="Q52" s="167"/>
      <c r="R52" s="167"/>
      <c r="S52" s="167">
        <v>1845.8968599999998</v>
      </c>
      <c r="T52" s="167"/>
      <c r="V52" s="167">
        <v>3389.0000000000005</v>
      </c>
      <c r="W52" s="167">
        <v>4413</v>
      </c>
      <c r="X52" s="167">
        <v>7000</v>
      </c>
      <c r="Y52" s="167">
        <v>123713</v>
      </c>
      <c r="Z52" s="167">
        <v>7128</v>
      </c>
      <c r="AA52" s="167"/>
      <c r="AB52" s="167">
        <v>9219</v>
      </c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</row>
    <row r="53" spans="1:38">
      <c r="A53" s="160" t="s">
        <v>1105</v>
      </c>
      <c r="B53" s="160" t="s">
        <v>1106</v>
      </c>
      <c r="C53" s="343"/>
      <c r="D53" s="167">
        <v>0</v>
      </c>
      <c r="E53" s="167">
        <v>0</v>
      </c>
      <c r="F53" s="167">
        <v>0</v>
      </c>
      <c r="G53" s="167">
        <v>0</v>
      </c>
      <c r="H53" s="167">
        <v>0</v>
      </c>
      <c r="I53" s="167">
        <v>0</v>
      </c>
      <c r="J53" s="167">
        <v>192243</v>
      </c>
      <c r="K53" s="167">
        <v>196666</v>
      </c>
      <c r="L53" s="167">
        <v>202031</v>
      </c>
      <c r="M53" s="167">
        <v>207509</v>
      </c>
      <c r="N53" s="167">
        <v>442381</v>
      </c>
      <c r="O53" s="167">
        <v>758663</v>
      </c>
      <c r="P53" s="167">
        <v>782288</v>
      </c>
      <c r="Q53" s="167">
        <v>765994</v>
      </c>
      <c r="R53" s="167">
        <v>323553</v>
      </c>
      <c r="S53" s="167">
        <v>9433.4777300000005</v>
      </c>
      <c r="T53" s="167">
        <v>80704</v>
      </c>
      <c r="U53" s="167">
        <v>37554.970009999997</v>
      </c>
      <c r="V53" s="167">
        <v>188880</v>
      </c>
      <c r="W53" s="167">
        <v>222518.00000000003</v>
      </c>
      <c r="X53" s="167">
        <v>394000</v>
      </c>
      <c r="Y53" s="167">
        <v>512800</v>
      </c>
      <c r="Z53" s="167">
        <v>276173</v>
      </c>
      <c r="AA53" s="167">
        <v>388448</v>
      </c>
      <c r="AB53" s="167">
        <v>393649</v>
      </c>
      <c r="AC53" s="167">
        <v>623337</v>
      </c>
      <c r="AD53" s="167">
        <v>1940426</v>
      </c>
      <c r="AE53" s="167">
        <v>1994129</v>
      </c>
      <c r="AF53" s="167">
        <v>1795713</v>
      </c>
      <c r="AG53" s="167">
        <v>978602</v>
      </c>
      <c r="AH53" s="167">
        <v>723020</v>
      </c>
      <c r="AI53" s="167">
        <v>755559</v>
      </c>
      <c r="AJ53" s="167">
        <v>796152</v>
      </c>
      <c r="AK53" s="167">
        <v>604144</v>
      </c>
      <c r="AL53" s="167">
        <v>494724</v>
      </c>
    </row>
    <row r="54" spans="1:38">
      <c r="A54" s="160" t="s">
        <v>1107</v>
      </c>
      <c r="B54" s="160" t="s">
        <v>1108</v>
      </c>
      <c r="C54" s="343"/>
      <c r="D54" s="167">
        <v>0</v>
      </c>
      <c r="E54" s="167">
        <v>0</v>
      </c>
      <c r="F54" s="167">
        <v>0</v>
      </c>
      <c r="G54" s="167">
        <v>0</v>
      </c>
      <c r="H54" s="167">
        <v>0</v>
      </c>
      <c r="I54" s="167">
        <v>0</v>
      </c>
      <c r="J54" s="167">
        <v>0</v>
      </c>
      <c r="K54" s="167">
        <v>191826</v>
      </c>
      <c r="L54" s="167">
        <v>195950</v>
      </c>
      <c r="M54" s="167">
        <v>200490</v>
      </c>
      <c r="N54" s="167">
        <v>203176</v>
      </c>
      <c r="O54" s="167"/>
      <c r="P54" s="167">
        <v>7713</v>
      </c>
      <c r="Q54" s="167">
        <v>29862</v>
      </c>
      <c r="R54" s="167">
        <v>40876</v>
      </c>
      <c r="S54" s="167">
        <v>49828.318809999997</v>
      </c>
      <c r="T54" s="167">
        <v>43356</v>
      </c>
      <c r="U54" s="167">
        <v>21130.181550000001</v>
      </c>
      <c r="V54" s="167">
        <v>12098</v>
      </c>
      <c r="W54" s="167">
        <v>18276</v>
      </c>
      <c r="X54" s="167">
        <v>142000</v>
      </c>
      <c r="Y54" s="167">
        <v>124015</v>
      </c>
      <c r="Z54" s="167">
        <v>137794</v>
      </c>
      <c r="AA54" s="167">
        <v>168177</v>
      </c>
      <c r="AB54" s="167">
        <v>189854</v>
      </c>
      <c r="AC54" s="167">
        <v>194389</v>
      </c>
      <c r="AD54" s="167">
        <v>499539</v>
      </c>
      <c r="AE54" s="167">
        <v>193813</v>
      </c>
      <c r="AF54" s="167">
        <v>281461</v>
      </c>
      <c r="AG54" s="167">
        <v>306913</v>
      </c>
      <c r="AH54" s="167">
        <v>392209</v>
      </c>
      <c r="AI54" s="167">
        <v>327661</v>
      </c>
      <c r="AJ54" s="167">
        <v>376748</v>
      </c>
      <c r="AK54" s="167">
        <v>362203</v>
      </c>
      <c r="AL54" s="167">
        <v>287582</v>
      </c>
    </row>
    <row r="55" spans="1:38">
      <c r="A55" s="151" t="s">
        <v>1111</v>
      </c>
      <c r="B55" s="151" t="s">
        <v>1112</v>
      </c>
      <c r="C55" s="343"/>
      <c r="D55" s="167">
        <v>0</v>
      </c>
      <c r="E55" s="167">
        <v>142</v>
      </c>
      <c r="F55" s="167">
        <v>235</v>
      </c>
      <c r="G55" s="167">
        <v>6328</v>
      </c>
      <c r="H55" s="167">
        <v>8694</v>
      </c>
      <c r="I55" s="167">
        <v>9547</v>
      </c>
      <c r="J55" s="167">
        <v>13279</v>
      </c>
      <c r="K55" s="167">
        <v>20884</v>
      </c>
      <c r="L55" s="167">
        <v>22895</v>
      </c>
      <c r="M55" s="167">
        <v>28495</v>
      </c>
      <c r="N55" s="167">
        <v>32846</v>
      </c>
      <c r="O55" s="167">
        <v>13096</v>
      </c>
      <c r="P55" s="167">
        <v>10247</v>
      </c>
      <c r="Q55" s="167">
        <v>12634</v>
      </c>
      <c r="R55" s="167">
        <v>13245</v>
      </c>
      <c r="S55" s="167">
        <v>14729.65632</v>
      </c>
      <c r="T55" s="167">
        <v>12391</v>
      </c>
      <c r="U55" s="167">
        <v>13029.624029999999</v>
      </c>
      <c r="V55" s="167">
        <v>10968</v>
      </c>
      <c r="W55" s="167">
        <v>13855</v>
      </c>
      <c r="X55" s="167">
        <v>23000</v>
      </c>
      <c r="Y55" s="167">
        <v>21259</v>
      </c>
      <c r="Z55" s="167">
        <v>26237</v>
      </c>
      <c r="AA55" s="167">
        <v>23309</v>
      </c>
      <c r="AB55" s="167">
        <v>22047</v>
      </c>
      <c r="AC55" s="167">
        <v>29012</v>
      </c>
      <c r="AD55" s="167">
        <v>35317</v>
      </c>
      <c r="AE55" s="167">
        <v>31744</v>
      </c>
      <c r="AF55" s="167">
        <v>29784</v>
      </c>
      <c r="AG55" s="167">
        <v>29193</v>
      </c>
      <c r="AH55" s="167">
        <v>24398</v>
      </c>
      <c r="AI55" s="167">
        <v>26119</v>
      </c>
      <c r="AJ55" s="167">
        <v>24368</v>
      </c>
      <c r="AK55" s="167">
        <v>31443</v>
      </c>
      <c r="AL55" s="167">
        <v>27634</v>
      </c>
    </row>
    <row r="56" spans="1:38">
      <c r="A56" s="151" t="s">
        <v>1307</v>
      </c>
      <c r="B56" s="151" t="s">
        <v>1308</v>
      </c>
      <c r="C56" s="343"/>
      <c r="D56" s="167">
        <v>0</v>
      </c>
      <c r="E56" s="167">
        <v>49</v>
      </c>
      <c r="F56" s="167">
        <v>60</v>
      </c>
      <c r="G56" s="167">
        <v>231</v>
      </c>
      <c r="H56" s="167">
        <v>198</v>
      </c>
      <c r="I56" s="167">
        <v>37</v>
      </c>
      <c r="J56" s="167">
        <v>144</v>
      </c>
      <c r="K56" s="167">
        <v>1404</v>
      </c>
      <c r="L56" s="167">
        <v>4126</v>
      </c>
      <c r="M56" s="167">
        <v>1542</v>
      </c>
      <c r="N56" s="167">
        <v>1496</v>
      </c>
      <c r="O56" s="167">
        <v>985</v>
      </c>
      <c r="P56" s="167">
        <v>103</v>
      </c>
      <c r="Q56" s="167">
        <v>131</v>
      </c>
      <c r="R56" s="167">
        <v>109</v>
      </c>
      <c r="S56" s="167">
        <v>14654.163509999998</v>
      </c>
      <c r="T56" s="167">
        <v>18480</v>
      </c>
      <c r="U56" s="167">
        <v>11520.532959999999</v>
      </c>
      <c r="V56" s="167">
        <v>11285</v>
      </c>
      <c r="W56" s="167">
        <v>15782</v>
      </c>
      <c r="X56" s="167">
        <v>82000</v>
      </c>
      <c r="Y56" s="167">
        <v>35001</v>
      </c>
      <c r="Z56" s="167">
        <v>54054</v>
      </c>
      <c r="AA56" s="167">
        <v>70710</v>
      </c>
      <c r="AB56" s="167">
        <v>85872</v>
      </c>
      <c r="AC56" s="167">
        <v>45526</v>
      </c>
      <c r="AD56" s="167">
        <v>68347</v>
      </c>
      <c r="AE56" s="167">
        <v>77627</v>
      </c>
      <c r="AF56" s="167">
        <v>69045</v>
      </c>
      <c r="AG56" s="167">
        <v>74851</v>
      </c>
      <c r="AH56" s="167">
        <v>87062</v>
      </c>
      <c r="AI56" s="167">
        <v>70806</v>
      </c>
      <c r="AJ56" s="167">
        <v>63686</v>
      </c>
      <c r="AK56" s="167">
        <v>79476</v>
      </c>
      <c r="AL56" s="167">
        <v>66798</v>
      </c>
    </row>
    <row r="57" spans="1:38">
      <c r="A57" s="151" t="s">
        <v>1309</v>
      </c>
      <c r="B57" s="151" t="s">
        <v>1284</v>
      </c>
      <c r="C57" s="343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  <c r="V57" s="167"/>
      <c r="W57" s="167"/>
      <c r="X57" s="167"/>
      <c r="Y57" s="167"/>
      <c r="Z57" s="167">
        <v>41487.999999999993</v>
      </c>
      <c r="AA57" s="167">
        <v>42859</v>
      </c>
      <c r="AB57" s="167">
        <v>44240</v>
      </c>
      <c r="AC57" s="167">
        <v>45721</v>
      </c>
      <c r="AD57" s="167">
        <v>47342</v>
      </c>
      <c r="AE57" s="167">
        <v>49441</v>
      </c>
      <c r="AF57" s="167">
        <v>50986</v>
      </c>
      <c r="AG57" s="167">
        <v>46853</v>
      </c>
      <c r="AH57" s="167">
        <v>38065</v>
      </c>
      <c r="AI57" s="167">
        <v>38766</v>
      </c>
      <c r="AJ57" s="167">
        <v>39490</v>
      </c>
      <c r="AK57" s="167">
        <v>40239</v>
      </c>
      <c r="AL57" s="167">
        <v>40942</v>
      </c>
    </row>
    <row r="58" spans="1:38">
      <c r="A58" s="151" t="s">
        <v>1115</v>
      </c>
      <c r="B58" s="151" t="s">
        <v>1116</v>
      </c>
      <c r="C58" s="343"/>
      <c r="D58" s="167">
        <v>0</v>
      </c>
      <c r="E58" s="167">
        <v>0</v>
      </c>
      <c r="F58" s="167">
        <v>0</v>
      </c>
      <c r="G58" s="167">
        <v>0</v>
      </c>
      <c r="H58" s="167">
        <v>0</v>
      </c>
      <c r="I58" s="167">
        <v>0</v>
      </c>
      <c r="J58" s="167">
        <v>0</v>
      </c>
      <c r="K58" s="167"/>
      <c r="L58" s="167">
        <v>7090</v>
      </c>
      <c r="M58" s="167">
        <v>7090</v>
      </c>
      <c r="N58" s="167">
        <v>7090</v>
      </c>
      <c r="O58" s="167">
        <v>7090</v>
      </c>
      <c r="P58" s="167">
        <v>7090</v>
      </c>
      <c r="Q58" s="167">
        <v>7090</v>
      </c>
      <c r="R58" s="167">
        <v>7090</v>
      </c>
      <c r="S58" s="167">
        <v>16142.617516970002</v>
      </c>
      <c r="T58" s="167">
        <v>16169</v>
      </c>
      <c r="U58" s="167">
        <v>190615.68894000005</v>
      </c>
      <c r="V58" s="167">
        <v>190442</v>
      </c>
      <c r="W58" s="167"/>
      <c r="X58" s="167"/>
      <c r="Y58" s="167">
        <v>51574</v>
      </c>
      <c r="Z58" s="167">
        <v>51196</v>
      </c>
      <c r="AA58" s="167">
        <v>36962</v>
      </c>
      <c r="AB58" s="167">
        <v>36961.999999999985</v>
      </c>
      <c r="AC58" s="167">
        <v>36962</v>
      </c>
      <c r="AD58" s="167">
        <v>36962</v>
      </c>
      <c r="AE58" s="167">
        <v>47303</v>
      </c>
      <c r="AF58" s="167">
        <v>47302</v>
      </c>
      <c r="AG58" s="167">
        <v>41093</v>
      </c>
      <c r="AH58" s="167">
        <v>41093</v>
      </c>
      <c r="AI58" s="167">
        <v>745138</v>
      </c>
      <c r="AJ58" s="167">
        <v>35139</v>
      </c>
      <c r="AK58" s="167">
        <v>-2</v>
      </c>
      <c r="AL58" s="167"/>
    </row>
    <row r="59" spans="1:38">
      <c r="A59" s="151" t="s">
        <v>1130</v>
      </c>
      <c r="B59" s="151" t="s">
        <v>1131</v>
      </c>
      <c r="C59" s="343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167">
        <v>1271</v>
      </c>
      <c r="AA59" s="167">
        <v>2510</v>
      </c>
      <c r="AB59" s="167">
        <v>1906</v>
      </c>
      <c r="AC59" s="167">
        <v>2433</v>
      </c>
      <c r="AD59" s="167">
        <v>2477</v>
      </c>
      <c r="AE59" s="167">
        <v>1723</v>
      </c>
      <c r="AF59" s="167">
        <v>1788</v>
      </c>
      <c r="AG59" s="167">
        <v>2365</v>
      </c>
      <c r="AH59" s="167">
        <v>2568</v>
      </c>
      <c r="AI59" s="167">
        <v>2626</v>
      </c>
      <c r="AJ59" s="167">
        <v>2600</v>
      </c>
      <c r="AK59" s="167">
        <v>2647</v>
      </c>
      <c r="AL59" s="167">
        <v>2240</v>
      </c>
    </row>
    <row r="60" spans="1:38">
      <c r="A60" s="151" t="s">
        <v>1310</v>
      </c>
      <c r="B60" s="151" t="s">
        <v>1269</v>
      </c>
      <c r="C60" s="343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  <c r="V60" s="167"/>
      <c r="W60" s="167"/>
      <c r="X60" s="167"/>
      <c r="Y60" s="167"/>
      <c r="Z60" s="167">
        <v>164558</v>
      </c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</row>
    <row r="61" spans="1:38">
      <c r="A61" s="151" t="s">
        <v>1117</v>
      </c>
      <c r="B61" s="151" t="s">
        <v>1118</v>
      </c>
      <c r="C61" s="343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7"/>
      <c r="Y61" s="167"/>
      <c r="Z61" s="167"/>
      <c r="AA61" s="167">
        <v>7975</v>
      </c>
      <c r="AB61" s="167"/>
      <c r="AC61" s="167"/>
      <c r="AD61" s="167">
        <v>11602</v>
      </c>
      <c r="AE61" s="167">
        <v>12971</v>
      </c>
      <c r="AF61" s="167">
        <v>14180</v>
      </c>
      <c r="AG61" s="167">
        <v>13839</v>
      </c>
      <c r="AH61" s="167">
        <v>13295</v>
      </c>
      <c r="AI61" s="167">
        <v>14016</v>
      </c>
      <c r="AJ61" s="167">
        <v>14923</v>
      </c>
      <c r="AK61" s="167">
        <v>15731</v>
      </c>
      <c r="AL61" s="167">
        <v>16696</v>
      </c>
    </row>
    <row r="62" spans="1:38">
      <c r="A62" s="151" t="s">
        <v>1123</v>
      </c>
      <c r="B62" s="151" t="s">
        <v>1124</v>
      </c>
      <c r="C62" s="343"/>
      <c r="D62" s="167">
        <v>0</v>
      </c>
      <c r="E62" s="167">
        <v>0</v>
      </c>
      <c r="F62" s="167">
        <v>0</v>
      </c>
      <c r="G62" s="167">
        <v>0</v>
      </c>
      <c r="H62" s="167">
        <v>0</v>
      </c>
      <c r="I62" s="167">
        <v>2297</v>
      </c>
      <c r="J62" s="167">
        <v>2715</v>
      </c>
      <c r="K62" s="167">
        <v>3133</v>
      </c>
      <c r="L62" s="167">
        <v>2332</v>
      </c>
      <c r="M62" s="167">
        <v>2011</v>
      </c>
      <c r="N62" s="167">
        <v>2749</v>
      </c>
      <c r="O62" s="167">
        <v>3449</v>
      </c>
      <c r="P62" s="167">
        <v>4459</v>
      </c>
      <c r="Q62" s="167">
        <v>3358</v>
      </c>
      <c r="R62" s="167">
        <v>3223</v>
      </c>
      <c r="T62" s="167">
        <v>6151</v>
      </c>
      <c r="Y62" s="167">
        <v>2691</v>
      </c>
      <c r="Z62" s="167"/>
      <c r="AA62" s="167">
        <v>5566</v>
      </c>
      <c r="AB62" s="167"/>
      <c r="AC62" s="167">
        <v>879</v>
      </c>
      <c r="AD62" s="167">
        <v>4735</v>
      </c>
      <c r="AE62" s="167">
        <v>6852</v>
      </c>
      <c r="AF62" s="167">
        <v>4543</v>
      </c>
      <c r="AG62" s="167">
        <v>3681</v>
      </c>
      <c r="AH62" s="167">
        <v>5048</v>
      </c>
      <c r="AI62" s="167">
        <v>6655</v>
      </c>
      <c r="AJ62" s="167">
        <v>4804</v>
      </c>
      <c r="AK62" s="167">
        <v>3960</v>
      </c>
      <c r="AL62" s="167">
        <v>5374</v>
      </c>
    </row>
    <row r="63" spans="1:38">
      <c r="A63" s="151" t="s">
        <v>1072</v>
      </c>
      <c r="B63" s="151" t="s">
        <v>1073</v>
      </c>
      <c r="C63" s="343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T63" s="167"/>
      <c r="Y63" s="167"/>
      <c r="Z63" s="167"/>
      <c r="AA63" s="167">
        <v>15719</v>
      </c>
      <c r="AB63" s="167"/>
      <c r="AC63" s="167">
        <v>115138</v>
      </c>
      <c r="AD63" s="167">
        <v>17214</v>
      </c>
      <c r="AE63" s="167">
        <v>20147</v>
      </c>
      <c r="AF63" s="167">
        <v>2305</v>
      </c>
      <c r="AG63" s="167">
        <v>0</v>
      </c>
      <c r="AH63" s="167">
        <v>5481</v>
      </c>
      <c r="AI63" s="167">
        <v>0</v>
      </c>
      <c r="AJ63" s="167"/>
      <c r="AK63" s="167"/>
      <c r="AL63" s="167"/>
    </row>
    <row r="64" spans="1:38">
      <c r="A64" s="151" t="s">
        <v>1265</v>
      </c>
      <c r="B64" s="151" t="s">
        <v>1266</v>
      </c>
      <c r="C64" s="343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T64" s="167"/>
      <c r="Y64" s="167"/>
      <c r="Z64" s="167"/>
      <c r="AA64" s="167">
        <v>0</v>
      </c>
      <c r="AB64" s="167"/>
      <c r="AC64" s="167">
        <v>11684</v>
      </c>
      <c r="AD64" s="167">
        <v>11303</v>
      </c>
      <c r="AE64" s="167">
        <v>10527</v>
      </c>
      <c r="AF64" s="167">
        <v>5171</v>
      </c>
      <c r="AG64" s="167">
        <v>4104</v>
      </c>
      <c r="AH64" s="167">
        <v>12051</v>
      </c>
      <c r="AI64" s="167">
        <v>6456</v>
      </c>
      <c r="AJ64" s="167">
        <v>15811</v>
      </c>
      <c r="AK64" s="167">
        <v>7085</v>
      </c>
      <c r="AL64" s="167">
        <v>4414</v>
      </c>
    </row>
    <row r="65" spans="1:38">
      <c r="A65" s="151" t="s">
        <v>1129</v>
      </c>
      <c r="B65" s="151" t="s">
        <v>96</v>
      </c>
      <c r="C65" s="343"/>
      <c r="D65" s="167">
        <v>0</v>
      </c>
      <c r="E65" s="167">
        <v>0</v>
      </c>
      <c r="F65" s="167">
        <v>4079</v>
      </c>
      <c r="G65" s="167">
        <v>8102</v>
      </c>
      <c r="H65" s="167">
        <v>4257</v>
      </c>
      <c r="I65" s="167">
        <v>6122</v>
      </c>
      <c r="J65" s="167">
        <v>6935</v>
      </c>
      <c r="K65" s="167">
        <v>7379</v>
      </c>
      <c r="L65" s="167">
        <v>7134</v>
      </c>
      <c r="M65" s="167">
        <v>7394</v>
      </c>
      <c r="N65" s="167">
        <f>7672+42</f>
        <v>7714</v>
      </c>
      <c r="O65" s="167">
        <f>96+4848</f>
        <v>4944</v>
      </c>
      <c r="P65" s="167">
        <v>8101</v>
      </c>
      <c r="Q65" s="167">
        <v>11204</v>
      </c>
      <c r="R65" s="167">
        <v>8584</v>
      </c>
      <c r="S65" s="167">
        <v>4452.893509999999</v>
      </c>
      <c r="T65" s="167">
        <f>7051+2738</f>
        <v>9789</v>
      </c>
      <c r="U65" s="167">
        <v>97067.551860000007</v>
      </c>
      <c r="V65" s="167">
        <v>10081</v>
      </c>
      <c r="W65" s="167">
        <v>5507</v>
      </c>
      <c r="X65" s="167">
        <v>62000</v>
      </c>
      <c r="Y65" s="167">
        <f>69269+1199</f>
        <v>70468</v>
      </c>
      <c r="Z65" s="167">
        <v>106653</v>
      </c>
      <c r="AA65" s="167">
        <v>232319</v>
      </c>
      <c r="AB65" s="167">
        <v>302099</v>
      </c>
      <c r="AC65" s="167">
        <v>264466</v>
      </c>
      <c r="AD65" s="167">
        <v>279483</v>
      </c>
      <c r="AE65" s="167">
        <v>208422</v>
      </c>
      <c r="AF65" s="167">
        <v>129593</v>
      </c>
      <c r="AG65" s="167">
        <v>143254</v>
      </c>
      <c r="AH65" s="167">
        <v>214970</v>
      </c>
      <c r="AI65" s="167">
        <v>253032</v>
      </c>
      <c r="AJ65" s="167">
        <v>254524</v>
      </c>
      <c r="AK65" s="167">
        <v>255487</v>
      </c>
      <c r="AL65" s="167">
        <v>279482</v>
      </c>
    </row>
    <row r="66" spans="1:38" ht="15" thickBot="1">
      <c r="A66" s="151" t="s">
        <v>1311</v>
      </c>
      <c r="B66" s="151" t="s">
        <v>1312</v>
      </c>
      <c r="C66" s="343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>
        <v>724436</v>
      </c>
      <c r="AH66" s="167">
        <v>725629</v>
      </c>
      <c r="AI66" s="167">
        <v>0</v>
      </c>
      <c r="AJ66" s="167"/>
      <c r="AK66" s="167"/>
      <c r="AL66" s="167"/>
    </row>
    <row r="67" spans="1:38" ht="15" thickBot="1">
      <c r="A67" s="155" t="s">
        <v>1081</v>
      </c>
      <c r="B67" s="155" t="s">
        <v>1082</v>
      </c>
      <c r="C67" s="342"/>
      <c r="D67" s="156">
        <f>SUM(D68:D76)</f>
        <v>0</v>
      </c>
      <c r="E67" s="156">
        <f t="shared" ref="E67:P67" si="13">SUM(E68:E76)</f>
        <v>72226</v>
      </c>
      <c r="F67" s="156">
        <f t="shared" si="13"/>
        <v>25871</v>
      </c>
      <c r="G67" s="156">
        <f t="shared" si="13"/>
        <v>15936</v>
      </c>
      <c r="H67" s="156">
        <f t="shared" si="13"/>
        <v>214938</v>
      </c>
      <c r="I67" s="156">
        <f t="shared" si="13"/>
        <v>423474</v>
      </c>
      <c r="J67" s="156">
        <f t="shared" si="13"/>
        <v>661420</v>
      </c>
      <c r="K67" s="156">
        <f t="shared" si="13"/>
        <v>837906</v>
      </c>
      <c r="L67" s="156">
        <f t="shared" si="13"/>
        <v>1205511</v>
      </c>
      <c r="M67" s="156">
        <f t="shared" si="13"/>
        <v>2607975</v>
      </c>
      <c r="N67" s="156">
        <f t="shared" si="13"/>
        <v>2991750</v>
      </c>
      <c r="O67" s="156">
        <f t="shared" si="13"/>
        <v>4204509</v>
      </c>
      <c r="P67" s="156">
        <f t="shared" si="13"/>
        <v>4825283</v>
      </c>
      <c r="Q67" s="156">
        <v>5156798</v>
      </c>
      <c r="R67" s="156">
        <f>SUM(R68:R81)</f>
        <v>5639272</v>
      </c>
      <c r="S67" s="156">
        <f>SUM(S68:S81)</f>
        <v>6128968.7959399996</v>
      </c>
      <c r="T67" s="156">
        <f>SUM(T68:T81)</f>
        <v>6195196.8664199999</v>
      </c>
      <c r="U67" s="156">
        <v>7035625.5264500007</v>
      </c>
      <c r="V67" s="156">
        <v>7210624.0000000009</v>
      </c>
      <c r="W67" s="156">
        <v>7527803</v>
      </c>
      <c r="X67" s="156">
        <v>11992000</v>
      </c>
      <c r="Y67" s="156">
        <f t="shared" ref="Y67:AK67" si="14">SUM(Y68:Y81)</f>
        <v>11875112</v>
      </c>
      <c r="Z67" s="156">
        <f t="shared" si="14"/>
        <v>11912021</v>
      </c>
      <c r="AA67" s="156">
        <f t="shared" si="14"/>
        <v>11841652</v>
      </c>
      <c r="AB67" s="156">
        <f t="shared" si="14"/>
        <v>11896546</v>
      </c>
      <c r="AC67" s="156">
        <f t="shared" si="14"/>
        <v>12041735</v>
      </c>
      <c r="AD67" s="156">
        <f t="shared" si="14"/>
        <v>11943672</v>
      </c>
      <c r="AE67" s="156">
        <f t="shared" si="14"/>
        <v>12210647</v>
      </c>
      <c r="AF67" s="156">
        <f t="shared" si="14"/>
        <v>12187518</v>
      </c>
      <c r="AG67" s="156">
        <f t="shared" si="14"/>
        <v>12732840</v>
      </c>
      <c r="AH67" s="156">
        <f t="shared" si="14"/>
        <v>12597253</v>
      </c>
      <c r="AI67" s="156">
        <f t="shared" si="14"/>
        <v>12456985</v>
      </c>
      <c r="AJ67" s="156">
        <f t="shared" si="14"/>
        <v>12451670</v>
      </c>
      <c r="AK67" s="156">
        <f t="shared" si="14"/>
        <v>12736895</v>
      </c>
      <c r="AL67" s="156">
        <f t="shared" ref="AL67" si="15">SUM(AL68:AL81)</f>
        <v>12829667</v>
      </c>
    </row>
    <row r="68" spans="1:38">
      <c r="A68" s="151" t="s">
        <v>1173</v>
      </c>
      <c r="B68" s="151" t="s">
        <v>753</v>
      </c>
      <c r="C68" s="343"/>
      <c r="D68" s="167">
        <v>0</v>
      </c>
      <c r="E68" s="167">
        <v>0</v>
      </c>
      <c r="F68" s="167">
        <v>0</v>
      </c>
      <c r="G68" s="167">
        <v>1610</v>
      </c>
      <c r="H68" s="167">
        <v>0</v>
      </c>
      <c r="I68" s="167">
        <v>0</v>
      </c>
      <c r="J68" s="167">
        <v>0</v>
      </c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>
        <v>60250.258270000006</v>
      </c>
      <c r="V68" s="167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</row>
    <row r="69" spans="1:38">
      <c r="A69" s="151" t="s">
        <v>1105</v>
      </c>
      <c r="B69" s="151" t="s">
        <v>1106</v>
      </c>
      <c r="C69" s="343"/>
      <c r="D69" s="167">
        <v>0</v>
      </c>
      <c r="E69" s="167">
        <v>0</v>
      </c>
      <c r="F69" s="167">
        <v>0</v>
      </c>
      <c r="G69" s="167">
        <v>0</v>
      </c>
      <c r="H69" s="167">
        <v>185062</v>
      </c>
      <c r="I69" s="167">
        <v>188632</v>
      </c>
      <c r="J69" s="167">
        <v>406519</v>
      </c>
      <c r="K69" s="167">
        <v>658969</v>
      </c>
      <c r="L69" s="167">
        <v>719543</v>
      </c>
      <c r="M69" s="167">
        <v>1538020</v>
      </c>
      <c r="N69" s="167">
        <v>1656626</v>
      </c>
      <c r="O69" s="167">
        <v>2359374</v>
      </c>
      <c r="P69" s="167">
        <v>2706500</v>
      </c>
      <c r="Q69" s="167">
        <v>2882698</v>
      </c>
      <c r="R69" s="167">
        <v>2977255</v>
      </c>
      <c r="S69" s="167">
        <v>3350686.1304899999</v>
      </c>
      <c r="T69" s="167">
        <v>3459313.4</v>
      </c>
      <c r="U69" s="167">
        <v>3521072.0155699998</v>
      </c>
      <c r="V69" s="167">
        <v>3652628</v>
      </c>
      <c r="W69" s="167">
        <v>3748334</v>
      </c>
      <c r="X69" s="167">
        <v>6495000</v>
      </c>
      <c r="Y69" s="167">
        <v>6554050</v>
      </c>
      <c r="Z69" s="167">
        <v>6456956</v>
      </c>
      <c r="AA69" s="167">
        <v>6359699</v>
      </c>
      <c r="AB69" s="167">
        <v>6310396</v>
      </c>
      <c r="AC69" s="167">
        <v>6342744</v>
      </c>
      <c r="AD69" s="167">
        <v>6510146</v>
      </c>
      <c r="AE69" s="167">
        <v>6426674</v>
      </c>
      <c r="AF69" s="167">
        <v>6370742</v>
      </c>
      <c r="AG69" s="167">
        <v>6395144</v>
      </c>
      <c r="AH69" s="167">
        <v>6362328</v>
      </c>
      <c r="AI69" s="167">
        <v>6286661</v>
      </c>
      <c r="AJ69" s="167">
        <v>6268612</v>
      </c>
      <c r="AK69" s="167">
        <v>6478605</v>
      </c>
      <c r="AL69" s="167">
        <v>6529934</v>
      </c>
    </row>
    <row r="70" spans="1:38">
      <c r="A70" s="151" t="s">
        <v>1107</v>
      </c>
      <c r="B70" s="151" t="s">
        <v>1108</v>
      </c>
      <c r="C70" s="343"/>
      <c r="D70" s="167">
        <v>0</v>
      </c>
      <c r="E70" s="167">
        <v>0</v>
      </c>
      <c r="F70" s="167">
        <v>0</v>
      </c>
      <c r="G70" s="167">
        <v>0</v>
      </c>
      <c r="H70" s="167">
        <v>0</v>
      </c>
      <c r="I70" s="167">
        <v>185187</v>
      </c>
      <c r="J70" s="167">
        <v>188575</v>
      </c>
      <c r="K70" s="167"/>
      <c r="L70" s="167">
        <v>191933</v>
      </c>
      <c r="M70" s="167">
        <v>557602</v>
      </c>
      <c r="N70" s="167">
        <v>567577</v>
      </c>
      <c r="O70" s="167">
        <v>579838</v>
      </c>
      <c r="P70" s="167">
        <v>588727</v>
      </c>
      <c r="Q70" s="167">
        <v>568215</v>
      </c>
      <c r="R70" s="167">
        <v>572676</v>
      </c>
      <c r="S70" s="167">
        <v>589498.81111000001</v>
      </c>
      <c r="T70" s="167">
        <v>605076.53295000002</v>
      </c>
      <c r="U70" s="167">
        <v>1432077.4351199998</v>
      </c>
      <c r="V70" s="167">
        <v>1469598</v>
      </c>
      <c r="W70" s="167">
        <v>1621700</v>
      </c>
      <c r="X70" s="167">
        <v>2798000</v>
      </c>
      <c r="Y70" s="167">
        <v>2884830</v>
      </c>
      <c r="Z70" s="167">
        <v>2854276</v>
      </c>
      <c r="AA70" s="167">
        <v>2789233</v>
      </c>
      <c r="AB70" s="167">
        <v>2827239</v>
      </c>
      <c r="AC70" s="167">
        <v>2836582</v>
      </c>
      <c r="AD70" s="167">
        <v>2531266</v>
      </c>
      <c r="AE70" s="167">
        <v>2444543</v>
      </c>
      <c r="AF70" s="167">
        <v>2391113</v>
      </c>
      <c r="AG70" s="167">
        <v>3117094</v>
      </c>
      <c r="AH70" s="167">
        <v>3149895</v>
      </c>
      <c r="AI70" s="167">
        <v>3152988</v>
      </c>
      <c r="AJ70" s="167">
        <v>3094783</v>
      </c>
      <c r="AK70" s="167">
        <v>3111748</v>
      </c>
      <c r="AL70" s="167">
        <v>3095079</v>
      </c>
    </row>
    <row r="71" spans="1:38">
      <c r="A71" s="151" t="s">
        <v>1313</v>
      </c>
      <c r="B71" s="151" t="s">
        <v>1314</v>
      </c>
      <c r="C71" s="343"/>
      <c r="D71" s="167">
        <v>0</v>
      </c>
      <c r="E71" s="167">
        <v>0</v>
      </c>
      <c r="F71" s="167">
        <v>0</v>
      </c>
      <c r="G71" s="167">
        <v>0</v>
      </c>
      <c r="H71" s="167">
        <v>0</v>
      </c>
      <c r="I71" s="167">
        <v>0</v>
      </c>
      <c r="J71" s="167">
        <v>0</v>
      </c>
      <c r="K71" s="167"/>
      <c r="L71" s="167"/>
      <c r="M71" s="167"/>
      <c r="N71" s="167"/>
      <c r="O71" s="167"/>
      <c r="P71" s="167"/>
      <c r="Q71" s="167"/>
      <c r="R71" s="167"/>
      <c r="S71" s="167"/>
      <c r="T71" s="167"/>
      <c r="U71" s="167">
        <v>0</v>
      </c>
      <c r="V71" s="167"/>
      <c r="W71" s="167"/>
      <c r="X71" s="167">
        <v>9000</v>
      </c>
      <c r="Y71" s="167"/>
      <c r="Z71" s="167">
        <v>7744</v>
      </c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</row>
    <row r="72" spans="1:38">
      <c r="A72" s="151" t="s">
        <v>1315</v>
      </c>
      <c r="B72" s="151" t="s">
        <v>901</v>
      </c>
      <c r="C72" s="343"/>
      <c r="D72" s="167">
        <v>0</v>
      </c>
      <c r="E72" s="167">
        <v>0</v>
      </c>
      <c r="F72" s="167">
        <v>0</v>
      </c>
      <c r="G72" s="167">
        <v>350</v>
      </c>
      <c r="H72" s="167">
        <v>3447</v>
      </c>
      <c r="I72" s="167">
        <v>8200</v>
      </c>
      <c r="J72" s="167">
        <v>12603</v>
      </c>
      <c r="K72" s="167">
        <v>76977</v>
      </c>
      <c r="L72" s="167">
        <v>163147</v>
      </c>
      <c r="M72" s="167">
        <v>503083</v>
      </c>
      <c r="N72" s="167">
        <v>350673</v>
      </c>
      <c r="O72" s="167">
        <f>1261995</f>
        <v>1261995</v>
      </c>
      <c r="P72" s="167">
        <v>850830</v>
      </c>
      <c r="Q72" s="167">
        <v>963595</v>
      </c>
      <c r="R72" s="167">
        <v>989112</v>
      </c>
      <c r="S72" s="167">
        <v>1081237.10411</v>
      </c>
      <c r="T72" s="167">
        <v>1089702.3999999999</v>
      </c>
      <c r="U72" s="167">
        <v>1119300.7274100001</v>
      </c>
      <c r="V72" s="167">
        <v>1149696</v>
      </c>
      <c r="W72" s="167">
        <v>1185862</v>
      </c>
      <c r="X72" s="167">
        <v>1425000</v>
      </c>
      <c r="Y72" s="167">
        <v>1263558</v>
      </c>
      <c r="Z72" s="167">
        <v>1295731.9999999998</v>
      </c>
      <c r="AA72" s="167">
        <v>1327670</v>
      </c>
      <c r="AB72" s="167">
        <v>1359071</v>
      </c>
      <c r="AC72" s="167">
        <v>1393235</v>
      </c>
      <c r="AD72" s="167">
        <v>1424445</v>
      </c>
      <c r="AE72" s="167">
        <v>1460385</v>
      </c>
      <c r="AF72" s="167">
        <v>1499005</v>
      </c>
      <c r="AG72" s="167">
        <v>1370199</v>
      </c>
      <c r="AH72" s="167">
        <v>1476618</v>
      </c>
      <c r="AI72" s="167">
        <v>1467204</v>
      </c>
      <c r="AJ72" s="167">
        <v>1500231</v>
      </c>
      <c r="AK72" s="167">
        <v>1537381</v>
      </c>
      <c r="AL72" s="167">
        <v>1569859</v>
      </c>
    </row>
    <row r="73" spans="1:38">
      <c r="A73" s="151" t="s">
        <v>1316</v>
      </c>
      <c r="B73" s="151" t="s">
        <v>1112</v>
      </c>
      <c r="C73" s="343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>
        <v>679226</v>
      </c>
      <c r="Q73" s="167">
        <v>731790</v>
      </c>
      <c r="R73" s="167"/>
      <c r="S73" s="167"/>
      <c r="T73" s="167"/>
      <c r="AA73" s="167">
        <v>5133</v>
      </c>
      <c r="AB73" s="167">
        <v>5144</v>
      </c>
      <c r="AC73" s="167">
        <v>4825</v>
      </c>
      <c r="AD73" s="167">
        <v>4227</v>
      </c>
      <c r="AE73" s="167">
        <v>3628</v>
      </c>
      <c r="AF73" s="167">
        <v>3157</v>
      </c>
      <c r="AG73" s="167">
        <v>2573</v>
      </c>
      <c r="AH73" s="167">
        <v>2559</v>
      </c>
      <c r="AI73" s="167">
        <v>2476</v>
      </c>
      <c r="AJ73" s="167">
        <v>2456</v>
      </c>
      <c r="AK73" s="167">
        <v>1727</v>
      </c>
      <c r="AL73" s="167">
        <v>1727</v>
      </c>
    </row>
    <row r="74" spans="1:38">
      <c r="A74" s="151" t="s">
        <v>1215</v>
      </c>
      <c r="B74" s="151" t="s">
        <v>1216</v>
      </c>
      <c r="C74" s="343"/>
      <c r="D74" s="167">
        <v>0</v>
      </c>
      <c r="E74" s="167">
        <v>72226</v>
      </c>
      <c r="F74" s="167">
        <v>25871</v>
      </c>
      <c r="G74" s="167">
        <v>0</v>
      </c>
      <c r="H74" s="167">
        <v>0</v>
      </c>
      <c r="I74" s="167">
        <v>6730</v>
      </c>
      <c r="J74" s="167">
        <v>7995</v>
      </c>
      <c r="K74" s="167">
        <v>1000</v>
      </c>
      <c r="L74" s="167">
        <v>5309</v>
      </c>
      <c r="M74" s="167">
        <v>9270</v>
      </c>
      <c r="N74" s="167">
        <v>9270</v>
      </c>
      <c r="O74" s="167">
        <v>3302</v>
      </c>
      <c r="P74" s="167"/>
      <c r="Q74" s="167"/>
      <c r="R74" s="167"/>
      <c r="S74" s="167"/>
      <c r="T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</row>
    <row r="75" spans="1:38">
      <c r="A75" s="151" t="s">
        <v>1072</v>
      </c>
      <c r="B75" s="151" t="s">
        <v>1073</v>
      </c>
      <c r="C75" s="343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  <c r="Q75" s="167"/>
      <c r="R75" s="167"/>
      <c r="S75" s="167"/>
      <c r="T75" s="167"/>
      <c r="AC75" s="167"/>
      <c r="AD75" s="167"/>
      <c r="AE75" s="167"/>
      <c r="AF75" s="167"/>
      <c r="AG75" s="167"/>
      <c r="AH75" s="167"/>
      <c r="AI75" s="167"/>
      <c r="AJ75" s="167">
        <v>4642</v>
      </c>
      <c r="AK75" s="167">
        <v>0</v>
      </c>
      <c r="AL75" s="167">
        <v>427</v>
      </c>
    </row>
    <row r="76" spans="1:38">
      <c r="A76" s="151" t="s">
        <v>1309</v>
      </c>
      <c r="B76" s="151" t="s">
        <v>1284</v>
      </c>
      <c r="C76" s="343"/>
      <c r="D76" s="167">
        <v>0</v>
      </c>
      <c r="E76" s="167">
        <v>0</v>
      </c>
      <c r="F76" s="167">
        <v>0</v>
      </c>
      <c r="G76" s="167">
        <v>13976</v>
      </c>
      <c r="H76" s="167">
        <v>26429</v>
      </c>
      <c r="I76" s="167">
        <v>34725</v>
      </c>
      <c r="J76" s="167">
        <v>45728</v>
      </c>
      <c r="K76" s="167">
        <v>100960</v>
      </c>
      <c r="L76" s="167">
        <v>125579</v>
      </c>
      <c r="M76" s="167"/>
      <c r="N76" s="167">
        <v>407604</v>
      </c>
      <c r="O76" s="167"/>
      <c r="P76" s="167"/>
      <c r="Q76" s="167"/>
      <c r="R76" s="167">
        <v>788709</v>
      </c>
      <c r="S76" s="167">
        <v>852729.31106999994</v>
      </c>
      <c r="T76" s="167">
        <v>876532.53347000002</v>
      </c>
      <c r="U76" s="167">
        <v>899364.96822000004</v>
      </c>
      <c r="V76" s="167">
        <v>919627</v>
      </c>
      <c r="W76" s="167">
        <v>952887</v>
      </c>
      <c r="X76" s="167">
        <v>981000</v>
      </c>
      <c r="Y76" s="167">
        <v>875418.00000000012</v>
      </c>
      <c r="Z76" s="167">
        <v>982579</v>
      </c>
      <c r="AA76" s="167">
        <v>1004448</v>
      </c>
      <c r="AB76" s="167">
        <v>1025769</v>
      </c>
      <c r="AC76" s="167">
        <v>1048661</v>
      </c>
      <c r="AD76" s="167">
        <v>1074265</v>
      </c>
      <c r="AE76" s="167">
        <v>1096063</v>
      </c>
      <c r="AF76" s="167">
        <v>1117571</v>
      </c>
      <c r="AG76" s="167">
        <v>1015279</v>
      </c>
      <c r="AH76" s="167">
        <v>815348</v>
      </c>
      <c r="AI76" s="167">
        <v>820666</v>
      </c>
      <c r="AJ76" s="167">
        <v>826118</v>
      </c>
      <c r="AK76" s="167">
        <v>831736</v>
      </c>
      <c r="AL76" s="167">
        <v>835909</v>
      </c>
    </row>
    <row r="77" spans="1:38">
      <c r="A77" s="151" t="s">
        <v>1130</v>
      </c>
      <c r="B77" s="151" t="s">
        <v>1131</v>
      </c>
      <c r="C77" s="343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  <c r="T77" s="167"/>
      <c r="U77" s="167"/>
      <c r="V77" s="167"/>
      <c r="W77" s="167"/>
      <c r="X77" s="167"/>
      <c r="Y77" s="167"/>
      <c r="Z77" s="167">
        <v>58239</v>
      </c>
      <c r="AA77" s="167">
        <v>64893</v>
      </c>
      <c r="AB77" s="167">
        <v>64861.999999999993</v>
      </c>
      <c r="AC77" s="167">
        <v>64533</v>
      </c>
      <c r="AD77" s="167">
        <v>64189</v>
      </c>
      <c r="AE77" s="167">
        <v>64347</v>
      </c>
      <c r="AF77" s="167">
        <v>63965</v>
      </c>
      <c r="AG77" s="167">
        <v>65054</v>
      </c>
      <c r="AH77" s="167">
        <v>64468</v>
      </c>
      <c r="AI77" s="167">
        <v>63593</v>
      </c>
      <c r="AJ77" s="167">
        <v>63030</v>
      </c>
      <c r="AK77" s="167">
        <v>62473</v>
      </c>
      <c r="AL77" s="167">
        <v>61888</v>
      </c>
    </row>
    <row r="78" spans="1:38">
      <c r="A78" s="151" t="s">
        <v>1265</v>
      </c>
      <c r="B78" s="151" t="s">
        <v>1266</v>
      </c>
      <c r="C78" s="343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  <c r="V78" s="167"/>
      <c r="W78" s="167"/>
      <c r="X78" s="167"/>
      <c r="Y78" s="167"/>
      <c r="Z78" s="167"/>
      <c r="AA78" s="167"/>
      <c r="AB78" s="167"/>
      <c r="AC78" s="167">
        <v>21406</v>
      </c>
      <c r="AD78" s="167">
        <v>17968</v>
      </c>
      <c r="AE78" s="167">
        <v>12024</v>
      </c>
      <c r="AF78" s="167">
        <v>4058</v>
      </c>
      <c r="AG78" s="167">
        <v>3336</v>
      </c>
      <c r="AH78" s="167">
        <v>3631</v>
      </c>
      <c r="AI78" s="167">
        <v>2129</v>
      </c>
      <c r="AJ78" s="167">
        <v>1133</v>
      </c>
      <c r="AK78" s="167">
        <v>1038</v>
      </c>
      <c r="AL78" s="167"/>
    </row>
    <row r="79" spans="1:38">
      <c r="A79" s="151" t="s">
        <v>1268</v>
      </c>
      <c r="B79" s="151" t="s">
        <v>1269</v>
      </c>
      <c r="C79" s="343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167"/>
      <c r="T79" s="167"/>
      <c r="U79" s="167"/>
      <c r="V79" s="167"/>
      <c r="W79" s="167"/>
      <c r="X79" s="167"/>
      <c r="Y79" s="167"/>
      <c r="Z79" s="167">
        <v>63982</v>
      </c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>
        <v>7000</v>
      </c>
    </row>
    <row r="80" spans="1:38">
      <c r="A80" s="151" t="s">
        <v>1274</v>
      </c>
      <c r="B80" s="151" t="s">
        <v>1275</v>
      </c>
      <c r="C80" s="343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  <c r="V80" s="167"/>
      <c r="W80" s="167"/>
      <c r="X80" s="167"/>
      <c r="Y80" s="167"/>
      <c r="Z80" s="167">
        <v>45912</v>
      </c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</row>
    <row r="81" spans="1:38" ht="15" thickBot="1">
      <c r="A81" s="151" t="s">
        <v>1129</v>
      </c>
      <c r="B81" s="151" t="s">
        <v>96</v>
      </c>
      <c r="C81" s="343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>
        <v>10500</v>
      </c>
      <c r="R81" s="167">
        <v>311520</v>
      </c>
      <c r="S81" s="167">
        <v>254817.43916000001</v>
      </c>
      <c r="T81" s="167">
        <f>161012+3560</f>
        <v>164572</v>
      </c>
      <c r="U81" s="167">
        <v>3560.1218599999997</v>
      </c>
      <c r="V81" s="167">
        <v>19075</v>
      </c>
      <c r="W81" s="167">
        <v>19020</v>
      </c>
      <c r="X81" s="167">
        <v>284000</v>
      </c>
      <c r="Y81" s="167">
        <f>58422+72756+166078</f>
        <v>297256</v>
      </c>
      <c r="Z81" s="167">
        <v>146601</v>
      </c>
      <c r="AA81" s="167">
        <v>290576</v>
      </c>
      <c r="AB81" s="167">
        <v>304065</v>
      </c>
      <c r="AC81" s="167">
        <v>329749</v>
      </c>
      <c r="AD81" s="167">
        <v>317166</v>
      </c>
      <c r="AE81" s="167">
        <v>702983</v>
      </c>
      <c r="AF81" s="167">
        <v>737907</v>
      </c>
      <c r="AG81" s="167">
        <v>764161</v>
      </c>
      <c r="AH81" s="167">
        <v>722406</v>
      </c>
      <c r="AI81" s="167">
        <v>661268</v>
      </c>
      <c r="AJ81" s="167">
        <v>690665</v>
      </c>
      <c r="AK81" s="167">
        <v>712187</v>
      </c>
      <c r="AL81" s="167">
        <v>727844</v>
      </c>
    </row>
    <row r="82" spans="1:38" ht="15" thickBot="1">
      <c r="A82" s="155" t="s">
        <v>1135</v>
      </c>
      <c r="B82" s="155" t="s">
        <v>1136</v>
      </c>
      <c r="C82" s="342"/>
      <c r="D82" s="156">
        <f t="shared" ref="D82:P82" si="16">SUM(D83:D90)</f>
        <v>70</v>
      </c>
      <c r="E82" s="156">
        <f t="shared" si="16"/>
        <v>-4355</v>
      </c>
      <c r="F82" s="156">
        <f t="shared" si="16"/>
        <v>70988</v>
      </c>
      <c r="G82" s="156">
        <f t="shared" si="16"/>
        <v>201821</v>
      </c>
      <c r="H82" s="156">
        <f t="shared" si="16"/>
        <v>385355</v>
      </c>
      <c r="I82" s="156">
        <f t="shared" si="16"/>
        <v>445053</v>
      </c>
      <c r="J82" s="156">
        <f t="shared" si="16"/>
        <v>520526</v>
      </c>
      <c r="K82" s="156">
        <f t="shared" si="16"/>
        <v>773750</v>
      </c>
      <c r="L82" s="156">
        <f t="shared" si="16"/>
        <v>974925</v>
      </c>
      <c r="M82" s="156">
        <f t="shared" si="16"/>
        <v>1262053</v>
      </c>
      <c r="N82" s="156">
        <f t="shared" si="16"/>
        <v>1485179</v>
      </c>
      <c r="O82" s="156">
        <f t="shared" si="16"/>
        <v>2072158</v>
      </c>
      <c r="P82" s="156">
        <f t="shared" si="16"/>
        <v>2334123</v>
      </c>
      <c r="Q82" s="156">
        <v>2543047</v>
      </c>
      <c r="R82" s="156">
        <f>SUM(R83:R90)</f>
        <v>2867581</v>
      </c>
      <c r="S82" s="156">
        <f>SUM(S83:S90)</f>
        <v>3080309.7254330302</v>
      </c>
      <c r="T82" s="156">
        <f>SUM(T83:T90)</f>
        <v>3110064.0337499999</v>
      </c>
      <c r="U82" s="156">
        <v>2245883.92753</v>
      </c>
      <c r="V82" s="156">
        <v>2279417.9999999995</v>
      </c>
      <c r="W82" s="156">
        <v>2339625.9999999995</v>
      </c>
      <c r="X82" s="156">
        <v>9459000</v>
      </c>
      <c r="Y82" s="156">
        <f>SUM(Y83:Y90)</f>
        <v>9246480</v>
      </c>
      <c r="Z82" s="156">
        <f>SUM(Z83:Z90)</f>
        <v>9502301</v>
      </c>
      <c r="AA82" s="156">
        <f>SUM(AA83:AA90)</f>
        <v>9618977</v>
      </c>
      <c r="AB82" s="156">
        <f>SUM(AB83:AB90)</f>
        <v>9574329</v>
      </c>
      <c r="AC82" s="156">
        <f t="shared" ref="AC82:AK82" si="17">SUM(AC83:AC91)</f>
        <v>9575415</v>
      </c>
      <c r="AD82" s="156">
        <f t="shared" si="17"/>
        <v>10211677</v>
      </c>
      <c r="AE82" s="156">
        <f t="shared" si="17"/>
        <v>11186361</v>
      </c>
      <c r="AF82" s="156">
        <f t="shared" si="17"/>
        <v>11269442</v>
      </c>
      <c r="AG82" s="156">
        <f t="shared" si="17"/>
        <v>11382292</v>
      </c>
      <c r="AH82" s="156">
        <f t="shared" si="17"/>
        <v>11639774</v>
      </c>
      <c r="AI82" s="156">
        <f t="shared" si="17"/>
        <v>11141922</v>
      </c>
      <c r="AJ82" s="156">
        <f t="shared" si="17"/>
        <v>11145176</v>
      </c>
      <c r="AK82" s="156">
        <f t="shared" si="17"/>
        <v>11198138</v>
      </c>
      <c r="AL82" s="156">
        <f t="shared" ref="AL82" si="18">SUM(AL83:AL91)</f>
        <v>11398297</v>
      </c>
    </row>
    <row r="83" spans="1:38">
      <c r="A83" s="151" t="s">
        <v>1137</v>
      </c>
      <c r="B83" s="151" t="s">
        <v>1138</v>
      </c>
      <c r="C83" s="343"/>
      <c r="D83" s="167">
        <v>70</v>
      </c>
      <c r="E83" s="167">
        <v>80</v>
      </c>
      <c r="F83" s="167">
        <v>72035</v>
      </c>
      <c r="G83" s="167">
        <v>203970</v>
      </c>
      <c r="H83" s="167">
        <v>384101</v>
      </c>
      <c r="I83" s="167">
        <v>442001</v>
      </c>
      <c r="J83" s="167">
        <v>513136</v>
      </c>
      <c r="K83" s="167">
        <v>629159</v>
      </c>
      <c r="L83" s="167">
        <v>741670</v>
      </c>
      <c r="M83" s="167">
        <v>892186</v>
      </c>
      <c r="N83" s="167">
        <v>899151</v>
      </c>
      <c r="O83" s="167">
        <v>908421</v>
      </c>
      <c r="P83" s="167">
        <v>921871</v>
      </c>
      <c r="Q83" s="167">
        <v>932992</v>
      </c>
      <c r="R83" s="167">
        <v>967397</v>
      </c>
      <c r="S83" s="167">
        <v>1038183.86096</v>
      </c>
      <c r="T83" s="167">
        <v>1017550</v>
      </c>
      <c r="U83" s="167">
        <v>288183.86095999996</v>
      </c>
      <c r="V83" s="167">
        <v>287667.99999999988</v>
      </c>
      <c r="W83" s="167">
        <v>288183.99999999994</v>
      </c>
      <c r="X83" s="167">
        <v>7322000</v>
      </c>
      <c r="Y83" s="167">
        <v>7322402</v>
      </c>
      <c r="Z83" s="167">
        <v>7426740</v>
      </c>
      <c r="AA83" s="167">
        <v>7427042</v>
      </c>
      <c r="AB83" s="167">
        <v>7427043</v>
      </c>
      <c r="AC83" s="167">
        <v>7427043</v>
      </c>
      <c r="AD83" s="167">
        <v>7737043</v>
      </c>
      <c r="AE83" s="167">
        <v>8535043</v>
      </c>
      <c r="AF83" s="167">
        <v>8535043</v>
      </c>
      <c r="AG83" s="167">
        <v>8535043</v>
      </c>
      <c r="AH83" s="167">
        <v>8535043</v>
      </c>
      <c r="AI83" s="167">
        <v>8535043</v>
      </c>
      <c r="AJ83" s="167">
        <v>8535043</v>
      </c>
      <c r="AK83" s="167">
        <v>8535043</v>
      </c>
      <c r="AL83" s="167">
        <v>8535043</v>
      </c>
    </row>
    <row r="84" spans="1:38">
      <c r="A84" s="151" t="s">
        <v>1180</v>
      </c>
      <c r="B84" s="151" t="s">
        <v>1140</v>
      </c>
      <c r="C84" s="343"/>
      <c r="D84" s="167">
        <v>0</v>
      </c>
      <c r="E84" s="167">
        <v>0</v>
      </c>
      <c r="F84" s="167">
        <v>0</v>
      </c>
      <c r="G84" s="167">
        <v>0</v>
      </c>
      <c r="H84" s="167">
        <v>0</v>
      </c>
      <c r="I84" s="167">
        <v>0</v>
      </c>
      <c r="J84" s="167">
        <v>0</v>
      </c>
      <c r="K84" s="167">
        <v>0</v>
      </c>
      <c r="L84" s="167"/>
      <c r="M84" s="167"/>
      <c r="N84" s="167"/>
      <c r="O84" s="167"/>
      <c r="P84" s="167"/>
      <c r="Q84" s="167"/>
      <c r="R84" s="167"/>
      <c r="S84" s="167">
        <v>4480.2093299999997</v>
      </c>
      <c r="T84" s="167">
        <v>5076.0337499999996</v>
      </c>
      <c r="U84" s="167">
        <v>5678.4784399999999</v>
      </c>
      <c r="V84" s="167">
        <v>6000</v>
      </c>
      <c r="W84" s="167">
        <v>6850</v>
      </c>
      <c r="X84" s="167">
        <v>7000</v>
      </c>
      <c r="Y84" s="167">
        <v>7488</v>
      </c>
      <c r="Z84" s="167">
        <v>7817</v>
      </c>
      <c r="AA84" s="167">
        <v>8112</v>
      </c>
      <c r="AB84" s="167">
        <v>8245</v>
      </c>
      <c r="AC84" s="167">
        <v>8427</v>
      </c>
      <c r="AD84" s="167">
        <v>8592</v>
      </c>
      <c r="AE84" s="167">
        <v>8727</v>
      </c>
      <c r="AF84" s="167">
        <v>8727</v>
      </c>
      <c r="AG84" s="167">
        <v>8727</v>
      </c>
      <c r="AH84" s="167">
        <v>8790</v>
      </c>
      <c r="AI84" s="167">
        <v>8727</v>
      </c>
      <c r="AJ84" s="167">
        <v>8727</v>
      </c>
      <c r="AK84" s="167">
        <v>8727</v>
      </c>
      <c r="AL84" s="167">
        <v>8727</v>
      </c>
    </row>
    <row r="85" spans="1:38">
      <c r="A85" s="151" t="s">
        <v>1181</v>
      </c>
      <c r="B85" s="151" t="s">
        <v>1142</v>
      </c>
      <c r="C85" s="343"/>
      <c r="D85" s="167">
        <v>0</v>
      </c>
      <c r="E85" s="167">
        <v>0</v>
      </c>
      <c r="F85" s="167">
        <v>0</v>
      </c>
      <c r="G85" s="167">
        <v>0</v>
      </c>
      <c r="H85" s="167">
        <v>0</v>
      </c>
      <c r="I85" s="167">
        <v>0</v>
      </c>
      <c r="J85" s="167">
        <v>0</v>
      </c>
      <c r="K85" s="167">
        <v>144591</v>
      </c>
      <c r="L85" s="167">
        <v>137501</v>
      </c>
      <c r="M85" s="167">
        <v>137501</v>
      </c>
      <c r="N85" s="167">
        <v>137501</v>
      </c>
      <c r="O85" s="167">
        <v>137501</v>
      </c>
      <c r="P85" s="167">
        <v>1163738</v>
      </c>
      <c r="Q85" s="167">
        <v>1163738</v>
      </c>
      <c r="R85" s="167">
        <v>1163738</v>
      </c>
      <c r="S85" s="167">
        <v>116411.75521303012</v>
      </c>
      <c r="T85" s="167">
        <f>2037150</f>
        <v>2037150</v>
      </c>
      <c r="U85" s="167">
        <v>1863172.5837200002</v>
      </c>
      <c r="V85" s="167">
        <v>1863943.0000000002</v>
      </c>
      <c r="W85" s="167">
        <v>1863174.9999999998</v>
      </c>
      <c r="X85" s="167">
        <v>2045000</v>
      </c>
      <c r="Y85" s="167">
        <v>1992014</v>
      </c>
      <c r="Z85" s="167">
        <v>1886831.9999999998</v>
      </c>
      <c r="AA85" s="167">
        <v>2199542</v>
      </c>
      <c r="AB85" s="167">
        <v>2199538.9999999995</v>
      </c>
      <c r="AC85" s="167">
        <v>2199539</v>
      </c>
      <c r="AD85" s="167">
        <v>2199539</v>
      </c>
      <c r="AE85" s="167">
        <v>2655023</v>
      </c>
      <c r="AF85" s="167">
        <v>2655023</v>
      </c>
      <c r="AG85" s="167">
        <v>2655023</v>
      </c>
      <c r="AH85" s="167">
        <v>2655023</v>
      </c>
      <c r="AI85" s="167">
        <v>2593582</v>
      </c>
      <c r="AJ85" s="167">
        <v>2593582</v>
      </c>
      <c r="AK85" s="167">
        <v>2593582</v>
      </c>
      <c r="AL85" s="167">
        <v>2593582</v>
      </c>
    </row>
    <row r="86" spans="1:38">
      <c r="A86" s="151" t="s">
        <v>1143</v>
      </c>
      <c r="B86" s="151" t="s">
        <v>1144</v>
      </c>
      <c r="C86" s="343"/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67"/>
      <c r="Q86" s="167"/>
      <c r="R86" s="167"/>
      <c r="S86" s="167"/>
      <c r="T86" s="167"/>
      <c r="U86" s="167"/>
      <c r="V86" s="167"/>
      <c r="W86" s="167"/>
      <c r="X86" s="167"/>
      <c r="Y86" s="167"/>
      <c r="Z86" s="167"/>
      <c r="AA86" s="167"/>
      <c r="AB86" s="167">
        <v>-69407</v>
      </c>
      <c r="AC86" s="167">
        <v>-115855</v>
      </c>
      <c r="AD86" s="167">
        <v>-5386</v>
      </c>
      <c r="AE86" s="167">
        <v>-12432</v>
      </c>
      <c r="AF86" s="167">
        <v>2878</v>
      </c>
      <c r="AG86" s="167">
        <v>39382</v>
      </c>
      <c r="AH86" s="167">
        <v>-3071</v>
      </c>
      <c r="AI86" s="167">
        <v>4570</v>
      </c>
      <c r="AJ86" s="167">
        <v>-3065</v>
      </c>
      <c r="AK86" s="167">
        <v>0</v>
      </c>
      <c r="AL86" s="167">
        <v>-324</v>
      </c>
    </row>
    <row r="87" spans="1:38">
      <c r="A87" s="151" t="s">
        <v>1317</v>
      </c>
      <c r="B87" s="151" t="s">
        <v>1318</v>
      </c>
      <c r="C87" s="343"/>
      <c r="D87" s="167"/>
      <c r="E87" s="167"/>
      <c r="F87" s="167"/>
      <c r="G87" s="167"/>
      <c r="H87" s="167"/>
      <c r="I87" s="167"/>
      <c r="J87" s="16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Z87" s="167">
        <v>180912</v>
      </c>
      <c r="AA87" s="167"/>
      <c r="AB87" s="167"/>
      <c r="AC87" s="167"/>
      <c r="AD87" s="167"/>
      <c r="AE87" s="167"/>
      <c r="AF87" s="167"/>
      <c r="AG87" s="167"/>
      <c r="AH87" s="167"/>
      <c r="AI87" s="167"/>
      <c r="AJ87" s="167"/>
      <c r="AK87" s="167"/>
      <c r="AL87" s="167"/>
    </row>
    <row r="88" spans="1:38">
      <c r="A88" s="151" t="s">
        <v>1217</v>
      </c>
      <c r="B88" s="151" t="s">
        <v>1218</v>
      </c>
      <c r="C88" s="343"/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Z88" s="167"/>
      <c r="AA88" s="167"/>
      <c r="AB88" s="167"/>
      <c r="AC88" s="167"/>
      <c r="AD88" s="167"/>
      <c r="AE88" s="167"/>
      <c r="AF88" s="167"/>
      <c r="AG88" s="167"/>
      <c r="AH88" s="167"/>
      <c r="AI88" s="167"/>
      <c r="AJ88" s="167"/>
      <c r="AK88" s="167"/>
      <c r="AL88" s="167"/>
    </row>
    <row r="89" spans="1:38">
      <c r="A89" s="151" t="s">
        <v>1319</v>
      </c>
      <c r="B89" s="151" t="s">
        <v>1183</v>
      </c>
      <c r="C89" s="343"/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Z89" s="167"/>
      <c r="AA89" s="167"/>
      <c r="AB89" s="167"/>
      <c r="AC89" s="167"/>
      <c r="AD89" s="167"/>
      <c r="AE89" s="167"/>
      <c r="AF89" s="167"/>
      <c r="AG89" s="167"/>
      <c r="AH89" s="167"/>
      <c r="AI89" s="167"/>
      <c r="AJ89" s="167"/>
      <c r="AK89" s="167"/>
      <c r="AL89" s="167"/>
    </row>
    <row r="90" spans="1:38">
      <c r="A90" s="151" t="s">
        <v>1145</v>
      </c>
      <c r="B90" s="151" t="s">
        <v>1146</v>
      </c>
      <c r="C90" s="343"/>
      <c r="D90" s="167">
        <v>0</v>
      </c>
      <c r="E90" s="167">
        <v>-4435</v>
      </c>
      <c r="F90" s="167">
        <v>-1047</v>
      </c>
      <c r="G90" s="167">
        <v>-2149</v>
      </c>
      <c r="H90" s="167">
        <v>1254</v>
      </c>
      <c r="I90" s="167">
        <v>3052</v>
      </c>
      <c r="J90" s="167">
        <v>7390</v>
      </c>
      <c r="K90" s="167">
        <v>0</v>
      </c>
      <c r="L90" s="167">
        <v>95754</v>
      </c>
      <c r="M90" s="167">
        <v>232366</v>
      </c>
      <c r="N90" s="167">
        <v>448527</v>
      </c>
      <c r="O90" s="167">
        <v>1026236</v>
      </c>
      <c r="P90" s="167">
        <v>248514</v>
      </c>
      <c r="Q90" s="167">
        <v>446317</v>
      </c>
      <c r="R90" s="167">
        <v>736446</v>
      </c>
      <c r="S90" s="167">
        <v>1921233.8999300001</v>
      </c>
      <c r="T90" s="167">
        <f>20768+29520</f>
        <v>50288</v>
      </c>
      <c r="U90" s="167">
        <v>88849.004409999965</v>
      </c>
      <c r="V90" s="167">
        <v>121807.00000000001</v>
      </c>
      <c r="W90" s="167">
        <v>181417.00000000003</v>
      </c>
      <c r="X90" s="167">
        <v>85000</v>
      </c>
      <c r="Y90" s="167">
        <v>-75424</v>
      </c>
      <c r="Z90" s="167"/>
      <c r="AA90" s="167">
        <v>-15719</v>
      </c>
      <c r="AB90" s="167">
        <v>8908.9999999999782</v>
      </c>
      <c r="AC90" s="167">
        <v>0</v>
      </c>
      <c r="AD90" s="167"/>
      <c r="AE90" s="167"/>
      <c r="AF90" s="167"/>
      <c r="AG90" s="167"/>
      <c r="AH90" s="167"/>
      <c r="AI90" s="167"/>
      <c r="AJ90" s="167"/>
      <c r="AK90" s="167"/>
      <c r="AL90" s="167"/>
    </row>
    <row r="91" spans="1:38" ht="15" thickBot="1">
      <c r="A91" s="151" t="s">
        <v>1200</v>
      </c>
      <c r="B91" s="151" t="s">
        <v>777</v>
      </c>
      <c r="C91" s="343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  <c r="V91" s="167"/>
      <c r="W91" s="167"/>
      <c r="X91" s="167"/>
      <c r="Y91" s="167"/>
      <c r="Z91" s="167"/>
      <c r="AA91" s="167"/>
      <c r="AB91" s="167"/>
      <c r="AC91" s="167">
        <v>56261</v>
      </c>
      <c r="AD91" s="167">
        <v>271889</v>
      </c>
      <c r="AE91" s="167">
        <v>0</v>
      </c>
      <c r="AF91" s="167">
        <v>67771</v>
      </c>
      <c r="AG91" s="167">
        <v>144117</v>
      </c>
      <c r="AH91" s="167">
        <v>443989</v>
      </c>
      <c r="AI91" s="167"/>
      <c r="AJ91" s="167">
        <v>10889</v>
      </c>
      <c r="AK91" s="167">
        <v>60786</v>
      </c>
      <c r="AL91" s="167">
        <v>261269</v>
      </c>
    </row>
    <row r="92" spans="1:38" ht="15" thickBot="1">
      <c r="A92" s="147" t="s">
        <v>1279</v>
      </c>
      <c r="B92" s="147" t="s">
        <v>1280</v>
      </c>
      <c r="C92" s="342"/>
      <c r="D92" s="156">
        <f t="shared" ref="D92:P92" si="19">D82+D67+D47</f>
        <v>24357</v>
      </c>
      <c r="E92" s="156">
        <f t="shared" si="19"/>
        <v>71109</v>
      </c>
      <c r="F92" s="156">
        <f t="shared" si="19"/>
        <v>114336</v>
      </c>
      <c r="G92" s="156">
        <f t="shared" si="19"/>
        <v>298426</v>
      </c>
      <c r="H92" s="156">
        <f t="shared" si="19"/>
        <v>634608</v>
      </c>
      <c r="I92" s="156">
        <f t="shared" si="19"/>
        <v>905166</v>
      </c>
      <c r="J92" s="156">
        <f t="shared" si="19"/>
        <v>1443744</v>
      </c>
      <c r="K92" s="156">
        <f t="shared" si="19"/>
        <v>2265480</v>
      </c>
      <c r="L92" s="156">
        <f t="shared" si="19"/>
        <v>2964619</v>
      </c>
      <c r="M92" s="156">
        <f t="shared" si="19"/>
        <v>4572688</v>
      </c>
      <c r="N92" s="156">
        <f t="shared" si="19"/>
        <v>5351819</v>
      </c>
      <c r="O92" s="156">
        <f t="shared" si="19"/>
        <v>7354317</v>
      </c>
      <c r="P92" s="156">
        <f t="shared" si="19"/>
        <v>8206610</v>
      </c>
      <c r="Q92" s="156">
        <v>8714529</v>
      </c>
      <c r="R92" s="156">
        <f>R82+R67+R47</f>
        <v>9075743</v>
      </c>
      <c r="S92" s="156">
        <f>S82+S67+S47</f>
        <v>9507915.518029999</v>
      </c>
      <c r="T92" s="156">
        <f>T82+T67+T47</f>
        <v>9559072.9001700003</v>
      </c>
      <c r="U92" s="156">
        <v>9764956.75832</v>
      </c>
      <c r="V92" s="156">
        <v>10036782.000000002</v>
      </c>
      <c r="W92" s="156">
        <v>10298324</v>
      </c>
      <c r="X92" s="156">
        <v>22542000</v>
      </c>
      <c r="Y92" s="156">
        <f t="shared" ref="Y92:AD92" si="20">SUM(Y82+Y67+Y47)</f>
        <v>22319257</v>
      </c>
      <c r="Z92" s="156">
        <f t="shared" si="20"/>
        <v>22582803</v>
      </c>
      <c r="AA92" s="156">
        <f t="shared" si="20"/>
        <v>22620434</v>
      </c>
      <c r="AB92" s="156">
        <f t="shared" si="20"/>
        <v>22767499</v>
      </c>
      <c r="AC92" s="156">
        <f t="shared" si="20"/>
        <v>23347301</v>
      </c>
      <c r="AD92" s="156">
        <f t="shared" si="20"/>
        <v>25336782</v>
      </c>
      <c r="AE92" s="156">
        <f t="shared" ref="AE92:AK92" si="21">SUM(AE82+AE67+AE47)</f>
        <v>26234384</v>
      </c>
      <c r="AF92" s="156">
        <f t="shared" si="21"/>
        <v>26125878</v>
      </c>
      <c r="AG92" s="156">
        <f t="shared" si="21"/>
        <v>26658694</v>
      </c>
      <c r="AH92" s="156">
        <f t="shared" si="21"/>
        <v>26684682</v>
      </c>
      <c r="AI92" s="156">
        <f t="shared" si="21"/>
        <v>25989931</v>
      </c>
      <c r="AJ92" s="156">
        <f t="shared" si="21"/>
        <v>25388041</v>
      </c>
      <c r="AK92" s="156">
        <f t="shared" si="21"/>
        <v>25506389</v>
      </c>
      <c r="AL92" s="156">
        <f t="shared" ref="AL92" si="22">SUM(AL82+AL67+AL47)</f>
        <v>25625652</v>
      </c>
    </row>
    <row r="93" spans="1:38" ht="15" thickBot="1">
      <c r="A93" s="151" t="s">
        <v>1281</v>
      </c>
      <c r="B93" s="151" t="s">
        <v>1282</v>
      </c>
      <c r="C93" s="343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Z93" s="167"/>
      <c r="AA93" s="167"/>
      <c r="AB93" s="167"/>
      <c r="AC93" s="167"/>
      <c r="AD93" s="167"/>
      <c r="AE93" s="167"/>
      <c r="AF93" s="167"/>
      <c r="AG93" s="167"/>
      <c r="AH93" s="167"/>
      <c r="AI93" s="167"/>
      <c r="AJ93" s="167"/>
      <c r="AK93" s="167">
        <v>414</v>
      </c>
      <c r="AL93" s="167">
        <v>1127</v>
      </c>
    </row>
    <row r="94" spans="1:38" ht="15" thickBot="1">
      <c r="A94" s="147" t="s">
        <v>1264</v>
      </c>
      <c r="B94" s="147" t="s">
        <v>1148</v>
      </c>
      <c r="C94" s="342"/>
      <c r="D94" s="156"/>
      <c r="E94" s="156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  <c r="U94" s="156"/>
      <c r="V94" s="156"/>
      <c r="W94" s="156"/>
      <c r="X94" s="156"/>
      <c r="Y94" s="156"/>
      <c r="Z94" s="156"/>
      <c r="AA94" s="156"/>
      <c r="AB94" s="156"/>
      <c r="AC94" s="156"/>
      <c r="AD94" s="156"/>
      <c r="AE94" s="156"/>
      <c r="AF94" s="156"/>
      <c r="AG94" s="156"/>
      <c r="AH94" s="156"/>
      <c r="AI94" s="156"/>
      <c r="AJ94" s="156"/>
      <c r="AK94" s="156">
        <f>+AK92+AK93</f>
        <v>25506803</v>
      </c>
      <c r="AL94" s="156">
        <f>+AL92+AL93</f>
        <v>25626779</v>
      </c>
    </row>
    <row r="95" spans="1:38" s="165" customFormat="1" ht="12">
      <c r="C95" s="4"/>
      <c r="D95" s="166"/>
      <c r="E95" s="166"/>
      <c r="F95" s="166"/>
      <c r="G95" s="166"/>
      <c r="H95" s="166"/>
      <c r="I95" s="166"/>
      <c r="J95" s="166"/>
      <c r="K95" s="166"/>
      <c r="L95" s="166">
        <f t="shared" ref="L95:Z95" si="23">L92-L44</f>
        <v>0</v>
      </c>
      <c r="M95" s="166">
        <f t="shared" si="23"/>
        <v>0</v>
      </c>
      <c r="N95" s="166">
        <f t="shared" si="23"/>
        <v>0</v>
      </c>
      <c r="O95" s="166">
        <f t="shared" si="23"/>
        <v>1</v>
      </c>
      <c r="P95" s="166">
        <f t="shared" si="23"/>
        <v>0</v>
      </c>
      <c r="Q95" s="166">
        <f t="shared" si="23"/>
        <v>0</v>
      </c>
      <c r="R95" s="166">
        <f t="shared" si="23"/>
        <v>0</v>
      </c>
      <c r="S95" s="166">
        <f t="shared" si="23"/>
        <v>337.03086999803782</v>
      </c>
      <c r="T95" s="166">
        <f t="shared" si="23"/>
        <v>0.35102000087499619</v>
      </c>
      <c r="U95" s="166">
        <f t="shared" si="23"/>
        <v>-0.86455000005662441</v>
      </c>
      <c r="V95" s="166">
        <f t="shared" si="23"/>
        <v>2013.0290300026536</v>
      </c>
      <c r="W95" s="166">
        <f t="shared" si="23"/>
        <v>701</v>
      </c>
      <c r="X95" s="166">
        <f t="shared" si="23"/>
        <v>0</v>
      </c>
      <c r="Y95" s="166">
        <f t="shared" si="23"/>
        <v>0</v>
      </c>
      <c r="Z95" s="166">
        <f t="shared" si="23"/>
        <v>0</v>
      </c>
      <c r="AA95" s="166">
        <f t="shared" ref="AA95:AF95" si="24">AA92-AA44</f>
        <v>0</v>
      </c>
      <c r="AB95" s="166">
        <f t="shared" si="24"/>
        <v>0</v>
      </c>
      <c r="AC95" s="166">
        <f t="shared" si="24"/>
        <v>0</v>
      </c>
      <c r="AD95" s="166">
        <f t="shared" si="24"/>
        <v>0</v>
      </c>
      <c r="AE95" s="166">
        <f t="shared" si="24"/>
        <v>0</v>
      </c>
      <c r="AF95" s="166">
        <f t="shared" si="24"/>
        <v>0</v>
      </c>
      <c r="AG95" s="166">
        <f>AG92-AG44</f>
        <v>0</v>
      </c>
      <c r="AH95" s="166">
        <f>AH92-AH44</f>
        <v>0</v>
      </c>
      <c r="AI95" s="166">
        <f>AI92-AI44</f>
        <v>0</v>
      </c>
      <c r="AJ95" s="166">
        <f>AJ92-AJ44</f>
        <v>0</v>
      </c>
      <c r="AK95" s="166">
        <f>AK94-AK44</f>
        <v>0</v>
      </c>
      <c r="AL95" s="166">
        <f>AL94-AL44</f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6:AE61"/>
  <sheetViews>
    <sheetView showGridLines="0" zoomScaleNormal="100" workbookViewId="0">
      <pane xSplit="1" ySplit="7" topLeftCell="B8" activePane="bottomRight" state="frozen"/>
      <selection pane="topRight" activeCell="S9" sqref="S9"/>
      <selection pane="bottomLeft" activeCell="S9" sqref="S9"/>
      <selection pane="bottomRight" activeCell="S9" sqref="S9"/>
    </sheetView>
  </sheetViews>
  <sheetFormatPr defaultColWidth="9.21875" defaultRowHeight="14.4" outlineLevelCol="1"/>
  <cols>
    <col min="1" max="1" width="40.5546875" style="35" bestFit="1" customWidth="1"/>
    <col min="2" max="2" width="0.5546875" customWidth="1"/>
    <col min="3" max="11" width="8" style="35" hidden="1" customWidth="1" outlineLevel="1"/>
    <col min="12" max="12" width="9" style="35" hidden="1" customWidth="1" outlineLevel="1"/>
    <col min="13" max="13" width="8" style="35" hidden="1" customWidth="1" outlineLevel="1"/>
    <col min="14" max="14" width="9" style="35" hidden="1" customWidth="1" outlineLevel="1"/>
    <col min="15" max="22" width="10.21875" style="35" hidden="1" customWidth="1" outlineLevel="1"/>
    <col min="23" max="23" width="10.21875" style="35" customWidth="1" collapsed="1"/>
    <col min="24" max="31" width="10.21875" style="35" customWidth="1"/>
    <col min="32" max="16384" width="9.21875" style="35"/>
  </cols>
  <sheetData>
    <row r="6" spans="1:31">
      <c r="A6" s="38" t="s">
        <v>1320</v>
      </c>
      <c r="B6" s="111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</row>
    <row r="7" spans="1:31" ht="15" thickBot="1">
      <c r="A7" s="6" t="s">
        <v>1285</v>
      </c>
      <c r="B7" s="341"/>
      <c r="C7" s="434" t="s">
        <v>55</v>
      </c>
      <c r="D7" s="434" t="s">
        <v>56</v>
      </c>
      <c r="E7" s="434" t="s">
        <v>57</v>
      </c>
      <c r="F7" s="434" t="s">
        <v>58</v>
      </c>
      <c r="G7" s="434" t="s">
        <v>59</v>
      </c>
      <c r="H7" s="434" t="s">
        <v>60</v>
      </c>
      <c r="I7" s="434" t="s">
        <v>61</v>
      </c>
      <c r="J7" s="434" t="s">
        <v>62</v>
      </c>
      <c r="K7" s="434" t="s">
        <v>63</v>
      </c>
      <c r="L7" s="434" t="s">
        <v>64</v>
      </c>
      <c r="M7" s="434" t="s">
        <v>65</v>
      </c>
      <c r="N7" s="434" t="s">
        <v>66</v>
      </c>
      <c r="O7" s="434" t="s">
        <v>67</v>
      </c>
      <c r="P7" s="434" t="s">
        <v>68</v>
      </c>
      <c r="Q7" s="434" t="s">
        <v>69</v>
      </c>
      <c r="R7" s="434" t="s">
        <v>70</v>
      </c>
      <c r="S7" s="434" t="s">
        <v>71</v>
      </c>
      <c r="T7" s="434" t="s">
        <v>72</v>
      </c>
      <c r="U7" s="434" t="s">
        <v>73</v>
      </c>
      <c r="V7" s="434" t="s">
        <v>74</v>
      </c>
      <c r="W7" s="434" t="s">
        <v>75</v>
      </c>
      <c r="X7" s="434" t="s">
        <v>76</v>
      </c>
      <c r="Y7" s="434" t="s">
        <v>77</v>
      </c>
      <c r="Z7" s="434" t="s">
        <v>78</v>
      </c>
      <c r="AA7" s="434" t="s">
        <v>79</v>
      </c>
      <c r="AB7" s="434" t="s">
        <v>80</v>
      </c>
      <c r="AC7" s="434" t="s">
        <v>81</v>
      </c>
      <c r="AD7" s="434" t="s">
        <v>82</v>
      </c>
      <c r="AE7" s="434" t="s">
        <v>83</v>
      </c>
    </row>
    <row r="8" spans="1:31" ht="15" thickBot="1">
      <c r="A8" s="155" t="s">
        <v>1051</v>
      </c>
      <c r="B8" s="342"/>
      <c r="C8" s="156">
        <f t="shared" ref="C8:X8" si="0">SUM(C9:C17)</f>
        <v>171219</v>
      </c>
      <c r="D8" s="156">
        <f t="shared" si="0"/>
        <v>183918</v>
      </c>
      <c r="E8" s="156">
        <f t="shared" si="0"/>
        <v>181916</v>
      </c>
      <c r="F8" s="156">
        <f t="shared" si="0"/>
        <v>184514.09099</v>
      </c>
      <c r="G8" s="156">
        <f t="shared" si="0"/>
        <v>214484.36794999999</v>
      </c>
      <c r="H8" s="156">
        <f t="shared" si="0"/>
        <v>257867.12044999999</v>
      </c>
      <c r="I8" s="156">
        <f t="shared" si="0"/>
        <v>244160.73475</v>
      </c>
      <c r="J8" s="156">
        <f t="shared" si="0"/>
        <v>429564</v>
      </c>
      <c r="K8" s="156">
        <f t="shared" si="0"/>
        <v>226585</v>
      </c>
      <c r="L8" s="156">
        <f t="shared" si="0"/>
        <v>525665.91397999995</v>
      </c>
      <c r="M8" s="156">
        <f t="shared" si="0"/>
        <v>372330</v>
      </c>
      <c r="N8" s="156">
        <f t="shared" si="0"/>
        <v>415678</v>
      </c>
      <c r="O8" s="156">
        <f t="shared" si="0"/>
        <v>396000</v>
      </c>
      <c r="P8" s="156">
        <f t="shared" si="0"/>
        <v>433000</v>
      </c>
      <c r="Q8" s="156">
        <f t="shared" si="0"/>
        <v>453439</v>
      </c>
      <c r="R8" s="156">
        <f t="shared" si="0"/>
        <v>244150.48240000004</v>
      </c>
      <c r="S8" s="156">
        <f t="shared" si="0"/>
        <v>276312.03283000004</v>
      </c>
      <c r="T8" s="156">
        <f t="shared" si="0"/>
        <v>292340.36845999997</v>
      </c>
      <c r="U8" s="156">
        <f t="shared" si="0"/>
        <v>331380</v>
      </c>
      <c r="V8" s="156">
        <f t="shared" si="0"/>
        <v>310985</v>
      </c>
      <c r="W8" s="156">
        <f t="shared" si="0"/>
        <v>312292</v>
      </c>
      <c r="X8" s="156">
        <f t="shared" si="0"/>
        <v>354665</v>
      </c>
      <c r="Y8" s="156">
        <f t="shared" ref="Y8:AE8" si="1">SUM(Y9:Y17)</f>
        <v>381920</v>
      </c>
      <c r="Z8" s="156">
        <f t="shared" si="1"/>
        <v>410413</v>
      </c>
      <c r="AA8" s="156">
        <f t="shared" si="1"/>
        <v>417799</v>
      </c>
      <c r="AB8" s="156">
        <f t="shared" si="1"/>
        <v>470237</v>
      </c>
      <c r="AC8" s="156">
        <f t="shared" si="1"/>
        <v>396009</v>
      </c>
      <c r="AD8" s="156">
        <f t="shared" si="1"/>
        <v>341816</v>
      </c>
      <c r="AE8" s="156">
        <f t="shared" si="1"/>
        <v>356657</v>
      </c>
    </row>
    <row r="9" spans="1:31">
      <c r="A9" s="151" t="s">
        <v>1053</v>
      </c>
      <c r="B9" s="343"/>
      <c r="C9" s="167">
        <v>20017</v>
      </c>
      <c r="D9" s="167">
        <v>31039</v>
      </c>
      <c r="E9" s="167">
        <v>27585</v>
      </c>
      <c r="F9" s="167">
        <v>24860.337339999998</v>
      </c>
      <c r="G9" s="167">
        <v>26222.019659999998</v>
      </c>
      <c r="H9" s="167">
        <v>36803.74504999999</v>
      </c>
      <c r="I9" s="167">
        <v>44593.012780000005</v>
      </c>
      <c r="J9" s="167">
        <v>190567</v>
      </c>
      <c r="K9" s="167">
        <v>48232</v>
      </c>
      <c r="L9" s="167">
        <v>328398.07150999998</v>
      </c>
      <c r="M9" s="167">
        <v>170761</v>
      </c>
      <c r="N9" s="167">
        <v>182169</v>
      </c>
      <c r="O9" s="167">
        <v>86000</v>
      </c>
      <c r="P9" s="167">
        <v>1000</v>
      </c>
      <c r="Q9" s="167"/>
      <c r="R9" s="167"/>
      <c r="S9" s="167">
        <v>241.30263000000002</v>
      </c>
      <c r="T9" s="167">
        <v>263.55959999999993</v>
      </c>
      <c r="U9" s="167">
        <v>552</v>
      </c>
      <c r="V9" s="167">
        <v>459</v>
      </c>
      <c r="W9" s="167">
        <v>329</v>
      </c>
      <c r="X9" s="167">
        <v>52957</v>
      </c>
      <c r="Y9" s="167">
        <v>54807</v>
      </c>
      <c r="Z9" s="167">
        <v>54742</v>
      </c>
      <c r="AA9" s="167">
        <v>67595</v>
      </c>
      <c r="AB9" s="167">
        <v>56889</v>
      </c>
      <c r="AC9" s="167">
        <v>88108</v>
      </c>
      <c r="AD9" s="167">
        <v>60787</v>
      </c>
      <c r="AE9" s="167">
        <v>76866</v>
      </c>
    </row>
    <row r="10" spans="1:31">
      <c r="A10" s="151" t="s">
        <v>1321</v>
      </c>
      <c r="B10" s="343"/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>
        <v>104000</v>
      </c>
      <c r="P10" s="167">
        <v>214000</v>
      </c>
      <c r="Q10" s="167">
        <v>237632</v>
      </c>
      <c r="R10" s="167">
        <v>30842.341870000004</v>
      </c>
      <c r="S10" s="167">
        <v>58287.746789999997</v>
      </c>
      <c r="T10" s="167">
        <v>86941.151489999989</v>
      </c>
      <c r="U10" s="167">
        <v>110782</v>
      </c>
      <c r="V10" s="167">
        <v>93462</v>
      </c>
      <c r="W10" s="167">
        <v>107779</v>
      </c>
      <c r="X10" s="167">
        <v>89990</v>
      </c>
      <c r="Y10" s="167">
        <v>95032</v>
      </c>
      <c r="Z10" s="167">
        <v>117259</v>
      </c>
      <c r="AA10" s="167">
        <v>116763</v>
      </c>
      <c r="AB10" s="167">
        <v>173512</v>
      </c>
      <c r="AC10" s="167">
        <v>147526</v>
      </c>
      <c r="AD10" s="167">
        <v>118826</v>
      </c>
      <c r="AE10" s="167">
        <v>118826</v>
      </c>
    </row>
    <row r="11" spans="1:31">
      <c r="A11" s="151" t="s">
        <v>1322</v>
      </c>
      <c r="B11" s="343"/>
      <c r="C11" s="167"/>
      <c r="D11" s="167"/>
      <c r="E11" s="167"/>
      <c r="F11" s="167"/>
      <c r="G11" s="167"/>
      <c r="H11" s="167"/>
      <c r="I11" s="167"/>
      <c r="J11" s="167"/>
      <c r="K11" s="167"/>
      <c r="L11" s="167"/>
      <c r="M11" s="167"/>
      <c r="N11" s="167">
        <v>18180</v>
      </c>
      <c r="O11" s="167">
        <v>19000</v>
      </c>
      <c r="P11" s="167">
        <v>17000</v>
      </c>
      <c r="Q11" s="167">
        <v>18330</v>
      </c>
      <c r="R11" s="167">
        <v>17992.447079999998</v>
      </c>
      <c r="S11" s="167">
        <v>17959.653009999998</v>
      </c>
      <c r="T11" s="167">
        <v>16758.484550000001</v>
      </c>
      <c r="U11" s="167">
        <v>18414</v>
      </c>
      <c r="V11" s="167">
        <v>17714</v>
      </c>
      <c r="W11" s="167">
        <v>17442</v>
      </c>
      <c r="X11" s="167">
        <v>16332</v>
      </c>
      <c r="Y11" s="167">
        <v>15900</v>
      </c>
      <c r="Z11" s="167">
        <v>20095</v>
      </c>
      <c r="AA11" s="167">
        <v>20645</v>
      </c>
      <c r="AB11" s="167">
        <v>22512</v>
      </c>
      <c r="AC11" s="167">
        <v>15867</v>
      </c>
      <c r="AD11" s="167">
        <v>13689</v>
      </c>
      <c r="AE11" s="167">
        <v>15103</v>
      </c>
    </row>
    <row r="12" spans="1:31">
      <c r="A12" s="151" t="s">
        <v>1323</v>
      </c>
      <c r="B12" s="343"/>
      <c r="C12" s="167">
        <v>146377</v>
      </c>
      <c r="D12" s="167">
        <v>146671</v>
      </c>
      <c r="E12" s="167">
        <v>151696</v>
      </c>
      <c r="F12" s="167">
        <v>157698.73431</v>
      </c>
      <c r="G12" s="167">
        <v>186523.63626999999</v>
      </c>
      <c r="H12" s="167">
        <v>219098</v>
      </c>
      <c r="I12" s="167">
        <v>196205.51</v>
      </c>
      <c r="J12" s="167">
        <v>226332</v>
      </c>
      <c r="K12" s="167">
        <v>171597</v>
      </c>
      <c r="L12" s="167">
        <v>189764.93137999999</v>
      </c>
      <c r="M12" s="167">
        <v>193691</v>
      </c>
      <c r="N12" s="167">
        <v>177618</v>
      </c>
      <c r="O12" s="167">
        <v>169000</v>
      </c>
      <c r="P12" s="167">
        <v>169000</v>
      </c>
      <c r="Q12" s="167">
        <v>169377</v>
      </c>
      <c r="R12" s="167">
        <v>169376.74008000002</v>
      </c>
      <c r="S12" s="167">
        <v>179376.74008000002</v>
      </c>
      <c r="T12" s="167">
        <v>166552</v>
      </c>
      <c r="U12" s="167">
        <v>184478</v>
      </c>
      <c r="V12" s="167">
        <v>181983</v>
      </c>
      <c r="W12" s="167">
        <v>0</v>
      </c>
      <c r="X12" s="167">
        <v>0</v>
      </c>
      <c r="Y12" s="167">
        <v>0</v>
      </c>
      <c r="Z12" s="167">
        <v>0</v>
      </c>
      <c r="AA12" s="167">
        <v>0</v>
      </c>
      <c r="AB12" s="167">
        <v>0</v>
      </c>
      <c r="AC12" s="167">
        <v>0</v>
      </c>
      <c r="AD12" s="167">
        <v>0</v>
      </c>
      <c r="AE12" s="167"/>
    </row>
    <row r="13" spans="1:31">
      <c r="A13" s="151" t="s">
        <v>1289</v>
      </c>
      <c r="B13" s="343"/>
      <c r="C13" s="167">
        <v>1167</v>
      </c>
      <c r="D13" s="167">
        <v>1941</v>
      </c>
      <c r="E13" s="167">
        <v>816</v>
      </c>
      <c r="F13" s="167">
        <v>874</v>
      </c>
      <c r="G13" s="167">
        <v>830</v>
      </c>
      <c r="H13" s="167">
        <v>946</v>
      </c>
      <c r="I13" s="167">
        <v>2792</v>
      </c>
      <c r="J13" s="167">
        <v>6056</v>
      </c>
      <c r="K13" s="167">
        <v>5640</v>
      </c>
      <c r="L13" s="167">
        <v>6129.9110899999996</v>
      </c>
      <c r="M13" s="167">
        <v>6990</v>
      </c>
      <c r="N13" s="167">
        <f>752+5664</f>
        <v>6416</v>
      </c>
      <c r="O13" s="167">
        <v>7000</v>
      </c>
      <c r="P13" s="167">
        <v>20000</v>
      </c>
      <c r="Q13" s="167">
        <v>16000</v>
      </c>
      <c r="R13" s="167">
        <v>14654.76748</v>
      </c>
      <c r="S13" s="167">
        <v>8537.892170000001</v>
      </c>
      <c r="T13" s="167">
        <v>12099.892750000001</v>
      </c>
      <c r="U13" s="167">
        <v>8150</v>
      </c>
      <c r="V13" s="167">
        <v>8170.9999999999991</v>
      </c>
      <c r="W13" s="167">
        <v>8171</v>
      </c>
      <c r="X13" s="167">
        <f>7265+906</f>
        <v>8171</v>
      </c>
      <c r="Y13" s="167">
        <v>8500</v>
      </c>
      <c r="Z13" s="167">
        <v>8901</v>
      </c>
      <c r="AA13" s="167">
        <v>9322</v>
      </c>
      <c r="AB13" s="167">
        <v>6107</v>
      </c>
      <c r="AC13" s="167">
        <v>6756</v>
      </c>
      <c r="AD13" s="167">
        <v>14874</v>
      </c>
      <c r="AE13" s="167">
        <v>15606</v>
      </c>
    </row>
    <row r="14" spans="1:31">
      <c r="A14" s="151" t="s">
        <v>1291</v>
      </c>
      <c r="B14" s="343"/>
      <c r="C14" s="167">
        <v>164</v>
      </c>
      <c r="D14" s="167">
        <v>67</v>
      </c>
      <c r="E14" s="167">
        <v>255</v>
      </c>
      <c r="F14" s="167">
        <v>248.58382999999998</v>
      </c>
      <c r="G14" s="167">
        <v>166.49234999999999</v>
      </c>
      <c r="H14" s="167">
        <v>46</v>
      </c>
      <c r="I14" s="167">
        <v>139.21197000000001</v>
      </c>
      <c r="J14" s="167" t="s">
        <v>447</v>
      </c>
      <c r="K14" s="167" t="s">
        <v>447</v>
      </c>
      <c r="L14" s="167">
        <v>2</v>
      </c>
      <c r="M14" s="167">
        <v>71</v>
      </c>
      <c r="N14" s="167">
        <v>25141</v>
      </c>
      <c r="O14" s="167"/>
      <c r="P14" s="167"/>
      <c r="Q14" s="167">
        <v>4403</v>
      </c>
      <c r="R14" s="167">
        <v>3205.4012399999992</v>
      </c>
      <c r="S14" s="167">
        <v>3225.6693499999997</v>
      </c>
      <c r="T14" s="167">
        <v>6448.2821500000009</v>
      </c>
      <c r="U14" s="167">
        <v>6464</v>
      </c>
      <c r="V14" s="167">
        <v>815</v>
      </c>
      <c r="W14" s="167"/>
      <c r="X14" s="167">
        <v>0</v>
      </c>
      <c r="Y14" s="167"/>
      <c r="Z14" s="167"/>
      <c r="AA14" s="167"/>
      <c r="AB14" s="167">
        <v>0</v>
      </c>
      <c r="AC14" s="167"/>
      <c r="AD14" s="167"/>
      <c r="AE14" s="167"/>
    </row>
    <row r="15" spans="1:31">
      <c r="A15" s="151" t="s">
        <v>1063</v>
      </c>
      <c r="B15" s="343"/>
      <c r="C15" s="167">
        <v>2166</v>
      </c>
      <c r="D15" s="167">
        <v>2188</v>
      </c>
      <c r="E15" s="167">
        <v>1401</v>
      </c>
      <c r="F15" s="167">
        <v>659.43551000000002</v>
      </c>
      <c r="G15" s="167">
        <v>635.48128000000008</v>
      </c>
      <c r="H15" s="167">
        <v>634.38592000000006</v>
      </c>
      <c r="I15" s="167">
        <v>0</v>
      </c>
      <c r="J15" s="167" t="s">
        <v>447</v>
      </c>
      <c r="K15" s="167" t="s">
        <v>447</v>
      </c>
      <c r="L15" s="167"/>
      <c r="M15" s="167">
        <v>0</v>
      </c>
      <c r="N15" s="167">
        <v>5171</v>
      </c>
      <c r="O15" s="167">
        <v>5000</v>
      </c>
      <c r="P15" s="167">
        <v>5000</v>
      </c>
      <c r="Q15" s="167">
        <v>5697</v>
      </c>
      <c r="R15" s="167">
        <v>5697</v>
      </c>
      <c r="S15" s="167">
        <v>6447.3053</v>
      </c>
      <c r="T15" s="167">
        <v>821.54069000000004</v>
      </c>
      <c r="U15" s="167">
        <v>817</v>
      </c>
      <c r="V15" s="167">
        <v>6449</v>
      </c>
      <c r="W15" s="167">
        <v>6449</v>
      </c>
      <c r="X15" s="167">
        <v>6456</v>
      </c>
      <c r="Y15" s="167">
        <v>6456</v>
      </c>
      <c r="Z15" s="167">
        <v>7005</v>
      </c>
      <c r="AA15" s="167">
        <v>7016</v>
      </c>
      <c r="AB15" s="167">
        <v>7003</v>
      </c>
      <c r="AC15" s="167">
        <v>6923</v>
      </c>
      <c r="AD15" s="167">
        <v>6925</v>
      </c>
      <c r="AE15" s="167">
        <v>5082</v>
      </c>
    </row>
    <row r="16" spans="1:31">
      <c r="A16" s="151" t="s">
        <v>1324</v>
      </c>
      <c r="B16" s="343"/>
      <c r="C16" s="167">
        <v>1328</v>
      </c>
      <c r="D16" s="167">
        <v>2012</v>
      </c>
      <c r="E16" s="167">
        <v>163</v>
      </c>
      <c r="F16" s="167">
        <v>173</v>
      </c>
      <c r="G16" s="167">
        <v>106.73839</v>
      </c>
      <c r="H16" s="167">
        <v>338.98947999999996</v>
      </c>
      <c r="I16" s="167">
        <v>431</v>
      </c>
      <c r="J16" s="167">
        <v>6609</v>
      </c>
      <c r="K16" s="167">
        <v>1116</v>
      </c>
      <c r="L16" s="167">
        <v>1371</v>
      </c>
      <c r="M16" s="167">
        <v>817</v>
      </c>
      <c r="N16" s="167">
        <v>983</v>
      </c>
      <c r="O16" s="167">
        <v>6000</v>
      </c>
      <c r="P16" s="167">
        <v>7000</v>
      </c>
      <c r="Q16" s="167">
        <v>2000</v>
      </c>
      <c r="R16" s="167">
        <v>2381.7846500000001</v>
      </c>
      <c r="S16" s="167">
        <v>2235.7234999999996</v>
      </c>
      <c r="T16" s="167">
        <v>2455.45723</v>
      </c>
      <c r="U16" s="167">
        <v>1723</v>
      </c>
      <c r="V16" s="167">
        <v>1932</v>
      </c>
      <c r="W16" s="167">
        <v>2701</v>
      </c>
      <c r="X16" s="167">
        <f>4256+867</f>
        <v>5123</v>
      </c>
      <c r="Y16" s="167">
        <v>7042</v>
      </c>
      <c r="Z16" s="167">
        <v>2870</v>
      </c>
      <c r="AA16" s="167">
        <v>2396</v>
      </c>
      <c r="AB16" s="167">
        <v>797</v>
      </c>
      <c r="AC16" s="167">
        <v>1249</v>
      </c>
      <c r="AD16" s="167">
        <v>1342</v>
      </c>
      <c r="AE16" s="167">
        <v>2179</v>
      </c>
    </row>
    <row r="17" spans="1:31" ht="15" thickBot="1">
      <c r="A17" s="151" t="s">
        <v>1205</v>
      </c>
      <c r="B17" s="343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>
        <v>169421</v>
      </c>
      <c r="X17" s="167">
        <v>175636</v>
      </c>
      <c r="Y17" s="167">
        <v>194183</v>
      </c>
      <c r="Z17" s="167">
        <v>199541</v>
      </c>
      <c r="AA17" s="167">
        <v>194062</v>
      </c>
      <c r="AB17" s="167">
        <v>203417</v>
      </c>
      <c r="AC17" s="167">
        <v>129580</v>
      </c>
      <c r="AD17" s="167">
        <v>125373</v>
      </c>
      <c r="AE17" s="167">
        <v>122995</v>
      </c>
    </row>
    <row r="18" spans="1:31" ht="15" thickBot="1">
      <c r="A18" s="155" t="s">
        <v>1081</v>
      </c>
      <c r="B18" s="342"/>
      <c r="C18" s="156">
        <f t="shared" ref="C18:AC18" si="2">C19+C28</f>
        <v>439974</v>
      </c>
      <c r="D18" s="156">
        <f t="shared" si="2"/>
        <v>436432.04950000002</v>
      </c>
      <c r="E18" s="156">
        <f t="shared" si="2"/>
        <v>431927.04950000002</v>
      </c>
      <c r="F18" s="156">
        <f t="shared" si="2"/>
        <v>440250.53160000005</v>
      </c>
      <c r="G18" s="156">
        <f t="shared" si="2"/>
        <v>421578.04950000002</v>
      </c>
      <c r="H18" s="156">
        <f t="shared" si="2"/>
        <v>395865.59128000005</v>
      </c>
      <c r="I18" s="156">
        <f t="shared" si="2"/>
        <v>422652.31109000003</v>
      </c>
      <c r="J18" s="156">
        <f t="shared" si="2"/>
        <v>451106</v>
      </c>
      <c r="K18" s="156">
        <f t="shared" si="2"/>
        <v>521018</v>
      </c>
      <c r="L18" s="156">
        <f t="shared" si="2"/>
        <v>547422.24542999989</v>
      </c>
      <c r="M18" s="156">
        <f t="shared" si="2"/>
        <v>551206</v>
      </c>
      <c r="N18" s="156">
        <f t="shared" si="2"/>
        <v>874347</v>
      </c>
      <c r="O18" s="156">
        <f t="shared" si="2"/>
        <v>874000</v>
      </c>
      <c r="P18" s="156">
        <f t="shared" si="2"/>
        <v>869000</v>
      </c>
      <c r="Q18" s="156">
        <f t="shared" si="2"/>
        <v>861782</v>
      </c>
      <c r="R18" s="156">
        <f t="shared" si="2"/>
        <v>830167.97762999998</v>
      </c>
      <c r="S18" s="156">
        <f t="shared" si="2"/>
        <v>811185.67625999998</v>
      </c>
      <c r="T18" s="156">
        <f t="shared" si="2"/>
        <v>815825.08623999998</v>
      </c>
      <c r="U18" s="156">
        <f t="shared" si="2"/>
        <v>787359.32689999999</v>
      </c>
      <c r="V18" s="156">
        <f t="shared" si="2"/>
        <v>777858.32689999999</v>
      </c>
      <c r="W18" s="156">
        <f t="shared" si="2"/>
        <v>769957.32689999999</v>
      </c>
      <c r="X18" s="156">
        <f t="shared" si="2"/>
        <v>752038</v>
      </c>
      <c r="Y18" s="156">
        <f t="shared" si="2"/>
        <v>720209</v>
      </c>
      <c r="Z18" s="156">
        <f t="shared" si="2"/>
        <v>696507</v>
      </c>
      <c r="AA18" s="156">
        <f t="shared" si="2"/>
        <v>686138</v>
      </c>
      <c r="AB18" s="156">
        <f t="shared" si="2"/>
        <v>678018</v>
      </c>
      <c r="AC18" s="156">
        <f t="shared" si="2"/>
        <v>747636</v>
      </c>
      <c r="AD18" s="156">
        <f>AD19+AD28</f>
        <v>750002</v>
      </c>
      <c r="AE18" s="156">
        <f>AE19+AE28</f>
        <v>753264</v>
      </c>
    </row>
    <row r="19" spans="1:31" ht="15" thickBot="1">
      <c r="A19" s="155" t="s">
        <v>1158</v>
      </c>
      <c r="B19" s="342"/>
      <c r="C19" s="156">
        <f t="shared" ref="C19:AC19" si="3">SUM(C20:C27)</f>
        <v>439597</v>
      </c>
      <c r="D19" s="156">
        <f t="shared" si="3"/>
        <v>436070.04950000002</v>
      </c>
      <c r="E19" s="156">
        <f t="shared" si="3"/>
        <v>431580.04950000002</v>
      </c>
      <c r="F19" s="156">
        <f t="shared" si="3"/>
        <v>439918.35872000002</v>
      </c>
      <c r="G19" s="156">
        <f t="shared" si="3"/>
        <v>421261.04950000002</v>
      </c>
      <c r="H19" s="156">
        <f t="shared" si="3"/>
        <v>395461.04607000004</v>
      </c>
      <c r="I19" s="156">
        <f t="shared" si="3"/>
        <v>422171.31109000003</v>
      </c>
      <c r="J19" s="156">
        <f t="shared" si="3"/>
        <v>450162</v>
      </c>
      <c r="K19" s="156">
        <f t="shared" si="3"/>
        <v>519369</v>
      </c>
      <c r="L19" s="156">
        <f t="shared" si="3"/>
        <v>545789.24542999989</v>
      </c>
      <c r="M19" s="156">
        <f t="shared" si="3"/>
        <v>532998</v>
      </c>
      <c r="N19" s="156">
        <f t="shared" si="3"/>
        <v>873473</v>
      </c>
      <c r="O19" s="156">
        <f t="shared" si="3"/>
        <v>873000</v>
      </c>
      <c r="P19" s="156">
        <f t="shared" si="3"/>
        <v>868000</v>
      </c>
      <c r="Q19" s="156">
        <f t="shared" si="3"/>
        <v>860801</v>
      </c>
      <c r="R19" s="156">
        <f t="shared" si="3"/>
        <v>830167.97762999998</v>
      </c>
      <c r="S19" s="156">
        <f t="shared" si="3"/>
        <v>811045.48005000001</v>
      </c>
      <c r="T19" s="156">
        <f t="shared" si="3"/>
        <v>815783.32689999999</v>
      </c>
      <c r="U19" s="156">
        <f t="shared" si="3"/>
        <v>787359.32689999999</v>
      </c>
      <c r="V19" s="156">
        <f t="shared" si="3"/>
        <v>777506.32689999999</v>
      </c>
      <c r="W19" s="156">
        <f t="shared" si="3"/>
        <v>769622.32689999999</v>
      </c>
      <c r="X19" s="156">
        <f t="shared" si="3"/>
        <v>751703</v>
      </c>
      <c r="Y19" s="156">
        <f t="shared" si="3"/>
        <v>719876</v>
      </c>
      <c r="Z19" s="156">
        <f t="shared" si="3"/>
        <v>696279</v>
      </c>
      <c r="AA19" s="156">
        <f t="shared" si="3"/>
        <v>686138</v>
      </c>
      <c r="AB19" s="156">
        <f t="shared" si="3"/>
        <v>678018</v>
      </c>
      <c r="AC19" s="156">
        <f t="shared" si="3"/>
        <v>747636</v>
      </c>
      <c r="AD19" s="156">
        <f>SUM(AD20:AD27)</f>
        <v>750002</v>
      </c>
      <c r="AE19" s="156">
        <f>SUM(AE20:AE27)</f>
        <v>753264</v>
      </c>
    </row>
    <row r="20" spans="1:31">
      <c r="A20" s="151" t="s">
        <v>1323</v>
      </c>
      <c r="B20" s="343"/>
      <c r="C20" s="167">
        <v>427379</v>
      </c>
      <c r="D20" s="167">
        <v>423647</v>
      </c>
      <c r="E20" s="167">
        <v>420211</v>
      </c>
      <c r="F20" s="167">
        <v>428427.65499000001</v>
      </c>
      <c r="G20" s="167">
        <v>410406</v>
      </c>
      <c r="H20" s="167">
        <v>384489.4</v>
      </c>
      <c r="I20" s="167">
        <v>411422</v>
      </c>
      <c r="J20" s="167">
        <v>371614</v>
      </c>
      <c r="K20" s="167">
        <v>479616</v>
      </c>
      <c r="L20" s="167">
        <v>451093.85552999994</v>
      </c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67">
        <v>0</v>
      </c>
      <c r="Y20" s="167"/>
      <c r="Z20" s="167"/>
      <c r="AA20" s="167"/>
      <c r="AB20" s="167"/>
      <c r="AC20" s="167"/>
      <c r="AD20" s="167"/>
      <c r="AE20" s="167"/>
    </row>
    <row r="21" spans="1:31">
      <c r="A21" s="151" t="s">
        <v>1325</v>
      </c>
      <c r="B21" s="343"/>
      <c r="C21" s="167">
        <v>0</v>
      </c>
      <c r="D21" s="167">
        <v>0</v>
      </c>
      <c r="E21" s="167">
        <v>0</v>
      </c>
      <c r="F21" s="167">
        <v>0</v>
      </c>
      <c r="G21" s="167">
        <v>0</v>
      </c>
      <c r="H21" s="167">
        <v>0</v>
      </c>
      <c r="I21" s="167">
        <v>0</v>
      </c>
      <c r="J21" s="167">
        <v>78309</v>
      </c>
      <c r="K21" s="167">
        <v>36648</v>
      </c>
      <c r="L21" s="167">
        <v>94662.389900000009</v>
      </c>
      <c r="M21" s="167">
        <v>532965</v>
      </c>
      <c r="N21" s="167">
        <v>873440</v>
      </c>
      <c r="O21" s="167">
        <v>873000</v>
      </c>
      <c r="P21" s="167">
        <v>868000</v>
      </c>
      <c r="Q21" s="167">
        <v>860801</v>
      </c>
      <c r="R21" s="167">
        <v>829167.97762999998</v>
      </c>
      <c r="S21" s="167">
        <v>811013.15315000003</v>
      </c>
      <c r="T21" s="167">
        <v>815751</v>
      </c>
      <c r="U21" s="167">
        <v>787327</v>
      </c>
      <c r="V21" s="167">
        <v>777474</v>
      </c>
      <c r="W21" s="167">
        <v>769590</v>
      </c>
      <c r="X21" s="167">
        <v>751671</v>
      </c>
      <c r="Y21" s="167">
        <v>718977</v>
      </c>
      <c r="Z21" s="167">
        <v>696247</v>
      </c>
      <c r="AA21" s="167">
        <v>686106</v>
      </c>
      <c r="AB21" s="167">
        <v>677986</v>
      </c>
      <c r="AC21" s="167">
        <v>747604</v>
      </c>
      <c r="AD21" s="167">
        <v>749970</v>
      </c>
      <c r="AE21" s="167">
        <v>753232</v>
      </c>
    </row>
    <row r="22" spans="1:31">
      <c r="A22" s="151" t="s">
        <v>1326</v>
      </c>
      <c r="B22" s="343"/>
      <c r="C22" s="167"/>
      <c r="D22" s="167"/>
      <c r="E22" s="167"/>
      <c r="F22" s="167"/>
      <c r="G22" s="167"/>
      <c r="H22" s="167"/>
      <c r="I22" s="167"/>
      <c r="J22" s="167"/>
      <c r="K22" s="167">
        <v>3073</v>
      </c>
      <c r="L22" s="167">
        <v>0</v>
      </c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>
        <v>0</v>
      </c>
      <c r="Y22" s="167"/>
      <c r="Z22" s="167"/>
      <c r="AA22" s="167"/>
      <c r="AB22" s="167"/>
      <c r="AC22" s="167"/>
      <c r="AD22" s="167"/>
      <c r="AE22" s="167"/>
    </row>
    <row r="23" spans="1:31">
      <c r="A23" s="151" t="s">
        <v>1327</v>
      </c>
      <c r="B23" s="343"/>
      <c r="C23" s="167">
        <v>12212</v>
      </c>
      <c r="D23" s="167">
        <v>12417</v>
      </c>
      <c r="E23" s="167">
        <v>11363</v>
      </c>
      <c r="F23" s="167">
        <v>11484.55423</v>
      </c>
      <c r="G23" s="167">
        <v>10849</v>
      </c>
      <c r="H23" s="167">
        <v>10965.59657</v>
      </c>
      <c r="I23" s="167">
        <v>10743.26159</v>
      </c>
      <c r="J23" s="167">
        <v>0</v>
      </c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>
        <v>0</v>
      </c>
      <c r="Y23" s="167"/>
      <c r="Z23" s="167"/>
      <c r="AA23" s="167"/>
      <c r="AB23" s="167"/>
      <c r="AC23" s="167"/>
      <c r="AD23" s="167"/>
      <c r="AE23" s="167"/>
    </row>
    <row r="24" spans="1:31">
      <c r="A24" s="151" t="s">
        <v>1076</v>
      </c>
      <c r="B24" s="343"/>
      <c r="C24" s="167">
        <v>0</v>
      </c>
      <c r="D24" s="167">
        <v>0</v>
      </c>
      <c r="E24" s="167">
        <v>0</v>
      </c>
      <c r="F24" s="167">
        <v>0</v>
      </c>
      <c r="G24" s="167">
        <v>0</v>
      </c>
      <c r="H24" s="167">
        <v>0</v>
      </c>
      <c r="I24" s="167">
        <v>0</v>
      </c>
      <c r="J24" s="167">
        <v>207</v>
      </c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7"/>
      <c r="W24" s="167"/>
      <c r="X24" s="167">
        <v>0</v>
      </c>
      <c r="Y24" s="167"/>
      <c r="Z24" s="167"/>
      <c r="AA24" s="167"/>
      <c r="AB24" s="167"/>
      <c r="AC24" s="167"/>
      <c r="AD24" s="167"/>
      <c r="AE24" s="167"/>
    </row>
    <row r="25" spans="1:31">
      <c r="A25" s="151" t="s">
        <v>1063</v>
      </c>
      <c r="B25" s="343"/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  <c r="AA25" s="167"/>
      <c r="AB25" s="167"/>
      <c r="AC25" s="167"/>
      <c r="AD25" s="167"/>
      <c r="AE25" s="167"/>
    </row>
    <row r="26" spans="1:31">
      <c r="A26" s="151" t="s">
        <v>1090</v>
      </c>
      <c r="B26" s="343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>
        <v>0</v>
      </c>
      <c r="Y26" s="167">
        <v>867</v>
      </c>
      <c r="Z26" s="167"/>
      <c r="AA26" s="167"/>
      <c r="AB26" s="167"/>
      <c r="AC26" s="167"/>
      <c r="AD26" s="167"/>
      <c r="AE26" s="167"/>
    </row>
    <row r="27" spans="1:31" ht="15" thickBot="1">
      <c r="A27" s="151" t="s">
        <v>1328</v>
      </c>
      <c r="B27" s="343"/>
      <c r="C27" s="167">
        <v>6</v>
      </c>
      <c r="D27" s="167">
        <v>6.0495000000000001</v>
      </c>
      <c r="E27" s="167">
        <v>6.0495000000000001</v>
      </c>
      <c r="F27" s="167">
        <v>6.1494999999999997</v>
      </c>
      <c r="G27" s="167">
        <v>6.0495000000000001</v>
      </c>
      <c r="H27" s="167">
        <v>6.0495000000000001</v>
      </c>
      <c r="I27" s="167">
        <v>6.0495000000000001</v>
      </c>
      <c r="J27" s="167">
        <v>32</v>
      </c>
      <c r="K27" s="167">
        <v>32</v>
      </c>
      <c r="L27" s="167">
        <v>33</v>
      </c>
      <c r="M27" s="167">
        <v>33</v>
      </c>
      <c r="N27" s="167">
        <v>33</v>
      </c>
      <c r="O27" s="167"/>
      <c r="P27" s="167"/>
      <c r="Q27" s="167"/>
      <c r="R27" s="167">
        <v>1000</v>
      </c>
      <c r="S27" s="167">
        <v>32.326900000000002</v>
      </c>
      <c r="T27" s="167">
        <v>32.326900000000002</v>
      </c>
      <c r="U27" s="167">
        <v>32.326900000000002</v>
      </c>
      <c r="V27" s="167">
        <v>32.326900000000002</v>
      </c>
      <c r="W27" s="167">
        <v>32.326900000000002</v>
      </c>
      <c r="X27" s="167">
        <v>32</v>
      </c>
      <c r="Y27" s="167">
        <v>32</v>
      </c>
      <c r="Z27" s="167">
        <v>32</v>
      </c>
      <c r="AA27" s="167">
        <v>32</v>
      </c>
      <c r="AB27" s="167">
        <v>32</v>
      </c>
      <c r="AC27" s="167">
        <v>32</v>
      </c>
      <c r="AD27" s="167">
        <v>32</v>
      </c>
      <c r="AE27" s="167">
        <v>32</v>
      </c>
    </row>
    <row r="28" spans="1:31" ht="15" thickBot="1">
      <c r="A28" s="155" t="s">
        <v>1164</v>
      </c>
      <c r="B28" s="342"/>
      <c r="C28" s="156">
        <f t="shared" ref="C28:X28" si="4">SUM(C29:C30)</f>
        <v>377</v>
      </c>
      <c r="D28" s="156">
        <f t="shared" si="4"/>
        <v>362</v>
      </c>
      <c r="E28" s="156">
        <f t="shared" si="4"/>
        <v>347</v>
      </c>
      <c r="F28" s="156">
        <f t="shared" si="4"/>
        <v>332.17288000000002</v>
      </c>
      <c r="G28" s="156">
        <f t="shared" si="4"/>
        <v>317</v>
      </c>
      <c r="H28" s="156">
        <f t="shared" si="4"/>
        <v>404.54521</v>
      </c>
      <c r="I28" s="156">
        <f t="shared" si="4"/>
        <v>481</v>
      </c>
      <c r="J28" s="156">
        <f t="shared" si="4"/>
        <v>944</v>
      </c>
      <c r="K28" s="156">
        <f t="shared" si="4"/>
        <v>1649</v>
      </c>
      <c r="L28" s="156">
        <f t="shared" si="4"/>
        <v>1633</v>
      </c>
      <c r="M28" s="156">
        <f t="shared" si="4"/>
        <v>18208</v>
      </c>
      <c r="N28" s="156">
        <f t="shared" si="4"/>
        <v>874</v>
      </c>
      <c r="O28" s="156">
        <f t="shared" si="4"/>
        <v>1000</v>
      </c>
      <c r="P28" s="156">
        <f t="shared" si="4"/>
        <v>1000</v>
      </c>
      <c r="Q28" s="156">
        <f t="shared" si="4"/>
        <v>981</v>
      </c>
      <c r="R28" s="156">
        <f t="shared" si="4"/>
        <v>0</v>
      </c>
      <c r="S28" s="156">
        <f t="shared" si="4"/>
        <v>140.19620999997852</v>
      </c>
      <c r="T28" s="156">
        <f t="shared" si="4"/>
        <v>41.759339999955309</v>
      </c>
      <c r="U28" s="156">
        <f t="shared" si="4"/>
        <v>0</v>
      </c>
      <c r="V28" s="156">
        <f t="shared" si="4"/>
        <v>352</v>
      </c>
      <c r="W28" s="156">
        <f t="shared" si="4"/>
        <v>335</v>
      </c>
      <c r="X28" s="156">
        <f t="shared" si="4"/>
        <v>335</v>
      </c>
      <c r="Y28" s="156">
        <f t="shared" ref="Y28:AE28" si="5">SUM(Y29:Y30)</f>
        <v>333</v>
      </c>
      <c r="Z28" s="156">
        <f t="shared" si="5"/>
        <v>228</v>
      </c>
      <c r="AA28" s="156">
        <f t="shared" si="5"/>
        <v>0</v>
      </c>
      <c r="AB28" s="156">
        <f t="shared" si="5"/>
        <v>0</v>
      </c>
      <c r="AC28" s="156">
        <f t="shared" si="5"/>
        <v>0</v>
      </c>
      <c r="AD28" s="156">
        <f t="shared" si="5"/>
        <v>0</v>
      </c>
      <c r="AE28" s="156">
        <f t="shared" si="5"/>
        <v>0</v>
      </c>
    </row>
    <row r="29" spans="1:31">
      <c r="A29" s="151" t="s">
        <v>1188</v>
      </c>
      <c r="B29" s="343"/>
      <c r="C29" s="167">
        <v>377</v>
      </c>
      <c r="D29" s="167">
        <v>362</v>
      </c>
      <c r="E29" s="167">
        <v>347</v>
      </c>
      <c r="F29" s="167">
        <v>332.17288000000002</v>
      </c>
      <c r="G29" s="167">
        <v>317</v>
      </c>
      <c r="H29" s="167">
        <v>404.54521</v>
      </c>
      <c r="I29" s="167">
        <v>481</v>
      </c>
      <c r="J29" s="167">
        <v>944</v>
      </c>
      <c r="K29" s="167">
        <v>1649</v>
      </c>
      <c r="L29" s="167">
        <v>1633</v>
      </c>
      <c r="M29" s="167">
        <v>18208</v>
      </c>
      <c r="N29" s="167">
        <v>211</v>
      </c>
      <c r="O29" s="167"/>
      <c r="P29" s="167"/>
      <c r="Q29" s="167"/>
      <c r="R29" s="167"/>
      <c r="S29" s="167">
        <v>140.19620999997852</v>
      </c>
      <c r="T29" s="167">
        <v>41.759339999955309</v>
      </c>
      <c r="U29" s="167"/>
      <c r="V29" s="167">
        <v>352</v>
      </c>
      <c r="W29" s="167">
        <v>335</v>
      </c>
      <c r="X29" s="167">
        <v>335</v>
      </c>
      <c r="Y29" s="167">
        <v>333</v>
      </c>
      <c r="Z29" s="167">
        <v>228</v>
      </c>
      <c r="AA29" s="167"/>
      <c r="AB29" s="167"/>
      <c r="AC29" s="167"/>
      <c r="AD29" s="167"/>
      <c r="AE29" s="167"/>
    </row>
    <row r="30" spans="1:31" ht="15" thickBot="1">
      <c r="A30" s="151" t="s">
        <v>1092</v>
      </c>
      <c r="B30" s="343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>
        <v>663</v>
      </c>
      <c r="O30" s="167">
        <v>1000</v>
      </c>
      <c r="P30" s="167">
        <v>1000</v>
      </c>
      <c r="Q30" s="167">
        <v>981</v>
      </c>
      <c r="R30" s="167"/>
      <c r="S30" s="167"/>
      <c r="T30" s="167"/>
      <c r="U30" s="167"/>
      <c r="V30" s="167"/>
      <c r="W30" s="167"/>
      <c r="X30" s="167">
        <v>0</v>
      </c>
      <c r="Y30" s="167"/>
      <c r="Z30" s="167"/>
      <c r="AA30" s="167"/>
      <c r="AB30" s="167"/>
      <c r="AC30" s="167"/>
      <c r="AD30" s="167"/>
      <c r="AE30" s="167"/>
    </row>
    <row r="31" spans="1:31" ht="15" thickBot="1">
      <c r="A31" s="155" t="s">
        <v>1098</v>
      </c>
      <c r="B31" s="342"/>
      <c r="C31" s="156">
        <f t="shared" ref="C31:AE31" si="6">C18+C8</f>
        <v>611193</v>
      </c>
      <c r="D31" s="156">
        <f t="shared" si="6"/>
        <v>620350.04949999996</v>
      </c>
      <c r="E31" s="156">
        <f t="shared" si="6"/>
        <v>613843.04949999996</v>
      </c>
      <c r="F31" s="156">
        <f t="shared" si="6"/>
        <v>624764.62259000004</v>
      </c>
      <c r="G31" s="156">
        <f t="shared" si="6"/>
        <v>636062.41745000007</v>
      </c>
      <c r="H31" s="156">
        <f t="shared" si="6"/>
        <v>653732.7117300001</v>
      </c>
      <c r="I31" s="156">
        <f t="shared" si="6"/>
        <v>666813.04584000004</v>
      </c>
      <c r="J31" s="156">
        <f t="shared" si="6"/>
        <v>880670</v>
      </c>
      <c r="K31" s="156">
        <f t="shared" si="6"/>
        <v>747603</v>
      </c>
      <c r="L31" s="156">
        <f t="shared" si="6"/>
        <v>1073088.1594099998</v>
      </c>
      <c r="M31" s="156">
        <f t="shared" si="6"/>
        <v>923536</v>
      </c>
      <c r="N31" s="156">
        <f t="shared" si="6"/>
        <v>1290025</v>
      </c>
      <c r="O31" s="156">
        <f t="shared" si="6"/>
        <v>1270000</v>
      </c>
      <c r="P31" s="156">
        <f t="shared" si="6"/>
        <v>1302000</v>
      </c>
      <c r="Q31" s="156">
        <f t="shared" si="6"/>
        <v>1315221</v>
      </c>
      <c r="R31" s="156">
        <f t="shared" si="6"/>
        <v>1074318.46003</v>
      </c>
      <c r="S31" s="156">
        <f t="shared" si="6"/>
        <v>1087497.70909</v>
      </c>
      <c r="T31" s="156">
        <f t="shared" si="6"/>
        <v>1108165.4546999999</v>
      </c>
      <c r="U31" s="156">
        <f t="shared" si="6"/>
        <v>1118739.3269</v>
      </c>
      <c r="V31" s="156">
        <f t="shared" si="6"/>
        <v>1088843.3269</v>
      </c>
      <c r="W31" s="156">
        <f t="shared" si="6"/>
        <v>1082249.3269</v>
      </c>
      <c r="X31" s="156">
        <f t="shared" si="6"/>
        <v>1106703</v>
      </c>
      <c r="Y31" s="156">
        <f t="shared" si="6"/>
        <v>1102129</v>
      </c>
      <c r="Z31" s="156">
        <f t="shared" si="6"/>
        <v>1106920</v>
      </c>
      <c r="AA31" s="156">
        <f t="shared" si="6"/>
        <v>1103937</v>
      </c>
      <c r="AB31" s="156">
        <f t="shared" si="6"/>
        <v>1148255</v>
      </c>
      <c r="AC31" s="156">
        <f t="shared" si="6"/>
        <v>1143645</v>
      </c>
      <c r="AD31" s="156">
        <f t="shared" si="6"/>
        <v>1091818</v>
      </c>
      <c r="AE31" s="156">
        <f t="shared" si="6"/>
        <v>1109921</v>
      </c>
    </row>
    <row r="33" spans="1:31" ht="15" thickBot="1">
      <c r="A33" s="6" t="s">
        <v>1301</v>
      </c>
      <c r="B33" s="341"/>
      <c r="C33" s="434" t="s">
        <v>55</v>
      </c>
      <c r="D33" s="434" t="s">
        <v>56</v>
      </c>
      <c r="E33" s="434" t="s">
        <v>57</v>
      </c>
      <c r="F33" s="434" t="s">
        <v>58</v>
      </c>
      <c r="G33" s="434" t="s">
        <v>59</v>
      </c>
      <c r="H33" s="434" t="s">
        <v>60</v>
      </c>
      <c r="I33" s="434" t="s">
        <v>61</v>
      </c>
      <c r="J33" s="434" t="s">
        <v>62</v>
      </c>
      <c r="K33" s="434" t="s">
        <v>63</v>
      </c>
      <c r="L33" s="434" t="s">
        <v>64</v>
      </c>
      <c r="M33" s="434" t="s">
        <v>65</v>
      </c>
      <c r="N33" s="434" t="s">
        <v>66</v>
      </c>
      <c r="O33" s="434" t="str">
        <f t="shared" ref="O33:T33" si="7">O7</f>
        <v>1T20</v>
      </c>
      <c r="P33" s="434" t="str">
        <f t="shared" si="7"/>
        <v>2T20</v>
      </c>
      <c r="Q33" s="434" t="str">
        <f t="shared" si="7"/>
        <v>3T20</v>
      </c>
      <c r="R33" s="434" t="str">
        <f t="shared" si="7"/>
        <v>4T20</v>
      </c>
      <c r="S33" s="434" t="str">
        <f t="shared" si="7"/>
        <v>1T21</v>
      </c>
      <c r="T33" s="434" t="str">
        <f t="shared" si="7"/>
        <v>2T21</v>
      </c>
      <c r="U33" s="434" t="s">
        <v>73</v>
      </c>
      <c r="V33" s="434" t="s">
        <v>74</v>
      </c>
      <c r="W33" s="434" t="str">
        <f>W7</f>
        <v>1T22</v>
      </c>
      <c r="X33" s="434" t="s">
        <v>76</v>
      </c>
      <c r="Y33" s="434" t="s">
        <v>77</v>
      </c>
      <c r="Z33" s="434" t="str">
        <f>Z7</f>
        <v>4T22</v>
      </c>
      <c r="AA33" s="434" t="str">
        <f>AA7</f>
        <v>1T23</v>
      </c>
      <c r="AB33" s="434" t="s">
        <v>80</v>
      </c>
      <c r="AC33" s="434" t="s">
        <v>81</v>
      </c>
      <c r="AD33" s="434" t="s">
        <v>82</v>
      </c>
      <c r="AE33" s="434" t="s">
        <v>83</v>
      </c>
    </row>
    <row r="34" spans="1:31" ht="15" thickBot="1">
      <c r="A34" s="155" t="s">
        <v>1051</v>
      </c>
      <c r="B34" s="342"/>
      <c r="C34" s="156">
        <f t="shared" ref="C34:AB34" si="8">SUM(C35:C45)</f>
        <v>53895.29</v>
      </c>
      <c r="D34" s="156">
        <f t="shared" si="8"/>
        <v>53652</v>
      </c>
      <c r="E34" s="156">
        <f t="shared" si="8"/>
        <v>42750.54</v>
      </c>
      <c r="F34" s="156">
        <f t="shared" si="8"/>
        <v>58628.891449999996</v>
      </c>
      <c r="G34" s="156">
        <f t="shared" si="8"/>
        <v>59164.866830000006</v>
      </c>
      <c r="H34" s="156">
        <f t="shared" si="8"/>
        <v>58415.987770000007</v>
      </c>
      <c r="I34" s="156">
        <f t="shared" si="8"/>
        <v>58826.829830000002</v>
      </c>
      <c r="J34" s="156">
        <f t="shared" si="8"/>
        <v>34594</v>
      </c>
      <c r="K34" s="156">
        <f t="shared" si="8"/>
        <v>57462</v>
      </c>
      <c r="L34" s="156">
        <f t="shared" si="8"/>
        <v>43008.251749999996</v>
      </c>
      <c r="M34" s="156">
        <f t="shared" si="8"/>
        <v>47007</v>
      </c>
      <c r="N34" s="156">
        <f t="shared" si="8"/>
        <v>89659</v>
      </c>
      <c r="O34" s="156">
        <f t="shared" si="8"/>
        <v>79000</v>
      </c>
      <c r="P34" s="156">
        <f t="shared" si="8"/>
        <v>94000</v>
      </c>
      <c r="Q34" s="156">
        <f t="shared" si="8"/>
        <v>92500</v>
      </c>
      <c r="R34" s="156">
        <f t="shared" si="8"/>
        <v>59162.379419999997</v>
      </c>
      <c r="S34" s="156">
        <f t="shared" si="8"/>
        <v>55890.406499999997</v>
      </c>
      <c r="T34" s="156">
        <f t="shared" si="8"/>
        <v>103665.12505000002</v>
      </c>
      <c r="U34" s="156">
        <f t="shared" si="8"/>
        <v>98444</v>
      </c>
      <c r="V34" s="156">
        <f t="shared" si="8"/>
        <v>58889</v>
      </c>
      <c r="W34" s="156">
        <f t="shared" si="8"/>
        <v>60745.326999999997</v>
      </c>
      <c r="X34" s="156">
        <f t="shared" si="8"/>
        <v>84933</v>
      </c>
      <c r="Y34" s="156">
        <f t="shared" si="8"/>
        <v>70685</v>
      </c>
      <c r="Z34" s="156">
        <f t="shared" si="8"/>
        <v>123676</v>
      </c>
      <c r="AA34" s="156">
        <f t="shared" si="8"/>
        <v>111976</v>
      </c>
      <c r="AB34" s="156">
        <f t="shared" si="8"/>
        <v>374958</v>
      </c>
      <c r="AC34" s="156">
        <f>SUM(AC35:AC45)</f>
        <v>342548</v>
      </c>
      <c r="AD34" s="156">
        <f>SUM(AD35:AD45)</f>
        <v>339554</v>
      </c>
      <c r="AE34" s="156">
        <f>SUM(AE35:AE45)</f>
        <v>167277</v>
      </c>
    </row>
    <row r="35" spans="1:31">
      <c r="A35" s="160" t="s">
        <v>1102</v>
      </c>
      <c r="B35" s="343"/>
      <c r="C35" s="167">
        <v>1000</v>
      </c>
      <c r="D35" s="167">
        <v>792</v>
      </c>
      <c r="E35" s="167">
        <v>1105</v>
      </c>
      <c r="F35" s="167">
        <v>6561.8914500000001</v>
      </c>
      <c r="G35" s="167">
        <v>4404</v>
      </c>
      <c r="H35" s="167">
        <v>3463.9611299999997</v>
      </c>
      <c r="I35" s="167">
        <v>3896</v>
      </c>
      <c r="J35" s="167">
        <v>4410</v>
      </c>
      <c r="K35" s="167">
        <v>22621</v>
      </c>
      <c r="L35" s="167">
        <v>21737.251749999999</v>
      </c>
      <c r="M35" s="167">
        <v>22586</v>
      </c>
      <c r="N35" s="167">
        <v>27745</v>
      </c>
      <c r="O35" s="167">
        <v>27000</v>
      </c>
      <c r="P35" s="167">
        <v>31000</v>
      </c>
      <c r="Q35" s="167">
        <v>34326</v>
      </c>
      <c r="R35" s="167">
        <v>32483.488209999996</v>
      </c>
      <c r="S35" s="167">
        <v>30302.26802</v>
      </c>
      <c r="T35" s="167">
        <v>27897.092470000003</v>
      </c>
      <c r="U35" s="167">
        <v>28856</v>
      </c>
      <c r="V35" s="167">
        <v>30420</v>
      </c>
      <c r="W35" s="167">
        <v>29001</v>
      </c>
      <c r="X35" s="167">
        <v>28831</v>
      </c>
      <c r="Y35" s="167">
        <v>28932</v>
      </c>
      <c r="Z35" s="167">
        <v>30329</v>
      </c>
      <c r="AA35" s="167">
        <v>28778</v>
      </c>
      <c r="AB35" s="167">
        <v>28913</v>
      </c>
      <c r="AC35" s="167">
        <v>5997</v>
      </c>
      <c r="AD35" s="167">
        <v>2194</v>
      </c>
      <c r="AE35" s="167">
        <v>4217</v>
      </c>
    </row>
    <row r="36" spans="1:31">
      <c r="A36" s="160" t="s">
        <v>1104</v>
      </c>
      <c r="B36" s="343"/>
      <c r="C36" s="167">
        <v>786</v>
      </c>
      <c r="D36" s="167">
        <v>858</v>
      </c>
      <c r="E36" s="167">
        <v>875.49</v>
      </c>
      <c r="F36" s="167">
        <v>1013</v>
      </c>
      <c r="G36" s="167">
        <v>677</v>
      </c>
      <c r="H36" s="167">
        <v>767.91060000000004</v>
      </c>
      <c r="I36" s="167">
        <v>865</v>
      </c>
      <c r="J36" s="167"/>
      <c r="K36" s="167">
        <v>741</v>
      </c>
      <c r="L36" s="167">
        <v>1028</v>
      </c>
      <c r="M36" s="167">
        <v>887</v>
      </c>
      <c r="N36" s="167">
        <v>1129</v>
      </c>
      <c r="O36" s="167">
        <v>1000</v>
      </c>
      <c r="P36" s="167">
        <v>1000</v>
      </c>
      <c r="Q36" s="167">
        <v>1000</v>
      </c>
      <c r="R36" s="167">
        <v>807.01054999999997</v>
      </c>
      <c r="S36" s="167">
        <v>838.14433999999994</v>
      </c>
      <c r="T36" s="167">
        <v>775.23567000000025</v>
      </c>
      <c r="U36" s="167">
        <v>1018.9999999999999</v>
      </c>
      <c r="V36" s="167">
        <v>983</v>
      </c>
      <c r="W36" s="167">
        <v>383</v>
      </c>
      <c r="X36" s="167">
        <v>1085</v>
      </c>
      <c r="Y36" s="167">
        <v>564</v>
      </c>
      <c r="Z36" s="167">
        <v>354</v>
      </c>
      <c r="AA36" s="167">
        <v>422</v>
      </c>
      <c r="AB36" s="167">
        <v>384</v>
      </c>
      <c r="AC36" s="167">
        <v>571</v>
      </c>
      <c r="AD36" s="167">
        <v>530</v>
      </c>
      <c r="AE36" s="167">
        <v>621</v>
      </c>
    </row>
    <row r="37" spans="1:31">
      <c r="A37" s="151" t="s">
        <v>1303</v>
      </c>
      <c r="B37" s="343"/>
      <c r="C37" s="167">
        <v>425</v>
      </c>
      <c r="D37" s="167">
        <v>346</v>
      </c>
      <c r="E37" s="167">
        <v>344.65</v>
      </c>
      <c r="F37" s="167">
        <v>339</v>
      </c>
      <c r="G37" s="167">
        <v>309.36333000000002</v>
      </c>
      <c r="H37" s="167">
        <v>262.28621000000004</v>
      </c>
      <c r="I37" s="167">
        <v>203</v>
      </c>
      <c r="J37" s="167"/>
      <c r="K37" s="167">
        <v>5520</v>
      </c>
      <c r="L37" s="167">
        <v>0</v>
      </c>
      <c r="M37" s="167"/>
      <c r="N37" s="167">
        <v>0</v>
      </c>
      <c r="O37" s="167"/>
      <c r="P37" s="167"/>
      <c r="Q37" s="167"/>
      <c r="R37" s="167"/>
      <c r="S37" s="167">
        <v>0</v>
      </c>
      <c r="T37" s="167"/>
      <c r="U37" s="167"/>
      <c r="V37" s="167"/>
      <c r="W37" s="167"/>
      <c r="X37" s="167">
        <v>0</v>
      </c>
      <c r="Y37" s="167"/>
      <c r="Z37" s="167"/>
      <c r="AA37" s="167"/>
      <c r="AB37" s="167"/>
      <c r="AC37" s="167"/>
      <c r="AD37" s="167"/>
      <c r="AE37" s="167"/>
    </row>
    <row r="38" spans="1:31">
      <c r="A38" s="160" t="s">
        <v>1329</v>
      </c>
      <c r="B38" s="343"/>
      <c r="C38" s="167">
        <v>4970</v>
      </c>
      <c r="D38" s="167">
        <v>5180</v>
      </c>
      <c r="E38" s="167">
        <v>5234</v>
      </c>
      <c r="F38" s="167">
        <v>4074</v>
      </c>
      <c r="G38" s="167">
        <v>4287</v>
      </c>
      <c r="H38" s="167">
        <v>4490</v>
      </c>
      <c r="I38" s="167">
        <v>5017</v>
      </c>
      <c r="J38" s="167">
        <v>3930</v>
      </c>
      <c r="K38" s="167">
        <v>4151</v>
      </c>
      <c r="L38" s="167">
        <v>4991</v>
      </c>
      <c r="M38" s="167">
        <v>5081</v>
      </c>
      <c r="N38" s="167">
        <v>4875</v>
      </c>
      <c r="O38" s="167">
        <v>5000</v>
      </c>
      <c r="P38" s="167">
        <v>5000</v>
      </c>
      <c r="Q38" s="167">
        <v>5487</v>
      </c>
      <c r="R38" s="167">
        <v>6159.9846399999997</v>
      </c>
      <c r="S38" s="167">
        <v>6340.6824900000001</v>
      </c>
      <c r="T38" s="167">
        <v>6534.6705300000003</v>
      </c>
      <c r="U38" s="167">
        <v>6756</v>
      </c>
      <c r="V38" s="167">
        <v>7046</v>
      </c>
      <c r="W38" s="167">
        <v>7384</v>
      </c>
      <c r="X38" s="167">
        <v>7317</v>
      </c>
      <c r="Y38" s="167">
        <v>8215</v>
      </c>
      <c r="Z38" s="167">
        <v>8165</v>
      </c>
      <c r="AA38" s="167">
        <v>9024</v>
      </c>
      <c r="AB38" s="167">
        <v>9467</v>
      </c>
      <c r="AC38" s="167">
        <v>9803</v>
      </c>
      <c r="AD38" s="167">
        <v>10197</v>
      </c>
      <c r="AE38" s="167">
        <v>8722</v>
      </c>
    </row>
    <row r="39" spans="1:31">
      <c r="A39" s="151" t="s">
        <v>1105</v>
      </c>
      <c r="B39" s="343"/>
      <c r="C39" s="167">
        <v>31257</v>
      </c>
      <c r="D39" s="167">
        <v>31332</v>
      </c>
      <c r="E39" s="167">
        <v>31407.4</v>
      </c>
      <c r="F39" s="167">
        <v>31483</v>
      </c>
      <c r="G39" s="167">
        <v>31538.9935</v>
      </c>
      <c r="H39" s="167">
        <v>31584</v>
      </c>
      <c r="I39" s="167">
        <v>31627</v>
      </c>
      <c r="J39" s="167">
        <v>2124</v>
      </c>
      <c r="K39" s="167"/>
      <c r="L39" s="167">
        <v>7064</v>
      </c>
      <c r="M39" s="167">
        <v>4283</v>
      </c>
      <c r="N39" s="167"/>
      <c r="O39" s="167"/>
      <c r="P39" s="167"/>
      <c r="Q39" s="167"/>
      <c r="R39" s="167"/>
      <c r="S39" s="167">
        <v>0</v>
      </c>
      <c r="T39" s="167"/>
      <c r="U39" s="167">
        <v>0</v>
      </c>
      <c r="V39" s="167"/>
      <c r="W39" s="167">
        <v>0</v>
      </c>
      <c r="X39" s="167">
        <v>0</v>
      </c>
      <c r="Y39" s="167"/>
      <c r="Z39" s="167"/>
      <c r="AA39" s="167"/>
      <c r="AB39" s="167"/>
      <c r="AC39" s="167"/>
      <c r="AD39" s="167"/>
      <c r="AE39" s="167"/>
    </row>
    <row r="40" spans="1:31">
      <c r="A40" s="163" t="s">
        <v>1107</v>
      </c>
      <c r="B40" s="343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>
        <v>6070</v>
      </c>
      <c r="O40" s="167">
        <v>2000</v>
      </c>
      <c r="P40" s="167">
        <v>7000</v>
      </c>
      <c r="Q40" s="167">
        <v>4743</v>
      </c>
      <c r="R40" s="167">
        <v>2907.4266699999998</v>
      </c>
      <c r="S40" s="167">
        <v>2035.0869999999998</v>
      </c>
      <c r="T40" s="167">
        <v>7316.7444100000002</v>
      </c>
      <c r="U40" s="167">
        <v>5359</v>
      </c>
      <c r="V40" s="167">
        <v>8906</v>
      </c>
      <c r="W40" s="167">
        <v>2627</v>
      </c>
      <c r="X40" s="167">
        <v>17120</v>
      </c>
      <c r="Y40" s="167">
        <v>5982</v>
      </c>
      <c r="Z40" s="167">
        <v>56998</v>
      </c>
      <c r="AA40" s="167">
        <v>45990</v>
      </c>
      <c r="AB40" s="167">
        <v>312003</v>
      </c>
      <c r="AC40" s="167">
        <v>299802</v>
      </c>
      <c r="AD40" s="167">
        <v>306744</v>
      </c>
      <c r="AE40" s="167">
        <v>135710</v>
      </c>
    </row>
    <row r="41" spans="1:31">
      <c r="A41" s="151" t="s">
        <v>1111</v>
      </c>
      <c r="B41" s="343"/>
      <c r="C41" s="167">
        <v>1755.4799999999996</v>
      </c>
      <c r="D41" s="167">
        <v>1495</v>
      </c>
      <c r="E41" s="167">
        <v>1353</v>
      </c>
      <c r="F41" s="167">
        <v>1456</v>
      </c>
      <c r="G41" s="167">
        <v>1415.51</v>
      </c>
      <c r="H41" s="167">
        <v>1537</v>
      </c>
      <c r="I41" s="167">
        <v>1305</v>
      </c>
      <c r="J41" s="167">
        <v>2056</v>
      </c>
      <c r="K41" s="167">
        <v>2584</v>
      </c>
      <c r="L41" s="167">
        <v>2600</v>
      </c>
      <c r="M41" s="167">
        <v>4282</v>
      </c>
      <c r="N41" s="167">
        <v>1898</v>
      </c>
      <c r="O41" s="167">
        <v>2000</v>
      </c>
      <c r="P41" s="167">
        <v>9000</v>
      </c>
      <c r="Q41" s="167">
        <v>5363</v>
      </c>
      <c r="R41" s="167">
        <v>3964.5646900000006</v>
      </c>
      <c r="S41" s="167">
        <v>2391.6796500000005</v>
      </c>
      <c r="T41" s="167">
        <v>2309.8952499999996</v>
      </c>
      <c r="U41" s="167">
        <v>1772</v>
      </c>
      <c r="V41" s="167">
        <v>1694</v>
      </c>
      <c r="W41" s="167">
        <v>2341</v>
      </c>
      <c r="X41" s="167">
        <v>1476</v>
      </c>
      <c r="Y41" s="167">
        <v>1681</v>
      </c>
      <c r="Z41" s="167">
        <v>2288</v>
      </c>
      <c r="AA41" s="167">
        <v>2306</v>
      </c>
      <c r="AB41" s="167">
        <v>2421</v>
      </c>
      <c r="AC41" s="167">
        <v>1996</v>
      </c>
      <c r="AD41" s="167">
        <v>1787</v>
      </c>
      <c r="AE41" s="167">
        <v>2178</v>
      </c>
    </row>
    <row r="42" spans="1:31">
      <c r="A42" s="151" t="s">
        <v>1330</v>
      </c>
      <c r="B42" s="343"/>
      <c r="C42" s="167">
        <v>2946.3</v>
      </c>
      <c r="D42" s="167">
        <v>2892</v>
      </c>
      <c r="E42" s="167">
        <v>2273</v>
      </c>
      <c r="F42" s="167">
        <v>2738</v>
      </c>
      <c r="G42" s="167">
        <v>5031</v>
      </c>
      <c r="H42" s="167">
        <v>4796</v>
      </c>
      <c r="I42" s="167">
        <v>4389</v>
      </c>
      <c r="J42" s="167">
        <v>4351</v>
      </c>
      <c r="K42" s="167">
        <v>4754</v>
      </c>
      <c r="L42" s="167">
        <v>5504</v>
      </c>
      <c r="M42" s="167">
        <v>9529</v>
      </c>
      <c r="N42" s="167">
        <v>13834</v>
      </c>
      <c r="O42" s="167">
        <v>8000</v>
      </c>
      <c r="P42" s="167">
        <v>7000</v>
      </c>
      <c r="Q42" s="167">
        <v>7581</v>
      </c>
      <c r="R42" s="167">
        <v>9839.9046600000001</v>
      </c>
      <c r="S42" s="167">
        <v>11359.752549999999</v>
      </c>
      <c r="T42" s="167">
        <v>12108.838870000001</v>
      </c>
      <c r="U42" s="167">
        <v>8274</v>
      </c>
      <c r="V42" s="167">
        <v>8346</v>
      </c>
      <c r="W42" s="167">
        <v>8064</v>
      </c>
      <c r="X42" s="167">
        <v>18387</v>
      </c>
      <c r="Y42" s="167">
        <v>6398</v>
      </c>
      <c r="Z42" s="167">
        <v>7430</v>
      </c>
      <c r="AA42" s="167">
        <v>7651</v>
      </c>
      <c r="AB42" s="167">
        <v>3810</v>
      </c>
      <c r="AC42" s="167">
        <v>5711</v>
      </c>
      <c r="AD42" s="167">
        <v>2958</v>
      </c>
      <c r="AE42" s="167">
        <v>2959</v>
      </c>
    </row>
    <row r="43" spans="1:31">
      <c r="A43" s="151" t="s">
        <v>1331</v>
      </c>
      <c r="B43" s="343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>
        <v>8630</v>
      </c>
      <c r="AB43" s="167">
        <v>8650</v>
      </c>
      <c r="AC43" s="167">
        <v>9326</v>
      </c>
      <c r="AD43" s="167">
        <v>9559</v>
      </c>
      <c r="AE43" s="167">
        <v>9734</v>
      </c>
    </row>
    <row r="44" spans="1:31">
      <c r="A44" s="151" t="s">
        <v>1225</v>
      </c>
      <c r="B44" s="343"/>
      <c r="C44" s="167">
        <v>10604</v>
      </c>
      <c r="D44" s="167">
        <v>10603</v>
      </c>
      <c r="E44" s="167">
        <v>0</v>
      </c>
      <c r="F44" s="167">
        <v>10885</v>
      </c>
      <c r="G44" s="167">
        <v>10885</v>
      </c>
      <c r="H44" s="167">
        <v>10885.829830000001</v>
      </c>
      <c r="I44" s="167">
        <v>10885.829830000001</v>
      </c>
      <c r="J44" s="167">
        <v>16062</v>
      </c>
      <c r="K44" s="167">
        <v>16062</v>
      </c>
      <c r="L44" s="167">
        <v>0</v>
      </c>
      <c r="M44" s="167">
        <v>272</v>
      </c>
      <c r="N44" s="167">
        <v>33021</v>
      </c>
      <c r="O44" s="167">
        <v>33000</v>
      </c>
      <c r="P44" s="167">
        <v>33000</v>
      </c>
      <c r="Q44" s="167">
        <v>33000</v>
      </c>
      <c r="R44" s="167"/>
      <c r="S44" s="167">
        <v>1160.6124300000001</v>
      </c>
      <c r="T44" s="167">
        <v>45330.449700000005</v>
      </c>
      <c r="U44" s="167">
        <v>45330</v>
      </c>
      <c r="V44" s="167"/>
      <c r="W44" s="167">
        <v>8773</v>
      </c>
      <c r="X44" s="167">
        <v>8773</v>
      </c>
      <c r="Y44" s="167">
        <v>8773</v>
      </c>
      <c r="Z44" s="167">
        <v>8474</v>
      </c>
      <c r="AA44" s="167">
        <v>8474</v>
      </c>
      <c r="AB44" s="167">
        <v>8474</v>
      </c>
      <c r="AC44" s="167">
        <v>8474</v>
      </c>
      <c r="AD44" s="167">
        <v>2943</v>
      </c>
      <c r="AE44" s="167">
        <v>2943</v>
      </c>
    </row>
    <row r="45" spans="1:31" ht="15" thickBot="1">
      <c r="A45" s="151" t="s">
        <v>1129</v>
      </c>
      <c r="B45" s="343"/>
      <c r="C45" s="167">
        <v>151.51</v>
      </c>
      <c r="D45" s="167">
        <v>154</v>
      </c>
      <c r="E45" s="167">
        <v>158</v>
      </c>
      <c r="F45" s="167">
        <v>79</v>
      </c>
      <c r="G45" s="167">
        <v>617</v>
      </c>
      <c r="H45" s="167">
        <v>629</v>
      </c>
      <c r="I45" s="167">
        <v>639</v>
      </c>
      <c r="J45" s="167">
        <v>1661</v>
      </c>
      <c r="K45" s="167">
        <v>1029</v>
      </c>
      <c r="L45" s="167">
        <v>84</v>
      </c>
      <c r="M45" s="167">
        <v>87</v>
      </c>
      <c r="N45" s="167">
        <v>1087</v>
      </c>
      <c r="O45" s="167">
        <v>1000</v>
      </c>
      <c r="P45" s="167">
        <v>1000</v>
      </c>
      <c r="Q45" s="167">
        <v>1000</v>
      </c>
      <c r="R45" s="167">
        <v>3000</v>
      </c>
      <c r="S45" s="167">
        <v>1462.18002</v>
      </c>
      <c r="T45" s="167">
        <f>1451.19815-59</f>
        <v>1392.1981499999999</v>
      </c>
      <c r="U45" s="167">
        <v>1078</v>
      </c>
      <c r="V45" s="167">
        <v>1494</v>
      </c>
      <c r="W45" s="167">
        <v>2172.3270000000002</v>
      </c>
      <c r="X45" s="167">
        <v>1944</v>
      </c>
      <c r="Y45" s="167">
        <v>10140</v>
      </c>
      <c r="Z45" s="167">
        <v>9638</v>
      </c>
      <c r="AA45" s="167">
        <v>701</v>
      </c>
      <c r="AB45" s="167">
        <v>836</v>
      </c>
      <c r="AC45" s="167">
        <v>868</v>
      </c>
      <c r="AD45" s="167">
        <v>2642</v>
      </c>
      <c r="AE45" s="167">
        <v>193</v>
      </c>
    </row>
    <row r="46" spans="1:31" ht="15" thickBot="1">
      <c r="A46" s="155" t="s">
        <v>1081</v>
      </c>
      <c r="B46" s="342"/>
      <c r="C46" s="156">
        <f>SUM(C47:C51)</f>
        <v>169262</v>
      </c>
      <c r="D46" s="156">
        <f t="shared" ref="D46:AB46" si="9">SUM(D47:D51)</f>
        <v>161876</v>
      </c>
      <c r="E46" s="156">
        <f t="shared" si="9"/>
        <v>154134.78</v>
      </c>
      <c r="F46" s="156">
        <f t="shared" si="9"/>
        <v>146340.66070000001</v>
      </c>
      <c r="G46" s="156">
        <f t="shared" si="9"/>
        <v>138022.55407000001</v>
      </c>
      <c r="H46" s="156">
        <f t="shared" si="9"/>
        <v>134972</v>
      </c>
      <c r="I46" s="156">
        <f t="shared" si="9"/>
        <v>128044</v>
      </c>
      <c r="J46" s="156">
        <f t="shared" si="9"/>
        <v>321987</v>
      </c>
      <c r="K46" s="156">
        <f t="shared" si="9"/>
        <v>333442</v>
      </c>
      <c r="L46" s="156">
        <f t="shared" si="9"/>
        <v>647871</v>
      </c>
      <c r="M46" s="156">
        <f t="shared" si="9"/>
        <v>639707</v>
      </c>
      <c r="N46" s="156">
        <f t="shared" si="9"/>
        <v>764963</v>
      </c>
      <c r="O46" s="156">
        <f t="shared" si="9"/>
        <v>773000</v>
      </c>
      <c r="P46" s="156">
        <f t="shared" si="9"/>
        <v>768000</v>
      </c>
      <c r="Q46" s="156">
        <f t="shared" si="9"/>
        <v>761368</v>
      </c>
      <c r="R46" s="156">
        <f t="shared" si="9"/>
        <v>770263.35560000001</v>
      </c>
      <c r="S46" s="156">
        <f t="shared" si="9"/>
        <v>774719.95396999991</v>
      </c>
      <c r="T46" s="156">
        <f t="shared" si="9"/>
        <v>778143.96915000002</v>
      </c>
      <c r="U46" s="156">
        <f t="shared" si="9"/>
        <v>781012</v>
      </c>
      <c r="V46" s="156">
        <f t="shared" si="9"/>
        <v>783271</v>
      </c>
      <c r="W46" s="156">
        <f t="shared" si="9"/>
        <v>781072</v>
      </c>
      <c r="X46" s="156">
        <f t="shared" si="9"/>
        <v>773618</v>
      </c>
      <c r="Y46" s="156">
        <f t="shared" si="9"/>
        <v>773939</v>
      </c>
      <c r="Z46" s="156">
        <f t="shared" si="9"/>
        <v>727802</v>
      </c>
      <c r="AA46" s="156">
        <f t="shared" si="9"/>
        <v>727806</v>
      </c>
      <c r="AB46" s="156">
        <f t="shared" si="9"/>
        <v>484476</v>
      </c>
      <c r="AC46" s="156">
        <f>SUM(AC47:AC51)</f>
        <v>490513</v>
      </c>
      <c r="AD46" s="156">
        <f>SUM(AD47:AD51)</f>
        <v>451565</v>
      </c>
      <c r="AE46" s="156">
        <f>SUM(AE47:AE51)</f>
        <v>638743</v>
      </c>
    </row>
    <row r="47" spans="1:31">
      <c r="A47" s="151" t="s">
        <v>1105</v>
      </c>
      <c r="B47" s="343"/>
      <c r="C47" s="167">
        <v>80746</v>
      </c>
      <c r="D47" s="167">
        <v>73108</v>
      </c>
      <c r="E47" s="167">
        <v>65432</v>
      </c>
      <c r="F47" s="167">
        <v>57718.827170000004</v>
      </c>
      <c r="G47" s="167">
        <v>49936.738109999998</v>
      </c>
      <c r="H47" s="167">
        <v>42112</v>
      </c>
      <c r="I47" s="167">
        <v>34263</v>
      </c>
      <c r="J47" s="167"/>
      <c r="K47" s="167"/>
      <c r="L47" s="167"/>
      <c r="M47" s="167"/>
      <c r="N47" s="167"/>
      <c r="O47" s="167"/>
      <c r="P47" s="167"/>
      <c r="Q47" s="167"/>
      <c r="R47" s="167"/>
      <c r="S47" s="167">
        <v>0</v>
      </c>
      <c r="T47" s="167"/>
      <c r="U47" s="167">
        <v>0</v>
      </c>
      <c r="V47" s="167"/>
      <c r="W47" s="167"/>
      <c r="X47" s="167"/>
      <c r="Y47" s="167"/>
      <c r="Z47" s="167"/>
      <c r="AA47" s="167"/>
      <c r="AB47" s="167"/>
      <c r="AC47" s="167"/>
      <c r="AD47" s="167"/>
      <c r="AE47" s="167"/>
    </row>
    <row r="48" spans="1:31">
      <c r="A48" s="151" t="s">
        <v>1107</v>
      </c>
      <c r="J48" s="167">
        <v>199874</v>
      </c>
      <c r="K48" s="167">
        <v>198014</v>
      </c>
      <c r="L48" s="167">
        <v>498118</v>
      </c>
      <c r="M48" s="167">
        <v>498792</v>
      </c>
      <c r="N48" s="167">
        <v>499827</v>
      </c>
      <c r="O48" s="167">
        <v>501000</v>
      </c>
      <c r="P48" s="167">
        <v>501000</v>
      </c>
      <c r="Q48" s="167">
        <v>502170</v>
      </c>
      <c r="R48" s="167">
        <v>505260.24904000002</v>
      </c>
      <c r="S48" s="167">
        <v>508127.21301000001</v>
      </c>
      <c r="T48" s="167">
        <v>510561.82300999999</v>
      </c>
      <c r="U48" s="167">
        <v>513486</v>
      </c>
      <c r="V48" s="167">
        <v>517658</v>
      </c>
      <c r="W48" s="167">
        <v>520632</v>
      </c>
      <c r="X48" s="167">
        <v>524338</v>
      </c>
      <c r="Y48" s="167">
        <v>523536</v>
      </c>
      <c r="Z48" s="167">
        <v>482922</v>
      </c>
      <c r="AA48" s="167">
        <v>485014</v>
      </c>
      <c r="AB48" s="167">
        <v>236244</v>
      </c>
      <c r="AC48" s="167">
        <v>236668</v>
      </c>
      <c r="AD48" s="167">
        <v>193427</v>
      </c>
      <c r="AE48" s="167">
        <v>379522</v>
      </c>
    </row>
    <row r="49" spans="1:31">
      <c r="A49" s="151" t="s">
        <v>1129</v>
      </c>
      <c r="B49" s="343"/>
      <c r="C49" s="167">
        <v>14329</v>
      </c>
      <c r="D49" s="167">
        <v>14194</v>
      </c>
      <c r="E49" s="167">
        <v>14058.78</v>
      </c>
      <c r="F49" s="167">
        <v>13923.981109999999</v>
      </c>
      <c r="G49" s="167">
        <v>13395</v>
      </c>
      <c r="H49" s="167">
        <v>13260</v>
      </c>
      <c r="I49" s="167">
        <v>13125</v>
      </c>
      <c r="J49" s="167">
        <v>12990</v>
      </c>
      <c r="K49" s="167">
        <v>12856</v>
      </c>
      <c r="L49" s="167">
        <v>12721</v>
      </c>
      <c r="M49" s="167">
        <v>12586</v>
      </c>
      <c r="N49" s="167">
        <v>12451</v>
      </c>
      <c r="O49" s="167">
        <v>12000</v>
      </c>
      <c r="P49" s="167">
        <v>12000</v>
      </c>
      <c r="Q49" s="167">
        <v>12000</v>
      </c>
      <c r="R49" s="167">
        <v>11912.039509999999</v>
      </c>
      <c r="S49" s="167">
        <v>11777.23589</v>
      </c>
      <c r="T49" s="167">
        <v>11642.432269999999</v>
      </c>
      <c r="U49" s="167">
        <v>11553</v>
      </c>
      <c r="V49" s="167">
        <v>11553</v>
      </c>
      <c r="W49" s="167">
        <v>0</v>
      </c>
      <c r="X49" s="167">
        <v>11553</v>
      </c>
      <c r="Y49" s="167">
        <v>10968</v>
      </c>
      <c r="Z49" s="167">
        <v>10834</v>
      </c>
      <c r="AA49" s="167">
        <v>10699</v>
      </c>
      <c r="AB49" s="167">
        <v>10564</v>
      </c>
      <c r="AC49" s="167">
        <v>10360</v>
      </c>
      <c r="AD49" s="167">
        <v>10154</v>
      </c>
      <c r="AE49" s="167">
        <v>9947</v>
      </c>
    </row>
    <row r="50" spans="1:31">
      <c r="A50" s="151" t="s">
        <v>1315</v>
      </c>
      <c r="B50" s="343"/>
      <c r="C50" s="167">
        <v>26920</v>
      </c>
      <c r="D50" s="167">
        <v>27926</v>
      </c>
      <c r="E50" s="167">
        <v>28615</v>
      </c>
      <c r="F50" s="167">
        <v>29288.479879999999</v>
      </c>
      <c r="G50" s="167">
        <v>29901.815960000004</v>
      </c>
      <c r="H50" s="167">
        <v>30728</v>
      </c>
      <c r="I50" s="167">
        <v>31298</v>
      </c>
      <c r="J50" s="167">
        <v>54156</v>
      </c>
      <c r="K50" s="167">
        <v>63783</v>
      </c>
      <c r="L50" s="167">
        <v>76151</v>
      </c>
      <c r="M50" s="167">
        <v>67938</v>
      </c>
      <c r="N50" s="167">
        <v>150778</v>
      </c>
      <c r="O50" s="167">
        <v>156000</v>
      </c>
      <c r="P50" s="167">
        <v>148000</v>
      </c>
      <c r="Q50" s="167">
        <v>140198</v>
      </c>
      <c r="R50" s="167">
        <v>146977.98835000003</v>
      </c>
      <c r="S50" s="167">
        <v>147506.79127999998</v>
      </c>
      <c r="T50" s="167">
        <v>147531.41918</v>
      </c>
      <c r="U50" s="167">
        <v>146378</v>
      </c>
      <c r="V50" s="167">
        <v>143841</v>
      </c>
      <c r="W50" s="167">
        <v>138964</v>
      </c>
      <c r="X50" s="167">
        <v>137616</v>
      </c>
      <c r="Y50" s="167">
        <v>135930</v>
      </c>
      <c r="Z50" s="167">
        <v>129665</v>
      </c>
      <c r="AA50" s="167">
        <v>127096</v>
      </c>
      <c r="AB50" s="167">
        <v>130261</v>
      </c>
      <c r="AC50" s="167">
        <v>134678</v>
      </c>
      <c r="AD50" s="167">
        <v>138852</v>
      </c>
      <c r="AE50" s="167">
        <v>140575</v>
      </c>
    </row>
    <row r="51" spans="1:31" ht="15" thickBot="1">
      <c r="A51" s="151" t="s">
        <v>1309</v>
      </c>
      <c r="B51" s="343"/>
      <c r="C51" s="167">
        <v>47267</v>
      </c>
      <c r="D51" s="167">
        <v>46648</v>
      </c>
      <c r="E51" s="167">
        <v>46029</v>
      </c>
      <c r="F51" s="167">
        <v>45409.372539999997</v>
      </c>
      <c r="G51" s="167">
        <v>44789</v>
      </c>
      <c r="H51" s="167">
        <v>48872</v>
      </c>
      <c r="I51" s="167">
        <v>49358</v>
      </c>
      <c r="J51" s="167">
        <v>54967</v>
      </c>
      <c r="K51" s="167">
        <v>58789</v>
      </c>
      <c r="L51" s="167">
        <v>60881</v>
      </c>
      <c r="M51" s="167">
        <v>60391</v>
      </c>
      <c r="N51" s="167">
        <v>101907</v>
      </c>
      <c r="O51" s="167">
        <v>104000</v>
      </c>
      <c r="P51" s="167">
        <v>107000</v>
      </c>
      <c r="Q51" s="167">
        <v>107000</v>
      </c>
      <c r="R51" s="167">
        <v>106113.0787</v>
      </c>
      <c r="S51" s="167">
        <v>107308.71378999998</v>
      </c>
      <c r="T51" s="167">
        <v>108408.29469</v>
      </c>
      <c r="U51" s="167">
        <v>109595</v>
      </c>
      <c r="V51" s="167">
        <v>110219</v>
      </c>
      <c r="W51" s="167">
        <v>121476</v>
      </c>
      <c r="X51" s="167">
        <v>100111</v>
      </c>
      <c r="Y51" s="167">
        <v>103505</v>
      </c>
      <c r="Z51" s="167">
        <v>104381</v>
      </c>
      <c r="AA51" s="167">
        <v>104997</v>
      </c>
      <c r="AB51" s="167">
        <v>107407</v>
      </c>
      <c r="AC51" s="167">
        <v>108807</v>
      </c>
      <c r="AD51" s="167">
        <v>109132</v>
      </c>
      <c r="AE51" s="167">
        <v>108699</v>
      </c>
    </row>
    <row r="52" spans="1:31" ht="15" thickBot="1">
      <c r="A52" s="155" t="s">
        <v>1135</v>
      </c>
      <c r="B52" s="342"/>
      <c r="C52" s="156">
        <f>SUM(C53:C59)</f>
        <v>388035.80000000005</v>
      </c>
      <c r="D52" s="156">
        <f t="shared" ref="D52:Z52" si="10">SUM(D53:D59)</f>
        <v>404822</v>
      </c>
      <c r="E52" s="156">
        <f t="shared" si="10"/>
        <v>416958.04000000004</v>
      </c>
      <c r="F52" s="156">
        <f t="shared" si="10"/>
        <v>419795</v>
      </c>
      <c r="G52" s="156">
        <f t="shared" si="10"/>
        <v>438874.95999999996</v>
      </c>
      <c r="H52" s="156">
        <f t="shared" si="10"/>
        <v>460344.80000000005</v>
      </c>
      <c r="I52" s="156">
        <f t="shared" si="10"/>
        <v>479942</v>
      </c>
      <c r="J52" s="156">
        <f t="shared" si="10"/>
        <v>524089</v>
      </c>
      <c r="K52" s="156">
        <f t="shared" si="10"/>
        <v>356699</v>
      </c>
      <c r="L52" s="156">
        <f t="shared" si="10"/>
        <v>382209</v>
      </c>
      <c r="M52" s="156">
        <f t="shared" si="10"/>
        <v>236822</v>
      </c>
      <c r="N52" s="156">
        <f t="shared" si="10"/>
        <v>435403</v>
      </c>
      <c r="O52" s="156">
        <f t="shared" si="10"/>
        <v>418000</v>
      </c>
      <c r="P52" s="156">
        <f t="shared" si="10"/>
        <v>440000</v>
      </c>
      <c r="Q52" s="156">
        <f t="shared" si="10"/>
        <v>461000</v>
      </c>
      <c r="R52" s="156">
        <f t="shared" si="10"/>
        <v>245068.64631999997</v>
      </c>
      <c r="S52" s="156">
        <f t="shared" si="10"/>
        <v>256887.34862000003</v>
      </c>
      <c r="T52" s="156">
        <f t="shared" si="10"/>
        <v>226415.54696000001</v>
      </c>
      <c r="U52" s="156">
        <f t="shared" si="10"/>
        <v>239621</v>
      </c>
      <c r="V52" s="156">
        <f t="shared" si="10"/>
        <v>246683</v>
      </c>
      <c r="W52" s="156">
        <f t="shared" si="10"/>
        <v>240432</v>
      </c>
      <c r="X52" s="156">
        <f t="shared" si="10"/>
        <v>248152</v>
      </c>
      <c r="Y52" s="156">
        <f t="shared" si="10"/>
        <v>257505</v>
      </c>
      <c r="Z52" s="156">
        <f t="shared" si="10"/>
        <v>255442</v>
      </c>
      <c r="AA52" s="156">
        <f>SUM(AA53:AA59)</f>
        <v>264155</v>
      </c>
      <c r="AB52" s="156">
        <f>SUM(AB53:AB59)</f>
        <v>288821</v>
      </c>
      <c r="AC52" s="156">
        <f>SUM(AC53:AC59)</f>
        <v>310584</v>
      </c>
      <c r="AD52" s="156">
        <f>SUM(AD53:AD59)</f>
        <v>300699</v>
      </c>
      <c r="AE52" s="156">
        <f>SUM(AE53:AE59)</f>
        <v>303901</v>
      </c>
    </row>
    <row r="53" spans="1:31">
      <c r="A53" s="151" t="s">
        <v>1137</v>
      </c>
      <c r="B53" s="343"/>
      <c r="C53" s="167">
        <v>170000</v>
      </c>
      <c r="D53" s="167">
        <v>170000</v>
      </c>
      <c r="E53" s="167">
        <v>170000</v>
      </c>
      <c r="F53" s="167">
        <v>170000</v>
      </c>
      <c r="G53" s="167">
        <v>170000</v>
      </c>
      <c r="H53" s="167">
        <v>188555</v>
      </c>
      <c r="I53" s="167">
        <v>188555</v>
      </c>
      <c r="J53" s="167">
        <v>188556</v>
      </c>
      <c r="K53" s="167">
        <v>188556</v>
      </c>
      <c r="L53" s="167">
        <v>188556</v>
      </c>
      <c r="M53" s="167">
        <v>18556</v>
      </c>
      <c r="N53" s="167">
        <v>18556</v>
      </c>
      <c r="O53" s="167">
        <v>19000</v>
      </c>
      <c r="P53" s="167">
        <v>19000</v>
      </c>
      <c r="Q53" s="167">
        <v>19000</v>
      </c>
      <c r="R53" s="167">
        <v>22755.22248</v>
      </c>
      <c r="S53" s="167">
        <v>22755.22248</v>
      </c>
      <c r="T53" s="167">
        <v>22755.22248</v>
      </c>
      <c r="U53" s="167">
        <v>22756</v>
      </c>
      <c r="V53" s="167">
        <v>20156</v>
      </c>
      <c r="W53" s="167">
        <v>22755</v>
      </c>
      <c r="X53" s="167">
        <v>22756</v>
      </c>
      <c r="Y53" s="167">
        <v>22756</v>
      </c>
      <c r="Z53" s="167">
        <v>22756</v>
      </c>
      <c r="AA53" s="167">
        <v>22756</v>
      </c>
      <c r="AB53" s="167">
        <v>143790</v>
      </c>
      <c r="AC53" s="167">
        <v>143790</v>
      </c>
      <c r="AD53" s="167">
        <v>143790</v>
      </c>
      <c r="AE53" s="167">
        <v>143790</v>
      </c>
    </row>
    <row r="54" spans="1:31">
      <c r="A54" s="151" t="s">
        <v>1180</v>
      </c>
      <c r="B54" s="343"/>
      <c r="C54" s="167">
        <v>47123</v>
      </c>
      <c r="D54" s="167">
        <v>47123</v>
      </c>
      <c r="E54" s="167">
        <v>47122.64</v>
      </c>
      <c r="F54" s="167">
        <v>59054</v>
      </c>
      <c r="G54" s="167">
        <v>59054.49</v>
      </c>
      <c r="H54" s="167">
        <v>59054</v>
      </c>
      <c r="I54" s="167">
        <v>59054</v>
      </c>
      <c r="J54" s="167">
        <v>5563</v>
      </c>
      <c r="K54" s="167">
        <v>75543</v>
      </c>
      <c r="L54" s="167">
        <v>75543</v>
      </c>
      <c r="M54" s="167">
        <v>75543</v>
      </c>
      <c r="N54" s="167"/>
      <c r="O54" s="167">
        <v>97000</v>
      </c>
      <c r="P54" s="167">
        <v>97000</v>
      </c>
      <c r="Q54" s="167">
        <v>97000</v>
      </c>
      <c r="R54" s="167"/>
      <c r="S54" s="167">
        <v>0</v>
      </c>
      <c r="T54" s="167">
        <v>0</v>
      </c>
      <c r="U54" s="167">
        <v>0</v>
      </c>
      <c r="V54" s="167"/>
      <c r="W54" s="167"/>
      <c r="X54" s="167">
        <v>0</v>
      </c>
      <c r="Y54" s="167"/>
      <c r="Z54" s="167"/>
      <c r="AA54" s="167"/>
      <c r="AB54" s="167"/>
      <c r="AC54" s="167"/>
      <c r="AD54" s="167"/>
      <c r="AE54" s="167"/>
    </row>
    <row r="55" spans="1:31">
      <c r="A55" s="151" t="s">
        <v>1181</v>
      </c>
      <c r="B55" s="343"/>
      <c r="C55" s="167">
        <v>15635</v>
      </c>
      <c r="D55" s="167">
        <v>15636</v>
      </c>
      <c r="E55" s="167">
        <v>15635.51</v>
      </c>
      <c r="F55" s="167">
        <v>18555</v>
      </c>
      <c r="G55" s="167">
        <v>18555.490000000002</v>
      </c>
      <c r="H55" s="167">
        <v>0</v>
      </c>
      <c r="I55" s="167">
        <v>0</v>
      </c>
      <c r="J55" s="167">
        <v>0</v>
      </c>
      <c r="K55" s="167">
        <v>5563</v>
      </c>
      <c r="L55" s="167">
        <v>5563</v>
      </c>
      <c r="M55" s="167">
        <v>5563</v>
      </c>
      <c r="N55" s="167">
        <v>319459</v>
      </c>
      <c r="O55" s="167">
        <v>319000</v>
      </c>
      <c r="P55" s="167">
        <v>319000</v>
      </c>
      <c r="Q55" s="167">
        <v>319000</v>
      </c>
      <c r="R55" s="167">
        <v>214000</v>
      </c>
      <c r="S55" s="167">
        <v>220735.82911000002</v>
      </c>
      <c r="T55" s="167">
        <v>176565.99184</v>
      </c>
      <c r="U55" s="167">
        <v>176568</v>
      </c>
      <c r="V55" s="167">
        <v>179168</v>
      </c>
      <c r="W55" s="167">
        <v>215152</v>
      </c>
      <c r="X55" s="167">
        <v>215154</v>
      </c>
      <c r="Y55" s="167">
        <v>215154</v>
      </c>
      <c r="Z55" s="167">
        <v>232686</v>
      </c>
      <c r="AA55" s="167">
        <v>232686</v>
      </c>
      <c r="AB55" s="167">
        <v>111652</v>
      </c>
      <c r="AC55" s="167">
        <v>111651</v>
      </c>
      <c r="AD55" s="167">
        <v>156909</v>
      </c>
      <c r="AE55" s="167">
        <v>156909</v>
      </c>
    </row>
    <row r="56" spans="1:31">
      <c r="A56" s="151" t="s">
        <v>903</v>
      </c>
      <c r="B56" s="343"/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  <c r="Y56" s="167"/>
      <c r="Z56" s="167"/>
      <c r="AA56" s="167"/>
      <c r="AB56" s="167"/>
      <c r="AC56" s="167">
        <v>55143</v>
      </c>
      <c r="AD56" s="167">
        <v>0</v>
      </c>
      <c r="AE56" s="167">
        <v>3202</v>
      </c>
    </row>
    <row r="57" spans="1:31">
      <c r="A57" s="151" t="s">
        <v>1332</v>
      </c>
      <c r="B57" s="343"/>
      <c r="C57" s="167">
        <v>0</v>
      </c>
      <c r="D57" s="167">
        <v>0</v>
      </c>
      <c r="E57" s="167">
        <v>0</v>
      </c>
      <c r="F57" s="167">
        <v>0</v>
      </c>
      <c r="G57" s="167">
        <v>0</v>
      </c>
      <c r="H57" s="167">
        <v>0</v>
      </c>
      <c r="I57" s="167">
        <v>0</v>
      </c>
      <c r="J57" s="167">
        <v>75543</v>
      </c>
      <c r="K57" s="167"/>
      <c r="L57" s="167"/>
      <c r="M57" s="167"/>
      <c r="N57" s="167">
        <v>97388</v>
      </c>
      <c r="O57" s="167"/>
      <c r="P57" s="167"/>
      <c r="Q57" s="167"/>
      <c r="R57" s="167"/>
      <c r="S57" s="167">
        <v>0</v>
      </c>
      <c r="T57" s="167">
        <v>0</v>
      </c>
      <c r="U57" s="167">
        <v>0</v>
      </c>
      <c r="V57" s="167"/>
      <c r="W57" s="167"/>
      <c r="X57" s="167"/>
      <c r="Y57" s="167"/>
      <c r="Z57" s="167"/>
      <c r="AA57" s="167"/>
      <c r="AB57" s="167"/>
      <c r="AC57" s="167"/>
      <c r="AD57" s="167"/>
      <c r="AE57" s="167"/>
    </row>
    <row r="58" spans="1:31">
      <c r="A58" s="151" t="s">
        <v>1333</v>
      </c>
      <c r="B58" s="343"/>
      <c r="C58" s="167">
        <v>139528.4</v>
      </c>
      <c r="D58" s="167">
        <v>139528</v>
      </c>
      <c r="E58" s="167">
        <v>139528</v>
      </c>
      <c r="F58" s="167">
        <v>172186</v>
      </c>
      <c r="G58" s="167">
        <v>172186.49</v>
      </c>
      <c r="H58" s="167">
        <v>172186.4</v>
      </c>
      <c r="I58" s="167">
        <v>172186</v>
      </c>
      <c r="J58" s="167">
        <v>254427</v>
      </c>
      <c r="K58" s="167">
        <v>84426</v>
      </c>
      <c r="L58" s="167">
        <v>51264</v>
      </c>
      <c r="M58" s="167">
        <v>51264</v>
      </c>
      <c r="N58" s="167"/>
      <c r="O58" s="167"/>
      <c r="P58" s="167"/>
      <c r="Q58" s="167"/>
      <c r="R58" s="167"/>
      <c r="S58" s="167"/>
      <c r="T58" s="167">
        <v>27094.332640000011</v>
      </c>
      <c r="U58" s="167">
        <v>40297</v>
      </c>
      <c r="V58" s="167">
        <v>47359</v>
      </c>
      <c r="W58" s="167">
        <v>2525</v>
      </c>
      <c r="X58" s="167">
        <v>0</v>
      </c>
      <c r="Y58" s="167"/>
      <c r="Z58" s="167"/>
    </row>
    <row r="59" spans="1:31" ht="15" thickBot="1">
      <c r="A59" s="151" t="s">
        <v>1145</v>
      </c>
      <c r="B59" s="343"/>
      <c r="C59" s="167">
        <v>15749.4</v>
      </c>
      <c r="D59" s="167">
        <v>32535</v>
      </c>
      <c r="E59" s="167">
        <v>44671.89</v>
      </c>
      <c r="F59" s="167">
        <v>0</v>
      </c>
      <c r="G59" s="167">
        <v>19078.490000000002</v>
      </c>
      <c r="H59" s="167">
        <v>40549.4</v>
      </c>
      <c r="I59" s="167">
        <v>60147</v>
      </c>
      <c r="J59" s="167">
        <v>0</v>
      </c>
      <c r="K59" s="167">
        <v>2611</v>
      </c>
      <c r="L59" s="167">
        <v>61283</v>
      </c>
      <c r="M59" s="167">
        <v>85896</v>
      </c>
      <c r="N59" s="167"/>
      <c r="O59" s="167">
        <v>-17000</v>
      </c>
      <c r="P59" s="167">
        <v>5000</v>
      </c>
      <c r="Q59" s="167">
        <v>26000</v>
      </c>
      <c r="R59" s="167">
        <v>8313.4238399999758</v>
      </c>
      <c r="S59" s="167">
        <v>13396.297030000011</v>
      </c>
      <c r="T59" s="167"/>
      <c r="U59" s="167"/>
      <c r="V59" s="167"/>
      <c r="W59" s="167"/>
      <c r="X59" s="167">
        <v>10242</v>
      </c>
      <c r="Y59" s="167">
        <v>19595</v>
      </c>
      <c r="Z59" s="167"/>
      <c r="AA59" s="167">
        <v>8713</v>
      </c>
      <c r="AB59" s="167">
        <v>33379</v>
      </c>
      <c r="AC59" s="167"/>
      <c r="AD59" s="167"/>
      <c r="AE59" s="167"/>
    </row>
    <row r="60" spans="1:31" ht="15" thickBot="1">
      <c r="A60" s="155" t="s">
        <v>1147</v>
      </c>
      <c r="B60" s="342"/>
      <c r="C60" s="156">
        <f>C52+C46+C34</f>
        <v>611193.09000000008</v>
      </c>
      <c r="D60" s="156">
        <f t="shared" ref="D60:AB60" si="11">D52+D46+D34</f>
        <v>620350</v>
      </c>
      <c r="E60" s="156">
        <f t="shared" si="11"/>
        <v>613843.3600000001</v>
      </c>
      <c r="F60" s="156">
        <f t="shared" si="11"/>
        <v>624764.55215</v>
      </c>
      <c r="G60" s="156">
        <f t="shared" si="11"/>
        <v>636062.38089999999</v>
      </c>
      <c r="H60" s="156">
        <f t="shared" si="11"/>
        <v>653732.78777000005</v>
      </c>
      <c r="I60" s="156">
        <f t="shared" si="11"/>
        <v>666812.82982999994</v>
      </c>
      <c r="J60" s="156">
        <f t="shared" si="11"/>
        <v>880670</v>
      </c>
      <c r="K60" s="156">
        <f t="shared" si="11"/>
        <v>747603</v>
      </c>
      <c r="L60" s="156">
        <f t="shared" si="11"/>
        <v>1073088.2517500001</v>
      </c>
      <c r="M60" s="156">
        <f t="shared" si="11"/>
        <v>923536</v>
      </c>
      <c r="N60" s="156">
        <f t="shared" si="11"/>
        <v>1290025</v>
      </c>
      <c r="O60" s="156">
        <f t="shared" si="11"/>
        <v>1270000</v>
      </c>
      <c r="P60" s="156">
        <f t="shared" si="11"/>
        <v>1302000</v>
      </c>
      <c r="Q60" s="156">
        <f t="shared" si="11"/>
        <v>1314868</v>
      </c>
      <c r="R60" s="156">
        <f t="shared" si="11"/>
        <v>1074494.3813399998</v>
      </c>
      <c r="S60" s="156">
        <f t="shared" si="11"/>
        <v>1087497.70909</v>
      </c>
      <c r="T60" s="156">
        <f t="shared" si="11"/>
        <v>1108224.6411599999</v>
      </c>
      <c r="U60" s="156">
        <f t="shared" si="11"/>
        <v>1119077</v>
      </c>
      <c r="V60" s="156">
        <f t="shared" si="11"/>
        <v>1088843</v>
      </c>
      <c r="W60" s="156">
        <f t="shared" si="11"/>
        <v>1082249.327</v>
      </c>
      <c r="X60" s="156">
        <f t="shared" si="11"/>
        <v>1106703</v>
      </c>
      <c r="Y60" s="156">
        <f t="shared" si="11"/>
        <v>1102129</v>
      </c>
      <c r="Z60" s="156">
        <f t="shared" si="11"/>
        <v>1106920</v>
      </c>
      <c r="AA60" s="156">
        <f t="shared" si="11"/>
        <v>1103937</v>
      </c>
      <c r="AB60" s="156">
        <f t="shared" si="11"/>
        <v>1148255</v>
      </c>
      <c r="AC60" s="156">
        <f>AC52+AC46+AC34</f>
        <v>1143645</v>
      </c>
      <c r="AD60" s="156">
        <f>AD52+AD46+AD34</f>
        <v>1091818</v>
      </c>
      <c r="AE60" s="156">
        <f>AE52+AE46+AE34</f>
        <v>1109921</v>
      </c>
    </row>
    <row r="61" spans="1:31"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66">
        <f>+W60-W31</f>
        <v>1.0000006295740604E-4</v>
      </c>
      <c r="X61" s="166">
        <f t="shared" ref="X61:AD61" si="12">+X60-X31</f>
        <v>0</v>
      </c>
      <c r="Y61" s="166">
        <f t="shared" si="12"/>
        <v>0</v>
      </c>
      <c r="Z61" s="166">
        <f t="shared" si="12"/>
        <v>0</v>
      </c>
      <c r="AA61" s="166">
        <f t="shared" si="12"/>
        <v>0</v>
      </c>
      <c r="AB61" s="166">
        <f t="shared" si="12"/>
        <v>0</v>
      </c>
      <c r="AC61" s="166">
        <f t="shared" si="12"/>
        <v>0</v>
      </c>
      <c r="AD61" s="166">
        <f t="shared" si="12"/>
        <v>0</v>
      </c>
      <c r="AE61" s="166">
        <f>+AE60-AE31</f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theme="9" tint="0.79998168889431442"/>
  </sheetPr>
  <dimension ref="A6:BE94"/>
  <sheetViews>
    <sheetView showGridLines="0" zoomScale="90" zoomScaleNormal="90" workbookViewId="0">
      <pane xSplit="2" ySplit="7" topLeftCell="AM8" activePane="bottomRight" state="frozen"/>
      <selection pane="topRight" activeCell="C1" sqref="C1"/>
      <selection pane="bottomLeft" activeCell="A8" sqref="A8"/>
      <selection pane="bottomRight" activeCell="BH18" sqref="BH18"/>
    </sheetView>
  </sheetViews>
  <sheetFormatPr defaultColWidth="9.21875" defaultRowHeight="14.4" outlineLevelCol="1"/>
  <cols>
    <col min="1" max="1" width="47.5546875" style="35" bestFit="1" customWidth="1"/>
    <col min="2" max="2" width="47.5546875" style="35" customWidth="1"/>
    <col min="3" max="3" width="1" style="35" hidden="1" customWidth="1" outlineLevel="1"/>
    <col min="4" max="38" width="10.88671875" style="35" hidden="1" customWidth="1" outlineLevel="1"/>
    <col min="39" max="39" width="10.88671875" style="35" customWidth="1" collapsed="1"/>
    <col min="40" max="57" width="10.88671875" style="35" customWidth="1"/>
    <col min="58" max="16384" width="9.21875" style="35"/>
  </cols>
  <sheetData>
    <row r="6" spans="1:57">
      <c r="A6" s="38" t="s">
        <v>1334</v>
      </c>
      <c r="B6" s="38" t="s">
        <v>1334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ht="15" thickBot="1">
      <c r="A7" s="6" t="s">
        <v>1049</v>
      </c>
      <c r="B7" s="6" t="s">
        <v>1050</v>
      </c>
      <c r="D7" s="434" t="s">
        <v>39</v>
      </c>
      <c r="E7" s="434" t="s">
        <v>40</v>
      </c>
      <c r="F7" s="434" t="s">
        <v>41</v>
      </c>
      <c r="G7" s="434" t="s">
        <v>42</v>
      </c>
      <c r="H7" s="434" t="s">
        <v>43</v>
      </c>
      <c r="I7" s="434" t="s">
        <v>44</v>
      </c>
      <c r="J7" s="434" t="s">
        <v>45</v>
      </c>
      <c r="K7" s="434" t="s">
        <v>46</v>
      </c>
      <c r="L7" s="434" t="s">
        <v>47</v>
      </c>
      <c r="M7" s="434" t="s">
        <v>48</v>
      </c>
      <c r="N7" s="434" t="s">
        <v>49</v>
      </c>
      <c r="O7" s="434" t="s">
        <v>50</v>
      </c>
      <c r="P7" s="434" t="s">
        <v>51</v>
      </c>
      <c r="Q7" s="434" t="s">
        <v>52</v>
      </c>
      <c r="R7" s="434" t="s">
        <v>53</v>
      </c>
      <c r="S7" s="434" t="s">
        <v>54</v>
      </c>
      <c r="T7" s="434" t="s">
        <v>55</v>
      </c>
      <c r="U7" s="434" t="s">
        <v>56</v>
      </c>
      <c r="V7" s="434" t="s">
        <v>57</v>
      </c>
      <c r="W7" s="434" t="s">
        <v>58</v>
      </c>
      <c r="X7" s="434" t="s">
        <v>59</v>
      </c>
      <c r="Y7" s="434" t="s">
        <v>60</v>
      </c>
      <c r="Z7" s="434" t="s">
        <v>61</v>
      </c>
      <c r="AA7" s="434" t="s">
        <v>62</v>
      </c>
      <c r="AB7" s="434" t="s">
        <v>63</v>
      </c>
      <c r="AC7" s="434" t="s">
        <v>64</v>
      </c>
      <c r="AD7" s="468" t="s">
        <v>65</v>
      </c>
      <c r="AE7" s="468" t="s">
        <v>66</v>
      </c>
      <c r="AF7" s="468" t="s">
        <v>67</v>
      </c>
      <c r="AG7" s="468" t="s">
        <v>68</v>
      </c>
      <c r="AH7" s="468" t="s">
        <v>69</v>
      </c>
      <c r="AI7" s="468" t="s">
        <v>70</v>
      </c>
      <c r="AJ7" s="468" t="s">
        <v>71</v>
      </c>
      <c r="AK7" s="468" t="s">
        <v>72</v>
      </c>
      <c r="AL7" s="468" t="s">
        <v>73</v>
      </c>
      <c r="AM7" s="468" t="s">
        <v>74</v>
      </c>
      <c r="AN7" s="468" t="s">
        <v>75</v>
      </c>
      <c r="AO7" s="468" t="s">
        <v>76</v>
      </c>
      <c r="AP7" s="468" t="s">
        <v>77</v>
      </c>
      <c r="AQ7" s="468" t="s">
        <v>78</v>
      </c>
      <c r="AR7" s="468" t="s">
        <v>79</v>
      </c>
      <c r="AS7" s="468" t="s">
        <v>80</v>
      </c>
      <c r="AT7" s="468" t="s">
        <v>81</v>
      </c>
      <c r="AU7" s="468" t="s">
        <v>82</v>
      </c>
      <c r="AV7" s="468" t="s">
        <v>83</v>
      </c>
      <c r="AW7" s="468" t="s">
        <v>84</v>
      </c>
      <c r="AX7" s="468" t="s">
        <v>85</v>
      </c>
      <c r="AY7" s="468" t="s">
        <v>86</v>
      </c>
      <c r="AZ7" s="468" t="s">
        <v>87</v>
      </c>
      <c r="BA7" s="468" t="s">
        <v>88</v>
      </c>
      <c r="BB7" s="468" t="s">
        <v>2074</v>
      </c>
      <c r="BC7" s="468" t="s">
        <v>2127</v>
      </c>
      <c r="BD7" s="468" t="s">
        <v>2360</v>
      </c>
      <c r="BE7" s="468" t="s">
        <v>2494</v>
      </c>
    </row>
    <row r="8" spans="1:57" ht="15" thickBot="1">
      <c r="A8" s="147" t="s">
        <v>1051</v>
      </c>
      <c r="B8" s="147" t="s">
        <v>1052</v>
      </c>
      <c r="D8" s="149">
        <f t="shared" ref="D8:AE8" si="0">SUM(D9:D24)</f>
        <v>815654</v>
      </c>
      <c r="E8" s="149">
        <f t="shared" si="0"/>
        <v>719860</v>
      </c>
      <c r="F8" s="149">
        <f t="shared" si="0"/>
        <v>674776</v>
      </c>
      <c r="G8" s="149">
        <f t="shared" si="0"/>
        <v>671663</v>
      </c>
      <c r="H8" s="149">
        <f t="shared" si="0"/>
        <v>416216</v>
      </c>
      <c r="I8" s="149">
        <f t="shared" si="0"/>
        <v>316265</v>
      </c>
      <c r="J8" s="149">
        <f t="shared" si="0"/>
        <v>326736</v>
      </c>
      <c r="K8" s="149">
        <f t="shared" si="0"/>
        <v>359605</v>
      </c>
      <c r="L8" s="149">
        <f t="shared" si="0"/>
        <v>362620</v>
      </c>
      <c r="M8" s="149">
        <f t="shared" si="0"/>
        <v>400245</v>
      </c>
      <c r="N8" s="149">
        <f t="shared" si="0"/>
        <v>407105</v>
      </c>
      <c r="O8" s="149">
        <f t="shared" si="0"/>
        <v>336914</v>
      </c>
      <c r="P8" s="149">
        <f t="shared" si="0"/>
        <v>334462</v>
      </c>
      <c r="Q8" s="149">
        <f t="shared" si="0"/>
        <v>411995</v>
      </c>
      <c r="R8" s="149">
        <f t="shared" si="0"/>
        <v>443950</v>
      </c>
      <c r="S8" s="149">
        <f t="shared" si="0"/>
        <v>642356</v>
      </c>
      <c r="T8" s="149">
        <f t="shared" si="0"/>
        <v>661393</v>
      </c>
      <c r="U8" s="149">
        <f t="shared" si="0"/>
        <v>737890</v>
      </c>
      <c r="V8" s="149">
        <f t="shared" si="0"/>
        <v>717768</v>
      </c>
      <c r="W8" s="149">
        <f t="shared" si="0"/>
        <v>1500797</v>
      </c>
      <c r="X8" s="149">
        <f t="shared" si="0"/>
        <v>1331642</v>
      </c>
      <c r="Y8" s="149">
        <f t="shared" si="0"/>
        <v>1354961</v>
      </c>
      <c r="Z8" s="149">
        <f t="shared" si="0"/>
        <v>2116225</v>
      </c>
      <c r="AA8" s="149">
        <f t="shared" si="0"/>
        <v>936489</v>
      </c>
      <c r="AB8" s="149">
        <f t="shared" si="0"/>
        <v>483726</v>
      </c>
      <c r="AC8" s="149">
        <f t="shared" si="0"/>
        <v>503629</v>
      </c>
      <c r="AD8" s="149">
        <f t="shared" si="0"/>
        <v>321528</v>
      </c>
      <c r="AE8" s="149">
        <f t="shared" si="0"/>
        <v>1513114</v>
      </c>
      <c r="AF8" s="149">
        <v>795031</v>
      </c>
      <c r="AG8" s="149">
        <v>885347</v>
      </c>
      <c r="AH8" s="149">
        <f>SUM(AH9:AH24)</f>
        <v>189328</v>
      </c>
      <c r="AI8" s="149">
        <f>SUM(AI9:AI24)</f>
        <v>996270</v>
      </c>
      <c r="AJ8" s="149">
        <f>SUM(AJ9:AJ24)</f>
        <v>362636</v>
      </c>
      <c r="AK8" s="149">
        <f>SUM(AK9:AK24)</f>
        <v>1542400</v>
      </c>
      <c r="AL8" s="149">
        <v>1813759</v>
      </c>
      <c r="AM8" s="149">
        <f>SUM(AM9:AM24)</f>
        <v>3647515</v>
      </c>
      <c r="AN8" s="149">
        <f>SUM(AN9:AN24)</f>
        <v>1205573</v>
      </c>
      <c r="AO8" s="149">
        <f>SUM(AO9:AO24)</f>
        <v>1284096</v>
      </c>
      <c r="AP8" s="149">
        <f>SUM(AP9:AP24)</f>
        <v>1163874</v>
      </c>
      <c r="AQ8" s="149">
        <f>SUM(AQ9:AQ26)</f>
        <v>1293371</v>
      </c>
      <c r="AR8" s="149">
        <f>SUM(AR9:AR26)</f>
        <v>1290496</v>
      </c>
      <c r="AS8" s="149">
        <f>SUM(AS9:AS26)</f>
        <v>2783259</v>
      </c>
      <c r="AT8" s="149">
        <f>SUM(AT9:AT26)</f>
        <v>2424084</v>
      </c>
      <c r="AU8" s="149">
        <f t="shared" ref="AU8:BE8" si="1">SUM(AU9:AU27)</f>
        <v>3891332</v>
      </c>
      <c r="AV8" s="149">
        <f t="shared" si="1"/>
        <v>1986256</v>
      </c>
      <c r="AW8" s="149">
        <f t="shared" si="1"/>
        <v>1889449</v>
      </c>
      <c r="AX8" s="149">
        <f t="shared" si="1"/>
        <v>2330772</v>
      </c>
      <c r="AY8" s="149">
        <f t="shared" si="1"/>
        <v>1706706</v>
      </c>
      <c r="AZ8" s="149">
        <f t="shared" si="1"/>
        <v>1621772</v>
      </c>
      <c r="BA8" s="149">
        <f t="shared" si="1"/>
        <v>1967702</v>
      </c>
      <c r="BB8" s="149">
        <f t="shared" si="1"/>
        <v>1864394</v>
      </c>
      <c r="BC8" s="149">
        <f t="shared" si="1"/>
        <v>2520069</v>
      </c>
      <c r="BD8" s="149">
        <f t="shared" si="1"/>
        <v>1664034</v>
      </c>
      <c r="BE8" s="149">
        <f t="shared" si="1"/>
        <v>1438598</v>
      </c>
    </row>
    <row r="9" spans="1:57">
      <c r="A9" s="151" t="s">
        <v>1053</v>
      </c>
      <c r="B9" s="151" t="s">
        <v>1054</v>
      </c>
      <c r="D9" s="167">
        <v>2</v>
      </c>
      <c r="E9" s="167">
        <v>20450</v>
      </c>
      <c r="F9" s="167">
        <v>21123</v>
      </c>
      <c r="G9" s="167">
        <v>21403</v>
      </c>
      <c r="H9" s="167">
        <v>21453</v>
      </c>
      <c r="I9" s="167">
        <v>22010</v>
      </c>
      <c r="J9" s="167">
        <v>22835</v>
      </c>
      <c r="K9" s="167">
        <v>23226</v>
      </c>
      <c r="L9" s="167">
        <v>314</v>
      </c>
      <c r="M9" s="167">
        <v>8417</v>
      </c>
      <c r="N9" s="167">
        <v>8710</v>
      </c>
      <c r="O9" s="167">
        <v>9035</v>
      </c>
      <c r="P9" s="167">
        <v>9226</v>
      </c>
      <c r="Q9" s="167">
        <v>9496</v>
      </c>
      <c r="R9" s="167">
        <v>9833</v>
      </c>
      <c r="S9" s="167">
        <v>137661</v>
      </c>
      <c r="T9" s="167">
        <v>148117</v>
      </c>
      <c r="U9" s="167">
        <v>140560</v>
      </c>
      <c r="V9" s="167">
        <v>169108</v>
      </c>
      <c r="W9" s="167">
        <v>1247838</v>
      </c>
      <c r="X9" s="167">
        <v>1090368</v>
      </c>
      <c r="Y9" s="167">
        <v>1005818</v>
      </c>
      <c r="Z9" s="167">
        <v>1764814</v>
      </c>
      <c r="AA9" s="167">
        <v>718146</v>
      </c>
      <c r="AB9" s="167">
        <v>235797</v>
      </c>
      <c r="AC9" s="167">
        <v>434204</v>
      </c>
      <c r="AD9" s="168">
        <v>264746</v>
      </c>
      <c r="AE9" s="168">
        <v>536313</v>
      </c>
      <c r="AF9" s="168">
        <v>446457</v>
      </c>
      <c r="AG9" s="168">
        <v>133811</v>
      </c>
      <c r="AH9" s="168">
        <v>39586</v>
      </c>
      <c r="AI9" s="168">
        <v>165569</v>
      </c>
      <c r="AJ9" s="168">
        <v>34152</v>
      </c>
      <c r="AK9" s="169">
        <v>936058</v>
      </c>
      <c r="AL9" s="169">
        <v>1100541</v>
      </c>
      <c r="AM9" s="169">
        <v>541415</v>
      </c>
      <c r="AN9" s="169">
        <v>1796</v>
      </c>
      <c r="AO9" s="169">
        <v>599712</v>
      </c>
      <c r="AP9" s="169">
        <v>496124</v>
      </c>
      <c r="AQ9" s="169">
        <v>460753</v>
      </c>
      <c r="AR9" s="169">
        <v>616</v>
      </c>
      <c r="AS9" s="169">
        <v>1853298</v>
      </c>
      <c r="AT9" s="170">
        <v>1706583</v>
      </c>
      <c r="AU9" s="170">
        <v>1388876</v>
      </c>
      <c r="AV9" s="170">
        <v>884636</v>
      </c>
      <c r="AW9" s="170">
        <v>9312</v>
      </c>
      <c r="AX9" s="170">
        <v>21682</v>
      </c>
      <c r="AY9" s="170">
        <v>7797</v>
      </c>
      <c r="AZ9" s="170">
        <v>57035</v>
      </c>
      <c r="BA9" s="170">
        <v>1461</v>
      </c>
      <c r="BB9" s="170">
        <v>26525</v>
      </c>
      <c r="BC9" s="170">
        <v>608598</v>
      </c>
      <c r="BD9" s="170">
        <v>710420</v>
      </c>
      <c r="BE9" s="170">
        <v>589995</v>
      </c>
    </row>
    <row r="10" spans="1:57">
      <c r="A10" s="151" t="s">
        <v>1184</v>
      </c>
      <c r="B10" s="151" t="s">
        <v>1056</v>
      </c>
      <c r="D10" s="167">
        <v>754617</v>
      </c>
      <c r="E10" s="167">
        <v>640951</v>
      </c>
      <c r="F10" s="167">
        <v>595060</v>
      </c>
      <c r="G10" s="167">
        <v>604457</v>
      </c>
      <c r="H10" s="167">
        <v>359725</v>
      </c>
      <c r="I10" s="167">
        <v>251978</v>
      </c>
      <c r="J10" s="167">
        <v>257904</v>
      </c>
      <c r="K10" s="167">
        <v>267252</v>
      </c>
      <c r="L10" s="167">
        <v>293920</v>
      </c>
      <c r="M10" s="167">
        <v>295062</v>
      </c>
      <c r="N10" s="167">
        <v>321220</v>
      </c>
      <c r="O10" s="167">
        <v>223045</v>
      </c>
      <c r="P10" s="167">
        <v>226554</v>
      </c>
      <c r="Q10" s="167">
        <v>235475</v>
      </c>
      <c r="R10" s="167">
        <v>275810</v>
      </c>
      <c r="S10" s="167">
        <v>350366</v>
      </c>
      <c r="T10" s="167">
        <v>329796</v>
      </c>
      <c r="U10" s="167">
        <v>332423</v>
      </c>
      <c r="V10" s="167">
        <v>286178</v>
      </c>
      <c r="W10" s="167">
        <v>0</v>
      </c>
      <c r="X10" s="167">
        <v>0</v>
      </c>
      <c r="Y10" s="167">
        <v>0</v>
      </c>
      <c r="Z10" s="167">
        <v>0</v>
      </c>
      <c r="AA10" s="167"/>
      <c r="AB10" s="167"/>
      <c r="AC10" s="167"/>
      <c r="AD10" s="168"/>
      <c r="AE10" s="168">
        <v>871556</v>
      </c>
      <c r="AF10" s="168">
        <v>241730</v>
      </c>
      <c r="AG10" s="168">
        <v>676231</v>
      </c>
      <c r="AH10" s="168">
        <v>86037</v>
      </c>
      <c r="AI10" s="168">
        <v>642999</v>
      </c>
      <c r="AJ10" s="168">
        <v>142817</v>
      </c>
      <c r="AK10" s="169">
        <v>289687</v>
      </c>
      <c r="AL10" s="169">
        <v>384392</v>
      </c>
      <c r="AM10" s="169">
        <v>2306880</v>
      </c>
      <c r="AN10" s="169">
        <v>561305</v>
      </c>
      <c r="AO10" s="169">
        <v>321554</v>
      </c>
      <c r="AP10" s="169">
        <v>280373</v>
      </c>
      <c r="AQ10" s="169">
        <v>26578</v>
      </c>
      <c r="AR10" s="169">
        <v>486715</v>
      </c>
      <c r="AS10" s="169">
        <v>184224</v>
      </c>
      <c r="AT10" s="170">
        <v>46400</v>
      </c>
      <c r="AU10" s="170">
        <v>1971502</v>
      </c>
      <c r="AV10" s="170">
        <v>726592</v>
      </c>
      <c r="AW10" s="170">
        <v>1433648</v>
      </c>
      <c r="AX10" s="170">
        <v>446609</v>
      </c>
      <c r="AY10" s="170">
        <v>253576</v>
      </c>
      <c r="AZ10" s="170">
        <v>842710</v>
      </c>
      <c r="BA10" s="170">
        <v>313337</v>
      </c>
      <c r="BB10" s="170">
        <v>271911</v>
      </c>
      <c r="BC10" s="170">
        <v>932901</v>
      </c>
      <c r="BD10" s="170">
        <v>13978</v>
      </c>
      <c r="BE10" s="170">
        <v>18993</v>
      </c>
    </row>
    <row r="11" spans="1:57">
      <c r="A11" s="151" t="s">
        <v>1057</v>
      </c>
      <c r="B11" s="151" t="s">
        <v>1058</v>
      </c>
      <c r="D11" s="167">
        <v>0</v>
      </c>
      <c r="E11" s="167">
        <v>0</v>
      </c>
      <c r="F11" s="167">
        <v>0</v>
      </c>
      <c r="G11" s="167">
        <v>0</v>
      </c>
      <c r="H11" s="167">
        <v>0</v>
      </c>
      <c r="I11" s="167">
        <v>0</v>
      </c>
      <c r="J11" s="167">
        <v>0</v>
      </c>
      <c r="K11" s="167">
        <v>0</v>
      </c>
      <c r="L11" s="167">
        <v>0</v>
      </c>
      <c r="M11" s="167">
        <v>0</v>
      </c>
      <c r="N11" s="167">
        <v>0</v>
      </c>
      <c r="O11" s="167">
        <v>0</v>
      </c>
      <c r="P11" s="167">
        <v>0</v>
      </c>
      <c r="Q11" s="167">
        <v>0</v>
      </c>
      <c r="R11" s="167">
        <v>0</v>
      </c>
      <c r="S11" s="167">
        <v>0</v>
      </c>
      <c r="T11" s="167">
        <v>0</v>
      </c>
      <c r="U11" s="167">
        <v>0</v>
      </c>
      <c r="V11" s="167">
        <v>0</v>
      </c>
      <c r="W11" s="167">
        <v>0</v>
      </c>
      <c r="X11" s="167">
        <v>0</v>
      </c>
      <c r="Y11" s="167">
        <v>0</v>
      </c>
      <c r="Z11" s="167">
        <v>0</v>
      </c>
      <c r="AA11" s="167"/>
      <c r="AB11" s="167"/>
      <c r="AC11" s="167"/>
      <c r="AD11" s="168"/>
      <c r="AE11" s="168"/>
      <c r="AF11" s="168"/>
      <c r="AG11" s="168"/>
      <c r="AH11" s="168"/>
      <c r="AI11" s="168"/>
      <c r="AJ11" s="168"/>
      <c r="AK11" s="169"/>
      <c r="AL11" s="169"/>
      <c r="AM11" s="169"/>
      <c r="AO11" s="169"/>
      <c r="AP11" s="169"/>
      <c r="AQ11" s="169"/>
      <c r="AR11" s="169"/>
      <c r="AS11" s="169"/>
      <c r="AT11" s="170"/>
      <c r="AU11" s="170"/>
      <c r="AV11" s="170"/>
      <c r="AW11" s="170"/>
      <c r="AX11" s="170"/>
      <c r="AY11" s="170"/>
      <c r="AZ11" s="170"/>
      <c r="BA11" s="170"/>
      <c r="BB11" s="170"/>
      <c r="BC11" s="170"/>
      <c r="BD11" s="170"/>
      <c r="BE11" s="170"/>
    </row>
    <row r="12" spans="1:57">
      <c r="A12" s="151" t="s">
        <v>1061</v>
      </c>
      <c r="B12" s="151" t="s">
        <v>1062</v>
      </c>
      <c r="D12" s="167">
        <v>0</v>
      </c>
      <c r="E12" s="167">
        <v>0</v>
      </c>
      <c r="F12" s="167">
        <v>0</v>
      </c>
      <c r="G12" s="167">
        <v>0</v>
      </c>
      <c r="H12" s="167">
        <v>0</v>
      </c>
      <c r="I12" s="167">
        <v>0</v>
      </c>
      <c r="J12" s="167">
        <v>0</v>
      </c>
      <c r="K12" s="167">
        <v>0</v>
      </c>
      <c r="L12" s="167">
        <v>0</v>
      </c>
      <c r="M12" s="167">
        <v>0</v>
      </c>
      <c r="N12" s="167">
        <v>0</v>
      </c>
      <c r="O12" s="167">
        <v>0</v>
      </c>
      <c r="P12" s="167">
        <v>0</v>
      </c>
      <c r="Q12" s="167">
        <v>0</v>
      </c>
      <c r="R12" s="167">
        <v>0</v>
      </c>
      <c r="S12" s="167">
        <v>0</v>
      </c>
      <c r="T12" s="167">
        <v>0</v>
      </c>
      <c r="U12" s="167">
        <v>0</v>
      </c>
      <c r="V12" s="167">
        <v>0</v>
      </c>
      <c r="W12" s="167">
        <v>0</v>
      </c>
      <c r="X12" s="167">
        <v>0</v>
      </c>
      <c r="Y12" s="167">
        <v>0</v>
      </c>
      <c r="Z12" s="167">
        <v>0</v>
      </c>
      <c r="AA12" s="167"/>
      <c r="AB12" s="167"/>
      <c r="AC12" s="167"/>
      <c r="AD12" s="168"/>
      <c r="AE12" s="168"/>
      <c r="AF12" s="168"/>
      <c r="AG12" s="168"/>
      <c r="AH12" s="168"/>
      <c r="AI12" s="168"/>
      <c r="AJ12" s="168"/>
      <c r="AK12" s="169"/>
      <c r="AL12" s="169"/>
      <c r="AM12" s="169"/>
      <c r="AO12" s="169"/>
      <c r="AP12" s="169"/>
      <c r="AQ12" s="169"/>
      <c r="AR12" s="169"/>
      <c r="AS12" s="169"/>
      <c r="AT12" s="170"/>
      <c r="AU12" s="170"/>
      <c r="AV12" s="170"/>
      <c r="AW12" s="170"/>
      <c r="AX12" s="170"/>
      <c r="AY12" s="170"/>
      <c r="AZ12" s="170"/>
      <c r="BA12" s="170"/>
      <c r="BB12" s="170"/>
      <c r="BC12" s="170"/>
      <c r="BD12" s="170"/>
      <c r="BE12" s="170"/>
    </row>
    <row r="13" spans="1:57">
      <c r="A13" s="151" t="s">
        <v>1203</v>
      </c>
      <c r="B13" s="151" t="s">
        <v>1064</v>
      </c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8"/>
      <c r="AE13" s="168"/>
      <c r="AF13" s="168"/>
      <c r="AG13" s="168"/>
      <c r="AH13" s="168"/>
      <c r="AI13" s="168"/>
      <c r="AJ13" s="168"/>
      <c r="AK13" s="169"/>
      <c r="AL13" s="169"/>
      <c r="AM13" s="169"/>
      <c r="AO13" s="169"/>
      <c r="AP13" s="169"/>
      <c r="AQ13" s="169"/>
      <c r="AR13" s="169"/>
      <c r="AS13" s="169"/>
      <c r="AT13" s="170"/>
      <c r="AU13" s="170"/>
      <c r="AV13" s="170"/>
      <c r="AW13" s="170"/>
      <c r="AX13" s="170"/>
      <c r="AY13" s="170"/>
      <c r="AZ13" s="170"/>
      <c r="BA13" s="170"/>
      <c r="BB13" s="170"/>
      <c r="BC13" s="170"/>
      <c r="BD13" s="170"/>
      <c r="BE13" s="170"/>
    </row>
    <row r="14" spans="1:57">
      <c r="A14" s="151" t="s">
        <v>1072</v>
      </c>
      <c r="B14" s="151" t="s">
        <v>1073</v>
      </c>
      <c r="D14" s="167"/>
      <c r="E14" s="167"/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  <c r="AC14" s="167"/>
      <c r="AD14" s="168"/>
      <c r="AE14" s="168"/>
      <c r="AF14" s="168"/>
      <c r="AG14" s="168"/>
      <c r="AH14" s="168"/>
      <c r="AI14" s="168"/>
      <c r="AJ14" s="168"/>
      <c r="AK14" s="169"/>
      <c r="AL14" s="169"/>
      <c r="AM14" s="169"/>
      <c r="AO14" s="169"/>
      <c r="AP14" s="169"/>
      <c r="AQ14" s="169"/>
      <c r="AR14" s="169"/>
      <c r="AS14" s="169"/>
      <c r="AT14" s="170"/>
      <c r="AU14" s="170"/>
      <c r="AV14" s="170"/>
      <c r="AW14" s="170"/>
      <c r="AX14" s="170"/>
      <c r="AY14" s="170"/>
      <c r="AZ14" s="170"/>
      <c r="BA14" s="170"/>
      <c r="BB14" s="170"/>
      <c r="BC14" s="170"/>
      <c r="BD14" s="170"/>
      <c r="BE14" s="170"/>
    </row>
    <row r="15" spans="1:57">
      <c r="A15" s="151" t="s">
        <v>1066</v>
      </c>
      <c r="B15" s="151" t="s">
        <v>1067</v>
      </c>
      <c r="D15" s="167">
        <v>0</v>
      </c>
      <c r="E15" s="167">
        <v>0</v>
      </c>
      <c r="F15" s="167">
        <v>0</v>
      </c>
      <c r="G15" s="167">
        <v>0</v>
      </c>
      <c r="H15" s="167">
        <v>0</v>
      </c>
      <c r="I15" s="167">
        <v>0</v>
      </c>
      <c r="J15" s="167">
        <v>0</v>
      </c>
      <c r="K15" s="167">
        <v>0</v>
      </c>
      <c r="L15" s="167">
        <v>0</v>
      </c>
      <c r="M15" s="167">
        <v>0</v>
      </c>
      <c r="N15" s="167">
        <v>0</v>
      </c>
      <c r="O15" s="167">
        <v>0</v>
      </c>
      <c r="P15" s="167">
        <v>0</v>
      </c>
      <c r="Q15" s="167">
        <v>0</v>
      </c>
      <c r="R15" s="167">
        <v>0</v>
      </c>
      <c r="S15" s="167">
        <v>0</v>
      </c>
      <c r="T15" s="167">
        <v>0</v>
      </c>
      <c r="U15" s="167">
        <v>0</v>
      </c>
      <c r="V15" s="167">
        <v>0</v>
      </c>
      <c r="W15" s="167">
        <v>0</v>
      </c>
      <c r="X15" s="167">
        <v>0</v>
      </c>
      <c r="Y15" s="167">
        <v>0</v>
      </c>
      <c r="Z15" s="167">
        <v>0</v>
      </c>
      <c r="AA15" s="167"/>
      <c r="AB15" s="167"/>
      <c r="AC15" s="167"/>
      <c r="AD15" s="168"/>
      <c r="AE15" s="168"/>
      <c r="AF15" s="168"/>
      <c r="AG15" s="168"/>
      <c r="AH15" s="168"/>
      <c r="AI15" s="168"/>
      <c r="AJ15" s="168"/>
      <c r="AK15" s="169"/>
      <c r="AL15" s="169"/>
      <c r="AM15" s="169"/>
      <c r="AO15" s="169"/>
      <c r="AP15" s="169"/>
      <c r="AQ15" s="169"/>
      <c r="AR15" s="169"/>
      <c r="AS15" s="169"/>
      <c r="AT15" s="170"/>
      <c r="AU15" s="170"/>
      <c r="AV15" s="170"/>
      <c r="AW15" s="170"/>
      <c r="AX15" s="170"/>
      <c r="AY15" s="170"/>
      <c r="AZ15" s="170"/>
      <c r="BA15" s="170"/>
      <c r="BB15" s="170"/>
      <c r="BC15" s="170"/>
      <c r="BD15" s="170"/>
      <c r="BE15" s="170"/>
    </row>
    <row r="16" spans="1:57">
      <c r="A16" s="151" t="s">
        <v>1152</v>
      </c>
      <c r="B16" s="151" t="s">
        <v>1071</v>
      </c>
      <c r="D16" s="171">
        <v>0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  <c r="J16" s="171">
        <v>0</v>
      </c>
      <c r="K16" s="171">
        <v>0</v>
      </c>
      <c r="L16" s="171">
        <v>0</v>
      </c>
      <c r="M16" s="171">
        <v>0</v>
      </c>
      <c r="N16" s="171">
        <v>0</v>
      </c>
      <c r="O16" s="171">
        <v>0</v>
      </c>
      <c r="P16" s="171">
        <v>0</v>
      </c>
      <c r="Q16" s="171">
        <v>0</v>
      </c>
      <c r="R16" s="171">
        <v>0</v>
      </c>
      <c r="S16" s="171">
        <v>0</v>
      </c>
      <c r="T16" s="171">
        <v>0</v>
      </c>
      <c r="U16" s="171">
        <v>0</v>
      </c>
      <c r="V16" s="171">
        <v>0</v>
      </c>
      <c r="W16" s="171">
        <v>0</v>
      </c>
      <c r="X16" s="171">
        <v>0</v>
      </c>
      <c r="Y16" s="171">
        <v>0</v>
      </c>
      <c r="Z16" s="171">
        <v>0</v>
      </c>
      <c r="AA16" s="171"/>
      <c r="AB16" s="171"/>
      <c r="AC16" s="171"/>
      <c r="AD16" s="172"/>
      <c r="AE16" s="172"/>
      <c r="AF16" s="172"/>
      <c r="AG16" s="172"/>
      <c r="AH16" s="172"/>
      <c r="AI16" s="172"/>
      <c r="AJ16" s="172"/>
      <c r="AK16" s="173"/>
      <c r="AL16" s="173"/>
      <c r="AM16" s="173"/>
      <c r="AO16" s="173"/>
      <c r="AP16" s="173"/>
      <c r="AQ16" s="173"/>
      <c r="AR16" s="173"/>
      <c r="AS16" s="173"/>
      <c r="AT16" s="174"/>
      <c r="AU16" s="174"/>
      <c r="AV16" s="174"/>
      <c r="AW16" s="174"/>
      <c r="AX16" s="174"/>
      <c r="AY16" s="174"/>
      <c r="AZ16" s="174"/>
      <c r="BA16" s="174"/>
      <c r="BB16" s="174"/>
      <c r="BC16" s="174"/>
      <c r="BD16" s="174"/>
      <c r="BE16" s="174"/>
    </row>
    <row r="17" spans="1:57">
      <c r="A17" s="151" t="s">
        <v>1068</v>
      </c>
      <c r="B17" s="151" t="s">
        <v>1069</v>
      </c>
      <c r="D17" s="167">
        <v>0</v>
      </c>
      <c r="E17" s="167">
        <v>0</v>
      </c>
      <c r="F17" s="167">
        <v>0</v>
      </c>
      <c r="G17" s="167">
        <v>0</v>
      </c>
      <c r="H17" s="167">
        <v>405</v>
      </c>
      <c r="I17" s="167">
        <v>408</v>
      </c>
      <c r="J17" s="167">
        <v>417</v>
      </c>
      <c r="K17" s="167">
        <v>139</v>
      </c>
      <c r="L17" s="167">
        <v>139</v>
      </c>
      <c r="M17" s="167">
        <v>2204</v>
      </c>
      <c r="N17" s="167">
        <v>4191</v>
      </c>
      <c r="O17" s="167">
        <v>4203</v>
      </c>
      <c r="P17" s="167">
        <v>4392</v>
      </c>
      <c r="Q17" s="167">
        <v>4394</v>
      </c>
      <c r="R17" s="167">
        <v>4436</v>
      </c>
      <c r="S17" s="167">
        <v>4236</v>
      </c>
      <c r="T17" s="167">
        <v>4236</v>
      </c>
      <c r="U17" s="167">
        <v>4238</v>
      </c>
      <c r="V17" s="167">
        <v>4238</v>
      </c>
      <c r="W17" s="167">
        <v>4240</v>
      </c>
      <c r="X17" s="167">
        <v>4240</v>
      </c>
      <c r="Y17" s="167">
        <v>4240</v>
      </c>
      <c r="Z17" s="167">
        <v>4240</v>
      </c>
      <c r="AA17" s="167">
        <v>1921</v>
      </c>
      <c r="AB17" s="167">
        <v>1921</v>
      </c>
      <c r="AC17" s="167">
        <v>1921</v>
      </c>
      <c r="AD17" s="168"/>
      <c r="AE17" s="168"/>
      <c r="AF17" s="168"/>
      <c r="AG17" s="168"/>
      <c r="AH17" s="168"/>
      <c r="AI17" s="168">
        <v>56</v>
      </c>
      <c r="AJ17" s="168">
        <v>111</v>
      </c>
      <c r="AK17" s="169">
        <v>148</v>
      </c>
      <c r="AL17" s="169"/>
      <c r="AM17" s="169">
        <v>283</v>
      </c>
      <c r="AN17" s="169">
        <v>449</v>
      </c>
      <c r="AO17" s="169">
        <v>528</v>
      </c>
      <c r="AP17" s="169">
        <v>687</v>
      </c>
      <c r="AQ17" s="169">
        <v>695</v>
      </c>
      <c r="AR17" s="169">
        <v>695</v>
      </c>
      <c r="AS17" s="169">
        <v>1190</v>
      </c>
      <c r="AT17" s="170">
        <v>1750</v>
      </c>
      <c r="AU17" s="170">
        <v>1705</v>
      </c>
      <c r="AV17" s="170">
        <v>1669</v>
      </c>
      <c r="AW17" s="170">
        <v>2651</v>
      </c>
      <c r="AX17" s="170">
        <v>2502</v>
      </c>
      <c r="AY17" s="170">
        <v>2879</v>
      </c>
      <c r="AZ17" s="170">
        <v>2922</v>
      </c>
      <c r="BA17" s="170">
        <v>2962</v>
      </c>
      <c r="BB17" s="170">
        <v>2926</v>
      </c>
      <c r="BC17" s="170">
        <v>2778</v>
      </c>
      <c r="BD17" s="170">
        <v>2916</v>
      </c>
      <c r="BE17" s="170">
        <v>3117</v>
      </c>
    </row>
    <row r="18" spans="1:57">
      <c r="A18" s="151" t="s">
        <v>1173</v>
      </c>
      <c r="B18" s="151" t="s">
        <v>753</v>
      </c>
      <c r="D18" s="167"/>
      <c r="E18" s="167"/>
      <c r="F18" s="167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8">
        <v>3636</v>
      </c>
      <c r="AE18" s="168"/>
      <c r="AF18" s="168"/>
      <c r="AG18" s="168"/>
      <c r="AH18" s="168"/>
      <c r="AI18" s="168"/>
      <c r="AJ18" s="168"/>
      <c r="AK18" s="169"/>
      <c r="AL18" s="169"/>
      <c r="AM18" s="169"/>
      <c r="AO18" s="169"/>
      <c r="AP18" s="169"/>
      <c r="AQ18" s="169"/>
      <c r="AR18" s="169"/>
      <c r="AS18" s="169"/>
      <c r="AT18" s="170"/>
      <c r="AU18" s="170"/>
      <c r="AV18" s="170"/>
      <c r="AW18" s="170"/>
      <c r="AX18" s="170"/>
      <c r="AY18" s="170"/>
      <c r="AZ18" s="170"/>
      <c r="BA18" s="170"/>
      <c r="BB18" s="170"/>
      <c r="BC18" s="170"/>
      <c r="BD18" s="170"/>
      <c r="BE18" s="170"/>
    </row>
    <row r="19" spans="1:57">
      <c r="A19" s="151" t="s">
        <v>1214</v>
      </c>
      <c r="B19" s="151" t="s">
        <v>1075</v>
      </c>
      <c r="D19" s="167">
        <v>0</v>
      </c>
      <c r="E19" s="167">
        <v>0</v>
      </c>
      <c r="F19" s="167">
        <v>0</v>
      </c>
      <c r="G19" s="167">
        <v>0</v>
      </c>
      <c r="H19" s="167">
        <v>0</v>
      </c>
      <c r="I19" s="167">
        <v>0</v>
      </c>
      <c r="J19" s="167"/>
      <c r="K19" s="167">
        <v>0</v>
      </c>
      <c r="L19" s="167">
        <v>0</v>
      </c>
      <c r="M19" s="167">
        <v>0</v>
      </c>
      <c r="N19" s="167">
        <v>0</v>
      </c>
      <c r="O19" s="167">
        <v>0</v>
      </c>
      <c r="P19" s="167">
        <v>0</v>
      </c>
      <c r="Q19" s="167">
        <v>0</v>
      </c>
      <c r="R19" s="167">
        <v>0</v>
      </c>
      <c r="S19" s="167">
        <v>0</v>
      </c>
      <c r="T19" s="167">
        <v>0</v>
      </c>
      <c r="U19" s="167">
        <v>0</v>
      </c>
      <c r="V19" s="167">
        <v>0</v>
      </c>
      <c r="W19" s="167">
        <v>0</v>
      </c>
      <c r="X19" s="167">
        <v>0</v>
      </c>
      <c r="Y19" s="167">
        <v>0</v>
      </c>
      <c r="Z19" s="167">
        <v>0</v>
      </c>
      <c r="AA19" s="167"/>
      <c r="AB19" s="167"/>
      <c r="AC19" s="167"/>
      <c r="AD19" s="168"/>
      <c r="AE19" s="168"/>
      <c r="AF19" s="168"/>
      <c r="AG19" s="168"/>
      <c r="AH19" s="168"/>
      <c r="AI19" s="168"/>
      <c r="AJ19" s="168"/>
      <c r="AK19" s="169"/>
      <c r="AL19" s="169"/>
      <c r="AM19" s="169"/>
      <c r="AO19" s="169"/>
      <c r="AP19" s="169"/>
      <c r="AQ19" s="169"/>
      <c r="AR19" s="169"/>
      <c r="AS19" s="169"/>
      <c r="AT19" s="170"/>
      <c r="AU19" s="170"/>
      <c r="AV19" s="170"/>
      <c r="AW19" s="170"/>
      <c r="AX19" s="170"/>
      <c r="AY19" s="170"/>
      <c r="AZ19" s="170"/>
      <c r="BA19" s="170"/>
      <c r="BB19" s="170"/>
      <c r="BC19" s="170"/>
      <c r="BD19" s="170"/>
      <c r="BE19" s="170"/>
    </row>
    <row r="20" spans="1:57">
      <c r="A20" s="151" t="s">
        <v>1335</v>
      </c>
      <c r="B20" s="151" t="s">
        <v>1116</v>
      </c>
      <c r="D20" s="167">
        <v>51451</v>
      </c>
      <c r="E20" s="167">
        <v>51445</v>
      </c>
      <c r="F20" s="167">
        <v>50406</v>
      </c>
      <c r="G20" s="167">
        <v>26490</v>
      </c>
      <c r="H20" s="167">
        <v>26490</v>
      </c>
      <c r="I20" s="167">
        <v>26598</v>
      </c>
      <c r="J20" s="167">
        <v>26598</v>
      </c>
      <c r="K20" s="167">
        <v>45559</v>
      </c>
      <c r="L20" s="167">
        <v>45559</v>
      </c>
      <c r="M20" s="167">
        <v>45841</v>
      </c>
      <c r="N20" s="167">
        <v>45841</v>
      </c>
      <c r="O20" s="167">
        <v>68188</v>
      </c>
      <c r="P20" s="167">
        <v>68188</v>
      </c>
      <c r="Q20" s="167">
        <v>135320</v>
      </c>
      <c r="R20" s="167">
        <v>135320</v>
      </c>
      <c r="S20" s="167">
        <v>125469</v>
      </c>
      <c r="T20" s="167">
        <v>125469</v>
      </c>
      <c r="U20" s="167">
        <v>226317</v>
      </c>
      <c r="V20" s="167">
        <v>226317</v>
      </c>
      <c r="W20" s="167">
        <v>208269</v>
      </c>
      <c r="X20" s="167">
        <v>195042</v>
      </c>
      <c r="Y20" s="167">
        <v>306588</v>
      </c>
      <c r="Z20" s="167">
        <v>306588</v>
      </c>
      <c r="AA20" s="167">
        <v>172157</v>
      </c>
      <c r="AB20" s="167">
        <v>200589</v>
      </c>
      <c r="AC20" s="167">
        <v>20739</v>
      </c>
      <c r="AD20" s="168">
        <v>11066</v>
      </c>
      <c r="AE20" s="168">
        <v>98381</v>
      </c>
      <c r="AF20" s="168">
        <v>96097</v>
      </c>
      <c r="AG20" s="168">
        <v>63745</v>
      </c>
      <c r="AH20" s="168">
        <v>51295</v>
      </c>
      <c r="AI20" s="168">
        <v>175277</v>
      </c>
      <c r="AJ20" s="168">
        <v>167172</v>
      </c>
      <c r="AK20" s="169">
        <v>298116</v>
      </c>
      <c r="AL20" s="169">
        <v>298116</v>
      </c>
      <c r="AM20" s="169">
        <v>767997</v>
      </c>
      <c r="AN20" s="169">
        <v>597989</v>
      </c>
      <c r="AO20" s="169">
        <v>312351</v>
      </c>
      <c r="AP20" s="169">
        <v>311700</v>
      </c>
      <c r="AQ20" s="169">
        <v>382410</v>
      </c>
      <c r="AR20" s="169">
        <v>379535</v>
      </c>
      <c r="AS20" s="169">
        <v>468732</v>
      </c>
      <c r="AT20" s="170">
        <v>475672</v>
      </c>
      <c r="AU20" s="170">
        <v>36019</v>
      </c>
      <c r="AV20" s="170">
        <v>144891</v>
      </c>
      <c r="AW20" s="170">
        <v>144891</v>
      </c>
      <c r="AX20" s="170">
        <v>1666755</v>
      </c>
      <c r="AY20" s="170">
        <v>1161256</v>
      </c>
      <c r="AZ20" s="170">
        <v>451256</v>
      </c>
      <c r="BA20" s="170">
        <v>1380181</v>
      </c>
      <c r="BB20" s="170">
        <v>1380181</v>
      </c>
      <c r="BC20" s="170">
        <v>760515</v>
      </c>
      <c r="BD20" s="170">
        <v>754353</v>
      </c>
      <c r="BE20" s="170">
        <v>619940</v>
      </c>
    </row>
    <row r="21" spans="1:57">
      <c r="A21" s="151" t="s">
        <v>1336</v>
      </c>
      <c r="B21" s="151" t="s">
        <v>1337</v>
      </c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  <c r="AC21" s="167"/>
      <c r="AD21" s="168"/>
      <c r="AE21" s="168"/>
      <c r="AF21" s="168"/>
      <c r="AG21" s="168"/>
      <c r="AH21" s="168"/>
      <c r="AI21" s="168"/>
      <c r="AJ21" s="168"/>
      <c r="AK21" s="169"/>
      <c r="AL21" s="169"/>
      <c r="AM21" s="169"/>
      <c r="AN21" s="169"/>
      <c r="AO21" s="169"/>
      <c r="AP21" s="169"/>
      <c r="AQ21" s="169">
        <v>312647</v>
      </c>
      <c r="AR21" s="169">
        <v>312647</v>
      </c>
      <c r="AS21" s="169">
        <v>0</v>
      </c>
      <c r="AT21" s="170">
        <v>0</v>
      </c>
      <c r="AU21" s="170"/>
      <c r="AV21" s="170"/>
      <c r="AW21" s="170"/>
      <c r="AX21" s="170"/>
      <c r="AY21" s="170"/>
      <c r="AZ21" s="170"/>
      <c r="BA21" s="170"/>
      <c r="BB21" s="170"/>
      <c r="BC21" s="170"/>
      <c r="BD21" s="170"/>
      <c r="BE21" s="170"/>
    </row>
    <row r="22" spans="1:57">
      <c r="A22" s="151" t="s">
        <v>1076</v>
      </c>
      <c r="B22" s="151" t="s">
        <v>1077</v>
      </c>
      <c r="D22" s="167">
        <v>0</v>
      </c>
      <c r="E22" s="167">
        <v>0</v>
      </c>
      <c r="F22" s="167">
        <v>0</v>
      </c>
      <c r="G22" s="167">
        <v>0</v>
      </c>
      <c r="H22" s="167">
        <v>0</v>
      </c>
      <c r="I22" s="167">
        <v>13984</v>
      </c>
      <c r="J22" s="167">
        <v>0</v>
      </c>
      <c r="K22" s="167">
        <v>0</v>
      </c>
      <c r="L22" s="167">
        <v>0</v>
      </c>
      <c r="M22" s="167">
        <v>0</v>
      </c>
      <c r="N22" s="167">
        <v>0</v>
      </c>
      <c r="O22" s="167">
        <v>0</v>
      </c>
      <c r="P22" s="167">
        <v>0</v>
      </c>
      <c r="Q22" s="167">
        <v>0</v>
      </c>
      <c r="R22" s="167">
        <v>0</v>
      </c>
      <c r="S22" s="167">
        <v>0</v>
      </c>
      <c r="T22" s="167">
        <v>641</v>
      </c>
      <c r="U22" s="167">
        <v>641</v>
      </c>
      <c r="V22" s="167">
        <v>641</v>
      </c>
      <c r="W22" s="167">
        <v>641</v>
      </c>
      <c r="X22" s="167">
        <v>643</v>
      </c>
      <c r="Y22" s="167">
        <v>644</v>
      </c>
      <c r="Z22" s="167">
        <v>644</v>
      </c>
      <c r="AA22" s="167">
        <v>644</v>
      </c>
      <c r="AB22" s="167">
        <v>859</v>
      </c>
      <c r="AC22" s="167">
        <v>859</v>
      </c>
      <c r="AD22" s="168">
        <v>860</v>
      </c>
      <c r="AE22" s="168">
        <v>862</v>
      </c>
      <c r="AF22" s="168">
        <v>7</v>
      </c>
      <c r="AG22" s="168">
        <v>34</v>
      </c>
      <c r="AH22" s="168">
        <v>34</v>
      </c>
      <c r="AI22" s="168">
        <v>34</v>
      </c>
      <c r="AJ22" s="168">
        <v>34</v>
      </c>
      <c r="AK22" s="169">
        <v>34</v>
      </c>
      <c r="AL22" s="169">
        <v>34</v>
      </c>
      <c r="AM22" s="169">
        <v>35</v>
      </c>
      <c r="AN22" s="169">
        <v>33</v>
      </c>
      <c r="AO22" s="169">
        <v>31</v>
      </c>
      <c r="AP22" s="169">
        <v>34</v>
      </c>
      <c r="AQ22" s="169">
        <v>35</v>
      </c>
      <c r="AR22" s="169">
        <v>35</v>
      </c>
      <c r="AS22" s="169">
        <v>36</v>
      </c>
      <c r="AT22" s="170">
        <v>36</v>
      </c>
      <c r="AU22" s="170">
        <v>8</v>
      </c>
      <c r="AV22" s="170">
        <v>73</v>
      </c>
      <c r="AW22" s="170">
        <v>73</v>
      </c>
      <c r="AX22" s="170">
        <v>8</v>
      </c>
      <c r="AY22" s="170">
        <v>8</v>
      </c>
      <c r="AZ22" s="170">
        <v>8</v>
      </c>
      <c r="BA22" s="170">
        <v>8</v>
      </c>
      <c r="BB22" s="170">
        <v>8</v>
      </c>
      <c r="BC22" s="170">
        <v>8</v>
      </c>
      <c r="BD22" s="170">
        <v>8</v>
      </c>
      <c r="BE22" s="170">
        <v>8</v>
      </c>
    </row>
    <row r="23" spans="1:57">
      <c r="A23" s="151" t="s">
        <v>1078</v>
      </c>
      <c r="B23" s="151" t="s">
        <v>1079</v>
      </c>
      <c r="D23" s="167">
        <v>3749</v>
      </c>
      <c r="E23" s="167">
        <v>6713</v>
      </c>
      <c r="F23" s="167">
        <v>6881</v>
      </c>
      <c r="G23" s="167">
        <v>17988</v>
      </c>
      <c r="H23" s="167">
        <v>6839</v>
      </c>
      <c r="I23" s="167">
        <v>0</v>
      </c>
      <c r="J23" s="167">
        <v>17674</v>
      </c>
      <c r="K23" s="167">
        <v>22147</v>
      </c>
      <c r="L23" s="167">
        <v>21429</v>
      </c>
      <c r="M23" s="167">
        <v>24613</v>
      </c>
      <c r="N23" s="167">
        <v>26052</v>
      </c>
      <c r="O23" s="167">
        <v>31215</v>
      </c>
      <c r="P23" s="167">
        <v>24862</v>
      </c>
      <c r="Q23" s="167">
        <v>26035</v>
      </c>
      <c r="R23" s="167">
        <v>17209</v>
      </c>
      <c r="S23" s="167">
        <v>21959</v>
      </c>
      <c r="T23" s="167">
        <v>25098</v>
      </c>
      <c r="U23" s="167">
        <v>23845</v>
      </c>
      <c r="V23" s="167">
        <v>18588</v>
      </c>
      <c r="W23" s="167">
        <v>29965</v>
      </c>
      <c r="X23" s="167">
        <v>30545</v>
      </c>
      <c r="Y23" s="167">
        <v>32745</v>
      </c>
      <c r="Z23" s="167">
        <v>34494</v>
      </c>
      <c r="AA23" s="167">
        <v>37514</v>
      </c>
      <c r="AB23" s="167">
        <v>38623</v>
      </c>
      <c r="AC23" s="167">
        <v>39383</v>
      </c>
      <c r="AD23" s="168">
        <v>40586</v>
      </c>
      <c r="AE23" s="168">
        <v>1428</v>
      </c>
      <c r="AF23" s="168">
        <v>5141</v>
      </c>
      <c r="AG23" s="168">
        <v>5823</v>
      </c>
      <c r="AH23" s="168">
        <v>5743</v>
      </c>
      <c r="AI23" s="168">
        <v>6264</v>
      </c>
      <c r="AJ23" s="168">
        <v>11619</v>
      </c>
      <c r="AK23" s="169">
        <v>11680</v>
      </c>
      <c r="AL23" s="169">
        <v>15390</v>
      </c>
      <c r="AM23" s="169">
        <v>18776</v>
      </c>
      <c r="AN23" s="169">
        <v>32187</v>
      </c>
      <c r="AO23" s="169">
        <v>37358</v>
      </c>
      <c r="AP23" s="169">
        <v>45455</v>
      </c>
      <c r="AQ23" s="169">
        <v>53313</v>
      </c>
      <c r="AR23" s="169">
        <v>53313</v>
      </c>
      <c r="AS23" s="169">
        <v>68835</v>
      </c>
      <c r="AT23" s="170">
        <v>53443</v>
      </c>
      <c r="AU23" s="170">
        <v>63355</v>
      </c>
      <c r="AV23" s="170">
        <v>72971</v>
      </c>
      <c r="AW23" s="170">
        <v>77060</v>
      </c>
      <c r="AX23" s="170">
        <v>77999</v>
      </c>
      <c r="AY23" s="170">
        <v>150331</v>
      </c>
      <c r="AZ23" s="170">
        <v>128462</v>
      </c>
      <c r="BA23" s="170">
        <v>113307</v>
      </c>
      <c r="BB23" s="170">
        <v>119628</v>
      </c>
      <c r="BC23" s="170">
        <v>176866</v>
      </c>
      <c r="BD23" s="170">
        <v>159797</v>
      </c>
      <c r="BE23" s="170">
        <v>179729</v>
      </c>
    </row>
    <row r="24" spans="1:57">
      <c r="A24" s="151" t="s">
        <v>1238</v>
      </c>
      <c r="B24" s="151" t="s">
        <v>96</v>
      </c>
      <c r="D24" s="167">
        <v>5835</v>
      </c>
      <c r="E24" s="167">
        <v>301</v>
      </c>
      <c r="F24" s="167">
        <v>1306</v>
      </c>
      <c r="G24" s="167">
        <v>1325</v>
      </c>
      <c r="H24" s="167">
        <v>1304</v>
      </c>
      <c r="I24" s="167">
        <v>1287</v>
      </c>
      <c r="J24" s="167">
        <v>1308</v>
      </c>
      <c r="K24" s="167">
        <v>1282</v>
      </c>
      <c r="L24" s="167">
        <v>1259</v>
      </c>
      <c r="M24" s="167">
        <v>24108</v>
      </c>
      <c r="N24" s="167">
        <v>1091</v>
      </c>
      <c r="O24" s="167">
        <v>1228</v>
      </c>
      <c r="P24" s="167">
        <v>1240</v>
      </c>
      <c r="Q24" s="167">
        <v>1275</v>
      </c>
      <c r="R24" s="167">
        <v>1342</v>
      </c>
      <c r="S24" s="167">
        <v>2665</v>
      </c>
      <c r="T24" s="167">
        <v>28036</v>
      </c>
      <c r="U24" s="167">
        <v>9866</v>
      </c>
      <c r="V24" s="167">
        <v>12698</v>
      </c>
      <c r="W24" s="167">
        <v>9844</v>
      </c>
      <c r="X24" s="167">
        <v>10804</v>
      </c>
      <c r="Y24" s="167">
        <v>4926</v>
      </c>
      <c r="Z24" s="167">
        <v>5445</v>
      </c>
      <c r="AA24" s="167">
        <v>6107</v>
      </c>
      <c r="AB24" s="167">
        <v>5937</v>
      </c>
      <c r="AC24" s="167">
        <f>3045+3478</f>
        <v>6523</v>
      </c>
      <c r="AD24" s="168">
        <v>634</v>
      </c>
      <c r="AE24" s="168">
        <v>4574</v>
      </c>
      <c r="AF24" s="168">
        <v>5599</v>
      </c>
      <c r="AG24" s="168">
        <v>5703</v>
      </c>
      <c r="AH24" s="168">
        <v>6633</v>
      </c>
      <c r="AI24" s="168">
        <v>6071</v>
      </c>
      <c r="AJ24" s="168">
        <v>6731</v>
      </c>
      <c r="AK24" s="169">
        <v>6677</v>
      </c>
      <c r="AL24" s="169">
        <v>15286</v>
      </c>
      <c r="AM24" s="169">
        <v>12129</v>
      </c>
      <c r="AN24" s="169">
        <v>11814</v>
      </c>
      <c r="AO24" s="169">
        <v>12562</v>
      </c>
      <c r="AP24" s="169">
        <v>29501</v>
      </c>
      <c r="AQ24" s="169">
        <v>39455</v>
      </c>
      <c r="AR24" s="169">
        <v>39455</v>
      </c>
      <c r="AS24" s="169">
        <v>188259</v>
      </c>
      <c r="AT24" s="170">
        <v>140200</v>
      </c>
      <c r="AU24" s="170">
        <v>85482</v>
      </c>
      <c r="AV24" s="170">
        <v>155424</v>
      </c>
      <c r="AW24" s="170">
        <v>221814</v>
      </c>
      <c r="AX24" s="170">
        <v>115217</v>
      </c>
      <c r="AY24" s="170">
        <v>130859</v>
      </c>
      <c r="AZ24" s="170">
        <v>139379</v>
      </c>
      <c r="BA24" s="170">
        <v>156446</v>
      </c>
      <c r="BB24" s="170">
        <v>63215</v>
      </c>
      <c r="BC24" s="170">
        <v>38403</v>
      </c>
      <c r="BD24" s="170">
        <v>22562</v>
      </c>
      <c r="BE24" s="170">
        <v>26816</v>
      </c>
    </row>
    <row r="25" spans="1:57">
      <c r="A25" s="151" t="s">
        <v>1293</v>
      </c>
      <c r="B25" s="151" t="s">
        <v>1294</v>
      </c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  <c r="AA25" s="167"/>
      <c r="AB25" s="167"/>
      <c r="AC25" s="167"/>
      <c r="AD25" s="168"/>
      <c r="AE25" s="168"/>
      <c r="AF25" s="168"/>
      <c r="AG25" s="168"/>
      <c r="AH25" s="168"/>
      <c r="AI25" s="168"/>
      <c r="AJ25" s="168"/>
      <c r="AK25" s="169"/>
      <c r="AL25" s="169"/>
      <c r="AM25" s="169"/>
      <c r="AN25" s="169"/>
      <c r="AO25" s="169"/>
      <c r="AP25" s="169"/>
      <c r="AQ25" s="169">
        <v>17485</v>
      </c>
      <c r="AR25" s="169">
        <v>17485</v>
      </c>
      <c r="AS25" s="169">
        <v>18685</v>
      </c>
      <c r="AT25" s="170">
        <v>0</v>
      </c>
      <c r="AU25" s="170"/>
      <c r="AV25" s="170"/>
      <c r="AW25" s="170"/>
      <c r="AX25" s="170"/>
      <c r="AY25" s="170"/>
      <c r="AZ25" s="170"/>
      <c r="BA25" s="170"/>
      <c r="BB25" s="170"/>
      <c r="BC25" s="170"/>
      <c r="BD25" s="170"/>
      <c r="BE25" s="170"/>
    </row>
    <row r="26" spans="1:57">
      <c r="A26" s="151" t="s">
        <v>1288</v>
      </c>
      <c r="B26" s="151" t="s">
        <v>1187</v>
      </c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  <c r="V26" s="167"/>
      <c r="W26" s="167"/>
      <c r="X26" s="167"/>
      <c r="Y26" s="167"/>
      <c r="Z26" s="167"/>
      <c r="AA26" s="167"/>
      <c r="AB26" s="167"/>
      <c r="AC26" s="167"/>
      <c r="AD26" s="168"/>
      <c r="AE26" s="168"/>
      <c r="AF26" s="168"/>
      <c r="AG26" s="168"/>
      <c r="AH26" s="168"/>
      <c r="AI26" s="168"/>
      <c r="AJ26" s="168"/>
      <c r="AK26" s="169"/>
      <c r="AL26" s="169"/>
      <c r="AM26" s="169"/>
      <c r="AO26" s="169"/>
      <c r="AP26" s="169"/>
      <c r="AQ26" s="169"/>
      <c r="AR26" s="169"/>
      <c r="AS26" s="169"/>
      <c r="AT26" s="170"/>
      <c r="AU26" s="170"/>
      <c r="AV26" s="170"/>
      <c r="AW26" s="170"/>
      <c r="AX26" s="170"/>
      <c r="AY26" s="170"/>
      <c r="AZ26" s="170"/>
      <c r="BA26" s="170"/>
      <c r="BB26" s="170"/>
      <c r="BC26" s="170"/>
      <c r="BD26" s="170"/>
      <c r="BE26" s="170"/>
    </row>
    <row r="27" spans="1:57" ht="15" thickBot="1">
      <c r="A27" s="154" t="s">
        <v>1298</v>
      </c>
      <c r="B27" s="154" t="s">
        <v>1338</v>
      </c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  <c r="AA27" s="167"/>
      <c r="AB27" s="167"/>
      <c r="AC27" s="167"/>
      <c r="AD27" s="168"/>
      <c r="AE27" s="168"/>
      <c r="AF27" s="168"/>
      <c r="AG27" s="168"/>
      <c r="AH27" s="168"/>
      <c r="AI27" s="168"/>
      <c r="AJ27" s="168"/>
      <c r="AK27" s="169"/>
      <c r="AL27" s="169"/>
      <c r="AM27" s="169"/>
      <c r="AO27" s="169"/>
      <c r="AP27" s="169"/>
      <c r="AQ27" s="169"/>
      <c r="AR27" s="169"/>
      <c r="AS27" s="169"/>
      <c r="AT27" s="170"/>
      <c r="AU27" s="170">
        <v>344385</v>
      </c>
      <c r="AV27" s="170"/>
      <c r="AW27" s="170"/>
      <c r="AX27" s="170"/>
      <c r="AY27" s="170"/>
      <c r="AZ27" s="170"/>
      <c r="BA27" s="170"/>
      <c r="BB27" s="170"/>
      <c r="BC27" s="170"/>
      <c r="BD27" s="170"/>
      <c r="BE27" s="170"/>
    </row>
    <row r="28" spans="1:57" ht="15" thickBot="1">
      <c r="A28" s="155" t="s">
        <v>1081</v>
      </c>
      <c r="B28" s="155" t="s">
        <v>1082</v>
      </c>
      <c r="D28" s="156">
        <f>SUM(D29,D43)</f>
        <v>1635487</v>
      </c>
      <c r="E28" s="156">
        <f t="shared" ref="E28:AE28" si="2">SUM(E29,E43)</f>
        <v>1537777</v>
      </c>
      <c r="F28" s="156">
        <f t="shared" si="2"/>
        <v>1793384</v>
      </c>
      <c r="G28" s="156">
        <f t="shared" si="2"/>
        <v>1719218</v>
      </c>
      <c r="H28" s="156">
        <f t="shared" si="2"/>
        <v>1975721</v>
      </c>
      <c r="I28" s="156">
        <f t="shared" si="2"/>
        <v>1896600</v>
      </c>
      <c r="J28" s="156">
        <f t="shared" si="2"/>
        <v>2179604</v>
      </c>
      <c r="K28" s="156">
        <f t="shared" si="2"/>
        <v>2640496</v>
      </c>
      <c r="L28" s="156">
        <f t="shared" si="2"/>
        <v>2734757</v>
      </c>
      <c r="M28" s="156">
        <f t="shared" si="2"/>
        <v>3206798</v>
      </c>
      <c r="N28" s="156">
        <f t="shared" si="2"/>
        <v>3282064</v>
      </c>
      <c r="O28" s="156">
        <f t="shared" si="2"/>
        <v>3349230</v>
      </c>
      <c r="P28" s="156">
        <f t="shared" si="2"/>
        <v>3492701</v>
      </c>
      <c r="Q28" s="156">
        <f t="shared" si="2"/>
        <v>3600265</v>
      </c>
      <c r="R28" s="156">
        <f t="shared" si="2"/>
        <v>3758349</v>
      </c>
      <c r="S28" s="156">
        <f t="shared" si="2"/>
        <v>3560735</v>
      </c>
      <c r="T28" s="156">
        <f t="shared" si="2"/>
        <v>3600222</v>
      </c>
      <c r="U28" s="156">
        <f t="shared" si="2"/>
        <v>3649387</v>
      </c>
      <c r="V28" s="156">
        <f t="shared" si="2"/>
        <v>3992931</v>
      </c>
      <c r="W28" s="156">
        <f t="shared" si="2"/>
        <v>4685528</v>
      </c>
      <c r="X28" s="156">
        <f t="shared" si="2"/>
        <v>4939539</v>
      </c>
      <c r="Y28" s="156">
        <f t="shared" si="2"/>
        <v>5026756</v>
      </c>
      <c r="Z28" s="156">
        <f t="shared" si="2"/>
        <v>5359168</v>
      </c>
      <c r="AA28" s="156">
        <f t="shared" si="2"/>
        <v>6997813</v>
      </c>
      <c r="AB28" s="156">
        <f t="shared" si="2"/>
        <v>7598602</v>
      </c>
      <c r="AC28" s="156">
        <f t="shared" si="2"/>
        <v>7941671</v>
      </c>
      <c r="AD28" s="175">
        <v>8337221</v>
      </c>
      <c r="AE28" s="156">
        <f t="shared" si="2"/>
        <v>8732084</v>
      </c>
      <c r="AF28" s="156">
        <v>9239250</v>
      </c>
      <c r="AG28" s="156">
        <v>9546055</v>
      </c>
      <c r="AH28" s="156">
        <f t="shared" ref="AH28:AS28" si="3">SUM(AH29,AH43)</f>
        <v>10464111</v>
      </c>
      <c r="AI28" s="156">
        <f t="shared" si="3"/>
        <v>10670500</v>
      </c>
      <c r="AJ28" s="156">
        <f t="shared" si="3"/>
        <v>11004124</v>
      </c>
      <c r="AK28" s="156">
        <f t="shared" si="3"/>
        <v>10463314</v>
      </c>
      <c r="AL28" s="156">
        <f t="shared" si="3"/>
        <v>11899197.22497</v>
      </c>
      <c r="AM28" s="156">
        <f t="shared" si="3"/>
        <v>12427768.978800001</v>
      </c>
      <c r="AN28" s="156">
        <f t="shared" si="3"/>
        <v>20314034</v>
      </c>
      <c r="AO28" s="156">
        <f t="shared" si="3"/>
        <v>20202909</v>
      </c>
      <c r="AP28" s="156">
        <f t="shared" si="3"/>
        <v>20883012</v>
      </c>
      <c r="AQ28" s="156">
        <f t="shared" si="3"/>
        <v>21092976</v>
      </c>
      <c r="AR28" s="156">
        <f t="shared" si="3"/>
        <v>21095851</v>
      </c>
      <c r="AS28" s="156">
        <f t="shared" si="3"/>
        <v>20620395</v>
      </c>
      <c r="AT28" s="156">
        <f t="shared" ref="AT28:AY28" si="4">SUM(AT29,AT43)</f>
        <v>22025136</v>
      </c>
      <c r="AU28" s="156">
        <f t="shared" si="4"/>
        <v>22143831</v>
      </c>
      <c r="AV28" s="156">
        <f t="shared" si="4"/>
        <v>22338720</v>
      </c>
      <c r="AW28" s="156">
        <f t="shared" si="4"/>
        <v>22980670</v>
      </c>
      <c r="AX28" s="156">
        <f t="shared" si="4"/>
        <v>25817881</v>
      </c>
      <c r="AY28" s="156">
        <f t="shared" si="4"/>
        <v>29438229</v>
      </c>
      <c r="AZ28" s="156">
        <f t="shared" ref="AZ28:BE28" si="5">SUM(AZ29,AZ43)</f>
        <v>30176988</v>
      </c>
      <c r="BA28" s="156">
        <f t="shared" si="5"/>
        <v>30200615</v>
      </c>
      <c r="BB28" s="156">
        <f t="shared" si="5"/>
        <v>30922296</v>
      </c>
      <c r="BC28" s="156">
        <f t="shared" si="5"/>
        <v>25435494</v>
      </c>
      <c r="BD28" s="156">
        <f t="shared" si="5"/>
        <v>26446710</v>
      </c>
      <c r="BE28" s="156">
        <f t="shared" si="5"/>
        <v>27211801</v>
      </c>
    </row>
    <row r="29" spans="1:57" ht="15" thickBot="1">
      <c r="A29" s="155" t="s">
        <v>1158</v>
      </c>
      <c r="B29" s="155" t="s">
        <v>1159</v>
      </c>
      <c r="D29" s="156">
        <f t="shared" ref="D29:AH29" si="6">SUM(D30:D42)</f>
        <v>304433</v>
      </c>
      <c r="E29" s="156">
        <f t="shared" si="6"/>
        <v>411573</v>
      </c>
      <c r="F29" s="156">
        <f t="shared" si="6"/>
        <v>465679</v>
      </c>
      <c r="G29" s="156">
        <f t="shared" si="6"/>
        <v>466147</v>
      </c>
      <c r="H29" s="156">
        <f t="shared" si="6"/>
        <v>720403</v>
      </c>
      <c r="I29" s="156">
        <f t="shared" si="6"/>
        <v>842223</v>
      </c>
      <c r="J29" s="156">
        <f t="shared" si="6"/>
        <v>852948</v>
      </c>
      <c r="K29" s="156">
        <f t="shared" si="6"/>
        <v>871269</v>
      </c>
      <c r="L29" s="156">
        <f t="shared" si="6"/>
        <v>882025</v>
      </c>
      <c r="M29" s="156">
        <f t="shared" si="6"/>
        <v>289423</v>
      </c>
      <c r="N29" s="156">
        <f t="shared" si="6"/>
        <v>296425</v>
      </c>
      <c r="O29" s="156">
        <f t="shared" si="6"/>
        <v>302865</v>
      </c>
      <c r="P29" s="156">
        <f t="shared" si="6"/>
        <v>308594</v>
      </c>
      <c r="Q29" s="156">
        <f t="shared" si="6"/>
        <v>315906</v>
      </c>
      <c r="R29" s="156">
        <f t="shared" si="6"/>
        <v>297864</v>
      </c>
      <c r="S29" s="156">
        <f t="shared" si="6"/>
        <v>48219</v>
      </c>
      <c r="T29" s="156">
        <f t="shared" si="6"/>
        <v>41200</v>
      </c>
      <c r="U29" s="156">
        <f t="shared" si="6"/>
        <v>72573</v>
      </c>
      <c r="V29" s="156">
        <f t="shared" si="6"/>
        <v>34416</v>
      </c>
      <c r="W29" s="156">
        <f t="shared" si="6"/>
        <v>8670</v>
      </c>
      <c r="X29" s="156">
        <f t="shared" si="6"/>
        <v>8790</v>
      </c>
      <c r="Y29" s="156">
        <f t="shared" si="6"/>
        <v>15657</v>
      </c>
      <c r="Z29" s="156">
        <f t="shared" si="6"/>
        <v>17048</v>
      </c>
      <c r="AA29" s="156">
        <f t="shared" si="6"/>
        <v>10173</v>
      </c>
      <c r="AB29" s="156">
        <f t="shared" si="6"/>
        <v>14621</v>
      </c>
      <c r="AC29" s="156">
        <f t="shared" si="6"/>
        <v>18752</v>
      </c>
      <c r="AD29" s="156">
        <f t="shared" si="6"/>
        <v>19244</v>
      </c>
      <c r="AE29" s="156">
        <f t="shared" si="6"/>
        <v>62851</v>
      </c>
      <c r="AF29" s="156">
        <f t="shared" si="6"/>
        <v>60974</v>
      </c>
      <c r="AG29" s="156">
        <f t="shared" si="6"/>
        <v>71779</v>
      </c>
      <c r="AH29" s="156">
        <f t="shared" si="6"/>
        <v>204419</v>
      </c>
      <c r="AI29" s="156">
        <f t="shared" ref="AI29:AS29" si="7">SUM(AI30:AI42)</f>
        <v>42357</v>
      </c>
      <c r="AJ29" s="156">
        <f t="shared" si="7"/>
        <v>36430</v>
      </c>
      <c r="AK29" s="156">
        <f t="shared" si="7"/>
        <v>36267</v>
      </c>
      <c r="AL29" s="156">
        <f t="shared" si="7"/>
        <v>151115</v>
      </c>
      <c r="AM29" s="156">
        <f t="shared" si="7"/>
        <v>566675</v>
      </c>
      <c r="AN29" s="156">
        <f t="shared" si="7"/>
        <v>612861</v>
      </c>
      <c r="AO29" s="156">
        <f t="shared" si="7"/>
        <v>655182</v>
      </c>
      <c r="AP29" s="156">
        <f t="shared" si="7"/>
        <v>676952</v>
      </c>
      <c r="AQ29" s="156">
        <f t="shared" si="7"/>
        <v>729995</v>
      </c>
      <c r="AR29" s="156">
        <f t="shared" si="7"/>
        <v>729995</v>
      </c>
      <c r="AS29" s="156">
        <f t="shared" si="7"/>
        <v>367874</v>
      </c>
      <c r="AT29" s="156">
        <f t="shared" ref="AT29:AY29" si="8">SUM(AT30:AT42)</f>
        <v>312930</v>
      </c>
      <c r="AU29" s="156">
        <f t="shared" si="8"/>
        <v>353651</v>
      </c>
      <c r="AV29" s="156">
        <f t="shared" si="8"/>
        <v>239878</v>
      </c>
      <c r="AW29" s="156">
        <f t="shared" si="8"/>
        <v>313697</v>
      </c>
      <c r="AX29" s="156">
        <f t="shared" si="8"/>
        <v>340129</v>
      </c>
      <c r="AY29" s="156">
        <f t="shared" si="8"/>
        <v>211296</v>
      </c>
      <c r="AZ29" s="156">
        <f t="shared" ref="AZ29:BE29" si="9">SUM(AZ30:AZ42)</f>
        <v>267677</v>
      </c>
      <c r="BA29" s="156">
        <f t="shared" si="9"/>
        <v>246643</v>
      </c>
      <c r="BB29" s="156">
        <f t="shared" si="9"/>
        <v>221384</v>
      </c>
      <c r="BC29" s="156">
        <f t="shared" si="9"/>
        <v>182296</v>
      </c>
      <c r="BD29" s="156">
        <f t="shared" si="9"/>
        <v>177499</v>
      </c>
      <c r="BE29" s="156">
        <f t="shared" si="9"/>
        <v>181257</v>
      </c>
    </row>
    <row r="30" spans="1:57">
      <c r="A30" s="151" t="s">
        <v>1339</v>
      </c>
      <c r="B30" s="151" t="s">
        <v>1340</v>
      </c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  <c r="V30" s="167"/>
      <c r="W30" s="167"/>
      <c r="X30" s="167"/>
      <c r="Y30" s="167"/>
      <c r="Z30" s="167"/>
      <c r="AA30" s="167"/>
      <c r="AB30" s="167"/>
      <c r="AC30" s="167"/>
      <c r="AD30" s="168"/>
      <c r="AE30" s="168">
        <v>18129</v>
      </c>
      <c r="AF30" s="168">
        <v>18267</v>
      </c>
      <c r="AG30" s="168">
        <v>18364</v>
      </c>
      <c r="AH30" s="168"/>
      <c r="AI30" s="168"/>
      <c r="AJ30" s="168"/>
      <c r="AK30" s="169"/>
      <c r="AL30" s="169"/>
      <c r="AM30" s="169"/>
      <c r="AO30" s="169"/>
      <c r="AP30" s="169"/>
      <c r="AQ30" s="169"/>
      <c r="AR30" s="169"/>
      <c r="AS30" s="169"/>
      <c r="AT30" s="170"/>
      <c r="AU30" s="170"/>
      <c r="AV30" s="170"/>
      <c r="AW30" s="170"/>
      <c r="AX30" s="170"/>
      <c r="AY30" s="170"/>
      <c r="AZ30" s="170"/>
      <c r="BA30" s="170"/>
      <c r="BB30" s="170"/>
      <c r="BC30" s="170"/>
      <c r="BD30" s="170"/>
      <c r="BE30" s="170"/>
    </row>
    <row r="31" spans="1:57">
      <c r="A31" s="151" t="s">
        <v>1057</v>
      </c>
      <c r="B31" s="151" t="s">
        <v>1058</v>
      </c>
      <c r="D31" s="167">
        <v>0</v>
      </c>
      <c r="E31" s="167">
        <v>0</v>
      </c>
      <c r="F31" s="167">
        <v>0</v>
      </c>
      <c r="G31" s="167">
        <v>0</v>
      </c>
      <c r="H31" s="167">
        <v>0</v>
      </c>
      <c r="I31" s="167">
        <v>0</v>
      </c>
      <c r="J31" s="167">
        <v>0</v>
      </c>
      <c r="K31" s="167">
        <v>0</v>
      </c>
      <c r="L31" s="167">
        <v>0</v>
      </c>
      <c r="M31" s="167">
        <v>0</v>
      </c>
      <c r="N31" s="167">
        <v>0</v>
      </c>
      <c r="O31" s="167">
        <v>0</v>
      </c>
      <c r="P31" s="167">
        <v>0</v>
      </c>
      <c r="Q31" s="167">
        <v>0</v>
      </c>
      <c r="R31" s="167">
        <v>0</v>
      </c>
      <c r="S31" s="167">
        <v>0</v>
      </c>
      <c r="T31" s="167">
        <v>0</v>
      </c>
      <c r="U31" s="167">
        <v>0</v>
      </c>
      <c r="V31" s="167">
        <v>0</v>
      </c>
      <c r="W31" s="167">
        <v>0</v>
      </c>
      <c r="X31" s="167">
        <v>0</v>
      </c>
      <c r="Y31" s="167">
        <v>0</v>
      </c>
      <c r="Z31" s="167">
        <v>0</v>
      </c>
      <c r="AA31" s="167"/>
      <c r="AB31" s="167"/>
      <c r="AC31" s="167"/>
      <c r="AD31" s="168"/>
      <c r="AE31" s="168"/>
      <c r="AF31" s="168"/>
      <c r="AG31" s="168"/>
      <c r="AH31" s="168"/>
      <c r="AI31" s="168"/>
      <c r="AJ31" s="168"/>
      <c r="AK31" s="169"/>
      <c r="AL31" s="169"/>
      <c r="AM31" s="169"/>
      <c r="AO31" s="169"/>
      <c r="AP31" s="169"/>
      <c r="AQ31" s="169"/>
      <c r="AR31" s="169"/>
      <c r="AS31" s="169"/>
      <c r="AT31" s="170"/>
      <c r="AU31" s="170"/>
      <c r="AV31" s="170"/>
      <c r="AW31" s="170"/>
      <c r="AX31" s="170"/>
      <c r="AY31" s="170"/>
      <c r="AZ31" s="170"/>
      <c r="BA31" s="170"/>
      <c r="BB31" s="170"/>
      <c r="BC31" s="170"/>
      <c r="BD31" s="170"/>
      <c r="BE31" s="170"/>
    </row>
    <row r="32" spans="1:57">
      <c r="A32" s="151" t="s">
        <v>1070</v>
      </c>
      <c r="B32" s="151" t="s">
        <v>1071</v>
      </c>
      <c r="D32" s="167">
        <v>0</v>
      </c>
      <c r="E32" s="167">
        <v>0</v>
      </c>
      <c r="F32" s="167">
        <v>0</v>
      </c>
      <c r="G32" s="167">
        <v>0</v>
      </c>
      <c r="H32" s="167">
        <v>0</v>
      </c>
      <c r="I32" s="167">
        <v>0</v>
      </c>
      <c r="J32" s="167">
        <v>0</v>
      </c>
      <c r="K32" s="167">
        <v>0</v>
      </c>
      <c r="L32" s="167">
        <v>0</v>
      </c>
      <c r="M32" s="167">
        <v>0</v>
      </c>
      <c r="N32" s="167">
        <v>0</v>
      </c>
      <c r="O32" s="167">
        <v>0</v>
      </c>
      <c r="P32" s="167">
        <v>0</v>
      </c>
      <c r="Q32" s="167">
        <v>0</v>
      </c>
      <c r="R32" s="167">
        <v>0</v>
      </c>
      <c r="S32" s="167">
        <v>0</v>
      </c>
      <c r="T32" s="167">
        <v>0</v>
      </c>
      <c r="U32" s="167">
        <v>0</v>
      </c>
      <c r="V32" s="167">
        <v>0</v>
      </c>
      <c r="W32" s="167">
        <v>0</v>
      </c>
      <c r="X32" s="167">
        <v>0</v>
      </c>
      <c r="Y32" s="167">
        <v>0</v>
      </c>
      <c r="Z32" s="167">
        <v>0</v>
      </c>
      <c r="AA32" s="167"/>
      <c r="AB32" s="167"/>
      <c r="AC32" s="167"/>
      <c r="AD32" s="168"/>
      <c r="AE32" s="168"/>
      <c r="AF32" s="168"/>
      <c r="AG32" s="168"/>
      <c r="AH32" s="168"/>
      <c r="AI32" s="168"/>
      <c r="AJ32" s="168"/>
      <c r="AK32" s="169"/>
      <c r="AL32" s="169"/>
      <c r="AM32" s="169"/>
      <c r="AO32" s="169"/>
      <c r="AP32" s="169"/>
      <c r="AQ32" s="169"/>
      <c r="AR32" s="169"/>
      <c r="AS32" s="169"/>
      <c r="AT32" s="170"/>
      <c r="AU32" s="170"/>
      <c r="AV32" s="170"/>
      <c r="AW32" s="170"/>
      <c r="AX32" s="170"/>
      <c r="AY32" s="170"/>
      <c r="AZ32" s="170"/>
      <c r="BA32" s="170"/>
      <c r="BB32" s="170"/>
      <c r="BC32" s="170"/>
      <c r="BD32" s="170"/>
      <c r="BE32" s="170"/>
    </row>
    <row r="33" spans="1:57">
      <c r="A33" s="151" t="s">
        <v>1083</v>
      </c>
      <c r="B33" s="151" t="s">
        <v>1067</v>
      </c>
      <c r="D33" s="167">
        <v>0</v>
      </c>
      <c r="E33" s="167">
        <v>0</v>
      </c>
      <c r="F33" s="167">
        <v>0</v>
      </c>
      <c r="G33" s="167">
        <v>0</v>
      </c>
      <c r="H33" s="167">
        <v>0</v>
      </c>
      <c r="I33" s="167">
        <v>0</v>
      </c>
      <c r="J33" s="167">
        <v>0</v>
      </c>
      <c r="K33" s="167">
        <v>0</v>
      </c>
      <c r="L33" s="167">
        <v>0</v>
      </c>
      <c r="M33" s="167">
        <v>0</v>
      </c>
      <c r="N33" s="167">
        <v>0</v>
      </c>
      <c r="O33" s="167">
        <v>0</v>
      </c>
      <c r="P33" s="167">
        <v>0</v>
      </c>
      <c r="Q33" s="167">
        <v>0</v>
      </c>
      <c r="R33" s="167">
        <v>0</v>
      </c>
      <c r="S33" s="167">
        <v>0</v>
      </c>
      <c r="T33" s="167">
        <v>0</v>
      </c>
      <c r="U33" s="167">
        <v>0</v>
      </c>
      <c r="V33" s="167">
        <v>0</v>
      </c>
      <c r="W33" s="167">
        <v>0</v>
      </c>
      <c r="X33" s="167">
        <v>0</v>
      </c>
      <c r="Y33" s="167">
        <v>0</v>
      </c>
      <c r="Z33" s="167">
        <v>0</v>
      </c>
      <c r="AA33" s="167"/>
      <c r="AB33" s="167"/>
      <c r="AC33" s="167"/>
      <c r="AD33" s="168"/>
      <c r="AE33" s="168"/>
      <c r="AF33" s="168"/>
      <c r="AG33" s="168"/>
      <c r="AH33" s="168"/>
      <c r="AI33" s="168"/>
      <c r="AJ33" s="168"/>
      <c r="AK33" s="169"/>
      <c r="AL33" s="169"/>
      <c r="AM33" s="169"/>
      <c r="AO33" s="169"/>
      <c r="AP33" s="169"/>
      <c r="AQ33" s="169"/>
      <c r="AR33" s="169"/>
      <c r="AS33" s="169"/>
      <c r="AT33" s="170"/>
      <c r="AU33" s="170"/>
      <c r="AV33" s="170"/>
      <c r="AW33" s="170"/>
      <c r="AX33" s="170"/>
      <c r="AY33" s="170"/>
      <c r="AZ33" s="170"/>
      <c r="BA33" s="170"/>
      <c r="BB33" s="170"/>
      <c r="BC33" s="170"/>
      <c r="BD33" s="170"/>
      <c r="BE33" s="170"/>
    </row>
    <row r="34" spans="1:57">
      <c r="A34" s="151" t="s">
        <v>1160</v>
      </c>
      <c r="B34" s="151" t="s">
        <v>1161</v>
      </c>
      <c r="D34" s="167">
        <v>0</v>
      </c>
      <c r="E34" s="167">
        <v>0</v>
      </c>
      <c r="F34" s="167">
        <v>0</v>
      </c>
      <c r="G34" s="167">
        <v>0</v>
      </c>
      <c r="H34" s="167">
        <v>0</v>
      </c>
      <c r="I34" s="167">
        <v>0</v>
      </c>
      <c r="J34" s="167">
        <v>0</v>
      </c>
      <c r="K34" s="167">
        <v>0</v>
      </c>
      <c r="L34" s="167">
        <v>0</v>
      </c>
      <c r="M34" s="167">
        <v>0</v>
      </c>
      <c r="N34" s="167">
        <v>0</v>
      </c>
      <c r="O34" s="167">
        <v>0</v>
      </c>
      <c r="P34" s="167">
        <v>0</v>
      </c>
      <c r="Q34" s="167">
        <v>0</v>
      </c>
      <c r="R34" s="167">
        <v>0</v>
      </c>
      <c r="S34" s="167">
        <v>0</v>
      </c>
      <c r="T34" s="167">
        <v>0</v>
      </c>
      <c r="U34" s="167">
        <v>0</v>
      </c>
      <c r="V34" s="167">
        <v>0</v>
      </c>
      <c r="W34" s="167">
        <v>0</v>
      </c>
      <c r="X34" s="167">
        <v>0</v>
      </c>
      <c r="Y34" s="167">
        <v>0</v>
      </c>
      <c r="Z34" s="167">
        <v>0</v>
      </c>
      <c r="AA34" s="167"/>
      <c r="AB34" s="167"/>
      <c r="AC34" s="167"/>
      <c r="AD34" s="168"/>
      <c r="AE34" s="168"/>
      <c r="AF34" s="168"/>
      <c r="AG34" s="168"/>
      <c r="AH34" s="168"/>
      <c r="AI34" s="168"/>
      <c r="AJ34" s="168"/>
      <c r="AK34" s="169"/>
      <c r="AL34" s="169"/>
      <c r="AM34" s="169"/>
      <c r="AO34" s="169"/>
      <c r="AP34" s="169"/>
      <c r="AQ34" s="169"/>
      <c r="AR34" s="169"/>
      <c r="AS34" s="169"/>
      <c r="AT34" s="170"/>
      <c r="AU34" s="170"/>
      <c r="AV34" s="170"/>
      <c r="AW34" s="170"/>
      <c r="AX34" s="170"/>
      <c r="AY34" s="170"/>
      <c r="AZ34" s="170"/>
      <c r="BA34" s="170"/>
      <c r="BB34" s="170"/>
      <c r="BC34" s="170"/>
      <c r="BD34" s="170"/>
      <c r="BE34" s="170"/>
    </row>
    <row r="35" spans="1:57">
      <c r="A35" s="151" t="s">
        <v>1068</v>
      </c>
      <c r="B35" s="151" t="s">
        <v>1069</v>
      </c>
      <c r="D35" s="167">
        <v>0</v>
      </c>
      <c r="E35" s="167">
        <v>0</v>
      </c>
      <c r="F35" s="167">
        <v>0</v>
      </c>
      <c r="G35" s="167">
        <v>0</v>
      </c>
      <c r="H35" s="167">
        <v>0</v>
      </c>
      <c r="I35" s="167">
        <v>0</v>
      </c>
      <c r="J35" s="167">
        <v>0</v>
      </c>
      <c r="K35" s="167">
        <v>0</v>
      </c>
      <c r="L35" s="167">
        <v>0</v>
      </c>
      <c r="M35" s="167">
        <v>0</v>
      </c>
      <c r="N35" s="167">
        <v>0</v>
      </c>
      <c r="O35" s="167">
        <v>0</v>
      </c>
      <c r="P35" s="167">
        <v>0</v>
      </c>
      <c r="Q35" s="167">
        <v>0</v>
      </c>
      <c r="R35" s="167">
        <v>0</v>
      </c>
      <c r="S35" s="167">
        <v>0</v>
      </c>
      <c r="T35" s="167">
        <v>0</v>
      </c>
      <c r="U35" s="167">
        <v>0</v>
      </c>
      <c r="V35" s="167">
        <v>0</v>
      </c>
      <c r="W35" s="167">
        <v>0</v>
      </c>
      <c r="X35" s="167">
        <v>0</v>
      </c>
      <c r="Y35" s="167">
        <v>16</v>
      </c>
      <c r="Z35" s="167">
        <v>16</v>
      </c>
      <c r="AA35" s="167">
        <v>16</v>
      </c>
      <c r="AB35" s="167">
        <v>35</v>
      </c>
      <c r="AC35" s="167">
        <v>84</v>
      </c>
      <c r="AD35" s="168">
        <v>72</v>
      </c>
      <c r="AE35" s="168">
        <v>124</v>
      </c>
      <c r="AF35" s="168">
        <v>134</v>
      </c>
      <c r="AG35" s="168">
        <v>133</v>
      </c>
      <c r="AH35" s="168">
        <v>151</v>
      </c>
      <c r="AI35" s="168">
        <v>172</v>
      </c>
      <c r="AJ35" s="168">
        <v>172</v>
      </c>
      <c r="AK35" s="169">
        <v>172</v>
      </c>
      <c r="AL35" s="169">
        <v>172</v>
      </c>
      <c r="AM35" s="169">
        <v>172</v>
      </c>
      <c r="AN35" s="169">
        <v>172</v>
      </c>
      <c r="AO35" s="169">
        <v>172</v>
      </c>
      <c r="AP35" s="169">
        <v>169</v>
      </c>
      <c r="AQ35" s="169">
        <v>170</v>
      </c>
      <c r="AR35" s="169">
        <v>170</v>
      </c>
      <c r="AS35" s="169">
        <v>157</v>
      </c>
      <c r="AT35" s="170">
        <v>157</v>
      </c>
      <c r="AU35" s="170">
        <v>169</v>
      </c>
      <c r="AV35" s="170">
        <v>169</v>
      </c>
      <c r="AW35" s="170">
        <v>169</v>
      </c>
      <c r="AX35" s="170">
        <v>169</v>
      </c>
      <c r="AY35" s="170">
        <v>169</v>
      </c>
      <c r="AZ35" s="170">
        <v>169</v>
      </c>
      <c r="BA35" s="170">
        <v>-130</v>
      </c>
      <c r="BB35" s="170"/>
      <c r="BC35" s="170"/>
      <c r="BD35" s="170"/>
      <c r="BE35" s="170"/>
    </row>
    <row r="36" spans="1:57">
      <c r="A36" s="151" t="s">
        <v>1072</v>
      </c>
      <c r="B36" s="151" t="s">
        <v>1073</v>
      </c>
      <c r="D36" s="171">
        <v>0</v>
      </c>
      <c r="E36" s="171">
        <v>0</v>
      </c>
      <c r="F36" s="171">
        <v>0</v>
      </c>
      <c r="G36" s="171">
        <v>0</v>
      </c>
      <c r="H36" s="171">
        <v>0</v>
      </c>
      <c r="I36" s="171">
        <v>0</v>
      </c>
      <c r="J36" s="171">
        <v>0</v>
      </c>
      <c r="K36" s="171">
        <v>0</v>
      </c>
      <c r="L36" s="171">
        <v>0</v>
      </c>
      <c r="M36" s="171">
        <v>0</v>
      </c>
      <c r="N36" s="171">
        <v>0</v>
      </c>
      <c r="O36" s="171">
        <v>0</v>
      </c>
      <c r="P36" s="171">
        <v>0</v>
      </c>
      <c r="Q36" s="171">
        <v>0</v>
      </c>
      <c r="R36" s="171">
        <v>0</v>
      </c>
      <c r="S36" s="171">
        <v>0</v>
      </c>
      <c r="T36" s="171">
        <v>0</v>
      </c>
      <c r="U36" s="171">
        <v>0</v>
      </c>
      <c r="V36" s="171">
        <v>0</v>
      </c>
      <c r="W36" s="171">
        <v>0</v>
      </c>
      <c r="X36" s="171">
        <v>0</v>
      </c>
      <c r="Y36" s="171">
        <v>0</v>
      </c>
      <c r="Z36" s="171">
        <v>0</v>
      </c>
      <c r="AA36" s="171"/>
      <c r="AB36" s="171"/>
      <c r="AC36" s="171"/>
      <c r="AD36" s="172"/>
      <c r="AE36" s="172"/>
      <c r="AF36" s="172"/>
      <c r="AG36" s="172"/>
      <c r="AH36" s="172"/>
      <c r="AI36" s="172"/>
      <c r="AJ36" s="172"/>
      <c r="AK36" s="173"/>
      <c r="AL36" s="173"/>
      <c r="AM36" s="173">
        <v>413131</v>
      </c>
      <c r="AN36" s="173">
        <v>452378</v>
      </c>
      <c r="AO36" s="173">
        <v>492170</v>
      </c>
      <c r="AP36" s="173">
        <v>531457</v>
      </c>
      <c r="AQ36" s="173">
        <v>585313</v>
      </c>
      <c r="AR36" s="173">
        <v>585313</v>
      </c>
      <c r="AS36" s="173">
        <v>237531</v>
      </c>
      <c r="AT36" s="174">
        <v>182780</v>
      </c>
      <c r="AU36" s="174">
        <v>220986</v>
      </c>
      <c r="AV36" s="174">
        <v>114290</v>
      </c>
      <c r="AW36" s="174">
        <v>190379</v>
      </c>
      <c r="AX36" s="174">
        <v>215614</v>
      </c>
      <c r="AY36" s="174">
        <v>81909</v>
      </c>
      <c r="AZ36" s="174">
        <v>136616</v>
      </c>
      <c r="BA36" s="174">
        <v>117774</v>
      </c>
      <c r="BB36" s="174">
        <v>91844</v>
      </c>
      <c r="BC36" s="174">
        <v>2190</v>
      </c>
      <c r="BD36" s="174">
        <v>0</v>
      </c>
      <c r="BE36" s="174">
        <v>0</v>
      </c>
    </row>
    <row r="37" spans="1:57">
      <c r="A37" s="151" t="s">
        <v>1076</v>
      </c>
      <c r="B37" s="151" t="s">
        <v>1077</v>
      </c>
      <c r="D37" s="167">
        <v>0</v>
      </c>
      <c r="E37" s="167">
        <v>0</v>
      </c>
      <c r="F37" s="167">
        <v>0</v>
      </c>
      <c r="G37" s="167">
        <v>0</v>
      </c>
      <c r="H37" s="167">
        <v>0</v>
      </c>
      <c r="I37" s="167">
        <v>0</v>
      </c>
      <c r="J37" s="167">
        <v>0</v>
      </c>
      <c r="K37" s="167">
        <v>0</v>
      </c>
      <c r="L37" s="167">
        <v>0</v>
      </c>
      <c r="M37" s="167">
        <v>0</v>
      </c>
      <c r="N37" s="167">
        <v>0</v>
      </c>
      <c r="O37" s="167">
        <v>0</v>
      </c>
      <c r="P37" s="167">
        <v>0</v>
      </c>
      <c r="Q37" s="167">
        <v>0</v>
      </c>
      <c r="R37" s="167">
        <v>0</v>
      </c>
      <c r="S37" s="167">
        <v>0</v>
      </c>
      <c r="T37" s="167">
        <v>6</v>
      </c>
      <c r="U37" s="167">
        <v>6</v>
      </c>
      <c r="V37" s="167">
        <v>6</v>
      </c>
      <c r="W37" s="167">
        <v>9</v>
      </c>
      <c r="X37" s="167">
        <v>9</v>
      </c>
      <c r="Y37" s="167">
        <v>12</v>
      </c>
      <c r="Z37" s="167">
        <v>12</v>
      </c>
      <c r="AA37" s="167">
        <v>12</v>
      </c>
      <c r="AB37" s="167">
        <v>12</v>
      </c>
      <c r="AC37" s="167">
        <v>12</v>
      </c>
      <c r="AD37" s="168">
        <v>12</v>
      </c>
      <c r="AE37" s="168">
        <v>12</v>
      </c>
      <c r="AF37" s="168">
        <v>12</v>
      </c>
      <c r="AG37" s="168">
        <v>12</v>
      </c>
      <c r="AH37" s="168">
        <v>12</v>
      </c>
      <c r="AI37" s="168">
        <v>32512</v>
      </c>
      <c r="AJ37" s="168"/>
      <c r="AK37" s="169"/>
      <c r="AL37" s="169"/>
      <c r="AM37" s="169">
        <v>24180</v>
      </c>
      <c r="AO37" s="169"/>
      <c r="AP37" s="169"/>
      <c r="AQ37" s="169">
        <v>20</v>
      </c>
      <c r="AR37" s="169">
        <v>20</v>
      </c>
      <c r="AS37" s="169">
        <v>0</v>
      </c>
      <c r="AT37" s="170"/>
      <c r="AU37" s="170"/>
      <c r="AV37" s="170"/>
      <c r="AW37" s="170">
        <v>1</v>
      </c>
      <c r="AX37" s="170">
        <v>0</v>
      </c>
      <c r="AY37" s="170"/>
      <c r="AZ37" s="170">
        <v>24</v>
      </c>
      <c r="BA37" s="170">
        <v>11</v>
      </c>
      <c r="BB37" s="170">
        <v>301</v>
      </c>
      <c r="BC37" s="170">
        <v>301</v>
      </c>
      <c r="BD37" s="35">
        <v>1</v>
      </c>
      <c r="BE37" s="35">
        <v>27</v>
      </c>
    </row>
    <row r="38" spans="1:57">
      <c r="A38" s="151" t="s">
        <v>1078</v>
      </c>
      <c r="B38" s="151" t="s">
        <v>1079</v>
      </c>
      <c r="D38" s="167">
        <v>8774</v>
      </c>
      <c r="E38" s="167">
        <v>8774</v>
      </c>
      <c r="F38" s="167">
        <v>8774</v>
      </c>
      <c r="G38" s="167">
        <v>0</v>
      </c>
      <c r="H38" s="167">
        <v>0</v>
      </c>
      <c r="I38" s="167">
        <v>0</v>
      </c>
      <c r="J38" s="167">
        <v>0</v>
      </c>
      <c r="K38" s="167">
        <v>0</v>
      </c>
      <c r="L38" s="167">
        <v>0</v>
      </c>
      <c r="M38" s="167">
        <v>0</v>
      </c>
      <c r="N38" s="167">
        <v>0</v>
      </c>
      <c r="O38" s="167">
        <v>0</v>
      </c>
      <c r="P38" s="167">
        <v>0</v>
      </c>
      <c r="Q38" s="167">
        <v>0</v>
      </c>
      <c r="R38" s="167">
        <v>0</v>
      </c>
      <c r="S38" s="167">
        <v>0</v>
      </c>
      <c r="T38" s="167">
        <v>0</v>
      </c>
      <c r="U38" s="167">
        <v>0</v>
      </c>
      <c r="V38" s="167">
        <v>0</v>
      </c>
      <c r="W38" s="167">
        <v>0</v>
      </c>
      <c r="X38" s="167">
        <v>0</v>
      </c>
      <c r="Y38" s="167">
        <v>0</v>
      </c>
      <c r="Z38" s="167">
        <v>0</v>
      </c>
      <c r="AA38" s="167"/>
      <c r="AB38" s="167"/>
      <c r="AC38" s="167"/>
      <c r="AD38" s="168"/>
      <c r="AE38" s="168">
        <v>35017</v>
      </c>
      <c r="AF38" s="168">
        <v>32960</v>
      </c>
      <c r="AG38" s="168">
        <v>32960</v>
      </c>
      <c r="AH38" s="168">
        <v>32960</v>
      </c>
      <c r="AI38" s="168"/>
      <c r="AJ38" s="168">
        <v>26747</v>
      </c>
      <c r="AK38" s="169">
        <v>26747</v>
      </c>
      <c r="AL38" s="169">
        <v>24180</v>
      </c>
      <c r="AM38" s="169"/>
      <c r="AO38" s="169">
        <v>22801</v>
      </c>
      <c r="AP38" s="169">
        <v>22801</v>
      </c>
      <c r="AQ38" s="169">
        <v>22801</v>
      </c>
      <c r="AR38" s="169">
        <v>22801</v>
      </c>
      <c r="AS38" s="169">
        <v>12801</v>
      </c>
      <c r="AT38" s="170">
        <v>12801</v>
      </c>
      <c r="AU38" s="170">
        <v>12801</v>
      </c>
      <c r="AV38" s="170">
        <v>6301</v>
      </c>
      <c r="AW38" s="170">
        <v>1301</v>
      </c>
      <c r="AX38" s="170">
        <v>301</v>
      </c>
      <c r="AY38" s="170">
        <v>301</v>
      </c>
      <c r="AZ38" s="170">
        <v>301</v>
      </c>
      <c r="BA38" s="170">
        <v>301</v>
      </c>
      <c r="BB38" s="170"/>
      <c r="BC38" s="170"/>
      <c r="BD38" s="170">
        <v>301</v>
      </c>
      <c r="BE38" s="170">
        <v>301</v>
      </c>
    </row>
    <row r="39" spans="1:57">
      <c r="A39" s="151" t="s">
        <v>1162</v>
      </c>
      <c r="B39" s="151" t="s">
        <v>1133</v>
      </c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  <c r="AA39" s="167"/>
      <c r="AB39" s="167"/>
      <c r="AC39" s="167"/>
      <c r="AD39" s="168"/>
      <c r="AE39" s="168"/>
      <c r="AF39" s="168"/>
      <c r="AG39" s="168"/>
      <c r="AH39" s="168"/>
      <c r="AI39" s="168"/>
      <c r="AJ39" s="168"/>
      <c r="AK39" s="169"/>
      <c r="AL39" s="169"/>
      <c r="AM39" s="169"/>
      <c r="AN39" s="169">
        <v>24180</v>
      </c>
      <c r="AO39" s="169"/>
      <c r="AP39" s="169"/>
      <c r="AQ39" s="169"/>
      <c r="AR39" s="169"/>
      <c r="AS39" s="169"/>
      <c r="AT39" s="170"/>
      <c r="AU39" s="170"/>
      <c r="AV39" s="170"/>
      <c r="AW39" s="170"/>
      <c r="AX39" s="170"/>
      <c r="AY39" s="170"/>
      <c r="AZ39" s="170"/>
      <c r="BA39" s="170"/>
      <c r="BB39" s="170"/>
      <c r="BC39" s="170"/>
      <c r="BD39" s="170"/>
      <c r="BE39" s="170"/>
    </row>
    <row r="40" spans="1:57">
      <c r="A40" s="151" t="s">
        <v>1080</v>
      </c>
      <c r="B40" s="151" t="s">
        <v>96</v>
      </c>
      <c r="D40" s="167">
        <v>295659</v>
      </c>
      <c r="E40" s="167">
        <v>402799</v>
      </c>
      <c r="F40" s="167">
        <v>406905</v>
      </c>
      <c r="G40" s="167">
        <v>416147</v>
      </c>
      <c r="H40" s="167">
        <v>425403</v>
      </c>
      <c r="I40" s="167">
        <v>536223</v>
      </c>
      <c r="J40" s="167">
        <v>546948</v>
      </c>
      <c r="K40" s="167">
        <v>565269</v>
      </c>
      <c r="L40" s="167">
        <v>576025</v>
      </c>
      <c r="M40" s="167">
        <v>289423</v>
      </c>
      <c r="N40" s="167">
        <v>296425</v>
      </c>
      <c r="O40" s="167">
        <v>302865</v>
      </c>
      <c r="P40" s="167">
        <v>308594</v>
      </c>
      <c r="Q40" s="167">
        <v>315906</v>
      </c>
      <c r="R40" s="167">
        <v>297864</v>
      </c>
      <c r="S40" s="167">
        <v>48219</v>
      </c>
      <c r="T40" s="167">
        <v>16925</v>
      </c>
      <c r="U40" s="167">
        <v>0</v>
      </c>
      <c r="V40" s="167">
        <v>8539</v>
      </c>
      <c r="W40" s="167">
        <v>8661</v>
      </c>
      <c r="X40" s="167">
        <v>8781</v>
      </c>
      <c r="Y40" s="167">
        <v>8899</v>
      </c>
      <c r="Z40" s="167">
        <v>9025</v>
      </c>
      <c r="AA40" s="167">
        <v>9145</v>
      </c>
      <c r="AB40" s="167">
        <v>9265</v>
      </c>
      <c r="AC40" s="167">
        <v>9270</v>
      </c>
      <c r="AD40" s="168">
        <v>9890</v>
      </c>
      <c r="AE40" s="168">
        <v>9569</v>
      </c>
      <c r="AF40" s="168">
        <v>9601</v>
      </c>
      <c r="AG40" s="168">
        <v>20310</v>
      </c>
      <c r="AH40" s="168">
        <v>171296</v>
      </c>
      <c r="AI40" s="168">
        <v>9673</v>
      </c>
      <c r="AJ40" s="168">
        <v>9511</v>
      </c>
      <c r="AK40" s="169">
        <v>9348</v>
      </c>
      <c r="AL40" s="169">
        <v>126763</v>
      </c>
      <c r="AM40" s="169">
        <v>129192</v>
      </c>
      <c r="AN40" s="169">
        <v>136131</v>
      </c>
      <c r="AO40" s="169">
        <v>140039</v>
      </c>
      <c r="AP40" s="169">
        <v>122525</v>
      </c>
      <c r="AQ40" s="169">
        <v>121691</v>
      </c>
      <c r="AR40" s="169">
        <v>121691</v>
      </c>
      <c r="AS40" s="169">
        <v>117385</v>
      </c>
      <c r="AT40" s="170">
        <v>117192</v>
      </c>
      <c r="AU40" s="170">
        <v>119695</v>
      </c>
      <c r="AV40" s="170">
        <v>119118</v>
      </c>
      <c r="AW40" s="170">
        <v>121847</v>
      </c>
      <c r="AX40" s="170">
        <v>124045</v>
      </c>
      <c r="AY40" s="170">
        <v>128917</v>
      </c>
      <c r="AZ40" s="170">
        <v>130567</v>
      </c>
      <c r="BA40" s="170">
        <v>128687</v>
      </c>
      <c r="BB40" s="170">
        <v>129239</v>
      </c>
      <c r="BC40" s="170">
        <v>179805</v>
      </c>
      <c r="BD40" s="170">
        <v>177197</v>
      </c>
      <c r="BE40" s="170">
        <v>180929</v>
      </c>
    </row>
    <row r="41" spans="1:57">
      <c r="A41" s="151" t="s">
        <v>1341</v>
      </c>
      <c r="B41" s="151" t="s">
        <v>1216</v>
      </c>
      <c r="D41" s="167">
        <v>0</v>
      </c>
      <c r="E41" s="167">
        <v>0</v>
      </c>
      <c r="F41" s="167">
        <v>50000</v>
      </c>
      <c r="G41" s="167">
        <v>50000</v>
      </c>
      <c r="H41" s="167">
        <v>295000</v>
      </c>
      <c r="I41" s="167">
        <v>306000</v>
      </c>
      <c r="J41" s="167">
        <v>306000</v>
      </c>
      <c r="K41" s="167">
        <v>306000</v>
      </c>
      <c r="L41" s="167">
        <v>306000</v>
      </c>
      <c r="M41" s="167">
        <v>0</v>
      </c>
      <c r="N41" s="167">
        <v>0</v>
      </c>
      <c r="O41" s="167">
        <v>0</v>
      </c>
      <c r="P41" s="167">
        <v>0</v>
      </c>
      <c r="Q41" s="167">
        <v>0</v>
      </c>
      <c r="R41" s="167">
        <v>0</v>
      </c>
      <c r="S41" s="167">
        <v>0</v>
      </c>
      <c r="T41" s="167">
        <v>24269</v>
      </c>
      <c r="U41" s="167">
        <v>72567</v>
      </c>
      <c r="V41" s="167">
        <v>25871</v>
      </c>
      <c r="W41" s="167">
        <v>0</v>
      </c>
      <c r="X41" s="167">
        <v>0</v>
      </c>
      <c r="Y41" s="167">
        <v>6730</v>
      </c>
      <c r="Z41" s="167">
        <v>7995</v>
      </c>
      <c r="AA41" s="167">
        <v>1000</v>
      </c>
      <c r="AB41" s="167">
        <v>5309</v>
      </c>
      <c r="AC41" s="167">
        <v>9386</v>
      </c>
      <c r="AD41" s="168">
        <v>9270</v>
      </c>
      <c r="AE41" s="168"/>
      <c r="AF41" s="168"/>
      <c r="AG41" s="168"/>
      <c r="AH41" s="168"/>
      <c r="AI41" s="168"/>
      <c r="AJ41" s="168"/>
      <c r="AK41" s="169"/>
      <c r="AL41" s="169"/>
      <c r="AM41" s="169"/>
      <c r="AO41" s="169"/>
      <c r="AP41" s="169"/>
      <c r="AQ41" s="169"/>
      <c r="AR41" s="169"/>
      <c r="AS41" s="169"/>
      <c r="AT41" s="170"/>
      <c r="AU41" s="170"/>
      <c r="AV41" s="170"/>
      <c r="AW41" s="170"/>
      <c r="AX41" s="170"/>
      <c r="AY41" s="170"/>
      <c r="AZ41" s="170"/>
      <c r="BA41" s="170"/>
      <c r="BB41" s="170"/>
      <c r="BC41" s="170"/>
      <c r="BD41" s="170"/>
      <c r="BE41" s="170"/>
    </row>
    <row r="42" spans="1:57" ht="15" thickBot="1">
      <c r="A42" s="154" t="s">
        <v>1086</v>
      </c>
      <c r="B42" s="154" t="s">
        <v>1087</v>
      </c>
      <c r="D42" s="167">
        <v>0</v>
      </c>
      <c r="E42" s="167">
        <v>0</v>
      </c>
      <c r="F42" s="167">
        <v>0</v>
      </c>
      <c r="G42" s="167">
        <v>0</v>
      </c>
      <c r="H42" s="167">
        <v>0</v>
      </c>
      <c r="I42" s="167">
        <v>0</v>
      </c>
      <c r="J42" s="167">
        <v>0</v>
      </c>
      <c r="K42" s="167">
        <v>0</v>
      </c>
      <c r="L42" s="167">
        <v>0</v>
      </c>
      <c r="M42" s="167">
        <v>0</v>
      </c>
      <c r="N42" s="167">
        <v>0</v>
      </c>
      <c r="O42" s="167">
        <v>0</v>
      </c>
      <c r="P42" s="167">
        <v>0</v>
      </c>
      <c r="Q42" s="167">
        <v>0</v>
      </c>
      <c r="R42" s="167">
        <v>0</v>
      </c>
      <c r="S42" s="167">
        <v>0</v>
      </c>
      <c r="T42" s="167">
        <v>0</v>
      </c>
      <c r="U42" s="167">
        <v>0</v>
      </c>
      <c r="V42" s="167">
        <v>0</v>
      </c>
      <c r="W42" s="167">
        <v>0</v>
      </c>
      <c r="X42" s="167">
        <v>0</v>
      </c>
      <c r="Y42" s="167"/>
      <c r="Z42" s="167">
        <v>0</v>
      </c>
      <c r="AA42" s="167"/>
      <c r="AB42" s="167"/>
      <c r="AC42" s="167"/>
      <c r="AD42" s="168"/>
      <c r="AE42" s="168"/>
      <c r="AF42" s="168"/>
      <c r="AG42" s="168"/>
      <c r="AH42" s="168"/>
      <c r="AI42" s="168"/>
      <c r="AJ42" s="168"/>
      <c r="AK42" s="169"/>
      <c r="AL42" s="169"/>
      <c r="AM42" s="169"/>
      <c r="AO42" s="169"/>
      <c r="AP42" s="169"/>
      <c r="AQ42" s="169"/>
      <c r="AR42" s="169"/>
      <c r="AS42" s="169"/>
      <c r="AT42" s="170"/>
      <c r="AU42" s="170"/>
      <c r="AV42" s="170"/>
      <c r="AW42" s="170"/>
      <c r="AX42" s="170"/>
      <c r="AY42" s="170"/>
      <c r="AZ42" s="170"/>
      <c r="BA42" s="170"/>
      <c r="BB42" s="170"/>
      <c r="BC42" s="170"/>
      <c r="BD42" s="170"/>
      <c r="BE42" s="170"/>
    </row>
    <row r="43" spans="1:57" ht="15" thickBot="1">
      <c r="A43" s="155" t="s">
        <v>1164</v>
      </c>
      <c r="B43" s="155" t="s">
        <v>1165</v>
      </c>
      <c r="D43" s="156">
        <f>SUM(D44:D48)</f>
        <v>1331054</v>
      </c>
      <c r="E43" s="156">
        <f t="shared" ref="E43:AE43" si="10">SUM(E44:E48)</f>
        <v>1126204</v>
      </c>
      <c r="F43" s="156">
        <f t="shared" si="10"/>
        <v>1327705</v>
      </c>
      <c r="G43" s="156">
        <f t="shared" si="10"/>
        <v>1253071</v>
      </c>
      <c r="H43" s="156">
        <f t="shared" si="10"/>
        <v>1255318</v>
      </c>
      <c r="I43" s="156">
        <f t="shared" si="10"/>
        <v>1054377</v>
      </c>
      <c r="J43" s="156">
        <f t="shared" si="10"/>
        <v>1326656</v>
      </c>
      <c r="K43" s="156">
        <f t="shared" si="10"/>
        <v>1769227</v>
      </c>
      <c r="L43" s="156">
        <f t="shared" si="10"/>
        <v>1852732</v>
      </c>
      <c r="M43" s="156">
        <f t="shared" si="10"/>
        <v>2917375</v>
      </c>
      <c r="N43" s="156">
        <f t="shared" si="10"/>
        <v>2985639</v>
      </c>
      <c r="O43" s="156">
        <f t="shared" si="10"/>
        <v>3046365</v>
      </c>
      <c r="P43" s="156">
        <f t="shared" si="10"/>
        <v>3184107</v>
      </c>
      <c r="Q43" s="156">
        <f t="shared" si="10"/>
        <v>3284359</v>
      </c>
      <c r="R43" s="156">
        <f t="shared" si="10"/>
        <v>3460485</v>
      </c>
      <c r="S43" s="156">
        <f t="shared" si="10"/>
        <v>3512516</v>
      </c>
      <c r="T43" s="156">
        <f t="shared" si="10"/>
        <v>3559022</v>
      </c>
      <c r="U43" s="156">
        <f t="shared" si="10"/>
        <v>3576814</v>
      </c>
      <c r="V43" s="156">
        <f t="shared" si="10"/>
        <v>3958515</v>
      </c>
      <c r="W43" s="156">
        <f t="shared" si="10"/>
        <v>4676858</v>
      </c>
      <c r="X43" s="156">
        <f t="shared" si="10"/>
        <v>4930749</v>
      </c>
      <c r="Y43" s="156">
        <f t="shared" si="10"/>
        <v>5011099</v>
      </c>
      <c r="Z43" s="156">
        <f t="shared" si="10"/>
        <v>5342120</v>
      </c>
      <c r="AA43" s="156">
        <f t="shared" si="10"/>
        <v>6987640</v>
      </c>
      <c r="AB43" s="156">
        <f t="shared" si="10"/>
        <v>7583981</v>
      </c>
      <c r="AC43" s="156">
        <f t="shared" si="10"/>
        <v>7922919</v>
      </c>
      <c r="AD43" s="156">
        <f t="shared" si="10"/>
        <v>8317977</v>
      </c>
      <c r="AE43" s="156">
        <f t="shared" si="10"/>
        <v>8669233</v>
      </c>
      <c r="AF43" s="156">
        <f t="shared" ref="AF43:AS43" si="11">SUM(AF44:AF49)</f>
        <v>9178276</v>
      </c>
      <c r="AG43" s="156">
        <f t="shared" si="11"/>
        <v>9474276</v>
      </c>
      <c r="AH43" s="156">
        <f t="shared" si="11"/>
        <v>10259692</v>
      </c>
      <c r="AI43" s="156">
        <f t="shared" si="11"/>
        <v>10628143</v>
      </c>
      <c r="AJ43" s="156">
        <f t="shared" si="11"/>
        <v>10967694</v>
      </c>
      <c r="AK43" s="156">
        <f t="shared" si="11"/>
        <v>10427047</v>
      </c>
      <c r="AL43" s="156">
        <f t="shared" si="11"/>
        <v>11748082.22497</v>
      </c>
      <c r="AM43" s="156">
        <f t="shared" si="11"/>
        <v>11861093.978800001</v>
      </c>
      <c r="AN43" s="156">
        <f t="shared" si="11"/>
        <v>19701173</v>
      </c>
      <c r="AO43" s="156">
        <f t="shared" si="11"/>
        <v>19547727</v>
      </c>
      <c r="AP43" s="156">
        <f t="shared" si="11"/>
        <v>20206060</v>
      </c>
      <c r="AQ43" s="156">
        <f t="shared" si="11"/>
        <v>20362981</v>
      </c>
      <c r="AR43" s="156">
        <f t="shared" si="11"/>
        <v>20365856</v>
      </c>
      <c r="AS43" s="156">
        <f t="shared" si="11"/>
        <v>20252521</v>
      </c>
      <c r="AT43" s="156">
        <f t="shared" ref="AT43:BA43" si="12">SUM(AT44:AT49)</f>
        <v>21712206</v>
      </c>
      <c r="AU43" s="156">
        <f t="shared" si="12"/>
        <v>21790180</v>
      </c>
      <c r="AV43" s="156">
        <f t="shared" si="12"/>
        <v>22098842</v>
      </c>
      <c r="AW43" s="156">
        <f t="shared" si="12"/>
        <v>22666973</v>
      </c>
      <c r="AX43" s="156">
        <f t="shared" si="12"/>
        <v>25477752</v>
      </c>
      <c r="AY43" s="156">
        <f t="shared" si="12"/>
        <v>29226933</v>
      </c>
      <c r="AZ43" s="156">
        <f t="shared" si="12"/>
        <v>29909311</v>
      </c>
      <c r="BA43" s="156">
        <f t="shared" si="12"/>
        <v>29953972</v>
      </c>
      <c r="BB43" s="156">
        <f t="shared" ref="BB43:BD43" si="13">SUM(BB44:BB49)</f>
        <v>30700912</v>
      </c>
      <c r="BC43" s="156">
        <f t="shared" si="13"/>
        <v>25253198</v>
      </c>
      <c r="BD43" s="156">
        <f t="shared" si="13"/>
        <v>26269211</v>
      </c>
      <c r="BE43" s="156">
        <f>SUM(BE44:BE49)</f>
        <v>27030544</v>
      </c>
    </row>
    <row r="44" spans="1:57">
      <c r="A44" s="151" t="s">
        <v>1088</v>
      </c>
      <c r="B44" s="151" t="s">
        <v>1089</v>
      </c>
      <c r="D44" s="167">
        <v>1330756</v>
      </c>
      <c r="E44" s="167">
        <v>1125906</v>
      </c>
      <c r="F44" s="167">
        <v>1327407</v>
      </c>
      <c r="G44" s="167">
        <v>1252773</v>
      </c>
      <c r="H44" s="167">
        <v>1255020</v>
      </c>
      <c r="I44" s="167">
        <v>1054079</v>
      </c>
      <c r="J44" s="167">
        <v>1326359</v>
      </c>
      <c r="K44" s="167">
        <v>1768930</v>
      </c>
      <c r="L44" s="167">
        <v>1852435</v>
      </c>
      <c r="M44" s="167">
        <v>2917127</v>
      </c>
      <c r="N44" s="167">
        <v>2985392</v>
      </c>
      <c r="O44" s="167">
        <v>3046120</v>
      </c>
      <c r="P44" s="167">
        <v>3183862</v>
      </c>
      <c r="Q44" s="167">
        <v>3284117</v>
      </c>
      <c r="R44" s="167">
        <v>3460243</v>
      </c>
      <c r="S44" s="167">
        <v>3512077</v>
      </c>
      <c r="T44" s="167">
        <v>3558420</v>
      </c>
      <c r="U44" s="167">
        <v>3575032</v>
      </c>
      <c r="V44" s="167">
        <v>3956794</v>
      </c>
      <c r="W44" s="167">
        <v>4675018</v>
      </c>
      <c r="X44" s="167">
        <v>4928878</v>
      </c>
      <c r="Y44" s="167">
        <v>5009016</v>
      </c>
      <c r="Z44" s="167">
        <v>5338416</v>
      </c>
      <c r="AA44" s="167">
        <v>6983602</v>
      </c>
      <c r="AB44" s="167">
        <v>7579853</v>
      </c>
      <c r="AC44" s="167">
        <v>7918759</v>
      </c>
      <c r="AD44" s="168">
        <v>8313843</v>
      </c>
      <c r="AE44" s="168">
        <v>8664022</v>
      </c>
      <c r="AF44" s="168">
        <v>9173094</v>
      </c>
      <c r="AG44" s="168">
        <v>9469124</v>
      </c>
      <c r="AH44" s="168">
        <v>10254570</v>
      </c>
      <c r="AI44" s="168">
        <v>10623050</v>
      </c>
      <c r="AJ44" s="168">
        <v>10962477</v>
      </c>
      <c r="AK44" s="169">
        <v>10420567</v>
      </c>
      <c r="AL44" s="169">
        <v>11741072.22497</v>
      </c>
      <c r="AM44" s="169">
        <v>11854280.978800001</v>
      </c>
      <c r="AN44" s="169">
        <v>19693411</v>
      </c>
      <c r="AO44" s="169">
        <v>19540079</v>
      </c>
      <c r="AP44" s="169">
        <v>20198408</v>
      </c>
      <c r="AQ44" s="169">
        <v>20353467</v>
      </c>
      <c r="AR44" s="169">
        <v>20356342</v>
      </c>
      <c r="AS44" s="169">
        <v>20242891</v>
      </c>
      <c r="AT44" s="170">
        <v>21702581</v>
      </c>
      <c r="AU44" s="170">
        <v>21783211</v>
      </c>
      <c r="AV44" s="170">
        <v>22091865</v>
      </c>
      <c r="AW44" s="170">
        <v>22659837</v>
      </c>
      <c r="AX44" s="170">
        <v>25470229</v>
      </c>
      <c r="AY44" s="170">
        <v>29219111</v>
      </c>
      <c r="AZ44" s="170">
        <v>29901695</v>
      </c>
      <c r="BA44" s="170">
        <v>29946440</v>
      </c>
      <c r="BB44" s="170">
        <v>30693634</v>
      </c>
      <c r="BC44" s="170">
        <v>25246249</v>
      </c>
      <c r="BD44" s="170">
        <v>26262526</v>
      </c>
      <c r="BE44" s="170">
        <v>27023870</v>
      </c>
    </row>
    <row r="45" spans="1:57">
      <c r="A45" s="151" t="s">
        <v>1090</v>
      </c>
      <c r="B45" s="151" t="s">
        <v>1091</v>
      </c>
      <c r="D45" s="167">
        <v>0</v>
      </c>
      <c r="E45" s="167">
        <v>0</v>
      </c>
      <c r="F45" s="167">
        <v>0</v>
      </c>
      <c r="G45" s="167">
        <v>0</v>
      </c>
      <c r="H45" s="167">
        <v>0</v>
      </c>
      <c r="I45" s="167">
        <v>0</v>
      </c>
      <c r="J45" s="167">
        <v>0</v>
      </c>
      <c r="K45" s="167">
        <v>0</v>
      </c>
      <c r="L45" s="167">
        <v>0</v>
      </c>
      <c r="M45" s="167">
        <v>0</v>
      </c>
      <c r="N45" s="167">
        <v>0</v>
      </c>
      <c r="O45" s="167">
        <v>0</v>
      </c>
      <c r="P45" s="167">
        <v>0</v>
      </c>
      <c r="Q45" s="167">
        <v>0</v>
      </c>
      <c r="R45" s="167">
        <v>0</v>
      </c>
      <c r="S45" s="167">
        <v>0</v>
      </c>
      <c r="T45" s="167">
        <v>0</v>
      </c>
      <c r="U45" s="167">
        <v>0</v>
      </c>
      <c r="V45" s="167">
        <v>0</v>
      </c>
      <c r="W45" s="167">
        <v>0</v>
      </c>
      <c r="X45" s="167">
        <v>0</v>
      </c>
      <c r="Y45" s="167">
        <v>0</v>
      </c>
      <c r="Z45" s="167">
        <v>0</v>
      </c>
      <c r="AA45" s="167"/>
      <c r="AB45" s="167"/>
      <c r="AC45" s="167"/>
      <c r="AD45" s="168"/>
      <c r="AE45" s="168"/>
      <c r="AF45" s="168"/>
      <c r="AG45" s="168"/>
      <c r="AH45" s="168"/>
      <c r="AI45" s="168"/>
      <c r="AJ45" s="168"/>
      <c r="AK45" s="169"/>
      <c r="AL45" s="169"/>
      <c r="AM45" s="169"/>
      <c r="AO45" s="169"/>
      <c r="AP45" s="169"/>
      <c r="AQ45" s="169"/>
      <c r="AR45" s="169"/>
      <c r="AS45" s="169"/>
      <c r="AT45" s="170"/>
      <c r="AU45" s="170"/>
      <c r="AV45" s="170"/>
      <c r="AW45" s="170"/>
      <c r="AX45" s="170"/>
      <c r="AY45" s="170"/>
      <c r="AZ45" s="170"/>
      <c r="BA45" s="170"/>
      <c r="BB45" s="170"/>
      <c r="BC45" s="170"/>
      <c r="BD45" s="170"/>
      <c r="BE45" s="170"/>
    </row>
    <row r="46" spans="1:57">
      <c r="A46" s="151" t="s">
        <v>1188</v>
      </c>
      <c r="B46" s="151" t="s">
        <v>1189</v>
      </c>
      <c r="D46" s="167">
        <v>298</v>
      </c>
      <c r="E46" s="167">
        <v>298</v>
      </c>
      <c r="F46" s="167">
        <v>298</v>
      </c>
      <c r="G46" s="167">
        <v>298</v>
      </c>
      <c r="H46" s="167">
        <v>298</v>
      </c>
      <c r="I46" s="167">
        <v>298</v>
      </c>
      <c r="J46" s="167">
        <v>297</v>
      </c>
      <c r="K46" s="167">
        <v>297</v>
      </c>
      <c r="L46" s="167">
        <v>297</v>
      </c>
      <c r="M46" s="167">
        <v>248</v>
      </c>
      <c r="N46" s="167">
        <v>247</v>
      </c>
      <c r="O46" s="167">
        <v>245</v>
      </c>
      <c r="P46" s="167">
        <v>245</v>
      </c>
      <c r="Q46" s="167">
        <v>242</v>
      </c>
      <c r="R46" s="167">
        <v>242</v>
      </c>
      <c r="S46" s="167">
        <v>439</v>
      </c>
      <c r="T46" s="167">
        <v>602</v>
      </c>
      <c r="U46" s="167">
        <v>1782</v>
      </c>
      <c r="V46" s="167">
        <v>1721</v>
      </c>
      <c r="W46" s="167">
        <v>1840</v>
      </c>
      <c r="X46" s="167">
        <v>1871</v>
      </c>
      <c r="Y46" s="167">
        <v>2083</v>
      </c>
      <c r="Z46" s="167">
        <v>2489</v>
      </c>
      <c r="AA46" s="167">
        <v>2819</v>
      </c>
      <c r="AB46" s="167">
        <v>2817</v>
      </c>
      <c r="AC46" s="167">
        <v>2816</v>
      </c>
      <c r="AD46" s="168">
        <v>2782</v>
      </c>
      <c r="AE46" s="168">
        <v>2782</v>
      </c>
      <c r="AF46" s="168">
        <v>2782</v>
      </c>
      <c r="AG46" s="168">
        <v>2781</v>
      </c>
      <c r="AH46" s="168">
        <v>2782</v>
      </c>
      <c r="AI46" s="168">
        <v>2782</v>
      </c>
      <c r="AJ46" s="168">
        <v>2936</v>
      </c>
      <c r="AK46" s="169">
        <v>3027</v>
      </c>
      <c r="AL46" s="169">
        <v>3027</v>
      </c>
      <c r="AM46" s="169">
        <v>2908</v>
      </c>
      <c r="AN46" s="169">
        <v>2895</v>
      </c>
      <c r="AO46" s="169">
        <v>2881</v>
      </c>
      <c r="AP46" s="169">
        <v>2867</v>
      </c>
      <c r="AQ46" s="169">
        <v>3230</v>
      </c>
      <c r="AR46" s="169">
        <v>3230</v>
      </c>
      <c r="AS46" s="169">
        <v>3318</v>
      </c>
      <c r="AT46" s="170">
        <v>3318</v>
      </c>
      <c r="AU46" s="170">
        <v>668</v>
      </c>
      <c r="AV46" s="170">
        <v>652</v>
      </c>
      <c r="AW46" s="170">
        <v>784</v>
      </c>
      <c r="AX46" s="170">
        <v>1172</v>
      </c>
      <c r="AY46" s="170">
        <v>2094</v>
      </c>
      <c r="AZ46" s="170">
        <v>2154</v>
      </c>
      <c r="BA46" s="170">
        <v>2360</v>
      </c>
      <c r="BB46" s="170">
        <v>2394</v>
      </c>
      <c r="BC46" s="170">
        <v>2354</v>
      </c>
      <c r="BD46" s="170">
        <v>2240</v>
      </c>
      <c r="BE46" s="170">
        <v>2497</v>
      </c>
    </row>
    <row r="47" spans="1:57">
      <c r="A47" s="151" t="s">
        <v>1288</v>
      </c>
      <c r="B47" s="151" t="s">
        <v>1187</v>
      </c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167"/>
      <c r="AC47" s="167"/>
      <c r="AD47" s="168"/>
      <c r="AE47" s="168"/>
      <c r="AF47" s="168"/>
      <c r="AG47" s="168"/>
      <c r="AH47" s="168"/>
      <c r="AI47" s="168"/>
      <c r="AJ47" s="168"/>
      <c r="AK47" s="169"/>
      <c r="AL47" s="169"/>
      <c r="AM47" s="169"/>
      <c r="AO47" s="169"/>
      <c r="AP47" s="169"/>
      <c r="AQ47" s="169"/>
      <c r="AR47" s="169"/>
      <c r="AS47" s="169"/>
      <c r="AT47" s="170"/>
      <c r="AU47" s="170"/>
      <c r="AV47" s="170"/>
      <c r="AW47" s="170"/>
      <c r="AX47" s="170"/>
      <c r="AY47" s="170"/>
      <c r="AZ47" s="170"/>
      <c r="BA47" s="170"/>
      <c r="BB47" s="170"/>
      <c r="BC47" s="170"/>
      <c r="BD47" s="170"/>
      <c r="BE47" s="170"/>
    </row>
    <row r="48" spans="1:57">
      <c r="A48" s="151" t="s">
        <v>1092</v>
      </c>
      <c r="B48" s="151" t="s">
        <v>1093</v>
      </c>
      <c r="D48" s="167">
        <v>0</v>
      </c>
      <c r="E48" s="167">
        <v>0</v>
      </c>
      <c r="F48" s="167">
        <v>0</v>
      </c>
      <c r="G48" s="167">
        <v>0</v>
      </c>
      <c r="H48" s="167">
        <v>0</v>
      </c>
      <c r="I48" s="167">
        <v>0</v>
      </c>
      <c r="J48" s="167">
        <v>0</v>
      </c>
      <c r="K48" s="167">
        <v>0</v>
      </c>
      <c r="L48" s="167">
        <v>0</v>
      </c>
      <c r="M48" s="167">
        <v>0</v>
      </c>
      <c r="N48" s="167">
        <v>0</v>
      </c>
      <c r="O48" s="167">
        <v>0</v>
      </c>
      <c r="P48" s="167">
        <v>0</v>
      </c>
      <c r="Q48" s="167">
        <v>0</v>
      </c>
      <c r="R48" s="167">
        <v>0</v>
      </c>
      <c r="S48" s="167">
        <v>0</v>
      </c>
      <c r="T48" s="167">
        <v>0</v>
      </c>
      <c r="U48" s="167">
        <v>0</v>
      </c>
      <c r="V48" s="167">
        <v>0</v>
      </c>
      <c r="W48" s="167">
        <v>0</v>
      </c>
      <c r="X48" s="167">
        <v>0</v>
      </c>
      <c r="Y48" s="167">
        <v>0</v>
      </c>
      <c r="Z48" s="167">
        <v>1215</v>
      </c>
      <c r="AA48" s="167">
        <v>1219</v>
      </c>
      <c r="AB48" s="167">
        <v>1311</v>
      </c>
      <c r="AC48" s="167">
        <v>1344</v>
      </c>
      <c r="AD48" s="168">
        <v>1352</v>
      </c>
      <c r="AE48" s="168">
        <f>1437+992</f>
        <v>2429</v>
      </c>
      <c r="AF48" s="168">
        <v>1437</v>
      </c>
      <c r="AG48" s="168">
        <v>1438</v>
      </c>
      <c r="AH48" s="168">
        <v>1437</v>
      </c>
      <c r="AI48" s="168">
        <v>1437</v>
      </c>
      <c r="AJ48" s="168">
        <v>1437</v>
      </c>
      <c r="AK48" s="169">
        <v>2638</v>
      </c>
      <c r="AL48" s="169">
        <v>3438</v>
      </c>
      <c r="AM48" s="169">
        <v>3401</v>
      </c>
      <c r="AN48" s="169">
        <v>4404</v>
      </c>
      <c r="AO48" s="169">
        <v>4767</v>
      </c>
      <c r="AP48" s="169">
        <v>4785</v>
      </c>
      <c r="AQ48" s="169">
        <v>6284</v>
      </c>
      <c r="AR48" s="169">
        <v>6284</v>
      </c>
      <c r="AS48" s="169">
        <v>6312</v>
      </c>
      <c r="AT48" s="170">
        <v>6307</v>
      </c>
      <c r="AU48" s="170">
        <v>6301</v>
      </c>
      <c r="AV48" s="170">
        <v>6325</v>
      </c>
      <c r="AW48" s="170">
        <v>6352</v>
      </c>
      <c r="AX48" s="170">
        <v>6351</v>
      </c>
      <c r="AY48" s="170">
        <v>5728</v>
      </c>
      <c r="AZ48" s="170">
        <v>5462</v>
      </c>
      <c r="BA48" s="170">
        <v>5172</v>
      </c>
      <c r="BB48" s="170">
        <v>4884</v>
      </c>
      <c r="BC48" s="170">
        <v>4595</v>
      </c>
      <c r="BD48" s="170">
        <v>4445</v>
      </c>
      <c r="BE48" s="170">
        <v>4177</v>
      </c>
    </row>
    <row r="49" spans="1:57" ht="15" thickBot="1">
      <c r="A49" s="151" t="s">
        <v>1096</v>
      </c>
      <c r="B49" s="151" t="s">
        <v>1097</v>
      </c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7"/>
      <c r="AA49" s="167"/>
      <c r="AB49" s="167"/>
      <c r="AC49" s="167"/>
      <c r="AD49" s="168"/>
      <c r="AE49" s="168"/>
      <c r="AF49" s="168">
        <v>963</v>
      </c>
      <c r="AG49" s="168">
        <v>933</v>
      </c>
      <c r="AH49" s="168">
        <v>903</v>
      </c>
      <c r="AI49" s="168">
        <v>874</v>
      </c>
      <c r="AJ49" s="168">
        <v>844</v>
      </c>
      <c r="AK49" s="169">
        <v>815</v>
      </c>
      <c r="AL49" s="169">
        <v>545</v>
      </c>
      <c r="AM49" s="169">
        <v>504</v>
      </c>
      <c r="AN49" s="169">
        <v>463</v>
      </c>
      <c r="AO49" s="169"/>
      <c r="AP49" s="169">
        <v>0</v>
      </c>
      <c r="AQ49" s="169"/>
      <c r="AR49" s="169"/>
      <c r="AS49" s="169"/>
      <c r="AT49" s="170"/>
      <c r="AU49" s="170"/>
      <c r="AV49" s="170"/>
      <c r="AW49" s="170"/>
      <c r="AX49" s="170"/>
      <c r="AY49" s="170"/>
      <c r="AZ49" s="170"/>
      <c r="BA49" s="170"/>
      <c r="BB49" s="170"/>
      <c r="BC49" s="170"/>
      <c r="BD49" s="170"/>
      <c r="BE49" s="170"/>
    </row>
    <row r="50" spans="1:57" ht="15" thickBot="1">
      <c r="A50" s="155" t="s">
        <v>1098</v>
      </c>
      <c r="B50" s="155" t="s">
        <v>1099</v>
      </c>
      <c r="D50" s="156">
        <f t="shared" ref="D50:AE50" si="14">D28+D8</f>
        <v>2451141</v>
      </c>
      <c r="E50" s="156">
        <f t="shared" si="14"/>
        <v>2257637</v>
      </c>
      <c r="F50" s="156">
        <f t="shared" si="14"/>
        <v>2468160</v>
      </c>
      <c r="G50" s="156">
        <f t="shared" si="14"/>
        <v>2390881</v>
      </c>
      <c r="H50" s="156">
        <f t="shared" si="14"/>
        <v>2391937</v>
      </c>
      <c r="I50" s="156">
        <f t="shared" si="14"/>
        <v>2212865</v>
      </c>
      <c r="J50" s="156">
        <f t="shared" si="14"/>
        <v>2506340</v>
      </c>
      <c r="K50" s="156">
        <f t="shared" si="14"/>
        <v>3000101</v>
      </c>
      <c r="L50" s="156">
        <f t="shared" si="14"/>
        <v>3097377</v>
      </c>
      <c r="M50" s="156">
        <f t="shared" si="14"/>
        <v>3607043</v>
      </c>
      <c r="N50" s="156">
        <f t="shared" si="14"/>
        <v>3689169</v>
      </c>
      <c r="O50" s="156">
        <f t="shared" si="14"/>
        <v>3686144</v>
      </c>
      <c r="P50" s="156">
        <f t="shared" si="14"/>
        <v>3827163</v>
      </c>
      <c r="Q50" s="156">
        <f t="shared" si="14"/>
        <v>4012260</v>
      </c>
      <c r="R50" s="156">
        <f t="shared" si="14"/>
        <v>4202299</v>
      </c>
      <c r="S50" s="156">
        <f t="shared" si="14"/>
        <v>4203091</v>
      </c>
      <c r="T50" s="156">
        <f t="shared" si="14"/>
        <v>4261615</v>
      </c>
      <c r="U50" s="156">
        <f t="shared" si="14"/>
        <v>4387277</v>
      </c>
      <c r="V50" s="156">
        <f t="shared" si="14"/>
        <v>4710699</v>
      </c>
      <c r="W50" s="156">
        <f t="shared" si="14"/>
        <v>6186325</v>
      </c>
      <c r="X50" s="156">
        <f t="shared" si="14"/>
        <v>6271181</v>
      </c>
      <c r="Y50" s="156">
        <f t="shared" si="14"/>
        <v>6381717</v>
      </c>
      <c r="Z50" s="156">
        <f t="shared" si="14"/>
        <v>7475393</v>
      </c>
      <c r="AA50" s="156">
        <f t="shared" si="14"/>
        <v>7934302</v>
      </c>
      <c r="AB50" s="156">
        <f t="shared" si="14"/>
        <v>8082328</v>
      </c>
      <c r="AC50" s="156">
        <f t="shared" si="14"/>
        <v>8445300</v>
      </c>
      <c r="AD50" s="156">
        <f t="shared" si="14"/>
        <v>8658749</v>
      </c>
      <c r="AE50" s="156">
        <f t="shared" si="14"/>
        <v>10245198</v>
      </c>
      <c r="AF50" s="156">
        <v>10034281</v>
      </c>
      <c r="AG50" s="156">
        <v>10431402</v>
      </c>
      <c r="AH50" s="156">
        <f t="shared" ref="AH50:BA50" si="15">AH28+AH8</f>
        <v>10653439</v>
      </c>
      <c r="AI50" s="156">
        <f t="shared" si="15"/>
        <v>11666770</v>
      </c>
      <c r="AJ50" s="156">
        <f t="shared" si="15"/>
        <v>11366760</v>
      </c>
      <c r="AK50" s="156">
        <f t="shared" si="15"/>
        <v>12005714</v>
      </c>
      <c r="AL50" s="156">
        <f t="shared" si="15"/>
        <v>13712956.22497</v>
      </c>
      <c r="AM50" s="156">
        <f t="shared" si="15"/>
        <v>16075283.978800001</v>
      </c>
      <c r="AN50" s="156">
        <f t="shared" si="15"/>
        <v>21519607</v>
      </c>
      <c r="AO50" s="156">
        <f t="shared" si="15"/>
        <v>21487005</v>
      </c>
      <c r="AP50" s="156">
        <f t="shared" si="15"/>
        <v>22046886</v>
      </c>
      <c r="AQ50" s="156">
        <f t="shared" si="15"/>
        <v>22386347</v>
      </c>
      <c r="AR50" s="156">
        <f t="shared" si="15"/>
        <v>22386347</v>
      </c>
      <c r="AS50" s="156">
        <f t="shared" si="15"/>
        <v>23403654</v>
      </c>
      <c r="AT50" s="156">
        <f t="shared" si="15"/>
        <v>24449220</v>
      </c>
      <c r="AU50" s="156">
        <f t="shared" si="15"/>
        <v>26035163</v>
      </c>
      <c r="AV50" s="156">
        <f t="shared" si="15"/>
        <v>24324976</v>
      </c>
      <c r="AW50" s="156">
        <f t="shared" si="15"/>
        <v>24870119</v>
      </c>
      <c r="AX50" s="156">
        <f t="shared" si="15"/>
        <v>28148653</v>
      </c>
      <c r="AY50" s="156">
        <f t="shared" si="15"/>
        <v>31144935</v>
      </c>
      <c r="AZ50" s="156">
        <f t="shared" si="15"/>
        <v>31798760</v>
      </c>
      <c r="BA50" s="156">
        <f t="shared" si="15"/>
        <v>32168317</v>
      </c>
      <c r="BB50" s="156">
        <f t="shared" ref="BB50:BD50" si="16">BB28+BB8</f>
        <v>32786690</v>
      </c>
      <c r="BC50" s="156">
        <f t="shared" si="16"/>
        <v>27955563</v>
      </c>
      <c r="BD50" s="156">
        <f t="shared" si="16"/>
        <v>28110744</v>
      </c>
      <c r="BE50" s="156">
        <f>BE28+BE8</f>
        <v>28650399</v>
      </c>
    </row>
    <row r="51" spans="1:57">
      <c r="A51" s="151"/>
      <c r="B51" s="151"/>
      <c r="D51" s="159"/>
      <c r="E51" s="159"/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159"/>
      <c r="W51" s="159"/>
      <c r="X51" s="159"/>
      <c r="Y51" s="159"/>
      <c r="Z51" s="159"/>
      <c r="AA51" s="159"/>
      <c r="AB51" s="159"/>
      <c r="AC51" s="159"/>
      <c r="AD51" s="176"/>
      <c r="AE51" s="176"/>
      <c r="AF51" s="176"/>
      <c r="AG51" s="176"/>
      <c r="AH51" s="176"/>
      <c r="AI51" s="176"/>
      <c r="AJ51" s="176"/>
      <c r="AK51" s="176"/>
      <c r="AL51" s="176"/>
      <c r="AM51" s="176"/>
      <c r="AO51" s="176"/>
      <c r="AP51" s="176"/>
      <c r="AQ51" s="176"/>
      <c r="AR51" s="176"/>
      <c r="AS51" s="176"/>
      <c r="AT51" s="176"/>
      <c r="AU51" s="176"/>
      <c r="AV51" s="176"/>
      <c r="AW51" s="176"/>
      <c r="AX51" s="176"/>
      <c r="AY51" s="176"/>
      <c r="AZ51" s="176"/>
      <c r="BA51" s="176"/>
      <c r="BB51" s="176"/>
      <c r="BC51" s="176"/>
      <c r="BD51" s="176"/>
      <c r="BE51" s="176"/>
    </row>
    <row r="52" spans="1:57" ht="15" thickBot="1">
      <c r="A52" s="6" t="s">
        <v>1100</v>
      </c>
      <c r="B52" s="6" t="s">
        <v>1101</v>
      </c>
      <c r="D52" s="434" t="str">
        <f t="shared" ref="D52:Y52" si="17">D7</f>
        <v>1T13</v>
      </c>
      <c r="E52" s="434" t="str">
        <f t="shared" si="17"/>
        <v>2T13</v>
      </c>
      <c r="F52" s="434" t="str">
        <f t="shared" si="17"/>
        <v>3T13</v>
      </c>
      <c r="G52" s="434" t="str">
        <f t="shared" si="17"/>
        <v>4T13</v>
      </c>
      <c r="H52" s="434" t="str">
        <f t="shared" si="17"/>
        <v>1T14</v>
      </c>
      <c r="I52" s="434" t="str">
        <f t="shared" si="17"/>
        <v>2T14</v>
      </c>
      <c r="J52" s="434" t="str">
        <f t="shared" si="17"/>
        <v>3T14</v>
      </c>
      <c r="K52" s="434" t="str">
        <f t="shared" si="17"/>
        <v>4T14</v>
      </c>
      <c r="L52" s="434" t="str">
        <f t="shared" si="17"/>
        <v>1T15</v>
      </c>
      <c r="M52" s="434" t="str">
        <f t="shared" si="17"/>
        <v>2T15</v>
      </c>
      <c r="N52" s="434" t="str">
        <f t="shared" si="17"/>
        <v>3T15</v>
      </c>
      <c r="O52" s="434" t="str">
        <f t="shared" si="17"/>
        <v>4T15</v>
      </c>
      <c r="P52" s="434" t="str">
        <f t="shared" si="17"/>
        <v>1T16</v>
      </c>
      <c r="Q52" s="434" t="str">
        <f t="shared" si="17"/>
        <v>2T16</v>
      </c>
      <c r="R52" s="434" t="str">
        <f t="shared" si="17"/>
        <v>3T16</v>
      </c>
      <c r="S52" s="434" t="str">
        <f t="shared" si="17"/>
        <v>4T16</v>
      </c>
      <c r="T52" s="434" t="str">
        <f t="shared" si="17"/>
        <v>1T17</v>
      </c>
      <c r="U52" s="434" t="str">
        <f t="shared" si="17"/>
        <v>2T17</v>
      </c>
      <c r="V52" s="434" t="str">
        <f t="shared" si="17"/>
        <v>3T17</v>
      </c>
      <c r="W52" s="434" t="str">
        <f t="shared" si="17"/>
        <v>4T17</v>
      </c>
      <c r="X52" s="434" t="str">
        <f t="shared" si="17"/>
        <v>1T18</v>
      </c>
      <c r="Y52" s="434" t="str">
        <f t="shared" si="17"/>
        <v>2T18</v>
      </c>
      <c r="Z52" s="434" t="s">
        <v>61</v>
      </c>
      <c r="AA52" s="434" t="s">
        <v>62</v>
      </c>
      <c r="AB52" s="434" t="s">
        <v>63</v>
      </c>
      <c r="AC52" s="434" t="s">
        <v>64</v>
      </c>
      <c r="AD52" s="468" t="s">
        <v>65</v>
      </c>
      <c r="AE52" s="468" t="s">
        <v>66</v>
      </c>
      <c r="AF52" s="468" t="str">
        <f t="shared" ref="AF52:AS52" si="18">AF7</f>
        <v>1T20</v>
      </c>
      <c r="AG52" s="468" t="str">
        <f t="shared" si="18"/>
        <v>2T20</v>
      </c>
      <c r="AH52" s="468" t="str">
        <f t="shared" si="18"/>
        <v>3T20</v>
      </c>
      <c r="AI52" s="468" t="str">
        <f t="shared" si="18"/>
        <v>4T20</v>
      </c>
      <c r="AJ52" s="468" t="str">
        <f t="shared" si="18"/>
        <v>1T21</v>
      </c>
      <c r="AK52" s="468" t="str">
        <f t="shared" si="18"/>
        <v>2T21</v>
      </c>
      <c r="AL52" s="468" t="str">
        <f t="shared" si="18"/>
        <v>3T21</v>
      </c>
      <c r="AM52" s="468" t="str">
        <f t="shared" si="18"/>
        <v>4T21</v>
      </c>
      <c r="AN52" s="468" t="str">
        <f t="shared" si="18"/>
        <v>1T22</v>
      </c>
      <c r="AO52" s="468" t="str">
        <f t="shared" si="18"/>
        <v>2T22</v>
      </c>
      <c r="AP52" s="468" t="str">
        <f t="shared" si="18"/>
        <v>3T22</v>
      </c>
      <c r="AQ52" s="468" t="str">
        <f t="shared" si="18"/>
        <v>4T22</v>
      </c>
      <c r="AR52" s="468" t="str">
        <f t="shared" si="18"/>
        <v>1T23</v>
      </c>
      <c r="AS52" s="468" t="str">
        <f t="shared" si="18"/>
        <v>2T23</v>
      </c>
      <c r="AT52" s="468" t="s">
        <v>81</v>
      </c>
      <c r="AU52" s="468" t="s">
        <v>82</v>
      </c>
      <c r="AV52" s="468" t="s">
        <v>83</v>
      </c>
      <c r="AW52" s="468" t="s">
        <v>84</v>
      </c>
      <c r="AX52" s="468" t="s">
        <v>85</v>
      </c>
      <c r="AY52" s="468" t="s">
        <v>86</v>
      </c>
      <c r="AZ52" s="468" t="s">
        <v>87</v>
      </c>
      <c r="BA52" s="630" t="str">
        <f>+BA7</f>
        <v>2T25</v>
      </c>
      <c r="BB52" s="630" t="str">
        <f>+BB7</f>
        <v>3T25</v>
      </c>
      <c r="BC52" s="630" t="str">
        <f>+BC7</f>
        <v>4T25</v>
      </c>
      <c r="BD52" s="630" t="str">
        <f>+BD7</f>
        <v>1T26</v>
      </c>
      <c r="BE52" s="630" t="str">
        <f>+BE7</f>
        <v>2T26</v>
      </c>
    </row>
    <row r="53" spans="1:57" ht="15" thickBot="1">
      <c r="A53" s="147" t="s">
        <v>1051</v>
      </c>
      <c r="B53" s="147" t="s">
        <v>1052</v>
      </c>
      <c r="D53" s="149">
        <f t="shared" ref="D53:AE53" si="19">SUM(D54:D68)</f>
        <v>69175</v>
      </c>
      <c r="E53" s="149">
        <f t="shared" si="19"/>
        <v>61473</v>
      </c>
      <c r="F53" s="149">
        <f t="shared" si="19"/>
        <v>67735</v>
      </c>
      <c r="G53" s="149">
        <f t="shared" si="19"/>
        <v>36658</v>
      </c>
      <c r="H53" s="149">
        <f t="shared" si="19"/>
        <v>22507</v>
      </c>
      <c r="I53" s="149">
        <f t="shared" si="19"/>
        <v>29700</v>
      </c>
      <c r="J53" s="149">
        <f t="shared" si="19"/>
        <v>34840</v>
      </c>
      <c r="K53" s="149">
        <f t="shared" si="19"/>
        <v>163684</v>
      </c>
      <c r="L53" s="149">
        <f t="shared" si="19"/>
        <v>165015</v>
      </c>
      <c r="M53" s="149">
        <f t="shared" si="19"/>
        <v>167704</v>
      </c>
      <c r="N53" s="149">
        <f t="shared" si="19"/>
        <v>173409</v>
      </c>
      <c r="O53" s="149">
        <f t="shared" si="19"/>
        <v>206842</v>
      </c>
      <c r="P53" s="149">
        <f t="shared" si="19"/>
        <v>205873</v>
      </c>
      <c r="Q53" s="149">
        <f t="shared" si="19"/>
        <v>207414</v>
      </c>
      <c r="R53" s="149">
        <f t="shared" si="19"/>
        <v>206638</v>
      </c>
      <c r="S53" s="149">
        <f t="shared" si="19"/>
        <v>179043</v>
      </c>
      <c r="T53" s="149">
        <f t="shared" si="19"/>
        <v>186001</v>
      </c>
      <c r="U53" s="149">
        <f t="shared" si="19"/>
        <v>180338</v>
      </c>
      <c r="V53" s="149">
        <f t="shared" si="19"/>
        <v>192581</v>
      </c>
      <c r="W53" s="149">
        <f t="shared" si="19"/>
        <v>583031</v>
      </c>
      <c r="X53" s="149">
        <f t="shared" si="19"/>
        <v>601970</v>
      </c>
      <c r="Y53" s="149">
        <f t="shared" si="19"/>
        <v>594745</v>
      </c>
      <c r="Z53" s="149">
        <f t="shared" si="19"/>
        <v>1437919</v>
      </c>
      <c r="AA53" s="149">
        <f t="shared" si="19"/>
        <v>1073438</v>
      </c>
      <c r="AB53" s="149">
        <f t="shared" si="19"/>
        <v>1100575</v>
      </c>
      <c r="AC53" s="149">
        <f t="shared" si="19"/>
        <v>1091805</v>
      </c>
      <c r="AD53" s="149">
        <f t="shared" si="19"/>
        <v>756029</v>
      </c>
      <c r="AE53" s="149">
        <f t="shared" si="19"/>
        <v>864797</v>
      </c>
      <c r="AF53" s="149">
        <v>873341</v>
      </c>
      <c r="AG53" s="149">
        <v>873026</v>
      </c>
      <c r="AH53" s="149">
        <f t="shared" ref="AH53:AO53" si="20">SUM(AH54:AH68)</f>
        <v>358274</v>
      </c>
      <c r="AI53" s="149">
        <f t="shared" si="20"/>
        <v>605880</v>
      </c>
      <c r="AJ53" s="149">
        <f t="shared" si="20"/>
        <v>580434</v>
      </c>
      <c r="AK53" s="149">
        <f t="shared" si="20"/>
        <v>830340</v>
      </c>
      <c r="AL53" s="149">
        <f t="shared" si="20"/>
        <v>747053</v>
      </c>
      <c r="AM53" s="149">
        <f t="shared" si="20"/>
        <v>37998</v>
      </c>
      <c r="AN53" s="149">
        <f t="shared" si="20"/>
        <v>779574</v>
      </c>
      <c r="AO53" s="149">
        <f t="shared" si="20"/>
        <v>776133</v>
      </c>
      <c r="AP53" s="149">
        <f t="shared" ref="AP53:AY53" si="21">SUM(AP54:AP68)</f>
        <v>864783</v>
      </c>
      <c r="AQ53" s="149">
        <f t="shared" si="21"/>
        <v>1030629</v>
      </c>
      <c r="AR53" s="149">
        <f t="shared" si="21"/>
        <v>1034035</v>
      </c>
      <c r="AS53" s="149">
        <f t="shared" si="21"/>
        <v>141639</v>
      </c>
      <c r="AT53" s="149">
        <f t="shared" si="21"/>
        <v>165469</v>
      </c>
      <c r="AU53" s="149">
        <f t="shared" si="21"/>
        <v>705360</v>
      </c>
      <c r="AV53" s="149">
        <f t="shared" si="21"/>
        <v>606960</v>
      </c>
      <c r="AW53" s="149">
        <f t="shared" si="21"/>
        <v>19374</v>
      </c>
      <c r="AX53" s="149">
        <f t="shared" si="21"/>
        <v>87845</v>
      </c>
      <c r="AY53" s="149">
        <f t="shared" si="21"/>
        <v>1060692</v>
      </c>
      <c r="AZ53" s="149">
        <f t="shared" ref="AZ53:BE53" si="22">SUM(AZ54:AZ68)</f>
        <v>2816760</v>
      </c>
      <c r="BA53" s="149">
        <f t="shared" si="22"/>
        <v>2048901</v>
      </c>
      <c r="BB53" s="149">
        <f t="shared" si="22"/>
        <v>2107017</v>
      </c>
      <c r="BC53" s="149">
        <f t="shared" si="22"/>
        <v>336988</v>
      </c>
      <c r="BD53" s="149">
        <f t="shared" si="22"/>
        <v>274383</v>
      </c>
      <c r="BE53" s="149">
        <f t="shared" si="22"/>
        <v>305690</v>
      </c>
    </row>
    <row r="54" spans="1:57">
      <c r="A54" s="160" t="s">
        <v>1102</v>
      </c>
      <c r="B54" s="160" t="s">
        <v>1103</v>
      </c>
      <c r="D54" s="167">
        <v>612</v>
      </c>
      <c r="E54" s="167">
        <v>710</v>
      </c>
      <c r="F54" s="167">
        <v>250</v>
      </c>
      <c r="G54" s="167">
        <v>212</v>
      </c>
      <c r="H54" s="167">
        <v>376</v>
      </c>
      <c r="I54" s="167">
        <v>249</v>
      </c>
      <c r="J54" s="167">
        <v>263</v>
      </c>
      <c r="K54" s="167">
        <v>158</v>
      </c>
      <c r="L54" s="167">
        <v>269</v>
      </c>
      <c r="M54" s="167">
        <v>305</v>
      </c>
      <c r="N54" s="167">
        <v>310</v>
      </c>
      <c r="O54" s="167">
        <v>305</v>
      </c>
      <c r="P54" s="167">
        <v>395</v>
      </c>
      <c r="Q54" s="167">
        <v>427</v>
      </c>
      <c r="R54" s="167">
        <v>434</v>
      </c>
      <c r="S54" s="167">
        <v>702</v>
      </c>
      <c r="T54" s="167">
        <v>926</v>
      </c>
      <c r="U54" s="167">
        <v>1154</v>
      </c>
      <c r="V54" s="167">
        <v>532</v>
      </c>
      <c r="W54" s="167">
        <v>1178</v>
      </c>
      <c r="X54" s="167">
        <v>704</v>
      </c>
      <c r="Y54" s="167">
        <v>2032</v>
      </c>
      <c r="Z54" s="167">
        <v>1667</v>
      </c>
      <c r="AA54" s="167">
        <v>993</v>
      </c>
      <c r="AB54" s="167">
        <v>536</v>
      </c>
      <c r="AC54" s="167">
        <v>612</v>
      </c>
      <c r="AD54" s="168">
        <v>639</v>
      </c>
      <c r="AE54" s="168">
        <v>2081</v>
      </c>
      <c r="AF54" s="168">
        <v>1134</v>
      </c>
      <c r="AG54" s="168">
        <v>1479</v>
      </c>
      <c r="AH54" s="168">
        <v>1958</v>
      </c>
      <c r="AI54" s="168">
        <v>33007</v>
      </c>
      <c r="AJ54" s="168">
        <v>1125</v>
      </c>
      <c r="AK54" s="169">
        <v>1297</v>
      </c>
      <c r="AL54" s="169">
        <v>1768</v>
      </c>
      <c r="AM54" s="169">
        <v>2957</v>
      </c>
      <c r="AN54" s="169">
        <v>3697</v>
      </c>
      <c r="AO54" s="169">
        <v>1780</v>
      </c>
      <c r="AP54" s="169">
        <v>1254</v>
      </c>
      <c r="AQ54" s="169">
        <v>2655</v>
      </c>
      <c r="AR54" s="169">
        <v>2655</v>
      </c>
      <c r="AS54" s="169">
        <v>4175</v>
      </c>
      <c r="AT54" s="170">
        <v>3306</v>
      </c>
      <c r="AU54" s="170">
        <v>3796</v>
      </c>
      <c r="AV54" s="170">
        <v>14077</v>
      </c>
      <c r="AW54" s="170">
        <v>5486</v>
      </c>
      <c r="AX54" s="170">
        <v>6414</v>
      </c>
      <c r="AY54" s="170">
        <v>4751</v>
      </c>
      <c r="AZ54" s="170">
        <v>2204</v>
      </c>
      <c r="BA54" s="170">
        <v>1475</v>
      </c>
      <c r="BB54" s="170">
        <v>1651</v>
      </c>
      <c r="BC54" s="170">
        <v>4138</v>
      </c>
      <c r="BD54" s="170">
        <v>3140</v>
      </c>
      <c r="BE54" s="170">
        <v>3098</v>
      </c>
    </row>
    <row r="55" spans="1:57">
      <c r="A55" s="160" t="s">
        <v>1104</v>
      </c>
      <c r="B55" s="160" t="s">
        <v>876</v>
      </c>
      <c r="D55" s="167">
        <v>377</v>
      </c>
      <c r="E55" s="167">
        <v>250</v>
      </c>
      <c r="F55" s="167">
        <v>241</v>
      </c>
      <c r="G55" s="167">
        <v>127</v>
      </c>
      <c r="H55" s="167">
        <v>390</v>
      </c>
      <c r="I55" s="167">
        <v>157</v>
      </c>
      <c r="J55" s="167">
        <v>186</v>
      </c>
      <c r="K55" s="167">
        <v>178</v>
      </c>
      <c r="L55" s="167">
        <v>2316</v>
      </c>
      <c r="M55" s="167">
        <v>179</v>
      </c>
      <c r="N55" s="167">
        <v>181</v>
      </c>
      <c r="O55" s="167">
        <v>223</v>
      </c>
      <c r="P55" s="167">
        <v>2602</v>
      </c>
      <c r="Q55" s="167">
        <v>131</v>
      </c>
      <c r="R55" s="167">
        <v>106</v>
      </c>
      <c r="S55" s="167">
        <v>489</v>
      </c>
      <c r="T55" s="167">
        <v>570</v>
      </c>
      <c r="U55" s="167">
        <v>795</v>
      </c>
      <c r="V55" s="167">
        <v>1083</v>
      </c>
      <c r="W55" s="167">
        <v>1063</v>
      </c>
      <c r="X55" s="167">
        <v>838</v>
      </c>
      <c r="Y55" s="167">
        <v>703</v>
      </c>
      <c r="Z55" s="167">
        <v>717</v>
      </c>
      <c r="AA55" s="167">
        <v>712</v>
      </c>
      <c r="AB55" s="167">
        <v>876</v>
      </c>
      <c r="AC55" s="167">
        <v>794</v>
      </c>
      <c r="AD55" s="168">
        <v>848</v>
      </c>
      <c r="AE55" s="168">
        <v>722</v>
      </c>
      <c r="AF55" s="168">
        <v>827</v>
      </c>
      <c r="AG55" s="168">
        <v>906</v>
      </c>
      <c r="AH55" s="168">
        <v>725</v>
      </c>
      <c r="AI55" s="168">
        <v>304</v>
      </c>
      <c r="AJ55" s="168">
        <v>405</v>
      </c>
      <c r="AK55" s="169">
        <v>453</v>
      </c>
      <c r="AL55" s="169">
        <v>550</v>
      </c>
      <c r="AM55" s="169">
        <v>547</v>
      </c>
      <c r="AN55" s="169">
        <v>546</v>
      </c>
      <c r="AO55" s="169">
        <v>714</v>
      </c>
      <c r="AP55" s="169">
        <v>880</v>
      </c>
      <c r="AQ55" s="169">
        <v>643</v>
      </c>
      <c r="AR55" s="169">
        <v>643</v>
      </c>
      <c r="AS55" s="169">
        <v>866</v>
      </c>
      <c r="AT55" s="170">
        <v>1065</v>
      </c>
      <c r="AU55" s="170">
        <v>888</v>
      </c>
      <c r="AV55" s="170">
        <v>1350</v>
      </c>
      <c r="AW55" s="170">
        <v>1374</v>
      </c>
      <c r="AX55" s="170">
        <v>1410</v>
      </c>
      <c r="AY55" s="170">
        <v>1284</v>
      </c>
      <c r="AZ55" s="170">
        <v>1903</v>
      </c>
      <c r="BA55" s="170">
        <v>1607</v>
      </c>
      <c r="BB55" s="170">
        <v>1793</v>
      </c>
      <c r="BC55" s="170">
        <v>2208</v>
      </c>
      <c r="BD55" s="170">
        <v>1794</v>
      </c>
      <c r="BE55" s="170">
        <v>1890</v>
      </c>
    </row>
    <row r="56" spans="1:57">
      <c r="A56" s="151" t="s">
        <v>1105</v>
      </c>
      <c r="B56" s="151" t="s">
        <v>1106</v>
      </c>
      <c r="D56" s="167">
        <v>0</v>
      </c>
      <c r="E56" s="167">
        <v>0</v>
      </c>
      <c r="F56" s="167">
        <v>0</v>
      </c>
      <c r="G56" s="167">
        <v>0</v>
      </c>
      <c r="H56" s="167">
        <v>0</v>
      </c>
      <c r="I56" s="167">
        <v>0</v>
      </c>
      <c r="J56" s="167">
        <v>0</v>
      </c>
      <c r="K56" s="167">
        <v>0</v>
      </c>
      <c r="L56" s="167">
        <v>0</v>
      </c>
      <c r="M56" s="167">
        <v>0</v>
      </c>
      <c r="N56" s="167">
        <v>0</v>
      </c>
      <c r="O56" s="167">
        <v>0</v>
      </c>
      <c r="P56" s="167">
        <v>0</v>
      </c>
      <c r="Q56" s="167">
        <v>0</v>
      </c>
      <c r="R56" s="167">
        <v>0</v>
      </c>
      <c r="S56" s="167">
        <v>0</v>
      </c>
      <c r="T56" s="167">
        <v>0</v>
      </c>
      <c r="U56" s="167">
        <v>0</v>
      </c>
      <c r="V56" s="167">
        <v>0</v>
      </c>
      <c r="W56" s="167">
        <v>310447</v>
      </c>
      <c r="X56" s="167">
        <v>315831</v>
      </c>
      <c r="Y56" s="167">
        <v>320496</v>
      </c>
      <c r="Z56" s="167">
        <v>1147081</v>
      </c>
      <c r="AA56" s="167">
        <v>834166</v>
      </c>
      <c r="AB56" s="167">
        <v>847802</v>
      </c>
      <c r="AC56" s="167">
        <v>861827</v>
      </c>
      <c r="AD56" s="168">
        <v>500674</v>
      </c>
      <c r="AE56" s="168">
        <v>507358</v>
      </c>
      <c r="AF56" s="168">
        <v>512906</v>
      </c>
      <c r="AG56" s="168">
        <v>516991</v>
      </c>
      <c r="AH56" s="168"/>
      <c r="AI56" s="168"/>
      <c r="AJ56" s="168"/>
      <c r="AK56" s="169"/>
      <c r="AL56" s="169"/>
      <c r="AM56" s="169"/>
      <c r="AO56" s="169"/>
      <c r="AP56" s="169"/>
      <c r="AQ56" s="169">
        <v>501404</v>
      </c>
      <c r="AR56" s="169">
        <v>501404</v>
      </c>
      <c r="AS56" s="169">
        <v>0</v>
      </c>
      <c r="AT56" s="170"/>
      <c r="AU56" s="170"/>
      <c r="AV56" s="170"/>
      <c r="AW56" s="170"/>
      <c r="AX56" s="170"/>
      <c r="AY56" s="170"/>
      <c r="AZ56" s="170">
        <v>1907626</v>
      </c>
      <c r="BA56" s="170">
        <v>1983124</v>
      </c>
      <c r="BB56" s="170">
        <v>2069495</v>
      </c>
      <c r="BC56" s="170">
        <v>0</v>
      </c>
      <c r="BD56" s="170">
        <v>0</v>
      </c>
      <c r="BE56" s="170">
        <v>0</v>
      </c>
    </row>
    <row r="57" spans="1:57">
      <c r="A57" s="151" t="s">
        <v>1107</v>
      </c>
      <c r="B57" s="151" t="s">
        <v>1108</v>
      </c>
      <c r="D57" s="167">
        <v>0</v>
      </c>
      <c r="E57" s="167">
        <v>0</v>
      </c>
      <c r="F57" s="167">
        <v>0</v>
      </c>
      <c r="G57" s="167">
        <v>0</v>
      </c>
      <c r="H57" s="167">
        <v>0</v>
      </c>
      <c r="I57" s="167">
        <v>0</v>
      </c>
      <c r="J57" s="167">
        <v>0</v>
      </c>
      <c r="K57" s="167">
        <v>0</v>
      </c>
      <c r="L57" s="167">
        <v>0</v>
      </c>
      <c r="M57" s="167">
        <v>0</v>
      </c>
      <c r="N57" s="167">
        <v>0</v>
      </c>
      <c r="O57" s="167">
        <v>0</v>
      </c>
      <c r="P57" s="167">
        <v>0</v>
      </c>
      <c r="Q57" s="167">
        <v>0</v>
      </c>
      <c r="R57" s="167">
        <v>0</v>
      </c>
      <c r="S57" s="167">
        <v>0</v>
      </c>
      <c r="T57" s="167">
        <v>0</v>
      </c>
      <c r="U57" s="167">
        <v>0</v>
      </c>
      <c r="V57" s="167">
        <v>0</v>
      </c>
      <c r="W57" s="167">
        <v>3269</v>
      </c>
      <c r="X57" s="167">
        <v>18561</v>
      </c>
      <c r="Y57" s="167">
        <v>10220</v>
      </c>
      <c r="Z57" s="167">
        <v>24976</v>
      </c>
      <c r="AA57" s="167">
        <v>14112</v>
      </c>
      <c r="AB57" s="167">
        <v>37348</v>
      </c>
      <c r="AC57" s="167">
        <v>17861</v>
      </c>
      <c r="AD57" s="168">
        <v>42009</v>
      </c>
      <c r="AE57" s="168">
        <v>11622</v>
      </c>
      <c r="AF57" s="168">
        <v>14199</v>
      </c>
      <c r="AG57" s="168">
        <v>7385</v>
      </c>
      <c r="AH57" s="168">
        <v>12997</v>
      </c>
      <c r="AI57" s="168">
        <v>3161</v>
      </c>
      <c r="AJ57" s="168">
        <v>8448</v>
      </c>
      <c r="AK57" s="169">
        <v>7993</v>
      </c>
      <c r="AL57" s="169">
        <v>17090</v>
      </c>
      <c r="AM57" s="169">
        <v>12247</v>
      </c>
      <c r="AN57" s="169">
        <v>103167</v>
      </c>
      <c r="AO57" s="169">
        <v>108881</v>
      </c>
      <c r="AP57" s="169">
        <v>142446</v>
      </c>
      <c r="AQ57" s="169">
        <v>125480</v>
      </c>
      <c r="AR57" s="169">
        <v>125480</v>
      </c>
      <c r="AS57" s="169">
        <v>122855</v>
      </c>
      <c r="AT57" s="170">
        <v>140447</v>
      </c>
      <c r="AU57" s="170">
        <v>96672</v>
      </c>
      <c r="AV57" s="170">
        <v>65619</v>
      </c>
      <c r="AW57" s="170">
        <v>4279</v>
      </c>
      <c r="AX57" s="170">
        <v>65566</v>
      </c>
      <c r="AY57" s="170">
        <v>0</v>
      </c>
      <c r="AZ57" s="170">
        <v>11984</v>
      </c>
      <c r="BA57" s="170">
        <v>54557</v>
      </c>
      <c r="BB57" s="170">
        <v>18930</v>
      </c>
      <c r="BC57" s="170">
        <v>65676</v>
      </c>
      <c r="BD57" s="170">
        <v>8520</v>
      </c>
      <c r="BE57" s="170">
        <v>61359</v>
      </c>
    </row>
    <row r="58" spans="1:57">
      <c r="A58" s="151" t="s">
        <v>1111</v>
      </c>
      <c r="B58" s="151" t="s">
        <v>1112</v>
      </c>
      <c r="D58" s="167">
        <v>689</v>
      </c>
      <c r="E58" s="167">
        <v>125</v>
      </c>
      <c r="F58" s="167">
        <v>258</v>
      </c>
      <c r="G58" s="167">
        <v>72</v>
      </c>
      <c r="H58" s="167">
        <v>254</v>
      </c>
      <c r="I58" s="167">
        <v>71</v>
      </c>
      <c r="J58" s="167">
        <v>79</v>
      </c>
      <c r="K58" s="167">
        <v>94</v>
      </c>
      <c r="L58" s="167">
        <v>1672</v>
      </c>
      <c r="M58" s="167">
        <v>77</v>
      </c>
      <c r="N58" s="167">
        <v>436</v>
      </c>
      <c r="O58" s="167">
        <v>483</v>
      </c>
      <c r="P58" s="167">
        <v>3068</v>
      </c>
      <c r="Q58" s="167">
        <v>2151</v>
      </c>
      <c r="R58" s="167">
        <v>3143</v>
      </c>
      <c r="S58" s="167">
        <v>4013</v>
      </c>
      <c r="T58" s="167">
        <v>4915</v>
      </c>
      <c r="U58" s="167">
        <v>5097</v>
      </c>
      <c r="V58" s="167">
        <v>3742</v>
      </c>
      <c r="W58" s="167">
        <v>3851</v>
      </c>
      <c r="X58" s="167">
        <v>3021</v>
      </c>
      <c r="Y58" s="167">
        <v>2870</v>
      </c>
      <c r="Z58" s="167">
        <v>2774</v>
      </c>
      <c r="AA58" s="167">
        <v>2769</v>
      </c>
      <c r="AB58" s="167">
        <v>2612</v>
      </c>
      <c r="AC58" s="167">
        <v>2586</v>
      </c>
      <c r="AD58" s="168">
        <v>2634</v>
      </c>
      <c r="AE58" s="168">
        <v>2761</v>
      </c>
      <c r="AF58" s="168">
        <v>2635</v>
      </c>
      <c r="AG58" s="168">
        <v>3168</v>
      </c>
      <c r="AH58" s="168">
        <v>2946</v>
      </c>
      <c r="AI58" s="168">
        <v>2763</v>
      </c>
      <c r="AJ58" s="168">
        <v>2718</v>
      </c>
      <c r="AK58" s="169">
        <v>2663</v>
      </c>
      <c r="AL58" s="169">
        <v>3213</v>
      </c>
      <c r="AM58" s="169">
        <v>3644</v>
      </c>
      <c r="AN58" s="169">
        <v>3022</v>
      </c>
      <c r="AO58" s="169">
        <v>2316</v>
      </c>
      <c r="AP58" s="169">
        <v>878</v>
      </c>
      <c r="AQ58" s="169">
        <v>2221</v>
      </c>
      <c r="AR58" s="169">
        <v>2221</v>
      </c>
      <c r="AS58" s="169">
        <v>2116</v>
      </c>
      <c r="AT58" s="170">
        <v>7434</v>
      </c>
      <c r="AU58" s="170">
        <v>5251</v>
      </c>
      <c r="AV58" s="170">
        <v>2091</v>
      </c>
      <c r="AW58" s="170">
        <v>2314</v>
      </c>
      <c r="AX58" s="170">
        <v>5443</v>
      </c>
      <c r="AY58" s="170">
        <v>42830</v>
      </c>
      <c r="AZ58" s="170">
        <v>2386</v>
      </c>
      <c r="BA58" s="170">
        <v>1011</v>
      </c>
      <c r="BB58" s="170">
        <v>4986</v>
      </c>
      <c r="BC58" s="170">
        <v>25396</v>
      </c>
      <c r="BD58" s="170">
        <v>31358</v>
      </c>
      <c r="BE58" s="170">
        <v>22960</v>
      </c>
    </row>
    <row r="59" spans="1:57">
      <c r="A59" s="151" t="s">
        <v>1190</v>
      </c>
      <c r="B59" s="151" t="s">
        <v>1114</v>
      </c>
      <c r="D59" s="167">
        <v>198</v>
      </c>
      <c r="E59" s="167">
        <v>9</v>
      </c>
      <c r="F59" s="167">
        <v>5247</v>
      </c>
      <c r="G59" s="167">
        <v>11772</v>
      </c>
      <c r="H59" s="167">
        <v>3123</v>
      </c>
      <c r="I59" s="167">
        <v>8197</v>
      </c>
      <c r="J59" s="167">
        <v>12837</v>
      </c>
      <c r="K59" s="167">
        <v>7209</v>
      </c>
      <c r="L59" s="167">
        <v>8040</v>
      </c>
      <c r="M59" s="167">
        <v>13404</v>
      </c>
      <c r="N59" s="167">
        <v>17491</v>
      </c>
      <c r="O59" s="167">
        <v>10637</v>
      </c>
      <c r="P59" s="167">
        <v>6643</v>
      </c>
      <c r="Q59" s="167">
        <v>10378</v>
      </c>
      <c r="R59" s="167">
        <v>7466</v>
      </c>
      <c r="S59" s="167">
        <v>0</v>
      </c>
      <c r="T59" s="167">
        <v>4978</v>
      </c>
      <c r="U59" s="167">
        <v>3724</v>
      </c>
      <c r="V59" s="167">
        <v>629</v>
      </c>
      <c r="W59" s="167">
        <v>5443</v>
      </c>
      <c r="X59" s="167">
        <v>3227</v>
      </c>
      <c r="Y59" s="167">
        <v>3272</v>
      </c>
      <c r="Z59" s="167">
        <v>3233</v>
      </c>
      <c r="AA59" s="167">
        <v>3249</v>
      </c>
      <c r="AB59" s="167">
        <v>3229</v>
      </c>
      <c r="AC59" s="167">
        <v>3236</v>
      </c>
      <c r="AD59" s="168">
        <v>3241</v>
      </c>
      <c r="AE59" s="168">
        <v>41</v>
      </c>
      <c r="AF59" s="168">
        <v>17</v>
      </c>
      <c r="AG59" s="168">
        <v>19</v>
      </c>
      <c r="AH59" s="168">
        <v>11</v>
      </c>
      <c r="AI59" s="168">
        <v>61</v>
      </c>
      <c r="AJ59" s="168">
        <v>30</v>
      </c>
      <c r="AK59" s="169">
        <v>16</v>
      </c>
      <c r="AL59" s="169">
        <v>88</v>
      </c>
      <c r="AM59" s="169">
        <v>116</v>
      </c>
      <c r="AN59" s="169">
        <v>88</v>
      </c>
      <c r="AO59" s="169">
        <v>16</v>
      </c>
      <c r="AP59" s="169">
        <v>12</v>
      </c>
      <c r="AQ59" s="169">
        <v>42</v>
      </c>
      <c r="AR59" s="169">
        <v>42</v>
      </c>
      <c r="AS59" s="169">
        <v>24</v>
      </c>
      <c r="AT59" s="170">
        <v>5</v>
      </c>
      <c r="AU59" s="170">
        <v>30</v>
      </c>
      <c r="AV59" s="170">
        <v>74</v>
      </c>
      <c r="AW59" s="170">
        <v>44</v>
      </c>
      <c r="AX59" s="170">
        <v>53</v>
      </c>
      <c r="AY59" s="170">
        <v>25420</v>
      </c>
      <c r="AZ59" s="170">
        <v>16677</v>
      </c>
      <c r="BA59" s="170">
        <v>0</v>
      </c>
      <c r="BB59" s="170">
        <v>30</v>
      </c>
      <c r="BC59" s="170">
        <v>83809</v>
      </c>
      <c r="BD59" s="170">
        <v>70844</v>
      </c>
      <c r="BE59" s="170">
        <v>67039</v>
      </c>
    </row>
    <row r="60" spans="1:57">
      <c r="A60" s="151" t="s">
        <v>1115</v>
      </c>
      <c r="B60" s="151" t="s">
        <v>1116</v>
      </c>
      <c r="D60" s="167">
        <v>33829</v>
      </c>
      <c r="E60" s="167">
        <v>33829</v>
      </c>
      <c r="F60" s="167">
        <v>33829</v>
      </c>
      <c r="G60" s="167">
        <v>16399</v>
      </c>
      <c r="H60" s="167">
        <v>16399</v>
      </c>
      <c r="I60" s="167">
        <v>17958</v>
      </c>
      <c r="J60" s="167">
        <v>17958</v>
      </c>
      <c r="K60" s="167">
        <v>151565</v>
      </c>
      <c r="L60" s="167">
        <v>151565</v>
      </c>
      <c r="M60" s="167">
        <v>151565</v>
      </c>
      <c r="N60" s="167">
        <v>151565</v>
      </c>
      <c r="O60" s="167">
        <v>191943</v>
      </c>
      <c r="P60" s="167">
        <v>191943</v>
      </c>
      <c r="Q60" s="167">
        <v>191943</v>
      </c>
      <c r="R60" s="167">
        <v>191943</v>
      </c>
      <c r="S60" s="167">
        <v>169288</v>
      </c>
      <c r="T60" s="167">
        <v>169288</v>
      </c>
      <c r="U60" s="167">
        <v>169284</v>
      </c>
      <c r="V60" s="167">
        <v>169284</v>
      </c>
      <c r="W60" s="167">
        <v>234834</v>
      </c>
      <c r="X60" s="167">
        <v>234679</v>
      </c>
      <c r="Y60" s="167">
        <v>234679</v>
      </c>
      <c r="Z60" s="167">
        <v>234679</v>
      </c>
      <c r="AA60" s="167">
        <v>190701</v>
      </c>
      <c r="AB60" s="167">
        <v>190490</v>
      </c>
      <c r="AC60" s="167">
        <v>190490</v>
      </c>
      <c r="AD60" s="168">
        <v>190491</v>
      </c>
      <c r="AE60" s="168">
        <v>322581</v>
      </c>
      <c r="AF60" s="168">
        <v>322469</v>
      </c>
      <c r="AG60" s="168">
        <v>322469</v>
      </c>
      <c r="AH60" s="168">
        <v>322469</v>
      </c>
      <c r="AI60" s="168">
        <v>547597</v>
      </c>
      <c r="AJ60" s="168">
        <v>547565</v>
      </c>
      <c r="AK60" s="169">
        <v>707099</v>
      </c>
      <c r="AL60" s="169">
        <v>707054</v>
      </c>
      <c r="AM60" s="169"/>
      <c r="AN60" s="169">
        <v>648864</v>
      </c>
      <c r="AO60" s="169">
        <v>648864</v>
      </c>
      <c r="AP60" s="169">
        <v>704041</v>
      </c>
      <c r="AQ60" s="169">
        <v>381207</v>
      </c>
      <c r="AR60" s="169">
        <v>384613</v>
      </c>
      <c r="AS60" s="169">
        <v>42</v>
      </c>
      <c r="AT60" s="170">
        <v>42</v>
      </c>
      <c r="AU60" s="170">
        <v>583934</v>
      </c>
      <c r="AV60" s="170">
        <v>507356</v>
      </c>
      <c r="AW60" s="170">
        <v>72</v>
      </c>
      <c r="AX60" s="170">
        <v>47</v>
      </c>
      <c r="AY60" s="170">
        <v>961636</v>
      </c>
      <c r="AZ60" s="170">
        <v>859219</v>
      </c>
      <c r="BA60" s="170">
        <v>104</v>
      </c>
      <c r="BB60" s="170">
        <v>104</v>
      </c>
      <c r="BC60" s="170">
        <v>142737</v>
      </c>
      <c r="BD60" s="170">
        <v>142646</v>
      </c>
      <c r="BE60" s="170">
        <v>142646</v>
      </c>
    </row>
    <row r="61" spans="1:57">
      <c r="A61" s="151" t="s">
        <v>1119</v>
      </c>
      <c r="B61" s="151" t="s">
        <v>1120</v>
      </c>
      <c r="D61" s="167">
        <v>0</v>
      </c>
      <c r="E61" s="167">
        <v>0</v>
      </c>
      <c r="F61" s="167">
        <v>0</v>
      </c>
      <c r="G61" s="167">
        <v>0</v>
      </c>
      <c r="H61" s="167">
        <v>0</v>
      </c>
      <c r="I61" s="167">
        <v>0</v>
      </c>
      <c r="J61" s="167">
        <v>0</v>
      </c>
      <c r="K61" s="167">
        <v>0</v>
      </c>
      <c r="L61" s="167">
        <v>0</v>
      </c>
      <c r="M61" s="167">
        <v>0</v>
      </c>
      <c r="N61" s="167">
        <v>0</v>
      </c>
      <c r="O61" s="167">
        <v>0</v>
      </c>
      <c r="P61" s="167">
        <v>0</v>
      </c>
      <c r="Q61" s="167">
        <v>0</v>
      </c>
      <c r="R61" s="167">
        <v>0</v>
      </c>
      <c r="S61" s="167">
        <v>0</v>
      </c>
      <c r="T61" s="167">
        <v>0</v>
      </c>
      <c r="U61" s="167">
        <v>0</v>
      </c>
      <c r="V61" s="167">
        <v>0</v>
      </c>
      <c r="W61" s="167">
        <v>0</v>
      </c>
      <c r="X61" s="167">
        <v>0</v>
      </c>
      <c r="Y61" s="167">
        <v>0</v>
      </c>
      <c r="Z61" s="167">
        <v>0</v>
      </c>
      <c r="AA61" s="167">
        <v>0</v>
      </c>
      <c r="AB61" s="167"/>
      <c r="AC61" s="167"/>
      <c r="AD61" s="168"/>
      <c r="AE61" s="168"/>
      <c r="AF61" s="168"/>
      <c r="AG61" s="168"/>
      <c r="AH61" s="168"/>
      <c r="AI61" s="168"/>
      <c r="AJ61" s="168"/>
      <c r="AK61" s="169"/>
      <c r="AL61" s="169"/>
      <c r="AM61" s="169"/>
      <c r="AO61" s="169"/>
      <c r="AP61" s="169"/>
      <c r="AQ61" s="169"/>
      <c r="AR61" s="169"/>
      <c r="AS61" s="169"/>
      <c r="AT61" s="170"/>
      <c r="AU61" s="170"/>
      <c r="AV61" s="170"/>
      <c r="AW61" s="170"/>
      <c r="AX61" s="170"/>
      <c r="AY61" s="170"/>
      <c r="AZ61" s="170"/>
      <c r="BA61" s="170"/>
      <c r="BB61" s="170"/>
      <c r="BC61" s="170"/>
      <c r="BD61" s="170"/>
      <c r="BE61" s="170"/>
    </row>
    <row r="62" spans="1:57">
      <c r="A62" s="151" t="s">
        <v>1123</v>
      </c>
      <c r="B62" s="151" t="s">
        <v>1124</v>
      </c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67"/>
      <c r="Y62" s="167"/>
      <c r="Z62" s="167"/>
      <c r="AA62" s="167"/>
      <c r="AB62" s="167"/>
      <c r="AC62" s="167"/>
      <c r="AD62" s="168">
        <v>15493</v>
      </c>
      <c r="AE62" s="168">
        <v>17466</v>
      </c>
      <c r="AF62" s="168">
        <v>19065</v>
      </c>
      <c r="AG62" s="168">
        <v>20451</v>
      </c>
      <c r="AH62" s="168">
        <v>17026</v>
      </c>
      <c r="AI62" s="168">
        <v>18848</v>
      </c>
      <c r="AJ62" s="168">
        <v>19994</v>
      </c>
      <c r="AK62" s="169">
        <v>16156</v>
      </c>
      <c r="AL62" s="169"/>
      <c r="AM62" s="169">
        <v>18328</v>
      </c>
      <c r="AN62" s="169">
        <v>20033</v>
      </c>
      <c r="AO62" s="169">
        <v>13560</v>
      </c>
      <c r="AP62" s="169">
        <v>15267</v>
      </c>
      <c r="AQ62" s="169">
        <v>16973</v>
      </c>
      <c r="AR62" s="169">
        <v>16973</v>
      </c>
      <c r="AS62" s="169">
        <v>11558</v>
      </c>
      <c r="AT62" s="170">
        <v>13168</v>
      </c>
      <c r="AU62" s="170">
        <v>14778</v>
      </c>
      <c r="AV62" s="170">
        <v>16386</v>
      </c>
      <c r="AW62" s="170">
        <v>5797</v>
      </c>
      <c r="AX62" s="170">
        <v>8900</v>
      </c>
      <c r="AY62" s="170">
        <v>24748</v>
      </c>
      <c r="AZ62" s="170">
        <v>14692</v>
      </c>
      <c r="BA62" s="170">
        <v>7007</v>
      </c>
      <c r="BB62" s="170">
        <v>10008</v>
      </c>
      <c r="BC62" s="170">
        <v>13009</v>
      </c>
      <c r="BD62" s="170">
        <v>16081</v>
      </c>
      <c r="BE62" s="170">
        <v>6676</v>
      </c>
    </row>
    <row r="63" spans="1:57">
      <c r="A63" s="151" t="s">
        <v>1072</v>
      </c>
      <c r="B63" s="151" t="s">
        <v>1073</v>
      </c>
      <c r="D63" s="167">
        <v>0</v>
      </c>
      <c r="E63" s="167">
        <v>0</v>
      </c>
      <c r="F63" s="167">
        <v>0</v>
      </c>
      <c r="G63" s="167">
        <v>0</v>
      </c>
      <c r="H63" s="167">
        <v>0</v>
      </c>
      <c r="I63" s="167">
        <v>0</v>
      </c>
      <c r="J63" s="167">
        <v>0</v>
      </c>
      <c r="K63" s="167">
        <v>0</v>
      </c>
      <c r="L63" s="167">
        <v>0</v>
      </c>
      <c r="M63" s="167">
        <v>0</v>
      </c>
      <c r="N63" s="167">
        <v>0</v>
      </c>
      <c r="O63" s="167">
        <v>0</v>
      </c>
      <c r="P63" s="167">
        <v>0</v>
      </c>
      <c r="Q63" s="167">
        <v>0</v>
      </c>
      <c r="R63" s="167">
        <v>0</v>
      </c>
      <c r="S63" s="167">
        <v>0</v>
      </c>
      <c r="T63" s="167">
        <v>0</v>
      </c>
      <c r="U63" s="167">
        <v>0</v>
      </c>
      <c r="V63" s="167">
        <v>0</v>
      </c>
      <c r="W63" s="167">
        <v>0</v>
      </c>
      <c r="X63" s="167">
        <v>0</v>
      </c>
      <c r="Y63" s="167">
        <v>0</v>
      </c>
      <c r="Z63" s="167">
        <v>0</v>
      </c>
      <c r="AA63" s="167">
        <v>0</v>
      </c>
      <c r="AB63" s="167"/>
      <c r="AC63" s="167"/>
      <c r="AK63" s="169">
        <v>94528</v>
      </c>
      <c r="AL63" s="169">
        <v>17122</v>
      </c>
      <c r="AM63" s="169"/>
      <c r="AO63" s="169"/>
      <c r="AP63" s="169"/>
      <c r="AQ63" s="169"/>
      <c r="AR63" s="169"/>
      <c r="AS63" s="169"/>
      <c r="AT63" s="170"/>
      <c r="AU63" s="170"/>
      <c r="AV63" s="170"/>
      <c r="AW63" s="170"/>
      <c r="AX63" s="170"/>
      <c r="AY63" s="170"/>
      <c r="AZ63" s="170"/>
      <c r="BA63" s="170"/>
      <c r="BB63" s="170"/>
      <c r="BC63" s="170"/>
      <c r="BD63" s="170"/>
      <c r="BE63" s="170"/>
    </row>
    <row r="64" spans="1:57">
      <c r="A64" s="151" t="s">
        <v>1208</v>
      </c>
      <c r="B64" s="151" t="s">
        <v>1126</v>
      </c>
      <c r="D64" s="167">
        <v>0</v>
      </c>
      <c r="E64" s="167">
        <v>0</v>
      </c>
      <c r="F64" s="167">
        <v>0</v>
      </c>
      <c r="G64" s="167">
        <v>0</v>
      </c>
      <c r="H64" s="167">
        <v>0</v>
      </c>
      <c r="I64" s="167">
        <v>0</v>
      </c>
      <c r="J64" s="167">
        <v>0</v>
      </c>
      <c r="K64" s="167">
        <v>0</v>
      </c>
      <c r="L64" s="167">
        <v>0</v>
      </c>
      <c r="M64" s="167">
        <v>0</v>
      </c>
      <c r="N64" s="167">
        <v>0</v>
      </c>
      <c r="O64" s="167">
        <v>0</v>
      </c>
      <c r="P64" s="167">
        <v>0</v>
      </c>
      <c r="Q64" s="167">
        <v>0</v>
      </c>
      <c r="R64" s="167">
        <v>0</v>
      </c>
      <c r="S64" s="167">
        <v>0</v>
      </c>
      <c r="T64" s="167">
        <v>0</v>
      </c>
      <c r="U64" s="167">
        <v>0</v>
      </c>
      <c r="V64" s="167">
        <v>0</v>
      </c>
      <c r="W64" s="167">
        <v>0</v>
      </c>
      <c r="X64" s="167">
        <v>0</v>
      </c>
      <c r="Y64" s="167">
        <v>0</v>
      </c>
      <c r="Z64" s="167">
        <v>0</v>
      </c>
      <c r="AA64" s="167">
        <v>0</v>
      </c>
      <c r="AB64" s="167"/>
      <c r="AC64" s="167"/>
      <c r="AD64" s="168"/>
      <c r="AE64" s="168"/>
      <c r="AF64" s="168"/>
      <c r="AG64" s="168"/>
      <c r="AH64" s="168"/>
      <c r="AI64" s="168"/>
      <c r="AJ64" s="168"/>
      <c r="AK64" s="169"/>
      <c r="AL64" s="169"/>
      <c r="AM64" s="169"/>
      <c r="AO64" s="169"/>
      <c r="AP64" s="169"/>
      <c r="AQ64" s="169"/>
      <c r="AR64" s="169"/>
      <c r="AS64" s="169"/>
      <c r="AT64" s="170"/>
      <c r="AU64" s="170"/>
      <c r="AV64" s="170"/>
      <c r="AW64" s="170"/>
      <c r="AX64" s="170"/>
      <c r="AY64" s="170"/>
      <c r="AZ64" s="170"/>
      <c r="BA64" s="170"/>
      <c r="BB64" s="170"/>
      <c r="BC64" s="170"/>
      <c r="BD64" s="170"/>
      <c r="BE64" s="170"/>
    </row>
    <row r="65" spans="1:57">
      <c r="A65" s="151" t="s">
        <v>1283</v>
      </c>
      <c r="B65" s="151" t="s">
        <v>1284</v>
      </c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  <c r="T65" s="167"/>
      <c r="U65" s="167"/>
      <c r="V65" s="167"/>
      <c r="W65" s="167"/>
      <c r="X65" s="167"/>
      <c r="Y65" s="167"/>
      <c r="Z65" s="167"/>
      <c r="AA65" s="167"/>
      <c r="AB65" s="167"/>
      <c r="AC65" s="167"/>
      <c r="AD65" s="168"/>
      <c r="AE65" s="168"/>
      <c r="AF65" s="168"/>
      <c r="AG65" s="168"/>
      <c r="AH65" s="168"/>
      <c r="AI65" s="168"/>
      <c r="AJ65" s="168"/>
      <c r="AK65" s="169"/>
      <c r="AL65" s="169"/>
      <c r="AM65" s="169"/>
      <c r="AO65" s="169"/>
      <c r="AP65" s="169"/>
      <c r="AQ65" s="169"/>
      <c r="AR65" s="169"/>
      <c r="AS65" s="169"/>
      <c r="AT65" s="170"/>
      <c r="AU65" s="170"/>
      <c r="AV65" s="170"/>
      <c r="AW65" s="170"/>
      <c r="AX65" s="170"/>
      <c r="AY65" s="170"/>
      <c r="AZ65" s="170"/>
      <c r="BA65" s="170"/>
      <c r="BB65" s="170"/>
      <c r="BC65" s="170"/>
      <c r="BD65" s="170"/>
      <c r="BE65" s="170"/>
    </row>
    <row r="66" spans="1:57">
      <c r="A66" s="151" t="s">
        <v>1117</v>
      </c>
      <c r="B66" s="151" t="s">
        <v>1118</v>
      </c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  <c r="W66" s="167"/>
      <c r="X66" s="167"/>
      <c r="Y66" s="167"/>
      <c r="Z66" s="167"/>
      <c r="AA66" s="167"/>
      <c r="AB66" s="167"/>
      <c r="AC66" s="167"/>
      <c r="AD66" s="168"/>
      <c r="AE66" s="168"/>
      <c r="AF66" s="168"/>
      <c r="AG66" s="168"/>
      <c r="AH66" s="168"/>
      <c r="AI66" s="168"/>
      <c r="AJ66" s="168"/>
      <c r="AK66" s="169"/>
      <c r="AL66" s="169"/>
      <c r="AM66" s="169"/>
      <c r="AO66" s="169"/>
      <c r="AP66" s="169"/>
      <c r="AQ66" s="169"/>
      <c r="AR66" s="169"/>
      <c r="AS66" s="169"/>
      <c r="AT66" s="170"/>
      <c r="AU66" s="170"/>
      <c r="AV66" s="170"/>
      <c r="AW66" s="170"/>
      <c r="AX66" s="170"/>
      <c r="AY66" s="170"/>
      <c r="AZ66" s="170"/>
      <c r="BA66" s="170"/>
      <c r="BB66" s="170"/>
      <c r="BC66" s="170"/>
      <c r="BD66" s="170"/>
      <c r="BE66" s="170"/>
    </row>
    <row r="67" spans="1:57">
      <c r="A67" s="151" t="s">
        <v>1127</v>
      </c>
      <c r="B67" s="151" t="s">
        <v>1128</v>
      </c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  <c r="V67" s="167"/>
      <c r="W67" s="167"/>
      <c r="X67" s="167"/>
      <c r="Y67" s="167"/>
      <c r="Z67" s="167"/>
      <c r="AA67" s="167"/>
      <c r="AB67" s="167"/>
      <c r="AC67" s="167"/>
      <c r="AD67" s="168"/>
      <c r="AE67" s="168"/>
      <c r="AF67" s="168"/>
      <c r="AG67" s="168"/>
      <c r="AH67" s="168"/>
      <c r="AI67" s="168"/>
      <c r="AJ67" s="168"/>
      <c r="AK67" s="169"/>
      <c r="AL67" s="169"/>
      <c r="AM67" s="169"/>
      <c r="AO67" s="169"/>
      <c r="AP67" s="169"/>
      <c r="AQ67" s="169"/>
      <c r="AR67" s="169"/>
      <c r="AS67" s="169"/>
      <c r="AT67" s="170"/>
      <c r="AU67" s="170"/>
      <c r="AV67" s="170"/>
      <c r="AW67" s="170"/>
      <c r="AX67" s="170"/>
      <c r="AY67" s="170"/>
      <c r="AZ67" s="170"/>
      <c r="BA67" s="170"/>
      <c r="BB67" s="170"/>
      <c r="BC67" s="170"/>
      <c r="BD67" s="170"/>
      <c r="BE67" s="170"/>
    </row>
    <row r="68" spans="1:57" ht="15" thickBot="1">
      <c r="A68" s="151" t="s">
        <v>1129</v>
      </c>
      <c r="B68" s="151" t="s">
        <v>96</v>
      </c>
      <c r="D68" s="167">
        <v>33470</v>
      </c>
      <c r="E68" s="167">
        <v>26550</v>
      </c>
      <c r="F68" s="167">
        <v>27910</v>
      </c>
      <c r="G68" s="167">
        <v>8076</v>
      </c>
      <c r="H68" s="167">
        <v>1965</v>
      </c>
      <c r="I68" s="167">
        <v>3068</v>
      </c>
      <c r="J68" s="167">
        <v>3517</v>
      </c>
      <c r="K68" s="167">
        <v>4480</v>
      </c>
      <c r="L68" s="167">
        <v>1153</v>
      </c>
      <c r="M68" s="167">
        <v>2174</v>
      </c>
      <c r="N68" s="167">
        <v>3426</v>
      </c>
      <c r="O68" s="167">
        <v>3251</v>
      </c>
      <c r="P68" s="167">
        <v>1222</v>
      </c>
      <c r="Q68" s="167">
        <v>2384</v>
      </c>
      <c r="R68" s="167">
        <v>3546</v>
      </c>
      <c r="S68" s="167">
        <v>4551</v>
      </c>
      <c r="T68" s="167">
        <v>5324</v>
      </c>
      <c r="U68" s="167">
        <v>284</v>
      </c>
      <c r="V68" s="167">
        <v>17311</v>
      </c>
      <c r="W68" s="167">
        <v>22946</v>
      </c>
      <c r="X68" s="167">
        <v>25109</v>
      </c>
      <c r="Y68" s="167">
        <v>20473</v>
      </c>
      <c r="Z68" s="167">
        <v>22792</v>
      </c>
      <c r="AA68" s="167">
        <v>26736</v>
      </c>
      <c r="AB68" s="167">
        <v>17682</v>
      </c>
      <c r="AC68" s="167">
        <f>14384+15</f>
        <v>14399</v>
      </c>
      <c r="AD68" s="168"/>
      <c r="AE68" s="168">
        <f>150+15</f>
        <v>165</v>
      </c>
      <c r="AF68" s="168">
        <v>89</v>
      </c>
      <c r="AG68" s="168">
        <v>158</v>
      </c>
      <c r="AH68" s="168">
        <v>142</v>
      </c>
      <c r="AI68" s="168">
        <v>139</v>
      </c>
      <c r="AJ68" s="168">
        <v>149</v>
      </c>
      <c r="AK68" s="169">
        <v>135</v>
      </c>
      <c r="AL68" s="169">
        <v>168</v>
      </c>
      <c r="AM68" s="169">
        <v>159</v>
      </c>
      <c r="AN68" s="169">
        <v>157</v>
      </c>
      <c r="AO68" s="169">
        <v>2</v>
      </c>
      <c r="AP68" s="169">
        <v>5</v>
      </c>
      <c r="AQ68" s="169">
        <v>4</v>
      </c>
      <c r="AR68" s="169">
        <v>4</v>
      </c>
      <c r="AS68" s="169">
        <v>3</v>
      </c>
      <c r="AT68" s="170">
        <v>2</v>
      </c>
      <c r="AU68" s="170">
        <v>11</v>
      </c>
      <c r="AV68" s="170">
        <v>7</v>
      </c>
      <c r="AW68" s="170">
        <v>8</v>
      </c>
      <c r="AX68" s="170">
        <v>12</v>
      </c>
      <c r="AY68" s="170">
        <v>23</v>
      </c>
      <c r="AZ68" s="170">
        <v>69</v>
      </c>
      <c r="BA68" s="170">
        <v>16</v>
      </c>
      <c r="BB68" s="170">
        <v>20</v>
      </c>
      <c r="BC68" s="170">
        <v>15</v>
      </c>
      <c r="BD68" s="170">
        <v>0</v>
      </c>
      <c r="BE68" s="170">
        <v>22</v>
      </c>
    </row>
    <row r="69" spans="1:57" ht="15" thickBot="1">
      <c r="A69" s="155" t="s">
        <v>1081</v>
      </c>
      <c r="B69" s="155" t="s">
        <v>1082</v>
      </c>
      <c r="D69" s="156">
        <f t="shared" ref="D69:AF69" si="23">SUM(D71:D82)</f>
        <v>50</v>
      </c>
      <c r="E69" s="156">
        <f t="shared" si="23"/>
        <v>50</v>
      </c>
      <c r="F69" s="156">
        <f t="shared" si="23"/>
        <v>50</v>
      </c>
      <c r="G69" s="156">
        <f t="shared" si="23"/>
        <v>50</v>
      </c>
      <c r="H69" s="156">
        <f t="shared" si="23"/>
        <v>50</v>
      </c>
      <c r="I69" s="156">
        <f t="shared" si="23"/>
        <v>50</v>
      </c>
      <c r="J69" s="156">
        <f t="shared" si="23"/>
        <v>50</v>
      </c>
      <c r="K69" s="156">
        <f t="shared" si="23"/>
        <v>50</v>
      </c>
      <c r="L69" s="156">
        <f t="shared" si="23"/>
        <v>50</v>
      </c>
      <c r="M69" s="156">
        <f t="shared" si="23"/>
        <v>50</v>
      </c>
      <c r="N69" s="156">
        <f t="shared" si="23"/>
        <v>50</v>
      </c>
      <c r="O69" s="156">
        <f t="shared" si="23"/>
        <v>50</v>
      </c>
      <c r="P69" s="156">
        <f t="shared" si="23"/>
        <v>50</v>
      </c>
      <c r="Q69" s="156">
        <f t="shared" si="23"/>
        <v>50</v>
      </c>
      <c r="R69" s="156">
        <f t="shared" si="23"/>
        <v>50</v>
      </c>
      <c r="S69" s="156">
        <f t="shared" si="23"/>
        <v>50</v>
      </c>
      <c r="T69" s="156">
        <f t="shared" si="23"/>
        <v>50</v>
      </c>
      <c r="U69" s="156">
        <f t="shared" si="23"/>
        <v>1583</v>
      </c>
      <c r="V69" s="156">
        <f t="shared" si="23"/>
        <v>1118</v>
      </c>
      <c r="W69" s="156">
        <f t="shared" si="23"/>
        <v>817209</v>
      </c>
      <c r="X69" s="156">
        <f t="shared" si="23"/>
        <v>817818</v>
      </c>
      <c r="Y69" s="156">
        <f t="shared" si="23"/>
        <v>813276</v>
      </c>
      <c r="Z69" s="156">
        <f t="shared" si="23"/>
        <v>815580</v>
      </c>
      <c r="AA69" s="156">
        <f t="shared" si="23"/>
        <v>1264831</v>
      </c>
      <c r="AB69" s="156">
        <f t="shared" si="23"/>
        <v>1266289</v>
      </c>
      <c r="AC69" s="156">
        <f t="shared" si="23"/>
        <v>1267795</v>
      </c>
      <c r="AD69" s="156">
        <f t="shared" si="23"/>
        <v>1266925</v>
      </c>
      <c r="AE69" s="156">
        <f t="shared" si="23"/>
        <v>1269524</v>
      </c>
      <c r="AF69" s="156">
        <f t="shared" si="23"/>
        <v>575635</v>
      </c>
      <c r="AG69" s="156">
        <v>575221</v>
      </c>
      <c r="AH69" s="156">
        <f t="shared" ref="AH69:AS69" si="24">SUM(AH71:AH82)</f>
        <v>576608</v>
      </c>
      <c r="AI69" s="156">
        <f t="shared" si="24"/>
        <v>598500</v>
      </c>
      <c r="AJ69" s="156">
        <f t="shared" si="24"/>
        <v>606770</v>
      </c>
      <c r="AK69" s="156">
        <f t="shared" si="24"/>
        <v>605854</v>
      </c>
      <c r="AL69" s="156">
        <f t="shared" si="24"/>
        <v>1024780</v>
      </c>
      <c r="AM69" s="156">
        <f t="shared" si="24"/>
        <v>2632061</v>
      </c>
      <c r="AN69" s="156">
        <f t="shared" si="24"/>
        <v>4658832</v>
      </c>
      <c r="AO69" s="156">
        <f t="shared" si="24"/>
        <v>4806288</v>
      </c>
      <c r="AP69" s="156">
        <f t="shared" si="24"/>
        <v>4898973</v>
      </c>
      <c r="AQ69" s="156">
        <f t="shared" si="24"/>
        <v>4741365</v>
      </c>
      <c r="AR69" s="156">
        <f t="shared" si="24"/>
        <v>4741366</v>
      </c>
      <c r="AS69" s="156">
        <f t="shared" si="24"/>
        <v>4671566</v>
      </c>
      <c r="AT69" s="156">
        <f t="shared" ref="AT69:BA69" si="25">SUM(AT71:AT82)</f>
        <v>4709823</v>
      </c>
      <c r="AU69" s="156">
        <f t="shared" si="25"/>
        <v>4313138</v>
      </c>
      <c r="AV69" s="156">
        <f t="shared" si="25"/>
        <v>2322023</v>
      </c>
      <c r="AW69" s="156">
        <f t="shared" si="25"/>
        <v>2384122</v>
      </c>
      <c r="AX69" s="156">
        <f t="shared" si="25"/>
        <v>2384308</v>
      </c>
      <c r="AY69" s="156">
        <f t="shared" si="25"/>
        <v>3970557</v>
      </c>
      <c r="AZ69" s="156">
        <f t="shared" si="25"/>
        <v>2198016</v>
      </c>
      <c r="BA69" s="156">
        <f t="shared" si="25"/>
        <v>2124335</v>
      </c>
      <c r="BB69" s="156">
        <f t="shared" ref="BB69:BD69" si="26">SUM(BB71:BB82)</f>
        <v>2125796</v>
      </c>
      <c r="BC69" s="156">
        <f t="shared" si="26"/>
        <v>1867036</v>
      </c>
      <c r="BD69" s="156">
        <f t="shared" si="26"/>
        <v>2149887</v>
      </c>
      <c r="BE69" s="156">
        <f>SUM(BE71:BE82)</f>
        <v>2218045</v>
      </c>
    </row>
    <row r="70" spans="1:57">
      <c r="A70" s="151" t="s">
        <v>1102</v>
      </c>
      <c r="B70" s="151" t="s">
        <v>1103</v>
      </c>
      <c r="D70" s="158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58"/>
      <c r="Y70" s="158"/>
      <c r="Z70" s="158"/>
      <c r="AA70" s="158"/>
      <c r="AB70" s="158"/>
      <c r="AC70" s="158"/>
      <c r="AD70" s="158"/>
      <c r="AE70" s="158"/>
      <c r="AF70" s="158"/>
      <c r="AG70" s="158"/>
      <c r="AH70" s="158"/>
      <c r="AI70" s="158"/>
      <c r="AJ70" s="158"/>
      <c r="AK70" s="158"/>
      <c r="AL70" s="158"/>
      <c r="AM70" s="158"/>
      <c r="AO70" s="177"/>
      <c r="AP70" s="177"/>
      <c r="AQ70" s="177"/>
      <c r="AR70" s="177"/>
      <c r="AS70" s="177"/>
      <c r="AT70" s="178"/>
      <c r="AU70" s="178"/>
      <c r="AV70" s="178"/>
      <c r="AW70" s="178"/>
      <c r="AX70" s="178"/>
      <c r="AY70" s="178"/>
      <c r="AZ70" s="178"/>
      <c r="BA70" s="178"/>
      <c r="BB70" s="178"/>
      <c r="BC70" s="178"/>
      <c r="BD70" s="178"/>
      <c r="BE70" s="178"/>
    </row>
    <row r="71" spans="1:57">
      <c r="A71" s="151" t="s">
        <v>1105</v>
      </c>
      <c r="B71" s="151" t="s">
        <v>1106</v>
      </c>
      <c r="D71" s="179">
        <v>0</v>
      </c>
      <c r="E71" s="179">
        <v>0</v>
      </c>
      <c r="F71" s="179">
        <v>0</v>
      </c>
      <c r="G71" s="179">
        <v>0</v>
      </c>
      <c r="H71" s="179">
        <v>0</v>
      </c>
      <c r="I71" s="179">
        <v>0</v>
      </c>
      <c r="J71" s="179">
        <v>0</v>
      </c>
      <c r="K71" s="179">
        <v>0</v>
      </c>
      <c r="L71" s="179">
        <v>0</v>
      </c>
      <c r="M71" s="179">
        <v>0</v>
      </c>
      <c r="N71" s="179">
        <v>0</v>
      </c>
      <c r="O71" s="179">
        <v>0</v>
      </c>
      <c r="P71" s="179">
        <v>0</v>
      </c>
      <c r="Q71" s="179">
        <v>0</v>
      </c>
      <c r="R71" s="179">
        <v>0</v>
      </c>
      <c r="S71" s="179">
        <v>0</v>
      </c>
      <c r="T71" s="179">
        <v>0</v>
      </c>
      <c r="U71" s="179">
        <v>0</v>
      </c>
      <c r="V71" s="179">
        <v>0</v>
      </c>
      <c r="W71" s="179">
        <v>0</v>
      </c>
      <c r="X71" s="179">
        <v>0</v>
      </c>
      <c r="Y71" s="179">
        <v>0</v>
      </c>
      <c r="Z71" s="179">
        <v>0</v>
      </c>
      <c r="AA71" s="179"/>
      <c r="AB71" s="179"/>
      <c r="AC71" s="179"/>
      <c r="AD71" s="180"/>
      <c r="AE71" s="180"/>
      <c r="AF71" s="180"/>
      <c r="AG71" s="180"/>
      <c r="AH71" s="180"/>
      <c r="AI71" s="180"/>
      <c r="AJ71" s="180"/>
      <c r="AK71" s="181"/>
      <c r="AL71" s="181"/>
      <c r="AM71" s="181"/>
      <c r="AO71" s="181"/>
      <c r="AP71" s="181"/>
      <c r="AQ71" s="181"/>
      <c r="AR71" s="181"/>
      <c r="AS71" s="181"/>
      <c r="AT71" s="182"/>
      <c r="AU71" s="182"/>
      <c r="AV71" s="182"/>
      <c r="AW71" s="182"/>
      <c r="AX71" s="182"/>
      <c r="AY71" s="182">
        <v>3295425</v>
      </c>
      <c r="AZ71" s="182">
        <v>0</v>
      </c>
      <c r="BA71" s="182"/>
      <c r="BB71" s="182"/>
      <c r="BC71" s="182"/>
      <c r="BD71" s="182"/>
      <c r="BE71" s="182"/>
    </row>
    <row r="72" spans="1:57">
      <c r="A72" s="151" t="s">
        <v>1107</v>
      </c>
      <c r="B72" s="151" t="s">
        <v>1108</v>
      </c>
      <c r="D72" s="179">
        <v>0</v>
      </c>
      <c r="E72" s="179">
        <v>0</v>
      </c>
      <c r="F72" s="179">
        <v>0</v>
      </c>
      <c r="G72" s="179">
        <v>0</v>
      </c>
      <c r="H72" s="179">
        <v>0</v>
      </c>
      <c r="I72" s="179">
        <v>0</v>
      </c>
      <c r="J72" s="179">
        <v>0</v>
      </c>
      <c r="K72" s="179">
        <v>0</v>
      </c>
      <c r="L72" s="179">
        <v>0</v>
      </c>
      <c r="M72" s="179">
        <v>0</v>
      </c>
      <c r="N72" s="179">
        <v>0</v>
      </c>
      <c r="O72" s="179">
        <v>0</v>
      </c>
      <c r="P72" s="179">
        <v>0</v>
      </c>
      <c r="Q72" s="179">
        <v>0</v>
      </c>
      <c r="R72" s="179">
        <v>0</v>
      </c>
      <c r="S72" s="179">
        <v>0</v>
      </c>
      <c r="T72" s="179">
        <v>0</v>
      </c>
      <c r="U72" s="179">
        <v>0</v>
      </c>
      <c r="V72" s="179">
        <v>0</v>
      </c>
      <c r="W72" s="179">
        <v>800195</v>
      </c>
      <c r="X72" s="179">
        <v>801318</v>
      </c>
      <c r="Y72" s="179">
        <v>796776</v>
      </c>
      <c r="Z72" s="179">
        <v>799080</v>
      </c>
      <c r="AA72" s="179">
        <v>1248331</v>
      </c>
      <c r="AB72" s="179">
        <v>1249789</v>
      </c>
      <c r="AC72" s="179">
        <v>1251295</v>
      </c>
      <c r="AD72" s="180">
        <v>1250425</v>
      </c>
      <c r="AE72" s="180">
        <v>1252232</v>
      </c>
      <c r="AF72" s="180">
        <v>558321</v>
      </c>
      <c r="AG72" s="180">
        <v>557999</v>
      </c>
      <c r="AH72" s="180">
        <v>559420</v>
      </c>
      <c r="AI72" s="180">
        <v>562926</v>
      </c>
      <c r="AJ72" s="180">
        <v>566063</v>
      </c>
      <c r="AK72" s="181">
        <v>568539</v>
      </c>
      <c r="AL72" s="181">
        <v>572207</v>
      </c>
      <c r="AM72" s="181">
        <v>2436140</v>
      </c>
      <c r="AN72" s="181">
        <v>4424046</v>
      </c>
      <c r="AO72" s="181">
        <v>4426538</v>
      </c>
      <c r="AP72" s="181">
        <v>4427526</v>
      </c>
      <c r="AQ72" s="181">
        <v>4428580</v>
      </c>
      <c r="AR72" s="181">
        <v>4428580</v>
      </c>
      <c r="AS72" s="181">
        <v>4430687</v>
      </c>
      <c r="AT72" s="182">
        <v>4431741</v>
      </c>
      <c r="AU72" s="182">
        <v>3984321</v>
      </c>
      <c r="AV72" s="182">
        <v>1985301</v>
      </c>
      <c r="AW72" s="182">
        <v>1986281</v>
      </c>
      <c r="AX72" s="182">
        <v>1987261</v>
      </c>
      <c r="AY72" s="182">
        <v>285891</v>
      </c>
      <c r="AZ72" s="182">
        <v>1785510</v>
      </c>
      <c r="BA72" s="182">
        <v>1786522</v>
      </c>
      <c r="BB72" s="182">
        <v>1787787</v>
      </c>
      <c r="BC72" s="182">
        <v>1496848</v>
      </c>
      <c r="BD72" s="182">
        <v>1497091</v>
      </c>
      <c r="BE72" s="182">
        <v>1497333</v>
      </c>
    </row>
    <row r="73" spans="1:57">
      <c r="A73" s="151" t="s">
        <v>1111</v>
      </c>
      <c r="B73" s="151" t="s">
        <v>1112</v>
      </c>
      <c r="D73" s="179">
        <v>0</v>
      </c>
      <c r="E73" s="179">
        <v>0</v>
      </c>
      <c r="F73" s="179">
        <v>0</v>
      </c>
      <c r="G73" s="179">
        <v>0</v>
      </c>
      <c r="H73" s="179">
        <v>0</v>
      </c>
      <c r="I73" s="179">
        <v>0</v>
      </c>
      <c r="J73" s="179">
        <v>0</v>
      </c>
      <c r="K73" s="179">
        <v>0</v>
      </c>
      <c r="L73" s="179">
        <v>0</v>
      </c>
      <c r="M73" s="179">
        <v>0</v>
      </c>
      <c r="N73" s="179">
        <v>0</v>
      </c>
      <c r="O73" s="179">
        <v>0</v>
      </c>
      <c r="P73" s="179">
        <v>0</v>
      </c>
      <c r="Q73" s="179">
        <v>0</v>
      </c>
      <c r="R73" s="179">
        <v>0</v>
      </c>
      <c r="S73" s="179">
        <v>0</v>
      </c>
      <c r="T73" s="179">
        <v>0</v>
      </c>
      <c r="U73" s="179">
        <v>0</v>
      </c>
      <c r="V73" s="179">
        <v>0</v>
      </c>
      <c r="W73" s="179">
        <v>0</v>
      </c>
      <c r="X73" s="179">
        <v>0</v>
      </c>
      <c r="Y73" s="179">
        <v>0</v>
      </c>
      <c r="Z73" s="179">
        <v>0</v>
      </c>
      <c r="AA73" s="179"/>
      <c r="AB73" s="179"/>
      <c r="AC73" s="179"/>
      <c r="AD73" s="180"/>
      <c r="AE73" s="180"/>
      <c r="AF73" s="180"/>
      <c r="AG73" s="180"/>
      <c r="AH73" s="180"/>
      <c r="AI73" s="180"/>
      <c r="AJ73" s="180"/>
      <c r="AK73" s="181"/>
      <c r="AL73" s="181"/>
      <c r="AM73" s="181"/>
      <c r="AO73" s="181"/>
      <c r="AP73" s="181"/>
      <c r="AQ73" s="181"/>
      <c r="AR73" s="181"/>
      <c r="AS73" s="181"/>
      <c r="AT73" s="182"/>
      <c r="AU73" s="182"/>
      <c r="AV73" s="182"/>
      <c r="AW73" s="182"/>
      <c r="AX73" s="182"/>
      <c r="AY73" s="182"/>
      <c r="AZ73" s="182">
        <v>1018</v>
      </c>
      <c r="BA73" s="182">
        <v>954</v>
      </c>
      <c r="BB73" s="182">
        <v>891</v>
      </c>
      <c r="BC73" s="182">
        <v>827</v>
      </c>
      <c r="BD73" s="182">
        <v>806</v>
      </c>
      <c r="BE73" s="182">
        <v>785</v>
      </c>
    </row>
    <row r="74" spans="1:57">
      <c r="A74" s="151" t="s">
        <v>1342</v>
      </c>
      <c r="B74" s="151" t="s">
        <v>1133</v>
      </c>
      <c r="D74" s="179">
        <v>50</v>
      </c>
      <c r="E74" s="179">
        <v>50</v>
      </c>
      <c r="F74" s="179">
        <v>50</v>
      </c>
      <c r="G74" s="179">
        <v>50</v>
      </c>
      <c r="H74" s="179">
        <v>50</v>
      </c>
      <c r="I74" s="179">
        <v>50</v>
      </c>
      <c r="J74" s="179">
        <v>50</v>
      </c>
      <c r="K74" s="179">
        <v>50</v>
      </c>
      <c r="L74" s="179">
        <v>50</v>
      </c>
      <c r="M74" s="179">
        <v>50</v>
      </c>
      <c r="N74" s="179">
        <v>50</v>
      </c>
      <c r="O74" s="179">
        <v>50</v>
      </c>
      <c r="P74" s="179">
        <v>50</v>
      </c>
      <c r="Q74" s="179">
        <v>50</v>
      </c>
      <c r="R74" s="179">
        <v>50</v>
      </c>
      <c r="S74" s="179">
        <v>50</v>
      </c>
      <c r="T74" s="179">
        <v>50</v>
      </c>
      <c r="U74" s="179">
        <v>50</v>
      </c>
      <c r="V74" s="179">
        <v>50</v>
      </c>
      <c r="W74" s="179">
        <v>50</v>
      </c>
      <c r="X74" s="179">
        <v>50</v>
      </c>
      <c r="Y74" s="179">
        <v>50</v>
      </c>
      <c r="Z74" s="179">
        <v>50</v>
      </c>
      <c r="AA74" s="179">
        <v>50</v>
      </c>
      <c r="AB74" s="179">
        <v>50</v>
      </c>
      <c r="AC74" s="179">
        <v>50</v>
      </c>
      <c r="AD74" s="180">
        <v>50</v>
      </c>
      <c r="AE74" s="180">
        <v>50</v>
      </c>
      <c r="AF74" s="180">
        <v>50</v>
      </c>
      <c r="AG74" s="180">
        <v>50</v>
      </c>
      <c r="AH74" s="180">
        <v>50</v>
      </c>
      <c r="AI74" s="180">
        <v>50</v>
      </c>
      <c r="AJ74" s="180">
        <v>50</v>
      </c>
      <c r="AK74" s="181">
        <v>50</v>
      </c>
      <c r="AL74" s="181">
        <v>50</v>
      </c>
      <c r="AM74" s="181">
        <v>140515</v>
      </c>
      <c r="AN74" s="181">
        <v>153859</v>
      </c>
      <c r="AO74" s="181">
        <v>167388</v>
      </c>
      <c r="AP74" s="181">
        <v>180695</v>
      </c>
      <c r="AQ74" s="181">
        <v>199006</v>
      </c>
      <c r="AR74" s="181">
        <v>199006</v>
      </c>
      <c r="AS74" s="181">
        <v>80760</v>
      </c>
      <c r="AT74" s="182">
        <v>62145</v>
      </c>
      <c r="AU74" s="182">
        <v>75135</v>
      </c>
      <c r="AV74" s="182">
        <v>38859</v>
      </c>
      <c r="AW74" s="182">
        <v>64729</v>
      </c>
      <c r="AX74" s="182">
        <v>73309</v>
      </c>
      <c r="AY74" s="182">
        <v>27849</v>
      </c>
      <c r="AZ74" s="182">
        <v>46449</v>
      </c>
      <c r="BA74" s="182">
        <v>40043</v>
      </c>
      <c r="BB74" s="182">
        <v>31227</v>
      </c>
      <c r="BC74" s="182">
        <v>744</v>
      </c>
      <c r="BD74" s="182">
        <v>0</v>
      </c>
      <c r="BE74" s="182">
        <v>0</v>
      </c>
    </row>
    <row r="75" spans="1:57">
      <c r="A75" s="151" t="s">
        <v>1208</v>
      </c>
      <c r="B75" s="151" t="s">
        <v>1126</v>
      </c>
      <c r="D75" s="179">
        <v>0</v>
      </c>
      <c r="E75" s="179">
        <v>0</v>
      </c>
      <c r="F75" s="179">
        <v>0</v>
      </c>
      <c r="G75" s="179">
        <v>0</v>
      </c>
      <c r="H75" s="179">
        <v>0</v>
      </c>
      <c r="I75" s="179">
        <v>0</v>
      </c>
      <c r="J75" s="179">
        <v>0</v>
      </c>
      <c r="K75" s="179">
        <v>0</v>
      </c>
      <c r="L75" s="179">
        <v>0</v>
      </c>
      <c r="M75" s="179">
        <v>0</v>
      </c>
      <c r="N75" s="179">
        <v>0</v>
      </c>
      <c r="O75" s="179">
        <v>0</v>
      </c>
      <c r="P75" s="179">
        <v>0</v>
      </c>
      <c r="Q75" s="179">
        <v>0</v>
      </c>
      <c r="R75" s="179">
        <v>0</v>
      </c>
      <c r="S75" s="179">
        <v>0</v>
      </c>
      <c r="T75" s="179">
        <v>0</v>
      </c>
      <c r="U75" s="179">
        <v>0</v>
      </c>
      <c r="V75" s="179">
        <v>0</v>
      </c>
      <c r="W75" s="179">
        <v>0</v>
      </c>
      <c r="X75" s="179">
        <v>0</v>
      </c>
      <c r="Y75" s="179">
        <v>0</v>
      </c>
      <c r="Z75" s="179">
        <v>0</v>
      </c>
      <c r="AA75" s="179"/>
      <c r="AB75" s="179"/>
      <c r="AC75" s="179"/>
      <c r="AD75" s="180"/>
      <c r="AE75" s="180"/>
      <c r="AF75" s="180"/>
      <c r="AG75" s="180"/>
      <c r="AH75" s="180"/>
      <c r="AI75" s="180"/>
      <c r="AJ75" s="180"/>
      <c r="AK75" s="181"/>
      <c r="AL75" s="181"/>
      <c r="AM75" s="181"/>
      <c r="AO75" s="181"/>
      <c r="AP75" s="181"/>
      <c r="AQ75" s="181"/>
      <c r="AR75" s="181"/>
      <c r="AS75" s="181"/>
      <c r="AT75" s="182"/>
      <c r="AU75" s="182"/>
      <c r="AV75" s="182"/>
      <c r="AW75" s="182"/>
      <c r="AX75" s="182"/>
      <c r="AY75" s="182"/>
      <c r="AZ75" s="182"/>
      <c r="BA75" s="182"/>
      <c r="BB75" s="182"/>
      <c r="BC75" s="182"/>
      <c r="BD75" s="182"/>
      <c r="BE75" s="182"/>
    </row>
    <row r="76" spans="1:57">
      <c r="A76" s="151" t="s">
        <v>1343</v>
      </c>
      <c r="B76" s="151" t="s">
        <v>1344</v>
      </c>
      <c r="D76" s="179"/>
      <c r="E76" s="179"/>
      <c r="F76" s="179"/>
      <c r="G76" s="179"/>
      <c r="H76" s="179"/>
      <c r="I76" s="179"/>
      <c r="J76" s="179"/>
      <c r="K76" s="179"/>
      <c r="L76" s="179"/>
      <c r="M76" s="179"/>
      <c r="N76" s="179"/>
      <c r="O76" s="179"/>
      <c r="P76" s="179"/>
      <c r="Q76" s="179"/>
      <c r="R76" s="179"/>
      <c r="S76" s="179"/>
      <c r="T76" s="179"/>
      <c r="U76" s="179"/>
      <c r="V76" s="179"/>
      <c r="W76" s="179"/>
      <c r="X76" s="179"/>
      <c r="Y76" s="179"/>
      <c r="Z76" s="179"/>
      <c r="AA76" s="179"/>
      <c r="AB76" s="179"/>
      <c r="AC76" s="179"/>
      <c r="AD76" s="180"/>
      <c r="AE76" s="180"/>
      <c r="AF76" s="180"/>
      <c r="AG76" s="180"/>
      <c r="AH76" s="180"/>
      <c r="AI76" s="180"/>
      <c r="AJ76" s="180"/>
      <c r="AK76" s="181"/>
      <c r="AL76" s="181">
        <v>414666</v>
      </c>
      <c r="AM76" s="181">
        <v>17039</v>
      </c>
      <c r="AN76" s="181">
        <v>41656</v>
      </c>
      <c r="AO76" s="181">
        <v>172692</v>
      </c>
      <c r="AP76" s="181">
        <v>256129</v>
      </c>
      <c r="AQ76" s="181">
        <v>78369</v>
      </c>
      <c r="AR76" s="181">
        <v>78369</v>
      </c>
      <c r="AS76" s="181">
        <v>121489</v>
      </c>
      <c r="AT76" s="182">
        <v>174842</v>
      </c>
      <c r="AU76" s="182">
        <v>225202</v>
      </c>
      <c r="AV76" s="182">
        <v>270682</v>
      </c>
      <c r="AW76" s="182">
        <v>309885</v>
      </c>
      <c r="AX76" s="182">
        <v>299264</v>
      </c>
      <c r="AY76" s="182">
        <v>337901</v>
      </c>
      <c r="AZ76" s="182">
        <v>341228</v>
      </c>
      <c r="BA76" s="182">
        <v>280799</v>
      </c>
      <c r="BB76" s="182">
        <v>289389</v>
      </c>
      <c r="BC76" s="182">
        <v>351288</v>
      </c>
      <c r="BD76" s="182">
        <v>629444</v>
      </c>
      <c r="BE76" s="182">
        <v>710631</v>
      </c>
    </row>
    <row r="77" spans="1:57">
      <c r="A77" s="151" t="s">
        <v>1174</v>
      </c>
      <c r="B77" s="151" t="s">
        <v>1175</v>
      </c>
      <c r="D77" s="179">
        <v>0</v>
      </c>
      <c r="E77" s="179">
        <v>0</v>
      </c>
      <c r="F77" s="179">
        <v>0</v>
      </c>
      <c r="G77" s="179">
        <v>0</v>
      </c>
      <c r="H77" s="179">
        <v>0</v>
      </c>
      <c r="I77" s="179">
        <v>0</v>
      </c>
      <c r="J77" s="179">
        <v>0</v>
      </c>
      <c r="K77" s="179">
        <v>0</v>
      </c>
      <c r="L77" s="179">
        <v>0</v>
      </c>
      <c r="M77" s="179">
        <v>0</v>
      </c>
      <c r="N77" s="179">
        <v>0</v>
      </c>
      <c r="O77" s="179">
        <v>0</v>
      </c>
      <c r="P77" s="179">
        <v>0</v>
      </c>
      <c r="Q77" s="179">
        <v>0</v>
      </c>
      <c r="R77" s="179">
        <v>0</v>
      </c>
      <c r="S77" s="179">
        <v>0</v>
      </c>
      <c r="T77" s="179">
        <v>0</v>
      </c>
      <c r="U77" s="179">
        <v>0</v>
      </c>
      <c r="V77" s="179">
        <v>0</v>
      </c>
      <c r="W77" s="179">
        <v>0</v>
      </c>
      <c r="X77" s="179">
        <v>0</v>
      </c>
      <c r="Y77" s="179">
        <v>0</v>
      </c>
      <c r="Z77" s="179">
        <v>0</v>
      </c>
      <c r="AA77" s="179"/>
      <c r="AB77" s="179"/>
      <c r="AC77" s="179"/>
      <c r="AD77" s="180"/>
      <c r="AE77" s="180"/>
      <c r="AF77" s="180"/>
      <c r="AG77" s="180"/>
      <c r="AH77" s="180"/>
      <c r="AI77" s="180"/>
      <c r="AJ77" s="180"/>
      <c r="AK77" s="181"/>
      <c r="AL77" s="181"/>
      <c r="AM77" s="181"/>
      <c r="AO77" s="181"/>
      <c r="AP77" s="181"/>
      <c r="AQ77" s="181"/>
      <c r="AR77" s="181"/>
      <c r="AS77" s="181"/>
      <c r="AT77" s="182"/>
      <c r="AU77" s="182"/>
      <c r="AV77" s="182"/>
      <c r="AW77" s="182"/>
      <c r="AX77" s="182"/>
      <c r="AY77" s="182"/>
      <c r="AZ77" s="182"/>
      <c r="BA77" s="182"/>
      <c r="BB77" s="182"/>
      <c r="BC77" s="182"/>
      <c r="BD77" s="182"/>
      <c r="BE77" s="182"/>
    </row>
    <row r="78" spans="1:57">
      <c r="A78" s="151" t="s">
        <v>1283</v>
      </c>
      <c r="B78" s="151" t="s">
        <v>1284</v>
      </c>
      <c r="D78" s="179"/>
      <c r="E78" s="179"/>
      <c r="F78" s="179"/>
      <c r="G78" s="179"/>
      <c r="H78" s="179"/>
      <c r="I78" s="179"/>
      <c r="J78" s="179"/>
      <c r="K78" s="179"/>
      <c r="L78" s="179"/>
      <c r="M78" s="179"/>
      <c r="N78" s="179"/>
      <c r="O78" s="179"/>
      <c r="P78" s="179"/>
      <c r="Q78" s="179"/>
      <c r="R78" s="179"/>
      <c r="S78" s="179"/>
      <c r="T78" s="179"/>
      <c r="U78" s="179"/>
      <c r="V78" s="179"/>
      <c r="W78" s="179"/>
      <c r="X78" s="179"/>
      <c r="Y78" s="179"/>
      <c r="Z78" s="179"/>
      <c r="AA78" s="179"/>
      <c r="AB78" s="179"/>
      <c r="AC78" s="179"/>
      <c r="AD78" s="180"/>
      <c r="AE78" s="180"/>
      <c r="AF78" s="180"/>
      <c r="AG78" s="180"/>
      <c r="AH78" s="180"/>
      <c r="AI78" s="180"/>
      <c r="AJ78" s="180"/>
      <c r="AK78" s="181"/>
      <c r="AL78" s="181"/>
      <c r="AM78" s="181"/>
      <c r="AO78" s="181"/>
      <c r="AP78" s="181"/>
      <c r="AQ78" s="181"/>
      <c r="AR78" s="181"/>
      <c r="AS78" s="181"/>
      <c r="AT78" s="182"/>
      <c r="AU78" s="182"/>
      <c r="AV78" s="182"/>
      <c r="AW78" s="182"/>
      <c r="AX78" s="182"/>
      <c r="AY78" s="182"/>
      <c r="AZ78" s="182"/>
      <c r="BA78" s="182"/>
      <c r="BB78" s="182"/>
      <c r="BC78" s="182"/>
      <c r="BD78" s="182"/>
      <c r="BE78" s="182"/>
    </row>
    <row r="79" spans="1:57">
      <c r="A79" s="151" t="s">
        <v>1127</v>
      </c>
      <c r="B79" s="151" t="s">
        <v>1128</v>
      </c>
      <c r="D79" s="179"/>
      <c r="E79" s="179"/>
      <c r="F79" s="179"/>
      <c r="G79" s="179"/>
      <c r="H79" s="179"/>
      <c r="I79" s="179"/>
      <c r="J79" s="179"/>
      <c r="K79" s="179"/>
      <c r="L79" s="179"/>
      <c r="M79" s="179"/>
      <c r="N79" s="179"/>
      <c r="O79" s="179"/>
      <c r="P79" s="179"/>
      <c r="Q79" s="179"/>
      <c r="R79" s="179"/>
      <c r="S79" s="179"/>
      <c r="T79" s="179"/>
      <c r="U79" s="179"/>
      <c r="V79" s="179"/>
      <c r="W79" s="179"/>
      <c r="X79" s="179"/>
      <c r="Y79" s="179"/>
      <c r="Z79" s="179"/>
      <c r="AA79" s="179"/>
      <c r="AB79" s="179"/>
      <c r="AC79" s="179"/>
      <c r="AD79" s="180"/>
      <c r="AE79" s="180"/>
      <c r="AF79" s="180"/>
      <c r="AG79" s="180"/>
      <c r="AH79" s="180"/>
      <c r="AI79" s="180"/>
      <c r="AJ79" s="180"/>
      <c r="AK79" s="181"/>
      <c r="AL79" s="181"/>
      <c r="AM79" s="181"/>
      <c r="AO79" s="181"/>
      <c r="AP79" s="181"/>
      <c r="AQ79" s="181"/>
      <c r="AR79" s="181"/>
      <c r="AS79" s="181"/>
      <c r="AT79" s="182"/>
      <c r="AU79" s="182"/>
      <c r="AV79" s="182"/>
      <c r="AW79" s="182"/>
      <c r="AX79" s="182"/>
      <c r="AY79" s="182"/>
      <c r="AZ79" s="182"/>
      <c r="BA79" s="182"/>
      <c r="BB79" s="182"/>
      <c r="BC79" s="182"/>
      <c r="BD79" s="182"/>
      <c r="BE79" s="182"/>
    </row>
    <row r="80" spans="1:57">
      <c r="A80" s="151" t="s">
        <v>1345</v>
      </c>
      <c r="B80" s="151" t="s">
        <v>1221</v>
      </c>
      <c r="D80" s="179"/>
      <c r="E80" s="179"/>
      <c r="F80" s="179"/>
      <c r="G80" s="179"/>
      <c r="H80" s="179"/>
      <c r="I80" s="179"/>
      <c r="J80" s="179"/>
      <c r="K80" s="179"/>
      <c r="L80" s="179"/>
      <c r="M80" s="179"/>
      <c r="N80" s="179"/>
      <c r="O80" s="179"/>
      <c r="P80" s="179"/>
      <c r="Q80" s="179"/>
      <c r="R80" s="179"/>
      <c r="S80" s="179"/>
      <c r="T80" s="179"/>
      <c r="U80" s="179"/>
      <c r="V80" s="179"/>
      <c r="W80" s="179"/>
      <c r="X80" s="179"/>
      <c r="Y80" s="179"/>
      <c r="Z80" s="179"/>
      <c r="AA80" s="179"/>
      <c r="AB80" s="179"/>
      <c r="AC80" s="179"/>
      <c r="AD80" s="180"/>
      <c r="AE80" s="180"/>
      <c r="AF80" s="180"/>
      <c r="AG80" s="180"/>
      <c r="AH80" s="180"/>
      <c r="AI80" s="180"/>
      <c r="AJ80" s="180"/>
      <c r="AK80" s="181"/>
      <c r="AL80" s="181"/>
      <c r="AM80" s="181"/>
      <c r="AO80" s="181"/>
      <c r="AP80" s="181"/>
      <c r="AQ80" s="181"/>
      <c r="AR80" s="181"/>
      <c r="AS80" s="181"/>
      <c r="AT80" s="182"/>
      <c r="AU80" s="182"/>
      <c r="AV80" s="182"/>
      <c r="AW80" s="182"/>
      <c r="AX80" s="182"/>
      <c r="AY80" s="182"/>
      <c r="AZ80" s="182"/>
      <c r="BA80" s="182"/>
      <c r="BB80" s="182"/>
      <c r="BC80" s="182"/>
      <c r="BD80" s="182"/>
      <c r="BE80" s="182"/>
    </row>
    <row r="81" spans="1:57">
      <c r="A81" s="151" t="s">
        <v>1194</v>
      </c>
      <c r="B81" s="151" t="s">
        <v>1195</v>
      </c>
      <c r="D81" s="179">
        <v>0</v>
      </c>
      <c r="E81" s="179">
        <v>0</v>
      </c>
      <c r="F81" s="179">
        <v>0</v>
      </c>
      <c r="G81" s="179">
        <v>0</v>
      </c>
      <c r="H81" s="179">
        <v>0</v>
      </c>
      <c r="I81" s="179">
        <v>0</v>
      </c>
      <c r="J81" s="179">
        <v>0</v>
      </c>
      <c r="K81" s="179">
        <v>0</v>
      </c>
      <c r="L81" s="179">
        <v>0</v>
      </c>
      <c r="M81" s="179">
        <v>0</v>
      </c>
      <c r="N81" s="179">
        <v>0</v>
      </c>
      <c r="O81" s="179">
        <v>0</v>
      </c>
      <c r="P81" s="179">
        <v>0</v>
      </c>
      <c r="Q81" s="179">
        <v>0</v>
      </c>
      <c r="R81" s="179">
        <v>0</v>
      </c>
      <c r="S81" s="179">
        <v>0</v>
      </c>
      <c r="T81" s="179">
        <v>0</v>
      </c>
      <c r="U81" s="179">
        <v>0</v>
      </c>
      <c r="V81" s="179">
        <v>0</v>
      </c>
      <c r="W81" s="179">
        <v>0</v>
      </c>
      <c r="X81" s="179">
        <v>0</v>
      </c>
      <c r="Y81" s="179">
        <v>0</v>
      </c>
      <c r="Z81" s="179">
        <v>0</v>
      </c>
      <c r="AA81" s="179"/>
      <c r="AB81" s="179"/>
      <c r="AC81" s="179"/>
      <c r="AD81" s="180"/>
      <c r="AE81" s="180"/>
      <c r="AF81" s="180"/>
      <c r="AG81" s="180"/>
      <c r="AH81" s="180"/>
      <c r="AI81" s="180"/>
      <c r="AJ81" s="180"/>
      <c r="AK81" s="181"/>
      <c r="AL81" s="181"/>
      <c r="AM81" s="181"/>
      <c r="AO81" s="181"/>
      <c r="AP81" s="181"/>
      <c r="AQ81" s="181"/>
      <c r="AR81" s="181"/>
      <c r="AS81" s="181"/>
      <c r="AT81" s="182"/>
      <c r="AU81" s="182"/>
      <c r="AV81" s="182"/>
      <c r="AW81" s="182"/>
      <c r="AX81" s="182"/>
      <c r="AY81" s="182"/>
      <c r="AZ81" s="182"/>
      <c r="BA81" s="182"/>
      <c r="BB81" s="182"/>
      <c r="BC81" s="182"/>
      <c r="BD81" s="182"/>
      <c r="BE81" s="182"/>
    </row>
    <row r="82" spans="1:57" ht="15" thickBot="1">
      <c r="A82" s="151" t="s">
        <v>1129</v>
      </c>
      <c r="B82" s="151" t="s">
        <v>96</v>
      </c>
      <c r="D82" s="179">
        <v>0</v>
      </c>
      <c r="E82" s="179">
        <v>0</v>
      </c>
      <c r="F82" s="179">
        <v>0</v>
      </c>
      <c r="G82" s="179">
        <v>0</v>
      </c>
      <c r="H82" s="179">
        <v>0</v>
      </c>
      <c r="I82" s="179">
        <v>0</v>
      </c>
      <c r="J82" s="179">
        <v>0</v>
      </c>
      <c r="K82" s="179">
        <v>0</v>
      </c>
      <c r="L82" s="179">
        <v>0</v>
      </c>
      <c r="M82" s="179">
        <v>0</v>
      </c>
      <c r="N82" s="179">
        <v>0</v>
      </c>
      <c r="O82" s="179">
        <v>0</v>
      </c>
      <c r="P82" s="179">
        <v>0</v>
      </c>
      <c r="Q82" s="179">
        <v>0</v>
      </c>
      <c r="R82" s="179">
        <v>0</v>
      </c>
      <c r="S82" s="179">
        <v>0</v>
      </c>
      <c r="T82" s="179">
        <v>0</v>
      </c>
      <c r="U82" s="179">
        <v>1533</v>
      </c>
      <c r="V82" s="179">
        <v>1068</v>
      </c>
      <c r="W82" s="179">
        <v>16964</v>
      </c>
      <c r="X82" s="179">
        <v>16450</v>
      </c>
      <c r="Y82" s="179">
        <v>16450</v>
      </c>
      <c r="Z82" s="179">
        <v>16450</v>
      </c>
      <c r="AA82" s="179">
        <v>16450</v>
      </c>
      <c r="AB82" s="179">
        <v>16450</v>
      </c>
      <c r="AC82" s="179">
        <v>16450</v>
      </c>
      <c r="AD82" s="180">
        <v>16450</v>
      </c>
      <c r="AE82" s="180">
        <f>16450+792</f>
        <v>17242</v>
      </c>
      <c r="AF82" s="180">
        <v>17264</v>
      </c>
      <c r="AG82" s="180">
        <v>17172</v>
      </c>
      <c r="AH82" s="180">
        <v>17138</v>
      </c>
      <c r="AI82" s="180">
        <v>35524</v>
      </c>
      <c r="AJ82" s="180">
        <v>40657</v>
      </c>
      <c r="AK82" s="183">
        <v>37265</v>
      </c>
      <c r="AL82" s="183">
        <v>37857</v>
      </c>
      <c r="AM82" s="183">
        <v>38367</v>
      </c>
      <c r="AN82" s="183">
        <v>39271</v>
      </c>
      <c r="AO82" s="183">
        <v>39670</v>
      </c>
      <c r="AP82" s="183">
        <v>34623</v>
      </c>
      <c r="AQ82" s="183">
        <v>35410</v>
      </c>
      <c r="AR82" s="183">
        <v>35411</v>
      </c>
      <c r="AS82" s="183">
        <v>38630</v>
      </c>
      <c r="AT82" s="184">
        <v>41095</v>
      </c>
      <c r="AU82" s="184">
        <v>28480</v>
      </c>
      <c r="AV82" s="184">
        <v>27181</v>
      </c>
      <c r="AW82" s="184">
        <v>23227</v>
      </c>
      <c r="AX82" s="184">
        <v>24474</v>
      </c>
      <c r="AY82" s="184">
        <v>23491</v>
      </c>
      <c r="AZ82" s="184">
        <v>23811</v>
      </c>
      <c r="BA82" s="184">
        <v>16017</v>
      </c>
      <c r="BB82" s="184">
        <v>16502</v>
      </c>
      <c r="BC82" s="184">
        <v>17329</v>
      </c>
      <c r="BD82" s="184">
        <v>22546</v>
      </c>
      <c r="BE82" s="184">
        <v>9296</v>
      </c>
    </row>
    <row r="83" spans="1:57" ht="15" thickBot="1">
      <c r="A83" s="164" t="s">
        <v>1134</v>
      </c>
      <c r="B83" s="164" t="s">
        <v>1013</v>
      </c>
      <c r="D83" s="185"/>
      <c r="E83" s="185"/>
      <c r="F83" s="185"/>
      <c r="G83" s="185"/>
      <c r="H83" s="185"/>
      <c r="I83" s="185"/>
      <c r="J83" s="185"/>
      <c r="K83" s="185"/>
      <c r="L83" s="185"/>
      <c r="M83" s="185"/>
      <c r="N83" s="185"/>
      <c r="O83" s="185"/>
      <c r="P83" s="185"/>
      <c r="Q83" s="185"/>
      <c r="R83" s="185"/>
      <c r="S83" s="185"/>
      <c r="T83" s="185"/>
      <c r="U83" s="185"/>
      <c r="V83" s="185"/>
      <c r="W83" s="185"/>
      <c r="X83" s="185"/>
      <c r="Y83" s="185"/>
      <c r="Z83" s="185"/>
      <c r="AA83" s="185"/>
      <c r="AB83" s="185"/>
      <c r="AC83" s="185"/>
      <c r="AD83" s="186"/>
      <c r="AE83" s="186"/>
      <c r="AF83" s="186"/>
      <c r="AG83" s="186"/>
      <c r="AH83" s="186"/>
      <c r="AI83" s="186"/>
      <c r="AJ83" s="186"/>
      <c r="AK83" s="187"/>
      <c r="AL83" s="187"/>
      <c r="AM83" s="187"/>
      <c r="AN83" s="187"/>
      <c r="AO83" s="187"/>
      <c r="AP83" s="187"/>
      <c r="AQ83" s="187"/>
      <c r="AR83" s="187"/>
      <c r="AS83" s="187"/>
      <c r="AT83" s="185"/>
      <c r="AU83" s="185"/>
      <c r="AV83" s="185"/>
      <c r="AW83" s="185"/>
      <c r="AX83" s="185"/>
      <c r="AY83" s="185"/>
      <c r="AZ83" s="185"/>
      <c r="BA83" s="185"/>
      <c r="BB83" s="185"/>
      <c r="BC83" s="185"/>
      <c r="BD83" s="185"/>
      <c r="BE83" s="185"/>
    </row>
    <row r="84" spans="1:57" ht="15" thickBot="1">
      <c r="A84" s="155" t="s">
        <v>1135</v>
      </c>
      <c r="B84" s="155" t="s">
        <v>1136</v>
      </c>
      <c r="D84" s="156">
        <f t="shared" ref="D84:AC84" si="27">SUM(D85:D90)</f>
        <v>2383306</v>
      </c>
      <c r="E84" s="156">
        <f t="shared" si="27"/>
        <v>2197504</v>
      </c>
      <c r="F84" s="156">
        <f t="shared" si="27"/>
        <v>2270987</v>
      </c>
      <c r="G84" s="156">
        <f t="shared" si="27"/>
        <v>2356806</v>
      </c>
      <c r="H84" s="156">
        <f t="shared" si="27"/>
        <v>2372013</v>
      </c>
      <c r="I84" s="156">
        <f t="shared" si="27"/>
        <v>2185748</v>
      </c>
      <c r="J84" s="156">
        <f t="shared" si="27"/>
        <v>2474083</v>
      </c>
      <c r="K84" s="156">
        <f t="shared" si="27"/>
        <v>2848199</v>
      </c>
      <c r="L84" s="156">
        <f t="shared" si="27"/>
        <v>2944143</v>
      </c>
      <c r="M84" s="156">
        <f t="shared" si="27"/>
        <v>3451120</v>
      </c>
      <c r="N84" s="156">
        <f t="shared" si="27"/>
        <v>3527541</v>
      </c>
      <c r="O84" s="156">
        <f t="shared" si="27"/>
        <v>3475202</v>
      </c>
      <c r="P84" s="156">
        <f t="shared" si="27"/>
        <v>3617190</v>
      </c>
      <c r="Q84" s="156">
        <f t="shared" si="27"/>
        <v>3800746</v>
      </c>
      <c r="R84" s="156">
        <f t="shared" si="27"/>
        <v>3991561</v>
      </c>
      <c r="S84" s="156">
        <f t="shared" si="27"/>
        <v>4024527</v>
      </c>
      <c r="T84" s="156">
        <f t="shared" si="27"/>
        <v>4076093</v>
      </c>
      <c r="U84" s="156">
        <f t="shared" si="27"/>
        <v>4205885</v>
      </c>
      <c r="V84" s="156">
        <f t="shared" si="27"/>
        <v>4517529</v>
      </c>
      <c r="W84" s="156">
        <f t="shared" si="27"/>
        <v>4788711</v>
      </c>
      <c r="X84" s="156">
        <f t="shared" si="27"/>
        <v>4854019</v>
      </c>
      <c r="Y84" s="156">
        <f t="shared" si="27"/>
        <v>4976322</v>
      </c>
      <c r="Z84" s="156">
        <f t="shared" si="27"/>
        <v>5224520</v>
      </c>
      <c r="AA84" s="156">
        <f t="shared" si="27"/>
        <v>5624086</v>
      </c>
      <c r="AB84" s="156">
        <f t="shared" si="27"/>
        <v>5856441</v>
      </c>
      <c r="AC84" s="156">
        <f t="shared" si="27"/>
        <v>6117736</v>
      </c>
      <c r="AD84" s="175">
        <v>6635795</v>
      </c>
      <c r="AE84" s="156">
        <f>SUM(AE85:AE90)</f>
        <v>8110877</v>
      </c>
      <c r="AF84" s="156">
        <f>SUM(AF85:AF90)</f>
        <v>8585305</v>
      </c>
      <c r="AG84" s="156">
        <v>8983155</v>
      </c>
      <c r="AH84" s="156">
        <f>SUM(AH85:AH90)</f>
        <v>9718557</v>
      </c>
      <c r="AI84" s="156">
        <f t="shared" ref="AI84:AS84" si="28">SUM(AI85:AI92)</f>
        <v>10344083</v>
      </c>
      <c r="AJ84" s="156">
        <f t="shared" si="28"/>
        <v>10179556</v>
      </c>
      <c r="AK84" s="156">
        <f t="shared" si="28"/>
        <v>10569520</v>
      </c>
      <c r="AL84" s="156">
        <f t="shared" si="28"/>
        <v>11941123</v>
      </c>
      <c r="AM84" s="156">
        <f t="shared" si="28"/>
        <v>13405225</v>
      </c>
      <c r="AN84" s="156">
        <f t="shared" si="28"/>
        <v>16081201</v>
      </c>
      <c r="AO84" s="156">
        <f t="shared" si="28"/>
        <v>15904584</v>
      </c>
      <c r="AP84" s="156">
        <f t="shared" si="28"/>
        <v>16283130</v>
      </c>
      <c r="AQ84" s="156">
        <f t="shared" si="28"/>
        <v>16614353</v>
      </c>
      <c r="AR84" s="156">
        <f t="shared" si="28"/>
        <v>16610946</v>
      </c>
      <c r="AS84" s="156">
        <f t="shared" si="28"/>
        <v>18590449</v>
      </c>
      <c r="AT84" s="156">
        <f t="shared" ref="AT84:BA84" si="29">SUM(AT85:AT92)</f>
        <v>19573928</v>
      </c>
      <c r="AU84" s="156">
        <f t="shared" si="29"/>
        <v>21016665</v>
      </c>
      <c r="AV84" s="156">
        <f t="shared" si="29"/>
        <v>21395993</v>
      </c>
      <c r="AW84" s="156">
        <f t="shared" si="29"/>
        <v>22466623</v>
      </c>
      <c r="AX84" s="156">
        <f t="shared" si="29"/>
        <v>25676500</v>
      </c>
      <c r="AY84" s="156">
        <f t="shared" si="29"/>
        <v>26113686</v>
      </c>
      <c r="AZ84" s="156">
        <f t="shared" si="29"/>
        <v>26783984</v>
      </c>
      <c r="BA84" s="156">
        <f t="shared" si="29"/>
        <v>27995081</v>
      </c>
      <c r="BB84" s="156">
        <f t="shared" ref="BB84:BD84" si="30">SUM(BB85:BB92)</f>
        <v>28553877</v>
      </c>
      <c r="BC84" s="156">
        <f t="shared" si="30"/>
        <v>25751539</v>
      </c>
      <c r="BD84" s="156">
        <f t="shared" si="30"/>
        <v>25686474</v>
      </c>
      <c r="BE84" s="156">
        <f>SUM(BE85:BE92)</f>
        <v>26126664</v>
      </c>
    </row>
    <row r="85" spans="1:57">
      <c r="A85" s="151" t="s">
        <v>1137</v>
      </c>
      <c r="B85" s="151" t="s">
        <v>1138</v>
      </c>
      <c r="D85" s="167">
        <v>1977276</v>
      </c>
      <c r="E85" s="167">
        <v>1977276</v>
      </c>
      <c r="F85" s="167">
        <v>1977276</v>
      </c>
      <c r="G85" s="167">
        <v>1977276</v>
      </c>
      <c r="H85" s="167">
        <v>1977276</v>
      </c>
      <c r="I85" s="167">
        <v>1977276</v>
      </c>
      <c r="J85" s="167">
        <v>1977276</v>
      </c>
      <c r="K85" s="167">
        <v>1977276</v>
      </c>
      <c r="L85" s="167">
        <v>1977276</v>
      </c>
      <c r="M85" s="167">
        <v>1977276</v>
      </c>
      <c r="N85" s="167">
        <v>1979453</v>
      </c>
      <c r="O85" s="167">
        <v>1980214</v>
      </c>
      <c r="P85" s="167">
        <v>1980237</v>
      </c>
      <c r="Q85" s="167">
        <v>1981985</v>
      </c>
      <c r="R85" s="167">
        <v>1981985</v>
      </c>
      <c r="S85" s="167">
        <v>1981985</v>
      </c>
      <c r="T85" s="167">
        <v>1982335</v>
      </c>
      <c r="U85" s="167">
        <v>2227021</v>
      </c>
      <c r="V85" s="167">
        <v>2227021</v>
      </c>
      <c r="W85" s="167">
        <v>2227021</v>
      </c>
      <c r="X85" s="167">
        <v>2227021</v>
      </c>
      <c r="Y85" s="167">
        <v>2375354</v>
      </c>
      <c r="Z85" s="167">
        <v>2375354</v>
      </c>
      <c r="AA85" s="167">
        <v>2375354</v>
      </c>
      <c r="AB85" s="167">
        <v>2394929</v>
      </c>
      <c r="AC85" s="167">
        <f>2735580-52143</f>
        <v>2683437</v>
      </c>
      <c r="AD85" s="168">
        <v>2739133</v>
      </c>
      <c r="AE85" s="168">
        <v>2741931</v>
      </c>
      <c r="AF85" s="168">
        <v>2741931</v>
      </c>
      <c r="AG85" s="168">
        <v>2742270</v>
      </c>
      <c r="AH85" s="168">
        <v>3489736</v>
      </c>
      <c r="AI85" s="168">
        <v>3489736</v>
      </c>
      <c r="AJ85" s="168">
        <v>3489736</v>
      </c>
      <c r="AK85" s="169">
        <v>4655287</v>
      </c>
      <c r="AL85" s="169">
        <v>4655287</v>
      </c>
      <c r="AM85" s="169">
        <v>4655287</v>
      </c>
      <c r="AN85" s="169">
        <v>7437570</v>
      </c>
      <c r="AO85" s="169">
        <v>8872296</v>
      </c>
      <c r="AP85" s="169">
        <v>8872296</v>
      </c>
      <c r="AQ85" s="169">
        <v>8872296</v>
      </c>
      <c r="AR85" s="169">
        <v>8872296</v>
      </c>
      <c r="AS85" s="169">
        <v>8890946</v>
      </c>
      <c r="AT85" s="170">
        <v>9276102</v>
      </c>
      <c r="AU85" s="170">
        <v>9308724</v>
      </c>
      <c r="AV85" s="170">
        <v>9309111</v>
      </c>
      <c r="AW85" s="170">
        <v>9382975</v>
      </c>
      <c r="AX85" s="170">
        <v>12355734</v>
      </c>
      <c r="AY85" s="170">
        <v>12466882</v>
      </c>
      <c r="AZ85" s="170">
        <v>12472479</v>
      </c>
      <c r="BA85" s="170">
        <v>12596207</v>
      </c>
      <c r="BB85" s="170">
        <v>12612860</v>
      </c>
      <c r="BC85" s="170">
        <v>22169281</v>
      </c>
      <c r="BD85" s="170">
        <v>22174037</v>
      </c>
      <c r="BE85" s="170">
        <v>22177114</v>
      </c>
    </row>
    <row r="86" spans="1:57">
      <c r="A86" s="151" t="s">
        <v>1226</v>
      </c>
      <c r="B86" s="151" t="s">
        <v>1226</v>
      </c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67"/>
      <c r="Q86" s="167"/>
      <c r="R86" s="167"/>
      <c r="S86" s="167"/>
      <c r="T86" s="167"/>
      <c r="U86" s="167"/>
      <c r="V86" s="167"/>
      <c r="W86" s="167"/>
      <c r="X86" s="167"/>
      <c r="Y86" s="167"/>
      <c r="Z86" s="167"/>
      <c r="AA86" s="167"/>
      <c r="AB86" s="167"/>
      <c r="AC86" s="167"/>
      <c r="AD86" s="168"/>
      <c r="AE86" s="168"/>
      <c r="AF86" s="168"/>
      <c r="AG86" s="168"/>
      <c r="AH86" s="168"/>
      <c r="AI86" s="168"/>
      <c r="AJ86" s="168"/>
      <c r="AK86" s="169"/>
      <c r="AL86" s="169"/>
      <c r="AM86" s="169"/>
      <c r="AN86" s="169"/>
      <c r="AO86" s="169"/>
      <c r="AP86" s="169"/>
      <c r="AQ86" s="169">
        <v>7147</v>
      </c>
      <c r="AR86" s="169">
        <v>7147</v>
      </c>
      <c r="AS86" s="169">
        <v>367574</v>
      </c>
      <c r="AT86" s="170">
        <v>0</v>
      </c>
      <c r="AU86" s="170"/>
      <c r="AV86" s="170"/>
      <c r="AW86" s="170">
        <v>457272</v>
      </c>
      <c r="AX86" s="170"/>
      <c r="AY86" s="170"/>
      <c r="AZ86" s="170">
        <v>111170</v>
      </c>
      <c r="BA86" s="170">
        <v>0</v>
      </c>
      <c r="BB86" s="170"/>
      <c r="BC86" s="170"/>
      <c r="BD86" s="170"/>
      <c r="BE86" s="170"/>
    </row>
    <row r="87" spans="1:57">
      <c r="A87" s="151" t="s">
        <v>1143</v>
      </c>
      <c r="B87" s="151" t="s">
        <v>1144</v>
      </c>
      <c r="D87" s="167">
        <v>-27083</v>
      </c>
      <c r="E87" s="167">
        <v>-22262</v>
      </c>
      <c r="F87" s="167">
        <v>-22262</v>
      </c>
      <c r="G87" s="167">
        <v>-22262</v>
      </c>
      <c r="H87" s="167">
        <v>-22262</v>
      </c>
      <c r="I87" s="167">
        <v>-22262</v>
      </c>
      <c r="J87" s="167">
        <v>-22262</v>
      </c>
      <c r="K87" s="167">
        <v>-22262</v>
      </c>
      <c r="L87" s="167">
        <v>-22262</v>
      </c>
      <c r="M87" s="167">
        <v>-22262</v>
      </c>
      <c r="N87" s="167">
        <v>-22262</v>
      </c>
      <c r="O87" s="167">
        <v>-22262</v>
      </c>
      <c r="P87" s="167">
        <v>-22262</v>
      </c>
      <c r="Q87" s="167">
        <v>-22262</v>
      </c>
      <c r="R87" s="167">
        <v>-22262</v>
      </c>
      <c r="S87" s="167">
        <v>-22262</v>
      </c>
      <c r="T87" s="167">
        <v>-22262</v>
      </c>
      <c r="U87" s="167">
        <v>-22262</v>
      </c>
      <c r="V87" s="167">
        <v>-22262</v>
      </c>
      <c r="W87" s="167">
        <v>-22262</v>
      </c>
      <c r="X87" s="167">
        <v>-22262</v>
      </c>
      <c r="Y87" s="167">
        <v>-22262</v>
      </c>
      <c r="Z87" s="167">
        <v>-22262</v>
      </c>
      <c r="AA87" s="167">
        <v>-22262</v>
      </c>
      <c r="AB87" s="167">
        <v>-22262</v>
      </c>
      <c r="AC87" s="167">
        <v>-22262</v>
      </c>
      <c r="AD87" s="168">
        <v>-22262</v>
      </c>
      <c r="AE87" s="168">
        <v>-154911</v>
      </c>
      <c r="AF87" s="168">
        <v>-145494</v>
      </c>
      <c r="AG87" s="168">
        <v>-154352</v>
      </c>
      <c r="AH87" s="168">
        <v>-160445</v>
      </c>
      <c r="AI87" s="168">
        <v>-252843</v>
      </c>
      <c r="AJ87" s="168">
        <v>-295828</v>
      </c>
      <c r="AK87" s="169">
        <v>-264023</v>
      </c>
      <c r="AL87" s="169">
        <v>-300485</v>
      </c>
      <c r="AM87" s="169">
        <v>-272001</v>
      </c>
      <c r="AN87" s="169">
        <v>-315485</v>
      </c>
      <c r="AO87" s="169">
        <v>-376656</v>
      </c>
      <c r="AP87" s="169">
        <v>-411971</v>
      </c>
      <c r="AQ87" s="169">
        <v>-55699</v>
      </c>
      <c r="AR87" s="169">
        <v>-55699</v>
      </c>
      <c r="AS87" s="169">
        <v>-215008</v>
      </c>
      <c r="AT87" s="170">
        <v>6265</v>
      </c>
      <c r="AU87" s="170">
        <v>-120988</v>
      </c>
      <c r="AV87" s="170">
        <v>-110122</v>
      </c>
      <c r="AW87" s="170">
        <v>-80280</v>
      </c>
      <c r="AX87" s="170">
        <v>-118386</v>
      </c>
      <c r="AY87" s="170">
        <v>-45066</v>
      </c>
      <c r="AZ87" s="170">
        <v>-44398</v>
      </c>
      <c r="BA87" s="170">
        <v>148260</v>
      </c>
      <c r="BB87" s="170">
        <v>161510</v>
      </c>
      <c r="BC87" s="170">
        <v>91155</v>
      </c>
      <c r="BD87" s="170">
        <v>76393</v>
      </c>
      <c r="BE87" s="170">
        <v>82423</v>
      </c>
    </row>
    <row r="88" spans="1:57">
      <c r="A88" s="151" t="s">
        <v>1181</v>
      </c>
      <c r="B88" s="151" t="s">
        <v>1142</v>
      </c>
      <c r="D88" s="179">
        <v>457706</v>
      </c>
      <c r="E88" s="179">
        <v>311412</v>
      </c>
      <c r="F88" s="179">
        <v>444963</v>
      </c>
      <c r="G88" s="179">
        <v>498543</v>
      </c>
      <c r="H88" s="179">
        <v>498543</v>
      </c>
      <c r="I88" s="179">
        <v>496984</v>
      </c>
      <c r="J88" s="179">
        <v>502339</v>
      </c>
      <c r="K88" s="179">
        <v>987118</v>
      </c>
      <c r="L88" s="179">
        <v>903760</v>
      </c>
      <c r="M88" s="179">
        <v>910624</v>
      </c>
      <c r="N88" s="179">
        <v>912906</v>
      </c>
      <c r="O88" s="179">
        <v>1517250</v>
      </c>
      <c r="P88" s="179">
        <v>1520412</v>
      </c>
      <c r="Q88" s="179">
        <v>1523435</v>
      </c>
      <c r="R88" s="179">
        <v>1525528</v>
      </c>
      <c r="S88" s="179">
        <v>2064804</v>
      </c>
      <c r="T88" s="179">
        <v>2066537</v>
      </c>
      <c r="U88" s="179">
        <v>1824556</v>
      </c>
      <c r="V88" s="179">
        <v>1824518</v>
      </c>
      <c r="W88" s="179">
        <v>2583952</v>
      </c>
      <c r="X88" s="179">
        <v>2584679</v>
      </c>
      <c r="Y88" s="179">
        <v>2437550</v>
      </c>
      <c r="Z88" s="179">
        <v>2437719</v>
      </c>
      <c r="AA88" s="179">
        <v>3270994</v>
      </c>
      <c r="AB88" s="179">
        <v>3270994</v>
      </c>
      <c r="AC88" s="179">
        <v>2901705</v>
      </c>
      <c r="AD88" s="180">
        <v>2849562</v>
      </c>
      <c r="AE88" s="180">
        <f>529934+4993923</f>
        <v>5523857</v>
      </c>
      <c r="AF88" s="180">
        <v>5536703</v>
      </c>
      <c r="AG88" s="180">
        <v>5549549</v>
      </c>
      <c r="AH88" s="180">
        <v>4815621</v>
      </c>
      <c r="AI88" s="180">
        <v>7138924</v>
      </c>
      <c r="AJ88" s="180">
        <v>7264427</v>
      </c>
      <c r="AK88" s="181">
        <v>5947305</v>
      </c>
      <c r="AL88" s="181">
        <v>5955694</v>
      </c>
      <c r="AM88" s="181">
        <v>5970137</v>
      </c>
      <c r="AN88" s="181">
        <v>9021765</v>
      </c>
      <c r="AO88" s="181">
        <v>7593743</v>
      </c>
      <c r="AP88" s="181">
        <v>7551496</v>
      </c>
      <c r="AQ88" s="181">
        <v>8245816</v>
      </c>
      <c r="AR88" s="181">
        <v>8242409</v>
      </c>
      <c r="AS88" s="181">
        <v>8241848</v>
      </c>
      <c r="AT88" s="182">
        <v>8241848</v>
      </c>
      <c r="AU88" s="182">
        <v>9848680</v>
      </c>
      <c r="AV88" s="182">
        <v>9810127</v>
      </c>
      <c r="AW88" s="182">
        <v>9801242</v>
      </c>
      <c r="AX88" s="182">
        <v>9801242</v>
      </c>
      <c r="AY88" s="182">
        <v>11625990</v>
      </c>
      <c r="AZ88" s="182">
        <v>11625990</v>
      </c>
      <c r="BA88" s="182">
        <v>11625432</v>
      </c>
      <c r="BB88" s="182">
        <v>11625432</v>
      </c>
      <c r="BC88" s="182">
        <v>1816733</v>
      </c>
      <c r="BD88" s="182">
        <v>1816733</v>
      </c>
      <c r="BE88" s="182">
        <v>1816733</v>
      </c>
    </row>
    <row r="89" spans="1:57">
      <c r="A89" s="151" t="s">
        <v>1180</v>
      </c>
      <c r="B89" s="151" t="s">
        <v>1140</v>
      </c>
      <c r="D89" s="179"/>
      <c r="E89" s="179"/>
      <c r="F89" s="179"/>
      <c r="G89" s="179"/>
      <c r="H89" s="179"/>
      <c r="I89" s="179"/>
      <c r="J89" s="179"/>
      <c r="K89" s="179"/>
      <c r="L89" s="179"/>
      <c r="M89" s="179"/>
      <c r="N89" s="179"/>
      <c r="O89" s="179"/>
      <c r="P89" s="179"/>
      <c r="Q89" s="179"/>
      <c r="R89" s="179"/>
      <c r="S89" s="179"/>
      <c r="T89" s="179"/>
      <c r="U89" s="179"/>
      <c r="V89" s="179"/>
      <c r="W89" s="179"/>
      <c r="X89" s="179"/>
      <c r="Y89" s="179"/>
      <c r="Z89" s="179"/>
      <c r="AA89" s="179"/>
      <c r="AB89" s="179"/>
      <c r="AC89" s="179"/>
      <c r="AD89" s="180"/>
      <c r="AE89" s="180"/>
      <c r="AF89" s="180"/>
      <c r="AG89" s="180"/>
      <c r="AH89" s="180"/>
      <c r="AI89" s="180"/>
      <c r="AJ89" s="180"/>
      <c r="AK89" s="181"/>
      <c r="AL89" s="181"/>
      <c r="AM89" s="181"/>
      <c r="AN89" s="181"/>
      <c r="AO89" s="181"/>
      <c r="AP89" s="181"/>
      <c r="AQ89" s="181">
        <v>187518</v>
      </c>
      <c r="AR89" s="181">
        <v>187518</v>
      </c>
      <c r="AS89" s="181">
        <v>1266429</v>
      </c>
      <c r="AT89" s="182">
        <v>1278937</v>
      </c>
      <c r="AU89" s="182">
        <v>2095380</v>
      </c>
      <c r="AV89" s="182">
        <v>2107432</v>
      </c>
      <c r="AW89" s="182">
        <v>2147251</v>
      </c>
      <c r="AX89" s="182">
        <v>2119676</v>
      </c>
      <c r="AY89" s="182">
        <v>2124228</v>
      </c>
      <c r="AZ89" s="182">
        <v>2120923</v>
      </c>
      <c r="BA89" s="182">
        <v>2043337</v>
      </c>
      <c r="BB89" s="182">
        <v>2068261</v>
      </c>
      <c r="BC89" s="182">
        <v>1798082</v>
      </c>
      <c r="BD89" s="182">
        <v>1357982</v>
      </c>
      <c r="BE89" s="182">
        <v>1374634</v>
      </c>
    </row>
    <row r="90" spans="1:57">
      <c r="A90" s="151" t="s">
        <v>1145</v>
      </c>
      <c r="B90" s="151" t="s">
        <v>1146</v>
      </c>
      <c r="D90" s="179">
        <v>-24593</v>
      </c>
      <c r="E90" s="179">
        <v>-68922</v>
      </c>
      <c r="F90" s="179">
        <v>-128990</v>
      </c>
      <c r="G90" s="179">
        <v>-96751</v>
      </c>
      <c r="H90" s="179">
        <v>-81544</v>
      </c>
      <c r="I90" s="179">
        <v>-266250</v>
      </c>
      <c r="J90" s="179">
        <v>16730</v>
      </c>
      <c r="K90" s="179">
        <v>-93933</v>
      </c>
      <c r="L90" s="179">
        <v>85369</v>
      </c>
      <c r="M90" s="179">
        <v>585482</v>
      </c>
      <c r="N90" s="179">
        <v>657444</v>
      </c>
      <c r="O90" s="179">
        <v>0</v>
      </c>
      <c r="P90" s="179">
        <v>138803</v>
      </c>
      <c r="Q90" s="179">
        <v>317588</v>
      </c>
      <c r="R90" s="179">
        <v>506310</v>
      </c>
      <c r="S90" s="179">
        <v>0</v>
      </c>
      <c r="T90" s="179">
        <v>49483</v>
      </c>
      <c r="U90" s="179">
        <v>176570</v>
      </c>
      <c r="V90" s="179">
        <v>488252</v>
      </c>
      <c r="W90" s="179">
        <v>0</v>
      </c>
      <c r="X90" s="179">
        <v>64581</v>
      </c>
      <c r="Y90" s="179">
        <v>185680</v>
      </c>
      <c r="Z90" s="179">
        <v>433709</v>
      </c>
      <c r="AA90" s="179" t="s">
        <v>447</v>
      </c>
      <c r="AB90" s="179">
        <v>212780</v>
      </c>
      <c r="AC90" s="179">
        <f>554856</f>
        <v>554856</v>
      </c>
      <c r="AD90" s="180">
        <v>1103399</v>
      </c>
      <c r="AE90" s="180"/>
      <c r="AF90" s="180">
        <v>452165</v>
      </c>
      <c r="AG90" s="180">
        <v>845688</v>
      </c>
      <c r="AH90" s="180">
        <v>1573645</v>
      </c>
      <c r="AI90" s="180"/>
      <c r="AJ90" s="180">
        <v>353226</v>
      </c>
      <c r="AK90" s="181">
        <v>862956</v>
      </c>
      <c r="AL90" s="181">
        <v>2273352</v>
      </c>
      <c r="AM90" s="181">
        <v>3694527</v>
      </c>
      <c r="AN90" s="181">
        <v>580076</v>
      </c>
      <c r="AO90" s="181">
        <v>457926</v>
      </c>
      <c r="AP90" s="181"/>
      <c r="AQ90" s="181"/>
      <c r="AR90" s="181"/>
      <c r="AS90" s="181">
        <v>0</v>
      </c>
      <c r="AT90" s="182"/>
      <c r="AU90" s="182"/>
      <c r="AV90" s="182"/>
      <c r="AW90" s="182"/>
      <c r="AX90" s="182"/>
      <c r="AY90" s="182"/>
      <c r="AZ90" s="182"/>
      <c r="BA90" s="182"/>
      <c r="BB90" s="182"/>
      <c r="BC90" s="182">
        <v>0</v>
      </c>
      <c r="BD90" s="182">
        <v>0</v>
      </c>
      <c r="BE90" s="182">
        <v>0</v>
      </c>
    </row>
    <row r="91" spans="1:57">
      <c r="A91" s="151" t="s">
        <v>1346</v>
      </c>
      <c r="B91" s="151" t="s">
        <v>777</v>
      </c>
      <c r="D91" s="179"/>
      <c r="E91" s="179"/>
      <c r="F91" s="179"/>
      <c r="G91" s="179"/>
      <c r="H91" s="179"/>
      <c r="I91" s="179"/>
      <c r="J91" s="179"/>
      <c r="K91" s="179"/>
      <c r="L91" s="179"/>
      <c r="M91" s="179"/>
      <c r="N91" s="179"/>
      <c r="O91" s="179"/>
      <c r="P91" s="179"/>
      <c r="Q91" s="179"/>
      <c r="R91" s="179"/>
      <c r="S91" s="179"/>
      <c r="T91" s="179"/>
      <c r="U91" s="179"/>
      <c r="V91" s="179"/>
      <c r="W91" s="179"/>
      <c r="X91" s="179"/>
      <c r="Y91" s="179"/>
      <c r="Z91" s="179"/>
      <c r="AA91" s="179"/>
      <c r="AB91" s="179"/>
      <c r="AC91" s="179"/>
      <c r="AD91" s="180"/>
      <c r="AE91" s="180"/>
      <c r="AF91" s="180"/>
      <c r="AG91" s="180"/>
      <c r="AH91" s="180"/>
      <c r="AI91" s="180"/>
      <c r="AJ91" s="180"/>
      <c r="AK91" s="181"/>
      <c r="AL91" s="181"/>
      <c r="AM91" s="181"/>
      <c r="AN91" s="181"/>
      <c r="AO91" s="181"/>
      <c r="AP91" s="181">
        <v>914034</v>
      </c>
      <c r="AQ91" s="181"/>
      <c r="AR91" s="181"/>
      <c r="AS91" s="181">
        <v>681385</v>
      </c>
      <c r="AT91" s="182">
        <v>1401408</v>
      </c>
      <c r="AU91" s="182">
        <v>-115131</v>
      </c>
      <c r="AV91" s="182">
        <v>279445</v>
      </c>
      <c r="AW91" s="182">
        <v>787919</v>
      </c>
      <c r="AX91" s="182">
        <v>1547990</v>
      </c>
      <c r="AY91" s="182">
        <v>0</v>
      </c>
      <c r="AZ91" s="182">
        <v>556168</v>
      </c>
      <c r="BA91" s="182">
        <v>1629769</v>
      </c>
      <c r="BB91" s="182">
        <v>2133738</v>
      </c>
      <c r="BC91" s="182">
        <v>0</v>
      </c>
      <c r="BD91" s="182">
        <v>424465</v>
      </c>
      <c r="BE91" s="182">
        <v>909840</v>
      </c>
    </row>
    <row r="92" spans="1:57" ht="15" thickBot="1">
      <c r="A92" s="151" t="s">
        <v>1347</v>
      </c>
      <c r="B92" s="151" t="s">
        <v>1348</v>
      </c>
      <c r="D92" s="179"/>
      <c r="E92" s="179"/>
      <c r="F92" s="179"/>
      <c r="G92" s="179"/>
      <c r="H92" s="179"/>
      <c r="I92" s="179"/>
      <c r="J92" s="179"/>
      <c r="K92" s="179"/>
      <c r="L92" s="179"/>
      <c r="M92" s="179"/>
      <c r="N92" s="179"/>
      <c r="O92" s="179"/>
      <c r="P92" s="179"/>
      <c r="Q92" s="179"/>
      <c r="R92" s="179"/>
      <c r="S92" s="179"/>
      <c r="T92" s="179"/>
      <c r="U92" s="179"/>
      <c r="V92" s="179"/>
      <c r="W92" s="179"/>
      <c r="X92" s="179"/>
      <c r="Y92" s="179"/>
      <c r="Z92" s="179"/>
      <c r="AA92" s="179"/>
      <c r="AB92" s="179"/>
      <c r="AC92" s="179"/>
      <c r="AD92" s="180"/>
      <c r="AE92" s="180"/>
      <c r="AF92" s="180"/>
      <c r="AG92" s="180"/>
      <c r="AH92" s="180"/>
      <c r="AI92" s="180">
        <v>-31734</v>
      </c>
      <c r="AJ92" s="180">
        <v>-632005</v>
      </c>
      <c r="AK92" s="181">
        <v>-632005</v>
      </c>
      <c r="AL92" s="181">
        <v>-642725</v>
      </c>
      <c r="AM92" s="181">
        <v>-642725</v>
      </c>
      <c r="AN92" s="181">
        <v>-642725</v>
      </c>
      <c r="AO92" s="181">
        <v>-642725</v>
      </c>
      <c r="AP92" s="181">
        <v>-642725</v>
      </c>
      <c r="AQ92" s="181">
        <v>-642725</v>
      </c>
      <c r="AR92" s="181">
        <v>-642725</v>
      </c>
      <c r="AS92" s="181">
        <v>-642725</v>
      </c>
      <c r="AT92" s="182">
        <v>-630632</v>
      </c>
      <c r="AU92" s="182"/>
      <c r="AV92" s="182">
        <v>0</v>
      </c>
      <c r="AW92" s="182">
        <v>-29756</v>
      </c>
      <c r="AX92" s="182">
        <v>-29756</v>
      </c>
      <c r="AY92" s="182">
        <v>-58348</v>
      </c>
      <c r="AZ92" s="182">
        <v>-58348</v>
      </c>
      <c r="BA92" s="182">
        <v>-47924</v>
      </c>
      <c r="BB92" s="182">
        <v>-47924</v>
      </c>
      <c r="BC92" s="182">
        <v>-123712</v>
      </c>
      <c r="BD92" s="182">
        <v>-163136</v>
      </c>
      <c r="BE92" s="182">
        <v>-234080</v>
      </c>
    </row>
    <row r="93" spans="1:57" ht="15" thickBot="1">
      <c r="A93" s="155" t="s">
        <v>1147</v>
      </c>
      <c r="B93" s="155" t="s">
        <v>1148</v>
      </c>
      <c r="D93" s="156">
        <f>D84+D69+D53</f>
        <v>2452531</v>
      </c>
      <c r="E93" s="156">
        <f t="shared" ref="E93:AE93" si="31">E84+E69+E53</f>
        <v>2259027</v>
      </c>
      <c r="F93" s="156">
        <f t="shared" si="31"/>
        <v>2338772</v>
      </c>
      <c r="G93" s="156">
        <f t="shared" si="31"/>
        <v>2393514</v>
      </c>
      <c r="H93" s="156">
        <f t="shared" si="31"/>
        <v>2394570</v>
      </c>
      <c r="I93" s="156">
        <f t="shared" si="31"/>
        <v>2215498</v>
      </c>
      <c r="J93" s="156">
        <f t="shared" si="31"/>
        <v>2508973</v>
      </c>
      <c r="K93" s="156">
        <f t="shared" si="31"/>
        <v>3011933</v>
      </c>
      <c r="L93" s="156">
        <f t="shared" si="31"/>
        <v>3109208</v>
      </c>
      <c r="M93" s="156">
        <f t="shared" si="31"/>
        <v>3618874</v>
      </c>
      <c r="N93" s="156">
        <f t="shared" si="31"/>
        <v>3701000</v>
      </c>
      <c r="O93" s="156">
        <f t="shared" si="31"/>
        <v>3682094</v>
      </c>
      <c r="P93" s="156">
        <f t="shared" si="31"/>
        <v>3823113</v>
      </c>
      <c r="Q93" s="156">
        <f t="shared" si="31"/>
        <v>4008210</v>
      </c>
      <c r="R93" s="156">
        <f t="shared" si="31"/>
        <v>4198249</v>
      </c>
      <c r="S93" s="156">
        <f t="shared" si="31"/>
        <v>4203620</v>
      </c>
      <c r="T93" s="156">
        <f t="shared" si="31"/>
        <v>4262144</v>
      </c>
      <c r="U93" s="156">
        <f t="shared" si="31"/>
        <v>4387806</v>
      </c>
      <c r="V93" s="156">
        <f t="shared" si="31"/>
        <v>4711228</v>
      </c>
      <c r="W93" s="156">
        <f t="shared" si="31"/>
        <v>6188951</v>
      </c>
      <c r="X93" s="156">
        <f t="shared" si="31"/>
        <v>6273807</v>
      </c>
      <c r="Y93" s="156">
        <f t="shared" si="31"/>
        <v>6384343</v>
      </c>
      <c r="Z93" s="156">
        <f t="shared" si="31"/>
        <v>7478019</v>
      </c>
      <c r="AA93" s="156">
        <f t="shared" si="31"/>
        <v>7962355</v>
      </c>
      <c r="AB93" s="156">
        <f t="shared" si="31"/>
        <v>8223305</v>
      </c>
      <c r="AC93" s="156">
        <f t="shared" si="31"/>
        <v>8477336</v>
      </c>
      <c r="AD93" s="156">
        <f t="shared" si="31"/>
        <v>8658749</v>
      </c>
      <c r="AE93" s="156">
        <f t="shared" si="31"/>
        <v>10245198</v>
      </c>
      <c r="AF93" s="156">
        <f>AF84+AF69+AF53</f>
        <v>10034281</v>
      </c>
      <c r="AG93" s="156">
        <v>10431402</v>
      </c>
      <c r="AH93" s="156">
        <f t="shared" ref="AH93:AS93" si="32">AH84+AH69+AH53</f>
        <v>10653439</v>
      </c>
      <c r="AI93" s="156">
        <f t="shared" si="32"/>
        <v>11548463</v>
      </c>
      <c r="AJ93" s="156">
        <f t="shared" si="32"/>
        <v>11366760</v>
      </c>
      <c r="AK93" s="156">
        <f t="shared" si="32"/>
        <v>12005714</v>
      </c>
      <c r="AL93" s="156">
        <f t="shared" si="32"/>
        <v>13712956</v>
      </c>
      <c r="AM93" s="156">
        <f t="shared" si="32"/>
        <v>16075284</v>
      </c>
      <c r="AN93" s="156">
        <f t="shared" si="32"/>
        <v>21519607</v>
      </c>
      <c r="AO93" s="156">
        <f t="shared" si="32"/>
        <v>21487005</v>
      </c>
      <c r="AP93" s="156">
        <f t="shared" si="32"/>
        <v>22046886</v>
      </c>
      <c r="AQ93" s="156">
        <f t="shared" si="32"/>
        <v>22386347</v>
      </c>
      <c r="AR93" s="156">
        <f t="shared" si="32"/>
        <v>22386347</v>
      </c>
      <c r="AS93" s="156">
        <f t="shared" si="32"/>
        <v>23403654</v>
      </c>
      <c r="AT93" s="156">
        <f t="shared" ref="AT93:AY93" si="33">AT84+AT69+AT53</f>
        <v>24449220</v>
      </c>
      <c r="AU93" s="156">
        <f t="shared" si="33"/>
        <v>26035163</v>
      </c>
      <c r="AV93" s="156">
        <f t="shared" si="33"/>
        <v>24324976</v>
      </c>
      <c r="AW93" s="156">
        <f t="shared" si="33"/>
        <v>24870119</v>
      </c>
      <c r="AX93" s="156">
        <f t="shared" si="33"/>
        <v>28148653</v>
      </c>
      <c r="AY93" s="156">
        <f t="shared" si="33"/>
        <v>31144935</v>
      </c>
      <c r="AZ93" s="156">
        <f t="shared" ref="AZ93:BE93" si="34">AZ84+AZ69+AZ53</f>
        <v>31798760</v>
      </c>
      <c r="BA93" s="156">
        <f t="shared" si="34"/>
        <v>32168317</v>
      </c>
      <c r="BB93" s="156">
        <f t="shared" si="34"/>
        <v>32786690</v>
      </c>
      <c r="BC93" s="156">
        <f t="shared" si="34"/>
        <v>27955563</v>
      </c>
      <c r="BD93" s="156">
        <f t="shared" si="34"/>
        <v>28110744</v>
      </c>
      <c r="BE93" s="156">
        <f t="shared" si="34"/>
        <v>28650399</v>
      </c>
    </row>
    <row r="94" spans="1:57"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  <c r="AA94" s="101"/>
      <c r="AB94" s="101"/>
      <c r="AC94" s="101"/>
      <c r="AD94" s="101"/>
      <c r="AE94" s="101"/>
      <c r="AF94" s="101"/>
      <c r="AG94" s="101"/>
      <c r="AH94" s="101">
        <f>AH93-AH50</f>
        <v>0</v>
      </c>
      <c r="AI94" s="101">
        <f>AI93-AI50</f>
        <v>-118307</v>
      </c>
      <c r="AJ94" s="101">
        <f>AJ93-AJ50</f>
        <v>0</v>
      </c>
      <c r="AK94" s="101"/>
      <c r="AL94" s="101"/>
      <c r="AM94" s="188"/>
      <c r="AN94" s="188">
        <f>AN93-AN50</f>
        <v>0</v>
      </c>
      <c r="AO94" s="188">
        <f>AO93-AO50</f>
        <v>0</v>
      </c>
      <c r="AP94" s="188">
        <f>AP93-AP50</f>
        <v>0</v>
      </c>
      <c r="AQ94" s="188">
        <f>AQ93-AQ50</f>
        <v>0</v>
      </c>
      <c r="AR94" s="188">
        <f t="shared" ref="AR94:AW94" si="35">AR93-AR50</f>
        <v>0</v>
      </c>
      <c r="AS94" s="188">
        <f t="shared" si="35"/>
        <v>0</v>
      </c>
      <c r="AT94" s="188">
        <f t="shared" si="35"/>
        <v>0</v>
      </c>
      <c r="AU94" s="188">
        <f t="shared" si="35"/>
        <v>0</v>
      </c>
      <c r="AV94" s="188">
        <f t="shared" si="35"/>
        <v>0</v>
      </c>
      <c r="AW94" s="188">
        <f t="shared" si="35"/>
        <v>0</v>
      </c>
      <c r="AX94" s="188">
        <f t="shared" ref="AX94:BD94" si="36">AX93-AX50</f>
        <v>0</v>
      </c>
      <c r="AY94" s="188">
        <f t="shared" si="36"/>
        <v>0</v>
      </c>
      <c r="AZ94" s="188">
        <f t="shared" si="36"/>
        <v>0</v>
      </c>
      <c r="BA94" s="188">
        <f t="shared" si="36"/>
        <v>0</v>
      </c>
      <c r="BB94" s="188">
        <f t="shared" si="36"/>
        <v>0</v>
      </c>
      <c r="BC94" s="188">
        <f t="shared" si="36"/>
        <v>0</v>
      </c>
      <c r="BD94" s="188">
        <f t="shared" si="36"/>
        <v>0</v>
      </c>
      <c r="BE94" s="188">
        <f>BE93-BE50</f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A6FF7-9527-4823-B53E-5C6EB8FC3FF8}">
  <sheetPr>
    <tabColor theme="9" tint="0.79998168889431442"/>
  </sheetPr>
  <dimension ref="A6:BE111"/>
  <sheetViews>
    <sheetView showGridLines="0" zoomScale="85" zoomScaleNormal="85" workbookViewId="0">
      <pane xSplit="2" ySplit="7" topLeftCell="AY8" activePane="bottomRight" state="frozen"/>
      <selection pane="topRight" activeCell="C1" sqref="C1"/>
      <selection pane="bottomLeft" activeCell="A8" sqref="A8"/>
      <selection pane="bottomRight" activeCell="BC30" activeCellId="2" sqref="A30 AY30 BC30"/>
    </sheetView>
  </sheetViews>
  <sheetFormatPr defaultColWidth="9.21875" defaultRowHeight="14.4" outlineLevelCol="1"/>
  <cols>
    <col min="1" max="2" width="47.5546875" style="35" customWidth="1"/>
    <col min="3" max="3" width="0.5546875" customWidth="1"/>
    <col min="4" max="30" width="12.5546875" style="35" hidden="1" customWidth="1" outlineLevel="1"/>
    <col min="31" max="39" width="13" style="35" hidden="1" customWidth="1" outlineLevel="1"/>
    <col min="40" max="40" width="13" style="35" customWidth="1" collapsed="1"/>
    <col min="41" max="56" width="13" style="35" customWidth="1"/>
    <col min="57" max="57" width="11.5546875" style="35" bestFit="1" customWidth="1"/>
    <col min="58" max="16384" width="9.21875" style="35"/>
  </cols>
  <sheetData>
    <row r="6" spans="1:57">
      <c r="A6" s="38" t="s">
        <v>1000</v>
      </c>
      <c r="B6" s="38" t="s">
        <v>1001</v>
      </c>
      <c r="C6" s="144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5"/>
      <c r="AR6" s="145"/>
      <c r="AS6" s="145"/>
      <c r="AT6" s="145"/>
      <c r="AU6" s="145"/>
      <c r="AV6" s="145"/>
      <c r="AW6" s="145"/>
      <c r="AX6" s="145"/>
      <c r="AY6" s="145"/>
      <c r="AZ6" s="145"/>
      <c r="BA6" s="145"/>
      <c r="BB6" s="145"/>
      <c r="BC6" s="145"/>
      <c r="BD6" s="145"/>
      <c r="BE6" s="38"/>
    </row>
    <row r="7" spans="1:57" ht="15" thickBot="1">
      <c r="A7" s="6" t="s">
        <v>1049</v>
      </c>
      <c r="B7" s="6" t="s">
        <v>1050</v>
      </c>
      <c r="C7" s="146"/>
      <c r="D7" s="434" t="s">
        <v>39</v>
      </c>
      <c r="E7" s="434" t="s">
        <v>40</v>
      </c>
      <c r="F7" s="434" t="s">
        <v>41</v>
      </c>
      <c r="G7" s="434" t="s">
        <v>42</v>
      </c>
      <c r="H7" s="434" t="s">
        <v>43</v>
      </c>
      <c r="I7" s="434" t="s">
        <v>44</v>
      </c>
      <c r="J7" s="434" t="s">
        <v>45</v>
      </c>
      <c r="K7" s="434" t="s">
        <v>46</v>
      </c>
      <c r="L7" s="434" t="s">
        <v>47</v>
      </c>
      <c r="M7" s="434" t="s">
        <v>48</v>
      </c>
      <c r="N7" s="434" t="s">
        <v>49</v>
      </c>
      <c r="O7" s="434" t="s">
        <v>50</v>
      </c>
      <c r="P7" s="434" t="s">
        <v>51</v>
      </c>
      <c r="Q7" s="434" t="s">
        <v>52</v>
      </c>
      <c r="R7" s="434" t="s">
        <v>53</v>
      </c>
      <c r="S7" s="434" t="s">
        <v>54</v>
      </c>
      <c r="T7" s="434" t="s">
        <v>55</v>
      </c>
      <c r="U7" s="434" t="s">
        <v>56</v>
      </c>
      <c r="V7" s="434" t="s">
        <v>57</v>
      </c>
      <c r="W7" s="434" t="s">
        <v>58</v>
      </c>
      <c r="X7" s="434" t="s">
        <v>59</v>
      </c>
      <c r="Y7" s="434" t="s">
        <v>60</v>
      </c>
      <c r="Z7" s="434" t="s">
        <v>61</v>
      </c>
      <c r="AA7" s="434" t="s">
        <v>62</v>
      </c>
      <c r="AB7" s="434" t="s">
        <v>63</v>
      </c>
      <c r="AC7" s="434" t="s">
        <v>64</v>
      </c>
      <c r="AD7" s="434" t="s">
        <v>65</v>
      </c>
      <c r="AE7" s="434" t="s">
        <v>66</v>
      </c>
      <c r="AF7" s="434" t="s">
        <v>67</v>
      </c>
      <c r="AG7" s="434" t="s">
        <v>68</v>
      </c>
      <c r="AH7" s="434" t="s">
        <v>69</v>
      </c>
      <c r="AI7" s="434" t="s">
        <v>70</v>
      </c>
      <c r="AJ7" s="434" t="s">
        <v>71</v>
      </c>
      <c r="AK7" s="434" t="s">
        <v>72</v>
      </c>
      <c r="AL7" s="434" t="s">
        <v>73</v>
      </c>
      <c r="AM7" s="434" t="s">
        <v>74</v>
      </c>
      <c r="AN7" s="434" t="s">
        <v>75</v>
      </c>
      <c r="AO7" s="434" t="s">
        <v>76</v>
      </c>
      <c r="AP7" s="434" t="s">
        <v>77</v>
      </c>
      <c r="AQ7" s="434" t="s">
        <v>78</v>
      </c>
      <c r="AR7" s="434" t="s">
        <v>79</v>
      </c>
      <c r="AS7" s="434" t="s">
        <v>80</v>
      </c>
      <c r="AT7" s="434" t="s">
        <v>81</v>
      </c>
      <c r="AU7" s="434" t="s">
        <v>82</v>
      </c>
      <c r="AV7" s="434" t="s">
        <v>83</v>
      </c>
      <c r="AW7" s="434" t="s">
        <v>84</v>
      </c>
      <c r="AX7" s="434" t="s">
        <v>85</v>
      </c>
      <c r="AY7" s="434" t="s">
        <v>86</v>
      </c>
      <c r="AZ7" s="434" t="s">
        <v>87</v>
      </c>
      <c r="BA7" s="434" t="s">
        <v>88</v>
      </c>
      <c r="BB7" s="434" t="s">
        <v>2074</v>
      </c>
      <c r="BC7" s="434" t="s">
        <v>2127</v>
      </c>
      <c r="BD7" s="434" t="s">
        <v>2360</v>
      </c>
      <c r="BE7" s="468" t="s">
        <v>2494</v>
      </c>
    </row>
    <row r="8" spans="1:57" ht="15" thickBot="1">
      <c r="A8" s="147" t="s">
        <v>1051</v>
      </c>
      <c r="B8" s="147" t="s">
        <v>1052</v>
      </c>
      <c r="C8" s="148"/>
      <c r="D8" s="149">
        <f t="shared" ref="D8:AT8" si="0">SUM(D9:D25)</f>
        <v>3126393</v>
      </c>
      <c r="E8" s="149">
        <f t="shared" si="0"/>
        <v>3022295.6456099995</v>
      </c>
      <c r="F8" s="149">
        <f t="shared" si="0"/>
        <v>3085208.50031</v>
      </c>
      <c r="G8" s="149">
        <f t="shared" si="0"/>
        <v>3081193.5890200003</v>
      </c>
      <c r="H8" s="149">
        <f t="shared" si="0"/>
        <v>3163844.6078599999</v>
      </c>
      <c r="I8" s="149">
        <f t="shared" si="0"/>
        <v>3082525.8452100004</v>
      </c>
      <c r="J8" s="149">
        <f t="shared" si="0"/>
        <v>3377786.7399645038</v>
      </c>
      <c r="K8" s="149">
        <f t="shared" si="0"/>
        <v>4387669.45682</v>
      </c>
      <c r="L8" s="149">
        <f t="shared" si="0"/>
        <v>4083000</v>
      </c>
      <c r="M8" s="149">
        <f t="shared" si="0"/>
        <v>4322000</v>
      </c>
      <c r="N8" s="149">
        <f t="shared" si="0"/>
        <v>4965458</v>
      </c>
      <c r="O8" s="149">
        <f t="shared" si="0"/>
        <v>5156657</v>
      </c>
      <c r="P8" s="149">
        <f t="shared" si="0"/>
        <v>4907099</v>
      </c>
      <c r="Q8" s="149">
        <f t="shared" si="0"/>
        <v>4857391</v>
      </c>
      <c r="R8" s="149">
        <f t="shared" si="0"/>
        <v>4819523</v>
      </c>
      <c r="S8" s="149">
        <f t="shared" si="0"/>
        <v>5927532</v>
      </c>
      <c r="T8" s="149">
        <f t="shared" si="0"/>
        <v>5387885.94307</v>
      </c>
      <c r="U8" s="149">
        <f t="shared" si="0"/>
        <v>5372703</v>
      </c>
      <c r="V8" s="149">
        <f t="shared" si="0"/>
        <v>5826887</v>
      </c>
      <c r="W8" s="149">
        <f t="shared" si="0"/>
        <v>7494200</v>
      </c>
      <c r="X8" s="149">
        <f t="shared" si="0"/>
        <v>7177241</v>
      </c>
      <c r="Y8" s="149">
        <f t="shared" si="0"/>
        <v>7492629</v>
      </c>
      <c r="Z8" s="149">
        <f t="shared" si="0"/>
        <v>8384221</v>
      </c>
      <c r="AA8" s="149">
        <f t="shared" si="0"/>
        <v>9429564</v>
      </c>
      <c r="AB8" s="149">
        <f t="shared" si="0"/>
        <v>9749312</v>
      </c>
      <c r="AC8" s="149">
        <f t="shared" si="0"/>
        <v>10430437</v>
      </c>
      <c r="AD8" s="149">
        <f t="shared" si="0"/>
        <v>9745929</v>
      </c>
      <c r="AE8" s="149">
        <f t="shared" si="0"/>
        <v>11419027</v>
      </c>
      <c r="AF8" s="149">
        <f t="shared" si="0"/>
        <v>11643903</v>
      </c>
      <c r="AG8" s="149">
        <f t="shared" si="0"/>
        <v>12596389</v>
      </c>
      <c r="AH8" s="149">
        <f t="shared" si="0"/>
        <v>13537813</v>
      </c>
      <c r="AI8" s="149">
        <f t="shared" si="0"/>
        <v>14645300</v>
      </c>
      <c r="AJ8" s="149">
        <f t="shared" si="0"/>
        <v>14161312</v>
      </c>
      <c r="AK8" s="150">
        <f t="shared" si="0"/>
        <v>15745207</v>
      </c>
      <c r="AL8" s="150">
        <f t="shared" si="0"/>
        <v>19718254</v>
      </c>
      <c r="AM8" s="150">
        <f t="shared" si="0"/>
        <v>21690029</v>
      </c>
      <c r="AN8" s="150">
        <f t="shared" si="0"/>
        <v>19295782</v>
      </c>
      <c r="AO8" s="150">
        <f t="shared" si="0"/>
        <v>19586661</v>
      </c>
      <c r="AP8" s="150">
        <f t="shared" si="0"/>
        <v>18243740</v>
      </c>
      <c r="AQ8" s="150">
        <f t="shared" si="0"/>
        <v>21689299</v>
      </c>
      <c r="AR8" s="150">
        <f t="shared" si="0"/>
        <v>22942333</v>
      </c>
      <c r="AS8" s="150">
        <f t="shared" si="0"/>
        <v>23417042</v>
      </c>
      <c r="AT8" s="150">
        <f t="shared" si="0"/>
        <v>23859945.00891</v>
      </c>
      <c r="AU8" s="150">
        <f t="shared" ref="AU8:BD8" si="1">SUM(AU9:AU27)</f>
        <v>27952916</v>
      </c>
      <c r="AV8" s="150">
        <f t="shared" si="1"/>
        <v>23394889</v>
      </c>
      <c r="AW8" s="150">
        <f t="shared" si="1"/>
        <v>27800747</v>
      </c>
      <c r="AX8" s="150">
        <f t="shared" si="1"/>
        <v>26880255</v>
      </c>
      <c r="AY8" s="150">
        <f t="shared" si="1"/>
        <v>28527347</v>
      </c>
      <c r="AZ8" s="150">
        <f t="shared" si="1"/>
        <v>26574545</v>
      </c>
      <c r="BA8" s="150">
        <f t="shared" si="1"/>
        <v>25128826</v>
      </c>
      <c r="BB8" s="150">
        <f t="shared" si="1"/>
        <v>32667372</v>
      </c>
      <c r="BC8" s="150">
        <f t="shared" si="1"/>
        <v>26604995.5</v>
      </c>
      <c r="BD8" s="150">
        <f t="shared" si="1"/>
        <v>27293654</v>
      </c>
      <c r="BE8" s="149">
        <f>SUM(BE9:BE27)</f>
        <v>26308228</v>
      </c>
    </row>
    <row r="9" spans="1:57">
      <c r="A9" s="151" t="s">
        <v>1053</v>
      </c>
      <c r="B9" s="151" t="s">
        <v>1054</v>
      </c>
      <c r="C9" s="152"/>
      <c r="D9" s="153">
        <v>478216</v>
      </c>
      <c r="E9" s="153">
        <v>245780</v>
      </c>
      <c r="F9" s="153">
        <v>228085</v>
      </c>
      <c r="G9" s="153">
        <v>350884.51566999999</v>
      </c>
      <c r="H9" s="153">
        <v>344026</v>
      </c>
      <c r="I9" s="153">
        <v>532989.93324000004</v>
      </c>
      <c r="J9" s="153">
        <v>389847</v>
      </c>
      <c r="K9" s="153">
        <v>280098</v>
      </c>
      <c r="L9" s="153">
        <v>368000</v>
      </c>
      <c r="M9" s="153">
        <v>285000</v>
      </c>
      <c r="N9" s="153">
        <v>452000</v>
      </c>
      <c r="O9" s="153">
        <v>398000</v>
      </c>
      <c r="P9" s="153">
        <v>404000</v>
      </c>
      <c r="Q9" s="153">
        <v>418089.30923999992</v>
      </c>
      <c r="R9" s="153">
        <v>415911</v>
      </c>
      <c r="S9" s="153">
        <v>920784</v>
      </c>
      <c r="T9" s="153">
        <v>944000</v>
      </c>
      <c r="U9" s="153">
        <v>896729</v>
      </c>
      <c r="V9" s="153">
        <v>928321</v>
      </c>
      <c r="W9" s="153">
        <v>4098600.0000000005</v>
      </c>
      <c r="X9" s="153">
        <v>4099792.9999999995</v>
      </c>
      <c r="Y9" s="153">
        <v>4438850</v>
      </c>
      <c r="Z9" s="153">
        <v>4753614</v>
      </c>
      <c r="AA9" s="153">
        <v>4743990</v>
      </c>
      <c r="AB9" s="153">
        <v>4991303</v>
      </c>
      <c r="AC9" s="153">
        <v>4402984</v>
      </c>
      <c r="AD9" s="153">
        <v>4275954</v>
      </c>
      <c r="AE9" s="153">
        <v>1785203</v>
      </c>
      <c r="AF9" s="153">
        <v>3257369</v>
      </c>
      <c r="AG9" s="153">
        <v>619121</v>
      </c>
      <c r="AH9" s="153">
        <v>3311664</v>
      </c>
      <c r="AI9" s="153">
        <v>2219546</v>
      </c>
      <c r="AJ9" s="153">
        <v>2491021</v>
      </c>
      <c r="AK9" s="153">
        <v>4205024</v>
      </c>
      <c r="AL9" s="153">
        <v>3778086</v>
      </c>
      <c r="AM9" s="153">
        <v>2996589</v>
      </c>
      <c r="AN9" s="153">
        <v>1990351</v>
      </c>
      <c r="AO9" s="153">
        <v>3830698</v>
      </c>
      <c r="AP9" s="153">
        <v>2885828</v>
      </c>
      <c r="AQ9" s="153">
        <v>3166362</v>
      </c>
      <c r="AR9" s="153">
        <v>4321115</v>
      </c>
      <c r="AS9" s="153">
        <v>5243983</v>
      </c>
      <c r="AT9" s="153">
        <v>5575524</v>
      </c>
      <c r="AU9" s="153">
        <v>4829157</v>
      </c>
      <c r="AV9" s="153">
        <v>3344024</v>
      </c>
      <c r="AW9" s="153">
        <v>2607560</v>
      </c>
      <c r="AX9" s="153">
        <v>2232842</v>
      </c>
      <c r="AY9" s="153">
        <v>3306364</v>
      </c>
      <c r="AZ9" s="153">
        <v>1560654</v>
      </c>
      <c r="BA9" s="153">
        <v>2114164</v>
      </c>
      <c r="BB9" s="153">
        <v>4861502</v>
      </c>
      <c r="BC9" s="153">
        <v>2659827</v>
      </c>
      <c r="BD9" s="153">
        <v>5667914</v>
      </c>
      <c r="BE9" s="170">
        <v>5075274</v>
      </c>
    </row>
    <row r="10" spans="1:57">
      <c r="A10" s="151" t="s">
        <v>1055</v>
      </c>
      <c r="B10" s="151" t="s">
        <v>1056</v>
      </c>
      <c r="C10" s="152"/>
      <c r="D10" s="153">
        <v>957500</v>
      </c>
      <c r="E10" s="153">
        <v>1273886</v>
      </c>
      <c r="F10" s="153">
        <v>1364529</v>
      </c>
      <c r="G10" s="153">
        <v>1262132</v>
      </c>
      <c r="H10" s="153">
        <v>1002053.8224599999</v>
      </c>
      <c r="I10" s="153">
        <v>830137</v>
      </c>
      <c r="J10" s="153">
        <v>842725.95521450404</v>
      </c>
      <c r="K10" s="153">
        <v>1683565</v>
      </c>
      <c r="L10" s="153">
        <v>1348000</v>
      </c>
      <c r="M10" s="153">
        <v>1551000</v>
      </c>
      <c r="N10" s="153">
        <v>1838000</v>
      </c>
      <c r="O10" s="153">
        <v>2083000</v>
      </c>
      <c r="P10" s="153">
        <v>2040000</v>
      </c>
      <c r="Q10" s="153">
        <v>1908449.6907600001</v>
      </c>
      <c r="R10" s="153">
        <v>1630801</v>
      </c>
      <c r="S10" s="153">
        <v>2137135</v>
      </c>
      <c r="T10" s="153">
        <v>1786869</v>
      </c>
      <c r="U10" s="153">
        <v>1628482</v>
      </c>
      <c r="V10" s="153">
        <v>1732997</v>
      </c>
      <c r="W10" s="153">
        <v>74793</v>
      </c>
      <c r="X10" s="153">
        <v>522</v>
      </c>
      <c r="Y10" s="153">
        <v>522</v>
      </c>
      <c r="Z10" s="153">
        <v>0</v>
      </c>
      <c r="AA10" s="153">
        <v>0</v>
      </c>
      <c r="AB10" s="153">
        <v>1374</v>
      </c>
      <c r="AC10" s="153">
        <v>1129310</v>
      </c>
      <c r="AD10" s="153">
        <v>449776</v>
      </c>
      <c r="AE10" s="153">
        <v>4043717</v>
      </c>
      <c r="AF10" s="153">
        <v>2344913</v>
      </c>
      <c r="AG10" s="153">
        <v>5362258</v>
      </c>
      <c r="AH10" s="153">
        <v>3706309</v>
      </c>
      <c r="AI10" s="153">
        <v>5397283</v>
      </c>
      <c r="AJ10" s="153">
        <v>4323636</v>
      </c>
      <c r="AK10" s="153">
        <v>3916445</v>
      </c>
      <c r="AL10" s="153">
        <v>5842542</v>
      </c>
      <c r="AM10" s="153">
        <v>7374627</v>
      </c>
      <c r="AN10" s="153">
        <v>6392369</v>
      </c>
      <c r="AO10" s="153">
        <v>6003005</v>
      </c>
      <c r="AP10" s="153">
        <v>4916487</v>
      </c>
      <c r="AQ10" s="153">
        <v>4714434</v>
      </c>
      <c r="AR10" s="153">
        <v>4624025</v>
      </c>
      <c r="AS10" s="153">
        <v>4343351</v>
      </c>
      <c r="AT10" s="153">
        <v>3722217</v>
      </c>
      <c r="AU10" s="153">
        <v>7408530</v>
      </c>
      <c r="AV10" s="153">
        <v>5651825</v>
      </c>
      <c r="AW10" s="153">
        <v>9369821</v>
      </c>
      <c r="AX10" s="153">
        <v>8047675</v>
      </c>
      <c r="AY10" s="153">
        <v>9731379</v>
      </c>
      <c r="AZ10" s="153">
        <v>8940759</v>
      </c>
      <c r="BA10" s="153">
        <v>7294013</v>
      </c>
      <c r="BB10" s="153">
        <v>10334774</v>
      </c>
      <c r="BC10" s="153">
        <v>7822072</v>
      </c>
      <c r="BD10" s="153">
        <v>5225564</v>
      </c>
      <c r="BE10" s="170">
        <v>4144748</v>
      </c>
    </row>
    <row r="11" spans="1:57">
      <c r="A11" s="151" t="s">
        <v>1057</v>
      </c>
      <c r="B11" s="151" t="s">
        <v>1058</v>
      </c>
      <c r="C11" s="152"/>
      <c r="D11" s="153">
        <v>923464</v>
      </c>
      <c r="E11" s="153">
        <v>919440</v>
      </c>
      <c r="F11" s="153">
        <v>978071</v>
      </c>
      <c r="G11" s="153">
        <v>1006085</v>
      </c>
      <c r="H11" s="153">
        <v>1026473.9999999999</v>
      </c>
      <c r="I11" s="153">
        <v>1086698.77831</v>
      </c>
      <c r="J11" s="153">
        <v>1272674.2632500001</v>
      </c>
      <c r="K11" s="153">
        <v>1382874.45682</v>
      </c>
      <c r="L11" s="153">
        <v>1517000</v>
      </c>
      <c r="M11" s="153">
        <v>1605000</v>
      </c>
      <c r="N11" s="153">
        <v>1764000</v>
      </c>
      <c r="O11" s="153">
        <v>1983000</v>
      </c>
      <c r="P11" s="153">
        <v>1860000</v>
      </c>
      <c r="Q11" s="153">
        <v>1938558</v>
      </c>
      <c r="R11" s="153">
        <v>2211925</v>
      </c>
      <c r="S11" s="153">
        <v>2292104</v>
      </c>
      <c r="T11" s="153">
        <v>2043000</v>
      </c>
      <c r="U11" s="153">
        <v>2132731</v>
      </c>
      <c r="V11" s="153">
        <v>2322915</v>
      </c>
      <c r="W11" s="153">
        <v>2439478</v>
      </c>
      <c r="X11" s="153">
        <v>2154711</v>
      </c>
      <c r="Y11" s="153">
        <v>2221911</v>
      </c>
      <c r="Z11" s="153">
        <v>2425352</v>
      </c>
      <c r="AA11" s="153">
        <v>2938037</v>
      </c>
      <c r="AB11" s="153">
        <v>3255199</v>
      </c>
      <c r="AC11" s="153">
        <v>3293725</v>
      </c>
      <c r="AD11" s="153">
        <v>3333569</v>
      </c>
      <c r="AE11" s="153">
        <v>3503757</v>
      </c>
      <c r="AF11" s="153">
        <v>2911796</v>
      </c>
      <c r="AG11" s="153">
        <v>3327841</v>
      </c>
      <c r="AH11" s="153">
        <v>3408250</v>
      </c>
      <c r="AI11" s="153">
        <v>3589317</v>
      </c>
      <c r="AJ11" s="153">
        <v>3451455</v>
      </c>
      <c r="AK11" s="153">
        <v>3542658</v>
      </c>
      <c r="AL11" s="153">
        <v>4733642</v>
      </c>
      <c r="AM11" s="153">
        <v>5476221</v>
      </c>
      <c r="AN11" s="153">
        <v>5665092</v>
      </c>
      <c r="AO11" s="153">
        <v>5363516</v>
      </c>
      <c r="AP11" s="153">
        <v>5715160</v>
      </c>
      <c r="AQ11" s="153">
        <v>7689205</v>
      </c>
      <c r="AR11" s="153">
        <v>7885231</v>
      </c>
      <c r="AS11" s="153">
        <v>7757822</v>
      </c>
      <c r="AT11" s="153">
        <v>8414708.0089100003</v>
      </c>
      <c r="AU11" s="153">
        <v>8414799</v>
      </c>
      <c r="AV11" s="153">
        <v>8526671</v>
      </c>
      <c r="AW11" s="153">
        <v>8387185</v>
      </c>
      <c r="AX11" s="153">
        <v>8771753</v>
      </c>
      <c r="AY11" s="153">
        <v>8538999</v>
      </c>
      <c r="AZ11" s="153">
        <v>8774661</v>
      </c>
      <c r="BA11" s="153">
        <v>8726393</v>
      </c>
      <c r="BB11" s="153">
        <v>9253987</v>
      </c>
      <c r="BC11" s="153">
        <v>9491337</v>
      </c>
      <c r="BD11" s="153">
        <v>9308782</v>
      </c>
      <c r="BE11" s="170">
        <v>9461128</v>
      </c>
    </row>
    <row r="12" spans="1:57">
      <c r="A12" s="151" t="s">
        <v>1061</v>
      </c>
      <c r="B12" s="151" t="s">
        <v>1062</v>
      </c>
      <c r="C12" s="152"/>
      <c r="D12" s="153">
        <v>0</v>
      </c>
      <c r="E12" s="153">
        <v>0</v>
      </c>
      <c r="F12" s="153">
        <v>0</v>
      </c>
      <c r="G12" s="153">
        <v>0</v>
      </c>
      <c r="H12" s="153">
        <v>0</v>
      </c>
      <c r="I12" s="153">
        <v>0</v>
      </c>
      <c r="J12" s="153">
        <v>0</v>
      </c>
      <c r="K12" s="153">
        <v>0</v>
      </c>
      <c r="L12" s="153">
        <v>0</v>
      </c>
      <c r="M12" s="153">
        <v>0</v>
      </c>
      <c r="N12" s="153">
        <v>0</v>
      </c>
      <c r="O12" s="153">
        <v>0</v>
      </c>
      <c r="P12" s="153">
        <v>0</v>
      </c>
      <c r="Q12" s="153">
        <v>0</v>
      </c>
      <c r="R12" s="153">
        <v>0</v>
      </c>
      <c r="S12" s="153">
        <v>3947</v>
      </c>
      <c r="T12" s="153">
        <v>591.41438000000005</v>
      </c>
      <c r="U12" s="153">
        <v>53645</v>
      </c>
      <c r="V12" s="153">
        <v>2511</v>
      </c>
      <c r="W12" s="153">
        <v>8763</v>
      </c>
      <c r="X12" s="153">
        <v>1844</v>
      </c>
      <c r="Y12" s="153">
        <v>7973</v>
      </c>
      <c r="Z12" s="153">
        <v>542</v>
      </c>
      <c r="AA12" s="153">
        <v>18769</v>
      </c>
      <c r="AB12" s="153">
        <v>20448</v>
      </c>
      <c r="AC12" s="153">
        <v>16474</v>
      </c>
      <c r="AD12" s="153">
        <v>23210</v>
      </c>
      <c r="AE12" s="153">
        <v>1291</v>
      </c>
      <c r="AF12" s="153">
        <v>2328</v>
      </c>
      <c r="AG12" s="153">
        <v>2674</v>
      </c>
      <c r="AH12" s="153">
        <v>1337</v>
      </c>
      <c r="AI12" s="153"/>
      <c r="AJ12" s="153"/>
      <c r="AK12" s="153"/>
      <c r="AL12" s="153"/>
      <c r="AM12" s="153"/>
      <c r="AN12" s="153"/>
      <c r="AO12" s="153"/>
      <c r="AP12" s="153"/>
      <c r="AQ12" s="153">
        <v>0</v>
      </c>
      <c r="AR12" s="153"/>
      <c r="AS12" s="153"/>
      <c r="AT12" s="153"/>
      <c r="AU12" s="153"/>
      <c r="AV12" s="153"/>
      <c r="AW12" s="153"/>
      <c r="AX12" s="153"/>
      <c r="AY12" s="153"/>
      <c r="AZ12" s="153"/>
      <c r="BA12" s="153"/>
      <c r="BB12" s="153"/>
      <c r="BC12" s="153"/>
      <c r="BD12" s="153"/>
      <c r="BE12" s="170"/>
    </row>
    <row r="13" spans="1:57">
      <c r="A13" s="151" t="s">
        <v>1066</v>
      </c>
      <c r="B13" s="151" t="s">
        <v>1067</v>
      </c>
      <c r="C13" s="152"/>
      <c r="D13" s="153">
        <v>195721</v>
      </c>
      <c r="E13" s="153">
        <v>143090.76061999999</v>
      </c>
      <c r="F13" s="153">
        <v>132547</v>
      </c>
      <c r="G13" s="153">
        <v>94346</v>
      </c>
      <c r="H13" s="153">
        <v>156034</v>
      </c>
      <c r="I13" s="153">
        <v>205813</v>
      </c>
      <c r="J13" s="153">
        <v>199979</v>
      </c>
      <c r="K13" s="153">
        <v>236701</v>
      </c>
      <c r="L13" s="153">
        <v>231000</v>
      </c>
      <c r="M13" s="153">
        <v>219000</v>
      </c>
      <c r="N13" s="153">
        <v>195000</v>
      </c>
      <c r="O13" s="153">
        <v>221000</v>
      </c>
      <c r="P13" s="153">
        <v>169000</v>
      </c>
      <c r="Q13" s="153">
        <v>157211</v>
      </c>
      <c r="R13" s="153">
        <v>161676</v>
      </c>
      <c r="S13" s="153">
        <v>64738</v>
      </c>
      <c r="T13" s="153">
        <v>40440.792009999997</v>
      </c>
      <c r="U13" s="153">
        <v>42355</v>
      </c>
      <c r="V13" s="153">
        <v>41546</v>
      </c>
      <c r="W13" s="153">
        <v>77895</v>
      </c>
      <c r="X13" s="153">
        <v>69708</v>
      </c>
      <c r="Y13" s="153">
        <v>54533</v>
      </c>
      <c r="Z13" s="153">
        <v>75704</v>
      </c>
      <c r="AA13" s="153">
        <v>63380</v>
      </c>
      <c r="AB13" s="153">
        <v>51725</v>
      </c>
      <c r="AC13" s="153">
        <v>36820</v>
      </c>
      <c r="AD13" s="153">
        <v>36970</v>
      </c>
      <c r="AE13" s="153">
        <v>36376</v>
      </c>
      <c r="AF13" s="153">
        <v>46949</v>
      </c>
      <c r="AG13" s="153">
        <v>20403</v>
      </c>
      <c r="AH13" s="153">
        <v>39208</v>
      </c>
      <c r="AI13" s="153">
        <v>29855</v>
      </c>
      <c r="AJ13" s="153">
        <v>26777</v>
      </c>
      <c r="AK13" s="153">
        <v>41873</v>
      </c>
      <c r="AL13" s="153">
        <v>61541</v>
      </c>
      <c r="AM13" s="153">
        <v>63197</v>
      </c>
      <c r="AN13" s="153">
        <v>51714</v>
      </c>
      <c r="AO13" s="153">
        <v>67519</v>
      </c>
      <c r="AP13" s="153">
        <v>75992</v>
      </c>
      <c r="AQ13" s="153">
        <v>84236</v>
      </c>
      <c r="AR13" s="153">
        <v>64362</v>
      </c>
      <c r="AS13" s="153">
        <v>56798</v>
      </c>
      <c r="AT13" s="153">
        <v>69329</v>
      </c>
      <c r="AU13" s="153">
        <v>64777</v>
      </c>
      <c r="AV13" s="153">
        <v>61014</v>
      </c>
      <c r="AW13" s="153">
        <v>58158</v>
      </c>
      <c r="AX13" s="153">
        <v>73664</v>
      </c>
      <c r="AY13" s="153">
        <v>71547</v>
      </c>
      <c r="AZ13" s="153">
        <v>68643</v>
      </c>
      <c r="BA13" s="153">
        <v>77777</v>
      </c>
      <c r="BB13" s="153">
        <v>87305</v>
      </c>
      <c r="BC13" s="153">
        <v>130131</v>
      </c>
      <c r="BD13" s="153">
        <v>118397</v>
      </c>
      <c r="BE13" s="170">
        <v>134277</v>
      </c>
    </row>
    <row r="14" spans="1:57">
      <c r="A14" s="151" t="s">
        <v>1203</v>
      </c>
      <c r="B14" s="151" t="s">
        <v>1064</v>
      </c>
      <c r="C14" s="152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153">
        <v>365462</v>
      </c>
      <c r="AF14" s="153">
        <v>371989</v>
      </c>
      <c r="AG14" s="153">
        <v>410166</v>
      </c>
      <c r="AH14" s="153">
        <v>429077</v>
      </c>
      <c r="AI14" s="153">
        <v>518041.00000000006</v>
      </c>
      <c r="AJ14" s="153">
        <v>514922</v>
      </c>
      <c r="AK14" s="153">
        <v>536245</v>
      </c>
      <c r="AL14" s="153">
        <v>550459</v>
      </c>
      <c r="AM14" s="153">
        <v>605958</v>
      </c>
      <c r="AN14" s="153">
        <v>533701</v>
      </c>
      <c r="AO14" s="153">
        <v>551792</v>
      </c>
      <c r="AP14" s="153">
        <v>603687</v>
      </c>
      <c r="AQ14" s="153">
        <v>656979</v>
      </c>
      <c r="AR14" s="153">
        <v>616134</v>
      </c>
      <c r="AS14" s="153">
        <v>661726</v>
      </c>
      <c r="AT14" s="153">
        <v>618309</v>
      </c>
      <c r="AU14" s="153">
        <v>723654</v>
      </c>
      <c r="AV14" s="153">
        <v>741054</v>
      </c>
      <c r="AW14" s="153">
        <v>803652</v>
      </c>
      <c r="AX14" s="153">
        <v>858905</v>
      </c>
      <c r="AY14" s="153">
        <v>738805</v>
      </c>
      <c r="AZ14" s="153">
        <v>755357</v>
      </c>
      <c r="BA14" s="153">
        <v>813128</v>
      </c>
      <c r="BB14" s="153">
        <v>887152</v>
      </c>
      <c r="BC14" s="153">
        <v>751533</v>
      </c>
      <c r="BD14" s="153">
        <v>749400</v>
      </c>
      <c r="BE14" s="170">
        <v>763459</v>
      </c>
    </row>
    <row r="15" spans="1:57">
      <c r="A15" s="151" t="s">
        <v>1193</v>
      </c>
      <c r="B15" s="151" t="s">
        <v>1071</v>
      </c>
      <c r="C15" s="152"/>
      <c r="D15" s="153">
        <v>0</v>
      </c>
      <c r="E15" s="153">
        <v>0</v>
      </c>
      <c r="F15" s="153">
        <v>0</v>
      </c>
      <c r="G15" s="153">
        <v>0</v>
      </c>
      <c r="H15" s="153">
        <v>0</v>
      </c>
      <c r="I15" s="153">
        <v>0</v>
      </c>
      <c r="J15" s="153">
        <v>0</v>
      </c>
      <c r="K15" s="153">
        <v>342000</v>
      </c>
      <c r="L15" s="153">
        <v>160000</v>
      </c>
      <c r="M15" s="153">
        <v>100000</v>
      </c>
      <c r="N15" s="153">
        <v>132000</v>
      </c>
      <c r="O15" s="153">
        <v>0</v>
      </c>
      <c r="P15" s="153">
        <v>0</v>
      </c>
      <c r="Q15" s="153">
        <v>7865</v>
      </c>
      <c r="R15" s="153">
        <v>0</v>
      </c>
      <c r="S15" s="153">
        <v>0</v>
      </c>
      <c r="T15" s="153">
        <v>0</v>
      </c>
      <c r="U15" s="153">
        <v>0</v>
      </c>
      <c r="V15" s="153">
        <v>136570</v>
      </c>
      <c r="W15" s="153">
        <v>100414</v>
      </c>
      <c r="X15" s="153">
        <v>69249</v>
      </c>
      <c r="Y15" s="153">
        <v>8622</v>
      </c>
      <c r="Z15" s="153">
        <v>355625</v>
      </c>
      <c r="AA15" s="153">
        <v>464505</v>
      </c>
      <c r="AB15" s="153">
        <v>250608</v>
      </c>
      <c r="AC15" s="153">
        <v>110645</v>
      </c>
      <c r="AD15" s="153">
        <v>246720</v>
      </c>
      <c r="AE15" s="153">
        <v>231463</v>
      </c>
      <c r="AF15" s="153">
        <v>113185</v>
      </c>
      <c r="AG15" s="153">
        <v>141484</v>
      </c>
      <c r="AH15" s="153">
        <v>49743</v>
      </c>
      <c r="AI15" s="153"/>
      <c r="AJ15" s="153">
        <v>188426</v>
      </c>
      <c r="AK15" s="153">
        <v>56862</v>
      </c>
      <c r="AL15" s="153">
        <v>696262</v>
      </c>
      <c r="AM15" s="153">
        <v>698729</v>
      </c>
      <c r="AN15" s="153">
        <v>343889</v>
      </c>
      <c r="AO15" s="153">
        <v>182461</v>
      </c>
      <c r="AP15" s="153">
        <v>298217</v>
      </c>
      <c r="AQ15" s="153">
        <v>394179</v>
      </c>
      <c r="AR15" s="153">
        <v>267077</v>
      </c>
      <c r="AS15" s="153">
        <v>270643</v>
      </c>
      <c r="AT15" s="153">
        <v>211791</v>
      </c>
      <c r="AU15" s="153">
        <v>97933</v>
      </c>
      <c r="AV15" s="153">
        <v>36504</v>
      </c>
      <c r="AW15" s="153">
        <v>79436</v>
      </c>
      <c r="AX15" s="153">
        <v>1349</v>
      </c>
      <c r="AY15" s="153">
        <v>0</v>
      </c>
      <c r="AZ15" s="153"/>
      <c r="BA15" s="153">
        <v>11928</v>
      </c>
      <c r="BB15" s="153">
        <v>889467</v>
      </c>
      <c r="BC15" s="153">
        <v>710572</v>
      </c>
      <c r="BD15" s="153">
        <v>918894</v>
      </c>
      <c r="BE15" s="170">
        <v>1528454</v>
      </c>
    </row>
    <row r="16" spans="1:57">
      <c r="A16" s="151" t="s">
        <v>1068</v>
      </c>
      <c r="B16" s="151" t="s">
        <v>1069</v>
      </c>
      <c r="C16" s="152"/>
      <c r="D16" s="153">
        <v>23911</v>
      </c>
      <c r="E16" s="153">
        <v>113988.78245</v>
      </c>
      <c r="F16" s="153">
        <v>22973.779849999999</v>
      </c>
      <c r="G16" s="153">
        <v>24165</v>
      </c>
      <c r="H16" s="153">
        <v>22567.785400000001</v>
      </c>
      <c r="I16" s="153">
        <v>22475.577880000001</v>
      </c>
      <c r="J16" s="153">
        <v>21294.34204</v>
      </c>
      <c r="K16" s="153">
        <v>20037</v>
      </c>
      <c r="L16" s="153">
        <v>20000</v>
      </c>
      <c r="M16" s="153">
        <v>24000</v>
      </c>
      <c r="N16" s="153">
        <v>25000</v>
      </c>
      <c r="O16" s="153">
        <v>25000</v>
      </c>
      <c r="P16" s="153">
        <v>26000</v>
      </c>
      <c r="Q16" s="153">
        <v>32192</v>
      </c>
      <c r="R16" s="153">
        <v>31917</v>
      </c>
      <c r="S16" s="153">
        <v>31839</v>
      </c>
      <c r="T16" s="153">
        <v>34605.136699999995</v>
      </c>
      <c r="U16" s="153">
        <v>37526</v>
      </c>
      <c r="V16" s="153">
        <v>22042</v>
      </c>
      <c r="W16" s="153">
        <v>15245</v>
      </c>
      <c r="X16" s="153">
        <v>14390</v>
      </c>
      <c r="Y16" s="153">
        <v>6793</v>
      </c>
      <c r="Z16" s="153">
        <v>6627</v>
      </c>
      <c r="AA16" s="153">
        <v>4068</v>
      </c>
      <c r="AB16" s="153">
        <v>4374</v>
      </c>
      <c r="AC16" s="153">
        <v>4609</v>
      </c>
      <c r="AD16" s="153">
        <v>3111</v>
      </c>
      <c r="AE16" s="153">
        <v>3052</v>
      </c>
      <c r="AF16" s="153">
        <v>3264</v>
      </c>
      <c r="AG16" s="153">
        <v>2941</v>
      </c>
      <c r="AH16" s="153">
        <v>5113</v>
      </c>
      <c r="AI16" s="153">
        <v>3567</v>
      </c>
      <c r="AJ16" s="153">
        <v>3806</v>
      </c>
      <c r="AK16" s="153">
        <v>4105</v>
      </c>
      <c r="AL16" s="153">
        <v>3983</v>
      </c>
      <c r="AM16" s="153">
        <v>4025</v>
      </c>
      <c r="AN16" s="153">
        <v>4209</v>
      </c>
      <c r="AO16" s="153">
        <v>5142</v>
      </c>
      <c r="AP16" s="153">
        <v>7410</v>
      </c>
      <c r="AQ16" s="153">
        <v>5711</v>
      </c>
      <c r="AR16" s="153">
        <v>5545</v>
      </c>
      <c r="AS16" s="153">
        <v>9351</v>
      </c>
      <c r="AT16" s="153">
        <v>10127</v>
      </c>
      <c r="AU16" s="153">
        <v>11386</v>
      </c>
      <c r="AV16" s="153">
        <v>11346</v>
      </c>
      <c r="AW16" s="153">
        <v>12776</v>
      </c>
      <c r="AX16" s="153">
        <v>17953</v>
      </c>
      <c r="AY16" s="153">
        <v>13636</v>
      </c>
      <c r="AZ16" s="153">
        <v>12838</v>
      </c>
      <c r="BA16" s="153">
        <v>13713</v>
      </c>
      <c r="BB16" s="153">
        <v>13382</v>
      </c>
      <c r="BC16" s="153">
        <v>24063</v>
      </c>
      <c r="BD16" s="153">
        <v>18045</v>
      </c>
      <c r="BE16" s="174">
        <v>17620</v>
      </c>
    </row>
    <row r="17" spans="1:57">
      <c r="A17" s="151" t="s">
        <v>1072</v>
      </c>
      <c r="B17" s="151" t="s">
        <v>1073</v>
      </c>
      <c r="C17" s="152"/>
      <c r="D17" s="153">
        <v>0</v>
      </c>
      <c r="E17" s="153">
        <v>0</v>
      </c>
      <c r="F17" s="153">
        <v>0</v>
      </c>
      <c r="G17" s="153">
        <v>0</v>
      </c>
      <c r="H17" s="153">
        <v>0</v>
      </c>
      <c r="I17" s="153">
        <v>0</v>
      </c>
      <c r="J17" s="153">
        <v>0</v>
      </c>
      <c r="K17" s="153">
        <v>65000</v>
      </c>
      <c r="L17" s="153">
        <v>0</v>
      </c>
      <c r="M17" s="153">
        <v>0</v>
      </c>
      <c r="N17" s="153">
        <v>79000</v>
      </c>
      <c r="O17" s="153">
        <v>53000</v>
      </c>
      <c r="P17" s="153">
        <v>0</v>
      </c>
      <c r="Q17" s="153">
        <v>0</v>
      </c>
      <c r="R17" s="153">
        <v>0</v>
      </c>
      <c r="S17" s="153">
        <v>1242</v>
      </c>
      <c r="T17" s="153">
        <v>0</v>
      </c>
      <c r="U17" s="153">
        <v>0</v>
      </c>
      <c r="V17" s="153">
        <v>0</v>
      </c>
      <c r="W17" s="153">
        <v>0</v>
      </c>
      <c r="X17" s="153">
        <v>0</v>
      </c>
      <c r="Y17" s="153">
        <v>0</v>
      </c>
      <c r="Z17" s="153">
        <v>0</v>
      </c>
      <c r="AA17" s="153">
        <v>0</v>
      </c>
      <c r="AB17" s="153">
        <v>0</v>
      </c>
      <c r="AC17" s="153">
        <v>0</v>
      </c>
      <c r="AD17" s="153">
        <v>18676</v>
      </c>
      <c r="AE17" s="153">
        <v>17554</v>
      </c>
      <c r="AF17" s="153">
        <v>19405</v>
      </c>
      <c r="AG17" s="153">
        <v>21682</v>
      </c>
      <c r="AH17" s="153">
        <v>17724</v>
      </c>
      <c r="AI17" s="153">
        <v>100600</v>
      </c>
      <c r="AJ17" s="153">
        <v>184410</v>
      </c>
      <c r="AK17" s="153">
        <v>226157</v>
      </c>
      <c r="AL17" s="153">
        <v>317633</v>
      </c>
      <c r="AM17" s="153">
        <v>293020</v>
      </c>
      <c r="AN17" s="153">
        <v>119248</v>
      </c>
      <c r="AO17" s="153">
        <v>119134</v>
      </c>
      <c r="AP17" s="153">
        <v>93423</v>
      </c>
      <c r="AQ17" s="153">
        <v>88972</v>
      </c>
      <c r="AR17" s="153">
        <v>73483</v>
      </c>
      <c r="AS17" s="153">
        <v>0</v>
      </c>
      <c r="AT17" s="153">
        <v>34455</v>
      </c>
      <c r="AU17" s="153">
        <v>7607</v>
      </c>
      <c r="AV17" s="153">
        <v>4884</v>
      </c>
      <c r="AW17" s="153">
        <v>219089</v>
      </c>
      <c r="AX17" s="153">
        <v>90496</v>
      </c>
      <c r="AY17" s="153">
        <v>368191</v>
      </c>
      <c r="AZ17" s="153">
        <v>150462</v>
      </c>
      <c r="BA17" s="153">
        <v>17542</v>
      </c>
      <c r="BB17" s="153">
        <v>3190</v>
      </c>
      <c r="BC17" s="153">
        <v>19470</v>
      </c>
      <c r="BD17" s="153">
        <v>0</v>
      </c>
      <c r="BE17" s="170">
        <v>12128</v>
      </c>
    </row>
    <row r="18" spans="1:57">
      <c r="A18" s="151" t="s">
        <v>1074</v>
      </c>
      <c r="B18" s="151" t="s">
        <v>1075</v>
      </c>
      <c r="C18" s="152"/>
      <c r="D18" s="153">
        <v>24758</v>
      </c>
      <c r="E18" s="153">
        <v>24739.267300000003</v>
      </c>
      <c r="F18" s="153">
        <v>24113.46744</v>
      </c>
      <c r="G18" s="153">
        <v>24258</v>
      </c>
      <c r="H18" s="153">
        <v>26299</v>
      </c>
      <c r="I18" s="153">
        <v>30363.516780000002</v>
      </c>
      <c r="J18" s="153">
        <v>29237.179459999999</v>
      </c>
      <c r="K18" s="153">
        <v>20912</v>
      </c>
      <c r="L18" s="153">
        <v>23000</v>
      </c>
      <c r="M18" s="153">
        <v>17000</v>
      </c>
      <c r="N18" s="153">
        <v>14000</v>
      </c>
      <c r="O18" s="153">
        <v>11000</v>
      </c>
      <c r="P18" s="153">
        <v>11000</v>
      </c>
      <c r="Q18" s="153">
        <v>18327</v>
      </c>
      <c r="R18" s="153">
        <v>23869</v>
      </c>
      <c r="S18" s="153">
        <v>19987</v>
      </c>
      <c r="T18" s="153">
        <v>19971.599980000003</v>
      </c>
      <c r="U18" s="153">
        <v>16858</v>
      </c>
      <c r="V18" s="153">
        <v>15534</v>
      </c>
      <c r="W18" s="153">
        <v>15934</v>
      </c>
      <c r="X18" s="153">
        <v>17597</v>
      </c>
      <c r="Y18" s="153">
        <v>21796</v>
      </c>
      <c r="Z18" s="153">
        <v>17426</v>
      </c>
      <c r="AA18" s="153">
        <v>25305</v>
      </c>
      <c r="AB18" s="153">
        <v>32756</v>
      </c>
      <c r="AC18" s="153">
        <v>31990</v>
      </c>
      <c r="AD18" s="153">
        <v>28040</v>
      </c>
      <c r="AE18" s="153">
        <v>31895</v>
      </c>
      <c r="AF18" s="153">
        <v>36578</v>
      </c>
      <c r="AG18" s="153">
        <v>43361</v>
      </c>
      <c r="AH18" s="153">
        <v>51728</v>
      </c>
      <c r="AI18" s="153">
        <v>47264</v>
      </c>
      <c r="AJ18" s="153">
        <v>61687</v>
      </c>
      <c r="AK18" s="153">
        <v>95942</v>
      </c>
      <c r="AL18" s="153">
        <v>141925</v>
      </c>
      <c r="AM18" s="153">
        <v>203710</v>
      </c>
      <c r="AN18" s="153">
        <v>235510</v>
      </c>
      <c r="AO18" s="153">
        <v>236219</v>
      </c>
      <c r="AP18" s="153">
        <v>260759</v>
      </c>
      <c r="AQ18" s="153">
        <v>278860</v>
      </c>
      <c r="AR18" s="153">
        <v>254069</v>
      </c>
      <c r="AS18" s="153">
        <v>219777</v>
      </c>
      <c r="AT18" s="153">
        <v>226376</v>
      </c>
      <c r="AU18" s="153">
        <v>135608</v>
      </c>
      <c r="AV18" s="153">
        <v>135328</v>
      </c>
      <c r="AW18" s="153">
        <v>146079</v>
      </c>
      <c r="AX18" s="153">
        <v>157430</v>
      </c>
      <c r="AY18" s="153">
        <v>150896</v>
      </c>
      <c r="AZ18" s="153">
        <v>193765</v>
      </c>
      <c r="BA18" s="153">
        <v>234133</v>
      </c>
      <c r="BB18" s="153">
        <v>244547</v>
      </c>
      <c r="BC18" s="153">
        <v>291436</v>
      </c>
      <c r="BD18" s="153">
        <v>301763</v>
      </c>
      <c r="BE18" s="170">
        <v>302576</v>
      </c>
    </row>
    <row r="19" spans="1:57">
      <c r="A19" s="151" t="s">
        <v>1076</v>
      </c>
      <c r="B19" s="151" t="s">
        <v>1077</v>
      </c>
      <c r="C19" s="152"/>
      <c r="D19" s="153">
        <v>120594</v>
      </c>
      <c r="E19" s="153">
        <v>126799.61318</v>
      </c>
      <c r="F19" s="153">
        <v>144432.25302</v>
      </c>
      <c r="G19" s="153">
        <v>167720.07335000002</v>
      </c>
      <c r="H19" s="153">
        <v>138726</v>
      </c>
      <c r="I19" s="153">
        <v>181790.03900000002</v>
      </c>
      <c r="J19" s="153">
        <v>171095</v>
      </c>
      <c r="K19" s="153">
        <v>186108</v>
      </c>
      <c r="L19" s="153">
        <v>171000</v>
      </c>
      <c r="M19" s="153">
        <v>192000</v>
      </c>
      <c r="N19" s="153">
        <v>114504</v>
      </c>
      <c r="O19" s="153">
        <v>94874</v>
      </c>
      <c r="P19" s="153">
        <v>93997</v>
      </c>
      <c r="Q19" s="153">
        <v>81899</v>
      </c>
      <c r="R19" s="153">
        <v>52874</v>
      </c>
      <c r="S19" s="153">
        <v>105000</v>
      </c>
      <c r="T19" s="153">
        <v>121408</v>
      </c>
      <c r="U19" s="153">
        <v>124999</v>
      </c>
      <c r="V19" s="153">
        <v>109295</v>
      </c>
      <c r="W19" s="153">
        <v>117137</v>
      </c>
      <c r="X19" s="153">
        <v>119661</v>
      </c>
      <c r="Y19" s="153">
        <v>119880</v>
      </c>
      <c r="Z19" s="153">
        <v>122278</v>
      </c>
      <c r="AA19" s="153">
        <v>155400</v>
      </c>
      <c r="AB19" s="153">
        <v>167847</v>
      </c>
      <c r="AC19" s="153">
        <v>186135</v>
      </c>
      <c r="AD19" s="153">
        <v>161658</v>
      </c>
      <c r="AE19" s="153">
        <v>256066</v>
      </c>
      <c r="AF19" s="153">
        <v>1074326</v>
      </c>
      <c r="AG19" s="153">
        <v>1170253</v>
      </c>
      <c r="AH19" s="153">
        <v>1093211</v>
      </c>
      <c r="AI19" s="153">
        <v>1240973</v>
      </c>
      <c r="AJ19" s="153">
        <v>1080208</v>
      </c>
      <c r="AK19" s="153">
        <v>1066839</v>
      </c>
      <c r="AL19" s="153">
        <v>1377162</v>
      </c>
      <c r="AM19" s="153">
        <v>1215975</v>
      </c>
      <c r="AN19" s="153">
        <v>1407366</v>
      </c>
      <c r="AO19" s="153">
        <v>705567</v>
      </c>
      <c r="AP19" s="153">
        <v>598436</v>
      </c>
      <c r="AQ19" s="153">
        <v>1426692</v>
      </c>
      <c r="AR19" s="153">
        <v>1396476</v>
      </c>
      <c r="AS19" s="153">
        <v>1374133</v>
      </c>
      <c r="AT19" s="153">
        <v>1453666</v>
      </c>
      <c r="AU19" s="153">
        <v>1700574</v>
      </c>
      <c r="AV19" s="153">
        <v>1393391</v>
      </c>
      <c r="AW19" s="153">
        <v>1344719</v>
      </c>
      <c r="AX19" s="153">
        <v>1379244</v>
      </c>
      <c r="AY19" s="153">
        <v>1612102</v>
      </c>
      <c r="AZ19" s="153">
        <v>1628444</v>
      </c>
      <c r="BA19" s="153">
        <v>1663429</v>
      </c>
      <c r="BB19" s="153">
        <v>1570854</v>
      </c>
      <c r="BC19" s="153">
        <v>1536954</v>
      </c>
      <c r="BD19" s="153">
        <v>1600566</v>
      </c>
      <c r="BE19" s="170">
        <v>1698780</v>
      </c>
    </row>
    <row r="20" spans="1:57">
      <c r="A20" s="151" t="s">
        <v>1078</v>
      </c>
      <c r="B20" s="151" t="s">
        <v>1079</v>
      </c>
      <c r="C20" s="152"/>
      <c r="D20" s="153">
        <v>0</v>
      </c>
      <c r="E20" s="153">
        <v>0</v>
      </c>
      <c r="F20" s="153">
        <v>0</v>
      </c>
      <c r="G20" s="153">
        <v>0</v>
      </c>
      <c r="H20" s="153">
        <v>0</v>
      </c>
      <c r="I20" s="153">
        <v>0</v>
      </c>
      <c r="J20" s="153">
        <v>0</v>
      </c>
      <c r="K20" s="153">
        <v>0</v>
      </c>
      <c r="L20" s="153">
        <v>0</v>
      </c>
      <c r="M20" s="153">
        <v>0</v>
      </c>
      <c r="N20" s="153">
        <v>89954</v>
      </c>
      <c r="O20" s="153">
        <v>116783</v>
      </c>
      <c r="P20" s="153">
        <v>126102</v>
      </c>
      <c r="Q20" s="153">
        <v>128941</v>
      </c>
      <c r="R20" s="153">
        <v>103140</v>
      </c>
      <c r="S20" s="153">
        <v>127909</v>
      </c>
      <c r="T20" s="153">
        <v>100000</v>
      </c>
      <c r="U20" s="153">
        <v>105330</v>
      </c>
      <c r="V20" s="153">
        <v>101159</v>
      </c>
      <c r="W20" s="153">
        <v>156064</v>
      </c>
      <c r="X20" s="153">
        <v>158718</v>
      </c>
      <c r="Y20" s="153">
        <v>158839</v>
      </c>
      <c r="Z20" s="153">
        <v>159839</v>
      </c>
      <c r="AA20" s="153">
        <v>188028</v>
      </c>
      <c r="AB20" s="153">
        <v>223256</v>
      </c>
      <c r="AC20" s="153">
        <v>179179</v>
      </c>
      <c r="AD20" s="153">
        <v>181012</v>
      </c>
      <c r="AE20" s="153">
        <v>143132</v>
      </c>
      <c r="AF20" s="153">
        <v>154809</v>
      </c>
      <c r="AG20" s="153">
        <v>185887</v>
      </c>
      <c r="AH20" s="153">
        <v>176869</v>
      </c>
      <c r="AI20" s="153">
        <v>195413</v>
      </c>
      <c r="AJ20" s="153">
        <v>201505</v>
      </c>
      <c r="AK20" s="153">
        <v>238658</v>
      </c>
      <c r="AL20" s="153">
        <v>283996</v>
      </c>
      <c r="AM20" s="153">
        <v>305935</v>
      </c>
      <c r="AN20" s="153">
        <v>379795</v>
      </c>
      <c r="AO20" s="153">
        <v>454057</v>
      </c>
      <c r="AP20" s="153">
        <v>503839</v>
      </c>
      <c r="AQ20" s="153">
        <v>612529</v>
      </c>
      <c r="AR20" s="153">
        <v>678483</v>
      </c>
      <c r="AS20" s="153">
        <v>777304</v>
      </c>
      <c r="AT20" s="153">
        <v>877382</v>
      </c>
      <c r="AU20" s="153">
        <v>725430</v>
      </c>
      <c r="AV20" s="153">
        <v>780684</v>
      </c>
      <c r="AW20" s="153">
        <v>923565</v>
      </c>
      <c r="AX20" s="153">
        <v>853051</v>
      </c>
      <c r="AY20" s="153">
        <v>925259</v>
      </c>
      <c r="AZ20" s="153">
        <v>950604</v>
      </c>
      <c r="BA20" s="153">
        <v>1112110</v>
      </c>
      <c r="BB20" s="153">
        <v>1145516</v>
      </c>
      <c r="BC20" s="153">
        <v>805679</v>
      </c>
      <c r="BD20" s="153">
        <v>911686</v>
      </c>
      <c r="BE20" s="170">
        <v>1095597</v>
      </c>
    </row>
    <row r="21" spans="1:57">
      <c r="A21" s="151" t="s">
        <v>1156</v>
      </c>
      <c r="B21" s="151" t="s">
        <v>1157</v>
      </c>
      <c r="C21" s="152"/>
      <c r="D21" s="153">
        <v>170091</v>
      </c>
      <c r="E21" s="153">
        <v>13112.22206</v>
      </c>
      <c r="F21" s="153">
        <v>18759</v>
      </c>
      <c r="G21" s="153">
        <v>5721</v>
      </c>
      <c r="H21" s="153">
        <v>285115</v>
      </c>
      <c r="I21" s="153">
        <v>0</v>
      </c>
      <c r="J21" s="153">
        <v>255353</v>
      </c>
      <c r="K21" s="153">
        <v>0</v>
      </c>
      <c r="L21" s="153">
        <v>59000</v>
      </c>
      <c r="M21" s="153">
        <v>100000</v>
      </c>
      <c r="N21" s="153">
        <v>53000</v>
      </c>
      <c r="O21" s="153">
        <v>0</v>
      </c>
      <c r="P21" s="153">
        <v>0</v>
      </c>
      <c r="Q21" s="153">
        <v>0</v>
      </c>
      <c r="R21" s="153">
        <v>0</v>
      </c>
      <c r="S21" s="153">
        <v>0</v>
      </c>
      <c r="T21" s="153">
        <v>0</v>
      </c>
      <c r="U21" s="153">
        <v>0</v>
      </c>
      <c r="V21" s="153">
        <v>0</v>
      </c>
      <c r="W21" s="153">
        <v>0</v>
      </c>
      <c r="X21" s="153">
        <v>0</v>
      </c>
      <c r="Y21" s="153">
        <v>0</v>
      </c>
      <c r="Z21" s="153">
        <v>0</v>
      </c>
      <c r="AA21" s="153">
        <v>0</v>
      </c>
      <c r="AB21" s="153">
        <v>0</v>
      </c>
      <c r="AC21" s="153">
        <v>0</v>
      </c>
      <c r="AD21" s="153">
        <v>0</v>
      </c>
      <c r="AE21" s="153"/>
      <c r="AF21" s="153">
        <v>0</v>
      </c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70"/>
    </row>
    <row r="22" spans="1:57">
      <c r="A22" s="151" t="s">
        <v>1265</v>
      </c>
      <c r="B22" s="151" t="s">
        <v>1266</v>
      </c>
      <c r="C22" s="152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Q22" s="153"/>
      <c r="R22" s="153"/>
      <c r="S22" s="153"/>
      <c r="T22" s="153"/>
      <c r="U22" s="153"/>
      <c r="V22" s="153"/>
      <c r="W22" s="153"/>
      <c r="X22" s="153"/>
      <c r="Y22" s="153"/>
      <c r="Z22" s="153"/>
      <c r="AA22" s="153"/>
      <c r="AB22" s="153"/>
      <c r="AC22" s="153"/>
      <c r="AD22" s="153"/>
      <c r="AE22" s="153"/>
      <c r="AF22" s="153"/>
      <c r="AG22" s="153"/>
      <c r="AH22" s="153"/>
      <c r="AI22" s="153"/>
      <c r="AJ22" s="153"/>
      <c r="AK22" s="153"/>
      <c r="AL22" s="153"/>
      <c r="AM22" s="153"/>
      <c r="AN22" s="153"/>
      <c r="AO22" s="153"/>
      <c r="AP22" s="153"/>
      <c r="AQ22" s="153"/>
      <c r="AR22" s="153"/>
      <c r="AS22" s="153"/>
      <c r="AT22" s="153"/>
      <c r="AU22" s="153"/>
      <c r="AV22" s="153"/>
      <c r="AW22" s="153">
        <v>93826</v>
      </c>
      <c r="AX22" s="153">
        <v>326398</v>
      </c>
      <c r="AY22" s="153">
        <v>141530</v>
      </c>
      <c r="AZ22" s="153">
        <v>489819</v>
      </c>
      <c r="BA22" s="153">
        <v>266149</v>
      </c>
      <c r="BB22" s="153">
        <v>173876</v>
      </c>
      <c r="BC22" s="153">
        <v>171622</v>
      </c>
      <c r="BD22" s="153">
        <v>169464</v>
      </c>
      <c r="BE22" s="170">
        <v>163719</v>
      </c>
    </row>
    <row r="23" spans="1:57">
      <c r="A23" s="151" t="s">
        <v>1238</v>
      </c>
      <c r="B23" s="151" t="s">
        <v>96</v>
      </c>
      <c r="C23" s="152"/>
      <c r="D23" s="153">
        <v>232138</v>
      </c>
      <c r="E23" s="153">
        <v>161459</v>
      </c>
      <c r="F23" s="153">
        <v>171698</v>
      </c>
      <c r="G23" s="153">
        <v>145882</v>
      </c>
      <c r="H23" s="153">
        <v>162549</v>
      </c>
      <c r="I23" s="153">
        <v>192258</v>
      </c>
      <c r="J23" s="153">
        <v>195581</v>
      </c>
      <c r="K23" s="153">
        <v>170374</v>
      </c>
      <c r="L23" s="153">
        <v>186000</v>
      </c>
      <c r="M23" s="153">
        <v>229000</v>
      </c>
      <c r="N23" s="153">
        <v>209000</v>
      </c>
      <c r="O23" s="153">
        <v>171000</v>
      </c>
      <c r="P23" s="153">
        <v>177000</v>
      </c>
      <c r="Q23" s="153">
        <v>165859</v>
      </c>
      <c r="R23" s="153">
        <v>187410</v>
      </c>
      <c r="S23" s="153">
        <v>222847</v>
      </c>
      <c r="T23" s="153">
        <v>297000</v>
      </c>
      <c r="U23" s="153">
        <v>334047.99999999977</v>
      </c>
      <c r="V23" s="153">
        <v>413997</v>
      </c>
      <c r="W23" s="153">
        <v>389877</v>
      </c>
      <c r="X23" s="153">
        <v>471048</v>
      </c>
      <c r="Y23" s="153">
        <v>452910</v>
      </c>
      <c r="Z23" s="153">
        <v>467214</v>
      </c>
      <c r="AA23" s="153">
        <v>828082</v>
      </c>
      <c r="AB23" s="153">
        <v>750422</v>
      </c>
      <c r="AC23" s="153">
        <v>1038566</v>
      </c>
      <c r="AD23" s="153">
        <v>987233.00000000012</v>
      </c>
      <c r="AE23" s="153">
        <v>295192</v>
      </c>
      <c r="AF23" s="153">
        <v>595214</v>
      </c>
      <c r="AG23" s="153">
        <v>576533</v>
      </c>
      <c r="AH23" s="153">
        <v>538028</v>
      </c>
      <c r="AI23" s="153">
        <v>587078</v>
      </c>
      <c r="AJ23" s="153">
        <v>559377</v>
      </c>
      <c r="AK23" s="153">
        <v>617999</v>
      </c>
      <c r="AL23" s="153">
        <v>785339</v>
      </c>
      <c r="AM23" s="153">
        <v>1051710</v>
      </c>
      <c r="AN23" s="153">
        <v>911351</v>
      </c>
      <c r="AO23" s="153">
        <v>824544</v>
      </c>
      <c r="AP23" s="153">
        <v>844780</v>
      </c>
      <c r="AQ23" s="153">
        <v>1133164</v>
      </c>
      <c r="AR23" s="153">
        <v>1333090</v>
      </c>
      <c r="AS23" s="153">
        <v>1211600</v>
      </c>
      <c r="AT23" s="153">
        <v>1117337</v>
      </c>
      <c r="AU23" s="153">
        <v>1312505</v>
      </c>
      <c r="AV23" s="153">
        <v>1303979</v>
      </c>
      <c r="AW23" s="153">
        <v>1355950</v>
      </c>
      <c r="AX23" s="153">
        <v>1579258</v>
      </c>
      <c r="AY23" s="153">
        <v>1463512</v>
      </c>
      <c r="AZ23" s="153">
        <v>1515487</v>
      </c>
      <c r="BA23" s="153">
        <v>1590524</v>
      </c>
      <c r="BB23" s="153">
        <v>1939897</v>
      </c>
      <c r="BC23" s="153">
        <v>1881552</v>
      </c>
      <c r="BD23" s="153">
        <v>1994431</v>
      </c>
      <c r="BE23" s="170">
        <v>1910468</v>
      </c>
    </row>
    <row r="24" spans="1:57">
      <c r="A24" s="151" t="s">
        <v>1349</v>
      </c>
      <c r="B24" s="151" t="s">
        <v>1187</v>
      </c>
      <c r="C24" s="152"/>
      <c r="D24" s="153"/>
      <c r="E24" s="153"/>
      <c r="F24" s="153"/>
      <c r="G24" s="153"/>
      <c r="H24" s="153"/>
      <c r="I24" s="153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>
        <v>699692</v>
      </c>
      <c r="AF24" s="153">
        <v>708900</v>
      </c>
      <c r="AG24" s="153">
        <v>708906</v>
      </c>
      <c r="AH24" s="153">
        <v>708900</v>
      </c>
      <c r="AI24" s="153">
        <v>708900</v>
      </c>
      <c r="AJ24" s="153">
        <v>1074082</v>
      </c>
      <c r="AK24" s="153">
        <v>1196400</v>
      </c>
      <c r="AL24" s="153">
        <v>1145684</v>
      </c>
      <c r="AM24" s="153">
        <v>1394297</v>
      </c>
      <c r="AN24" s="153">
        <v>1261187</v>
      </c>
      <c r="AO24" s="153">
        <v>1243007</v>
      </c>
      <c r="AP24" s="153">
        <v>1439722</v>
      </c>
      <c r="AQ24" s="153">
        <v>1437976</v>
      </c>
      <c r="AR24" s="153">
        <v>1423243</v>
      </c>
      <c r="AS24" s="153">
        <v>1490554</v>
      </c>
      <c r="AT24" s="153">
        <v>1528724</v>
      </c>
      <c r="AU24" s="153">
        <v>1388395</v>
      </c>
      <c r="AV24" s="153">
        <v>1348920</v>
      </c>
      <c r="AW24" s="153">
        <v>1138545</v>
      </c>
      <c r="AX24" s="153">
        <v>1192725</v>
      </c>
      <c r="AY24" s="153"/>
      <c r="AZ24" s="153">
        <v>1191780</v>
      </c>
      <c r="BA24" s="153">
        <v>1193823</v>
      </c>
      <c r="BB24" s="153"/>
      <c r="BC24" s="153"/>
      <c r="BD24" s="153"/>
      <c r="BE24" s="170"/>
    </row>
    <row r="25" spans="1:57">
      <c r="A25" s="151" t="s">
        <v>1234</v>
      </c>
      <c r="B25" s="151" t="s">
        <v>1116</v>
      </c>
      <c r="C25" s="152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>
        <v>5175</v>
      </c>
      <c r="AF25" s="153">
        <v>2878</v>
      </c>
      <c r="AG25" s="153">
        <v>2879</v>
      </c>
      <c r="AH25" s="153">
        <v>652</v>
      </c>
      <c r="AI25" s="153">
        <v>7463</v>
      </c>
      <c r="AJ25" s="153"/>
      <c r="AK25" s="153"/>
      <c r="AL25" s="153"/>
      <c r="AM25" s="153">
        <v>6036</v>
      </c>
      <c r="AN25" s="153"/>
      <c r="AO25" s="153">
        <v>0</v>
      </c>
      <c r="AP25" s="153"/>
      <c r="AQ25" s="153"/>
      <c r="AR25" s="153"/>
      <c r="AS25" s="153"/>
      <c r="AT25" s="153"/>
      <c r="AU25" s="153"/>
      <c r="AV25" s="153"/>
      <c r="AW25" s="153"/>
      <c r="AX25" s="153"/>
      <c r="AY25" s="153">
        <v>341272</v>
      </c>
      <c r="AZ25" s="153">
        <v>341272</v>
      </c>
      <c r="BA25" s="153">
        <v>0</v>
      </c>
      <c r="BB25" s="153"/>
      <c r="BC25" s="153">
        <v>308747.5</v>
      </c>
      <c r="BD25" s="153">
        <v>308748</v>
      </c>
      <c r="BE25" s="170"/>
    </row>
    <row r="26" spans="1:57">
      <c r="A26" s="151" t="s">
        <v>1293</v>
      </c>
      <c r="B26" s="151" t="s">
        <v>1294</v>
      </c>
      <c r="C26" s="152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  <c r="AT26" s="153"/>
      <c r="AU26" s="153"/>
      <c r="AV26" s="153">
        <v>55265</v>
      </c>
      <c r="AW26" s="153"/>
      <c r="AX26" s="153"/>
      <c r="AY26" s="153"/>
      <c r="AZ26" s="153"/>
      <c r="BA26" s="153"/>
      <c r="BB26" s="153"/>
      <c r="BC26" s="153"/>
      <c r="BD26" s="153"/>
      <c r="BE26" s="170"/>
    </row>
    <row r="27" spans="1:57" ht="15" thickBot="1">
      <c r="A27" s="154" t="s">
        <v>1298</v>
      </c>
      <c r="B27" s="154" t="s">
        <v>1338</v>
      </c>
      <c r="C27" s="152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>
        <v>1132561</v>
      </c>
      <c r="AV27" s="153"/>
      <c r="AW27" s="153">
        <v>1260386</v>
      </c>
      <c r="AX27" s="153">
        <v>1297512</v>
      </c>
      <c r="AY27" s="153">
        <v>1123855</v>
      </c>
      <c r="AZ27" s="153"/>
      <c r="BA27" s="153"/>
      <c r="BB27" s="153">
        <v>1261923</v>
      </c>
      <c r="BC27" s="153">
        <v>0</v>
      </c>
      <c r="BD27" s="153">
        <v>0</v>
      </c>
      <c r="BE27" s="170"/>
    </row>
    <row r="28" spans="1:57" ht="15" thickBot="1">
      <c r="A28" s="155" t="s">
        <v>1081</v>
      </c>
      <c r="B28" s="155" t="s">
        <v>1082</v>
      </c>
      <c r="C28" s="148"/>
      <c r="D28" s="156">
        <f t="shared" ref="D28:AI28" si="2">D29+D45</f>
        <v>5963969</v>
      </c>
      <c r="E28" s="156">
        <f t="shared" si="2"/>
        <v>6022677.28113</v>
      </c>
      <c r="F28" s="156">
        <f t="shared" si="2"/>
        <v>6018277.4416199997</v>
      </c>
      <c r="G28" s="156">
        <f t="shared" si="2"/>
        <v>6022304.4732399993</v>
      </c>
      <c r="H28" s="156">
        <f t="shared" si="2"/>
        <v>6127789.3569799997</v>
      </c>
      <c r="I28" s="156">
        <f t="shared" si="2"/>
        <v>6220697.6342000011</v>
      </c>
      <c r="J28" s="156">
        <f t="shared" si="2"/>
        <v>6401520.2126000002</v>
      </c>
      <c r="K28" s="156">
        <f t="shared" si="2"/>
        <v>6882198</v>
      </c>
      <c r="L28" s="156">
        <f t="shared" si="2"/>
        <v>7219800</v>
      </c>
      <c r="M28" s="156">
        <f t="shared" si="2"/>
        <v>7304000</v>
      </c>
      <c r="N28" s="156">
        <f t="shared" si="2"/>
        <v>7321987</v>
      </c>
      <c r="O28" s="156">
        <f t="shared" si="2"/>
        <v>7429008</v>
      </c>
      <c r="P28" s="156">
        <f t="shared" si="2"/>
        <v>7566478</v>
      </c>
      <c r="Q28" s="156">
        <f t="shared" si="2"/>
        <v>7814328.7713900004</v>
      </c>
      <c r="R28" s="156">
        <f t="shared" si="2"/>
        <v>8036071</v>
      </c>
      <c r="S28" s="156">
        <f t="shared" si="2"/>
        <v>8291988</v>
      </c>
      <c r="T28" s="156">
        <f t="shared" si="2"/>
        <v>8514416.0312599987</v>
      </c>
      <c r="U28" s="156">
        <f t="shared" si="2"/>
        <v>8968971</v>
      </c>
      <c r="V28" s="156">
        <f t="shared" si="2"/>
        <v>9246086</v>
      </c>
      <c r="W28" s="156">
        <f t="shared" si="2"/>
        <v>9994251</v>
      </c>
      <c r="X28" s="156">
        <f t="shared" si="2"/>
        <v>10208792</v>
      </c>
      <c r="Y28" s="156">
        <f t="shared" si="2"/>
        <v>10856283</v>
      </c>
      <c r="Z28" s="156">
        <f t="shared" si="2"/>
        <v>11014834</v>
      </c>
      <c r="AA28" s="156">
        <f t="shared" si="2"/>
        <v>16076432</v>
      </c>
      <c r="AB28" s="156">
        <f t="shared" si="2"/>
        <v>20995163</v>
      </c>
      <c r="AC28" s="156">
        <f t="shared" si="2"/>
        <v>22291303</v>
      </c>
      <c r="AD28" s="156">
        <f t="shared" si="2"/>
        <v>24126085</v>
      </c>
      <c r="AE28" s="156">
        <f t="shared" si="2"/>
        <v>26111068</v>
      </c>
      <c r="AF28" s="156">
        <f t="shared" si="2"/>
        <v>27813877</v>
      </c>
      <c r="AG28" s="156">
        <f t="shared" si="2"/>
        <v>27906647</v>
      </c>
      <c r="AH28" s="156">
        <f t="shared" si="2"/>
        <v>28598197</v>
      </c>
      <c r="AI28" s="156">
        <f t="shared" si="2"/>
        <v>29478720</v>
      </c>
      <c r="AJ28" s="156">
        <f t="shared" ref="AJ28:BD28" si="3">AJ29+AJ45</f>
        <v>28137002</v>
      </c>
      <c r="AK28" s="157">
        <f t="shared" si="3"/>
        <v>27756069</v>
      </c>
      <c r="AL28" s="157">
        <f t="shared" si="3"/>
        <v>35845589</v>
      </c>
      <c r="AM28" s="157">
        <f t="shared" si="3"/>
        <v>40024271</v>
      </c>
      <c r="AN28" s="157">
        <f t="shared" si="3"/>
        <v>51324993</v>
      </c>
      <c r="AO28" s="157">
        <f t="shared" si="3"/>
        <v>51822638</v>
      </c>
      <c r="AP28" s="157">
        <f t="shared" si="3"/>
        <v>52663502</v>
      </c>
      <c r="AQ28" s="157">
        <f t="shared" si="3"/>
        <v>68928098</v>
      </c>
      <c r="AR28" s="157">
        <f t="shared" si="3"/>
        <v>69892316</v>
      </c>
      <c r="AS28" s="157">
        <f t="shared" si="3"/>
        <v>72284535</v>
      </c>
      <c r="AT28" s="157">
        <f t="shared" si="3"/>
        <v>74915465</v>
      </c>
      <c r="AU28" s="157">
        <f t="shared" si="3"/>
        <v>75690537</v>
      </c>
      <c r="AV28" s="157">
        <f t="shared" si="3"/>
        <v>77061614</v>
      </c>
      <c r="AW28" s="157">
        <f t="shared" si="3"/>
        <v>77297661</v>
      </c>
      <c r="AX28" s="157">
        <f t="shared" si="3"/>
        <v>85506721</v>
      </c>
      <c r="AY28" s="157">
        <f t="shared" si="3"/>
        <v>87884745</v>
      </c>
      <c r="AZ28" s="157">
        <f t="shared" si="3"/>
        <v>89426686</v>
      </c>
      <c r="BA28" s="157">
        <f t="shared" si="3"/>
        <v>91572616</v>
      </c>
      <c r="BB28" s="157">
        <f t="shared" si="3"/>
        <v>93469477</v>
      </c>
      <c r="BC28" s="157">
        <f t="shared" si="3"/>
        <v>82998948</v>
      </c>
      <c r="BD28" s="157">
        <f t="shared" si="3"/>
        <v>84498313</v>
      </c>
      <c r="BE28" s="156">
        <f>SUM(BE29,BE45)</f>
        <v>92635837</v>
      </c>
    </row>
    <row r="29" spans="1:57" ht="15" thickBot="1">
      <c r="A29" s="155" t="s">
        <v>1158</v>
      </c>
      <c r="B29" s="155" t="s">
        <v>1159</v>
      </c>
      <c r="C29" s="148"/>
      <c r="D29" s="156">
        <f t="shared" ref="D29:AI29" si="4">SUM(D30:D44)</f>
        <v>1873719</v>
      </c>
      <c r="E29" s="156">
        <f t="shared" si="4"/>
        <v>1969023.28113</v>
      </c>
      <c r="F29" s="156">
        <f t="shared" si="4"/>
        <v>1831423.91233</v>
      </c>
      <c r="G29" s="156">
        <f t="shared" si="4"/>
        <v>1833970.6775700001</v>
      </c>
      <c r="H29" s="156">
        <f t="shared" si="4"/>
        <v>1896358.56461</v>
      </c>
      <c r="I29" s="156">
        <f t="shared" si="4"/>
        <v>2047391.66481</v>
      </c>
      <c r="J29" s="156">
        <f t="shared" si="4"/>
        <v>2048292.65974</v>
      </c>
      <c r="K29" s="156">
        <f t="shared" si="4"/>
        <v>2583874</v>
      </c>
      <c r="L29" s="156">
        <f t="shared" si="4"/>
        <v>2889800</v>
      </c>
      <c r="M29" s="156">
        <f t="shared" si="4"/>
        <v>2988000</v>
      </c>
      <c r="N29" s="156">
        <f t="shared" si="4"/>
        <v>3033987</v>
      </c>
      <c r="O29" s="156">
        <f t="shared" si="4"/>
        <v>3212008</v>
      </c>
      <c r="P29" s="156">
        <f t="shared" si="4"/>
        <v>3167378</v>
      </c>
      <c r="Q29" s="156">
        <f t="shared" si="4"/>
        <v>3170747</v>
      </c>
      <c r="R29" s="156">
        <f t="shared" si="4"/>
        <v>3287094</v>
      </c>
      <c r="S29" s="156">
        <f t="shared" si="4"/>
        <v>3538270</v>
      </c>
      <c r="T29" s="156">
        <f t="shared" si="4"/>
        <v>3793339.2581200004</v>
      </c>
      <c r="U29" s="156">
        <f t="shared" si="4"/>
        <v>4043552</v>
      </c>
      <c r="V29" s="156">
        <f t="shared" si="4"/>
        <v>4182037</v>
      </c>
      <c r="W29" s="156">
        <f t="shared" si="4"/>
        <v>4630681</v>
      </c>
      <c r="X29" s="156">
        <f t="shared" si="4"/>
        <v>4822628</v>
      </c>
      <c r="Y29" s="156">
        <f t="shared" si="4"/>
        <v>5376899</v>
      </c>
      <c r="Z29" s="156">
        <f t="shared" si="4"/>
        <v>5520995</v>
      </c>
      <c r="AA29" s="156">
        <f t="shared" si="4"/>
        <v>7603891</v>
      </c>
      <c r="AB29" s="156">
        <f t="shared" si="4"/>
        <v>9806511</v>
      </c>
      <c r="AC29" s="156">
        <f t="shared" si="4"/>
        <v>9908588</v>
      </c>
      <c r="AD29" s="156">
        <f t="shared" si="4"/>
        <v>9616239</v>
      </c>
      <c r="AE29" s="156">
        <f t="shared" si="4"/>
        <v>9389195</v>
      </c>
      <c r="AF29" s="156">
        <f t="shared" si="4"/>
        <v>10132404</v>
      </c>
      <c r="AG29" s="156">
        <f t="shared" si="4"/>
        <v>9563033</v>
      </c>
      <c r="AH29" s="156">
        <f t="shared" si="4"/>
        <v>9755087</v>
      </c>
      <c r="AI29" s="156">
        <f t="shared" si="4"/>
        <v>10026868</v>
      </c>
      <c r="AJ29" s="156">
        <f t="shared" ref="AJ29:BE29" si="5">SUM(AJ30:AJ44)</f>
        <v>9134104</v>
      </c>
      <c r="AK29" s="156">
        <f t="shared" si="5"/>
        <v>8719042</v>
      </c>
      <c r="AL29" s="156">
        <f t="shared" si="5"/>
        <v>11301313</v>
      </c>
      <c r="AM29" s="156">
        <f t="shared" si="5"/>
        <v>12937159</v>
      </c>
      <c r="AN29" s="156">
        <f t="shared" si="5"/>
        <v>12912710</v>
      </c>
      <c r="AO29" s="156">
        <f t="shared" si="5"/>
        <v>13446651</v>
      </c>
      <c r="AP29" s="156">
        <f t="shared" si="5"/>
        <v>13387085</v>
      </c>
      <c r="AQ29" s="156">
        <f t="shared" si="5"/>
        <v>19644177</v>
      </c>
      <c r="AR29" s="156">
        <f t="shared" si="5"/>
        <v>20126473</v>
      </c>
      <c r="AS29" s="156">
        <f t="shared" si="5"/>
        <v>21266924</v>
      </c>
      <c r="AT29" s="156">
        <f t="shared" si="5"/>
        <v>21833830</v>
      </c>
      <c r="AU29" s="156">
        <f t="shared" si="5"/>
        <v>22163546</v>
      </c>
      <c r="AV29" s="156">
        <f t="shared" si="5"/>
        <v>22895962</v>
      </c>
      <c r="AW29" s="156">
        <f t="shared" si="5"/>
        <v>24225307</v>
      </c>
      <c r="AX29" s="156">
        <f t="shared" si="5"/>
        <v>24459671</v>
      </c>
      <c r="AY29" s="156">
        <f t="shared" si="5"/>
        <v>26581880</v>
      </c>
      <c r="AZ29" s="156">
        <f t="shared" si="5"/>
        <v>27233870</v>
      </c>
      <c r="BA29" s="156">
        <f t="shared" si="5"/>
        <v>27263566</v>
      </c>
      <c r="BB29" s="156">
        <f t="shared" si="5"/>
        <v>28000910</v>
      </c>
      <c r="BC29" s="156">
        <f t="shared" si="5"/>
        <v>29892646</v>
      </c>
      <c r="BD29" s="156">
        <f t="shared" si="5"/>
        <v>30264433</v>
      </c>
      <c r="BE29" s="156">
        <f t="shared" si="5"/>
        <v>16458580</v>
      </c>
    </row>
    <row r="30" spans="1:57">
      <c r="A30" s="151" t="s">
        <v>1055</v>
      </c>
      <c r="B30" s="151" t="s">
        <v>1056</v>
      </c>
      <c r="C30" s="14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8"/>
      <c r="AE30" s="153">
        <v>126756</v>
      </c>
      <c r="AF30" s="153">
        <v>133855</v>
      </c>
      <c r="AG30" s="153">
        <v>135504</v>
      </c>
      <c r="AH30" s="153">
        <v>117700</v>
      </c>
      <c r="AI30" s="153">
        <v>119576</v>
      </c>
      <c r="AJ30" s="153">
        <v>120025</v>
      </c>
      <c r="AK30" s="153">
        <v>113530</v>
      </c>
      <c r="AL30" s="153">
        <v>114721</v>
      </c>
      <c r="AM30" s="153">
        <v>116363</v>
      </c>
      <c r="AN30" s="153">
        <v>506910</v>
      </c>
      <c r="AO30" s="153">
        <v>565039</v>
      </c>
      <c r="AP30" s="153">
        <v>506013</v>
      </c>
      <c r="AQ30" s="153">
        <v>538139</v>
      </c>
      <c r="AR30" s="153">
        <v>566204</v>
      </c>
      <c r="AS30" s="153">
        <v>597122</v>
      </c>
      <c r="AT30" s="153">
        <v>641626</v>
      </c>
      <c r="AU30" s="153">
        <v>557220</v>
      </c>
      <c r="AV30" s="153">
        <v>564348</v>
      </c>
      <c r="AW30" s="153">
        <v>647200</v>
      </c>
      <c r="AX30" s="153">
        <v>567440</v>
      </c>
      <c r="AY30" s="153">
        <v>702741</v>
      </c>
      <c r="AZ30" s="153">
        <v>719133</v>
      </c>
      <c r="BA30" s="153">
        <v>721061</v>
      </c>
      <c r="BB30" s="153">
        <v>778446</v>
      </c>
      <c r="BC30" s="153">
        <v>724835</v>
      </c>
      <c r="BD30" s="153">
        <v>719810</v>
      </c>
      <c r="BE30" s="170">
        <v>739406</v>
      </c>
    </row>
    <row r="31" spans="1:57">
      <c r="A31" s="151" t="s">
        <v>1057</v>
      </c>
      <c r="B31" s="151" t="s">
        <v>1058</v>
      </c>
      <c r="C31" s="152"/>
      <c r="D31" s="153">
        <v>89501</v>
      </c>
      <c r="E31" s="153">
        <v>89750</v>
      </c>
      <c r="F31" s="153">
        <v>112147</v>
      </c>
      <c r="G31" s="153">
        <v>116124</v>
      </c>
      <c r="H31" s="153">
        <v>128652.99999999999</v>
      </c>
      <c r="I31" s="153">
        <v>132390.97686</v>
      </c>
      <c r="J31" s="153">
        <v>163991</v>
      </c>
      <c r="K31" s="153">
        <v>191871</v>
      </c>
      <c r="L31" s="153">
        <v>206000</v>
      </c>
      <c r="M31" s="153">
        <v>226000</v>
      </c>
      <c r="N31" s="153">
        <v>245000</v>
      </c>
      <c r="O31" s="153">
        <v>278000</v>
      </c>
      <c r="P31" s="153">
        <v>347000</v>
      </c>
      <c r="Q31" s="153">
        <v>382157</v>
      </c>
      <c r="R31" s="153">
        <v>346554</v>
      </c>
      <c r="S31" s="153">
        <v>372004</v>
      </c>
      <c r="T31" s="153">
        <v>397757.32198999985</v>
      </c>
      <c r="U31" s="153">
        <v>456408</v>
      </c>
      <c r="V31" s="153">
        <v>513246.99999999994</v>
      </c>
      <c r="W31" s="153">
        <v>613431</v>
      </c>
      <c r="X31" s="153">
        <v>619570</v>
      </c>
      <c r="Y31" s="153">
        <v>718140</v>
      </c>
      <c r="Z31" s="153">
        <v>718538</v>
      </c>
      <c r="AA31" s="153">
        <v>968035</v>
      </c>
      <c r="AB31" s="153">
        <v>1219083</v>
      </c>
      <c r="AC31" s="153">
        <v>1226907</v>
      </c>
      <c r="AD31" s="153">
        <v>1252066</v>
      </c>
      <c r="AE31" s="153">
        <v>882598</v>
      </c>
      <c r="AF31" s="153">
        <v>1348774</v>
      </c>
      <c r="AG31" s="153">
        <v>898807</v>
      </c>
      <c r="AH31" s="153">
        <v>890285</v>
      </c>
      <c r="AI31" s="153">
        <v>967527</v>
      </c>
      <c r="AJ31" s="153">
        <v>940195</v>
      </c>
      <c r="AK31" s="153">
        <v>998406</v>
      </c>
      <c r="AL31" s="153">
        <v>1158690</v>
      </c>
      <c r="AM31" s="153">
        <v>1221295</v>
      </c>
      <c r="AN31" s="153">
        <v>1236509</v>
      </c>
      <c r="AO31" s="153">
        <v>1104278</v>
      </c>
      <c r="AP31" s="153">
        <v>1054648</v>
      </c>
      <c r="AQ31" s="153">
        <v>1048922</v>
      </c>
      <c r="AR31" s="153">
        <v>1177310</v>
      </c>
      <c r="AS31" s="153">
        <v>927204</v>
      </c>
      <c r="AT31" s="153">
        <v>921079</v>
      </c>
      <c r="AU31" s="153">
        <v>857872</v>
      </c>
      <c r="AV31" s="153">
        <v>824320</v>
      </c>
      <c r="AW31" s="153">
        <v>786686</v>
      </c>
      <c r="AX31" s="153">
        <v>802709</v>
      </c>
      <c r="AY31" s="153">
        <v>884797</v>
      </c>
      <c r="AZ31" s="153">
        <v>844768</v>
      </c>
      <c r="BA31" s="153">
        <v>826553</v>
      </c>
      <c r="BB31" s="153">
        <v>818373</v>
      </c>
      <c r="BC31" s="153">
        <v>824227</v>
      </c>
      <c r="BD31" s="153">
        <v>805382</v>
      </c>
      <c r="BE31" s="170">
        <v>809124</v>
      </c>
    </row>
    <row r="32" spans="1:57">
      <c r="A32" s="151" t="s">
        <v>1203</v>
      </c>
      <c r="B32" s="151" t="s">
        <v>1064</v>
      </c>
      <c r="C32" s="152"/>
      <c r="D32" s="153"/>
      <c r="E32" s="153"/>
      <c r="F32" s="153"/>
      <c r="G32" s="153"/>
      <c r="H32" s="153"/>
      <c r="I32" s="153"/>
      <c r="J32" s="153"/>
      <c r="K32" s="153"/>
      <c r="L32" s="153"/>
      <c r="M32" s="153"/>
      <c r="N32" s="153"/>
      <c r="O32" s="153"/>
      <c r="P32" s="153"/>
      <c r="Q32" s="153"/>
      <c r="R32" s="153"/>
      <c r="S32" s="153"/>
      <c r="T32" s="153"/>
      <c r="U32" s="153"/>
      <c r="V32" s="153"/>
      <c r="W32" s="153"/>
      <c r="X32" s="153"/>
      <c r="Y32" s="153"/>
      <c r="Z32" s="153"/>
      <c r="AA32" s="153"/>
      <c r="AB32" s="153"/>
      <c r="AC32" s="153"/>
      <c r="AD32" s="153"/>
      <c r="AE32" s="153">
        <v>6591</v>
      </c>
      <c r="AF32" s="153">
        <v>6591</v>
      </c>
      <c r="AG32" s="153">
        <v>6591</v>
      </c>
      <c r="AH32" s="153">
        <v>6591</v>
      </c>
      <c r="AI32" s="153">
        <v>32774</v>
      </c>
      <c r="AJ32" s="153">
        <v>25686</v>
      </c>
      <c r="AK32" s="153">
        <v>25686</v>
      </c>
      <c r="AL32" s="153">
        <v>25649</v>
      </c>
      <c r="AM32" s="153">
        <v>19076</v>
      </c>
      <c r="AN32" s="153">
        <v>19076</v>
      </c>
      <c r="AO32" s="153">
        <v>19076</v>
      </c>
      <c r="AP32" s="153">
        <v>18889</v>
      </c>
      <c r="AQ32" s="153">
        <v>54235</v>
      </c>
      <c r="AR32" s="153">
        <v>53555</v>
      </c>
      <c r="AS32" s="153">
        <v>53555</v>
      </c>
      <c r="AT32" s="153">
        <v>53213</v>
      </c>
      <c r="AU32" s="153">
        <v>91654</v>
      </c>
      <c r="AV32" s="153">
        <v>91664</v>
      </c>
      <c r="AW32" s="153">
        <v>86041</v>
      </c>
      <c r="AX32" s="153">
        <v>86060</v>
      </c>
      <c r="AY32" s="153">
        <v>168182</v>
      </c>
      <c r="AZ32" s="153">
        <v>165011</v>
      </c>
      <c r="BA32" s="153">
        <v>165128</v>
      </c>
      <c r="BB32" s="153">
        <v>99244</v>
      </c>
      <c r="BC32" s="153">
        <v>200694</v>
      </c>
      <c r="BD32" s="153">
        <v>200543</v>
      </c>
      <c r="BE32" s="170">
        <v>200797</v>
      </c>
    </row>
    <row r="33" spans="1:57">
      <c r="A33" s="151" t="s">
        <v>1193</v>
      </c>
      <c r="B33" s="151" t="s">
        <v>1071</v>
      </c>
      <c r="C33" s="152"/>
      <c r="D33" s="153">
        <v>0</v>
      </c>
      <c r="E33" s="153">
        <v>0</v>
      </c>
      <c r="F33" s="153">
        <v>0</v>
      </c>
      <c r="G33" s="153">
        <v>0</v>
      </c>
      <c r="H33" s="153">
        <v>0</v>
      </c>
      <c r="I33" s="153">
        <v>0</v>
      </c>
      <c r="J33" s="153">
        <v>0</v>
      </c>
      <c r="K33" s="153">
        <v>380854</v>
      </c>
      <c r="L33" s="153">
        <v>227000</v>
      </c>
      <c r="M33" s="153">
        <v>184000</v>
      </c>
      <c r="N33" s="153">
        <v>69000</v>
      </c>
      <c r="O33" s="153">
        <v>0</v>
      </c>
      <c r="P33" s="153">
        <v>0</v>
      </c>
      <c r="Q33" s="153">
        <v>0</v>
      </c>
      <c r="R33" s="153">
        <v>0</v>
      </c>
      <c r="S33" s="153">
        <v>0</v>
      </c>
      <c r="T33" s="153">
        <v>0</v>
      </c>
      <c r="U33" s="153">
        <v>95660</v>
      </c>
      <c r="V33" s="153">
        <v>63090</v>
      </c>
      <c r="W33" s="153">
        <v>120021</v>
      </c>
      <c r="X33" s="153">
        <v>181770</v>
      </c>
      <c r="Y33" s="153">
        <v>331854</v>
      </c>
      <c r="Z33" s="153">
        <v>91392</v>
      </c>
      <c r="AA33" s="153">
        <v>303393</v>
      </c>
      <c r="AB33" s="153">
        <v>1659431</v>
      </c>
      <c r="AC33" s="153">
        <v>1658935</v>
      </c>
      <c r="AD33" s="153">
        <v>1500820</v>
      </c>
      <c r="AE33" s="153">
        <v>865227</v>
      </c>
      <c r="AF33" s="153">
        <v>940056</v>
      </c>
      <c r="AG33" s="153">
        <v>835297</v>
      </c>
      <c r="AH33" s="153">
        <v>1016965</v>
      </c>
      <c r="AI33" s="153">
        <v>1185784</v>
      </c>
      <c r="AJ33" s="153">
        <v>36113</v>
      </c>
      <c r="AK33" s="153">
        <v>21636</v>
      </c>
      <c r="AL33" s="153">
        <v>151818</v>
      </c>
      <c r="AM33" s="153">
        <v>697926</v>
      </c>
      <c r="AN33" s="153">
        <v>327296</v>
      </c>
      <c r="AO33" s="153">
        <v>46360</v>
      </c>
      <c r="AP33" s="153">
        <v>81615</v>
      </c>
      <c r="AQ33" s="153">
        <v>61921</v>
      </c>
      <c r="AR33" s="153">
        <v>23276</v>
      </c>
      <c r="AS33" s="153">
        <v>4467</v>
      </c>
      <c r="AT33" s="153">
        <v>37837</v>
      </c>
      <c r="AU33" s="153">
        <v>16277</v>
      </c>
      <c r="AV33" s="153">
        <v>20735</v>
      </c>
      <c r="AW33" s="153">
        <v>67546</v>
      </c>
      <c r="AX33" s="153">
        <v>4357</v>
      </c>
      <c r="AY33" s="153">
        <v>264381</v>
      </c>
      <c r="AZ33" s="153">
        <v>85735</v>
      </c>
      <c r="BA33" s="153">
        <v>177758</v>
      </c>
      <c r="BB33" s="153">
        <v>234256</v>
      </c>
      <c r="BC33" s="153">
        <v>1102886</v>
      </c>
      <c r="BD33" s="153">
        <v>815534</v>
      </c>
      <c r="BE33" s="170">
        <v>1258245</v>
      </c>
    </row>
    <row r="34" spans="1:57">
      <c r="A34" s="151" t="s">
        <v>1066</v>
      </c>
      <c r="B34" s="151" t="s">
        <v>1067</v>
      </c>
      <c r="C34" s="152"/>
      <c r="D34" s="153">
        <v>0</v>
      </c>
      <c r="E34" s="153">
        <v>0</v>
      </c>
      <c r="F34" s="153">
        <v>0</v>
      </c>
      <c r="G34" s="153">
        <v>0</v>
      </c>
      <c r="H34" s="153">
        <v>0</v>
      </c>
      <c r="I34" s="153">
        <v>0</v>
      </c>
      <c r="J34" s="153">
        <v>0</v>
      </c>
      <c r="K34" s="153">
        <v>0</v>
      </c>
      <c r="L34" s="153">
        <v>0</v>
      </c>
      <c r="M34" s="153">
        <v>0</v>
      </c>
      <c r="N34" s="153">
        <v>0</v>
      </c>
      <c r="O34" s="153">
        <v>0</v>
      </c>
      <c r="P34" s="153">
        <v>0</v>
      </c>
      <c r="Q34" s="153">
        <v>0</v>
      </c>
      <c r="R34" s="153">
        <v>0</v>
      </c>
      <c r="S34" s="153">
        <v>93306</v>
      </c>
      <c r="T34" s="153">
        <v>93911.052370000005</v>
      </c>
      <c r="U34" s="153">
        <v>88495</v>
      </c>
      <c r="V34" s="153">
        <v>87718</v>
      </c>
      <c r="W34" s="153">
        <v>101311</v>
      </c>
      <c r="X34" s="153">
        <v>101514</v>
      </c>
      <c r="Y34" s="153">
        <v>101565</v>
      </c>
      <c r="Z34" s="153">
        <v>101709</v>
      </c>
      <c r="AA34" s="153">
        <v>107838</v>
      </c>
      <c r="AB34" s="153">
        <v>108833</v>
      </c>
      <c r="AC34" s="153">
        <v>105352</v>
      </c>
      <c r="AD34" s="153">
        <v>105340</v>
      </c>
      <c r="AE34" s="153"/>
      <c r="AF34" s="153">
        <v>0</v>
      </c>
      <c r="AG34" s="153"/>
      <c r="AH34" s="153"/>
      <c r="AI34" s="153"/>
      <c r="AJ34" s="153"/>
      <c r="AK34" s="153"/>
      <c r="AL34" s="153"/>
      <c r="AM34" s="153"/>
      <c r="AN34" s="153"/>
      <c r="AO34" s="153" t="s">
        <v>447</v>
      </c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</row>
    <row r="35" spans="1:57">
      <c r="A35" s="151" t="s">
        <v>1160</v>
      </c>
      <c r="B35" s="151" t="s">
        <v>1161</v>
      </c>
      <c r="C35" s="152"/>
      <c r="D35" s="153">
        <v>212704</v>
      </c>
      <c r="E35" s="153">
        <f>216519.65842+5</f>
        <v>216524.65841999999</v>
      </c>
      <c r="F35" s="153">
        <f>231332-14</f>
        <v>231318</v>
      </c>
      <c r="G35" s="153">
        <v>185689</v>
      </c>
      <c r="H35" s="153">
        <f>186813+2</f>
        <v>186815</v>
      </c>
      <c r="I35" s="153">
        <v>188774</v>
      </c>
      <c r="J35" s="153">
        <v>178568</v>
      </c>
      <c r="K35" s="153">
        <v>113255</v>
      </c>
      <c r="L35" s="153">
        <v>83000</v>
      </c>
      <c r="M35" s="153">
        <v>69000</v>
      </c>
      <c r="N35" s="153">
        <v>37000</v>
      </c>
      <c r="O35" s="153">
        <f>66000+144-30</f>
        <v>66114</v>
      </c>
      <c r="P35" s="153">
        <f>59000+28</f>
        <v>59028</v>
      </c>
      <c r="Q35" s="153">
        <v>86396</v>
      </c>
      <c r="R35" s="153">
        <v>85961</v>
      </c>
      <c r="S35" s="153">
        <v>65284.000000000007</v>
      </c>
      <c r="T35" s="153">
        <f>53879.8794+217</f>
        <v>54096.879399999998</v>
      </c>
      <c r="U35" s="153">
        <v>40440</v>
      </c>
      <c r="V35" s="153">
        <v>23809</v>
      </c>
      <c r="W35" s="153">
        <f>8466-1</f>
        <v>8465</v>
      </c>
      <c r="X35" s="153">
        <v>29171</v>
      </c>
      <c r="Y35" s="153">
        <v>8898</v>
      </c>
      <c r="Z35" s="153">
        <v>27720</v>
      </c>
      <c r="AA35" s="153">
        <v>9056</v>
      </c>
      <c r="AB35" s="153">
        <v>32134</v>
      </c>
      <c r="AC35" s="153">
        <v>18631</v>
      </c>
      <c r="AD35" s="153">
        <v>18378</v>
      </c>
      <c r="AE35" s="153">
        <v>85120</v>
      </c>
      <c r="AF35" s="153">
        <v>85120</v>
      </c>
      <c r="AG35" s="153">
        <v>85120</v>
      </c>
      <c r="AH35" s="153">
        <v>85120</v>
      </c>
      <c r="AI35" s="153">
        <v>85120</v>
      </c>
      <c r="AJ35" s="153">
        <v>121825</v>
      </c>
      <c r="AK35" s="153">
        <v>91688</v>
      </c>
      <c r="AL35" s="153">
        <v>67971</v>
      </c>
      <c r="AM35" s="153">
        <v>85120</v>
      </c>
      <c r="AN35" s="153">
        <v>74350</v>
      </c>
      <c r="AO35" s="153">
        <v>69351</v>
      </c>
      <c r="AP35" s="153">
        <v>85120</v>
      </c>
      <c r="AQ35" s="153">
        <v>85120</v>
      </c>
      <c r="AR35" s="153">
        <v>20444</v>
      </c>
      <c r="AS35" s="153">
        <v>20444</v>
      </c>
      <c r="AT35" s="153">
        <v>20444</v>
      </c>
      <c r="AU35" s="153">
        <v>20444</v>
      </c>
      <c r="AV35" s="153">
        <v>20444</v>
      </c>
      <c r="AW35" s="153">
        <v>402238</v>
      </c>
      <c r="AX35" s="153">
        <v>353341</v>
      </c>
      <c r="AY35" s="153">
        <v>349930</v>
      </c>
      <c r="AZ35" s="153">
        <v>349930</v>
      </c>
      <c r="BA35" s="153">
        <v>349930</v>
      </c>
      <c r="BB35" s="153">
        <v>349930</v>
      </c>
      <c r="BC35" s="153">
        <v>349930</v>
      </c>
      <c r="BD35" s="153">
        <v>334434</v>
      </c>
      <c r="BE35" s="170">
        <v>334434</v>
      </c>
    </row>
    <row r="36" spans="1:57">
      <c r="A36" s="151" t="s">
        <v>1068</v>
      </c>
      <c r="B36" s="151" t="s">
        <v>1069</v>
      </c>
      <c r="C36" s="152"/>
      <c r="D36" s="153">
        <v>191651</v>
      </c>
      <c r="E36" s="153">
        <v>214874</v>
      </c>
      <c r="F36" s="153">
        <v>169864</v>
      </c>
      <c r="G36" s="153">
        <f>139559+5</f>
        <v>139564</v>
      </c>
      <c r="H36" s="153">
        <v>105210</v>
      </c>
      <c r="I36" s="153">
        <f>110082.2695+3</f>
        <v>110085.26949999999</v>
      </c>
      <c r="J36" s="153">
        <f>113263+89</f>
        <v>113352</v>
      </c>
      <c r="K36" s="153">
        <f>136156+386</f>
        <v>136542</v>
      </c>
      <c r="L36" s="153">
        <f>141000-200</f>
        <v>140800</v>
      </c>
      <c r="M36" s="153">
        <v>147000</v>
      </c>
      <c r="N36" s="153">
        <v>145000</v>
      </c>
      <c r="O36" s="153">
        <v>151000</v>
      </c>
      <c r="P36" s="153">
        <v>156000</v>
      </c>
      <c r="Q36" s="153">
        <v>157846</v>
      </c>
      <c r="R36" s="153">
        <v>163200</v>
      </c>
      <c r="S36" s="153">
        <v>165018</v>
      </c>
      <c r="T36" s="153">
        <v>168894.00524</v>
      </c>
      <c r="U36" s="153">
        <v>172792</v>
      </c>
      <c r="V36" s="153">
        <v>189750</v>
      </c>
      <c r="W36" s="153">
        <v>141566</v>
      </c>
      <c r="X36" s="153">
        <v>159874</v>
      </c>
      <c r="Y36" s="153">
        <v>159495</v>
      </c>
      <c r="Z36" s="153">
        <v>159957</v>
      </c>
      <c r="AA36" s="153">
        <v>148206</v>
      </c>
      <c r="AB36" s="153">
        <v>261409</v>
      </c>
      <c r="AC36" s="153">
        <v>287511</v>
      </c>
      <c r="AD36" s="153">
        <v>304926</v>
      </c>
      <c r="AE36" s="153">
        <v>299175</v>
      </c>
      <c r="AF36" s="153">
        <v>304371</v>
      </c>
      <c r="AG36" s="153">
        <v>271177</v>
      </c>
      <c r="AH36" s="153">
        <v>250929</v>
      </c>
      <c r="AI36" s="153">
        <v>250284</v>
      </c>
      <c r="AJ36" s="153">
        <v>258131</v>
      </c>
      <c r="AK36" s="153">
        <v>262341</v>
      </c>
      <c r="AL36" s="153">
        <v>413950</v>
      </c>
      <c r="AM36" s="153">
        <v>470060</v>
      </c>
      <c r="AN36" s="153">
        <v>477252</v>
      </c>
      <c r="AO36" s="153">
        <v>469463</v>
      </c>
      <c r="AP36" s="153">
        <v>492594</v>
      </c>
      <c r="AQ36" s="153">
        <v>653611</v>
      </c>
      <c r="AR36" s="153">
        <v>671862</v>
      </c>
      <c r="AS36" s="153">
        <v>701796</v>
      </c>
      <c r="AT36" s="153">
        <v>717937</v>
      </c>
      <c r="AU36" s="153">
        <v>716105</v>
      </c>
      <c r="AV36" s="153">
        <v>798797</v>
      </c>
      <c r="AW36" s="153">
        <v>823359</v>
      </c>
      <c r="AX36" s="153">
        <v>829847</v>
      </c>
      <c r="AY36" s="153">
        <v>836304</v>
      </c>
      <c r="AZ36" s="153">
        <v>854861</v>
      </c>
      <c r="BA36" s="153">
        <v>865610</v>
      </c>
      <c r="BB36" s="153">
        <v>881820</v>
      </c>
      <c r="BC36" s="153">
        <v>739907</v>
      </c>
      <c r="BD36" s="153">
        <v>765259</v>
      </c>
      <c r="BE36" s="174">
        <v>793409</v>
      </c>
    </row>
    <row r="37" spans="1:57">
      <c r="A37" s="151" t="s">
        <v>1072</v>
      </c>
      <c r="B37" s="151" t="s">
        <v>1073</v>
      </c>
      <c r="C37" s="152"/>
      <c r="D37" s="153">
        <v>0</v>
      </c>
      <c r="E37" s="153">
        <v>0</v>
      </c>
      <c r="F37" s="153">
        <v>0</v>
      </c>
      <c r="G37" s="153">
        <v>0</v>
      </c>
      <c r="H37" s="153">
        <v>0</v>
      </c>
      <c r="I37" s="153">
        <v>0</v>
      </c>
      <c r="J37" s="153">
        <v>0</v>
      </c>
      <c r="K37" s="153">
        <v>8860</v>
      </c>
      <c r="L37" s="153">
        <v>178000</v>
      </c>
      <c r="M37" s="153">
        <v>182000</v>
      </c>
      <c r="N37" s="153">
        <f>254000+142</f>
        <v>254142</v>
      </c>
      <c r="O37" s="153">
        <v>274000</v>
      </c>
      <c r="P37" s="153">
        <v>83000</v>
      </c>
      <c r="Q37" s="153">
        <v>25727</v>
      </c>
      <c r="R37" s="153">
        <v>18833</v>
      </c>
      <c r="S37" s="153">
        <v>0</v>
      </c>
      <c r="T37" s="153">
        <v>0</v>
      </c>
      <c r="U37" s="153">
        <v>48624</v>
      </c>
      <c r="V37" s="153">
        <v>21600</v>
      </c>
      <c r="W37" s="153">
        <v>48720</v>
      </c>
      <c r="X37" s="153">
        <v>42809</v>
      </c>
      <c r="Y37" s="153">
        <v>125211</v>
      </c>
      <c r="Z37" s="153">
        <v>180355</v>
      </c>
      <c r="AA37" s="153">
        <v>142451</v>
      </c>
      <c r="AB37" s="153">
        <v>153959</v>
      </c>
      <c r="AC37" s="153">
        <v>0</v>
      </c>
      <c r="AD37" s="153">
        <v>59321</v>
      </c>
      <c r="AE37" s="153">
        <v>43001</v>
      </c>
      <c r="AF37" s="153">
        <v>415876</v>
      </c>
      <c r="AG37" s="153">
        <v>492346</v>
      </c>
      <c r="AH37" s="153">
        <v>551836</v>
      </c>
      <c r="AI37" s="153">
        <v>295161</v>
      </c>
      <c r="AJ37" s="153">
        <v>368055</v>
      </c>
      <c r="AK37" s="153">
        <v>100872</v>
      </c>
      <c r="AL37" s="153">
        <v>112214</v>
      </c>
      <c r="AM37" s="153">
        <v>540603</v>
      </c>
      <c r="AN37" s="153">
        <v>505784</v>
      </c>
      <c r="AO37" s="153">
        <v>494317</v>
      </c>
      <c r="AP37" s="153">
        <v>534124</v>
      </c>
      <c r="AQ37" s="153">
        <v>589564</v>
      </c>
      <c r="AR37" s="153">
        <v>294043</v>
      </c>
      <c r="AS37" s="153">
        <v>237531</v>
      </c>
      <c r="AT37" s="153">
        <v>189392</v>
      </c>
      <c r="AU37" s="153">
        <v>220986</v>
      </c>
      <c r="AV37" s="153">
        <v>123580</v>
      </c>
      <c r="AW37" s="153">
        <v>311592</v>
      </c>
      <c r="AX37" s="153">
        <v>328724</v>
      </c>
      <c r="AY37" s="153">
        <v>489859</v>
      </c>
      <c r="AZ37" s="153">
        <v>224311</v>
      </c>
      <c r="BA37" s="153">
        <v>187915</v>
      </c>
      <c r="BB37" s="153">
        <v>91844</v>
      </c>
      <c r="BC37" s="153">
        <v>6747</v>
      </c>
      <c r="BD37" s="153">
        <v>0</v>
      </c>
      <c r="BE37" s="35">
        <v>0</v>
      </c>
    </row>
    <row r="38" spans="1:57">
      <c r="A38" s="151" t="s">
        <v>1076</v>
      </c>
      <c r="B38" s="151" t="s">
        <v>1077</v>
      </c>
      <c r="C38" s="152"/>
      <c r="D38" s="153">
        <v>139995</v>
      </c>
      <c r="E38" s="153">
        <v>121572.43463</v>
      </c>
      <c r="F38" s="153">
        <v>120641</v>
      </c>
      <c r="G38" s="153">
        <v>92750</v>
      </c>
      <c r="H38" s="153">
        <v>95481</v>
      </c>
      <c r="I38" s="153">
        <v>115664</v>
      </c>
      <c r="J38" s="153">
        <v>129407.99999999999</v>
      </c>
      <c r="K38" s="153">
        <v>123297</v>
      </c>
      <c r="L38" s="153">
        <v>123000</v>
      </c>
      <c r="M38" s="153">
        <v>116000</v>
      </c>
      <c r="N38" s="153">
        <v>79269</v>
      </c>
      <c r="O38" s="153">
        <v>88233</v>
      </c>
      <c r="P38" s="153">
        <v>98700</v>
      </c>
      <c r="Q38" s="153">
        <v>113004</v>
      </c>
      <c r="R38" s="153">
        <v>120681</v>
      </c>
      <c r="S38" s="153">
        <v>130636</v>
      </c>
      <c r="T38" s="153">
        <v>133502.45671000003</v>
      </c>
      <c r="U38" s="153">
        <v>127229</v>
      </c>
      <c r="V38" s="153">
        <v>124226</v>
      </c>
      <c r="W38" s="153">
        <v>130747.00000000001</v>
      </c>
      <c r="X38" s="153">
        <v>128068.00000000001</v>
      </c>
      <c r="Y38" s="153">
        <v>128467.99999999999</v>
      </c>
      <c r="Z38" s="153">
        <v>126312</v>
      </c>
      <c r="AA38" s="153">
        <v>1316325</v>
      </c>
      <c r="AB38" s="153">
        <v>1363651</v>
      </c>
      <c r="AC38" s="153">
        <v>1375554</v>
      </c>
      <c r="AD38" s="153">
        <v>1670888</v>
      </c>
      <c r="AE38" s="153">
        <v>1633437</v>
      </c>
      <c r="AF38" s="153">
        <v>1742356</v>
      </c>
      <c r="AG38" s="153">
        <v>1641102</v>
      </c>
      <c r="AH38" s="153">
        <v>1468122</v>
      </c>
      <c r="AI38" s="153">
        <v>984483</v>
      </c>
      <c r="AJ38" s="153">
        <v>778230</v>
      </c>
      <c r="AK38" s="153">
        <v>573547</v>
      </c>
      <c r="AL38" s="153">
        <v>952707</v>
      </c>
      <c r="AM38" s="153">
        <v>972804</v>
      </c>
      <c r="AN38" s="153">
        <v>646737</v>
      </c>
      <c r="AO38" s="153">
        <v>1021537</v>
      </c>
      <c r="AP38" s="153">
        <v>1209196</v>
      </c>
      <c r="AQ38" s="153">
        <v>3491238</v>
      </c>
      <c r="AR38" s="153">
        <v>3355293</v>
      </c>
      <c r="AS38" s="153">
        <v>3366680</v>
      </c>
      <c r="AT38" s="153">
        <v>3176136</v>
      </c>
      <c r="AU38" s="153">
        <v>2746025</v>
      </c>
      <c r="AV38" s="153">
        <v>2960037</v>
      </c>
      <c r="AW38" s="153">
        <v>3004561</v>
      </c>
      <c r="AX38" s="153">
        <v>2843828</v>
      </c>
      <c r="AY38" s="153">
        <v>2752098</v>
      </c>
      <c r="AZ38" s="153">
        <v>2752698</v>
      </c>
      <c r="BA38" s="153">
        <v>2632206</v>
      </c>
      <c r="BB38" s="153">
        <v>2619678</v>
      </c>
      <c r="BC38" s="153">
        <v>2362940</v>
      </c>
      <c r="BD38" s="153">
        <v>2322228</v>
      </c>
      <c r="BE38" s="170">
        <v>2480498</v>
      </c>
    </row>
    <row r="39" spans="1:57">
      <c r="A39" s="151" t="s">
        <v>1078</v>
      </c>
      <c r="B39" s="151" t="s">
        <v>1079</v>
      </c>
      <c r="C39" s="152"/>
      <c r="D39" s="153">
        <v>0</v>
      </c>
      <c r="E39" s="153">
        <v>19114</v>
      </c>
      <c r="F39" s="153">
        <v>34763</v>
      </c>
      <c r="G39" s="153">
        <v>31098.67757</v>
      </c>
      <c r="H39" s="153">
        <v>42179</v>
      </c>
      <c r="I39" s="153">
        <v>48457.67757</v>
      </c>
      <c r="J39" s="153">
        <v>23086.67757</v>
      </c>
      <c r="K39" s="153">
        <v>0</v>
      </c>
      <c r="L39" s="153">
        <v>0</v>
      </c>
      <c r="M39" s="153">
        <v>0</v>
      </c>
      <c r="N39" s="153">
        <v>38776</v>
      </c>
      <c r="O39" s="153">
        <v>39661</v>
      </c>
      <c r="P39" s="153">
        <v>39650</v>
      </c>
      <c r="Q39" s="153">
        <v>40998</v>
      </c>
      <c r="R39" s="153">
        <v>41940</v>
      </c>
      <c r="S39" s="153">
        <v>42833</v>
      </c>
      <c r="T39" s="153">
        <v>43664.228780000005</v>
      </c>
      <c r="U39" s="153">
        <v>44412</v>
      </c>
      <c r="V39" s="153">
        <v>45278</v>
      </c>
      <c r="W39" s="153">
        <v>45561</v>
      </c>
      <c r="X39" s="153">
        <v>45866</v>
      </c>
      <c r="Y39" s="153">
        <v>46417</v>
      </c>
      <c r="Z39" s="153">
        <v>46830</v>
      </c>
      <c r="AA39" s="153">
        <v>53205</v>
      </c>
      <c r="AB39" s="153">
        <v>47798</v>
      </c>
      <c r="AC39" s="153">
        <v>0</v>
      </c>
      <c r="AD39" s="153">
        <v>47939</v>
      </c>
      <c r="AE39" s="153">
        <v>90340</v>
      </c>
      <c r="AF39" s="153">
        <v>82345</v>
      </c>
      <c r="AG39" s="153">
        <v>83222</v>
      </c>
      <c r="AH39" s="153">
        <v>82636</v>
      </c>
      <c r="AI39" s="153">
        <v>89012</v>
      </c>
      <c r="AJ39" s="153">
        <v>83247</v>
      </c>
      <c r="AK39" s="153">
        <v>83247</v>
      </c>
      <c r="AL39" s="153">
        <v>80850</v>
      </c>
      <c r="AM39" s="153">
        <v>117237</v>
      </c>
      <c r="AN39" s="153">
        <v>117237</v>
      </c>
      <c r="AO39" s="153">
        <v>115858</v>
      </c>
      <c r="AP39" s="153">
        <v>115858</v>
      </c>
      <c r="AQ39" s="153">
        <v>115858</v>
      </c>
      <c r="AR39" s="153">
        <v>115858</v>
      </c>
      <c r="AS39" s="153">
        <v>99265</v>
      </c>
      <c r="AT39" s="153">
        <v>99265</v>
      </c>
      <c r="AU39" s="153">
        <v>260806</v>
      </c>
      <c r="AV39" s="153">
        <v>257996</v>
      </c>
      <c r="AW39" s="153">
        <v>256198</v>
      </c>
      <c r="AX39" s="153">
        <v>259054</v>
      </c>
      <c r="AY39" s="153">
        <v>199855</v>
      </c>
      <c r="AZ39" s="153">
        <v>203045</v>
      </c>
      <c r="BA39" s="153">
        <v>175509</v>
      </c>
      <c r="BB39" s="153">
        <v>135439</v>
      </c>
      <c r="BC39" s="153">
        <v>176123</v>
      </c>
      <c r="BD39" s="153">
        <v>142628</v>
      </c>
      <c r="BE39" s="170">
        <v>115200</v>
      </c>
    </row>
    <row r="40" spans="1:57">
      <c r="A40" s="151" t="s">
        <v>1132</v>
      </c>
      <c r="B40" s="151" t="s">
        <v>1133</v>
      </c>
      <c r="C40" s="152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  <c r="AH40" s="153"/>
      <c r="AI40" s="153"/>
      <c r="AJ40" s="153"/>
      <c r="AK40" s="153"/>
      <c r="AL40" s="153">
        <v>1080802</v>
      </c>
      <c r="AM40" s="153">
        <v>939618</v>
      </c>
      <c r="AN40" s="153">
        <v>948160</v>
      </c>
      <c r="AO40" s="153">
        <v>919855</v>
      </c>
      <c r="AP40" s="153">
        <v>901483</v>
      </c>
      <c r="AQ40" s="153">
        <v>2277811</v>
      </c>
      <c r="AR40" s="153">
        <v>2252976</v>
      </c>
      <c r="AS40" s="153">
        <v>2422896</v>
      </c>
      <c r="AT40" s="153">
        <v>2532449</v>
      </c>
      <c r="AU40" s="153">
        <v>2729099</v>
      </c>
      <c r="AV40" s="153">
        <v>2733002</v>
      </c>
      <c r="AW40" s="153">
        <v>2649143</v>
      </c>
      <c r="AX40" s="153">
        <v>2628038</v>
      </c>
      <c r="AY40" s="153">
        <v>3179400</v>
      </c>
      <c r="AZ40" s="153">
        <v>3158828</v>
      </c>
      <c r="BA40" s="153">
        <v>3128108</v>
      </c>
      <c r="BB40" s="153">
        <v>3156757</v>
      </c>
      <c r="BC40" s="153">
        <v>3402456</v>
      </c>
      <c r="BD40" s="153">
        <v>3409390</v>
      </c>
      <c r="BE40" s="170">
        <v>3390317</v>
      </c>
    </row>
    <row r="41" spans="1:57">
      <c r="A41" s="151" t="s">
        <v>1265</v>
      </c>
      <c r="B41" s="151" t="s">
        <v>1266</v>
      </c>
      <c r="C41" s="152"/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  <c r="O41" s="153"/>
      <c r="P41" s="153"/>
      <c r="Q41" s="153"/>
      <c r="R41" s="153"/>
      <c r="S41" s="153"/>
      <c r="T41" s="153"/>
      <c r="U41" s="153"/>
      <c r="V41" s="153"/>
      <c r="W41" s="153"/>
      <c r="X41" s="153"/>
      <c r="Y41" s="153"/>
      <c r="Z41" s="153"/>
      <c r="AA41" s="153"/>
      <c r="AB41" s="153"/>
      <c r="AC41" s="153"/>
      <c r="AD41" s="153"/>
      <c r="AE41" s="153"/>
      <c r="AF41" s="153"/>
      <c r="AG41" s="153"/>
      <c r="AH41" s="153"/>
      <c r="AI41" s="153"/>
      <c r="AJ41" s="153"/>
      <c r="AK41" s="153"/>
      <c r="AL41" s="153"/>
      <c r="AM41" s="153"/>
      <c r="AN41" s="153"/>
      <c r="AO41" s="153"/>
      <c r="AP41" s="153"/>
      <c r="AQ41" s="153"/>
      <c r="AR41" s="153"/>
      <c r="AS41" s="153"/>
      <c r="AT41" s="153"/>
      <c r="AU41" s="153"/>
      <c r="AV41" s="153"/>
      <c r="AW41" s="153">
        <v>46207</v>
      </c>
      <c r="AX41" s="153">
        <v>62639</v>
      </c>
      <c r="AY41" s="153">
        <v>14460</v>
      </c>
      <c r="AZ41" s="153">
        <v>50668</v>
      </c>
      <c r="BA41" s="153">
        <v>44566</v>
      </c>
      <c r="BB41" s="153">
        <v>49990</v>
      </c>
      <c r="BC41" s="153">
        <v>71611</v>
      </c>
      <c r="BD41" s="153">
        <v>72339</v>
      </c>
      <c r="BE41" s="170">
        <v>67117</v>
      </c>
    </row>
    <row r="42" spans="1:57">
      <c r="A42" s="151" t="s">
        <v>1238</v>
      </c>
      <c r="B42" s="151" t="s">
        <v>96</v>
      </c>
      <c r="C42" s="152"/>
      <c r="D42" s="153">
        <v>45596</v>
      </c>
      <c r="E42" s="153">
        <v>74676</v>
      </c>
      <c r="F42" s="153">
        <v>105630.91233000001</v>
      </c>
      <c r="G42" s="153">
        <v>73002</v>
      </c>
      <c r="H42" s="153">
        <v>71975.564610000001</v>
      </c>
      <c r="I42" s="153">
        <v>74043.819659999892</v>
      </c>
      <c r="J42" s="153">
        <v>84428</v>
      </c>
      <c r="K42" s="153">
        <v>63222</v>
      </c>
      <c r="L42" s="153">
        <v>74000</v>
      </c>
      <c r="M42" s="153">
        <v>71000</v>
      </c>
      <c r="N42" s="153">
        <v>86400</v>
      </c>
      <c r="O42" s="153">
        <v>86000</v>
      </c>
      <c r="P42" s="153">
        <v>80000</v>
      </c>
      <c r="Q42" s="153">
        <v>75833</v>
      </c>
      <c r="R42" s="153">
        <v>74196</v>
      </c>
      <c r="S42" s="153">
        <v>66965</v>
      </c>
      <c r="T42" s="153">
        <v>62618.27034000001</v>
      </c>
      <c r="U42" s="153">
        <v>73027</v>
      </c>
      <c r="V42" s="153">
        <v>83408</v>
      </c>
      <c r="W42" s="153">
        <v>196237</v>
      </c>
      <c r="X42" s="153">
        <v>82109</v>
      </c>
      <c r="Y42" s="153">
        <v>96273</v>
      </c>
      <c r="Z42" s="153">
        <v>109523</v>
      </c>
      <c r="AA42" s="153">
        <f>367931+20886</f>
        <v>388817</v>
      </c>
      <c r="AB42" s="153">
        <v>149335.00000000003</v>
      </c>
      <c r="AC42" s="153">
        <v>201270</v>
      </c>
      <c r="AD42" s="153">
        <v>107818.00000000001</v>
      </c>
      <c r="AE42" s="153">
        <f>389340</f>
        <v>389340</v>
      </c>
      <c r="AF42" s="153">
        <v>52416</v>
      </c>
      <c r="AG42" s="153">
        <v>55987</v>
      </c>
      <c r="AH42" s="153">
        <v>44091</v>
      </c>
      <c r="AI42" s="153">
        <v>328019</v>
      </c>
      <c r="AJ42" s="153">
        <v>302937</v>
      </c>
      <c r="AK42" s="153">
        <v>285625</v>
      </c>
      <c r="AL42" s="153">
        <v>249982</v>
      </c>
      <c r="AM42" s="153">
        <v>213258</v>
      </c>
      <c r="AN42" s="153">
        <v>190107</v>
      </c>
      <c r="AO42" s="153">
        <v>205961</v>
      </c>
      <c r="AP42" s="153">
        <v>108675</v>
      </c>
      <c r="AQ42" s="153">
        <v>660538</v>
      </c>
      <c r="AR42" s="153">
        <v>626932</v>
      </c>
      <c r="AS42" s="153">
        <v>1084954</v>
      </c>
      <c r="AT42" s="153">
        <v>1120062</v>
      </c>
      <c r="AU42" s="153">
        <v>891230</v>
      </c>
      <c r="AV42" s="153">
        <v>906027</v>
      </c>
      <c r="AW42" s="153">
        <v>911582</v>
      </c>
      <c r="AX42" s="153">
        <v>884319</v>
      </c>
      <c r="AY42" s="153">
        <v>854561</v>
      </c>
      <c r="AZ42" s="153">
        <v>848832</v>
      </c>
      <c r="BA42" s="153">
        <v>854830</v>
      </c>
      <c r="BB42" s="153">
        <v>750501</v>
      </c>
      <c r="BC42" s="153">
        <v>759998</v>
      </c>
      <c r="BD42" s="153">
        <v>723617</v>
      </c>
      <c r="BE42" s="170">
        <v>768869</v>
      </c>
    </row>
    <row r="43" spans="1:57">
      <c r="A43" s="151" t="s">
        <v>1084</v>
      </c>
      <c r="B43" s="151" t="s">
        <v>1085</v>
      </c>
      <c r="C43" s="152"/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  <c r="O43" s="153"/>
      <c r="P43" s="153"/>
      <c r="Q43" s="153"/>
      <c r="R43" s="153"/>
      <c r="S43" s="153"/>
      <c r="T43" s="153"/>
      <c r="U43" s="153"/>
      <c r="V43" s="153"/>
      <c r="W43" s="153"/>
      <c r="X43" s="153"/>
      <c r="Y43" s="153"/>
      <c r="Z43" s="153"/>
      <c r="AA43" s="153"/>
      <c r="AB43" s="153"/>
      <c r="AC43" s="153"/>
      <c r="AD43" s="153"/>
      <c r="AE43" s="153">
        <v>22065</v>
      </c>
      <c r="AF43" s="153">
        <v>22065</v>
      </c>
      <c r="AG43" s="153">
        <v>22065</v>
      </c>
      <c r="AH43" s="153">
        <v>22065</v>
      </c>
      <c r="AI43" s="153">
        <v>23206</v>
      </c>
      <c r="AJ43" s="153">
        <v>23206</v>
      </c>
      <c r="AK43" s="153">
        <v>23206</v>
      </c>
      <c r="AL43" s="153">
        <v>23206</v>
      </c>
      <c r="AM43" s="153">
        <v>29144</v>
      </c>
      <c r="AN43" s="153">
        <v>29144</v>
      </c>
      <c r="AO43" s="153">
        <v>29246</v>
      </c>
      <c r="AP43" s="153">
        <v>29246</v>
      </c>
      <c r="AQ43" s="153">
        <v>32616</v>
      </c>
      <c r="AR43" s="153">
        <v>33176</v>
      </c>
      <c r="AS43" s="153">
        <v>33735</v>
      </c>
      <c r="AT43" s="153">
        <v>35056</v>
      </c>
      <c r="AU43" s="153">
        <v>30756</v>
      </c>
      <c r="AV43" s="153">
        <v>31561</v>
      </c>
      <c r="AW43" s="153">
        <v>32366</v>
      </c>
      <c r="AX43" s="153">
        <v>33171</v>
      </c>
      <c r="AY43" s="153">
        <v>20224</v>
      </c>
      <c r="AZ43" s="153">
        <v>20907</v>
      </c>
      <c r="BA43" s="153">
        <v>20972</v>
      </c>
      <c r="BB43" s="153">
        <v>21159</v>
      </c>
      <c r="BC43" s="153">
        <v>34536</v>
      </c>
      <c r="BD43" s="153">
        <v>35212</v>
      </c>
      <c r="BE43" s="35">
        <v>35875</v>
      </c>
    </row>
    <row r="44" spans="1:57" ht="15" thickBot="1">
      <c r="A44" s="151" t="s">
        <v>1086</v>
      </c>
      <c r="B44" s="151" t="s">
        <v>1087</v>
      </c>
      <c r="C44" s="152"/>
      <c r="D44" s="153">
        <v>1194272</v>
      </c>
      <c r="E44" s="153">
        <v>1232512.18808</v>
      </c>
      <c r="F44" s="153">
        <v>1057060</v>
      </c>
      <c r="G44" s="153">
        <v>1195743</v>
      </c>
      <c r="H44" s="153">
        <v>1266045</v>
      </c>
      <c r="I44" s="153">
        <v>1377975.9212199999</v>
      </c>
      <c r="J44" s="153">
        <v>1355458.98217</v>
      </c>
      <c r="K44" s="153">
        <v>1565973</v>
      </c>
      <c r="L44" s="153">
        <v>1858000</v>
      </c>
      <c r="M44" s="153">
        <v>1993000</v>
      </c>
      <c r="N44" s="153">
        <v>2079400</v>
      </c>
      <c r="O44" s="153">
        <v>2229000</v>
      </c>
      <c r="P44" s="153">
        <v>2304000</v>
      </c>
      <c r="Q44" s="153">
        <v>2288786</v>
      </c>
      <c r="R44" s="153">
        <v>2435729</v>
      </c>
      <c r="S44" s="153">
        <v>2602224</v>
      </c>
      <c r="T44" s="153">
        <v>2838895.0432900004</v>
      </c>
      <c r="U44" s="153">
        <v>2896465</v>
      </c>
      <c r="V44" s="153">
        <v>3029911</v>
      </c>
      <c r="W44" s="153">
        <v>3224622</v>
      </c>
      <c r="X44" s="153">
        <v>3431877</v>
      </c>
      <c r="Y44" s="153">
        <v>3660578</v>
      </c>
      <c r="Z44" s="153">
        <v>3958659</v>
      </c>
      <c r="AA44" s="153">
        <v>4166565</v>
      </c>
      <c r="AB44" s="153">
        <v>4810878</v>
      </c>
      <c r="AC44" s="153">
        <v>5034428</v>
      </c>
      <c r="AD44" s="153">
        <v>4548743</v>
      </c>
      <c r="AE44" s="153">
        <v>4945545</v>
      </c>
      <c r="AF44" s="153">
        <v>4998579</v>
      </c>
      <c r="AG44" s="153">
        <v>5035815</v>
      </c>
      <c r="AH44" s="153">
        <v>5218747</v>
      </c>
      <c r="AI44" s="153">
        <v>5665922</v>
      </c>
      <c r="AJ44" s="153">
        <v>6076454</v>
      </c>
      <c r="AK44" s="153">
        <v>6139258</v>
      </c>
      <c r="AL44" s="153">
        <v>6868753</v>
      </c>
      <c r="AM44" s="153">
        <v>7514655</v>
      </c>
      <c r="AN44" s="153">
        <v>7834148</v>
      </c>
      <c r="AO44" s="153">
        <v>8386310</v>
      </c>
      <c r="AP44" s="153">
        <v>8249624</v>
      </c>
      <c r="AQ44" s="153">
        <v>10034604</v>
      </c>
      <c r="AR44" s="153">
        <v>10935544</v>
      </c>
      <c r="AS44" s="153">
        <v>11717275</v>
      </c>
      <c r="AT44" s="153">
        <v>12289334</v>
      </c>
      <c r="AU44" s="153">
        <v>13025072</v>
      </c>
      <c r="AV44" s="153">
        <v>13563451</v>
      </c>
      <c r="AW44" s="153">
        <v>14200588</v>
      </c>
      <c r="AX44" s="153">
        <v>14776144</v>
      </c>
      <c r="AY44" s="153">
        <v>15865088</v>
      </c>
      <c r="AZ44" s="153">
        <v>16955143</v>
      </c>
      <c r="BA44" s="153">
        <v>17113420</v>
      </c>
      <c r="BB44" s="153">
        <v>18013473</v>
      </c>
      <c r="BC44" s="153">
        <v>19135756</v>
      </c>
      <c r="BD44" s="153">
        <v>19918057</v>
      </c>
      <c r="BE44" s="153">
        <v>5465289</v>
      </c>
    </row>
    <row r="45" spans="1:57" ht="15" thickBot="1">
      <c r="A45" s="155" t="s">
        <v>1164</v>
      </c>
      <c r="B45" s="155" t="s">
        <v>1165</v>
      </c>
      <c r="C45" s="148"/>
      <c r="D45" s="156">
        <f t="shared" ref="D45:AE45" si="6">SUM(D46:D49)</f>
        <v>4090250</v>
      </c>
      <c r="E45" s="156">
        <f t="shared" si="6"/>
        <v>4053654</v>
      </c>
      <c r="F45" s="156">
        <f t="shared" si="6"/>
        <v>4186853.5292899995</v>
      </c>
      <c r="G45" s="156">
        <f t="shared" si="6"/>
        <v>4188333.7956699994</v>
      </c>
      <c r="H45" s="156">
        <f t="shared" si="6"/>
        <v>4231430.7923699999</v>
      </c>
      <c r="I45" s="156">
        <f t="shared" si="6"/>
        <v>4173305.9693900007</v>
      </c>
      <c r="J45" s="156">
        <f t="shared" si="6"/>
        <v>4353227.5528600002</v>
      </c>
      <c r="K45" s="156">
        <f t="shared" si="6"/>
        <v>4298324</v>
      </c>
      <c r="L45" s="156">
        <f t="shared" si="6"/>
        <v>4330000</v>
      </c>
      <c r="M45" s="156">
        <f t="shared" si="6"/>
        <v>4316000</v>
      </c>
      <c r="N45" s="156">
        <f t="shared" si="6"/>
        <v>4288000</v>
      </c>
      <c r="O45" s="156">
        <f t="shared" si="6"/>
        <v>4217000</v>
      </c>
      <c r="P45" s="156">
        <f t="shared" si="6"/>
        <v>4399100</v>
      </c>
      <c r="Q45" s="156">
        <f t="shared" si="6"/>
        <v>4643581.7713900004</v>
      </c>
      <c r="R45" s="156">
        <f t="shared" si="6"/>
        <v>4748977</v>
      </c>
      <c r="S45" s="156">
        <f t="shared" si="6"/>
        <v>4753718</v>
      </c>
      <c r="T45" s="156">
        <f t="shared" si="6"/>
        <v>4721076.7731399974</v>
      </c>
      <c r="U45" s="156">
        <f t="shared" si="6"/>
        <v>4925419</v>
      </c>
      <c r="V45" s="156">
        <f t="shared" si="6"/>
        <v>5064049</v>
      </c>
      <c r="W45" s="156">
        <f t="shared" si="6"/>
        <v>5363570</v>
      </c>
      <c r="X45" s="156">
        <f t="shared" si="6"/>
        <v>5386164</v>
      </c>
      <c r="Y45" s="156">
        <f t="shared" si="6"/>
        <v>5479384</v>
      </c>
      <c r="Z45" s="156">
        <f t="shared" si="6"/>
        <v>5493839</v>
      </c>
      <c r="AA45" s="156">
        <f t="shared" si="6"/>
        <v>8472541</v>
      </c>
      <c r="AB45" s="156">
        <f t="shared" si="6"/>
        <v>11188652</v>
      </c>
      <c r="AC45" s="156">
        <f t="shared" si="6"/>
        <v>12382715</v>
      </c>
      <c r="AD45" s="156">
        <f t="shared" si="6"/>
        <v>14509846</v>
      </c>
      <c r="AE45" s="156">
        <f t="shared" si="6"/>
        <v>16721873</v>
      </c>
      <c r="AF45" s="156">
        <f t="shared" ref="AF45:BD45" si="7">SUM(AF46:AF51)</f>
        <v>17681473</v>
      </c>
      <c r="AG45" s="156">
        <f t="shared" si="7"/>
        <v>18343614</v>
      </c>
      <c r="AH45" s="156">
        <f t="shared" si="7"/>
        <v>18843110</v>
      </c>
      <c r="AI45" s="156">
        <f t="shared" si="7"/>
        <v>19451852</v>
      </c>
      <c r="AJ45" s="156">
        <f t="shared" si="7"/>
        <v>19002898</v>
      </c>
      <c r="AK45" s="156">
        <f t="shared" si="7"/>
        <v>19037027</v>
      </c>
      <c r="AL45" s="156">
        <f t="shared" si="7"/>
        <v>24544276</v>
      </c>
      <c r="AM45" s="156">
        <f t="shared" si="7"/>
        <v>27087112</v>
      </c>
      <c r="AN45" s="156">
        <f t="shared" si="7"/>
        <v>38412283</v>
      </c>
      <c r="AO45" s="156">
        <f t="shared" si="7"/>
        <v>38375987</v>
      </c>
      <c r="AP45" s="156">
        <f t="shared" si="7"/>
        <v>39276417</v>
      </c>
      <c r="AQ45" s="156">
        <f t="shared" si="7"/>
        <v>49283921</v>
      </c>
      <c r="AR45" s="156">
        <f t="shared" si="7"/>
        <v>49765843</v>
      </c>
      <c r="AS45" s="156">
        <f t="shared" si="7"/>
        <v>51017611</v>
      </c>
      <c r="AT45" s="156">
        <f t="shared" si="7"/>
        <v>53081635</v>
      </c>
      <c r="AU45" s="156">
        <f t="shared" si="7"/>
        <v>53526991</v>
      </c>
      <c r="AV45" s="156">
        <f t="shared" si="7"/>
        <v>54165652</v>
      </c>
      <c r="AW45" s="156">
        <f t="shared" si="7"/>
        <v>53072354</v>
      </c>
      <c r="AX45" s="156">
        <f t="shared" si="7"/>
        <v>61047050</v>
      </c>
      <c r="AY45" s="156">
        <f t="shared" si="7"/>
        <v>61302865</v>
      </c>
      <c r="AZ45" s="156">
        <f t="shared" si="7"/>
        <v>62192816</v>
      </c>
      <c r="BA45" s="156">
        <f t="shared" si="7"/>
        <v>64309050</v>
      </c>
      <c r="BB45" s="156">
        <f t="shared" si="7"/>
        <v>65468567</v>
      </c>
      <c r="BC45" s="156">
        <f t="shared" si="7"/>
        <v>53106302</v>
      </c>
      <c r="BD45" s="156">
        <f t="shared" si="7"/>
        <v>54233880</v>
      </c>
      <c r="BE45" s="156">
        <f>SUM(BE46:BE51)</f>
        <v>76177257</v>
      </c>
    </row>
    <row r="46" spans="1:57">
      <c r="A46" s="151" t="s">
        <v>1088</v>
      </c>
      <c r="B46" s="151" t="s">
        <v>1089</v>
      </c>
      <c r="C46" s="152"/>
      <c r="D46" s="153">
        <v>71130</v>
      </c>
      <c r="E46" s="153">
        <v>71238</v>
      </c>
      <c r="F46" s="153">
        <v>73433</v>
      </c>
      <c r="G46" s="153">
        <v>70893.795669999905</v>
      </c>
      <c r="H46" s="153">
        <v>74989.792369999908</v>
      </c>
      <c r="I46" s="153">
        <v>77085.969390000202</v>
      </c>
      <c r="J46" s="153">
        <v>78032.552859999894</v>
      </c>
      <c r="K46" s="153">
        <v>77464</v>
      </c>
      <c r="L46" s="153">
        <v>87000</v>
      </c>
      <c r="M46" s="153">
        <v>87000</v>
      </c>
      <c r="N46" s="153">
        <v>86000</v>
      </c>
      <c r="O46" s="153">
        <v>86000</v>
      </c>
      <c r="P46" s="153">
        <v>93100</v>
      </c>
      <c r="Q46" s="153">
        <v>96558.753790000454</v>
      </c>
      <c r="R46" s="153">
        <v>97303</v>
      </c>
      <c r="S46" s="153">
        <v>96322</v>
      </c>
      <c r="T46" s="153">
        <v>110674.32479999999</v>
      </c>
      <c r="U46" s="153">
        <v>103037</v>
      </c>
      <c r="V46" s="153">
        <v>101892</v>
      </c>
      <c r="W46" s="153">
        <v>422063</v>
      </c>
      <c r="X46" s="153">
        <v>437123</v>
      </c>
      <c r="Y46" s="153">
        <v>448933</v>
      </c>
      <c r="Z46" s="153">
        <v>468939</v>
      </c>
      <c r="AA46" s="153">
        <f>118530+13528</f>
        <v>132058</v>
      </c>
      <c r="AB46" s="153">
        <v>125769</v>
      </c>
      <c r="AC46" s="153">
        <v>123389</v>
      </c>
      <c r="AD46" s="153">
        <v>124578</v>
      </c>
      <c r="AE46" s="153">
        <f>122217+14557</f>
        <v>136774</v>
      </c>
      <c r="AF46" s="153">
        <v>127931</v>
      </c>
      <c r="AG46" s="153">
        <v>133438</v>
      </c>
      <c r="AH46" s="153">
        <v>135107</v>
      </c>
      <c r="AI46" s="153">
        <v>130024</v>
      </c>
      <c r="AJ46" s="153">
        <v>157893</v>
      </c>
      <c r="AK46" s="153">
        <v>169108</v>
      </c>
      <c r="AL46" s="153">
        <v>184620</v>
      </c>
      <c r="AM46" s="153">
        <v>293258</v>
      </c>
      <c r="AN46" s="153">
        <v>153824</v>
      </c>
      <c r="AO46" s="153">
        <v>27490</v>
      </c>
      <c r="AP46" s="153">
        <v>27561</v>
      </c>
      <c r="AQ46" s="153">
        <v>27047</v>
      </c>
      <c r="AR46" s="153">
        <v>26534</v>
      </c>
      <c r="AS46" s="153">
        <v>24483</v>
      </c>
      <c r="AT46" s="153">
        <v>24640</v>
      </c>
      <c r="AU46" s="153">
        <v>24546</v>
      </c>
      <c r="AV46" s="153">
        <v>23646</v>
      </c>
      <c r="AW46" s="153">
        <v>22884</v>
      </c>
      <c r="AX46" s="153">
        <v>6891685</v>
      </c>
      <c r="AY46" s="153">
        <v>6787174</v>
      </c>
      <c r="AZ46" s="153">
        <v>6999225</v>
      </c>
      <c r="BA46" s="153">
        <v>7293434</v>
      </c>
      <c r="BB46" s="153">
        <v>7593987</v>
      </c>
      <c r="BC46" s="153">
        <v>7568289</v>
      </c>
      <c r="BD46" s="153">
        <v>7754149</v>
      </c>
      <c r="BE46" s="170">
        <v>13561533</v>
      </c>
    </row>
    <row r="47" spans="1:57">
      <c r="A47" s="151" t="s">
        <v>1090</v>
      </c>
      <c r="B47" s="151" t="s">
        <v>1091</v>
      </c>
      <c r="C47" s="152"/>
      <c r="D47" s="153">
        <v>0</v>
      </c>
      <c r="E47" s="153">
        <v>0</v>
      </c>
      <c r="F47" s="153">
        <v>0</v>
      </c>
      <c r="G47" s="153">
        <v>0</v>
      </c>
      <c r="H47" s="153">
        <v>0</v>
      </c>
      <c r="I47" s="153">
        <v>0</v>
      </c>
      <c r="J47" s="153">
        <v>0</v>
      </c>
      <c r="K47" s="153">
        <v>0</v>
      </c>
      <c r="L47" s="153">
        <v>0</v>
      </c>
      <c r="M47" s="153">
        <v>0</v>
      </c>
      <c r="N47" s="153">
        <v>0</v>
      </c>
      <c r="O47" s="153">
        <v>0</v>
      </c>
      <c r="P47" s="153">
        <v>0</v>
      </c>
      <c r="Q47" s="153">
        <v>0</v>
      </c>
      <c r="R47" s="153">
        <v>0</v>
      </c>
      <c r="S47" s="153">
        <v>0</v>
      </c>
      <c r="T47" s="153">
        <v>0</v>
      </c>
      <c r="U47" s="153">
        <v>0</v>
      </c>
      <c r="V47" s="153">
        <v>83809</v>
      </c>
      <c r="W47" s="153">
        <v>0</v>
      </c>
      <c r="X47" s="153">
        <v>63845</v>
      </c>
      <c r="Y47" s="153">
        <v>86737</v>
      </c>
      <c r="Z47" s="153">
        <v>159486</v>
      </c>
      <c r="AA47" s="153">
        <v>2290132</v>
      </c>
      <c r="AB47" s="153">
        <v>469630</v>
      </c>
      <c r="AC47" s="153">
        <v>441334</v>
      </c>
      <c r="AD47" s="153">
        <v>415256</v>
      </c>
      <c r="AE47" s="153">
        <v>7544552</v>
      </c>
      <c r="AF47" s="153">
        <v>0</v>
      </c>
      <c r="AG47" s="153"/>
      <c r="AH47" s="153"/>
      <c r="AI47" s="153"/>
      <c r="AJ47" s="153"/>
      <c r="AK47" s="153"/>
      <c r="AL47" s="153"/>
      <c r="AM47" s="153"/>
      <c r="AN47" s="153"/>
      <c r="AO47" s="153"/>
      <c r="AP47" s="153"/>
      <c r="AQ47" s="153"/>
      <c r="AR47" s="153"/>
      <c r="AS47" s="153"/>
      <c r="AT47" s="153"/>
      <c r="AU47" s="153"/>
      <c r="AV47" s="153"/>
      <c r="AW47" s="153"/>
      <c r="AX47" s="153"/>
      <c r="AY47" s="153"/>
      <c r="AZ47" s="153"/>
      <c r="BA47" s="153"/>
      <c r="BB47" s="153"/>
      <c r="BC47" s="153"/>
      <c r="BD47" s="153"/>
      <c r="BE47" s="170"/>
    </row>
    <row r="48" spans="1:57">
      <c r="A48" s="151" t="s">
        <v>1188</v>
      </c>
      <c r="B48" s="151" t="s">
        <v>1189</v>
      </c>
      <c r="C48" s="152"/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53"/>
      <c r="O48" s="153"/>
      <c r="P48" s="153"/>
      <c r="Q48" s="153"/>
      <c r="R48" s="153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>
        <v>14937</v>
      </c>
      <c r="AG48" s="153">
        <v>15187</v>
      </c>
      <c r="AH48" s="153">
        <v>17303</v>
      </c>
      <c r="AI48" s="153">
        <v>19258</v>
      </c>
      <c r="AJ48" s="153">
        <v>21441</v>
      </c>
      <c r="AK48" s="153">
        <v>23476</v>
      </c>
      <c r="AL48" s="153">
        <v>147103</v>
      </c>
      <c r="AM48" s="153">
        <v>106415</v>
      </c>
      <c r="AN48" s="153">
        <v>5160427</v>
      </c>
      <c r="AO48" s="153">
        <v>5054834</v>
      </c>
      <c r="AP48" s="153">
        <v>5011946</v>
      </c>
      <c r="AQ48" s="153">
        <v>4984105</v>
      </c>
      <c r="AR48" s="153">
        <v>4953194</v>
      </c>
      <c r="AS48" s="153">
        <v>5725632</v>
      </c>
      <c r="AT48" s="153">
        <v>6765166.0666699996</v>
      </c>
      <c r="AU48" s="153">
        <v>7349631.9573499998</v>
      </c>
      <c r="AV48" s="153">
        <v>7544369.3711799998</v>
      </c>
      <c r="AW48" s="153">
        <v>7621975</v>
      </c>
      <c r="AX48" s="153">
        <v>7582423</v>
      </c>
      <c r="AY48" s="153">
        <v>7579662</v>
      </c>
      <c r="AZ48" s="153">
        <v>7517203</v>
      </c>
      <c r="BA48" s="153">
        <v>7458382</v>
      </c>
      <c r="BB48" s="153">
        <v>7451453</v>
      </c>
      <c r="BC48" s="153">
        <v>6540907</v>
      </c>
      <c r="BD48" s="153">
        <v>6496127</v>
      </c>
      <c r="BE48" s="170">
        <v>6477598</v>
      </c>
    </row>
    <row r="49" spans="1:57">
      <c r="A49" s="151" t="s">
        <v>1092</v>
      </c>
      <c r="B49" s="151" t="s">
        <v>1093</v>
      </c>
      <c r="C49" s="152"/>
      <c r="D49" s="153">
        <v>4019120</v>
      </c>
      <c r="E49" s="153">
        <v>3982416</v>
      </c>
      <c r="F49" s="153">
        <v>4113420.5292899995</v>
      </c>
      <c r="G49" s="153">
        <v>4117439.9999999995</v>
      </c>
      <c r="H49" s="153">
        <v>4156441</v>
      </c>
      <c r="I49" s="153">
        <v>4096220.0000000005</v>
      </c>
      <c r="J49" s="153">
        <v>4275195</v>
      </c>
      <c r="K49" s="153">
        <v>4220860</v>
      </c>
      <c r="L49" s="153">
        <v>4243000</v>
      </c>
      <c r="M49" s="153">
        <v>4229000</v>
      </c>
      <c r="N49" s="153">
        <v>4202000</v>
      </c>
      <c r="O49" s="153">
        <v>4131000</v>
      </c>
      <c r="P49" s="153">
        <v>4306000</v>
      </c>
      <c r="Q49" s="153">
        <v>4547023.0175999999</v>
      </c>
      <c r="R49" s="153">
        <v>4651674</v>
      </c>
      <c r="S49" s="153">
        <v>4657396</v>
      </c>
      <c r="T49" s="153">
        <v>4610402.4483399978</v>
      </c>
      <c r="U49" s="153">
        <v>4822382</v>
      </c>
      <c r="V49" s="153">
        <v>4878348</v>
      </c>
      <c r="W49" s="153">
        <v>4941507</v>
      </c>
      <c r="X49" s="153">
        <v>4885196</v>
      </c>
      <c r="Y49" s="153">
        <v>4943714</v>
      </c>
      <c r="Z49" s="153">
        <v>4865414</v>
      </c>
      <c r="AA49" s="153">
        <v>6050351</v>
      </c>
      <c r="AB49" s="153">
        <v>10593253</v>
      </c>
      <c r="AC49" s="153">
        <v>11817992</v>
      </c>
      <c r="AD49" s="153">
        <v>13970012</v>
      </c>
      <c r="AE49" s="153">
        <f>9007974+32573</f>
        <v>9040547</v>
      </c>
      <c r="AF49" s="153">
        <v>8910703</v>
      </c>
      <c r="AG49" s="153">
        <v>8915586</v>
      </c>
      <c r="AH49" s="153">
        <v>8889864</v>
      </c>
      <c r="AI49" s="153">
        <v>8908853</v>
      </c>
      <c r="AJ49" s="153">
        <v>8822084</v>
      </c>
      <c r="AK49" s="153">
        <v>8804685</v>
      </c>
      <c r="AL49" s="153">
        <v>13565792</v>
      </c>
      <c r="AM49" s="153">
        <v>15836076</v>
      </c>
      <c r="AN49" s="153">
        <v>21771016</v>
      </c>
      <c r="AO49" s="153">
        <v>21388140</v>
      </c>
      <c r="AP49" s="153">
        <v>21540854</v>
      </c>
      <c r="AQ49" s="153">
        <v>29245320</v>
      </c>
      <c r="AR49" s="153">
        <v>29371085</v>
      </c>
      <c r="AS49" s="153">
        <v>31092795</v>
      </c>
      <c r="AT49" s="153">
        <v>31200192.933329999</v>
      </c>
      <c r="AU49" s="153">
        <v>14183377</v>
      </c>
      <c r="AV49" s="153">
        <v>31277749.628819998</v>
      </c>
      <c r="AW49" s="153">
        <v>31436223</v>
      </c>
      <c r="AX49" s="153">
        <v>31719007</v>
      </c>
      <c r="AY49" s="153">
        <v>32373681</v>
      </c>
      <c r="AZ49" s="153">
        <v>32700583</v>
      </c>
      <c r="BA49" s="153">
        <v>33368504</v>
      </c>
      <c r="BB49" s="153">
        <v>33206913</v>
      </c>
      <c r="BC49" s="153">
        <v>31729991</v>
      </c>
      <c r="BD49" s="153">
        <v>31692571</v>
      </c>
      <c r="BE49" s="170">
        <v>49227776</v>
      </c>
    </row>
    <row r="50" spans="1:57">
      <c r="A50" s="151" t="s">
        <v>1205</v>
      </c>
      <c r="B50" s="151" t="s">
        <v>1187</v>
      </c>
      <c r="C50" s="152"/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3"/>
      <c r="Y50" s="153"/>
      <c r="Z50" s="153"/>
      <c r="AA50" s="153"/>
      <c r="AB50" s="153"/>
      <c r="AC50" s="153"/>
      <c r="AD50" s="153"/>
      <c r="AE50" s="153"/>
      <c r="AF50" s="153">
        <v>8595623</v>
      </c>
      <c r="AG50" s="153">
        <v>9248893</v>
      </c>
      <c r="AH50" s="153">
        <v>9771870</v>
      </c>
      <c r="AI50" s="153">
        <v>10364313</v>
      </c>
      <c r="AJ50" s="153">
        <v>9974493</v>
      </c>
      <c r="AK50" s="153">
        <v>10016945</v>
      </c>
      <c r="AL50" s="153">
        <v>10591374</v>
      </c>
      <c r="AM50" s="153">
        <v>10798381</v>
      </c>
      <c r="AN50" s="153">
        <v>11197886</v>
      </c>
      <c r="AO50" s="153">
        <v>11782831</v>
      </c>
      <c r="AP50" s="153">
        <v>12579834</v>
      </c>
      <c r="AQ50" s="153">
        <v>14872245</v>
      </c>
      <c r="AR50" s="153">
        <v>15270039</v>
      </c>
      <c r="AS50" s="153">
        <v>14038039</v>
      </c>
      <c r="AT50" s="153">
        <v>14961501</v>
      </c>
      <c r="AU50" s="153">
        <v>31447954.042649999</v>
      </c>
      <c r="AV50" s="153">
        <v>14797628</v>
      </c>
      <c r="AW50" s="153">
        <v>13474839</v>
      </c>
      <c r="AX50" s="153">
        <v>14342005</v>
      </c>
      <c r="AY50" s="153">
        <v>14055132</v>
      </c>
      <c r="AZ50" s="153">
        <v>14472310</v>
      </c>
      <c r="BA50" s="153">
        <v>15689950</v>
      </c>
      <c r="BB50" s="153">
        <v>16721886</v>
      </c>
      <c r="BC50" s="153">
        <v>6799140</v>
      </c>
      <c r="BD50" s="153">
        <v>7828382</v>
      </c>
      <c r="BE50" s="170">
        <v>6451307</v>
      </c>
    </row>
    <row r="51" spans="1:57" ht="15" thickBot="1">
      <c r="A51" s="151" t="s">
        <v>1096</v>
      </c>
      <c r="B51" s="151" t="s">
        <v>1097</v>
      </c>
      <c r="C51" s="152"/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  <c r="P51" s="153"/>
      <c r="Q51" s="153"/>
      <c r="R51" s="153"/>
      <c r="S51" s="153"/>
      <c r="T51" s="153"/>
      <c r="U51" s="153"/>
      <c r="V51" s="153"/>
      <c r="W51" s="153"/>
      <c r="X51" s="153"/>
      <c r="Y51" s="153"/>
      <c r="Z51" s="153"/>
      <c r="AA51" s="153"/>
      <c r="AB51" s="153"/>
      <c r="AC51" s="153"/>
      <c r="AD51" s="153"/>
      <c r="AE51" s="153"/>
      <c r="AF51" s="153">
        <v>32279.000000000004</v>
      </c>
      <c r="AG51" s="153">
        <v>30510</v>
      </c>
      <c r="AH51" s="153">
        <v>28966</v>
      </c>
      <c r="AI51" s="153">
        <v>29404</v>
      </c>
      <c r="AJ51" s="153">
        <v>26987</v>
      </c>
      <c r="AK51" s="153">
        <v>22813</v>
      </c>
      <c r="AL51" s="153">
        <v>55387</v>
      </c>
      <c r="AM51" s="153">
        <v>52982</v>
      </c>
      <c r="AN51" s="153">
        <v>129130</v>
      </c>
      <c r="AO51" s="153">
        <v>122692</v>
      </c>
      <c r="AP51" s="153">
        <v>116222</v>
      </c>
      <c r="AQ51" s="153">
        <v>155204</v>
      </c>
      <c r="AR51" s="153">
        <v>144991</v>
      </c>
      <c r="AS51" s="153">
        <v>136662</v>
      </c>
      <c r="AT51" s="153">
        <v>130135</v>
      </c>
      <c r="AU51" s="153">
        <v>521482</v>
      </c>
      <c r="AV51" s="153">
        <v>522259</v>
      </c>
      <c r="AW51" s="153">
        <v>516433</v>
      </c>
      <c r="AX51" s="153">
        <v>511930</v>
      </c>
      <c r="AY51" s="153">
        <v>507216</v>
      </c>
      <c r="AZ51" s="153">
        <v>503495</v>
      </c>
      <c r="BA51" s="153">
        <v>498780</v>
      </c>
      <c r="BB51" s="153">
        <v>494328</v>
      </c>
      <c r="BC51" s="153">
        <v>467975</v>
      </c>
      <c r="BD51" s="153">
        <v>462651</v>
      </c>
      <c r="BE51" s="170">
        <v>459043</v>
      </c>
    </row>
    <row r="52" spans="1:57" ht="15" thickBot="1">
      <c r="A52" s="155" t="s">
        <v>1098</v>
      </c>
      <c r="B52" s="155" t="s">
        <v>1099</v>
      </c>
      <c r="C52" s="148"/>
      <c r="D52" s="156">
        <f t="shared" ref="D52:AE52" si="8">D28+D8</f>
        <v>9090362</v>
      </c>
      <c r="E52" s="156">
        <f t="shared" si="8"/>
        <v>9044972.92674</v>
      </c>
      <c r="F52" s="156">
        <f t="shared" si="8"/>
        <v>9103485.9419299997</v>
      </c>
      <c r="G52" s="156">
        <f t="shared" si="8"/>
        <v>9103498.06226</v>
      </c>
      <c r="H52" s="156">
        <f t="shared" si="8"/>
        <v>9291633.9648399986</v>
      </c>
      <c r="I52" s="156">
        <f t="shared" si="8"/>
        <v>9303223.479410002</v>
      </c>
      <c r="J52" s="156">
        <f t="shared" si="8"/>
        <v>9779306.952564504</v>
      </c>
      <c r="K52" s="156">
        <f t="shared" si="8"/>
        <v>11269867.45682</v>
      </c>
      <c r="L52" s="156">
        <f t="shared" si="8"/>
        <v>11302800</v>
      </c>
      <c r="M52" s="156">
        <f t="shared" si="8"/>
        <v>11626000</v>
      </c>
      <c r="N52" s="156">
        <f t="shared" si="8"/>
        <v>12287445</v>
      </c>
      <c r="O52" s="156">
        <f t="shared" si="8"/>
        <v>12585665</v>
      </c>
      <c r="P52" s="156">
        <f t="shared" si="8"/>
        <v>12473577</v>
      </c>
      <c r="Q52" s="156">
        <f t="shared" si="8"/>
        <v>12671719.77139</v>
      </c>
      <c r="R52" s="156">
        <f t="shared" si="8"/>
        <v>12855594</v>
      </c>
      <c r="S52" s="156">
        <f t="shared" si="8"/>
        <v>14219520</v>
      </c>
      <c r="T52" s="156">
        <f t="shared" si="8"/>
        <v>13902301.974329999</v>
      </c>
      <c r="U52" s="156">
        <f t="shared" si="8"/>
        <v>14341674</v>
      </c>
      <c r="V52" s="156">
        <f t="shared" si="8"/>
        <v>15072973</v>
      </c>
      <c r="W52" s="156">
        <f t="shared" si="8"/>
        <v>17488451</v>
      </c>
      <c r="X52" s="156">
        <f t="shared" si="8"/>
        <v>17386033</v>
      </c>
      <c r="Y52" s="156">
        <f t="shared" si="8"/>
        <v>18348912</v>
      </c>
      <c r="Z52" s="156">
        <f t="shared" si="8"/>
        <v>19399055</v>
      </c>
      <c r="AA52" s="156">
        <f t="shared" si="8"/>
        <v>25505996</v>
      </c>
      <c r="AB52" s="156">
        <f t="shared" si="8"/>
        <v>30744475</v>
      </c>
      <c r="AC52" s="156">
        <f t="shared" si="8"/>
        <v>32721740</v>
      </c>
      <c r="AD52" s="156">
        <f t="shared" si="8"/>
        <v>33872014</v>
      </c>
      <c r="AE52" s="156">
        <f t="shared" si="8"/>
        <v>37530095</v>
      </c>
      <c r="AF52" s="156">
        <v>39457780</v>
      </c>
      <c r="AG52" s="156">
        <f t="shared" ref="AG52:BE52" si="9">AG28+AG8</f>
        <v>40503036</v>
      </c>
      <c r="AH52" s="156">
        <f t="shared" si="9"/>
        <v>42136010</v>
      </c>
      <c r="AI52" s="156">
        <f t="shared" si="9"/>
        <v>44124020</v>
      </c>
      <c r="AJ52" s="156">
        <f t="shared" si="9"/>
        <v>42298314</v>
      </c>
      <c r="AK52" s="156">
        <f t="shared" si="9"/>
        <v>43501276</v>
      </c>
      <c r="AL52" s="156">
        <f t="shared" si="9"/>
        <v>55563843</v>
      </c>
      <c r="AM52" s="156">
        <f t="shared" si="9"/>
        <v>61714300</v>
      </c>
      <c r="AN52" s="156">
        <f t="shared" si="9"/>
        <v>70620775</v>
      </c>
      <c r="AO52" s="156">
        <f t="shared" si="9"/>
        <v>71409299</v>
      </c>
      <c r="AP52" s="156">
        <f t="shared" si="9"/>
        <v>70907242</v>
      </c>
      <c r="AQ52" s="156">
        <f t="shared" si="9"/>
        <v>90617397</v>
      </c>
      <c r="AR52" s="156">
        <f t="shared" si="9"/>
        <v>92834649</v>
      </c>
      <c r="AS52" s="156">
        <f t="shared" si="9"/>
        <v>95701577</v>
      </c>
      <c r="AT52" s="156">
        <f t="shared" si="9"/>
        <v>98775410.00891</v>
      </c>
      <c r="AU52" s="156">
        <f t="shared" si="9"/>
        <v>103643453</v>
      </c>
      <c r="AV52" s="156">
        <f t="shared" si="9"/>
        <v>100456503</v>
      </c>
      <c r="AW52" s="156">
        <f t="shared" si="9"/>
        <v>105098408</v>
      </c>
      <c r="AX52" s="156">
        <f t="shared" si="9"/>
        <v>112386976</v>
      </c>
      <c r="AY52" s="156">
        <f t="shared" si="9"/>
        <v>116412092</v>
      </c>
      <c r="AZ52" s="156">
        <f t="shared" si="9"/>
        <v>116001231</v>
      </c>
      <c r="BA52" s="156">
        <f t="shared" si="9"/>
        <v>116701442</v>
      </c>
      <c r="BB52" s="156">
        <f t="shared" si="9"/>
        <v>126136849</v>
      </c>
      <c r="BC52" s="156">
        <f t="shared" si="9"/>
        <v>109603943.5</v>
      </c>
      <c r="BD52" s="156">
        <f t="shared" si="9"/>
        <v>111791967</v>
      </c>
      <c r="BE52" s="156">
        <f t="shared" si="9"/>
        <v>118944065</v>
      </c>
    </row>
    <row r="53" spans="1:57">
      <c r="A53" s="151"/>
      <c r="B53" s="151"/>
      <c r="C53" s="152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9"/>
      <c r="Y53" s="159"/>
      <c r="Z53" s="159"/>
      <c r="AA53" s="159"/>
      <c r="AB53" s="159"/>
      <c r="AC53" s="159"/>
      <c r="AD53" s="159"/>
      <c r="AE53" s="159"/>
      <c r="AF53" s="159"/>
      <c r="AG53" s="159"/>
      <c r="AH53" s="159"/>
      <c r="AI53" s="159"/>
      <c r="AJ53" s="159"/>
      <c r="AK53" s="159"/>
      <c r="AL53" s="159"/>
      <c r="AM53" s="159"/>
      <c r="AN53" s="159"/>
      <c r="AO53" s="159"/>
      <c r="AP53" s="159"/>
      <c r="AQ53" s="159"/>
      <c r="AR53" s="159"/>
      <c r="AS53" s="159"/>
      <c r="AT53" s="159"/>
      <c r="AU53" s="159"/>
      <c r="AV53" s="159"/>
      <c r="AW53" s="159"/>
      <c r="AX53" s="159"/>
      <c r="AY53" s="159"/>
      <c r="AZ53" s="159"/>
      <c r="BA53" s="159"/>
      <c r="BB53" s="159"/>
      <c r="BC53" s="159"/>
      <c r="BD53" s="159"/>
      <c r="BE53" s="176"/>
    </row>
    <row r="54" spans="1:57" ht="15" thickBot="1">
      <c r="A54" s="6" t="s">
        <v>1100</v>
      </c>
      <c r="B54" s="6" t="s">
        <v>1101</v>
      </c>
      <c r="C54" s="146"/>
      <c r="D54" s="434" t="str">
        <f t="shared" ref="D54:Y54" si="10">D7</f>
        <v>1T13</v>
      </c>
      <c r="E54" s="434" t="str">
        <f t="shared" si="10"/>
        <v>2T13</v>
      </c>
      <c r="F54" s="434" t="str">
        <f t="shared" si="10"/>
        <v>3T13</v>
      </c>
      <c r="G54" s="434" t="str">
        <f t="shared" si="10"/>
        <v>4T13</v>
      </c>
      <c r="H54" s="434" t="str">
        <f t="shared" si="10"/>
        <v>1T14</v>
      </c>
      <c r="I54" s="434" t="str">
        <f t="shared" si="10"/>
        <v>2T14</v>
      </c>
      <c r="J54" s="434" t="str">
        <f t="shared" si="10"/>
        <v>3T14</v>
      </c>
      <c r="K54" s="434" t="str">
        <f t="shared" si="10"/>
        <v>4T14</v>
      </c>
      <c r="L54" s="434" t="str">
        <f t="shared" si="10"/>
        <v>1T15</v>
      </c>
      <c r="M54" s="434" t="str">
        <f t="shared" si="10"/>
        <v>2T15</v>
      </c>
      <c r="N54" s="434" t="str">
        <f t="shared" si="10"/>
        <v>3T15</v>
      </c>
      <c r="O54" s="434" t="str">
        <f t="shared" si="10"/>
        <v>4T15</v>
      </c>
      <c r="P54" s="434" t="str">
        <f t="shared" si="10"/>
        <v>1T16</v>
      </c>
      <c r="Q54" s="434" t="str">
        <f t="shared" si="10"/>
        <v>2T16</v>
      </c>
      <c r="R54" s="434" t="str">
        <f t="shared" si="10"/>
        <v>3T16</v>
      </c>
      <c r="S54" s="434" t="str">
        <f t="shared" si="10"/>
        <v>4T16</v>
      </c>
      <c r="T54" s="434" t="str">
        <f t="shared" si="10"/>
        <v>1T17</v>
      </c>
      <c r="U54" s="434" t="str">
        <f t="shared" si="10"/>
        <v>2T17</v>
      </c>
      <c r="V54" s="434" t="str">
        <f t="shared" si="10"/>
        <v>3T17</v>
      </c>
      <c r="W54" s="434" t="str">
        <f t="shared" si="10"/>
        <v>4T17</v>
      </c>
      <c r="X54" s="434" t="str">
        <f t="shared" si="10"/>
        <v>1T18</v>
      </c>
      <c r="Y54" s="434" t="str">
        <f t="shared" si="10"/>
        <v>2T18</v>
      </c>
      <c r="Z54" s="434" t="s">
        <v>61</v>
      </c>
      <c r="AA54" s="434" t="str">
        <f>AA7</f>
        <v>4T18</v>
      </c>
      <c r="AB54" s="434" t="str">
        <f>AB7</f>
        <v>1T19</v>
      </c>
      <c r="AC54" s="434" t="s">
        <v>64</v>
      </c>
      <c r="AD54" s="434" t="s">
        <v>65</v>
      </c>
      <c r="AE54" s="434" t="s">
        <v>66</v>
      </c>
      <c r="AF54" s="434" t="s">
        <v>67</v>
      </c>
      <c r="AG54" s="434" t="s">
        <v>68</v>
      </c>
      <c r="AH54" s="434" t="s">
        <v>69</v>
      </c>
      <c r="AI54" s="434" t="s">
        <v>70</v>
      </c>
      <c r="AJ54" s="434" t="s">
        <v>71</v>
      </c>
      <c r="AK54" s="434" t="s">
        <v>72</v>
      </c>
      <c r="AL54" s="434" t="s">
        <v>73</v>
      </c>
      <c r="AM54" s="434" t="s">
        <v>74</v>
      </c>
      <c r="AN54" s="434" t="s">
        <v>75</v>
      </c>
      <c r="AO54" s="434" t="s">
        <v>76</v>
      </c>
      <c r="AP54" s="434" t="s">
        <v>77</v>
      </c>
      <c r="AQ54" s="434" t="str">
        <f>AQ7</f>
        <v>4T22</v>
      </c>
      <c r="AR54" s="434" t="str">
        <f>AR7</f>
        <v>1T23</v>
      </c>
      <c r="AS54" s="434" t="s">
        <v>80</v>
      </c>
      <c r="AT54" s="434" t="s">
        <v>81</v>
      </c>
      <c r="AU54" s="434" t="s">
        <v>82</v>
      </c>
      <c r="AV54" s="434" t="s">
        <v>83</v>
      </c>
      <c r="AW54" s="434" t="s">
        <v>84</v>
      </c>
      <c r="AX54" s="434" t="s">
        <v>85</v>
      </c>
      <c r="AY54" s="434" t="str">
        <f>+AY7</f>
        <v>4T24</v>
      </c>
      <c r="AZ54" s="434" t="s">
        <v>87</v>
      </c>
      <c r="BA54" s="434" t="str">
        <f>+BA7</f>
        <v>2T25</v>
      </c>
      <c r="BB54" s="434" t="str">
        <f>+BB7</f>
        <v>3T25</v>
      </c>
      <c r="BC54" s="434" t="s">
        <v>2127</v>
      </c>
      <c r="BD54" s="434" t="str">
        <f>BD7</f>
        <v>1T26</v>
      </c>
      <c r="BE54" s="630" t="str">
        <f>+BE7</f>
        <v>2T26</v>
      </c>
    </row>
    <row r="55" spans="1:57" ht="15" thickBot="1">
      <c r="A55" s="147" t="s">
        <v>1051</v>
      </c>
      <c r="B55" s="147" t="s">
        <v>1052</v>
      </c>
      <c r="C55" s="148"/>
      <c r="D55" s="149">
        <f t="shared" ref="D55:AE55" si="11">SUM(D56:D78)</f>
        <v>2244015</v>
      </c>
      <c r="E55" s="149">
        <f t="shared" si="11"/>
        <v>2025399.92273</v>
      </c>
      <c r="F55" s="149">
        <f t="shared" si="11"/>
        <v>1999309.0804099999</v>
      </c>
      <c r="G55" s="149">
        <f t="shared" si="11"/>
        <v>1688931.1133099999</v>
      </c>
      <c r="H55" s="149">
        <f t="shared" si="11"/>
        <v>2038148.4354499998</v>
      </c>
      <c r="I55" s="149">
        <f t="shared" si="11"/>
        <v>2618186.4297000002</v>
      </c>
      <c r="J55" s="149">
        <f t="shared" si="11"/>
        <v>3016928.8521199999</v>
      </c>
      <c r="K55" s="149">
        <f t="shared" si="11"/>
        <v>3152614</v>
      </c>
      <c r="L55" s="149">
        <f t="shared" si="11"/>
        <v>2432000</v>
      </c>
      <c r="M55" s="149">
        <f t="shared" si="11"/>
        <v>2519000</v>
      </c>
      <c r="N55" s="149">
        <f t="shared" si="11"/>
        <v>2928445</v>
      </c>
      <c r="O55" s="149">
        <f t="shared" si="11"/>
        <v>3131265</v>
      </c>
      <c r="P55" s="149">
        <f t="shared" si="11"/>
        <v>2918077</v>
      </c>
      <c r="Q55" s="149">
        <f t="shared" si="11"/>
        <v>2856094</v>
      </c>
      <c r="R55" s="149">
        <f t="shared" si="11"/>
        <v>2813819</v>
      </c>
      <c r="S55" s="149">
        <f t="shared" si="11"/>
        <v>3416305</v>
      </c>
      <c r="T55" s="149">
        <f t="shared" si="11"/>
        <v>2895516</v>
      </c>
      <c r="U55" s="149">
        <f t="shared" si="11"/>
        <v>3206544</v>
      </c>
      <c r="V55" s="149">
        <f t="shared" si="11"/>
        <v>3869041</v>
      </c>
      <c r="W55" s="149">
        <f t="shared" si="11"/>
        <v>4074346</v>
      </c>
      <c r="X55" s="149">
        <f t="shared" si="11"/>
        <v>3894613</v>
      </c>
      <c r="Y55" s="149">
        <f t="shared" si="11"/>
        <v>3741117</v>
      </c>
      <c r="Z55" s="149">
        <f t="shared" si="11"/>
        <v>4852269</v>
      </c>
      <c r="AA55" s="149">
        <f t="shared" si="11"/>
        <v>6442384</v>
      </c>
      <c r="AB55" s="149">
        <f t="shared" si="11"/>
        <v>7276814</v>
      </c>
      <c r="AC55" s="149">
        <f t="shared" si="11"/>
        <v>6357435</v>
      </c>
      <c r="AD55" s="149">
        <f t="shared" si="11"/>
        <v>5780703</v>
      </c>
      <c r="AE55" s="149">
        <f t="shared" si="11"/>
        <v>6154422</v>
      </c>
      <c r="AF55" s="149">
        <v>7024753.0000000009</v>
      </c>
      <c r="AG55" s="149">
        <f t="shared" ref="AG55:AT55" si="12">SUM(AG56:AG78)</f>
        <v>7657205</v>
      </c>
      <c r="AH55" s="149">
        <f t="shared" si="12"/>
        <v>7669013</v>
      </c>
      <c r="AI55" s="149">
        <f t="shared" si="12"/>
        <v>8709938</v>
      </c>
      <c r="AJ55" s="149">
        <f t="shared" si="12"/>
        <v>7093572</v>
      </c>
      <c r="AK55" s="149">
        <f t="shared" si="12"/>
        <v>7977453</v>
      </c>
      <c r="AL55" s="149">
        <f t="shared" si="12"/>
        <v>12216041</v>
      </c>
      <c r="AM55" s="149">
        <f t="shared" si="12"/>
        <v>12989443</v>
      </c>
      <c r="AN55" s="149">
        <f t="shared" si="12"/>
        <v>11328579</v>
      </c>
      <c r="AO55" s="149">
        <f t="shared" si="12"/>
        <v>11333978</v>
      </c>
      <c r="AP55" s="149">
        <f t="shared" si="12"/>
        <v>11823452</v>
      </c>
      <c r="AQ55" s="149">
        <f t="shared" si="12"/>
        <v>22099849</v>
      </c>
      <c r="AR55" s="149">
        <f t="shared" si="12"/>
        <v>14695037</v>
      </c>
      <c r="AS55" s="149">
        <f t="shared" si="12"/>
        <v>16942206</v>
      </c>
      <c r="AT55" s="149">
        <f t="shared" si="12"/>
        <v>20065547.00891</v>
      </c>
      <c r="AU55" s="149">
        <f t="shared" ref="AU55:BD55" si="13">SUM(AU56:AU79)</f>
        <v>18821460</v>
      </c>
      <c r="AV55" s="149">
        <f t="shared" si="13"/>
        <v>17188494</v>
      </c>
      <c r="AW55" s="149">
        <f t="shared" si="13"/>
        <v>17995744</v>
      </c>
      <c r="AX55" s="149">
        <f t="shared" si="13"/>
        <v>18102749</v>
      </c>
      <c r="AY55" s="149">
        <f t="shared" si="13"/>
        <v>19605210</v>
      </c>
      <c r="AZ55" s="149">
        <f t="shared" si="13"/>
        <v>21414558</v>
      </c>
      <c r="BA55" s="149">
        <f t="shared" si="13"/>
        <v>20219186</v>
      </c>
      <c r="BB55" s="149">
        <f t="shared" si="13"/>
        <v>20793326</v>
      </c>
      <c r="BC55" s="149">
        <f t="shared" si="13"/>
        <v>17803897.5</v>
      </c>
      <c r="BD55" s="149">
        <f t="shared" si="13"/>
        <v>17523209</v>
      </c>
      <c r="BE55" s="149">
        <f>SUM(BE56:BE79)</f>
        <v>16749945</v>
      </c>
    </row>
    <row r="56" spans="1:57">
      <c r="A56" s="160" t="s">
        <v>1102</v>
      </c>
      <c r="B56" s="160" t="s">
        <v>1103</v>
      </c>
      <c r="C56" s="161"/>
      <c r="D56" s="153">
        <v>844636</v>
      </c>
      <c r="E56" s="153">
        <v>677427</v>
      </c>
      <c r="F56" s="153">
        <v>613159.13676000002</v>
      </c>
      <c r="G56" s="153">
        <v>674713.65411999996</v>
      </c>
      <c r="H56" s="153">
        <v>927672.34642999992</v>
      </c>
      <c r="I56" s="153">
        <v>967287.74704000005</v>
      </c>
      <c r="J56" s="153">
        <v>1045203.8521199999</v>
      </c>
      <c r="K56" s="153">
        <v>1139843</v>
      </c>
      <c r="L56" s="153">
        <v>963000</v>
      </c>
      <c r="M56" s="153">
        <v>953000</v>
      </c>
      <c r="N56" s="153">
        <v>870000</v>
      </c>
      <c r="O56" s="153">
        <v>935000</v>
      </c>
      <c r="P56" s="153">
        <v>822000</v>
      </c>
      <c r="Q56" s="153">
        <v>767744</v>
      </c>
      <c r="R56" s="153">
        <v>825561</v>
      </c>
      <c r="S56" s="153">
        <v>943283</v>
      </c>
      <c r="T56" s="153">
        <v>728104</v>
      </c>
      <c r="U56" s="153">
        <v>860759</v>
      </c>
      <c r="V56" s="153">
        <v>1045631.0000000001</v>
      </c>
      <c r="W56" s="153">
        <v>1185038</v>
      </c>
      <c r="X56" s="153">
        <v>965602</v>
      </c>
      <c r="Y56" s="153">
        <v>982392</v>
      </c>
      <c r="Z56" s="153">
        <v>1128892</v>
      </c>
      <c r="AA56" s="153">
        <v>1539306</v>
      </c>
      <c r="AB56" s="153">
        <v>1956154</v>
      </c>
      <c r="AC56" s="153">
        <v>1600040</v>
      </c>
      <c r="AD56" s="153">
        <v>1653102</v>
      </c>
      <c r="AE56" s="153">
        <v>1969016</v>
      </c>
      <c r="AF56" s="153">
        <v>1697189</v>
      </c>
      <c r="AG56" s="153">
        <v>1621729</v>
      </c>
      <c r="AH56" s="153">
        <v>1725508</v>
      </c>
      <c r="AI56" s="153">
        <v>2263294</v>
      </c>
      <c r="AJ56" s="153">
        <v>1720981</v>
      </c>
      <c r="AK56" s="153">
        <v>1723360</v>
      </c>
      <c r="AL56" s="153">
        <v>2921833</v>
      </c>
      <c r="AM56" s="153">
        <v>4107754</v>
      </c>
      <c r="AN56" s="153">
        <v>2465671</v>
      </c>
      <c r="AO56" s="153">
        <v>3025768</v>
      </c>
      <c r="AP56" s="153">
        <v>2944558</v>
      </c>
      <c r="AQ56" s="153">
        <v>4397501</v>
      </c>
      <c r="AR56" s="153">
        <v>3809181</v>
      </c>
      <c r="AS56" s="153">
        <v>4189984</v>
      </c>
      <c r="AT56" s="153">
        <v>4239380</v>
      </c>
      <c r="AU56" s="153">
        <v>4809010</v>
      </c>
      <c r="AV56" s="153">
        <v>4162947</v>
      </c>
      <c r="AW56" s="153">
        <v>4354636</v>
      </c>
      <c r="AX56" s="153">
        <v>4642387</v>
      </c>
      <c r="AY56" s="153">
        <v>4628036</v>
      </c>
      <c r="AZ56" s="153">
        <v>4350096</v>
      </c>
      <c r="BA56" s="153">
        <v>4721276</v>
      </c>
      <c r="BB56" s="153">
        <v>5090412</v>
      </c>
      <c r="BC56" s="153">
        <v>4970620</v>
      </c>
      <c r="BD56" s="153">
        <v>4662591</v>
      </c>
      <c r="BE56" s="170">
        <v>4567920</v>
      </c>
    </row>
    <row r="57" spans="1:57">
      <c r="A57" s="160" t="s">
        <v>1350</v>
      </c>
      <c r="B57" s="160" t="s">
        <v>1351</v>
      </c>
      <c r="C57" s="161"/>
      <c r="D57" s="153"/>
      <c r="E57" s="153"/>
      <c r="F57" s="153"/>
      <c r="G57" s="153"/>
      <c r="H57" s="153"/>
      <c r="I57" s="153"/>
      <c r="J57" s="153"/>
      <c r="K57" s="153"/>
      <c r="L57" s="153"/>
      <c r="M57" s="153"/>
      <c r="N57" s="153"/>
      <c r="O57" s="153"/>
      <c r="P57" s="153"/>
      <c r="Q57" s="153"/>
      <c r="R57" s="153"/>
      <c r="S57" s="153"/>
      <c r="T57" s="153"/>
      <c r="U57" s="153"/>
      <c r="V57" s="153"/>
      <c r="W57" s="153"/>
      <c r="X57" s="153"/>
      <c r="Y57" s="153"/>
      <c r="Z57" s="153"/>
      <c r="AA57" s="153"/>
      <c r="AB57" s="153"/>
      <c r="AC57" s="153"/>
      <c r="AD57" s="153"/>
      <c r="AE57" s="153"/>
      <c r="AF57" s="153"/>
      <c r="AG57" s="153"/>
      <c r="AH57" s="153"/>
      <c r="AI57" s="153"/>
      <c r="AJ57" s="153"/>
      <c r="AK57" s="153"/>
      <c r="AL57" s="153"/>
      <c r="AM57" s="153"/>
      <c r="AN57" s="153"/>
      <c r="AO57" s="153"/>
      <c r="AP57" s="153"/>
      <c r="AQ57" s="153">
        <v>331953</v>
      </c>
      <c r="AR57" s="153">
        <v>370139</v>
      </c>
      <c r="AS57" s="153">
        <v>346784</v>
      </c>
      <c r="AT57" s="153">
        <v>284863</v>
      </c>
      <c r="AU57" s="153">
        <v>369172</v>
      </c>
      <c r="AV57" s="153">
        <v>308402</v>
      </c>
      <c r="AW57" s="153">
        <v>360631</v>
      </c>
      <c r="AX57" s="153">
        <v>341305</v>
      </c>
      <c r="AY57" s="153">
        <v>321822</v>
      </c>
      <c r="AZ57" s="153">
        <v>356214</v>
      </c>
      <c r="BA57" s="153">
        <v>473808</v>
      </c>
      <c r="BB57" s="153">
        <v>514810</v>
      </c>
      <c r="BC57" s="153">
        <v>458432</v>
      </c>
      <c r="BD57" s="153">
        <v>457372</v>
      </c>
      <c r="BE57" s="170">
        <v>459667</v>
      </c>
    </row>
    <row r="58" spans="1:57">
      <c r="A58" s="160" t="s">
        <v>1104</v>
      </c>
      <c r="B58" s="160" t="s">
        <v>876</v>
      </c>
      <c r="C58" s="161"/>
      <c r="D58" s="153">
        <v>32709.000000000004</v>
      </c>
      <c r="E58" s="153">
        <v>26956.784970000001</v>
      </c>
      <c r="F58" s="153">
        <v>30568.437759999997</v>
      </c>
      <c r="G58" s="153">
        <v>43278</v>
      </c>
      <c r="H58" s="153">
        <v>33115.284659999998</v>
      </c>
      <c r="I58" s="153">
        <v>40107.861550000001</v>
      </c>
      <c r="J58" s="153">
        <v>48476</v>
      </c>
      <c r="K58" s="153">
        <v>29773</v>
      </c>
      <c r="L58" s="153">
        <v>47000</v>
      </c>
      <c r="M58" s="153">
        <v>44000</v>
      </c>
      <c r="N58" s="153">
        <v>55000</v>
      </c>
      <c r="O58" s="153">
        <v>34000</v>
      </c>
      <c r="P58" s="153">
        <v>45000</v>
      </c>
      <c r="Q58" s="153">
        <v>37118</v>
      </c>
      <c r="R58" s="153">
        <v>39710</v>
      </c>
      <c r="S58" s="153">
        <v>33330</v>
      </c>
      <c r="T58" s="153">
        <v>36840</v>
      </c>
      <c r="U58" s="153">
        <v>43681</v>
      </c>
      <c r="V58" s="153">
        <v>48581</v>
      </c>
      <c r="W58" s="153">
        <v>40071</v>
      </c>
      <c r="X58" s="153">
        <v>45943</v>
      </c>
      <c r="Y58" s="153">
        <v>45710</v>
      </c>
      <c r="Z58" s="153">
        <v>54663</v>
      </c>
      <c r="AA58" s="153">
        <v>88063</v>
      </c>
      <c r="AB58" s="153">
        <v>111639</v>
      </c>
      <c r="AC58" s="153">
        <v>103615</v>
      </c>
      <c r="AD58" s="153">
        <v>112266</v>
      </c>
      <c r="AE58" s="153">
        <v>60940</v>
      </c>
      <c r="AF58" s="153">
        <v>63880</v>
      </c>
      <c r="AG58" s="153">
        <v>80441</v>
      </c>
      <c r="AH58" s="153">
        <v>86178</v>
      </c>
      <c r="AI58" s="153">
        <v>63962</v>
      </c>
      <c r="AJ58" s="153">
        <v>60349</v>
      </c>
      <c r="AK58" s="153">
        <v>65581</v>
      </c>
      <c r="AL58" s="153">
        <v>315975</v>
      </c>
      <c r="AM58" s="153">
        <v>192689</v>
      </c>
      <c r="AN58" s="153">
        <v>193292</v>
      </c>
      <c r="AO58" s="153">
        <v>203729</v>
      </c>
      <c r="AP58" s="153">
        <v>207841</v>
      </c>
      <c r="AQ58" s="162">
        <v>236985</v>
      </c>
      <c r="AR58" s="153">
        <v>239472</v>
      </c>
      <c r="AS58" s="153">
        <v>235045</v>
      </c>
      <c r="AT58" s="153">
        <v>237133</v>
      </c>
      <c r="AU58" s="153">
        <v>205953</v>
      </c>
      <c r="AV58" s="153">
        <v>223439</v>
      </c>
      <c r="AW58" s="153">
        <v>196565</v>
      </c>
      <c r="AX58" s="153">
        <v>230875</v>
      </c>
      <c r="AY58" s="153">
        <v>205798</v>
      </c>
      <c r="AZ58" s="153">
        <v>199262</v>
      </c>
      <c r="BA58" s="153">
        <v>200124</v>
      </c>
      <c r="BB58" s="153">
        <v>230373</v>
      </c>
      <c r="BC58" s="153">
        <v>178670</v>
      </c>
      <c r="BD58" s="153">
        <v>192268</v>
      </c>
      <c r="BE58" s="170">
        <v>223379</v>
      </c>
    </row>
    <row r="59" spans="1:57">
      <c r="A59" s="151" t="s">
        <v>1084</v>
      </c>
      <c r="B59" s="151" t="s">
        <v>1085</v>
      </c>
      <c r="C59" s="161"/>
      <c r="D59" s="153"/>
      <c r="E59" s="153"/>
      <c r="F59" s="153"/>
      <c r="G59" s="153"/>
      <c r="H59" s="153"/>
      <c r="I59" s="153"/>
      <c r="J59" s="153"/>
      <c r="K59" s="153"/>
      <c r="L59" s="153"/>
      <c r="M59" s="153"/>
      <c r="N59" s="153"/>
      <c r="O59" s="153"/>
      <c r="P59" s="153"/>
      <c r="Q59" s="153"/>
      <c r="R59" s="153"/>
      <c r="S59" s="153"/>
      <c r="T59" s="153"/>
      <c r="U59" s="153"/>
      <c r="V59" s="153"/>
      <c r="W59" s="153"/>
      <c r="X59" s="153"/>
      <c r="Y59" s="153"/>
      <c r="Z59" s="153"/>
      <c r="AA59" s="153"/>
      <c r="AB59" s="153"/>
      <c r="AC59" s="153"/>
      <c r="AD59" s="153"/>
      <c r="AE59" s="153"/>
      <c r="AF59" s="153"/>
      <c r="AG59" s="153"/>
      <c r="AH59" s="153"/>
      <c r="AI59" s="153"/>
      <c r="AJ59" s="153"/>
      <c r="AK59" s="153"/>
      <c r="AL59" s="153">
        <f>82790</f>
        <v>82790</v>
      </c>
      <c r="AM59" s="153">
        <v>80064</v>
      </c>
      <c r="AN59" s="153"/>
      <c r="AO59" s="153"/>
      <c r="AP59" s="153"/>
      <c r="AQ59" s="153"/>
      <c r="AR59" s="153"/>
      <c r="AS59" s="153"/>
      <c r="AT59" s="153"/>
      <c r="AU59" s="153"/>
      <c r="AV59" s="153"/>
      <c r="AW59" s="153"/>
      <c r="AX59" s="153"/>
      <c r="AY59" s="153"/>
      <c r="AZ59" s="153"/>
      <c r="BA59" s="153"/>
      <c r="BB59" s="153"/>
      <c r="BC59" s="153"/>
      <c r="BD59" s="153"/>
      <c r="BE59" s="182"/>
    </row>
    <row r="60" spans="1:57">
      <c r="A60" s="151" t="s">
        <v>1168</v>
      </c>
      <c r="B60" s="151" t="s">
        <v>1106</v>
      </c>
      <c r="C60" s="152"/>
      <c r="D60" s="153">
        <v>610477</v>
      </c>
      <c r="E60" s="153">
        <v>562242</v>
      </c>
      <c r="F60" s="153">
        <v>549619</v>
      </c>
      <c r="G60" s="153">
        <v>169234</v>
      </c>
      <c r="H60" s="153">
        <v>275233</v>
      </c>
      <c r="I60" s="153">
        <v>840945.96925999993</v>
      </c>
      <c r="J60" s="153">
        <v>1122255</v>
      </c>
      <c r="K60" s="153">
        <v>959855</v>
      </c>
      <c r="L60" s="153">
        <v>398000</v>
      </c>
      <c r="M60" s="153">
        <v>452000</v>
      </c>
      <c r="N60" s="153">
        <v>785000</v>
      </c>
      <c r="O60" s="153">
        <v>805000</v>
      </c>
      <c r="P60" s="153">
        <v>703000</v>
      </c>
      <c r="Q60" s="153">
        <v>685660</v>
      </c>
      <c r="R60" s="153">
        <v>539895</v>
      </c>
      <c r="S60" s="153">
        <v>868211</v>
      </c>
      <c r="T60" s="153">
        <v>723443</v>
      </c>
      <c r="U60" s="153">
        <v>876350</v>
      </c>
      <c r="V60" s="153">
        <v>913024</v>
      </c>
      <c r="W60" s="153">
        <v>984578</v>
      </c>
      <c r="X60" s="153">
        <v>1054186</v>
      </c>
      <c r="Y60" s="153">
        <v>744338</v>
      </c>
      <c r="Z60" s="153">
        <v>1589460</v>
      </c>
      <c r="AA60" s="153">
        <v>2298405</v>
      </c>
      <c r="AB60" s="153">
        <v>2356338</v>
      </c>
      <c r="AC60" s="153">
        <v>1898670</v>
      </c>
      <c r="AD60" s="153">
        <v>1469923</v>
      </c>
      <c r="AE60" s="153">
        <v>1742280</v>
      </c>
      <c r="AF60" s="153">
        <v>2455771</v>
      </c>
      <c r="AG60" s="153">
        <v>2675864</v>
      </c>
      <c r="AH60" s="153">
        <v>2030816</v>
      </c>
      <c r="AI60" s="153">
        <v>2229290</v>
      </c>
      <c r="AJ60" s="153">
        <v>1743490</v>
      </c>
      <c r="AK60" s="153">
        <v>2171746</v>
      </c>
      <c r="AL60" s="153">
        <v>2923087</v>
      </c>
      <c r="AM60" s="153">
        <v>2626566</v>
      </c>
      <c r="AN60" s="153">
        <v>2178388</v>
      </c>
      <c r="AO60" s="153">
        <v>1952551</v>
      </c>
      <c r="AP60" s="153">
        <v>1765820</v>
      </c>
      <c r="AQ60" s="153">
        <v>9402827</v>
      </c>
      <c r="AR60" s="153">
        <v>2726972</v>
      </c>
      <c r="AS60" s="153">
        <v>2603064</v>
      </c>
      <c r="AT60" s="153">
        <v>4664016</v>
      </c>
      <c r="AU60" s="153">
        <v>3774590</v>
      </c>
      <c r="AV60" s="153">
        <v>4215720</v>
      </c>
      <c r="AW60" s="153">
        <v>4453464</v>
      </c>
      <c r="AX60" s="153">
        <v>4129589</v>
      </c>
      <c r="AY60" s="153">
        <v>5161051</v>
      </c>
      <c r="AZ60" s="153">
        <v>6613873</v>
      </c>
      <c r="BA60" s="153">
        <v>5900047</v>
      </c>
      <c r="BB60" s="153">
        <v>5814479</v>
      </c>
      <c r="BC60" s="153">
        <v>3499540</v>
      </c>
      <c r="BD60" s="153">
        <v>3866966</v>
      </c>
      <c r="BE60" s="170">
        <v>2852745</v>
      </c>
    </row>
    <row r="61" spans="1:57">
      <c r="A61" s="151" t="s">
        <v>1107</v>
      </c>
      <c r="B61" s="151" t="s">
        <v>1108</v>
      </c>
      <c r="C61" s="152"/>
      <c r="D61" s="153">
        <v>10154</v>
      </c>
      <c r="E61" s="153">
        <v>102</v>
      </c>
      <c r="F61" s="153">
        <v>5432</v>
      </c>
      <c r="G61" s="153">
        <v>5974</v>
      </c>
      <c r="H61" s="153">
        <v>11680</v>
      </c>
      <c r="I61" s="153">
        <v>163</v>
      </c>
      <c r="J61" s="153">
        <v>6314</v>
      </c>
      <c r="K61" s="153">
        <v>10861</v>
      </c>
      <c r="L61" s="153">
        <v>24000</v>
      </c>
      <c r="M61" s="153">
        <v>40000</v>
      </c>
      <c r="N61" s="153">
        <v>55000</v>
      </c>
      <c r="O61" s="153">
        <v>47000</v>
      </c>
      <c r="P61" s="153">
        <v>62000</v>
      </c>
      <c r="Q61" s="153">
        <v>40332</v>
      </c>
      <c r="R61" s="153">
        <v>55979</v>
      </c>
      <c r="S61" s="153">
        <v>118740</v>
      </c>
      <c r="T61" s="153">
        <v>161707</v>
      </c>
      <c r="U61" s="153">
        <v>211208</v>
      </c>
      <c r="V61" s="153">
        <v>247229</v>
      </c>
      <c r="W61" s="153">
        <v>213812</v>
      </c>
      <c r="X61" s="153">
        <v>243589</v>
      </c>
      <c r="Y61" s="153">
        <v>255031</v>
      </c>
      <c r="Z61" s="153">
        <v>301314</v>
      </c>
      <c r="AA61" s="153">
        <v>505464</v>
      </c>
      <c r="AB61" s="153">
        <v>565878</v>
      </c>
      <c r="AC61" s="153">
        <v>550859</v>
      </c>
      <c r="AD61" s="153">
        <v>565308</v>
      </c>
      <c r="AE61" s="153">
        <v>144283</v>
      </c>
      <c r="AF61" s="153">
        <v>170730</v>
      </c>
      <c r="AG61" s="153">
        <v>87773</v>
      </c>
      <c r="AH61" s="153">
        <v>126070</v>
      </c>
      <c r="AI61" s="153">
        <v>883076</v>
      </c>
      <c r="AJ61" s="153">
        <v>940297</v>
      </c>
      <c r="AK61" s="153">
        <v>1254429</v>
      </c>
      <c r="AL61" s="153">
        <v>1810996</v>
      </c>
      <c r="AM61" s="153">
        <v>961010</v>
      </c>
      <c r="AN61" s="153">
        <v>1198354</v>
      </c>
      <c r="AO61" s="153">
        <v>1700092</v>
      </c>
      <c r="AP61" s="153">
        <v>1104205</v>
      </c>
      <c r="AQ61" s="153">
        <v>1406261</v>
      </c>
      <c r="AR61" s="153">
        <v>1634070</v>
      </c>
      <c r="AS61" s="153">
        <v>3045234</v>
      </c>
      <c r="AT61" s="153">
        <v>3252339</v>
      </c>
      <c r="AU61" s="153">
        <v>1487352</v>
      </c>
      <c r="AV61" s="153">
        <v>1435919</v>
      </c>
      <c r="AW61" s="153">
        <v>1195270</v>
      </c>
      <c r="AX61" s="153">
        <v>1379663</v>
      </c>
      <c r="AY61" s="153">
        <v>1219349</v>
      </c>
      <c r="AZ61" s="153">
        <v>1336836</v>
      </c>
      <c r="BA61" s="153">
        <v>1652620</v>
      </c>
      <c r="BB61" s="153">
        <v>1605988</v>
      </c>
      <c r="BC61" s="153">
        <v>913945</v>
      </c>
      <c r="BD61" s="153">
        <v>816165</v>
      </c>
      <c r="BE61" s="170">
        <v>1040386</v>
      </c>
    </row>
    <row r="62" spans="1:57">
      <c r="A62" s="151" t="s">
        <v>1352</v>
      </c>
      <c r="B62" s="151" t="s">
        <v>1110</v>
      </c>
      <c r="C62" s="152"/>
      <c r="D62" s="153"/>
      <c r="E62" s="153"/>
      <c r="F62" s="153"/>
      <c r="G62" s="153"/>
      <c r="H62" s="153"/>
      <c r="I62" s="153"/>
      <c r="J62" s="153"/>
      <c r="K62" s="153"/>
      <c r="L62" s="153"/>
      <c r="M62" s="153"/>
      <c r="N62" s="153"/>
      <c r="O62" s="153"/>
      <c r="P62" s="153"/>
      <c r="Q62" s="153"/>
      <c r="R62" s="153"/>
      <c r="S62" s="153"/>
      <c r="T62" s="153"/>
      <c r="U62" s="153"/>
      <c r="V62" s="153"/>
      <c r="W62" s="153"/>
      <c r="X62" s="153"/>
      <c r="Y62" s="153"/>
      <c r="Z62" s="153"/>
      <c r="AA62" s="153"/>
      <c r="AB62" s="153"/>
      <c r="AC62" s="153"/>
      <c r="AD62" s="153"/>
      <c r="AE62" s="153">
        <v>10077</v>
      </c>
      <c r="AF62" s="153">
        <v>43372</v>
      </c>
      <c r="AG62" s="153">
        <v>64361</v>
      </c>
      <c r="AH62" s="153">
        <v>708158</v>
      </c>
      <c r="AI62" s="153">
        <v>753702</v>
      </c>
      <c r="AJ62" s="153">
        <v>242653</v>
      </c>
      <c r="AK62" s="153">
        <v>213555</v>
      </c>
      <c r="AL62" s="153">
        <v>50</v>
      </c>
      <c r="AM62" s="153">
        <v>0</v>
      </c>
      <c r="AN62" s="153">
        <v>37196</v>
      </c>
      <c r="AO62" s="153"/>
      <c r="AP62" s="153">
        <v>288597</v>
      </c>
      <c r="AQ62" s="153">
        <v>195764</v>
      </c>
      <c r="AR62" s="153">
        <v>225782</v>
      </c>
      <c r="AS62" s="153">
        <v>819435</v>
      </c>
      <c r="AT62" s="153">
        <v>1004702</v>
      </c>
      <c r="AU62" s="153">
        <v>479822</v>
      </c>
      <c r="AV62" s="153">
        <v>915161</v>
      </c>
      <c r="AW62" s="153">
        <v>1446918</v>
      </c>
      <c r="AX62" s="153">
        <v>1021757</v>
      </c>
      <c r="AY62" s="153">
        <v>1301652</v>
      </c>
      <c r="AZ62" s="153">
        <v>1062275</v>
      </c>
      <c r="BA62" s="153">
        <v>590212</v>
      </c>
      <c r="BB62" s="153">
        <v>298632</v>
      </c>
      <c r="BC62" s="153">
        <v>205506</v>
      </c>
      <c r="BD62" s="153">
        <v>169670</v>
      </c>
      <c r="BE62" s="170">
        <v>125579</v>
      </c>
    </row>
    <row r="63" spans="1:57">
      <c r="A63" s="151" t="s">
        <v>1111</v>
      </c>
      <c r="B63" s="151" t="s">
        <v>1112</v>
      </c>
      <c r="C63" s="152"/>
      <c r="D63" s="153">
        <v>223989</v>
      </c>
      <c r="E63" s="153">
        <v>226646</v>
      </c>
      <c r="F63" s="153">
        <v>245215</v>
      </c>
      <c r="G63" s="153">
        <v>254314.45918999999</v>
      </c>
      <c r="H63" s="153">
        <v>294689</v>
      </c>
      <c r="I63" s="153">
        <v>251250</v>
      </c>
      <c r="J63" s="153">
        <v>273205</v>
      </c>
      <c r="K63" s="153">
        <v>282900</v>
      </c>
      <c r="L63" s="153">
        <v>215000</v>
      </c>
      <c r="M63" s="153">
        <v>243000</v>
      </c>
      <c r="N63" s="153">
        <v>273636</v>
      </c>
      <c r="O63" s="153">
        <v>312421</v>
      </c>
      <c r="P63" s="153">
        <v>276881</v>
      </c>
      <c r="Q63" s="153">
        <v>298206</v>
      </c>
      <c r="R63" s="153">
        <v>290981</v>
      </c>
      <c r="S63" s="153">
        <v>357041</v>
      </c>
      <c r="T63" s="153">
        <v>342129</v>
      </c>
      <c r="U63" s="153">
        <v>381218</v>
      </c>
      <c r="V63" s="153">
        <v>428388</v>
      </c>
      <c r="W63" s="153">
        <v>476712</v>
      </c>
      <c r="X63" s="153">
        <v>444850</v>
      </c>
      <c r="Y63" s="153">
        <v>489446</v>
      </c>
      <c r="Z63" s="153">
        <v>510574</v>
      </c>
      <c r="AA63" s="153">
        <v>601139</v>
      </c>
      <c r="AB63" s="153">
        <v>664996</v>
      </c>
      <c r="AC63" s="153">
        <v>654061</v>
      </c>
      <c r="AD63" s="153">
        <v>638688</v>
      </c>
      <c r="AE63" s="153">
        <v>564352</v>
      </c>
      <c r="AF63" s="153">
        <v>463760</v>
      </c>
      <c r="AG63" s="153">
        <v>551186</v>
      </c>
      <c r="AH63" s="153">
        <v>560219</v>
      </c>
      <c r="AI63" s="153">
        <v>596074</v>
      </c>
      <c r="AJ63" s="153">
        <v>439064</v>
      </c>
      <c r="AK63" s="153">
        <v>431088</v>
      </c>
      <c r="AL63" s="153">
        <v>849296</v>
      </c>
      <c r="AM63" s="153">
        <v>1161032</v>
      </c>
      <c r="AN63" s="153">
        <v>1173684</v>
      </c>
      <c r="AO63" s="153">
        <v>1131594</v>
      </c>
      <c r="AP63" s="153">
        <v>1074083</v>
      </c>
      <c r="AQ63" s="153">
        <v>1229154</v>
      </c>
      <c r="AR63" s="153">
        <v>1268795</v>
      </c>
      <c r="AS63" s="153">
        <v>1231314</v>
      </c>
      <c r="AT63" s="153">
        <v>1184208</v>
      </c>
      <c r="AU63" s="153">
        <v>1093205</v>
      </c>
      <c r="AV63" s="153">
        <v>1056304</v>
      </c>
      <c r="AW63" s="153">
        <v>1202011</v>
      </c>
      <c r="AX63" s="153">
        <v>1140260</v>
      </c>
      <c r="AY63" s="153">
        <v>1176741</v>
      </c>
      <c r="AZ63" s="153">
        <v>1209293</v>
      </c>
      <c r="BA63" s="153">
        <v>1292660</v>
      </c>
      <c r="BB63" s="153">
        <v>1387888</v>
      </c>
      <c r="BC63" s="153">
        <v>1457140</v>
      </c>
      <c r="BD63" s="153">
        <v>1391603</v>
      </c>
      <c r="BE63" s="170">
        <v>1766338</v>
      </c>
    </row>
    <row r="64" spans="1:57">
      <c r="A64" s="151" t="s">
        <v>1113</v>
      </c>
      <c r="B64" s="151" t="s">
        <v>1114</v>
      </c>
      <c r="C64" s="152"/>
      <c r="D64" s="153">
        <v>0</v>
      </c>
      <c r="E64" s="153">
        <v>0</v>
      </c>
      <c r="F64" s="153">
        <v>0</v>
      </c>
      <c r="G64" s="153">
        <v>0</v>
      </c>
      <c r="H64" s="153">
        <v>0</v>
      </c>
      <c r="I64" s="153">
        <v>0</v>
      </c>
      <c r="J64" s="153">
        <v>0</v>
      </c>
      <c r="K64" s="153">
        <v>0</v>
      </c>
      <c r="L64" s="153">
        <v>0</v>
      </c>
      <c r="M64" s="153">
        <v>0</v>
      </c>
      <c r="N64" s="153">
        <v>25809</v>
      </c>
      <c r="O64" s="153">
        <v>18444</v>
      </c>
      <c r="P64" s="153">
        <v>22696</v>
      </c>
      <c r="Q64" s="153">
        <v>15386</v>
      </c>
      <c r="R64" s="153">
        <v>14145</v>
      </c>
      <c r="S64" s="153">
        <v>9306</v>
      </c>
      <c r="T64" s="153">
        <v>12468</v>
      </c>
      <c r="U64" s="153">
        <v>8763</v>
      </c>
      <c r="V64" s="153">
        <v>13807</v>
      </c>
      <c r="W64" s="153">
        <v>23384</v>
      </c>
      <c r="X64" s="153">
        <v>8374</v>
      </c>
      <c r="Y64" s="153">
        <v>11967</v>
      </c>
      <c r="Z64" s="153">
        <v>20850</v>
      </c>
      <c r="AA64" s="153">
        <v>105367</v>
      </c>
      <c r="AB64" s="153">
        <v>107296</v>
      </c>
      <c r="AC64" s="153">
        <v>40031</v>
      </c>
      <c r="AD64" s="153">
        <v>51310</v>
      </c>
      <c r="AE64" s="153">
        <v>100793</v>
      </c>
      <c r="AF64" s="153">
        <v>65486.000000000007</v>
      </c>
      <c r="AG64" s="153">
        <v>112491</v>
      </c>
      <c r="AH64" s="153">
        <v>84881</v>
      </c>
      <c r="AI64" s="153">
        <v>169208</v>
      </c>
      <c r="AJ64" s="153">
        <v>103273</v>
      </c>
      <c r="AK64" s="153">
        <v>215516</v>
      </c>
      <c r="AL64" s="153">
        <v>193588</v>
      </c>
      <c r="AM64" s="153">
        <v>216541</v>
      </c>
      <c r="AN64" s="153">
        <v>510567</v>
      </c>
      <c r="AO64" s="153">
        <v>445492</v>
      </c>
      <c r="AP64" s="153">
        <v>442405</v>
      </c>
      <c r="AQ64" s="153">
        <v>343418</v>
      </c>
      <c r="AR64" s="153">
        <v>371120</v>
      </c>
      <c r="AS64" s="153">
        <v>480363</v>
      </c>
      <c r="AT64" s="153">
        <v>616172</v>
      </c>
      <c r="AU64" s="153">
        <v>132698</v>
      </c>
      <c r="AV64" s="153">
        <v>160650</v>
      </c>
      <c r="AW64" s="153">
        <v>207501</v>
      </c>
      <c r="AX64" s="153">
        <v>397461</v>
      </c>
      <c r="AY64" s="153">
        <v>141358</v>
      </c>
      <c r="AZ64" s="153">
        <v>223972</v>
      </c>
      <c r="BA64" s="153">
        <v>414340</v>
      </c>
      <c r="BB64" s="153">
        <v>581613</v>
      </c>
      <c r="BC64" s="153">
        <v>251805</v>
      </c>
      <c r="BD64" s="153">
        <v>255184</v>
      </c>
      <c r="BE64" s="170">
        <v>334951</v>
      </c>
    </row>
    <row r="65" spans="1:57">
      <c r="A65" s="151" t="s">
        <v>1115</v>
      </c>
      <c r="B65" s="151" t="s">
        <v>1116</v>
      </c>
      <c r="C65" s="152"/>
      <c r="D65" s="153">
        <v>91601</v>
      </c>
      <c r="E65" s="153">
        <v>90877.137759999998</v>
      </c>
      <c r="F65" s="153">
        <v>90872.368050000005</v>
      </c>
      <c r="G65" s="153">
        <v>42107</v>
      </c>
      <c r="H65" s="153">
        <v>29888.804360000002</v>
      </c>
      <c r="I65" s="153">
        <v>31506</v>
      </c>
      <c r="J65" s="153">
        <v>31506</v>
      </c>
      <c r="K65" s="153">
        <v>176840</v>
      </c>
      <c r="L65" s="153">
        <v>180000</v>
      </c>
      <c r="M65" s="153">
        <v>174000</v>
      </c>
      <c r="N65" s="153">
        <v>174000</v>
      </c>
      <c r="O65" s="153">
        <v>218000</v>
      </c>
      <c r="P65" s="153">
        <v>217000</v>
      </c>
      <c r="Q65" s="153">
        <v>250561</v>
      </c>
      <c r="R65" s="153">
        <v>250561</v>
      </c>
      <c r="S65" s="153">
        <v>195910</v>
      </c>
      <c r="T65" s="153">
        <v>200238</v>
      </c>
      <c r="U65" s="153">
        <v>243141</v>
      </c>
      <c r="V65" s="153">
        <v>243075</v>
      </c>
      <c r="W65" s="153">
        <v>263976</v>
      </c>
      <c r="X65" s="153">
        <v>260702</v>
      </c>
      <c r="Y65" s="153">
        <v>324016</v>
      </c>
      <c r="Z65" s="153">
        <v>324016</v>
      </c>
      <c r="AA65" s="153">
        <v>240729</v>
      </c>
      <c r="AB65" s="153">
        <v>240518</v>
      </c>
      <c r="AC65" s="153">
        <v>190953</v>
      </c>
      <c r="AD65" s="153">
        <v>190954</v>
      </c>
      <c r="AE65" s="153">
        <v>341119</v>
      </c>
      <c r="AF65" s="153">
        <v>341007</v>
      </c>
      <c r="AG65" s="153">
        <v>316626</v>
      </c>
      <c r="AH65" s="153">
        <v>326818</v>
      </c>
      <c r="AI65" s="153">
        <v>601510</v>
      </c>
      <c r="AJ65" s="153">
        <v>591963</v>
      </c>
      <c r="AK65" s="153">
        <v>720269</v>
      </c>
      <c r="AL65" s="153">
        <v>720423</v>
      </c>
      <c r="AM65" s="153">
        <v>771321</v>
      </c>
      <c r="AN65" s="153">
        <v>771227</v>
      </c>
      <c r="AO65" s="153">
        <v>716162</v>
      </c>
      <c r="AP65" s="153">
        <v>716813</v>
      </c>
      <c r="AQ65" s="153">
        <v>468800</v>
      </c>
      <c r="AR65" s="153">
        <v>464661</v>
      </c>
      <c r="AS65" s="153">
        <v>104734</v>
      </c>
      <c r="AT65" s="153">
        <v>228212</v>
      </c>
      <c r="AU65" s="153">
        <v>1291982</v>
      </c>
      <c r="AV65" s="153">
        <v>807530</v>
      </c>
      <c r="AW65" s="153">
        <v>294029</v>
      </c>
      <c r="AX65" s="153">
        <v>335342</v>
      </c>
      <c r="AY65" s="153">
        <v>1509104</v>
      </c>
      <c r="AZ65" s="153">
        <v>1406562</v>
      </c>
      <c r="BA65" s="153">
        <v>696285</v>
      </c>
      <c r="BB65" s="153">
        <v>696273</v>
      </c>
      <c r="BC65" s="153">
        <v>336885.5</v>
      </c>
      <c r="BD65" s="153">
        <v>336792</v>
      </c>
      <c r="BE65" s="170">
        <v>239144</v>
      </c>
    </row>
    <row r="66" spans="1:57">
      <c r="A66" s="151" t="s">
        <v>1336</v>
      </c>
      <c r="B66" s="151" t="s">
        <v>1337</v>
      </c>
      <c r="C66" s="152"/>
      <c r="D66" s="153"/>
      <c r="E66" s="153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3"/>
      <c r="Q66" s="153"/>
      <c r="R66" s="153"/>
      <c r="S66" s="153"/>
      <c r="T66" s="153"/>
      <c r="U66" s="153"/>
      <c r="V66" s="153"/>
      <c r="W66" s="153"/>
      <c r="X66" s="153"/>
      <c r="Y66" s="153"/>
      <c r="Z66" s="153"/>
      <c r="AA66" s="153"/>
      <c r="AB66" s="153"/>
      <c r="AC66" s="153"/>
      <c r="AD66" s="153"/>
      <c r="AE66" s="153"/>
      <c r="AF66" s="153"/>
      <c r="AG66" s="153"/>
      <c r="AH66" s="153"/>
      <c r="AI66" s="153"/>
      <c r="AJ66" s="153"/>
      <c r="AK66" s="153"/>
      <c r="AL66" s="153"/>
      <c r="AM66" s="153"/>
      <c r="AN66" s="153"/>
      <c r="AO66" s="153"/>
      <c r="AP66" s="153"/>
      <c r="AQ66" s="153">
        <v>34353</v>
      </c>
      <c r="AR66" s="153"/>
      <c r="AS66" s="153"/>
      <c r="AT66" s="153"/>
      <c r="AU66" s="153"/>
      <c r="AV66" s="153"/>
      <c r="AW66" s="153"/>
      <c r="AX66" s="153"/>
      <c r="AY66" s="153"/>
      <c r="AZ66" s="153"/>
      <c r="BA66" s="153"/>
      <c r="BB66" s="153"/>
      <c r="BC66" s="153"/>
      <c r="BD66" s="153"/>
      <c r="BE66" s="170"/>
    </row>
    <row r="67" spans="1:57">
      <c r="A67" s="151" t="s">
        <v>1119</v>
      </c>
      <c r="B67" s="151" t="s">
        <v>1120</v>
      </c>
      <c r="C67" s="152"/>
      <c r="D67" s="153">
        <v>33280</v>
      </c>
      <c r="E67" s="153">
        <v>20401</v>
      </c>
      <c r="F67" s="153">
        <v>21656.897789999999</v>
      </c>
      <c r="G67" s="153">
        <v>32749.000000000004</v>
      </c>
      <c r="H67" s="153">
        <v>23680</v>
      </c>
      <c r="I67" s="153">
        <v>21508.851849999999</v>
      </c>
      <c r="J67" s="153">
        <v>23849</v>
      </c>
      <c r="K67" s="153">
        <v>30848</v>
      </c>
      <c r="L67" s="153">
        <v>29000</v>
      </c>
      <c r="M67" s="153">
        <v>16000</v>
      </c>
      <c r="N67" s="153">
        <v>16000</v>
      </c>
      <c r="O67" s="153">
        <v>17000</v>
      </c>
      <c r="P67" s="153">
        <v>58000</v>
      </c>
      <c r="Q67" s="153">
        <v>22753</v>
      </c>
      <c r="R67" s="153">
        <v>19996</v>
      </c>
      <c r="S67" s="153">
        <v>42102</v>
      </c>
      <c r="T67" s="153">
        <v>36509</v>
      </c>
      <c r="U67" s="153">
        <v>24301</v>
      </c>
      <c r="V67" s="153">
        <v>25789</v>
      </c>
      <c r="W67" s="153">
        <v>24480</v>
      </c>
      <c r="X67" s="153">
        <v>22620</v>
      </c>
      <c r="Y67" s="153">
        <v>22047</v>
      </c>
      <c r="Z67" s="153">
        <v>22770</v>
      </c>
      <c r="AA67" s="153">
        <v>46562</v>
      </c>
      <c r="AB67" s="153">
        <v>100922</v>
      </c>
      <c r="AC67" s="153">
        <v>102990</v>
      </c>
      <c r="AD67" s="153">
        <v>74064</v>
      </c>
      <c r="AE67" s="153">
        <v>79326</v>
      </c>
      <c r="AF67" s="153">
        <v>65766</v>
      </c>
      <c r="AG67" s="153">
        <v>67863</v>
      </c>
      <c r="AH67" s="153">
        <v>87159</v>
      </c>
      <c r="AI67" s="153">
        <v>83867</v>
      </c>
      <c r="AJ67" s="153">
        <v>84843</v>
      </c>
      <c r="AK67" s="153">
        <v>88213</v>
      </c>
      <c r="AL67" s="153">
        <v>78564</v>
      </c>
      <c r="AM67" s="153">
        <v>89889</v>
      </c>
      <c r="AN67" s="153">
        <v>87005</v>
      </c>
      <c r="AO67" s="153">
        <v>82239</v>
      </c>
      <c r="AP67" s="153">
        <v>88972</v>
      </c>
      <c r="AQ67" s="153">
        <v>154807</v>
      </c>
      <c r="AR67" s="153">
        <v>151093</v>
      </c>
      <c r="AS67" s="153">
        <v>168951</v>
      </c>
      <c r="AT67" s="153">
        <v>167284</v>
      </c>
      <c r="AU67" s="153">
        <v>198179</v>
      </c>
      <c r="AV67" s="153">
        <v>207520</v>
      </c>
      <c r="AW67" s="153">
        <v>195753</v>
      </c>
      <c r="AX67" s="153">
        <v>195246</v>
      </c>
      <c r="AY67" s="153">
        <v>207161</v>
      </c>
      <c r="AZ67" s="153">
        <v>189365</v>
      </c>
      <c r="BA67" s="153">
        <v>188874</v>
      </c>
      <c r="BB67" s="153">
        <v>206194</v>
      </c>
      <c r="BC67" s="153">
        <v>271194</v>
      </c>
      <c r="BD67" s="153">
        <v>264747</v>
      </c>
      <c r="BE67" s="170">
        <v>268684</v>
      </c>
    </row>
    <row r="68" spans="1:57">
      <c r="A68" s="151" t="s">
        <v>1117</v>
      </c>
      <c r="B68" s="151" t="s">
        <v>1118</v>
      </c>
      <c r="C68" s="152"/>
      <c r="D68" s="153"/>
      <c r="E68" s="153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3"/>
      <c r="Q68" s="153"/>
      <c r="R68" s="153"/>
      <c r="S68" s="153"/>
      <c r="T68" s="153"/>
      <c r="U68" s="153"/>
      <c r="V68" s="153"/>
      <c r="W68" s="153"/>
      <c r="X68" s="153"/>
      <c r="Y68" s="153"/>
      <c r="Z68" s="153"/>
      <c r="AA68" s="153"/>
      <c r="AB68" s="153"/>
      <c r="AC68" s="153"/>
      <c r="AD68" s="153"/>
      <c r="AE68" s="153">
        <v>272806</v>
      </c>
      <c r="AF68" s="153">
        <v>286040</v>
      </c>
      <c r="AG68" s="153">
        <v>294525</v>
      </c>
      <c r="AH68" s="153">
        <v>271679</v>
      </c>
      <c r="AI68" s="153">
        <v>286397</v>
      </c>
      <c r="AJ68" s="153">
        <v>373931</v>
      </c>
      <c r="AK68" s="153">
        <v>338382</v>
      </c>
      <c r="AL68" s="153">
        <v>562068</v>
      </c>
      <c r="AM68" s="153">
        <v>477696</v>
      </c>
      <c r="AN68" s="153">
        <v>508545</v>
      </c>
      <c r="AO68" s="153">
        <v>448642</v>
      </c>
      <c r="AP68" s="153">
        <v>445201</v>
      </c>
      <c r="AQ68" s="153">
        <v>566210</v>
      </c>
      <c r="AR68" s="153">
        <v>547259</v>
      </c>
      <c r="AS68" s="153">
        <v>567013</v>
      </c>
      <c r="AT68" s="153">
        <v>533800</v>
      </c>
      <c r="AU68" s="153">
        <v>617800</v>
      </c>
      <c r="AV68" s="153">
        <v>596942</v>
      </c>
      <c r="AW68" s="153">
        <v>587930</v>
      </c>
      <c r="AX68" s="153">
        <v>656535</v>
      </c>
      <c r="AY68" s="153">
        <v>456679</v>
      </c>
      <c r="AZ68" s="153">
        <v>423064</v>
      </c>
      <c r="BA68" s="153">
        <v>419182</v>
      </c>
      <c r="BB68" s="153">
        <v>388158</v>
      </c>
      <c r="BC68" s="153">
        <v>366972</v>
      </c>
      <c r="BD68" s="153">
        <v>339993</v>
      </c>
      <c r="BE68" s="170">
        <v>336791</v>
      </c>
    </row>
    <row r="69" spans="1:57">
      <c r="A69" s="151" t="s">
        <v>1123</v>
      </c>
      <c r="B69" s="151" t="s">
        <v>1124</v>
      </c>
      <c r="C69" s="152"/>
      <c r="D69" s="153"/>
      <c r="E69" s="153"/>
      <c r="F69" s="153"/>
      <c r="G69" s="153"/>
      <c r="H69" s="153"/>
      <c r="I69" s="153"/>
      <c r="J69" s="153"/>
      <c r="K69" s="153"/>
      <c r="L69" s="153"/>
      <c r="M69" s="153"/>
      <c r="N69" s="153"/>
      <c r="O69" s="153"/>
      <c r="P69" s="153"/>
      <c r="Q69" s="153"/>
      <c r="R69" s="153"/>
      <c r="S69" s="153"/>
      <c r="T69" s="153"/>
      <c r="U69" s="153"/>
      <c r="V69" s="153"/>
      <c r="W69" s="153"/>
      <c r="X69" s="153"/>
      <c r="Y69" s="153"/>
      <c r="Z69" s="153"/>
      <c r="AA69" s="153"/>
      <c r="AB69" s="153"/>
      <c r="AC69" s="153"/>
      <c r="AD69" s="153"/>
      <c r="AE69" s="153">
        <v>132664</v>
      </c>
      <c r="AF69" s="153">
        <v>152877</v>
      </c>
      <c r="AG69" s="153">
        <v>109989</v>
      </c>
      <c r="AH69" s="153">
        <v>107730</v>
      </c>
      <c r="AI69" s="153">
        <v>127076</v>
      </c>
      <c r="AJ69" s="153">
        <v>144554</v>
      </c>
      <c r="AK69" s="153">
        <v>96815</v>
      </c>
      <c r="AL69" s="153">
        <v>118896</v>
      </c>
      <c r="AM69" s="153">
        <v>140497</v>
      </c>
      <c r="AN69" s="153">
        <v>152896</v>
      </c>
      <c r="AO69" s="153">
        <v>96200</v>
      </c>
      <c r="AP69" s="153">
        <v>120186</v>
      </c>
      <c r="AQ69" s="153">
        <v>148764</v>
      </c>
      <c r="AR69" s="153">
        <v>91298</v>
      </c>
      <c r="AS69" s="153">
        <v>90619</v>
      </c>
      <c r="AT69" s="153">
        <v>122984</v>
      </c>
      <c r="AU69" s="153">
        <v>152172</v>
      </c>
      <c r="AV69" s="153">
        <v>88349</v>
      </c>
      <c r="AW69" s="153">
        <v>78852</v>
      </c>
      <c r="AX69" s="153">
        <v>122381</v>
      </c>
      <c r="AY69" s="153">
        <v>175408</v>
      </c>
      <c r="AZ69" s="153">
        <v>76103</v>
      </c>
      <c r="BA69" s="153">
        <v>75562</v>
      </c>
      <c r="BB69" s="153">
        <v>126374</v>
      </c>
      <c r="BC69" s="153">
        <v>206740</v>
      </c>
      <c r="BD69" s="153">
        <v>278645</v>
      </c>
      <c r="BE69" s="170">
        <v>107270</v>
      </c>
    </row>
    <row r="70" spans="1:57">
      <c r="A70" s="151" t="s">
        <v>1283</v>
      </c>
      <c r="B70" s="151" t="s">
        <v>1284</v>
      </c>
      <c r="C70" s="152"/>
      <c r="D70" s="153"/>
      <c r="E70" s="153"/>
      <c r="F70" s="153"/>
      <c r="G70" s="153"/>
      <c r="H70" s="153"/>
      <c r="I70" s="153"/>
      <c r="J70" s="153"/>
      <c r="K70" s="153"/>
      <c r="L70" s="153"/>
      <c r="M70" s="153"/>
      <c r="N70" s="153"/>
      <c r="O70" s="153"/>
      <c r="P70" s="153"/>
      <c r="Q70" s="153"/>
      <c r="R70" s="153"/>
      <c r="S70" s="153"/>
      <c r="T70" s="153"/>
      <c r="U70" s="153"/>
      <c r="V70" s="153"/>
      <c r="W70" s="153"/>
      <c r="X70" s="153"/>
      <c r="Y70" s="153"/>
      <c r="Z70" s="153"/>
      <c r="AA70" s="153"/>
      <c r="AB70" s="153"/>
      <c r="AC70" s="153"/>
      <c r="AD70" s="153"/>
      <c r="AE70" s="153"/>
      <c r="AF70" s="153"/>
      <c r="AG70" s="153"/>
      <c r="AH70" s="153"/>
      <c r="AI70" s="153"/>
      <c r="AJ70" s="153"/>
      <c r="AK70" s="153"/>
      <c r="AL70" s="153"/>
      <c r="AM70" s="153">
        <v>0</v>
      </c>
      <c r="AN70" s="153"/>
      <c r="AO70" s="153"/>
      <c r="AP70" s="153">
        <v>49606</v>
      </c>
      <c r="AQ70" s="153">
        <v>56919</v>
      </c>
      <c r="AR70" s="153">
        <v>56049</v>
      </c>
      <c r="AS70" s="153">
        <v>58708</v>
      </c>
      <c r="AT70" s="153">
        <v>61598</v>
      </c>
      <c r="AU70" s="153">
        <v>49625</v>
      </c>
      <c r="AV70" s="153">
        <v>52309</v>
      </c>
      <c r="AW70" s="153">
        <v>47841</v>
      </c>
      <c r="AX70" s="153">
        <v>38875</v>
      </c>
      <c r="AY70" s="153">
        <v>39899</v>
      </c>
      <c r="AZ70" s="153">
        <v>39490</v>
      </c>
      <c r="BA70" s="153">
        <v>40239</v>
      </c>
      <c r="BB70" s="153">
        <v>41801</v>
      </c>
      <c r="BC70" s="153">
        <v>0</v>
      </c>
      <c r="BD70" s="153">
        <v>0</v>
      </c>
      <c r="BE70" s="170">
        <v>0</v>
      </c>
    </row>
    <row r="71" spans="1:57">
      <c r="A71" s="151" t="s">
        <v>1353</v>
      </c>
      <c r="B71" s="151" t="s">
        <v>1354</v>
      </c>
      <c r="C71" s="152"/>
      <c r="D71" s="153"/>
      <c r="E71" s="153"/>
      <c r="F71" s="153"/>
      <c r="G71" s="153"/>
      <c r="H71" s="153"/>
      <c r="I71" s="153"/>
      <c r="J71" s="153"/>
      <c r="K71" s="153"/>
      <c r="L71" s="153"/>
      <c r="M71" s="153"/>
      <c r="N71" s="153"/>
      <c r="O71" s="153"/>
      <c r="P71" s="153"/>
      <c r="Q71" s="153"/>
      <c r="R71" s="153"/>
      <c r="S71" s="153"/>
      <c r="T71" s="153"/>
      <c r="U71" s="153"/>
      <c r="V71" s="153"/>
      <c r="W71" s="153"/>
      <c r="X71" s="153"/>
      <c r="Y71" s="153"/>
      <c r="Z71" s="153"/>
      <c r="AA71" s="153"/>
      <c r="AB71" s="153"/>
      <c r="AC71" s="153"/>
      <c r="AD71" s="153"/>
      <c r="AE71" s="153"/>
      <c r="AF71" s="153"/>
      <c r="AG71" s="153"/>
      <c r="AH71" s="153"/>
      <c r="AI71" s="153"/>
      <c r="AJ71" s="153"/>
      <c r="AK71" s="153"/>
      <c r="AL71" s="153"/>
      <c r="AM71" s="153">
        <v>34512</v>
      </c>
      <c r="AN71" s="153"/>
      <c r="AO71" s="153"/>
      <c r="AP71" s="153">
        <v>29055</v>
      </c>
      <c r="AQ71" s="153">
        <v>43829</v>
      </c>
      <c r="AR71" s="153">
        <v>29579</v>
      </c>
      <c r="AS71" s="153">
        <v>40677</v>
      </c>
      <c r="AT71" s="153">
        <v>57572</v>
      </c>
      <c r="AU71" s="153">
        <v>65509</v>
      </c>
      <c r="AV71" s="153">
        <v>77357</v>
      </c>
      <c r="AW71" s="153">
        <v>85446</v>
      </c>
      <c r="AX71" s="153">
        <v>91030</v>
      </c>
      <c r="AY71" s="153">
        <v>103567</v>
      </c>
      <c r="AZ71" s="153">
        <v>112393</v>
      </c>
      <c r="BA71" s="153">
        <v>124717</v>
      </c>
      <c r="BB71" s="153">
        <v>134087</v>
      </c>
      <c r="BC71" s="153">
        <v>146875</v>
      </c>
      <c r="BD71" s="153">
        <v>181487</v>
      </c>
      <c r="BE71" s="170">
        <v>192745</v>
      </c>
    </row>
    <row r="72" spans="1:57">
      <c r="A72" s="151" t="s">
        <v>1072</v>
      </c>
      <c r="B72" s="151" t="s">
        <v>1073</v>
      </c>
      <c r="C72" s="152"/>
      <c r="D72" s="153">
        <v>0</v>
      </c>
      <c r="E72" s="153">
        <v>0</v>
      </c>
      <c r="F72" s="153">
        <v>0</v>
      </c>
      <c r="G72" s="153">
        <v>0</v>
      </c>
      <c r="H72" s="153">
        <v>0</v>
      </c>
      <c r="I72" s="153">
        <v>0</v>
      </c>
      <c r="J72" s="153">
        <v>0</v>
      </c>
      <c r="K72" s="153">
        <v>0</v>
      </c>
      <c r="L72" s="153">
        <v>58000</v>
      </c>
      <c r="M72" s="153">
        <v>82000</v>
      </c>
      <c r="N72" s="153">
        <v>18000</v>
      </c>
      <c r="O72" s="153">
        <v>0</v>
      </c>
      <c r="P72" s="153">
        <v>31000</v>
      </c>
      <c r="Q72" s="153">
        <v>84735</v>
      </c>
      <c r="R72" s="153">
        <v>53584</v>
      </c>
      <c r="S72" s="153">
        <v>0</v>
      </c>
      <c r="T72" s="153">
        <v>18132.999999999996</v>
      </c>
      <c r="U72" s="153">
        <v>0</v>
      </c>
      <c r="V72" s="153">
        <v>0</v>
      </c>
      <c r="W72" s="153">
        <v>19946</v>
      </c>
      <c r="X72" s="153">
        <v>13625</v>
      </c>
      <c r="Y72" s="153">
        <v>26877</v>
      </c>
      <c r="Z72" s="153">
        <v>21516</v>
      </c>
      <c r="AA72" s="153">
        <v>14915</v>
      </c>
      <c r="AB72" s="153">
        <v>19393</v>
      </c>
      <c r="AC72" s="153">
        <v>13635</v>
      </c>
      <c r="AD72" s="153">
        <v>0</v>
      </c>
      <c r="AE72" s="153"/>
      <c r="AF72" s="153">
        <v>0</v>
      </c>
      <c r="AG72" s="153"/>
      <c r="AH72" s="153"/>
      <c r="AI72" s="153"/>
      <c r="AJ72" s="153"/>
      <c r="AK72" s="153">
        <v>94742</v>
      </c>
      <c r="AL72" s="153">
        <v>16</v>
      </c>
      <c r="AM72" s="153">
        <v>5116</v>
      </c>
      <c r="AN72" s="153">
        <v>33261</v>
      </c>
      <c r="AO72" s="153">
        <v>1812</v>
      </c>
      <c r="AP72" s="153">
        <v>1514</v>
      </c>
      <c r="AQ72" s="153">
        <v>41775</v>
      </c>
      <c r="AR72" s="153">
        <v>133851</v>
      </c>
      <c r="AS72" s="153">
        <v>226001</v>
      </c>
      <c r="AT72" s="153">
        <v>105811</v>
      </c>
      <c r="AU72" s="153">
        <v>104914</v>
      </c>
      <c r="AV72" s="153">
        <v>78338</v>
      </c>
      <c r="AW72" s="153">
        <v>2934</v>
      </c>
      <c r="AX72" s="153">
        <v>7060</v>
      </c>
      <c r="AY72" s="153">
        <v>865</v>
      </c>
      <c r="AZ72" s="153">
        <v>11168</v>
      </c>
      <c r="BA72" s="153">
        <v>19272</v>
      </c>
      <c r="BB72" s="153">
        <v>93774</v>
      </c>
      <c r="BC72" s="153">
        <v>14283</v>
      </c>
      <c r="BD72" s="153">
        <v>67569</v>
      </c>
      <c r="BE72" s="178">
        <v>56656</v>
      </c>
    </row>
    <row r="73" spans="1:57">
      <c r="A73" s="151" t="s">
        <v>1355</v>
      </c>
      <c r="B73" s="151" t="s">
        <v>1126</v>
      </c>
      <c r="C73" s="152"/>
      <c r="D73" s="153">
        <v>32451</v>
      </c>
      <c r="E73" s="153">
        <v>41536</v>
      </c>
      <c r="F73" s="153">
        <v>31731.24005</v>
      </c>
      <c r="G73" s="153">
        <v>39775</v>
      </c>
      <c r="H73" s="153">
        <v>31931</v>
      </c>
      <c r="I73" s="153">
        <v>24868</v>
      </c>
      <c r="J73" s="153">
        <v>13735</v>
      </c>
      <c r="K73" s="153">
        <v>51728</v>
      </c>
      <c r="L73" s="153">
        <v>46000</v>
      </c>
      <c r="M73" s="153">
        <v>38000</v>
      </c>
      <c r="N73" s="153">
        <v>132500</v>
      </c>
      <c r="O73" s="153">
        <v>135000</v>
      </c>
      <c r="P73" s="153">
        <v>138000</v>
      </c>
      <c r="Q73" s="153">
        <v>125926</v>
      </c>
      <c r="R73" s="153">
        <v>97486</v>
      </c>
      <c r="S73" s="153">
        <v>86222</v>
      </c>
      <c r="T73" s="153">
        <v>75874</v>
      </c>
      <c r="U73" s="153">
        <v>73991</v>
      </c>
      <c r="V73" s="153">
        <v>73369</v>
      </c>
      <c r="W73" s="153">
        <v>53954</v>
      </c>
      <c r="X73" s="153">
        <v>50338</v>
      </c>
      <c r="Y73" s="153">
        <v>57385</v>
      </c>
      <c r="Z73" s="153">
        <v>52880</v>
      </c>
      <c r="AA73" s="153">
        <v>47236</v>
      </c>
      <c r="AB73" s="153">
        <v>172983</v>
      </c>
      <c r="AC73" s="153">
        <v>127295</v>
      </c>
      <c r="AD73" s="153">
        <v>52691</v>
      </c>
      <c r="AE73" s="153">
        <v>254775</v>
      </c>
      <c r="AF73" s="153">
        <v>252484</v>
      </c>
      <c r="AG73" s="153">
        <v>242648</v>
      </c>
      <c r="AH73" s="153">
        <v>209302</v>
      </c>
      <c r="AI73" s="153">
        <v>215811</v>
      </c>
      <c r="AJ73" s="153">
        <v>220139</v>
      </c>
      <c r="AK73" s="153">
        <v>120662</v>
      </c>
      <c r="AL73" s="153">
        <v>184399</v>
      </c>
      <c r="AM73" s="153">
        <v>526133</v>
      </c>
      <c r="AN73" s="153">
        <v>517241</v>
      </c>
      <c r="AO73" s="153">
        <v>505858</v>
      </c>
      <c r="AP73" s="153">
        <v>559596</v>
      </c>
      <c r="AQ73" s="153">
        <v>601291</v>
      </c>
      <c r="AR73" s="153">
        <v>607112</v>
      </c>
      <c r="AS73" s="153">
        <v>599671</v>
      </c>
      <c r="AT73" s="153">
        <v>583348</v>
      </c>
      <c r="AU73" s="153">
        <v>648839</v>
      </c>
      <c r="AV73" s="153">
        <v>621409</v>
      </c>
      <c r="AW73" s="153">
        <v>653894</v>
      </c>
      <c r="AX73" s="153">
        <v>674122</v>
      </c>
      <c r="AY73" s="153">
        <v>609143</v>
      </c>
      <c r="AZ73" s="153">
        <v>989704</v>
      </c>
      <c r="BA73" s="153">
        <v>956405</v>
      </c>
      <c r="BB73" s="153">
        <v>963625</v>
      </c>
      <c r="BC73" s="153">
        <v>1551426</v>
      </c>
      <c r="BD73" s="153">
        <v>1494073</v>
      </c>
      <c r="BE73" s="182">
        <v>1486835</v>
      </c>
    </row>
    <row r="74" spans="1:57">
      <c r="A74" s="163" t="s">
        <v>1127</v>
      </c>
      <c r="B74" s="163" t="s">
        <v>1128</v>
      </c>
      <c r="C74" s="152"/>
      <c r="D74" s="153"/>
      <c r="E74" s="153"/>
      <c r="F74" s="153"/>
      <c r="G74" s="153"/>
      <c r="H74" s="153"/>
      <c r="I74" s="153"/>
      <c r="J74" s="153"/>
      <c r="K74" s="153"/>
      <c r="L74" s="153"/>
      <c r="M74" s="153"/>
      <c r="N74" s="153"/>
      <c r="O74" s="153"/>
      <c r="P74" s="153"/>
      <c r="Q74" s="153"/>
      <c r="R74" s="153"/>
      <c r="S74" s="153"/>
      <c r="T74" s="153"/>
      <c r="U74" s="153"/>
      <c r="V74" s="153"/>
      <c r="W74" s="153"/>
      <c r="X74" s="153"/>
      <c r="Y74" s="153"/>
      <c r="Z74" s="153"/>
      <c r="AA74" s="153"/>
      <c r="AB74" s="153"/>
      <c r="AC74" s="153"/>
      <c r="AD74" s="153"/>
      <c r="AE74" s="153"/>
      <c r="AF74" s="153">
        <v>538739</v>
      </c>
      <c r="AG74" s="153">
        <v>983133</v>
      </c>
      <c r="AH74" s="153">
        <v>903854</v>
      </c>
      <c r="AI74" s="153"/>
      <c r="AJ74" s="153"/>
      <c r="AK74" s="153"/>
      <c r="AL74" s="153">
        <v>728927</v>
      </c>
      <c r="AM74" s="153">
        <v>719648</v>
      </c>
      <c r="AN74" s="153">
        <v>453523</v>
      </c>
      <c r="AO74" s="153">
        <v>200091</v>
      </c>
      <c r="AP74" s="153">
        <v>1068105</v>
      </c>
      <c r="AQ74" s="153">
        <v>1235312</v>
      </c>
      <c r="AR74" s="153">
        <v>726397</v>
      </c>
      <c r="AS74" s="153">
        <v>538074</v>
      </c>
      <c r="AT74" s="153">
        <v>1064647</v>
      </c>
      <c r="AU74" s="153">
        <v>1140393</v>
      </c>
      <c r="AV74" s="153">
        <v>761651</v>
      </c>
      <c r="AW74" s="153">
        <v>392935</v>
      </c>
      <c r="AX74" s="153">
        <v>76029</v>
      </c>
      <c r="AY74" s="153">
        <v>214265</v>
      </c>
      <c r="AZ74" s="153">
        <v>155127</v>
      </c>
      <c r="BA74" s="153">
        <v>90859</v>
      </c>
      <c r="BB74" s="153">
        <v>17944</v>
      </c>
      <c r="BC74" s="153">
        <v>458478</v>
      </c>
      <c r="BD74" s="153">
        <v>314587</v>
      </c>
      <c r="BE74" s="182">
        <v>169415</v>
      </c>
    </row>
    <row r="75" spans="1:57">
      <c r="A75" s="163" t="s">
        <v>1130</v>
      </c>
      <c r="B75" s="163" t="s">
        <v>1131</v>
      </c>
      <c r="C75" s="152"/>
      <c r="D75" s="153"/>
      <c r="E75" s="153"/>
      <c r="F75" s="153"/>
      <c r="G75" s="153"/>
      <c r="H75" s="153"/>
      <c r="I75" s="153"/>
      <c r="J75" s="153"/>
      <c r="K75" s="153"/>
      <c r="L75" s="153"/>
      <c r="M75" s="153"/>
      <c r="N75" s="153"/>
      <c r="O75" s="153"/>
      <c r="P75" s="153"/>
      <c r="Q75" s="153"/>
      <c r="R75" s="153"/>
      <c r="S75" s="153"/>
      <c r="T75" s="153"/>
      <c r="U75" s="153"/>
      <c r="V75" s="153"/>
      <c r="W75" s="153"/>
      <c r="X75" s="153"/>
      <c r="Y75" s="153"/>
      <c r="Z75" s="153"/>
      <c r="AA75" s="153"/>
      <c r="AB75" s="153"/>
      <c r="AC75" s="153"/>
      <c r="AD75" s="153"/>
      <c r="AE75" s="153"/>
      <c r="AF75" s="153"/>
      <c r="AG75" s="153"/>
      <c r="AH75" s="153"/>
      <c r="AI75" s="153"/>
      <c r="AJ75" s="153"/>
      <c r="AK75" s="153"/>
      <c r="AL75" s="153"/>
      <c r="AM75" s="153">
        <v>25875</v>
      </c>
      <c r="AN75" s="153"/>
      <c r="AO75" s="153"/>
      <c r="AP75" s="153">
        <v>18177</v>
      </c>
      <c r="AQ75" s="153">
        <v>29643</v>
      </c>
      <c r="AR75" s="153">
        <v>26155</v>
      </c>
      <c r="AS75" s="153">
        <v>23719</v>
      </c>
      <c r="AT75" s="153">
        <v>16543</v>
      </c>
      <c r="AU75" s="153">
        <v>15566</v>
      </c>
      <c r="AV75" s="153">
        <v>13353</v>
      </c>
      <c r="AW75" s="153">
        <v>11656</v>
      </c>
      <c r="AX75" s="153">
        <v>12103</v>
      </c>
      <c r="AY75" s="153">
        <v>11992</v>
      </c>
      <c r="AZ75" s="153">
        <v>12212</v>
      </c>
      <c r="BA75" s="153">
        <v>12187</v>
      </c>
      <c r="BB75" s="153">
        <v>11846</v>
      </c>
      <c r="BC75" s="153">
        <v>12936</v>
      </c>
      <c r="BD75" s="153">
        <v>13339</v>
      </c>
      <c r="BE75" s="182">
        <v>16949</v>
      </c>
    </row>
    <row r="76" spans="1:57">
      <c r="A76" s="163" t="s">
        <v>1356</v>
      </c>
      <c r="B76" s="163" t="s">
        <v>1266</v>
      </c>
      <c r="C76" s="152"/>
      <c r="D76" s="153"/>
      <c r="E76" s="153"/>
      <c r="F76" s="153"/>
      <c r="G76" s="153"/>
      <c r="H76" s="153"/>
      <c r="I76" s="153"/>
      <c r="J76" s="153"/>
      <c r="K76" s="153"/>
      <c r="L76" s="153"/>
      <c r="M76" s="153"/>
      <c r="N76" s="153"/>
      <c r="O76" s="153"/>
      <c r="P76" s="153"/>
      <c r="Q76" s="153"/>
      <c r="R76" s="153"/>
      <c r="S76" s="153"/>
      <c r="T76" s="153"/>
      <c r="U76" s="153"/>
      <c r="V76" s="153"/>
      <c r="W76" s="153"/>
      <c r="X76" s="153"/>
      <c r="Y76" s="153"/>
      <c r="Z76" s="153"/>
      <c r="AA76" s="153"/>
      <c r="AB76" s="153"/>
      <c r="AC76" s="153"/>
      <c r="AD76" s="153"/>
      <c r="AE76" s="153"/>
      <c r="AF76" s="153"/>
      <c r="AG76" s="153"/>
      <c r="AH76" s="153"/>
      <c r="AI76" s="153"/>
      <c r="AJ76" s="153"/>
      <c r="AK76" s="153"/>
      <c r="AL76" s="153"/>
      <c r="AM76" s="153"/>
      <c r="AN76" s="153"/>
      <c r="AO76" s="153"/>
      <c r="AP76" s="153"/>
      <c r="AQ76" s="153"/>
      <c r="AR76" s="153"/>
      <c r="AS76" s="153">
        <v>81079</v>
      </c>
      <c r="AT76" s="153">
        <v>61262</v>
      </c>
      <c r="AU76" s="153">
        <v>11692</v>
      </c>
      <c r="AV76" s="153">
        <v>40757</v>
      </c>
      <c r="AW76" s="153">
        <v>82921</v>
      </c>
      <c r="AX76" s="153">
        <v>317397</v>
      </c>
      <c r="AY76" s="153">
        <v>129082</v>
      </c>
      <c r="AZ76" s="153">
        <v>476612</v>
      </c>
      <c r="BA76" s="153">
        <v>254514</v>
      </c>
      <c r="BB76" s="153">
        <v>157906</v>
      </c>
      <c r="BC76" s="153">
        <v>117971</v>
      </c>
      <c r="BD76" s="153">
        <v>151022</v>
      </c>
      <c r="BE76" s="182">
        <v>176465</v>
      </c>
    </row>
    <row r="77" spans="1:57">
      <c r="A77" s="163" t="s">
        <v>1084</v>
      </c>
      <c r="B77" s="163" t="s">
        <v>1085</v>
      </c>
      <c r="C77" s="152"/>
      <c r="D77" s="153"/>
      <c r="E77" s="153"/>
      <c r="F77" s="153"/>
      <c r="G77" s="153"/>
      <c r="H77" s="153"/>
      <c r="I77" s="153"/>
      <c r="J77" s="153"/>
      <c r="K77" s="153"/>
      <c r="L77" s="153"/>
      <c r="M77" s="153"/>
      <c r="N77" s="153"/>
      <c r="O77" s="153"/>
      <c r="P77" s="153"/>
      <c r="Q77" s="153"/>
      <c r="R77" s="153"/>
      <c r="S77" s="153"/>
      <c r="T77" s="153"/>
      <c r="U77" s="153"/>
      <c r="V77" s="153"/>
      <c r="W77" s="153"/>
      <c r="X77" s="153"/>
      <c r="Y77" s="153"/>
      <c r="Z77" s="153"/>
      <c r="AA77" s="153"/>
      <c r="AB77" s="153"/>
      <c r="AC77" s="153"/>
      <c r="AD77" s="153"/>
      <c r="AE77" s="153"/>
      <c r="AF77" s="153"/>
      <c r="AG77" s="153"/>
      <c r="AH77" s="153"/>
      <c r="AI77" s="153"/>
      <c r="AJ77" s="153"/>
      <c r="AK77" s="153"/>
      <c r="AL77" s="153"/>
      <c r="AM77" s="153"/>
      <c r="AN77" s="153">
        <v>69699</v>
      </c>
      <c r="AO77" s="153"/>
      <c r="AP77" s="153">
        <v>42822</v>
      </c>
      <c r="AQ77" s="153">
        <v>72111</v>
      </c>
      <c r="AR77" s="153">
        <v>61463</v>
      </c>
      <c r="AS77" s="153">
        <v>81428</v>
      </c>
      <c r="AT77" s="153">
        <v>79725</v>
      </c>
      <c r="AU77" s="153">
        <v>86125</v>
      </c>
      <c r="AV77" s="153">
        <v>90554</v>
      </c>
      <c r="AW77" s="153">
        <v>92407</v>
      </c>
      <c r="AX77" s="153">
        <v>92412</v>
      </c>
      <c r="AY77" s="153">
        <v>84897</v>
      </c>
      <c r="AZ77" s="153">
        <v>96107</v>
      </c>
      <c r="BA77" s="153">
        <v>97975</v>
      </c>
      <c r="BB77" s="153">
        <v>103851</v>
      </c>
      <c r="BC77" s="153">
        <v>109765</v>
      </c>
      <c r="BD77" s="153">
        <v>111730</v>
      </c>
      <c r="BE77" s="182">
        <v>117405</v>
      </c>
    </row>
    <row r="78" spans="1:57">
      <c r="A78" s="151" t="s">
        <v>1129</v>
      </c>
      <c r="B78" s="151" t="s">
        <v>96</v>
      </c>
      <c r="C78" s="152"/>
      <c r="D78" s="153">
        <v>364718</v>
      </c>
      <c r="E78" s="153">
        <v>379212</v>
      </c>
      <c r="F78" s="153">
        <v>411055</v>
      </c>
      <c r="G78" s="153">
        <v>426786</v>
      </c>
      <c r="H78" s="153">
        <v>410259</v>
      </c>
      <c r="I78" s="153">
        <v>440549</v>
      </c>
      <c r="J78" s="153">
        <v>452385</v>
      </c>
      <c r="K78" s="153">
        <v>469966</v>
      </c>
      <c r="L78" s="153">
        <v>472000</v>
      </c>
      <c r="M78" s="153">
        <v>477000</v>
      </c>
      <c r="N78" s="153">
        <v>523500</v>
      </c>
      <c r="O78" s="153">
        <v>609400</v>
      </c>
      <c r="P78" s="153">
        <v>542500</v>
      </c>
      <c r="Q78" s="153">
        <v>527673</v>
      </c>
      <c r="R78" s="153">
        <v>625921</v>
      </c>
      <c r="S78" s="153">
        <v>762160</v>
      </c>
      <c r="T78" s="153">
        <v>560071</v>
      </c>
      <c r="U78" s="153">
        <v>483132.00000000006</v>
      </c>
      <c r="V78" s="153">
        <v>830148</v>
      </c>
      <c r="W78" s="153">
        <v>788395</v>
      </c>
      <c r="X78" s="153">
        <v>784784</v>
      </c>
      <c r="Y78" s="153">
        <v>781908</v>
      </c>
      <c r="Z78" s="153">
        <v>825334</v>
      </c>
      <c r="AA78" s="153">
        <v>955198</v>
      </c>
      <c r="AB78" s="153">
        <v>980697</v>
      </c>
      <c r="AC78" s="153">
        <v>1075286</v>
      </c>
      <c r="AD78" s="153">
        <v>972396.99999999988</v>
      </c>
      <c r="AE78" s="153">
        <v>481991</v>
      </c>
      <c r="AF78" s="153">
        <v>427652</v>
      </c>
      <c r="AG78" s="153">
        <v>448576</v>
      </c>
      <c r="AH78" s="153">
        <v>440641</v>
      </c>
      <c r="AI78" s="153">
        <v>436671</v>
      </c>
      <c r="AJ78" s="153">
        <v>428035</v>
      </c>
      <c r="AK78" s="153">
        <v>443095</v>
      </c>
      <c r="AL78" s="153">
        <v>725133</v>
      </c>
      <c r="AM78" s="153">
        <v>853100</v>
      </c>
      <c r="AN78" s="153">
        <v>978030</v>
      </c>
      <c r="AO78" s="153">
        <v>823748</v>
      </c>
      <c r="AP78" s="153">
        <v>855896</v>
      </c>
      <c r="AQ78" s="153">
        <v>1102172</v>
      </c>
      <c r="AR78" s="153">
        <v>1154589</v>
      </c>
      <c r="AS78" s="153">
        <v>1410309</v>
      </c>
      <c r="AT78" s="153">
        <v>1499948.0089100001</v>
      </c>
      <c r="AU78" s="153">
        <v>1295743</v>
      </c>
      <c r="AV78" s="153">
        <v>1273883</v>
      </c>
      <c r="AW78" s="153">
        <v>1327831</v>
      </c>
      <c r="AX78" s="153">
        <v>1476709</v>
      </c>
      <c r="AY78" s="153">
        <v>1907341</v>
      </c>
      <c r="AZ78" s="153">
        <v>2074830</v>
      </c>
      <c r="BA78" s="153">
        <v>1998028</v>
      </c>
      <c r="BB78" s="153">
        <v>2327298</v>
      </c>
      <c r="BC78" s="153">
        <v>2274714</v>
      </c>
      <c r="BD78" s="153">
        <v>2157406</v>
      </c>
      <c r="BE78" s="182">
        <v>2210621</v>
      </c>
    </row>
    <row r="79" spans="1:57" ht="15" thickBot="1">
      <c r="A79" s="151" t="s">
        <v>1311</v>
      </c>
      <c r="B79" s="151" t="s">
        <v>1357</v>
      </c>
      <c r="C79" s="152"/>
      <c r="D79" s="153"/>
      <c r="E79" s="153"/>
      <c r="F79" s="153"/>
      <c r="G79" s="153"/>
      <c r="H79" s="153"/>
      <c r="I79" s="153"/>
      <c r="J79" s="153"/>
      <c r="K79" s="153"/>
      <c r="L79" s="153"/>
      <c r="M79" s="153"/>
      <c r="N79" s="153"/>
      <c r="O79" s="153"/>
      <c r="P79" s="153"/>
      <c r="Q79" s="153"/>
      <c r="R79" s="153"/>
      <c r="S79" s="153"/>
      <c r="T79" s="153"/>
      <c r="U79" s="153"/>
      <c r="V79" s="153"/>
      <c r="W79" s="153"/>
      <c r="X79" s="153"/>
      <c r="Y79" s="153"/>
      <c r="Z79" s="153"/>
      <c r="AA79" s="153"/>
      <c r="AB79" s="153"/>
      <c r="AC79" s="153"/>
      <c r="AD79" s="153"/>
      <c r="AE79" s="153"/>
      <c r="AF79" s="153"/>
      <c r="AG79" s="153"/>
      <c r="AH79" s="153"/>
      <c r="AI79" s="153"/>
      <c r="AJ79" s="153"/>
      <c r="AK79" s="153"/>
      <c r="AL79" s="153"/>
      <c r="AM79" s="153"/>
      <c r="AN79" s="153"/>
      <c r="AO79" s="153"/>
      <c r="AP79" s="153"/>
      <c r="AQ79" s="153"/>
      <c r="AR79" s="153"/>
      <c r="AS79" s="153"/>
      <c r="AT79" s="153"/>
      <c r="AU79" s="153">
        <v>791119</v>
      </c>
      <c r="AV79" s="153"/>
      <c r="AW79" s="153">
        <v>724319</v>
      </c>
      <c r="AX79" s="153">
        <v>724211</v>
      </c>
      <c r="AY79" s="153"/>
      <c r="AZ79" s="153"/>
      <c r="BA79" s="153"/>
      <c r="BB79" s="153"/>
      <c r="BC79" s="153"/>
      <c r="BD79" s="153"/>
      <c r="BE79" s="182">
        <v>0</v>
      </c>
    </row>
    <row r="80" spans="1:57" ht="15" thickBot="1">
      <c r="A80" s="155" t="s">
        <v>1081</v>
      </c>
      <c r="B80" s="155" t="s">
        <v>1082</v>
      </c>
      <c r="C80" s="148"/>
      <c r="D80" s="156">
        <f t="shared" ref="D80:AA80" si="14">SUM(D82:D98)</f>
        <v>4123157</v>
      </c>
      <c r="E80" s="156">
        <f t="shared" si="14"/>
        <v>4354661.4501700001</v>
      </c>
      <c r="F80" s="156">
        <f t="shared" si="14"/>
        <v>4222971.7516600005</v>
      </c>
      <c r="G80" s="156">
        <f t="shared" si="14"/>
        <v>4566921</v>
      </c>
      <c r="H80" s="156">
        <f t="shared" si="14"/>
        <v>4375158</v>
      </c>
      <c r="I80" s="156">
        <f t="shared" si="14"/>
        <v>4006384.5581899998</v>
      </c>
      <c r="J80" s="156">
        <f t="shared" si="14"/>
        <v>3750361</v>
      </c>
      <c r="K80" s="156">
        <f t="shared" si="14"/>
        <v>4671729</v>
      </c>
      <c r="L80" s="156">
        <f t="shared" si="14"/>
        <v>5307400</v>
      </c>
      <c r="M80" s="156">
        <f t="shared" si="14"/>
        <v>4968000</v>
      </c>
      <c r="N80" s="156">
        <f t="shared" si="14"/>
        <v>5114000</v>
      </c>
      <c r="O80" s="156">
        <f t="shared" si="14"/>
        <v>5225400</v>
      </c>
      <c r="P80" s="156">
        <f t="shared" si="14"/>
        <v>5155500</v>
      </c>
      <c r="Q80" s="156">
        <f t="shared" si="14"/>
        <v>5222746</v>
      </c>
      <c r="R80" s="156">
        <f t="shared" si="14"/>
        <v>5209385</v>
      </c>
      <c r="S80" s="156">
        <f t="shared" si="14"/>
        <v>5931529</v>
      </c>
      <c r="T80" s="156">
        <f t="shared" si="14"/>
        <v>6072878</v>
      </c>
      <c r="U80" s="156">
        <f t="shared" si="14"/>
        <v>6075671</v>
      </c>
      <c r="V80" s="156">
        <f t="shared" si="14"/>
        <v>5758683</v>
      </c>
      <c r="W80" s="156">
        <f t="shared" si="14"/>
        <v>7666001</v>
      </c>
      <c r="X80" s="156">
        <f t="shared" si="14"/>
        <v>7651339</v>
      </c>
      <c r="Y80" s="156">
        <f t="shared" si="14"/>
        <v>8665230</v>
      </c>
      <c r="Z80" s="156">
        <f t="shared" si="14"/>
        <v>8293976</v>
      </c>
      <c r="AA80" s="156">
        <f t="shared" si="14"/>
        <v>12510741</v>
      </c>
      <c r="AB80" s="156">
        <f t="shared" ref="AB80:BE80" si="15">SUM(AB81:AB98)</f>
        <v>16732253</v>
      </c>
      <c r="AC80" s="156">
        <f t="shared" si="15"/>
        <v>19272853</v>
      </c>
      <c r="AD80" s="156">
        <f t="shared" si="15"/>
        <v>20382085</v>
      </c>
      <c r="AE80" s="156">
        <f t="shared" si="15"/>
        <v>21602301</v>
      </c>
      <c r="AF80" s="156">
        <f t="shared" si="15"/>
        <v>22122768</v>
      </c>
      <c r="AG80" s="156">
        <f t="shared" si="15"/>
        <v>22087393</v>
      </c>
      <c r="AH80" s="156">
        <f t="shared" si="15"/>
        <v>22855767</v>
      </c>
      <c r="AI80" s="156">
        <f t="shared" si="15"/>
        <v>23135595</v>
      </c>
      <c r="AJ80" s="156">
        <f t="shared" si="15"/>
        <v>23114241</v>
      </c>
      <c r="AK80" s="156">
        <f t="shared" si="15"/>
        <v>23054084</v>
      </c>
      <c r="AL80" s="156">
        <f t="shared" si="15"/>
        <v>29460766</v>
      </c>
      <c r="AM80" s="156">
        <f t="shared" si="15"/>
        <v>34120385</v>
      </c>
      <c r="AN80" s="156">
        <f t="shared" si="15"/>
        <v>41271711</v>
      </c>
      <c r="AO80" s="156">
        <f t="shared" si="15"/>
        <v>42347758</v>
      </c>
      <c r="AP80" s="156">
        <f t="shared" si="15"/>
        <v>40799987</v>
      </c>
      <c r="AQ80" s="156">
        <f t="shared" si="15"/>
        <v>49950568</v>
      </c>
      <c r="AR80" s="156">
        <f t="shared" si="15"/>
        <v>57272289</v>
      </c>
      <c r="AS80" s="156">
        <f t="shared" si="15"/>
        <v>56926546</v>
      </c>
      <c r="AT80" s="156">
        <f t="shared" si="15"/>
        <v>55785073</v>
      </c>
      <c r="AU80" s="156">
        <f t="shared" si="15"/>
        <v>60210411</v>
      </c>
      <c r="AV80" s="156">
        <f t="shared" si="15"/>
        <v>57568817</v>
      </c>
      <c r="AW80" s="156">
        <f t="shared" si="15"/>
        <v>60178558</v>
      </c>
      <c r="AX80" s="156">
        <f t="shared" si="15"/>
        <v>64362328</v>
      </c>
      <c r="AY80" s="156">
        <f t="shared" si="15"/>
        <v>66919296</v>
      </c>
      <c r="AZ80" s="156">
        <f t="shared" si="15"/>
        <v>63854259</v>
      </c>
      <c r="BA80" s="156">
        <f t="shared" si="15"/>
        <v>64369953</v>
      </c>
      <c r="BB80" s="156">
        <f t="shared" si="15"/>
        <v>72511182</v>
      </c>
      <c r="BC80" s="156">
        <f t="shared" si="15"/>
        <v>63472098</v>
      </c>
      <c r="BD80" s="156">
        <f t="shared" si="15"/>
        <v>66069435</v>
      </c>
      <c r="BE80" s="156">
        <f t="shared" si="15"/>
        <v>73478796</v>
      </c>
    </row>
    <row r="81" spans="1:57">
      <c r="A81" s="151" t="s">
        <v>1102</v>
      </c>
      <c r="B81" s="151" t="s">
        <v>1103</v>
      </c>
      <c r="C81" s="152"/>
      <c r="D81" s="153"/>
      <c r="E81" s="153"/>
      <c r="F81" s="153"/>
      <c r="G81" s="153"/>
      <c r="H81" s="153"/>
      <c r="I81" s="153"/>
      <c r="J81" s="153"/>
      <c r="K81" s="153"/>
      <c r="L81" s="153"/>
      <c r="M81" s="153"/>
      <c r="N81" s="153"/>
      <c r="O81" s="153"/>
      <c r="P81" s="153"/>
      <c r="Q81" s="153"/>
      <c r="R81" s="153"/>
      <c r="S81" s="153"/>
      <c r="T81" s="153"/>
      <c r="U81" s="153"/>
      <c r="V81" s="153"/>
      <c r="W81" s="153"/>
      <c r="X81" s="153"/>
      <c r="Y81" s="153"/>
      <c r="Z81" s="153"/>
      <c r="AA81" s="153"/>
      <c r="AB81" s="153"/>
      <c r="AC81" s="153"/>
      <c r="AD81" s="153"/>
      <c r="AE81" s="153"/>
      <c r="AF81" s="153"/>
      <c r="AG81" s="153"/>
      <c r="AH81" s="153"/>
      <c r="AI81" s="153"/>
      <c r="AJ81" s="153"/>
      <c r="AK81" s="153"/>
      <c r="AL81" s="153"/>
      <c r="AM81" s="153">
        <v>178699</v>
      </c>
      <c r="AN81" s="153"/>
      <c r="AO81" s="153"/>
      <c r="AP81" s="153">
        <v>10381</v>
      </c>
      <c r="AQ81" s="153">
        <v>330514</v>
      </c>
      <c r="AR81" s="153">
        <v>367647</v>
      </c>
      <c r="AS81" s="153">
        <v>253447</v>
      </c>
      <c r="AT81" s="153">
        <v>223866</v>
      </c>
      <c r="AU81" s="153">
        <v>194811</v>
      </c>
      <c r="AV81" s="153">
        <v>169892</v>
      </c>
      <c r="AW81" s="153">
        <v>131280</v>
      </c>
      <c r="AX81" s="153">
        <v>101631</v>
      </c>
      <c r="AY81" s="153">
        <v>73497</v>
      </c>
      <c r="AZ81" s="153">
        <v>44060</v>
      </c>
      <c r="BA81" s="153">
        <v>14848</v>
      </c>
      <c r="BB81" s="153">
        <v>15622</v>
      </c>
      <c r="BC81" s="153">
        <v>23003</v>
      </c>
      <c r="BD81" s="153">
        <v>22117</v>
      </c>
      <c r="BE81" s="153">
        <v>21544</v>
      </c>
    </row>
    <row r="82" spans="1:57">
      <c r="A82" s="151" t="s">
        <v>1105</v>
      </c>
      <c r="B82" s="151" t="s">
        <v>1106</v>
      </c>
      <c r="C82" s="152"/>
      <c r="D82" s="153">
        <v>1955566</v>
      </c>
      <c r="E82" s="153">
        <v>2224087.4501700001</v>
      </c>
      <c r="F82" s="153">
        <v>2250948.1379300002</v>
      </c>
      <c r="G82" s="153">
        <v>2756344</v>
      </c>
      <c r="H82" s="153">
        <v>2580857</v>
      </c>
      <c r="I82" s="153">
        <v>2207948.6227299999</v>
      </c>
      <c r="J82" s="153">
        <v>2073186.0000000002</v>
      </c>
      <c r="K82" s="153">
        <v>2897754</v>
      </c>
      <c r="L82" s="153">
        <v>3515000</v>
      </c>
      <c r="M82" s="153">
        <v>2383000</v>
      </c>
      <c r="N82" s="153">
        <v>2472500</v>
      </c>
      <c r="O82" s="153">
        <v>2587000</v>
      </c>
      <c r="P82" s="153">
        <v>2481000</v>
      </c>
      <c r="Q82" s="153">
        <v>2460817</v>
      </c>
      <c r="R82" s="153">
        <v>2387520</v>
      </c>
      <c r="S82" s="153">
        <v>2217653</v>
      </c>
      <c r="T82" s="153">
        <v>2127559</v>
      </c>
      <c r="U82" s="153">
        <v>2244885</v>
      </c>
      <c r="V82" s="153">
        <v>2188779</v>
      </c>
      <c r="W82" s="153">
        <v>2978665</v>
      </c>
      <c r="X82" s="153">
        <v>3091474</v>
      </c>
      <c r="Y82" s="153">
        <v>3451145</v>
      </c>
      <c r="Z82" s="153">
        <v>2980090</v>
      </c>
      <c r="AA82" s="153">
        <v>4561426</v>
      </c>
      <c r="AB82" s="153">
        <v>7783567</v>
      </c>
      <c r="AC82" s="153">
        <v>8793636</v>
      </c>
      <c r="AD82" s="153">
        <v>9034897</v>
      </c>
      <c r="AE82" s="153">
        <v>9362674</v>
      </c>
      <c r="AF82" s="153">
        <v>9737786</v>
      </c>
      <c r="AG82" s="153">
        <v>9916061</v>
      </c>
      <c r="AH82" s="153">
        <v>10206488</v>
      </c>
      <c r="AI82" s="153">
        <v>10558285</v>
      </c>
      <c r="AJ82" s="153">
        <v>10287923</v>
      </c>
      <c r="AK82" s="153">
        <v>9698825</v>
      </c>
      <c r="AL82" s="153">
        <v>11454837</v>
      </c>
      <c r="AM82" s="153">
        <v>12174889</v>
      </c>
      <c r="AN82" s="153">
        <v>15361893</v>
      </c>
      <c r="AO82" s="153">
        <v>15692437</v>
      </c>
      <c r="AP82" s="153">
        <v>15206741</v>
      </c>
      <c r="AQ82" s="153">
        <v>17103172</v>
      </c>
      <c r="AR82" s="153">
        <v>17088076</v>
      </c>
      <c r="AS82" s="153">
        <v>17649476</v>
      </c>
      <c r="AT82" s="153">
        <v>17607599</v>
      </c>
      <c r="AU82" s="153">
        <v>18034095</v>
      </c>
      <c r="AV82" s="153">
        <v>17310460</v>
      </c>
      <c r="AW82" s="153">
        <v>17034117</v>
      </c>
      <c r="AX82" s="153">
        <v>20293477</v>
      </c>
      <c r="AY82" s="153">
        <v>21743520</v>
      </c>
      <c r="AZ82" s="153">
        <v>18091419</v>
      </c>
      <c r="BA82" s="153">
        <v>18787180</v>
      </c>
      <c r="BB82" s="153">
        <v>21060086</v>
      </c>
      <c r="BC82" s="153">
        <v>17478963</v>
      </c>
      <c r="BD82" s="153">
        <v>16443281</v>
      </c>
      <c r="BE82" s="153">
        <v>22578962</v>
      </c>
    </row>
    <row r="83" spans="1:57">
      <c r="A83" s="151" t="s">
        <v>1107</v>
      </c>
      <c r="B83" s="151" t="s">
        <v>1108</v>
      </c>
      <c r="C83" s="152"/>
      <c r="D83" s="153">
        <v>287473</v>
      </c>
      <c r="E83" s="153">
        <v>290038</v>
      </c>
      <c r="F83" s="153">
        <v>291044.25643000001</v>
      </c>
      <c r="G83" s="153">
        <v>294085</v>
      </c>
      <c r="H83" s="153">
        <v>298513</v>
      </c>
      <c r="I83" s="153">
        <v>302268.42418999999</v>
      </c>
      <c r="J83" s="153">
        <v>303827</v>
      </c>
      <c r="K83" s="153">
        <v>506423</v>
      </c>
      <c r="L83" s="153">
        <v>514000</v>
      </c>
      <c r="M83" s="153">
        <v>486000</v>
      </c>
      <c r="N83" s="153">
        <v>489000</v>
      </c>
      <c r="O83" s="153">
        <v>495000</v>
      </c>
      <c r="P83" s="153">
        <v>502000</v>
      </c>
      <c r="Q83" s="153">
        <v>473007</v>
      </c>
      <c r="R83" s="153">
        <v>577049</v>
      </c>
      <c r="S83" s="153">
        <v>1629727</v>
      </c>
      <c r="T83" s="153">
        <v>1640891</v>
      </c>
      <c r="U83" s="153">
        <v>1530397</v>
      </c>
      <c r="V83" s="153">
        <v>1553856</v>
      </c>
      <c r="W83" s="153">
        <v>2793186</v>
      </c>
      <c r="X83" s="153">
        <v>2808166</v>
      </c>
      <c r="Y83" s="153">
        <v>3408576</v>
      </c>
      <c r="Z83" s="153">
        <v>3426579</v>
      </c>
      <c r="AA83" s="153">
        <v>4170885</v>
      </c>
      <c r="AB83" s="153">
        <v>4373674</v>
      </c>
      <c r="AC83" s="153">
        <v>5527073</v>
      </c>
      <c r="AD83" s="153">
        <v>5545922</v>
      </c>
      <c r="AE83" s="153">
        <v>5559184</v>
      </c>
      <c r="AF83" s="153">
        <v>4892169</v>
      </c>
      <c r="AG83" s="153">
        <v>4865379</v>
      </c>
      <c r="AH83" s="153">
        <v>4882355</v>
      </c>
      <c r="AI83" s="153">
        <v>4117327</v>
      </c>
      <c r="AJ83" s="153">
        <v>4116306</v>
      </c>
      <c r="AK83" s="153">
        <v>4645098</v>
      </c>
      <c r="AL83" s="153">
        <v>5692387</v>
      </c>
      <c r="AM83" s="153">
        <v>9640470</v>
      </c>
      <c r="AN83" s="153">
        <v>12820204</v>
      </c>
      <c r="AO83" s="153">
        <v>13318223</v>
      </c>
      <c r="AP83" s="153">
        <v>13055299</v>
      </c>
      <c r="AQ83" s="153">
        <v>13271265</v>
      </c>
      <c r="AR83" s="153">
        <v>20284600</v>
      </c>
      <c r="AS83" s="153">
        <v>19870117</v>
      </c>
      <c r="AT83" s="153">
        <v>19661161</v>
      </c>
      <c r="AU83" s="153">
        <v>23156107</v>
      </c>
      <c r="AV83" s="153">
        <v>21240154</v>
      </c>
      <c r="AW83" s="153">
        <v>24854933</v>
      </c>
      <c r="AX83" s="153">
        <v>25932757</v>
      </c>
      <c r="AY83" s="153">
        <v>27703158</v>
      </c>
      <c r="AZ83" s="153">
        <v>28396254</v>
      </c>
      <c r="BA83" s="153">
        <v>28772130</v>
      </c>
      <c r="BB83" s="153">
        <v>33914514</v>
      </c>
      <c r="BC83" s="153">
        <v>32579315</v>
      </c>
      <c r="BD83" s="153">
        <v>35715001</v>
      </c>
      <c r="BE83" s="153">
        <v>36897399</v>
      </c>
    </row>
    <row r="84" spans="1:57">
      <c r="A84" s="151" t="s">
        <v>1352</v>
      </c>
      <c r="B84" s="151" t="s">
        <v>1110</v>
      </c>
      <c r="C84" s="152"/>
      <c r="D84" s="153"/>
      <c r="E84" s="153"/>
      <c r="F84" s="153"/>
      <c r="G84" s="153"/>
      <c r="H84" s="153"/>
      <c r="I84" s="153"/>
      <c r="J84" s="153"/>
      <c r="K84" s="153"/>
      <c r="L84" s="153"/>
      <c r="M84" s="153"/>
      <c r="N84" s="153"/>
      <c r="O84" s="153"/>
      <c r="P84" s="153"/>
      <c r="Q84" s="153"/>
      <c r="R84" s="153"/>
      <c r="S84" s="153"/>
      <c r="T84" s="153"/>
      <c r="U84" s="153"/>
      <c r="V84" s="153"/>
      <c r="W84" s="153"/>
      <c r="X84" s="153"/>
      <c r="Y84" s="153"/>
      <c r="Z84" s="153"/>
      <c r="AA84" s="153"/>
      <c r="AB84" s="153"/>
      <c r="AC84" s="153"/>
      <c r="AD84" s="153">
        <v>195699</v>
      </c>
      <c r="AE84" s="153">
        <v>132374</v>
      </c>
      <c r="AF84" s="153">
        <v>102646</v>
      </c>
      <c r="AG84" s="153">
        <v>196923</v>
      </c>
      <c r="AH84" s="153">
        <v>478473</v>
      </c>
      <c r="AI84" s="153">
        <v>170307</v>
      </c>
      <c r="AJ84" s="153">
        <v>329878</v>
      </c>
      <c r="AK84" s="153">
        <v>277532</v>
      </c>
      <c r="AL84" s="153">
        <v>49614</v>
      </c>
      <c r="AM84" s="153">
        <v>36592</v>
      </c>
      <c r="AN84" s="153">
        <v>36972</v>
      </c>
      <c r="AO84" s="153">
        <v>296068</v>
      </c>
      <c r="AP84" s="153">
        <v>534266</v>
      </c>
      <c r="AQ84" s="153">
        <v>690667</v>
      </c>
      <c r="AR84" s="153">
        <v>765191</v>
      </c>
      <c r="AS84" s="153">
        <v>441384</v>
      </c>
      <c r="AT84" s="153">
        <v>422793</v>
      </c>
      <c r="AU84" s="153">
        <v>972444</v>
      </c>
      <c r="AV84" s="153">
        <v>835236</v>
      </c>
      <c r="AW84" s="153">
        <v>538522</v>
      </c>
      <c r="AX84" s="153">
        <v>418402</v>
      </c>
      <c r="AY84" s="153">
        <v>417525</v>
      </c>
      <c r="AZ84" s="153">
        <v>320326</v>
      </c>
      <c r="BA84" s="153">
        <v>136487</v>
      </c>
      <c r="BB84" s="153">
        <v>189012</v>
      </c>
      <c r="BC84" s="153">
        <v>134179</v>
      </c>
      <c r="BD84" s="153">
        <v>82105</v>
      </c>
      <c r="BE84" s="153">
        <v>0</v>
      </c>
    </row>
    <row r="85" spans="1:57">
      <c r="A85" s="151" t="s">
        <v>1117</v>
      </c>
      <c r="B85" s="151" t="s">
        <v>1118</v>
      </c>
      <c r="C85" s="152"/>
      <c r="D85" s="153"/>
      <c r="E85" s="153"/>
      <c r="F85" s="153"/>
      <c r="G85" s="153"/>
      <c r="H85" s="153"/>
      <c r="I85" s="153"/>
      <c r="J85" s="153"/>
      <c r="K85" s="153"/>
      <c r="L85" s="153"/>
      <c r="M85" s="153"/>
      <c r="N85" s="153"/>
      <c r="O85" s="153"/>
      <c r="P85" s="153"/>
      <c r="Q85" s="153"/>
      <c r="R85" s="153"/>
      <c r="S85" s="153"/>
      <c r="T85" s="153"/>
      <c r="U85" s="153"/>
      <c r="V85" s="153"/>
      <c r="W85" s="153"/>
      <c r="X85" s="153"/>
      <c r="Y85" s="153"/>
      <c r="Z85" s="153"/>
      <c r="AA85" s="153"/>
      <c r="AB85" s="153"/>
      <c r="AC85" s="153"/>
      <c r="AD85" s="153"/>
      <c r="AE85" s="153"/>
      <c r="AF85" s="153">
        <v>192812</v>
      </c>
      <c r="AG85" s="153">
        <v>198148</v>
      </c>
      <c r="AH85" s="153">
        <v>204208</v>
      </c>
      <c r="AI85" s="153">
        <v>220345</v>
      </c>
      <c r="AJ85" s="153">
        <v>151537</v>
      </c>
      <c r="AK85" s="153">
        <v>159980</v>
      </c>
      <c r="AL85" s="153">
        <v>206732</v>
      </c>
      <c r="AM85" s="153">
        <v>88336</v>
      </c>
      <c r="AN85" s="153">
        <v>77177</v>
      </c>
      <c r="AO85" s="153">
        <v>122663</v>
      </c>
      <c r="AP85" s="153">
        <v>135687</v>
      </c>
      <c r="AQ85" s="153">
        <v>208546</v>
      </c>
      <c r="AR85" s="153">
        <v>250785</v>
      </c>
      <c r="AS85" s="153">
        <v>270019</v>
      </c>
      <c r="AT85" s="153">
        <v>302281</v>
      </c>
      <c r="AU85" s="153">
        <v>201211</v>
      </c>
      <c r="AV85" s="153">
        <v>235799</v>
      </c>
      <c r="AW85" s="153">
        <v>268958</v>
      </c>
      <c r="AX85" s="153">
        <v>298263</v>
      </c>
      <c r="AY85" s="153">
        <v>303901</v>
      </c>
      <c r="AZ85" s="153">
        <v>340597</v>
      </c>
      <c r="BA85" s="153">
        <v>380699</v>
      </c>
      <c r="BB85" s="153">
        <v>412706</v>
      </c>
      <c r="BC85" s="153">
        <v>366180</v>
      </c>
      <c r="BD85" s="153">
        <v>419314</v>
      </c>
      <c r="BE85" s="153">
        <v>479633</v>
      </c>
    </row>
    <row r="86" spans="1:57">
      <c r="A86" s="151" t="s">
        <v>1111</v>
      </c>
      <c r="B86" s="151" t="s">
        <v>1112</v>
      </c>
      <c r="C86" s="152"/>
      <c r="D86" s="153">
        <v>416398</v>
      </c>
      <c r="E86" s="153">
        <v>389738</v>
      </c>
      <c r="F86" s="153">
        <v>356998.35730000003</v>
      </c>
      <c r="G86" s="153">
        <v>333813</v>
      </c>
      <c r="H86" s="153">
        <v>313898</v>
      </c>
      <c r="I86" s="153">
        <v>293598.63336000004</v>
      </c>
      <c r="J86" s="153">
        <v>228865</v>
      </c>
      <c r="K86" s="153">
        <v>108660.00000000001</v>
      </c>
      <c r="L86" s="153">
        <f>(71+44)*1000</f>
        <v>115000</v>
      </c>
      <c r="M86" s="153">
        <v>250000</v>
      </c>
      <c r="N86" s="153">
        <v>296000</v>
      </c>
      <c r="O86" s="153">
        <v>193000</v>
      </c>
      <c r="P86" s="153">
        <v>226000</v>
      </c>
      <c r="Q86" s="153">
        <v>244102</v>
      </c>
      <c r="R86" s="153">
        <v>259414</v>
      </c>
      <c r="S86" s="153">
        <v>275711</v>
      </c>
      <c r="T86" s="153">
        <v>265131</v>
      </c>
      <c r="U86" s="153">
        <v>315664</v>
      </c>
      <c r="V86" s="153">
        <v>38164</v>
      </c>
      <c r="W86" s="153">
        <v>38236</v>
      </c>
      <c r="X86" s="153">
        <v>38140</v>
      </c>
      <c r="Y86" s="153">
        <v>291036</v>
      </c>
      <c r="Z86" s="153">
        <v>347004</v>
      </c>
      <c r="AA86" s="153">
        <v>1755157</v>
      </c>
      <c r="AB86" s="153">
        <v>2375857</v>
      </c>
      <c r="AC86" s="153">
        <v>2672811</v>
      </c>
      <c r="AD86" s="153">
        <v>3241910.0000000005</v>
      </c>
      <c r="AE86" s="153">
        <v>4107805</v>
      </c>
      <c r="AF86" s="153">
        <v>2766352.0000000005</v>
      </c>
      <c r="AG86" s="153">
        <v>2890675</v>
      </c>
      <c r="AH86" s="153">
        <v>3034637</v>
      </c>
      <c r="AI86" s="153">
        <v>234365</v>
      </c>
      <c r="AJ86" s="153">
        <v>223427</v>
      </c>
      <c r="AK86" s="153">
        <v>213804</v>
      </c>
      <c r="AL86" s="153">
        <v>2455969</v>
      </c>
      <c r="AM86" s="153">
        <v>2517663</v>
      </c>
      <c r="AN86" s="153">
        <v>2512361</v>
      </c>
      <c r="AO86" s="153">
        <v>2552281</v>
      </c>
      <c r="AP86" s="153">
        <v>2587795</v>
      </c>
      <c r="AQ86" s="153">
        <v>2689205</v>
      </c>
      <c r="AR86" s="153">
        <v>2733738</v>
      </c>
      <c r="AS86" s="153">
        <v>2759112</v>
      </c>
      <c r="AT86" s="153">
        <v>2884697</v>
      </c>
      <c r="AU86" s="153">
        <v>2913172</v>
      </c>
      <c r="AV86" s="153">
        <v>2921533</v>
      </c>
      <c r="AW86" s="153">
        <v>2968186</v>
      </c>
      <c r="AX86" s="153">
        <v>2967327</v>
      </c>
      <c r="AY86" s="153">
        <v>3017707</v>
      </c>
      <c r="AZ86" s="153">
        <v>3013231</v>
      </c>
      <c r="BA86" s="153">
        <v>3010219</v>
      </c>
      <c r="BB86" s="153">
        <v>3012784</v>
      </c>
      <c r="BC86" s="153">
        <v>2921492</v>
      </c>
      <c r="BD86" s="153">
        <v>2916768</v>
      </c>
      <c r="BE86" s="153">
        <v>2038202</v>
      </c>
    </row>
    <row r="87" spans="1:57">
      <c r="A87" s="151" t="s">
        <v>1355</v>
      </c>
      <c r="B87" s="151" t="s">
        <v>1126</v>
      </c>
      <c r="C87" s="152"/>
      <c r="D87" s="153">
        <v>758804</v>
      </c>
      <c r="E87" s="153">
        <v>755517</v>
      </c>
      <c r="F87" s="153">
        <v>638086</v>
      </c>
      <c r="G87" s="153">
        <v>637524</v>
      </c>
      <c r="H87" s="153">
        <v>636712</v>
      </c>
      <c r="I87" s="153">
        <v>644082.87790999992</v>
      </c>
      <c r="J87" s="153">
        <v>576906</v>
      </c>
      <c r="K87" s="153">
        <v>546245</v>
      </c>
      <c r="L87" s="153">
        <v>558000</v>
      </c>
      <c r="M87" s="153">
        <v>558000</v>
      </c>
      <c r="N87" s="153">
        <v>464000</v>
      </c>
      <c r="O87" s="153">
        <v>470000</v>
      </c>
      <c r="P87" s="153">
        <v>421000</v>
      </c>
      <c r="Q87" s="153">
        <v>424415</v>
      </c>
      <c r="R87" s="153">
        <v>453046</v>
      </c>
      <c r="S87" s="153">
        <v>455527</v>
      </c>
      <c r="T87" s="153">
        <v>468185</v>
      </c>
      <c r="U87" s="153">
        <v>460436</v>
      </c>
      <c r="V87" s="153">
        <v>462517</v>
      </c>
      <c r="W87" s="153">
        <v>425089</v>
      </c>
      <c r="X87" s="153">
        <v>437426</v>
      </c>
      <c r="Y87" s="153">
        <v>434247</v>
      </c>
      <c r="Z87" s="153">
        <v>436321</v>
      </c>
      <c r="AA87" s="153">
        <v>763046</v>
      </c>
      <c r="AB87" s="153">
        <v>860191</v>
      </c>
      <c r="AC87" s="153">
        <v>885698</v>
      </c>
      <c r="AD87" s="153">
        <v>897829</v>
      </c>
      <c r="AE87" s="153">
        <v>1037472</v>
      </c>
      <c r="AF87" s="153">
        <v>1023253</v>
      </c>
      <c r="AG87" s="153">
        <v>1025010</v>
      </c>
      <c r="AH87" s="153">
        <v>1022219</v>
      </c>
      <c r="AI87" s="153">
        <v>991184</v>
      </c>
      <c r="AJ87" s="153">
        <v>989854</v>
      </c>
      <c r="AK87" s="153">
        <v>993808</v>
      </c>
      <c r="AL87" s="153">
        <v>1789295</v>
      </c>
      <c r="AM87" s="153">
        <v>1608790</v>
      </c>
      <c r="AN87" s="153">
        <v>1613867</v>
      </c>
      <c r="AO87" s="153">
        <v>1611910</v>
      </c>
      <c r="AP87" s="153">
        <v>1535396</v>
      </c>
      <c r="AQ87" s="153">
        <v>5337621</v>
      </c>
      <c r="AR87" s="153">
        <v>5407751</v>
      </c>
      <c r="AS87" s="153">
        <v>5397558</v>
      </c>
      <c r="AT87" s="153">
        <v>5337173</v>
      </c>
      <c r="AU87" s="153">
        <v>5141478</v>
      </c>
      <c r="AV87" s="153">
        <v>5256431</v>
      </c>
      <c r="AW87" s="153">
        <v>5125361</v>
      </c>
      <c r="AX87" s="153">
        <v>5069321</v>
      </c>
      <c r="AY87" s="153">
        <v>4691872</v>
      </c>
      <c r="AZ87" s="153">
        <v>4362306</v>
      </c>
      <c r="BA87" s="153">
        <v>3922421</v>
      </c>
      <c r="BB87" s="153">
        <v>3866719</v>
      </c>
      <c r="BC87" s="153">
        <v>3198308</v>
      </c>
      <c r="BD87" s="153">
        <v>3168133</v>
      </c>
      <c r="BE87" s="153">
        <v>3144581</v>
      </c>
    </row>
    <row r="88" spans="1:57">
      <c r="A88" s="151" t="s">
        <v>1353</v>
      </c>
      <c r="B88" s="151" t="s">
        <v>1354</v>
      </c>
      <c r="C88" s="152"/>
      <c r="D88" s="153">
        <v>410221</v>
      </c>
      <c r="E88" s="153">
        <v>406602</v>
      </c>
      <c r="F88" s="153">
        <v>408596</v>
      </c>
      <c r="G88" s="153">
        <v>332620</v>
      </c>
      <c r="H88" s="153">
        <v>310144</v>
      </c>
      <c r="I88" s="153">
        <v>291916</v>
      </c>
      <c r="J88" s="153">
        <v>270388</v>
      </c>
      <c r="K88" s="153">
        <v>256230.00000000003</v>
      </c>
      <c r="L88" s="153">
        <v>236000</v>
      </c>
      <c r="M88" s="153">
        <v>908000</v>
      </c>
      <c r="N88" s="153">
        <v>974000</v>
      </c>
      <c r="O88" s="153">
        <v>996000</v>
      </c>
      <c r="P88" s="153">
        <v>979000</v>
      </c>
      <c r="Q88" s="153">
        <v>958578</v>
      </c>
      <c r="R88" s="153">
        <v>963593</v>
      </c>
      <c r="S88" s="153">
        <v>912337</v>
      </c>
      <c r="T88" s="153">
        <v>921221</v>
      </c>
      <c r="U88" s="153">
        <v>939841</v>
      </c>
      <c r="V88" s="153">
        <v>947371</v>
      </c>
      <c r="W88" s="153">
        <v>965523</v>
      </c>
      <c r="X88" s="153">
        <v>785034</v>
      </c>
      <c r="Y88" s="153">
        <v>810385</v>
      </c>
      <c r="Z88" s="153">
        <v>812987</v>
      </c>
      <c r="AA88" s="153">
        <v>814254</v>
      </c>
      <c r="AB88" s="153">
        <v>834797</v>
      </c>
      <c r="AC88" s="153">
        <v>854924</v>
      </c>
      <c r="AD88" s="153">
        <v>866691</v>
      </c>
      <c r="AE88" s="153">
        <v>849624</v>
      </c>
      <c r="AF88" s="153">
        <v>860377</v>
      </c>
      <c r="AG88" s="153">
        <v>872327</v>
      </c>
      <c r="AH88" s="153">
        <v>824697</v>
      </c>
      <c r="AI88" s="153">
        <v>930606</v>
      </c>
      <c r="AJ88" s="153">
        <v>955938</v>
      </c>
      <c r="AK88" s="153">
        <v>976355</v>
      </c>
      <c r="AL88" s="153">
        <v>876838</v>
      </c>
      <c r="AM88" s="153">
        <v>894782</v>
      </c>
      <c r="AN88" s="153">
        <v>905626</v>
      </c>
      <c r="AO88" s="153">
        <v>915335</v>
      </c>
      <c r="AP88" s="153">
        <v>913325</v>
      </c>
      <c r="AQ88" s="153">
        <v>905743</v>
      </c>
      <c r="AR88" s="153">
        <v>905155</v>
      </c>
      <c r="AS88" s="153">
        <v>893166</v>
      </c>
      <c r="AT88" s="153">
        <v>883608</v>
      </c>
      <c r="AU88" s="153">
        <v>886004</v>
      </c>
      <c r="AV88" s="153">
        <v>883146</v>
      </c>
      <c r="AW88" s="153">
        <v>884479</v>
      </c>
      <c r="AX88" s="153">
        <v>886899</v>
      </c>
      <c r="AY88" s="153">
        <v>894919</v>
      </c>
      <c r="AZ88" s="153">
        <v>897936</v>
      </c>
      <c r="BA88" s="153">
        <v>892773</v>
      </c>
      <c r="BB88" s="153">
        <v>889481</v>
      </c>
      <c r="BC88" s="153">
        <v>885070</v>
      </c>
      <c r="BD88" s="153">
        <v>857214</v>
      </c>
      <c r="BE88" s="153">
        <v>867713</v>
      </c>
    </row>
    <row r="89" spans="1:57">
      <c r="A89" s="151" t="s">
        <v>1084</v>
      </c>
      <c r="B89" s="151" t="s">
        <v>1085</v>
      </c>
      <c r="C89" s="152"/>
      <c r="D89" s="153">
        <v>33964</v>
      </c>
      <c r="E89" s="153">
        <v>33965</v>
      </c>
      <c r="F89" s="153">
        <v>33965</v>
      </c>
      <c r="G89" s="153">
        <v>25533</v>
      </c>
      <c r="H89" s="153">
        <v>25533</v>
      </c>
      <c r="I89" s="153">
        <v>25533</v>
      </c>
      <c r="J89" s="153">
        <v>25533</v>
      </c>
      <c r="K89" s="153">
        <v>49000</v>
      </c>
      <c r="L89" s="153">
        <v>48000</v>
      </c>
      <c r="M89" s="153">
        <v>48000</v>
      </c>
      <c r="N89" s="153">
        <v>48000</v>
      </c>
      <c r="O89" s="153">
        <v>37000</v>
      </c>
      <c r="P89" s="153">
        <v>37000</v>
      </c>
      <c r="Q89" s="153">
        <v>32396</v>
      </c>
      <c r="R89" s="153">
        <v>32396</v>
      </c>
      <c r="S89" s="153">
        <v>38412</v>
      </c>
      <c r="T89" s="153">
        <v>38412</v>
      </c>
      <c r="U89" s="153">
        <v>38412</v>
      </c>
      <c r="V89" s="153">
        <v>38412</v>
      </c>
      <c r="W89" s="153">
        <v>43216</v>
      </c>
      <c r="X89" s="153">
        <v>43216</v>
      </c>
      <c r="Y89" s="153">
        <v>43216</v>
      </c>
      <c r="Z89" s="153">
        <v>43216</v>
      </c>
      <c r="AA89" s="153">
        <v>43740</v>
      </c>
      <c r="AB89" s="153">
        <v>77476</v>
      </c>
      <c r="AC89" s="153">
        <v>77473</v>
      </c>
      <c r="AD89" s="153">
        <v>77473</v>
      </c>
      <c r="AE89" s="153">
        <v>139562</v>
      </c>
      <c r="AF89" s="153">
        <v>139562</v>
      </c>
      <c r="AG89" s="153">
        <v>139562</v>
      </c>
      <c r="AH89" s="153">
        <v>139562</v>
      </c>
      <c r="AI89" s="153">
        <v>150598</v>
      </c>
      <c r="AJ89" s="153">
        <v>162396</v>
      </c>
      <c r="AK89" s="153">
        <v>162396</v>
      </c>
      <c r="AL89" s="153">
        <v>1163909</v>
      </c>
      <c r="AM89" s="153">
        <v>1081835</v>
      </c>
      <c r="AN89" s="153">
        <v>1103112</v>
      </c>
      <c r="AO89" s="153">
        <v>1130398</v>
      </c>
      <c r="AP89" s="153">
        <v>1149229</v>
      </c>
      <c r="AQ89" s="153">
        <v>1112845</v>
      </c>
      <c r="AR89" s="153">
        <v>1133672</v>
      </c>
      <c r="AS89" s="153">
        <v>1124262</v>
      </c>
      <c r="AT89" s="153">
        <v>1135017</v>
      </c>
      <c r="AU89" s="153">
        <v>1319963</v>
      </c>
      <c r="AV89" s="153">
        <v>1322912</v>
      </c>
      <c r="AW89" s="153">
        <v>1329923</v>
      </c>
      <c r="AX89" s="153">
        <v>1337994</v>
      </c>
      <c r="AY89" s="153">
        <v>1052377</v>
      </c>
      <c r="AZ89" s="153">
        <v>1041095</v>
      </c>
      <c r="BA89" s="153">
        <v>1044873</v>
      </c>
      <c r="BB89" s="153">
        <v>1039398</v>
      </c>
      <c r="BC89" s="153">
        <v>1110534</v>
      </c>
      <c r="BD89" s="153">
        <v>1104801</v>
      </c>
      <c r="BE89" s="153">
        <v>1099404</v>
      </c>
    </row>
    <row r="90" spans="1:57">
      <c r="A90" s="151" t="s">
        <v>1358</v>
      </c>
      <c r="B90" s="151" t="s">
        <v>1359</v>
      </c>
      <c r="C90" s="152"/>
      <c r="D90" s="153"/>
      <c r="E90" s="153"/>
      <c r="F90" s="153"/>
      <c r="G90" s="153"/>
      <c r="H90" s="153"/>
      <c r="I90" s="153"/>
      <c r="J90" s="153"/>
      <c r="K90" s="153"/>
      <c r="L90" s="153"/>
      <c r="M90" s="153"/>
      <c r="N90" s="153"/>
      <c r="O90" s="153"/>
      <c r="P90" s="153"/>
      <c r="Q90" s="153"/>
      <c r="R90" s="153"/>
      <c r="S90" s="153"/>
      <c r="T90" s="153"/>
      <c r="U90" s="153"/>
      <c r="V90" s="153"/>
      <c r="W90" s="153"/>
      <c r="X90" s="153"/>
      <c r="Y90" s="153"/>
      <c r="Z90" s="153"/>
      <c r="AA90" s="153"/>
      <c r="AB90" s="153"/>
      <c r="AC90" s="153"/>
      <c r="AD90" s="153"/>
      <c r="AE90" s="153"/>
      <c r="AF90" s="153">
        <v>258810.99999999997</v>
      </c>
      <c r="AG90" s="153">
        <v>257885</v>
      </c>
      <c r="AH90" s="153">
        <v>267016</v>
      </c>
      <c r="AI90" s="153">
        <v>266358</v>
      </c>
      <c r="AJ90" s="153">
        <v>277007</v>
      </c>
      <c r="AK90" s="153">
        <v>439053</v>
      </c>
      <c r="AL90" s="153"/>
      <c r="AM90" s="153"/>
      <c r="AN90" s="153"/>
      <c r="AO90" s="153"/>
      <c r="AP90" s="153"/>
      <c r="AQ90" s="153"/>
      <c r="AR90" s="153"/>
      <c r="AS90" s="153"/>
      <c r="AT90" s="153"/>
      <c r="AU90" s="153"/>
      <c r="AV90" s="153"/>
      <c r="AW90" s="153"/>
      <c r="AX90" s="153"/>
      <c r="AY90" s="153"/>
      <c r="AZ90" s="153"/>
      <c r="BA90" s="153"/>
      <c r="BB90" s="153"/>
      <c r="BC90" s="153"/>
      <c r="BD90" s="153"/>
      <c r="BE90" s="153"/>
    </row>
    <row r="91" spans="1:57">
      <c r="A91" s="151" t="s">
        <v>1132</v>
      </c>
      <c r="B91" s="151" t="s">
        <v>1133</v>
      </c>
      <c r="C91" s="152"/>
      <c r="D91" s="153"/>
      <c r="E91" s="153"/>
      <c r="F91" s="153"/>
      <c r="G91" s="153"/>
      <c r="H91" s="153"/>
      <c r="I91" s="153"/>
      <c r="J91" s="153"/>
      <c r="K91" s="153"/>
      <c r="L91" s="153"/>
      <c r="M91" s="153"/>
      <c r="N91" s="153"/>
      <c r="O91" s="153"/>
      <c r="P91" s="153"/>
      <c r="Q91" s="153"/>
      <c r="R91" s="153"/>
      <c r="S91" s="153"/>
      <c r="T91" s="153"/>
      <c r="U91" s="153"/>
      <c r="V91" s="153"/>
      <c r="W91" s="153"/>
      <c r="X91" s="153"/>
      <c r="Y91" s="153"/>
      <c r="Z91" s="153"/>
      <c r="AA91" s="153"/>
      <c r="AB91" s="153"/>
      <c r="AC91" s="153"/>
      <c r="AD91" s="153"/>
      <c r="AE91" s="153"/>
      <c r="AF91" s="153"/>
      <c r="AG91" s="153"/>
      <c r="AH91" s="153"/>
      <c r="AI91" s="153">
        <v>1915750</v>
      </c>
      <c r="AJ91" s="153">
        <v>2006608</v>
      </c>
      <c r="AK91" s="153">
        <v>1984664</v>
      </c>
      <c r="AL91" s="153">
        <v>2081084</v>
      </c>
      <c r="AM91" s="153">
        <v>2366195</v>
      </c>
      <c r="AN91" s="153">
        <v>2579799</v>
      </c>
      <c r="AO91" s="153">
        <v>2474274</v>
      </c>
      <c r="AP91" s="153">
        <v>2450077</v>
      </c>
      <c r="AQ91" s="153">
        <v>2493928</v>
      </c>
      <c r="AR91" s="153">
        <v>2421364</v>
      </c>
      <c r="AS91" s="153">
        <v>2411959</v>
      </c>
      <c r="AT91" s="153">
        <v>2524950</v>
      </c>
      <c r="AU91" s="153">
        <v>2640491</v>
      </c>
      <c r="AV91" s="153">
        <v>2713904</v>
      </c>
      <c r="AW91" s="153">
        <v>2712196</v>
      </c>
      <c r="AX91" s="153">
        <v>2823867</v>
      </c>
      <c r="AY91" s="153">
        <v>2806302</v>
      </c>
      <c r="AZ91" s="153">
        <v>2962565</v>
      </c>
      <c r="BA91" s="153">
        <v>3012509</v>
      </c>
      <c r="BB91" s="153">
        <v>3026485</v>
      </c>
      <c r="BC91" s="153">
        <v>1333604</v>
      </c>
      <c r="BD91" s="153">
        <v>1380336</v>
      </c>
      <c r="BE91" s="153">
        <v>1451768</v>
      </c>
    </row>
    <row r="92" spans="1:57">
      <c r="A92" s="151" t="s">
        <v>1283</v>
      </c>
      <c r="B92" s="151" t="s">
        <v>1284</v>
      </c>
      <c r="C92" s="152"/>
      <c r="D92" s="153"/>
      <c r="E92" s="153"/>
      <c r="F92" s="153"/>
      <c r="G92" s="153"/>
      <c r="H92" s="153"/>
      <c r="I92" s="153"/>
      <c r="J92" s="153"/>
      <c r="K92" s="153"/>
      <c r="L92" s="153"/>
      <c r="M92" s="153"/>
      <c r="N92" s="153"/>
      <c r="O92" s="153"/>
      <c r="P92" s="153"/>
      <c r="Q92" s="153"/>
      <c r="R92" s="153"/>
      <c r="S92" s="153"/>
      <c r="T92" s="153"/>
      <c r="U92" s="153"/>
      <c r="V92" s="153"/>
      <c r="W92" s="153"/>
      <c r="X92" s="153"/>
      <c r="Y92" s="153"/>
      <c r="Z92" s="153"/>
      <c r="AA92" s="153"/>
      <c r="AB92" s="153"/>
      <c r="AC92" s="153"/>
      <c r="AD92" s="153"/>
      <c r="AE92" s="153"/>
      <c r="AF92" s="153"/>
      <c r="AG92" s="153"/>
      <c r="AH92" s="153"/>
      <c r="AI92" s="153">
        <v>984845</v>
      </c>
      <c r="AJ92" s="153">
        <v>1008934</v>
      </c>
      <c r="AK92" s="153">
        <v>1032731</v>
      </c>
      <c r="AL92" s="153">
        <v>1053758</v>
      </c>
      <c r="AM92" s="153">
        <v>1084678</v>
      </c>
      <c r="AN92" s="153">
        <v>1110889</v>
      </c>
      <c r="AO92" s="153">
        <v>997297</v>
      </c>
      <c r="AP92" s="153">
        <v>1095244</v>
      </c>
      <c r="AQ92" s="153">
        <v>1117292</v>
      </c>
      <c r="AR92" s="153">
        <v>1149542</v>
      </c>
      <c r="AS92" s="153">
        <v>1168169</v>
      </c>
      <c r="AT92" s="153">
        <v>1197097</v>
      </c>
      <c r="AU92" s="153">
        <v>1096910</v>
      </c>
      <c r="AV92" s="153">
        <v>1119125</v>
      </c>
      <c r="AW92" s="153">
        <v>1017132</v>
      </c>
      <c r="AX92" s="153">
        <v>815286</v>
      </c>
      <c r="AY92" s="153">
        <v>819187</v>
      </c>
      <c r="AZ92" s="153">
        <v>827306</v>
      </c>
      <c r="BA92" s="153">
        <v>833432</v>
      </c>
      <c r="BB92" s="153">
        <v>838902</v>
      </c>
      <c r="BC92" s="153">
        <v>9812</v>
      </c>
      <c r="BD92" s="153">
        <v>1884</v>
      </c>
      <c r="BE92" s="153">
        <v>905</v>
      </c>
    </row>
    <row r="93" spans="1:57">
      <c r="A93" s="151" t="s">
        <v>1127</v>
      </c>
      <c r="B93" s="151" t="s">
        <v>1128</v>
      </c>
      <c r="C93" s="152"/>
      <c r="D93" s="153"/>
      <c r="E93" s="153"/>
      <c r="F93" s="153"/>
      <c r="G93" s="153"/>
      <c r="H93" s="153"/>
      <c r="I93" s="153"/>
      <c r="J93" s="153"/>
      <c r="K93" s="153"/>
      <c r="L93" s="153"/>
      <c r="M93" s="153"/>
      <c r="N93" s="153"/>
      <c r="O93" s="153"/>
      <c r="P93" s="153"/>
      <c r="Q93" s="153"/>
      <c r="R93" s="153"/>
      <c r="S93" s="153"/>
      <c r="T93" s="153"/>
      <c r="U93" s="153"/>
      <c r="V93" s="153"/>
      <c r="W93" s="153"/>
      <c r="X93" s="153"/>
      <c r="Y93" s="153"/>
      <c r="Z93" s="153"/>
      <c r="AA93" s="153"/>
      <c r="AB93" s="153"/>
      <c r="AC93" s="153"/>
      <c r="AD93" s="153"/>
      <c r="AE93" s="153"/>
      <c r="AF93" s="153">
        <v>1751622</v>
      </c>
      <c r="AG93" s="153">
        <v>1321944</v>
      </c>
      <c r="AH93" s="153">
        <v>1410247</v>
      </c>
      <c r="AI93" s="153">
        <v>2321392</v>
      </c>
      <c r="AJ93" s="153">
        <v>2327176</v>
      </c>
      <c r="AK93" s="153">
        <v>2187405</v>
      </c>
      <c r="AL93" s="153">
        <v>2243456</v>
      </c>
      <c r="AM93" s="153">
        <v>2057700</v>
      </c>
      <c r="AN93" s="153">
        <v>2103294</v>
      </c>
      <c r="AO93" s="153">
        <v>2308318</v>
      </c>
      <c r="AP93" s="153">
        <v>1257773</v>
      </c>
      <c r="AQ93" s="153">
        <v>3717709</v>
      </c>
      <c r="AR93" s="153">
        <v>3693783</v>
      </c>
      <c r="AS93" s="153">
        <v>3301058</v>
      </c>
      <c r="AT93" s="153">
        <v>2402532</v>
      </c>
      <c r="AU93" s="153">
        <v>2077303</v>
      </c>
      <c r="AV93" s="153">
        <v>2125546</v>
      </c>
      <c r="AW93" s="153">
        <v>2092525</v>
      </c>
      <c r="AX93" s="153">
        <v>2134782</v>
      </c>
      <c r="AY93" s="153">
        <v>1925087</v>
      </c>
      <c r="AZ93" s="153">
        <v>1964867</v>
      </c>
      <c r="BA93" s="153">
        <v>2005634</v>
      </c>
      <c r="BB93" s="153">
        <v>2062185</v>
      </c>
      <c r="BC93" s="153">
        <v>1499858</v>
      </c>
      <c r="BD93" s="153">
        <v>1533359</v>
      </c>
      <c r="BE93" s="153">
        <v>1928088</v>
      </c>
    </row>
    <row r="94" spans="1:57">
      <c r="A94" s="151" t="s">
        <v>1360</v>
      </c>
      <c r="B94" s="151" t="s">
        <v>1344</v>
      </c>
      <c r="C94" s="152"/>
      <c r="D94" s="153"/>
      <c r="E94" s="153"/>
      <c r="F94" s="153"/>
      <c r="G94" s="153"/>
      <c r="H94" s="153"/>
      <c r="I94" s="153"/>
      <c r="J94" s="153"/>
      <c r="K94" s="153"/>
      <c r="L94" s="153"/>
      <c r="M94" s="153"/>
      <c r="N94" s="153"/>
      <c r="O94" s="153"/>
      <c r="P94" s="153"/>
      <c r="Q94" s="153"/>
      <c r="R94" s="153"/>
      <c r="S94" s="153"/>
      <c r="T94" s="153"/>
      <c r="U94" s="153"/>
      <c r="V94" s="153"/>
      <c r="W94" s="153"/>
      <c r="X94" s="153"/>
      <c r="Y94" s="153"/>
      <c r="Z94" s="153"/>
      <c r="AA94" s="153"/>
      <c r="AB94" s="153"/>
      <c r="AC94" s="153"/>
      <c r="AD94" s="153"/>
      <c r="AE94" s="153"/>
      <c r="AF94" s="153"/>
      <c r="AG94" s="153"/>
      <c r="AH94" s="153"/>
      <c r="AI94" s="153"/>
      <c r="AJ94" s="153"/>
      <c r="AK94" s="153"/>
      <c r="AL94" s="153"/>
      <c r="AM94" s="153">
        <v>0</v>
      </c>
      <c r="AN94" s="153"/>
      <c r="AO94" s="153"/>
      <c r="AP94" s="153">
        <v>0</v>
      </c>
      <c r="AQ94" s="153"/>
      <c r="AR94" s="153"/>
      <c r="AS94" s="153"/>
      <c r="AT94" s="153"/>
      <c r="AU94" s="153"/>
      <c r="AV94" s="153"/>
      <c r="AW94" s="153"/>
      <c r="AX94" s="153"/>
      <c r="AY94" s="153"/>
      <c r="AZ94" s="153"/>
      <c r="BA94" s="153"/>
      <c r="BB94" s="153"/>
      <c r="BC94" s="153"/>
      <c r="BD94" s="153"/>
      <c r="BE94" s="153">
        <v>0</v>
      </c>
    </row>
    <row r="95" spans="1:57">
      <c r="A95" s="151" t="s">
        <v>1072</v>
      </c>
      <c r="B95" s="151" t="s">
        <v>1073</v>
      </c>
      <c r="C95" s="152"/>
      <c r="D95" s="153"/>
      <c r="E95" s="153"/>
      <c r="F95" s="153"/>
      <c r="G95" s="153"/>
      <c r="H95" s="153"/>
      <c r="I95" s="153"/>
      <c r="J95" s="153"/>
      <c r="K95" s="153"/>
      <c r="L95" s="153"/>
      <c r="M95" s="153"/>
      <c r="N95" s="153"/>
      <c r="O95" s="153"/>
      <c r="P95" s="153"/>
      <c r="Q95" s="153"/>
      <c r="R95" s="153"/>
      <c r="S95" s="153"/>
      <c r="T95" s="153"/>
      <c r="U95" s="153"/>
      <c r="V95" s="153"/>
      <c r="W95" s="153"/>
      <c r="X95" s="153"/>
      <c r="Y95" s="153"/>
      <c r="Z95" s="153"/>
      <c r="AA95" s="153"/>
      <c r="AB95" s="153"/>
      <c r="AC95" s="153"/>
      <c r="AD95" s="153"/>
      <c r="AE95" s="153"/>
      <c r="AF95" s="153"/>
      <c r="AG95" s="153"/>
      <c r="AH95" s="153"/>
      <c r="AI95" s="153"/>
      <c r="AJ95" s="153"/>
      <c r="AK95" s="153"/>
      <c r="AL95" s="153"/>
      <c r="AM95" s="153">
        <v>46767</v>
      </c>
      <c r="AN95" s="153"/>
      <c r="AO95" s="153"/>
      <c r="AP95" s="153">
        <v>239745</v>
      </c>
      <c r="AQ95" s="153">
        <v>282486</v>
      </c>
      <c r="AR95" s="153">
        <v>369881</v>
      </c>
      <c r="AS95" s="153">
        <v>514111</v>
      </c>
      <c r="AT95" s="153">
        <v>369780</v>
      </c>
      <c r="AU95" s="153">
        <v>441696</v>
      </c>
      <c r="AV95" s="153">
        <v>283834</v>
      </c>
      <c r="AW95" s="153">
        <v>44477</v>
      </c>
      <c r="AX95" s="153">
        <v>68455</v>
      </c>
      <c r="AY95" s="153">
        <v>155900</v>
      </c>
      <c r="AZ95" s="153">
        <v>235452</v>
      </c>
      <c r="BA95" s="153">
        <v>303342</v>
      </c>
      <c r="BB95" s="153">
        <v>874276</v>
      </c>
      <c r="BC95" s="153">
        <v>620868</v>
      </c>
      <c r="BD95" s="153">
        <v>1045902</v>
      </c>
      <c r="BE95" s="153">
        <v>1615066</v>
      </c>
    </row>
    <row r="96" spans="1:57">
      <c r="A96" s="151" t="s">
        <v>1356</v>
      </c>
      <c r="B96" s="151" t="s">
        <v>1266</v>
      </c>
      <c r="C96" s="152"/>
      <c r="D96" s="153"/>
      <c r="E96" s="153"/>
      <c r="F96" s="153"/>
      <c r="G96" s="153"/>
      <c r="H96" s="153"/>
      <c r="I96" s="153"/>
      <c r="J96" s="153"/>
      <c r="K96" s="153"/>
      <c r="L96" s="153"/>
      <c r="M96" s="153"/>
      <c r="N96" s="153"/>
      <c r="O96" s="153"/>
      <c r="P96" s="153"/>
      <c r="Q96" s="153"/>
      <c r="R96" s="153"/>
      <c r="S96" s="153"/>
      <c r="T96" s="153"/>
      <c r="U96" s="153"/>
      <c r="V96" s="153"/>
      <c r="W96" s="153"/>
      <c r="X96" s="153"/>
      <c r="Y96" s="153"/>
      <c r="Z96" s="153"/>
      <c r="AA96" s="153"/>
      <c r="AB96" s="153"/>
      <c r="AC96" s="153"/>
      <c r="AD96" s="153"/>
      <c r="AE96" s="153"/>
      <c r="AF96" s="153"/>
      <c r="AG96" s="153"/>
      <c r="AH96" s="153"/>
      <c r="AI96" s="153"/>
      <c r="AJ96" s="153"/>
      <c r="AK96" s="153"/>
      <c r="AL96" s="153"/>
      <c r="AM96" s="153"/>
      <c r="AN96" s="153"/>
      <c r="AO96" s="153"/>
      <c r="AP96" s="153"/>
      <c r="AQ96" s="153"/>
      <c r="AR96" s="153"/>
      <c r="AS96" s="153">
        <v>130186</v>
      </c>
      <c r="AT96" s="153">
        <v>99472</v>
      </c>
      <c r="AU96" s="153">
        <v>24739</v>
      </c>
      <c r="AV96" s="153">
        <v>14824</v>
      </c>
      <c r="AW96" s="153">
        <v>25208</v>
      </c>
      <c r="AX96" s="153">
        <v>62395</v>
      </c>
      <c r="AY96" s="153">
        <v>29634</v>
      </c>
      <c r="AZ96" s="153">
        <v>35430</v>
      </c>
      <c r="BA96" s="153">
        <v>36826</v>
      </c>
      <c r="BB96" s="153">
        <v>32627</v>
      </c>
      <c r="BC96" s="153">
        <v>28180</v>
      </c>
      <c r="BD96" s="153">
        <v>25265</v>
      </c>
      <c r="BE96" s="153">
        <v>18848</v>
      </c>
    </row>
    <row r="97" spans="1:57">
      <c r="A97" s="151" t="s">
        <v>1129</v>
      </c>
      <c r="B97" s="151" t="s">
        <v>96</v>
      </c>
      <c r="C97" s="152"/>
      <c r="D97" s="153">
        <v>260731</v>
      </c>
      <c r="E97" s="153">
        <v>254714</v>
      </c>
      <c r="F97" s="153">
        <v>243334</v>
      </c>
      <c r="G97" s="153">
        <v>187002</v>
      </c>
      <c r="H97" s="153">
        <v>209501</v>
      </c>
      <c r="I97" s="153">
        <v>241037</v>
      </c>
      <c r="J97" s="153">
        <v>271656</v>
      </c>
      <c r="K97" s="153">
        <v>307417</v>
      </c>
      <c r="L97" s="153">
        <v>321400</v>
      </c>
      <c r="M97" s="153">
        <v>335000</v>
      </c>
      <c r="N97" s="153">
        <v>370500</v>
      </c>
      <c r="O97" s="153">
        <v>447400</v>
      </c>
      <c r="P97" s="153">
        <v>509500</v>
      </c>
      <c r="Q97" s="153">
        <v>629431</v>
      </c>
      <c r="R97" s="153">
        <v>536367</v>
      </c>
      <c r="S97" s="153">
        <v>402162</v>
      </c>
      <c r="T97" s="153">
        <v>611479</v>
      </c>
      <c r="U97" s="153">
        <v>546036</v>
      </c>
      <c r="V97" s="153">
        <v>529584</v>
      </c>
      <c r="W97" s="153">
        <v>422086</v>
      </c>
      <c r="X97" s="153">
        <v>447883</v>
      </c>
      <c r="Y97" s="153">
        <v>226625</v>
      </c>
      <c r="Z97" s="153">
        <v>247779</v>
      </c>
      <c r="AA97" s="153">
        <v>402233</v>
      </c>
      <c r="AB97" s="153">
        <v>426691</v>
      </c>
      <c r="AC97" s="153">
        <v>461238</v>
      </c>
      <c r="AD97" s="153">
        <v>521664</v>
      </c>
      <c r="AE97" s="153">
        <f>387168+7094</f>
        <v>394262</v>
      </c>
      <c r="AF97" s="153">
        <v>375355</v>
      </c>
      <c r="AG97" s="153">
        <v>381185</v>
      </c>
      <c r="AH97" s="153">
        <v>367156</v>
      </c>
      <c r="AI97" s="153">
        <v>256517</v>
      </c>
      <c r="AJ97" s="153">
        <v>260593</v>
      </c>
      <c r="AK97" s="153">
        <v>266286</v>
      </c>
      <c r="AL97" s="153">
        <v>333002</v>
      </c>
      <c r="AM97" s="153">
        <v>311254</v>
      </c>
      <c r="AN97" s="153">
        <v>960339</v>
      </c>
      <c r="AO97" s="153">
        <v>846400</v>
      </c>
      <c r="AP97" s="153">
        <v>549952</v>
      </c>
      <c r="AQ97" s="153">
        <v>599343</v>
      </c>
      <c r="AR97" s="153">
        <v>615749</v>
      </c>
      <c r="AS97" s="153">
        <v>661315</v>
      </c>
      <c r="AT97" s="153">
        <v>651883</v>
      </c>
      <c r="AU97" s="153">
        <v>1021243</v>
      </c>
      <c r="AV97" s="153">
        <v>1040833</v>
      </c>
      <c r="AW97" s="153">
        <v>1057053</v>
      </c>
      <c r="AX97" s="153">
        <v>1058234</v>
      </c>
      <c r="AY97" s="153">
        <v>1192847</v>
      </c>
      <c r="AZ97" s="153">
        <v>1229963</v>
      </c>
      <c r="BA97" s="153">
        <v>1126265</v>
      </c>
      <c r="BB97" s="153">
        <v>1187218</v>
      </c>
      <c r="BC97" s="153">
        <v>1195536</v>
      </c>
      <c r="BD97" s="153">
        <v>1269372</v>
      </c>
      <c r="BE97" s="153">
        <v>1256005</v>
      </c>
    </row>
    <row r="98" spans="1:57" ht="15" thickBot="1">
      <c r="A98" s="151" t="s">
        <v>1130</v>
      </c>
      <c r="B98" s="151" t="s">
        <v>1131</v>
      </c>
      <c r="C98" s="152"/>
      <c r="D98" s="153"/>
      <c r="E98" s="153"/>
      <c r="F98" s="153"/>
      <c r="G98" s="153"/>
      <c r="H98" s="153"/>
      <c r="I98" s="153"/>
      <c r="J98" s="153"/>
      <c r="K98" s="153"/>
      <c r="L98" s="153"/>
      <c r="M98" s="153"/>
      <c r="N98" s="153"/>
      <c r="O98" s="153"/>
      <c r="P98" s="153"/>
      <c r="Q98" s="153"/>
      <c r="R98" s="153"/>
      <c r="S98" s="153"/>
      <c r="T98" s="153"/>
      <c r="U98" s="153"/>
      <c r="V98" s="153"/>
      <c r="W98" s="153"/>
      <c r="X98" s="153"/>
      <c r="Y98" s="153"/>
      <c r="Z98" s="153"/>
      <c r="AA98" s="153"/>
      <c r="AB98" s="153"/>
      <c r="AC98" s="153"/>
      <c r="AD98" s="153"/>
      <c r="AE98" s="153">
        <v>19344</v>
      </c>
      <c r="AF98" s="153">
        <v>22023</v>
      </c>
      <c r="AG98" s="153">
        <v>22294</v>
      </c>
      <c r="AH98" s="153">
        <v>18709</v>
      </c>
      <c r="AI98" s="153">
        <v>17716</v>
      </c>
      <c r="AJ98" s="153">
        <v>16664</v>
      </c>
      <c r="AK98" s="153">
        <v>16147</v>
      </c>
      <c r="AL98" s="153">
        <v>59885</v>
      </c>
      <c r="AM98" s="153">
        <v>31735</v>
      </c>
      <c r="AN98" s="153">
        <v>86178</v>
      </c>
      <c r="AO98" s="153">
        <v>82154</v>
      </c>
      <c r="AP98" s="153">
        <v>79077</v>
      </c>
      <c r="AQ98" s="153">
        <v>90232</v>
      </c>
      <c r="AR98" s="153">
        <v>85355</v>
      </c>
      <c r="AS98" s="153">
        <v>81207</v>
      </c>
      <c r="AT98" s="153">
        <v>81164</v>
      </c>
      <c r="AU98" s="153">
        <v>88744</v>
      </c>
      <c r="AV98" s="153">
        <v>95188</v>
      </c>
      <c r="AW98" s="153">
        <v>94208</v>
      </c>
      <c r="AX98" s="153">
        <v>93238</v>
      </c>
      <c r="AY98" s="153">
        <v>91863</v>
      </c>
      <c r="AZ98" s="153">
        <v>91452</v>
      </c>
      <c r="BA98" s="153">
        <v>90315</v>
      </c>
      <c r="BB98" s="153">
        <v>89167</v>
      </c>
      <c r="BC98" s="153">
        <v>87196</v>
      </c>
      <c r="BD98" s="153">
        <v>84583</v>
      </c>
      <c r="BE98" s="153">
        <v>80678</v>
      </c>
    </row>
    <row r="99" spans="1:57" ht="15" thickBot="1">
      <c r="A99" s="164" t="s">
        <v>1134</v>
      </c>
      <c r="B99" s="164" t="s">
        <v>1013</v>
      </c>
      <c r="C99" s="148"/>
      <c r="D99" s="156">
        <v>341274</v>
      </c>
      <c r="E99" s="156">
        <v>468797.69704999897</v>
      </c>
      <c r="F99" s="156">
        <v>480829.57929000002</v>
      </c>
      <c r="G99" s="156">
        <v>493473.65370999998</v>
      </c>
      <c r="H99" s="156">
        <v>508947</v>
      </c>
      <c r="I99" s="156">
        <v>495538.39843</v>
      </c>
      <c r="J99" s="156">
        <v>540568</v>
      </c>
      <c r="K99" s="156">
        <v>609158</v>
      </c>
      <c r="L99" s="156">
        <v>631000</v>
      </c>
      <c r="M99" s="156">
        <v>700000</v>
      </c>
      <c r="N99" s="156">
        <v>730000</v>
      </c>
      <c r="O99" s="156">
        <v>750000</v>
      </c>
      <c r="P99" s="156">
        <v>779000</v>
      </c>
      <c r="Q99" s="156">
        <v>788084</v>
      </c>
      <c r="R99" s="156">
        <v>836779</v>
      </c>
      <c r="S99" s="156">
        <v>847688</v>
      </c>
      <c r="T99" s="156">
        <v>857914</v>
      </c>
      <c r="U99" s="156">
        <v>854103</v>
      </c>
      <c r="V99" s="156">
        <v>928249</v>
      </c>
      <c r="W99" s="156">
        <v>962019</v>
      </c>
      <c r="X99" s="156">
        <v>988688</v>
      </c>
      <c r="Y99" s="156">
        <v>968869</v>
      </c>
      <c r="Z99" s="156">
        <v>1030915.9999999999</v>
      </c>
      <c r="AA99" s="156">
        <v>956839</v>
      </c>
      <c r="AB99" s="156">
        <v>1019944</v>
      </c>
      <c r="AC99" s="156">
        <v>1005752</v>
      </c>
      <c r="AD99" s="156">
        <v>1073431</v>
      </c>
      <c r="AE99" s="156">
        <v>1662495</v>
      </c>
      <c r="AF99" s="156">
        <v>1737162</v>
      </c>
      <c r="AG99" s="156">
        <v>1775283</v>
      </c>
      <c r="AH99" s="156">
        <v>1892673</v>
      </c>
      <c r="AI99" s="156">
        <v>1816097</v>
      </c>
      <c r="AJ99" s="156">
        <v>1910945</v>
      </c>
      <c r="AK99" s="156">
        <v>1951547</v>
      </c>
      <c r="AL99" s="156">
        <v>1945793.7750300001</v>
      </c>
      <c r="AM99" s="156">
        <v>1848111</v>
      </c>
      <c r="AN99" s="156">
        <v>1939284.2124271924</v>
      </c>
      <c r="AO99" s="156">
        <v>1926307.8941017031</v>
      </c>
      <c r="AP99" s="156">
        <v>2000673</v>
      </c>
      <c r="AQ99" s="156">
        <v>1952627</v>
      </c>
      <c r="AR99" s="156">
        <v>3106423</v>
      </c>
      <c r="AS99" s="156">
        <v>3242376</v>
      </c>
      <c r="AT99" s="156">
        <v>3350862</v>
      </c>
      <c r="AU99" s="156">
        <v>3594917</v>
      </c>
      <c r="AV99" s="156">
        <v>4303199</v>
      </c>
      <c r="AW99" s="156">
        <v>4457483</v>
      </c>
      <c r="AX99" s="156">
        <v>4245399</v>
      </c>
      <c r="AY99" s="156">
        <v>3773900</v>
      </c>
      <c r="AZ99" s="156">
        <v>3948430</v>
      </c>
      <c r="BA99" s="156">
        <v>4117222</v>
      </c>
      <c r="BB99" s="156">
        <v>4278464</v>
      </c>
      <c r="BC99" s="156">
        <v>2576409</v>
      </c>
      <c r="BD99" s="156">
        <v>2512849</v>
      </c>
      <c r="BE99" s="156">
        <v>2588660</v>
      </c>
    </row>
    <row r="100" spans="1:57" ht="15" thickBot="1">
      <c r="A100" s="155" t="s">
        <v>1135</v>
      </c>
      <c r="B100" s="155" t="s">
        <v>1136</v>
      </c>
      <c r="C100" s="148"/>
      <c r="D100" s="156">
        <f t="shared" ref="D100:AA100" si="16">SUM(D101:D106)</f>
        <v>2381916</v>
      </c>
      <c r="E100" s="156">
        <f t="shared" si="16"/>
        <v>2196114.0274999999</v>
      </c>
      <c r="F100" s="156">
        <f t="shared" si="16"/>
        <v>2400375.2762099998</v>
      </c>
      <c r="G100" s="156">
        <f t="shared" si="16"/>
        <v>2354171.9656600002</v>
      </c>
      <c r="H100" s="156">
        <f t="shared" si="16"/>
        <v>2369380.4613600001</v>
      </c>
      <c r="I100" s="156">
        <f t="shared" si="16"/>
        <v>2183114.4080699999</v>
      </c>
      <c r="J100" s="156">
        <f t="shared" si="16"/>
        <v>2471449.1239100001</v>
      </c>
      <c r="K100" s="156">
        <f t="shared" si="16"/>
        <v>2836366</v>
      </c>
      <c r="L100" s="156">
        <f t="shared" si="16"/>
        <v>2932400</v>
      </c>
      <c r="M100" s="156">
        <f t="shared" si="16"/>
        <v>3439000</v>
      </c>
      <c r="N100" s="156">
        <f t="shared" si="16"/>
        <v>3515000</v>
      </c>
      <c r="O100" s="156">
        <f t="shared" si="16"/>
        <v>3479000</v>
      </c>
      <c r="P100" s="156">
        <f t="shared" si="16"/>
        <v>3621000</v>
      </c>
      <c r="Q100" s="156">
        <f t="shared" si="16"/>
        <v>3804796</v>
      </c>
      <c r="R100" s="156">
        <f t="shared" si="16"/>
        <v>3995611</v>
      </c>
      <c r="S100" s="156">
        <f t="shared" si="16"/>
        <v>4023998</v>
      </c>
      <c r="T100" s="156">
        <f t="shared" si="16"/>
        <v>4075994</v>
      </c>
      <c r="U100" s="156">
        <f t="shared" si="16"/>
        <v>4205356</v>
      </c>
      <c r="V100" s="156">
        <f t="shared" si="16"/>
        <v>4517000</v>
      </c>
      <c r="W100" s="156">
        <f t="shared" si="16"/>
        <v>4786085</v>
      </c>
      <c r="X100" s="156">
        <f t="shared" si="16"/>
        <v>4851393</v>
      </c>
      <c r="Y100" s="156">
        <f t="shared" si="16"/>
        <v>4973696</v>
      </c>
      <c r="Z100" s="156">
        <f t="shared" si="16"/>
        <v>5221894</v>
      </c>
      <c r="AA100" s="156">
        <f t="shared" si="16"/>
        <v>5596032</v>
      </c>
      <c r="AB100" s="156">
        <f t="shared" ref="AB100:BD100" si="17">SUM(AB101:AB109)</f>
        <v>5715464</v>
      </c>
      <c r="AC100" s="156">
        <f t="shared" si="17"/>
        <v>6085700</v>
      </c>
      <c r="AD100" s="156">
        <f t="shared" si="17"/>
        <v>6635795</v>
      </c>
      <c r="AE100" s="156">
        <f t="shared" si="17"/>
        <v>8110877</v>
      </c>
      <c r="AF100" s="156">
        <f t="shared" si="17"/>
        <v>8573097</v>
      </c>
      <c r="AG100" s="156">
        <f t="shared" si="17"/>
        <v>8983155</v>
      </c>
      <c r="AH100" s="156">
        <f t="shared" si="17"/>
        <v>9718557</v>
      </c>
      <c r="AI100" s="156">
        <f t="shared" si="17"/>
        <v>10462390</v>
      </c>
      <c r="AJ100" s="156">
        <f t="shared" si="17"/>
        <v>10179556</v>
      </c>
      <c r="AK100" s="156">
        <f t="shared" si="17"/>
        <v>10569520</v>
      </c>
      <c r="AL100" s="156">
        <f t="shared" si="17"/>
        <v>11941123</v>
      </c>
      <c r="AM100" s="156">
        <f t="shared" si="17"/>
        <v>12756361</v>
      </c>
      <c r="AN100" s="156">
        <f t="shared" si="17"/>
        <v>16081201</v>
      </c>
      <c r="AO100" s="156">
        <f t="shared" si="17"/>
        <v>15801255</v>
      </c>
      <c r="AP100" s="156">
        <f t="shared" si="17"/>
        <v>16283130</v>
      </c>
      <c r="AQ100" s="156">
        <f t="shared" si="17"/>
        <v>16614353</v>
      </c>
      <c r="AR100" s="156">
        <f t="shared" si="17"/>
        <v>17760900</v>
      </c>
      <c r="AS100" s="156">
        <f t="shared" si="17"/>
        <v>18590449</v>
      </c>
      <c r="AT100" s="156">
        <f t="shared" si="17"/>
        <v>19573928</v>
      </c>
      <c r="AU100" s="156">
        <f t="shared" si="17"/>
        <v>21016665</v>
      </c>
      <c r="AV100" s="156">
        <f t="shared" si="17"/>
        <v>21395993</v>
      </c>
      <c r="AW100" s="156">
        <f t="shared" si="17"/>
        <v>22466623</v>
      </c>
      <c r="AX100" s="156">
        <f t="shared" si="17"/>
        <v>25676500</v>
      </c>
      <c r="AY100" s="156">
        <f t="shared" si="17"/>
        <v>26113686</v>
      </c>
      <c r="AZ100" s="156">
        <f t="shared" si="17"/>
        <v>26783984</v>
      </c>
      <c r="BA100" s="156">
        <f t="shared" si="17"/>
        <v>27995081</v>
      </c>
      <c r="BB100" s="156">
        <f t="shared" si="17"/>
        <v>28553877</v>
      </c>
      <c r="BC100" s="156">
        <f t="shared" si="17"/>
        <v>25751539</v>
      </c>
      <c r="BD100" s="156">
        <f t="shared" si="17"/>
        <v>25686474</v>
      </c>
      <c r="BE100" s="156">
        <f t="shared" ref="BE100" si="18">SUM(BE101:BE109)</f>
        <v>26126664</v>
      </c>
    </row>
    <row r="101" spans="1:57">
      <c r="A101" s="151" t="s">
        <v>1177</v>
      </c>
      <c r="B101" s="151" t="s">
        <v>1138</v>
      </c>
      <c r="C101" s="152"/>
      <c r="D101" s="153">
        <v>1977276</v>
      </c>
      <c r="E101" s="153">
        <v>1977276</v>
      </c>
      <c r="F101" s="153">
        <v>1977276</v>
      </c>
      <c r="G101" s="153">
        <v>1977276.4613600001</v>
      </c>
      <c r="H101" s="153">
        <v>1977276.4613600001</v>
      </c>
      <c r="I101" s="153">
        <v>1977276.4613600001</v>
      </c>
      <c r="J101" s="153">
        <v>1977276</v>
      </c>
      <c r="K101" s="153">
        <v>1977276</v>
      </c>
      <c r="L101" s="153">
        <v>1977000</v>
      </c>
      <c r="M101" s="153">
        <v>1977000</v>
      </c>
      <c r="N101" s="153">
        <v>1979000</v>
      </c>
      <c r="O101" s="153">
        <v>1980000</v>
      </c>
      <c r="P101" s="153">
        <v>1980000</v>
      </c>
      <c r="Q101" s="153">
        <v>1981985</v>
      </c>
      <c r="R101" s="153">
        <v>1981985</v>
      </c>
      <c r="S101" s="153">
        <v>1981985</v>
      </c>
      <c r="T101" s="153">
        <v>1981985</v>
      </c>
      <c r="U101" s="153">
        <v>2227021</v>
      </c>
      <c r="V101" s="153">
        <v>2227021</v>
      </c>
      <c r="W101" s="153">
        <v>2227021</v>
      </c>
      <c r="X101" s="153">
        <v>2227021</v>
      </c>
      <c r="Y101" s="153">
        <v>2227491</v>
      </c>
      <c r="Z101" s="153">
        <v>2375354</v>
      </c>
      <c r="AA101" s="153">
        <v>2375354</v>
      </c>
      <c r="AB101" s="153">
        <v>2394929</v>
      </c>
      <c r="AC101" s="153">
        <v>2735580</v>
      </c>
      <c r="AD101" s="153">
        <v>2739133</v>
      </c>
      <c r="AE101" s="153">
        <v>2741931</v>
      </c>
      <c r="AF101" s="153">
        <v>2741931</v>
      </c>
      <c r="AG101" s="153">
        <v>2742270</v>
      </c>
      <c r="AH101" s="153">
        <v>3489736</v>
      </c>
      <c r="AI101" s="153">
        <v>3489736</v>
      </c>
      <c r="AJ101" s="153">
        <v>3489736</v>
      </c>
      <c r="AK101" s="153">
        <v>4655287</v>
      </c>
      <c r="AL101" s="153">
        <v>4655287</v>
      </c>
      <c r="AM101" s="153">
        <v>4655287</v>
      </c>
      <c r="AN101" s="153">
        <v>7437570</v>
      </c>
      <c r="AO101" s="153">
        <v>8872296</v>
      </c>
      <c r="AP101" s="153">
        <v>8872296</v>
      </c>
      <c r="AQ101" s="153">
        <v>8872296</v>
      </c>
      <c r="AR101" s="153">
        <v>8879443</v>
      </c>
      <c r="AS101" s="153">
        <v>8890946</v>
      </c>
      <c r="AT101" s="153">
        <v>9276102</v>
      </c>
      <c r="AU101" s="153">
        <v>9308724</v>
      </c>
      <c r="AV101" s="153">
        <v>9309111</v>
      </c>
      <c r="AW101" s="153">
        <v>9382975</v>
      </c>
      <c r="AX101" s="153">
        <v>12355734</v>
      </c>
      <c r="AY101" s="153">
        <v>12466882</v>
      </c>
      <c r="AZ101" s="153">
        <v>12472479</v>
      </c>
      <c r="BA101" s="153">
        <v>12596207</v>
      </c>
      <c r="BB101" s="153">
        <v>12612860</v>
      </c>
      <c r="BC101" s="153">
        <v>22169281</v>
      </c>
      <c r="BD101" s="153">
        <v>22174037</v>
      </c>
      <c r="BE101" s="153">
        <v>22177114</v>
      </c>
    </row>
    <row r="102" spans="1:57">
      <c r="A102" s="151" t="s">
        <v>1361</v>
      </c>
      <c r="B102" s="151" t="s">
        <v>1362</v>
      </c>
      <c r="C102" s="152"/>
      <c r="D102" s="153"/>
      <c r="E102" s="153"/>
      <c r="F102" s="153"/>
      <c r="G102" s="153"/>
      <c r="H102" s="153"/>
      <c r="I102" s="153"/>
      <c r="J102" s="153"/>
      <c r="K102" s="153"/>
      <c r="L102" s="153"/>
      <c r="M102" s="153"/>
      <c r="N102" s="153"/>
      <c r="O102" s="153"/>
      <c r="P102" s="153"/>
      <c r="Q102" s="153"/>
      <c r="R102" s="153"/>
      <c r="S102" s="153"/>
      <c r="T102" s="153"/>
      <c r="U102" s="153"/>
      <c r="V102" s="153"/>
      <c r="W102" s="153"/>
      <c r="X102" s="153"/>
      <c r="Y102" s="153"/>
      <c r="Z102" s="153"/>
      <c r="AA102" s="153"/>
      <c r="AB102" s="153"/>
      <c r="AC102" s="153"/>
      <c r="AD102" s="153"/>
      <c r="AE102" s="153"/>
      <c r="AF102" s="153"/>
      <c r="AG102" s="153"/>
      <c r="AH102" s="153"/>
      <c r="AI102" s="153"/>
      <c r="AJ102" s="153"/>
      <c r="AK102" s="153"/>
      <c r="AL102" s="153"/>
      <c r="AM102" s="153"/>
      <c r="AN102" s="153"/>
      <c r="AO102" s="153"/>
      <c r="AP102" s="153"/>
      <c r="AQ102" s="153"/>
      <c r="AR102" s="153"/>
      <c r="AS102" s="153"/>
      <c r="AT102" s="153"/>
      <c r="AU102" s="153"/>
      <c r="AV102" s="153"/>
      <c r="AW102" s="153">
        <v>0</v>
      </c>
      <c r="AX102" s="153"/>
      <c r="AY102" s="153"/>
      <c r="AZ102" s="153"/>
      <c r="BA102" s="153"/>
      <c r="BB102" s="153"/>
      <c r="BC102" s="153"/>
      <c r="BD102" s="153"/>
      <c r="BE102" s="153"/>
    </row>
    <row r="103" spans="1:57">
      <c r="A103" s="151" t="s">
        <v>1143</v>
      </c>
      <c r="B103" s="151" t="s">
        <v>1144</v>
      </c>
      <c r="C103" s="152"/>
      <c r="D103" s="153">
        <v>-27083</v>
      </c>
      <c r="E103" s="153">
        <v>-22262</v>
      </c>
      <c r="F103" s="153">
        <v>-22262</v>
      </c>
      <c r="G103" s="153">
        <v>-22262.789120000001</v>
      </c>
      <c r="H103" s="153">
        <v>-22262</v>
      </c>
      <c r="I103" s="153">
        <v>-22263</v>
      </c>
      <c r="J103" s="153">
        <v>-22263</v>
      </c>
      <c r="K103" s="153">
        <v>-22263</v>
      </c>
      <c r="L103" s="153">
        <v>-22000</v>
      </c>
      <c r="M103" s="153">
        <v>-22000</v>
      </c>
      <c r="N103" s="153">
        <v>-22000</v>
      </c>
      <c r="O103" s="153">
        <v>-22000</v>
      </c>
      <c r="P103" s="153">
        <v>-22000</v>
      </c>
      <c r="Q103" s="153">
        <v>-22263</v>
      </c>
      <c r="R103" s="153">
        <v>-22262</v>
      </c>
      <c r="S103" s="153">
        <v>-22262</v>
      </c>
      <c r="T103" s="153">
        <v>-22262</v>
      </c>
      <c r="U103" s="153">
        <v>-22262</v>
      </c>
      <c r="V103" s="153">
        <v>-22262</v>
      </c>
      <c r="W103" s="153">
        <v>-22262</v>
      </c>
      <c r="X103" s="153">
        <v>-22262</v>
      </c>
      <c r="Y103" s="153">
        <v>-22262</v>
      </c>
      <c r="Z103" s="153">
        <v>-22262</v>
      </c>
      <c r="AA103" s="153">
        <v>-22262</v>
      </c>
      <c r="AB103" s="153">
        <v>-22262</v>
      </c>
      <c r="AC103" s="153">
        <v>-22262</v>
      </c>
      <c r="AD103" s="153">
        <v>-22262</v>
      </c>
      <c r="AE103" s="153">
        <v>529933</v>
      </c>
      <c r="AF103" s="153">
        <v>-145494</v>
      </c>
      <c r="AG103" s="153">
        <v>-154352</v>
      </c>
      <c r="AH103" s="153">
        <v>-160445</v>
      </c>
      <c r="AI103" s="153">
        <v>-252843</v>
      </c>
      <c r="AJ103" s="153">
        <v>-295828</v>
      </c>
      <c r="AK103" s="153">
        <v>-264023</v>
      </c>
      <c r="AL103" s="153">
        <v>-300485</v>
      </c>
      <c r="AM103" s="153">
        <v>-272001</v>
      </c>
      <c r="AN103" s="153"/>
      <c r="AO103" s="153"/>
      <c r="AP103" s="153">
        <v>-411971</v>
      </c>
      <c r="AQ103" s="153">
        <v>-55699</v>
      </c>
      <c r="AR103" s="153">
        <v>-146291</v>
      </c>
      <c r="AS103" s="153">
        <v>-215008</v>
      </c>
      <c r="AT103" s="153">
        <v>6265</v>
      </c>
      <c r="AU103" s="153">
        <v>-120988</v>
      </c>
      <c r="AV103" s="153">
        <v>-110122</v>
      </c>
      <c r="AW103" s="153">
        <v>-80280</v>
      </c>
      <c r="AX103" s="153">
        <v>-118386</v>
      </c>
      <c r="AY103" s="153">
        <v>-45066</v>
      </c>
      <c r="AZ103" s="153">
        <v>-44398</v>
      </c>
      <c r="BA103" s="153">
        <v>148260</v>
      </c>
      <c r="BB103" s="153">
        <v>161510</v>
      </c>
      <c r="BC103" s="153">
        <v>91155</v>
      </c>
      <c r="BD103" s="153">
        <v>76393</v>
      </c>
      <c r="BE103" s="153">
        <v>82423</v>
      </c>
    </row>
    <row r="104" spans="1:57">
      <c r="A104" s="151" t="s">
        <v>1180</v>
      </c>
      <c r="B104" s="151" t="s">
        <v>1140</v>
      </c>
      <c r="C104" s="152"/>
      <c r="D104" s="153">
        <v>457706</v>
      </c>
      <c r="E104" s="153">
        <v>311412</v>
      </c>
      <c r="F104" s="153">
        <v>311412</v>
      </c>
      <c r="G104" s="153">
        <v>497299</v>
      </c>
      <c r="H104" s="153">
        <v>498543</v>
      </c>
      <c r="I104" s="153">
        <v>496984</v>
      </c>
      <c r="J104" s="153">
        <v>502339</v>
      </c>
      <c r="K104" s="153">
        <v>894428</v>
      </c>
      <c r="L104" s="153">
        <v>904400</v>
      </c>
      <c r="M104" s="153">
        <v>911000</v>
      </c>
      <c r="N104" s="153">
        <v>913000</v>
      </c>
      <c r="O104" s="153">
        <v>1517000</v>
      </c>
      <c r="P104" s="153">
        <v>1520000</v>
      </c>
      <c r="Q104" s="153">
        <v>1523436</v>
      </c>
      <c r="R104" s="153">
        <v>1525528</v>
      </c>
      <c r="S104" s="153">
        <v>2064804</v>
      </c>
      <c r="T104" s="153">
        <v>2067400</v>
      </c>
      <c r="U104" s="153">
        <v>1824556</v>
      </c>
      <c r="V104" s="153">
        <v>1824518</v>
      </c>
      <c r="W104" s="153">
        <v>2583952</v>
      </c>
      <c r="X104" s="153">
        <v>2584679</v>
      </c>
      <c r="Y104" s="153">
        <v>2585413</v>
      </c>
      <c r="Z104" s="153">
        <v>2437719</v>
      </c>
      <c r="AA104" s="153">
        <v>3270994</v>
      </c>
      <c r="AB104" s="153">
        <v>3270994</v>
      </c>
      <c r="AC104" s="153">
        <v>2849563</v>
      </c>
      <c r="AD104" s="153">
        <v>2849562</v>
      </c>
      <c r="AE104" s="153">
        <v>4993924</v>
      </c>
      <c r="AF104" s="153">
        <v>5536702.9999999991</v>
      </c>
      <c r="AG104" s="153">
        <v>5549549</v>
      </c>
      <c r="AH104" s="153">
        <v>4815621</v>
      </c>
      <c r="AI104" s="153">
        <v>7257231</v>
      </c>
      <c r="AJ104" s="153">
        <v>7264427</v>
      </c>
      <c r="AK104" s="153">
        <v>5947305</v>
      </c>
      <c r="AL104" s="153">
        <v>5955694</v>
      </c>
      <c r="AM104" s="153">
        <v>155745</v>
      </c>
      <c r="AN104" s="153">
        <v>9021765</v>
      </c>
      <c r="AO104" s="153">
        <v>7538567</v>
      </c>
      <c r="AP104" s="153">
        <v>181343</v>
      </c>
      <c r="AQ104" s="153">
        <v>187518</v>
      </c>
      <c r="AR104" s="153">
        <v>1260971</v>
      </c>
      <c r="AS104" s="153">
        <v>1266429</v>
      </c>
      <c r="AT104" s="153">
        <v>1278937</v>
      </c>
      <c r="AU104" s="153">
        <v>2095380</v>
      </c>
      <c r="AV104" s="153">
        <v>2107432</v>
      </c>
      <c r="AW104" s="153">
        <v>2147251</v>
      </c>
      <c r="AX104" s="153">
        <v>2119676</v>
      </c>
      <c r="AY104" s="153">
        <v>2124228</v>
      </c>
      <c r="AZ104" s="153">
        <v>2120923</v>
      </c>
      <c r="BA104" s="153">
        <v>2043337</v>
      </c>
      <c r="BB104" s="153">
        <v>2068261</v>
      </c>
      <c r="BC104" s="153">
        <v>1798082</v>
      </c>
      <c r="BD104" s="153">
        <v>1357982</v>
      </c>
      <c r="BE104" s="153">
        <v>1374634</v>
      </c>
    </row>
    <row r="105" spans="1:57">
      <c r="A105" s="151" t="s">
        <v>1197</v>
      </c>
      <c r="B105" s="151" t="s">
        <v>1198</v>
      </c>
      <c r="C105" s="152"/>
      <c r="D105" s="153">
        <v>-1390</v>
      </c>
      <c r="E105" s="153">
        <v>-1390</v>
      </c>
      <c r="F105" s="153">
        <v>-1390</v>
      </c>
      <c r="G105" s="153">
        <v>-1389.38851</v>
      </c>
      <c r="H105" s="153">
        <v>-2633</v>
      </c>
      <c r="I105" s="153">
        <v>-2633</v>
      </c>
      <c r="J105" s="153">
        <v>-2633</v>
      </c>
      <c r="K105" s="153">
        <v>-13075</v>
      </c>
      <c r="L105" s="153">
        <v>-12000</v>
      </c>
      <c r="M105" s="153">
        <v>-12000</v>
      </c>
      <c r="N105" s="153">
        <v>-12000</v>
      </c>
      <c r="O105" s="153">
        <v>4000</v>
      </c>
      <c r="P105" s="153">
        <v>4000</v>
      </c>
      <c r="Q105" s="153">
        <v>4050</v>
      </c>
      <c r="R105" s="153">
        <v>4050</v>
      </c>
      <c r="S105" s="153">
        <v>-529</v>
      </c>
      <c r="T105" s="153">
        <v>-529</v>
      </c>
      <c r="U105" s="153">
        <v>-529</v>
      </c>
      <c r="V105" s="153">
        <v>-529</v>
      </c>
      <c r="W105" s="153">
        <v>-2626</v>
      </c>
      <c r="X105" s="153">
        <v>-2626</v>
      </c>
      <c r="Y105" s="153">
        <v>-2626</v>
      </c>
      <c r="Z105" s="153">
        <v>-2626</v>
      </c>
      <c r="AA105" s="153">
        <v>-28054</v>
      </c>
      <c r="AB105" s="153">
        <v>-140977</v>
      </c>
      <c r="AC105" s="153">
        <v>-32034.999999999996</v>
      </c>
      <c r="AD105" s="153">
        <v>-34037</v>
      </c>
      <c r="AE105" s="153">
        <v>-22262</v>
      </c>
      <c r="AF105" s="153">
        <v>0</v>
      </c>
      <c r="AG105" s="153"/>
      <c r="AH105" s="153"/>
      <c r="AI105" s="153"/>
      <c r="AJ105" s="153"/>
      <c r="AK105" s="153"/>
      <c r="AL105" s="153"/>
      <c r="AM105" s="153"/>
      <c r="AN105" s="153">
        <v>-315485</v>
      </c>
      <c r="AO105" s="153">
        <v>-376656</v>
      </c>
      <c r="AP105" s="153"/>
      <c r="AQ105" s="153"/>
      <c r="AR105" s="153"/>
      <c r="AS105" s="153"/>
      <c r="AT105" s="153"/>
      <c r="AU105" s="153"/>
      <c r="AV105" s="153"/>
      <c r="AW105" s="153"/>
      <c r="AX105" s="153"/>
      <c r="AY105" s="153">
        <v>0</v>
      </c>
      <c r="AZ105" s="153"/>
      <c r="BA105" s="153"/>
      <c r="BB105" s="153"/>
      <c r="BC105" s="153">
        <v>0</v>
      </c>
      <c r="BD105" s="153">
        <v>0</v>
      </c>
      <c r="BE105" s="153"/>
    </row>
    <row r="106" spans="1:57">
      <c r="A106" s="151" t="s">
        <v>1181</v>
      </c>
      <c r="B106" s="151" t="s">
        <v>1142</v>
      </c>
      <c r="C106" s="152"/>
      <c r="D106" s="153">
        <v>-24593</v>
      </c>
      <c r="E106" s="153">
        <v>-68921.972500000091</v>
      </c>
      <c r="F106" s="153">
        <v>135339.27621000001</v>
      </c>
      <c r="G106" s="153">
        <v>-96751.318069999994</v>
      </c>
      <c r="H106" s="153">
        <v>-81544</v>
      </c>
      <c r="I106" s="153">
        <v>-266250.05329000001</v>
      </c>
      <c r="J106" s="153">
        <v>16730.123909999998</v>
      </c>
      <c r="K106" s="153">
        <v>0</v>
      </c>
      <c r="L106" s="153">
        <v>85000</v>
      </c>
      <c r="M106" s="153">
        <v>585000</v>
      </c>
      <c r="N106" s="153">
        <v>657000</v>
      </c>
      <c r="O106" s="153">
        <v>0</v>
      </c>
      <c r="P106" s="153">
        <v>139000</v>
      </c>
      <c r="Q106" s="153">
        <v>317588</v>
      </c>
      <c r="R106" s="153">
        <v>506310</v>
      </c>
      <c r="S106" s="153">
        <v>0</v>
      </c>
      <c r="T106" s="153">
        <v>49400</v>
      </c>
      <c r="U106" s="153">
        <v>176570</v>
      </c>
      <c r="V106" s="153">
        <v>488252</v>
      </c>
      <c r="W106" s="153">
        <v>0</v>
      </c>
      <c r="X106" s="153">
        <v>64581</v>
      </c>
      <c r="Y106" s="153">
        <v>185680</v>
      </c>
      <c r="Z106" s="153">
        <v>433709</v>
      </c>
      <c r="AA106" s="153"/>
      <c r="AB106" s="153">
        <v>212780</v>
      </c>
      <c r="AC106" s="153">
        <v>554854</v>
      </c>
      <c r="AD106" s="153">
        <v>1103399</v>
      </c>
      <c r="AE106" s="153">
        <v>-132649</v>
      </c>
      <c r="AF106" s="153">
        <v>439957</v>
      </c>
      <c r="AG106" s="153">
        <v>845688</v>
      </c>
      <c r="AH106" s="153">
        <v>1573645</v>
      </c>
      <c r="AI106" s="153"/>
      <c r="AJ106" s="153">
        <v>353226</v>
      </c>
      <c r="AK106" s="153">
        <v>862956</v>
      </c>
      <c r="AL106" s="153">
        <v>2273352</v>
      </c>
      <c r="AM106" s="153">
        <v>8860055</v>
      </c>
      <c r="AN106" s="153">
        <v>580076</v>
      </c>
      <c r="AO106" s="153">
        <v>409773</v>
      </c>
      <c r="AP106" s="153">
        <v>7370153</v>
      </c>
      <c r="AQ106" s="153">
        <v>8245816</v>
      </c>
      <c r="AR106" s="153">
        <v>8245816</v>
      </c>
      <c r="AS106" s="153">
        <v>8241848</v>
      </c>
      <c r="AT106" s="153">
        <v>8241848</v>
      </c>
      <c r="AU106" s="153">
        <v>9848680</v>
      </c>
      <c r="AV106" s="153">
        <v>9810127</v>
      </c>
      <c r="AW106" s="153">
        <v>9801242</v>
      </c>
      <c r="AX106" s="153">
        <v>9801242</v>
      </c>
      <c r="AY106" s="153">
        <v>11625990</v>
      </c>
      <c r="AZ106" s="153">
        <v>11625990</v>
      </c>
      <c r="BA106" s="153">
        <v>11625432</v>
      </c>
      <c r="BB106" s="153">
        <v>11625432</v>
      </c>
      <c r="BC106" s="153">
        <v>1816733</v>
      </c>
      <c r="BD106" s="153">
        <v>1816733</v>
      </c>
      <c r="BE106" s="153">
        <v>1816733</v>
      </c>
    </row>
    <row r="107" spans="1:57">
      <c r="A107" s="151" t="s">
        <v>1346</v>
      </c>
      <c r="B107" s="151" t="s">
        <v>777</v>
      </c>
      <c r="C107" s="152"/>
      <c r="D107" s="153"/>
      <c r="E107" s="153"/>
      <c r="F107" s="153"/>
      <c r="G107" s="153"/>
      <c r="H107" s="153"/>
      <c r="I107" s="153"/>
      <c r="J107" s="153"/>
      <c r="K107" s="153"/>
      <c r="L107" s="153"/>
      <c r="M107" s="153"/>
      <c r="N107" s="153"/>
      <c r="O107" s="153"/>
      <c r="P107" s="153"/>
      <c r="Q107" s="153"/>
      <c r="R107" s="153"/>
      <c r="S107" s="153"/>
      <c r="T107" s="153"/>
      <c r="U107" s="153"/>
      <c r="V107" s="153"/>
      <c r="W107" s="153"/>
      <c r="X107" s="153"/>
      <c r="Y107" s="153"/>
      <c r="Z107" s="153"/>
      <c r="AA107" s="153"/>
      <c r="AB107" s="153"/>
      <c r="AC107" s="153"/>
      <c r="AD107" s="153"/>
      <c r="AE107" s="153"/>
      <c r="AF107" s="153"/>
      <c r="AG107" s="153"/>
      <c r="AH107" s="153"/>
      <c r="AI107" s="153"/>
      <c r="AJ107" s="153"/>
      <c r="AK107" s="153"/>
      <c r="AL107" s="153"/>
      <c r="AM107" s="153">
        <v>0</v>
      </c>
      <c r="AN107" s="153"/>
      <c r="AO107" s="153"/>
      <c r="AP107" s="153">
        <v>914034</v>
      </c>
      <c r="AQ107" s="153">
        <v>0</v>
      </c>
      <c r="AR107" s="153">
        <v>163686</v>
      </c>
      <c r="AS107" s="153">
        <v>681385</v>
      </c>
      <c r="AT107" s="153">
        <v>1401408</v>
      </c>
      <c r="AU107" s="153">
        <v>-115131</v>
      </c>
      <c r="AV107" s="153">
        <v>279445</v>
      </c>
      <c r="AW107" s="153">
        <v>787919</v>
      </c>
      <c r="AX107" s="153">
        <v>1547990</v>
      </c>
      <c r="AY107" s="153">
        <v>0</v>
      </c>
      <c r="AZ107" s="153">
        <v>556168</v>
      </c>
      <c r="BA107" s="153">
        <v>1629769</v>
      </c>
      <c r="BB107" s="153">
        <v>2133738</v>
      </c>
      <c r="BC107" s="153">
        <v>0</v>
      </c>
      <c r="BD107" s="153">
        <v>424465</v>
      </c>
      <c r="BE107" s="153">
        <v>909840</v>
      </c>
    </row>
    <row r="108" spans="1:57">
      <c r="A108" s="151" t="s">
        <v>1347</v>
      </c>
      <c r="B108" s="151" t="s">
        <v>1348</v>
      </c>
      <c r="C108" s="152"/>
      <c r="D108" s="153"/>
      <c r="E108" s="153"/>
      <c r="F108" s="153"/>
      <c r="G108" s="153"/>
      <c r="H108" s="153"/>
      <c r="I108" s="153"/>
      <c r="J108" s="153"/>
      <c r="K108" s="153"/>
      <c r="L108" s="153"/>
      <c r="M108" s="153"/>
      <c r="N108" s="153"/>
      <c r="O108" s="153"/>
      <c r="P108" s="153"/>
      <c r="Q108" s="153"/>
      <c r="R108" s="153"/>
      <c r="S108" s="153"/>
      <c r="T108" s="153"/>
      <c r="U108" s="153"/>
      <c r="V108" s="153"/>
      <c r="W108" s="153"/>
      <c r="X108" s="153"/>
      <c r="Y108" s="153"/>
      <c r="Z108" s="153"/>
      <c r="AA108" s="153"/>
      <c r="AB108" s="153"/>
      <c r="AC108" s="153"/>
      <c r="AD108" s="153"/>
      <c r="AE108" s="153"/>
      <c r="AF108" s="153"/>
      <c r="AG108" s="153"/>
      <c r="AH108" s="153"/>
      <c r="AI108" s="153">
        <v>-31734</v>
      </c>
      <c r="AJ108" s="153">
        <v>-632005</v>
      </c>
      <c r="AK108" s="153">
        <v>-632005</v>
      </c>
      <c r="AL108" s="153">
        <v>-642725</v>
      </c>
      <c r="AM108" s="153">
        <v>-642725</v>
      </c>
      <c r="AN108" s="153">
        <v>-642725</v>
      </c>
      <c r="AO108" s="153">
        <v>-642725</v>
      </c>
      <c r="AP108" s="153">
        <v>-642725</v>
      </c>
      <c r="AQ108" s="153">
        <v>-642725</v>
      </c>
      <c r="AR108" s="153">
        <v>-642725</v>
      </c>
      <c r="AS108" s="153">
        <v>-642725</v>
      </c>
      <c r="AT108" s="153">
        <v>-630632</v>
      </c>
      <c r="AU108" s="153">
        <v>0</v>
      </c>
      <c r="AV108" s="153"/>
      <c r="AW108" s="153">
        <v>-29756</v>
      </c>
      <c r="AX108" s="153">
        <v>-29756</v>
      </c>
      <c r="AY108" s="153">
        <v>-58348</v>
      </c>
      <c r="AZ108" s="153">
        <v>-58348</v>
      </c>
      <c r="BA108" s="153">
        <v>-47924</v>
      </c>
      <c r="BB108" s="153">
        <v>-47924</v>
      </c>
      <c r="BC108" s="153">
        <v>-123712</v>
      </c>
      <c r="BD108" s="153">
        <v>-163136</v>
      </c>
      <c r="BE108" s="153">
        <v>-234080</v>
      </c>
    </row>
    <row r="109" spans="1:57" ht="15" thickBot="1">
      <c r="A109" s="151" t="s">
        <v>1226</v>
      </c>
      <c r="B109" s="151" t="s">
        <v>1226</v>
      </c>
      <c r="C109" s="152"/>
      <c r="D109" s="153"/>
      <c r="E109" s="153"/>
      <c r="F109" s="153"/>
      <c r="G109" s="153"/>
      <c r="H109" s="153"/>
      <c r="I109" s="153"/>
      <c r="J109" s="153"/>
      <c r="K109" s="153"/>
      <c r="L109" s="153"/>
      <c r="M109" s="153"/>
      <c r="N109" s="153"/>
      <c r="O109" s="153"/>
      <c r="P109" s="153"/>
      <c r="Q109" s="153"/>
      <c r="R109" s="153"/>
      <c r="S109" s="153"/>
      <c r="T109" s="153"/>
      <c r="U109" s="153"/>
      <c r="V109" s="153"/>
      <c r="W109" s="153"/>
      <c r="X109" s="153"/>
      <c r="Y109" s="153"/>
      <c r="Z109" s="153"/>
      <c r="AA109" s="153"/>
      <c r="AB109" s="153"/>
      <c r="AC109" s="153"/>
      <c r="AD109" s="153"/>
      <c r="AE109" s="153"/>
      <c r="AF109" s="153"/>
      <c r="AG109" s="153"/>
      <c r="AH109" s="153"/>
      <c r="AI109" s="153"/>
      <c r="AJ109" s="153"/>
      <c r="AK109" s="153"/>
      <c r="AL109" s="153"/>
      <c r="AM109" s="153"/>
      <c r="AN109" s="153"/>
      <c r="AO109" s="153"/>
      <c r="AP109" s="153"/>
      <c r="AQ109" s="153">
        <v>7147</v>
      </c>
      <c r="AR109" s="153"/>
      <c r="AS109" s="153">
        <v>367574</v>
      </c>
      <c r="AT109" s="153">
        <v>0</v>
      </c>
      <c r="AU109" s="153">
        <v>0</v>
      </c>
      <c r="AV109" s="153"/>
      <c r="AW109" s="153">
        <v>457272</v>
      </c>
      <c r="AX109" s="153">
        <v>0</v>
      </c>
      <c r="AY109" s="153"/>
      <c r="AZ109" s="153">
        <v>111170</v>
      </c>
      <c r="BA109" s="153">
        <v>0</v>
      </c>
      <c r="BB109" s="153"/>
      <c r="BC109" s="153"/>
      <c r="BD109" s="153"/>
      <c r="BE109" s="153"/>
    </row>
    <row r="110" spans="1:57" ht="15" thickBot="1">
      <c r="A110" s="155" t="s">
        <v>1147</v>
      </c>
      <c r="B110" s="155" t="s">
        <v>1148</v>
      </c>
      <c r="C110" s="148"/>
      <c r="D110" s="156">
        <f t="shared" ref="D110:AI110" si="19">D100+D99+D80+D55</f>
        <v>9090362</v>
      </c>
      <c r="E110" s="156">
        <f t="shared" si="19"/>
        <v>9044973.0974499993</v>
      </c>
      <c r="F110" s="156">
        <f t="shared" si="19"/>
        <v>9103485.6875700001</v>
      </c>
      <c r="G110" s="156">
        <f t="shared" si="19"/>
        <v>9103497.7326800004</v>
      </c>
      <c r="H110" s="156">
        <f t="shared" si="19"/>
        <v>9291633.8968099989</v>
      </c>
      <c r="I110" s="156">
        <f t="shared" si="19"/>
        <v>9303223.7943900004</v>
      </c>
      <c r="J110" s="156">
        <f t="shared" si="19"/>
        <v>9779306.9760299996</v>
      </c>
      <c r="K110" s="156">
        <f t="shared" si="19"/>
        <v>11269867</v>
      </c>
      <c r="L110" s="156">
        <f t="shared" si="19"/>
        <v>11302800</v>
      </c>
      <c r="M110" s="156">
        <f t="shared" si="19"/>
        <v>11626000</v>
      </c>
      <c r="N110" s="156">
        <f t="shared" si="19"/>
        <v>12287445</v>
      </c>
      <c r="O110" s="156">
        <f t="shared" si="19"/>
        <v>12585665</v>
      </c>
      <c r="P110" s="156">
        <f t="shared" si="19"/>
        <v>12473577</v>
      </c>
      <c r="Q110" s="156">
        <f t="shared" si="19"/>
        <v>12671720</v>
      </c>
      <c r="R110" s="156">
        <f t="shared" si="19"/>
        <v>12855594</v>
      </c>
      <c r="S110" s="156">
        <f t="shared" si="19"/>
        <v>14219520</v>
      </c>
      <c r="T110" s="156">
        <f t="shared" si="19"/>
        <v>13902302</v>
      </c>
      <c r="U110" s="156">
        <f t="shared" si="19"/>
        <v>14341674</v>
      </c>
      <c r="V110" s="156">
        <f t="shared" si="19"/>
        <v>15072973</v>
      </c>
      <c r="W110" s="156">
        <f t="shared" si="19"/>
        <v>17488451</v>
      </c>
      <c r="X110" s="156">
        <f t="shared" si="19"/>
        <v>17386033</v>
      </c>
      <c r="Y110" s="156">
        <f t="shared" si="19"/>
        <v>18348912</v>
      </c>
      <c r="Z110" s="156">
        <f t="shared" si="19"/>
        <v>19399055</v>
      </c>
      <c r="AA110" s="156">
        <f t="shared" si="19"/>
        <v>25505996</v>
      </c>
      <c r="AB110" s="156">
        <f t="shared" si="19"/>
        <v>30744475</v>
      </c>
      <c r="AC110" s="156">
        <f t="shared" si="19"/>
        <v>32721740</v>
      </c>
      <c r="AD110" s="156">
        <f t="shared" si="19"/>
        <v>33872014</v>
      </c>
      <c r="AE110" s="156">
        <f t="shared" si="19"/>
        <v>37530095</v>
      </c>
      <c r="AF110" s="156">
        <f t="shared" si="19"/>
        <v>39457780</v>
      </c>
      <c r="AG110" s="156">
        <f t="shared" si="19"/>
        <v>40503036</v>
      </c>
      <c r="AH110" s="156">
        <f t="shared" si="19"/>
        <v>42136010</v>
      </c>
      <c r="AI110" s="156">
        <f t="shared" si="19"/>
        <v>44124020</v>
      </c>
      <c r="AJ110" s="156">
        <f t="shared" ref="AJ110:BD110" si="20">AJ100+AJ99+AJ80+AJ55</f>
        <v>42298314</v>
      </c>
      <c r="AK110" s="156">
        <f t="shared" si="20"/>
        <v>43552604</v>
      </c>
      <c r="AL110" s="156">
        <f t="shared" si="20"/>
        <v>55563723.775030002</v>
      </c>
      <c r="AM110" s="156">
        <f t="shared" si="20"/>
        <v>61714300</v>
      </c>
      <c r="AN110" s="156">
        <f t="shared" si="20"/>
        <v>70620775.212427199</v>
      </c>
      <c r="AO110" s="156">
        <f t="shared" si="20"/>
        <v>71409298.894101709</v>
      </c>
      <c r="AP110" s="156">
        <f t="shared" si="20"/>
        <v>70907242</v>
      </c>
      <c r="AQ110" s="156">
        <f t="shared" si="20"/>
        <v>90617397</v>
      </c>
      <c r="AR110" s="156">
        <f t="shared" si="20"/>
        <v>92834649</v>
      </c>
      <c r="AS110" s="156">
        <f t="shared" si="20"/>
        <v>95701577</v>
      </c>
      <c r="AT110" s="156">
        <f t="shared" si="20"/>
        <v>98775410.00891</v>
      </c>
      <c r="AU110" s="156">
        <f t="shared" si="20"/>
        <v>103643453</v>
      </c>
      <c r="AV110" s="156">
        <f t="shared" si="20"/>
        <v>100456503</v>
      </c>
      <c r="AW110" s="156">
        <f t="shared" si="20"/>
        <v>105098408</v>
      </c>
      <c r="AX110" s="156">
        <f t="shared" si="20"/>
        <v>112386976</v>
      </c>
      <c r="AY110" s="156">
        <f t="shared" si="20"/>
        <v>116412092</v>
      </c>
      <c r="AZ110" s="156">
        <f t="shared" si="20"/>
        <v>116001231</v>
      </c>
      <c r="BA110" s="156">
        <f t="shared" si="20"/>
        <v>116701442</v>
      </c>
      <c r="BB110" s="156">
        <f t="shared" si="20"/>
        <v>126136849</v>
      </c>
      <c r="BC110" s="156">
        <f t="shared" si="20"/>
        <v>109603943.5</v>
      </c>
      <c r="BD110" s="156">
        <f t="shared" si="20"/>
        <v>111791967</v>
      </c>
      <c r="BE110" s="156">
        <f t="shared" ref="BE110" si="21">BE100+BE99+BE80+BE55</f>
        <v>118944065</v>
      </c>
    </row>
    <row r="111" spans="1:57" s="165" customFormat="1" ht="12">
      <c r="C111" s="4"/>
      <c r="D111" s="166"/>
      <c r="E111" s="166"/>
      <c r="F111" s="166"/>
      <c r="G111" s="166"/>
      <c r="H111" s="166"/>
      <c r="I111" s="166"/>
      <c r="J111" s="166"/>
      <c r="K111" s="166"/>
      <c r="L111" s="166"/>
      <c r="M111" s="166"/>
      <c r="N111" s="166"/>
      <c r="O111" s="166"/>
      <c r="P111" s="166"/>
      <c r="Q111" s="166"/>
      <c r="R111" s="166"/>
      <c r="S111" s="166"/>
      <c r="T111" s="166"/>
      <c r="U111" s="166"/>
      <c r="V111" s="166"/>
      <c r="W111" s="166"/>
      <c r="X111" s="166"/>
      <c r="Y111" s="166"/>
      <c r="Z111" s="166"/>
      <c r="AA111" s="166"/>
      <c r="AB111" s="166"/>
      <c r="AC111" s="166"/>
      <c r="AD111" s="166"/>
      <c r="AE111" s="166"/>
      <c r="AF111" s="166"/>
      <c r="AG111" s="166"/>
      <c r="AH111" s="166"/>
      <c r="AI111" s="166"/>
      <c r="AJ111" s="166"/>
      <c r="AK111" s="166"/>
      <c r="AL111" s="166"/>
      <c r="AM111" s="166"/>
      <c r="AN111" s="166">
        <f t="shared" ref="AN111:BD111" si="22">AN110-AN52</f>
        <v>0.21242719888687134</v>
      </c>
      <c r="AO111" s="166">
        <f t="shared" si="22"/>
        <v>-0.10589829087257385</v>
      </c>
      <c r="AP111" s="166">
        <f t="shared" si="22"/>
        <v>0</v>
      </c>
      <c r="AQ111" s="166">
        <f t="shared" si="22"/>
        <v>0</v>
      </c>
      <c r="AR111" s="166">
        <f t="shared" si="22"/>
        <v>0</v>
      </c>
      <c r="AS111" s="166">
        <f t="shared" si="22"/>
        <v>0</v>
      </c>
      <c r="AT111" s="166">
        <f t="shared" si="22"/>
        <v>0</v>
      </c>
      <c r="AU111" s="166">
        <f t="shared" si="22"/>
        <v>0</v>
      </c>
      <c r="AV111" s="166">
        <f t="shared" si="22"/>
        <v>0</v>
      </c>
      <c r="AW111" s="166">
        <f t="shared" si="22"/>
        <v>0</v>
      </c>
      <c r="AX111" s="166">
        <f t="shared" si="22"/>
        <v>0</v>
      </c>
      <c r="AY111" s="166">
        <f t="shared" si="22"/>
        <v>0</v>
      </c>
      <c r="AZ111" s="166">
        <f t="shared" si="22"/>
        <v>0</v>
      </c>
      <c r="BA111" s="166">
        <f t="shared" si="22"/>
        <v>0</v>
      </c>
      <c r="BB111" s="166">
        <f t="shared" si="22"/>
        <v>0</v>
      </c>
      <c r="BC111" s="166">
        <f t="shared" si="22"/>
        <v>0</v>
      </c>
      <c r="BD111" s="166">
        <f t="shared" si="22"/>
        <v>0</v>
      </c>
      <c r="BE111" s="166">
        <f t="shared" ref="BE111" si="23">BE110-BE52</f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rgb="FF002060"/>
  </sheetPr>
  <dimension ref="B4:W8"/>
  <sheetViews>
    <sheetView showGridLines="0" zoomScale="85" zoomScaleNormal="85" workbookViewId="0">
      <selection activeCell="T8" sqref="T8:W8"/>
    </sheetView>
  </sheetViews>
  <sheetFormatPr defaultRowHeight="14.4"/>
  <cols>
    <col min="2" max="2" width="1.44140625" customWidth="1"/>
    <col min="8" max="9" width="2" customWidth="1"/>
    <col min="14" max="14" width="2" customWidth="1"/>
    <col min="19" max="19" width="2" customWidth="1"/>
  </cols>
  <sheetData>
    <row r="4" spans="2:23" s="2" customFormat="1" ht="32.549999999999997" customHeight="1">
      <c r="B4" s="3" t="s">
        <v>1363</v>
      </c>
    </row>
    <row r="8" spans="2:23" ht="30.3" customHeight="1">
      <c r="D8" s="33" t="s">
        <v>30</v>
      </c>
      <c r="E8" s="34"/>
      <c r="F8" s="34"/>
      <c r="G8" s="34"/>
      <c r="J8" s="33" t="s">
        <v>31</v>
      </c>
      <c r="K8" s="34"/>
      <c r="L8" s="34"/>
      <c r="M8" s="34"/>
      <c r="O8" s="33" t="s">
        <v>32</v>
      </c>
      <c r="P8" s="34"/>
      <c r="Q8" s="34"/>
      <c r="R8" s="34"/>
      <c r="T8" s="806" t="s">
        <v>578</v>
      </c>
      <c r="U8" s="806"/>
      <c r="V8" s="806"/>
      <c r="W8" s="806"/>
    </row>
  </sheetData>
  <mergeCells count="1">
    <mergeCell ref="T8:W8"/>
  </mergeCells>
  <pageMargins left="0.511811024" right="0.511811024" top="0.78740157499999996" bottom="0.78740157499999996" header="0.31496062000000002" footer="0.31496062000000002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rgb="FF002060"/>
  </sheetPr>
  <dimension ref="B4:W8"/>
  <sheetViews>
    <sheetView showGridLines="0" zoomScale="85" zoomScaleNormal="85" workbookViewId="0">
      <selection activeCell="R22" sqref="R22:S23"/>
    </sheetView>
  </sheetViews>
  <sheetFormatPr defaultRowHeight="14.4"/>
  <cols>
    <col min="2" max="2" width="1.44140625" customWidth="1"/>
    <col min="8" max="9" width="2" customWidth="1"/>
    <col min="14" max="14" width="2" customWidth="1"/>
    <col min="19" max="19" width="2" customWidth="1"/>
  </cols>
  <sheetData>
    <row r="4" spans="2:23" s="2" customFormat="1" ht="32.549999999999997" customHeight="1">
      <c r="B4" s="3" t="s">
        <v>1364</v>
      </c>
    </row>
    <row r="8" spans="2:23" ht="30.3" customHeight="1">
      <c r="D8" s="33" t="s">
        <v>34</v>
      </c>
      <c r="E8" s="34"/>
      <c r="F8" s="34"/>
      <c r="G8" s="34"/>
      <c r="J8" s="33" t="s">
        <v>35</v>
      </c>
      <c r="K8" s="34"/>
      <c r="L8" s="34"/>
      <c r="M8" s="34"/>
      <c r="O8" s="33" t="s">
        <v>36</v>
      </c>
      <c r="P8" s="34"/>
      <c r="Q8" s="34"/>
      <c r="R8" s="34"/>
      <c r="T8" s="806" t="s">
        <v>96</v>
      </c>
      <c r="U8" s="806"/>
      <c r="V8" s="806"/>
      <c r="W8" s="806"/>
    </row>
  </sheetData>
  <mergeCells count="1">
    <mergeCell ref="T8:W8"/>
  </mergeCells>
  <pageMargins left="0.511811024" right="0.511811024" top="0.78740157499999996" bottom="0.78740157499999996" header="0.31496062000000002" footer="0.31496062000000002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tabColor theme="9" tint="0.79998168889431442"/>
  </sheetPr>
  <dimension ref="A6:AC129"/>
  <sheetViews>
    <sheetView showGridLines="0" zoomScale="70" zoomScaleNormal="70" workbookViewId="0">
      <pane xSplit="1" ySplit="7" topLeftCell="U59" activePane="bottomRight" state="frozen"/>
      <selection pane="topRight" activeCell="B1" sqref="B1"/>
      <selection pane="bottomLeft" activeCell="A8" sqref="A8"/>
      <selection pane="bottomRight" activeCell="U2" sqref="U2"/>
    </sheetView>
  </sheetViews>
  <sheetFormatPr defaultColWidth="9.21875" defaultRowHeight="14.4" outlineLevelCol="1"/>
  <cols>
    <col min="1" max="1" width="78.33203125" style="35" customWidth="1"/>
    <col min="2" max="2" width="75.88671875" style="35" bestFit="1" customWidth="1"/>
    <col min="3" max="3" width="0.5546875" style="35" customWidth="1"/>
    <col min="4" max="5" width="10.5546875" style="35" hidden="1" customWidth="1" outlineLevel="1"/>
    <col min="6" max="7" width="11.44140625" style="35" hidden="1" customWidth="1" outlineLevel="1"/>
    <col min="8" max="8" width="11.44140625" style="35" customWidth="1" collapsed="1"/>
    <col min="9" max="10" width="11.44140625" style="35" customWidth="1"/>
    <col min="11" max="28" width="11.44140625" style="35" bestFit="1" customWidth="1"/>
    <col min="29" max="29" width="11.44140625" style="301" bestFit="1" customWidth="1"/>
    <col min="30" max="16384" width="9.21875" style="35"/>
  </cols>
  <sheetData>
    <row r="6" spans="1:29">
      <c r="A6" s="38" t="s">
        <v>89</v>
      </c>
      <c r="B6" s="38" t="s">
        <v>89</v>
      </c>
      <c r="C6" s="348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780"/>
    </row>
    <row r="7" spans="1:29">
      <c r="A7" s="441" t="s">
        <v>1365</v>
      </c>
      <c r="B7" s="441" t="s">
        <v>1366</v>
      </c>
      <c r="C7" s="602"/>
      <c r="D7" s="603" t="s">
        <v>67</v>
      </c>
      <c r="E7" s="603" t="s">
        <v>68</v>
      </c>
      <c r="F7" s="603" t="s">
        <v>69</v>
      </c>
      <c r="G7" s="603" t="s">
        <v>70</v>
      </c>
      <c r="H7" s="603" t="s">
        <v>1367</v>
      </c>
      <c r="I7" s="603" t="s">
        <v>1368</v>
      </c>
      <c r="J7" s="603" t="s">
        <v>1369</v>
      </c>
      <c r="K7" s="604" t="s">
        <v>1370</v>
      </c>
      <c r="L7" s="603" t="s">
        <v>584</v>
      </c>
      <c r="M7" s="603" t="s">
        <v>585</v>
      </c>
      <c r="N7" s="603" t="s">
        <v>586</v>
      </c>
      <c r="O7" s="604" t="s">
        <v>1371</v>
      </c>
      <c r="P7" s="603" t="s">
        <v>587</v>
      </c>
      <c r="Q7" s="603" t="s">
        <v>588</v>
      </c>
      <c r="R7" s="603" t="s">
        <v>589</v>
      </c>
      <c r="S7" s="604" t="s">
        <v>1372</v>
      </c>
      <c r="T7" s="603" t="s">
        <v>590</v>
      </c>
      <c r="U7" s="603" t="s">
        <v>591</v>
      </c>
      <c r="V7" s="603" t="s">
        <v>592</v>
      </c>
      <c r="W7" s="604" t="s">
        <v>1373</v>
      </c>
      <c r="X7" s="603" t="s">
        <v>593</v>
      </c>
      <c r="Y7" s="603" t="s">
        <v>594</v>
      </c>
      <c r="Z7" s="603" t="s">
        <v>595</v>
      </c>
      <c r="AA7" s="666">
        <v>2025</v>
      </c>
      <c r="AB7" s="666" t="s">
        <v>2488</v>
      </c>
      <c r="AC7" s="666" t="s">
        <v>2497</v>
      </c>
    </row>
    <row r="8" spans="1:29" s="165" customFormat="1" ht="13.8">
      <c r="A8" s="134" t="s">
        <v>1374</v>
      </c>
      <c r="B8" s="134" t="s">
        <v>2034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6"/>
    </row>
    <row r="9" spans="1:29" s="578" customFormat="1" ht="13.8">
      <c r="A9" s="588" t="s">
        <v>776</v>
      </c>
      <c r="B9" s="589" t="s">
        <v>1375</v>
      </c>
      <c r="C9" s="589"/>
      <c r="D9" s="589"/>
      <c r="E9" s="589"/>
      <c r="F9" s="589"/>
      <c r="G9" s="589"/>
      <c r="H9" s="590">
        <v>193645</v>
      </c>
      <c r="I9" s="590">
        <v>390411</v>
      </c>
      <c r="J9" s="590">
        <v>605605</v>
      </c>
      <c r="K9" s="590">
        <v>943423</v>
      </c>
      <c r="L9" s="590">
        <v>133098</v>
      </c>
      <c r="M9" s="590">
        <v>163187</v>
      </c>
      <c r="N9" s="590">
        <v>256135</v>
      </c>
      <c r="O9" s="590">
        <v>648145</v>
      </c>
      <c r="P9" s="590">
        <v>161667</v>
      </c>
      <c r="Q9" s="590">
        <v>330980</v>
      </c>
      <c r="R9" s="590">
        <v>533614</v>
      </c>
      <c r="S9" s="590">
        <v>777391</v>
      </c>
      <c r="T9" s="590">
        <v>155228</v>
      </c>
      <c r="U9" s="590">
        <v>305859</v>
      </c>
      <c r="V9" s="590">
        <v>516543</v>
      </c>
      <c r="W9" s="590">
        <v>741337</v>
      </c>
      <c r="X9" s="590">
        <v>142187</v>
      </c>
      <c r="Y9" s="590">
        <v>418245</v>
      </c>
      <c r="Z9" s="590">
        <v>522577</v>
      </c>
      <c r="AA9" s="590">
        <v>751680</v>
      </c>
      <c r="AB9" s="590">
        <v>272311</v>
      </c>
      <c r="AC9" s="49">
        <v>523603</v>
      </c>
    </row>
    <row r="10" spans="1:29" s="165" customFormat="1" ht="13.8">
      <c r="A10" s="104" t="s">
        <v>1376</v>
      </c>
      <c r="B10" s="57" t="s">
        <v>1377</v>
      </c>
      <c r="C10" s="57"/>
      <c r="D10" s="57"/>
      <c r="E10" s="57"/>
      <c r="F10" s="57"/>
      <c r="G10" s="57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57"/>
      <c r="W10" s="57"/>
      <c r="X10" s="57"/>
      <c r="Y10" s="57"/>
      <c r="Z10" s="57"/>
      <c r="AA10" s="57"/>
      <c r="AB10" s="57"/>
      <c r="AC10" s="56"/>
    </row>
    <row r="11" spans="1:29" s="165" customFormat="1" ht="13.8">
      <c r="A11" s="591" t="s">
        <v>1378</v>
      </c>
      <c r="B11" s="57" t="s">
        <v>1379</v>
      </c>
      <c r="C11" s="57"/>
      <c r="D11" s="57"/>
      <c r="E11" s="57"/>
      <c r="F11" s="57"/>
      <c r="G11" s="57"/>
      <c r="H11" s="229">
        <v>53288</v>
      </c>
      <c r="I11" s="229">
        <v>106566</v>
      </c>
      <c r="J11" s="229">
        <v>160252</v>
      </c>
      <c r="K11" s="229">
        <v>222561</v>
      </c>
      <c r="L11" s="229">
        <v>55791</v>
      </c>
      <c r="M11" s="229">
        <v>111909</v>
      </c>
      <c r="N11" s="229">
        <v>168708</v>
      </c>
      <c r="O11" s="229">
        <v>230323</v>
      </c>
      <c r="P11" s="229">
        <v>60576</v>
      </c>
      <c r="Q11" s="229">
        <v>118170</v>
      </c>
      <c r="R11" s="229">
        <v>180643</v>
      </c>
      <c r="S11" s="229">
        <v>251917</v>
      </c>
      <c r="T11" s="229">
        <v>69652</v>
      </c>
      <c r="U11" s="229">
        <v>141640</v>
      </c>
      <c r="V11" s="229">
        <v>211923</v>
      </c>
      <c r="W11" s="229">
        <v>306964</v>
      </c>
      <c r="X11" s="229">
        <v>96559</v>
      </c>
      <c r="Y11" s="229">
        <v>187203</v>
      </c>
      <c r="Z11" s="229">
        <v>289516</v>
      </c>
      <c r="AA11" s="229">
        <v>390842</v>
      </c>
      <c r="AB11" s="229">
        <v>99996</v>
      </c>
      <c r="AC11" s="43">
        <v>203140</v>
      </c>
    </row>
    <row r="12" spans="1:29" s="165" customFormat="1" ht="13.8">
      <c r="A12" s="591" t="s">
        <v>710</v>
      </c>
      <c r="B12" s="57" t="s">
        <v>1380</v>
      </c>
      <c r="C12" s="57"/>
      <c r="D12" s="57"/>
      <c r="E12" s="57"/>
      <c r="F12" s="57"/>
      <c r="G12" s="57"/>
      <c r="H12" s="229">
        <v>0</v>
      </c>
      <c r="I12" s="229">
        <v>0</v>
      </c>
      <c r="J12" s="229">
        <v>0</v>
      </c>
      <c r="K12" s="229">
        <v>0</v>
      </c>
      <c r="L12" s="229">
        <v>0</v>
      </c>
      <c r="M12" s="229">
        <v>0</v>
      </c>
      <c r="N12" s="229">
        <v>0</v>
      </c>
      <c r="O12" s="229">
        <v>0</v>
      </c>
      <c r="P12" s="229">
        <v>0</v>
      </c>
      <c r="Q12" s="229">
        <v>0</v>
      </c>
      <c r="R12" s="229">
        <v>0</v>
      </c>
      <c r="S12" s="229">
        <v>0</v>
      </c>
      <c r="T12" s="229">
        <v>0</v>
      </c>
      <c r="U12" s="229">
        <v>0</v>
      </c>
      <c r="V12" s="229">
        <v>0</v>
      </c>
      <c r="W12" s="229">
        <v>0</v>
      </c>
      <c r="X12" s="229">
        <v>0</v>
      </c>
      <c r="Y12" s="229">
        <v>0</v>
      </c>
      <c r="Z12" s="229">
        <v>0</v>
      </c>
      <c r="AA12" s="229">
        <v>0</v>
      </c>
      <c r="AB12" s="229">
        <v>0</v>
      </c>
      <c r="AC12" s="43" t="s">
        <v>2100</v>
      </c>
    </row>
    <row r="13" spans="1:29" s="165" customFormat="1" ht="13.8">
      <c r="A13" s="591" t="s">
        <v>1381</v>
      </c>
      <c r="B13" s="57" t="s">
        <v>1983</v>
      </c>
      <c r="C13" s="57"/>
      <c r="D13" s="57"/>
      <c r="E13" s="57"/>
      <c r="F13" s="57"/>
      <c r="G13" s="57"/>
      <c r="H13" s="229">
        <v>0</v>
      </c>
      <c r="I13" s="229">
        <v>0</v>
      </c>
      <c r="J13" s="229">
        <v>0</v>
      </c>
      <c r="K13" s="229">
        <v>0</v>
      </c>
      <c r="L13" s="229">
        <v>0</v>
      </c>
      <c r="M13" s="229">
        <v>0</v>
      </c>
      <c r="N13" s="229">
        <v>0</v>
      </c>
      <c r="O13" s="229">
        <v>0</v>
      </c>
      <c r="P13" s="229">
        <v>0</v>
      </c>
      <c r="Q13" s="229">
        <v>0</v>
      </c>
      <c r="R13" s="229">
        <v>0</v>
      </c>
      <c r="S13" s="229">
        <v>0</v>
      </c>
      <c r="T13" s="229">
        <v>0</v>
      </c>
      <c r="U13" s="229">
        <v>0</v>
      </c>
      <c r="V13" s="229">
        <v>0</v>
      </c>
      <c r="W13" s="229">
        <v>0</v>
      </c>
      <c r="X13" s="229">
        <v>0</v>
      </c>
      <c r="Y13" s="229">
        <v>0</v>
      </c>
      <c r="Z13" s="229">
        <v>0</v>
      </c>
      <c r="AA13" s="229">
        <v>0</v>
      </c>
      <c r="AB13" s="229">
        <v>0</v>
      </c>
      <c r="AC13" s="43" t="s">
        <v>2100</v>
      </c>
    </row>
    <row r="14" spans="1:29" s="165" customFormat="1" ht="13.8">
      <c r="A14" s="591" t="s">
        <v>1382</v>
      </c>
      <c r="B14" s="57" t="s">
        <v>1383</v>
      </c>
      <c r="C14" s="57"/>
      <c r="D14" s="57"/>
      <c r="E14" s="57"/>
      <c r="F14" s="57"/>
      <c r="G14" s="57"/>
      <c r="H14" s="229">
        <v>0</v>
      </c>
      <c r="I14" s="229">
        <v>0</v>
      </c>
      <c r="J14" s="229">
        <v>0</v>
      </c>
      <c r="K14" s="229">
        <v>16624</v>
      </c>
      <c r="L14" s="229">
        <v>0</v>
      </c>
      <c r="M14" s="229">
        <v>13087</v>
      </c>
      <c r="N14" s="229">
        <v>13764</v>
      </c>
      <c r="O14" s="229">
        <v>34132</v>
      </c>
      <c r="P14" s="229">
        <v>-12795</v>
      </c>
      <c r="Q14" s="229">
        <v>7216</v>
      </c>
      <c r="R14" s="229">
        <v>8940</v>
      </c>
      <c r="S14" s="229">
        <v>12857</v>
      </c>
      <c r="T14" s="229">
        <v>1677</v>
      </c>
      <c r="U14" s="229">
        <v>5244</v>
      </c>
      <c r="V14" s="229">
        <v>8445</v>
      </c>
      <c r="W14" s="229">
        <v>10851</v>
      </c>
      <c r="X14" s="229">
        <v>7505</v>
      </c>
      <c r="Y14" s="229">
        <v>-24184</v>
      </c>
      <c r="Z14" s="229">
        <v>-15737</v>
      </c>
      <c r="AA14" s="229">
        <v>-12322</v>
      </c>
      <c r="AB14" s="229">
        <v>2285</v>
      </c>
      <c r="AC14" s="43">
        <v>3063</v>
      </c>
    </row>
    <row r="15" spans="1:29" s="165" customFormat="1" ht="13.8">
      <c r="A15" s="591" t="s">
        <v>1384</v>
      </c>
      <c r="B15" s="57" t="s">
        <v>1982</v>
      </c>
      <c r="C15" s="57"/>
      <c r="D15" s="57"/>
      <c r="E15" s="57"/>
      <c r="F15" s="57"/>
      <c r="G15" s="57"/>
      <c r="H15" s="229">
        <v>-61531</v>
      </c>
      <c r="I15" s="229">
        <v>-73705</v>
      </c>
      <c r="J15" s="229">
        <v>-145112</v>
      </c>
      <c r="K15" s="229">
        <v>-406158</v>
      </c>
      <c r="L15" s="229">
        <v>-70340</v>
      </c>
      <c r="M15" s="229">
        <v>-137779</v>
      </c>
      <c r="N15" s="229">
        <v>-84657</v>
      </c>
      <c r="O15" s="229">
        <v>-167507</v>
      </c>
      <c r="P15" s="229">
        <v>-24595</v>
      </c>
      <c r="Q15" s="229">
        <v>-35085</v>
      </c>
      <c r="R15" s="229">
        <v>-51234</v>
      </c>
      <c r="S15" s="229">
        <v>-162545</v>
      </c>
      <c r="T15" s="229">
        <v>-60700</v>
      </c>
      <c r="U15" s="229">
        <v>-87077</v>
      </c>
      <c r="V15" s="229">
        <v>-118992</v>
      </c>
      <c r="W15" s="229">
        <v>-164050</v>
      </c>
      <c r="X15" s="229">
        <v>-100927</v>
      </c>
      <c r="Y15" s="229">
        <v>-216055</v>
      </c>
      <c r="Z15" s="229">
        <v>-151610</v>
      </c>
      <c r="AA15" s="229">
        <v>-179236</v>
      </c>
      <c r="AB15" s="229">
        <v>-108723</v>
      </c>
      <c r="AC15" s="43">
        <v>-178141</v>
      </c>
    </row>
    <row r="16" spans="1:29" s="165" customFormat="1" ht="13.8">
      <c r="A16" s="591" t="s">
        <v>2523</v>
      </c>
      <c r="B16" s="57"/>
      <c r="C16" s="57"/>
      <c r="D16" s="57"/>
      <c r="E16" s="57"/>
      <c r="F16" s="57"/>
      <c r="G16" s="57"/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Y16" s="229"/>
      <c r="Z16" s="229"/>
      <c r="AA16" s="229"/>
      <c r="AB16" s="229"/>
      <c r="AC16" s="43">
        <v>-36925</v>
      </c>
    </row>
    <row r="17" spans="1:29" s="165" customFormat="1" ht="13.8">
      <c r="A17" s="591" t="s">
        <v>1385</v>
      </c>
      <c r="B17" s="57" t="s">
        <v>1386</v>
      </c>
      <c r="C17" s="57"/>
      <c r="D17" s="57"/>
      <c r="E17" s="57"/>
      <c r="F17" s="57"/>
      <c r="G17" s="57"/>
      <c r="H17" s="229"/>
      <c r="I17" s="229"/>
      <c r="J17" s="229"/>
      <c r="K17" s="229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29"/>
      <c r="X17" s="229"/>
      <c r="Y17" s="229">
        <v>0</v>
      </c>
      <c r="Z17" s="229">
        <v>0</v>
      </c>
      <c r="AA17" s="229">
        <v>0</v>
      </c>
      <c r="AB17" s="229">
        <v>0</v>
      </c>
      <c r="AC17" s="43" t="s">
        <v>2100</v>
      </c>
    </row>
    <row r="18" spans="1:29" s="165" customFormat="1" ht="13.8">
      <c r="A18" s="591" t="s">
        <v>1387</v>
      </c>
      <c r="B18" s="57" t="s">
        <v>1388</v>
      </c>
      <c r="C18" s="57"/>
      <c r="D18" s="57"/>
      <c r="E18" s="57"/>
      <c r="F18" s="57"/>
      <c r="G18" s="57"/>
      <c r="H18" s="229">
        <v>0</v>
      </c>
      <c r="I18" s="229">
        <v>0</v>
      </c>
      <c r="J18" s="229">
        <v>0</v>
      </c>
      <c r="K18" s="229">
        <v>0</v>
      </c>
      <c r="L18" s="229">
        <v>0</v>
      </c>
      <c r="M18" s="229">
        <v>0</v>
      </c>
      <c r="N18" s="229">
        <v>0</v>
      </c>
      <c r="O18" s="229">
        <v>0</v>
      </c>
      <c r="P18" s="229">
        <v>0</v>
      </c>
      <c r="Q18" s="229">
        <v>0</v>
      </c>
      <c r="R18" s="229">
        <v>0</v>
      </c>
      <c r="S18" s="229">
        <v>0</v>
      </c>
      <c r="T18" s="229">
        <v>0</v>
      </c>
      <c r="U18" s="229">
        <v>0</v>
      </c>
      <c r="V18" s="229">
        <v>0</v>
      </c>
      <c r="W18" s="229">
        <v>825</v>
      </c>
      <c r="X18" s="229">
        <v>-27</v>
      </c>
      <c r="Y18" s="229">
        <v>-63</v>
      </c>
      <c r="Z18" s="229">
        <v>0</v>
      </c>
      <c r="AA18" s="229">
        <v>0</v>
      </c>
      <c r="AB18" s="229">
        <v>0</v>
      </c>
      <c r="AC18" s="43" t="s">
        <v>2100</v>
      </c>
    </row>
    <row r="19" spans="1:29" s="165" customFormat="1" ht="13.8">
      <c r="A19" s="591" t="s">
        <v>1389</v>
      </c>
      <c r="B19" s="57" t="s">
        <v>1390</v>
      </c>
      <c r="C19" s="57"/>
      <c r="D19" s="57"/>
      <c r="E19" s="57"/>
      <c r="F19" s="57"/>
      <c r="G19" s="57"/>
      <c r="H19" s="229">
        <v>0</v>
      </c>
      <c r="I19" s="229">
        <v>0</v>
      </c>
      <c r="J19" s="229">
        <v>0</v>
      </c>
      <c r="K19" s="229">
        <v>0</v>
      </c>
      <c r="L19" s="229">
        <v>0</v>
      </c>
      <c r="M19" s="229">
        <v>0</v>
      </c>
      <c r="N19" s="229">
        <v>0</v>
      </c>
      <c r="O19" s="229">
        <v>0</v>
      </c>
      <c r="P19" s="229">
        <v>0</v>
      </c>
      <c r="Q19" s="229">
        <v>0</v>
      </c>
      <c r="R19" s="229">
        <v>0</v>
      </c>
      <c r="S19" s="229">
        <v>0</v>
      </c>
      <c r="T19" s="229">
        <v>0</v>
      </c>
      <c r="U19" s="229">
        <v>0</v>
      </c>
      <c r="V19" s="229">
        <v>0</v>
      </c>
      <c r="W19" s="229">
        <v>0</v>
      </c>
      <c r="X19" s="229">
        <v>0</v>
      </c>
      <c r="Y19" s="229">
        <v>0</v>
      </c>
      <c r="Z19" s="229">
        <v>0</v>
      </c>
      <c r="AA19" s="229">
        <v>0</v>
      </c>
      <c r="AB19" s="229">
        <v>0</v>
      </c>
      <c r="AC19" s="43" t="s">
        <v>2100</v>
      </c>
    </row>
    <row r="20" spans="1:29" s="165" customFormat="1" ht="13.8">
      <c r="A20" s="591" t="s">
        <v>610</v>
      </c>
      <c r="B20" s="57" t="s">
        <v>1391</v>
      </c>
      <c r="C20" s="57"/>
      <c r="D20" s="57"/>
      <c r="E20" s="57"/>
      <c r="F20" s="57"/>
      <c r="G20" s="57"/>
      <c r="H20" s="229">
        <v>0</v>
      </c>
      <c r="I20" s="229">
        <v>0</v>
      </c>
      <c r="J20" s="229">
        <v>0</v>
      </c>
      <c r="K20" s="229">
        <v>0</v>
      </c>
      <c r="L20" s="229">
        <v>0</v>
      </c>
      <c r="M20" s="229">
        <v>0</v>
      </c>
      <c r="N20" s="229">
        <v>0</v>
      </c>
      <c r="O20" s="229">
        <v>0</v>
      </c>
      <c r="P20" s="229">
        <v>0</v>
      </c>
      <c r="Q20" s="229">
        <v>0</v>
      </c>
      <c r="R20" s="229">
        <v>0</v>
      </c>
      <c r="S20" s="229">
        <v>0</v>
      </c>
      <c r="T20" s="229">
        <v>0</v>
      </c>
      <c r="U20" s="229">
        <v>0</v>
      </c>
      <c r="V20" s="229">
        <v>0</v>
      </c>
      <c r="W20" s="229">
        <v>0</v>
      </c>
      <c r="X20" s="229">
        <v>0</v>
      </c>
      <c r="Y20" s="229">
        <v>0</v>
      </c>
      <c r="Z20" s="229">
        <v>0</v>
      </c>
      <c r="AA20" s="229">
        <v>0</v>
      </c>
      <c r="AB20" s="229">
        <v>0</v>
      </c>
      <c r="AC20" s="43" t="s">
        <v>2100</v>
      </c>
    </row>
    <row r="21" spans="1:29" s="165" customFormat="1" ht="13.8">
      <c r="A21" s="591" t="s">
        <v>1392</v>
      </c>
      <c r="B21" s="57" t="s">
        <v>1393</v>
      </c>
      <c r="C21" s="57"/>
      <c r="D21" s="57"/>
      <c r="E21" s="57"/>
      <c r="F21" s="57"/>
      <c r="G21" s="57"/>
      <c r="H21" s="229">
        <v>71208</v>
      </c>
      <c r="I21" s="229">
        <v>60808</v>
      </c>
      <c r="J21" s="229">
        <v>144848</v>
      </c>
      <c r="K21" s="229">
        <v>221088</v>
      </c>
      <c r="L21" s="229">
        <v>2192</v>
      </c>
      <c r="M21" s="229">
        <v>112436</v>
      </c>
      <c r="N21" s="229">
        <v>165684</v>
      </c>
      <c r="O21" s="229">
        <v>186642</v>
      </c>
      <c r="P21" s="229">
        <v>58259</v>
      </c>
      <c r="Q21" s="229">
        <v>104744</v>
      </c>
      <c r="R21" s="229">
        <v>157776</v>
      </c>
      <c r="S21" s="229">
        <v>186790</v>
      </c>
      <c r="T21" s="229">
        <v>92717</v>
      </c>
      <c r="U21" s="229">
        <v>221444</v>
      </c>
      <c r="V21" s="229">
        <v>284554</v>
      </c>
      <c r="W21" s="229">
        <v>506910</v>
      </c>
      <c r="X21" s="229">
        <v>34808</v>
      </c>
      <c r="Y21" s="229">
        <v>37565</v>
      </c>
      <c r="Z21" s="229">
        <v>128130</v>
      </c>
      <c r="AA21" s="229">
        <v>265157</v>
      </c>
      <c r="AB21" s="229">
        <v>56338</v>
      </c>
      <c r="AC21" s="43">
        <v>190387</v>
      </c>
    </row>
    <row r="22" spans="1:29" s="165" customFormat="1" ht="13.8">
      <c r="A22" s="591" t="s">
        <v>1394</v>
      </c>
      <c r="B22" s="57" t="s">
        <v>1395</v>
      </c>
      <c r="C22" s="57"/>
      <c r="D22" s="57"/>
      <c r="E22" s="57"/>
      <c r="F22" s="57"/>
      <c r="G22" s="57"/>
      <c r="H22" s="229">
        <v>-25937</v>
      </c>
      <c r="I22" s="229">
        <v>30667</v>
      </c>
      <c r="J22" s="229">
        <v>4149</v>
      </c>
      <c r="K22" s="229">
        <v>53</v>
      </c>
      <c r="L22" s="229">
        <v>63317</v>
      </c>
      <c r="M22" s="229">
        <v>42572</v>
      </c>
      <c r="N22" s="229">
        <v>43835</v>
      </c>
      <c r="O22" s="229">
        <v>66808</v>
      </c>
      <c r="P22" s="229">
        <v>17910</v>
      </c>
      <c r="Q22" s="229">
        <v>46838</v>
      </c>
      <c r="R22" s="229">
        <v>46249</v>
      </c>
      <c r="S22" s="229">
        <v>74651</v>
      </c>
      <c r="T22" s="229">
        <v>-8336</v>
      </c>
      <c r="U22" s="229">
        <v>-61091</v>
      </c>
      <c r="V22" s="229">
        <v>-43480</v>
      </c>
      <c r="W22" s="229">
        <v>-155762</v>
      </c>
      <c r="X22" s="229">
        <v>99880</v>
      </c>
      <c r="Y22" s="229">
        <v>229120</v>
      </c>
      <c r="Z22" s="229">
        <v>265867</v>
      </c>
      <c r="AA22" s="229">
        <v>249808</v>
      </c>
      <c r="AB22" s="229">
        <v>68330</v>
      </c>
      <c r="AC22" s="43">
        <v>124376</v>
      </c>
    </row>
    <row r="23" spans="1:29" s="165" customFormat="1" ht="13.8">
      <c r="A23" s="591" t="s">
        <v>1396</v>
      </c>
      <c r="B23" s="57" t="s">
        <v>1397</v>
      </c>
      <c r="C23" s="57"/>
      <c r="D23" s="57"/>
      <c r="E23" s="57"/>
      <c r="F23" s="57"/>
      <c r="G23" s="57"/>
      <c r="H23" s="229">
        <v>-6514</v>
      </c>
      <c r="I23" s="229">
        <v>-15882</v>
      </c>
      <c r="J23" s="229">
        <v>-34398</v>
      </c>
      <c r="K23" s="229">
        <v>-52119</v>
      </c>
      <c r="L23" s="229">
        <v>-21422</v>
      </c>
      <c r="M23" s="229">
        <v>-56506</v>
      </c>
      <c r="N23" s="229">
        <v>-99275</v>
      </c>
      <c r="O23" s="229">
        <v>-125821</v>
      </c>
      <c r="P23" s="229">
        <v>-32720</v>
      </c>
      <c r="Q23" s="229">
        <v>-61584</v>
      </c>
      <c r="R23" s="229">
        <v>-92783</v>
      </c>
      <c r="S23" s="229">
        <v>-118097</v>
      </c>
      <c r="T23" s="229">
        <v>-23389</v>
      </c>
      <c r="U23" s="229">
        <v>-46953</v>
      </c>
      <c r="V23" s="229">
        <v>-68966</v>
      </c>
      <c r="W23" s="229">
        <v>-105615</v>
      </c>
      <c r="X23" s="229">
        <v>-43870</v>
      </c>
      <c r="Y23" s="229">
        <v>-74301</v>
      </c>
      <c r="Z23" s="229">
        <v>-103379</v>
      </c>
      <c r="AA23" s="229">
        <v>-125039</v>
      </c>
      <c r="AB23" s="229">
        <v>-18237</v>
      </c>
      <c r="AC23" s="43">
        <v>-34363</v>
      </c>
    </row>
    <row r="24" spans="1:29" s="165" customFormat="1" ht="13.8">
      <c r="A24" s="591" t="s">
        <v>1398</v>
      </c>
      <c r="B24" s="57" t="s">
        <v>1399</v>
      </c>
      <c r="C24" s="57"/>
      <c r="D24" s="57"/>
      <c r="E24" s="57"/>
      <c r="F24" s="57"/>
      <c r="G24" s="57"/>
      <c r="H24" s="229">
        <v>0</v>
      </c>
      <c r="I24" s="229">
        <v>0</v>
      </c>
      <c r="J24" s="229">
        <v>0</v>
      </c>
      <c r="K24" s="229">
        <v>0</v>
      </c>
      <c r="L24" s="229">
        <v>0</v>
      </c>
      <c r="M24" s="229">
        <v>0</v>
      </c>
      <c r="N24" s="229">
        <v>0</v>
      </c>
      <c r="O24" s="229">
        <v>0</v>
      </c>
      <c r="P24" s="229">
        <v>0</v>
      </c>
      <c r="Q24" s="229">
        <v>0</v>
      </c>
      <c r="R24" s="229">
        <v>0</v>
      </c>
      <c r="S24" s="229">
        <v>0</v>
      </c>
      <c r="T24" s="229">
        <v>0</v>
      </c>
      <c r="U24" s="229">
        <v>0</v>
      </c>
      <c r="V24" s="229">
        <v>0</v>
      </c>
      <c r="W24" s="229">
        <v>0</v>
      </c>
      <c r="X24" s="229">
        <v>0</v>
      </c>
      <c r="Y24" s="229">
        <v>0</v>
      </c>
      <c r="Z24" s="229">
        <v>0</v>
      </c>
      <c r="AA24" s="229">
        <v>0</v>
      </c>
      <c r="AB24" s="229">
        <v>0</v>
      </c>
      <c r="AC24" s="43" t="s">
        <v>2100</v>
      </c>
    </row>
    <row r="25" spans="1:29" s="165" customFormat="1" ht="13.8">
      <c r="A25" s="591" t="s">
        <v>1400</v>
      </c>
      <c r="B25" s="57" t="s">
        <v>1978</v>
      </c>
      <c r="C25" s="57"/>
      <c r="D25" s="57"/>
      <c r="E25" s="57"/>
      <c r="F25" s="57"/>
      <c r="G25" s="57"/>
      <c r="H25" s="229">
        <v>0</v>
      </c>
      <c r="I25" s="229">
        <v>0</v>
      </c>
      <c r="J25" s="229">
        <v>0</v>
      </c>
      <c r="K25" s="229">
        <v>0</v>
      </c>
      <c r="L25" s="229">
        <v>0</v>
      </c>
      <c r="M25" s="229">
        <v>0</v>
      </c>
      <c r="N25" s="229">
        <v>0</v>
      </c>
      <c r="O25" s="229">
        <v>0</v>
      </c>
      <c r="P25" s="229">
        <v>0</v>
      </c>
      <c r="Q25" s="229">
        <v>0</v>
      </c>
      <c r="R25" s="229">
        <v>0</v>
      </c>
      <c r="S25" s="229">
        <v>0</v>
      </c>
      <c r="T25" s="229">
        <v>0</v>
      </c>
      <c r="U25" s="229">
        <v>0</v>
      </c>
      <c r="V25" s="229">
        <v>0</v>
      </c>
      <c r="W25" s="229">
        <v>0</v>
      </c>
      <c r="X25" s="229">
        <v>0</v>
      </c>
      <c r="Y25" s="229">
        <v>0</v>
      </c>
      <c r="Z25" s="229">
        <v>0</v>
      </c>
      <c r="AA25" s="229">
        <v>0</v>
      </c>
      <c r="AB25" s="229">
        <v>0</v>
      </c>
      <c r="AC25" s="43" t="s">
        <v>2100</v>
      </c>
    </row>
    <row r="26" spans="1:29" s="165" customFormat="1" ht="13.8">
      <c r="A26" s="591" t="s">
        <v>1401</v>
      </c>
      <c r="B26" s="57" t="s">
        <v>1402</v>
      </c>
      <c r="C26" s="57"/>
      <c r="D26" s="57"/>
      <c r="E26" s="57"/>
      <c r="F26" s="57"/>
      <c r="G26" s="57"/>
      <c r="H26" s="229">
        <v>18</v>
      </c>
      <c r="I26" s="229">
        <v>50</v>
      </c>
      <c r="J26" s="229">
        <v>64</v>
      </c>
      <c r="K26" s="229">
        <v>64</v>
      </c>
      <c r="L26" s="229">
        <v>0</v>
      </c>
      <c r="M26" s="229">
        <v>0</v>
      </c>
      <c r="N26" s="229">
        <v>0</v>
      </c>
      <c r="O26" s="229">
        <v>18490</v>
      </c>
      <c r="P26" s="229">
        <v>-2195</v>
      </c>
      <c r="Q26" s="229">
        <v>624</v>
      </c>
      <c r="R26" s="229">
        <v>-219</v>
      </c>
      <c r="S26" s="229">
        <v>-1229</v>
      </c>
      <c r="T26" s="229">
        <v>-1379</v>
      </c>
      <c r="U26" s="229">
        <v>-300</v>
      </c>
      <c r="V26" s="229">
        <v>-3595</v>
      </c>
      <c r="W26" s="229">
        <v>-4592</v>
      </c>
      <c r="X26" s="229">
        <v>-190</v>
      </c>
      <c r="Y26" s="229">
        <v>-934</v>
      </c>
      <c r="Z26" s="229">
        <v>-1859</v>
      </c>
      <c r="AA26" s="229">
        <v>-74</v>
      </c>
      <c r="AB26" s="229">
        <v>-1406</v>
      </c>
      <c r="AC26" s="43">
        <v>-2417</v>
      </c>
    </row>
    <row r="27" spans="1:29" s="165" customFormat="1" ht="13.8">
      <c r="A27" s="591" t="s">
        <v>1403</v>
      </c>
      <c r="B27" s="57" t="s">
        <v>2015</v>
      </c>
      <c r="C27" s="57"/>
      <c r="D27" s="57"/>
      <c r="E27" s="57"/>
      <c r="F27" s="57"/>
      <c r="G27" s="57"/>
      <c r="H27" s="229"/>
      <c r="I27" s="229"/>
      <c r="J27" s="229"/>
      <c r="K27" s="229"/>
      <c r="L27" s="229"/>
      <c r="M27" s="229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>
        <v>0</v>
      </c>
      <c r="Z27" s="229">
        <v>0</v>
      </c>
      <c r="AA27" s="229">
        <v>0</v>
      </c>
      <c r="AB27" s="229">
        <v>0</v>
      </c>
      <c r="AC27" s="43" t="s">
        <v>2100</v>
      </c>
    </row>
    <row r="28" spans="1:29" s="165" customFormat="1" ht="13.8">
      <c r="A28" s="591" t="s">
        <v>2525</v>
      </c>
      <c r="B28" s="57" t="s">
        <v>1980</v>
      </c>
      <c r="C28" s="57"/>
      <c r="D28" s="57"/>
      <c r="E28" s="57"/>
      <c r="F28" s="57"/>
      <c r="G28" s="57"/>
      <c r="H28" s="229">
        <v>13687</v>
      </c>
      <c r="I28" s="229">
        <v>24992</v>
      </c>
      <c r="J28" s="229">
        <v>45327</v>
      </c>
      <c r="K28" s="229">
        <v>71019</v>
      </c>
      <c r="L28" s="229">
        <v>25229</v>
      </c>
      <c r="M28" s="229">
        <v>45459</v>
      </c>
      <c r="N28" s="229">
        <v>67652</v>
      </c>
      <c r="O28" s="229">
        <v>39040</v>
      </c>
      <c r="P28" s="229">
        <v>-26758</v>
      </c>
      <c r="Q28" s="229">
        <v>38404</v>
      </c>
      <c r="R28" s="229">
        <v>54291</v>
      </c>
      <c r="S28" s="229">
        <v>144906</v>
      </c>
      <c r="T28" s="229">
        <v>26369</v>
      </c>
      <c r="U28" s="229">
        <v>47564</v>
      </c>
      <c r="V28" s="229">
        <v>68350</v>
      </c>
      <c r="W28" s="229">
        <v>117942</v>
      </c>
      <c r="X28" s="229">
        <v>21999</v>
      </c>
      <c r="Y28" s="229">
        <v>37335</v>
      </c>
      <c r="Z28" s="229">
        <v>67416</v>
      </c>
      <c r="AA28" s="229">
        <v>126631</v>
      </c>
      <c r="AB28" s="229">
        <v>48551</v>
      </c>
      <c r="AC28" s="43">
        <v>102925</v>
      </c>
    </row>
    <row r="29" spans="1:29" s="165" customFormat="1" ht="13.8">
      <c r="A29" s="591" t="s">
        <v>1404</v>
      </c>
      <c r="B29" s="57" t="s">
        <v>1979</v>
      </c>
      <c r="C29" s="57"/>
      <c r="D29" s="57"/>
      <c r="E29" s="57"/>
      <c r="F29" s="57"/>
      <c r="G29" s="57"/>
      <c r="H29" s="229">
        <v>731</v>
      </c>
      <c r="I29" s="229">
        <v>1154</v>
      </c>
      <c r="J29" s="229">
        <v>1450</v>
      </c>
      <c r="K29" s="229">
        <v>0</v>
      </c>
      <c r="L29" s="229">
        <v>348</v>
      </c>
      <c r="M29" s="229">
        <v>540</v>
      </c>
      <c r="N29" s="229">
        <v>925</v>
      </c>
      <c r="O29" s="229">
        <v>0</v>
      </c>
      <c r="P29" s="229">
        <v>0</v>
      </c>
      <c r="Q29" s="229">
        <v>0</v>
      </c>
      <c r="R29" s="229">
        <v>0</v>
      </c>
      <c r="S29" s="229">
        <v>12456</v>
      </c>
      <c r="T29" s="229">
        <v>0</v>
      </c>
      <c r="U29" s="229">
        <v>0</v>
      </c>
      <c r="V29" s="229">
        <v>0</v>
      </c>
      <c r="W29" s="229">
        <v>-7451</v>
      </c>
      <c r="X29" s="229">
        <v>460</v>
      </c>
      <c r="Y29" s="229">
        <v>632</v>
      </c>
      <c r="Z29" s="229">
        <v>822</v>
      </c>
      <c r="AA29" s="229">
        <v>1270</v>
      </c>
      <c r="AB29" s="229">
        <v>81</v>
      </c>
      <c r="AC29" s="43">
        <v>656</v>
      </c>
    </row>
    <row r="30" spans="1:29" s="165" customFormat="1" ht="13.8">
      <c r="A30" s="591" t="s">
        <v>720</v>
      </c>
      <c r="B30" s="57" t="s">
        <v>1981</v>
      </c>
      <c r="C30" s="57"/>
      <c r="D30" s="57"/>
      <c r="E30" s="57"/>
      <c r="F30" s="57"/>
      <c r="G30" s="57"/>
      <c r="H30" s="229">
        <v>0</v>
      </c>
      <c r="I30" s="229">
        <v>0</v>
      </c>
      <c r="J30" s="229">
        <v>0</v>
      </c>
      <c r="K30" s="229">
        <v>0</v>
      </c>
      <c r="L30" s="229">
        <v>0</v>
      </c>
      <c r="M30" s="229">
        <v>0</v>
      </c>
      <c r="N30" s="229">
        <v>0</v>
      </c>
      <c r="O30" s="229">
        <v>0</v>
      </c>
      <c r="P30" s="229">
        <v>0</v>
      </c>
      <c r="Q30" s="229">
        <v>12914</v>
      </c>
      <c r="R30" s="229">
        <v>19605</v>
      </c>
      <c r="S30" s="229">
        <v>28903</v>
      </c>
      <c r="T30" s="229">
        <v>7861</v>
      </c>
      <c r="U30" s="229">
        <v>14858</v>
      </c>
      <c r="V30" s="229">
        <v>25970</v>
      </c>
      <c r="W30" s="229">
        <v>57297</v>
      </c>
      <c r="X30" s="229">
        <v>7509</v>
      </c>
      <c r="Y30" s="229">
        <v>13090</v>
      </c>
      <c r="Z30" s="229">
        <v>15506</v>
      </c>
      <c r="AA30" s="229">
        <v>4517</v>
      </c>
      <c r="AB30" s="229">
        <v>3198</v>
      </c>
      <c r="AC30" s="43">
        <v>7382</v>
      </c>
    </row>
    <row r="31" spans="1:29" s="165" customFormat="1" ht="13.8">
      <c r="A31" s="591" t="s">
        <v>1405</v>
      </c>
      <c r="B31" s="57" t="s">
        <v>1985</v>
      </c>
      <c r="C31" s="57"/>
      <c r="D31" s="57"/>
      <c r="E31" s="57"/>
      <c r="F31" s="57"/>
      <c r="G31" s="57"/>
      <c r="H31" s="229">
        <v>8943</v>
      </c>
      <c r="I31" s="229">
        <v>17763</v>
      </c>
      <c r="J31" s="229">
        <v>34070</v>
      </c>
      <c r="K31" s="229">
        <v>47003</v>
      </c>
      <c r="L31" s="229">
        <v>9111</v>
      </c>
      <c r="M31" s="229">
        <v>17516</v>
      </c>
      <c r="N31" s="229">
        <v>27082</v>
      </c>
      <c r="O31" s="229">
        <v>37566</v>
      </c>
      <c r="P31" s="229">
        <v>9951</v>
      </c>
      <c r="Q31" s="229">
        <v>19820</v>
      </c>
      <c r="R31" s="229">
        <v>36109</v>
      </c>
      <c r="S31" s="229">
        <v>48007</v>
      </c>
      <c r="T31" s="229">
        <v>10548</v>
      </c>
      <c r="U31" s="229">
        <v>22296</v>
      </c>
      <c r="V31" s="229">
        <v>35692</v>
      </c>
      <c r="W31" s="229">
        <v>49656</v>
      </c>
      <c r="X31" s="229">
        <v>11349</v>
      </c>
      <c r="Y31" s="229">
        <v>23754</v>
      </c>
      <c r="Z31" s="229">
        <v>38784</v>
      </c>
      <c r="AA31" s="229">
        <v>57153</v>
      </c>
      <c r="AB31" s="229">
        <v>11603</v>
      </c>
      <c r="AC31" s="43">
        <v>27823</v>
      </c>
    </row>
    <row r="32" spans="1:29" s="165" customFormat="1" ht="13.8">
      <c r="A32" s="591" t="s">
        <v>1406</v>
      </c>
      <c r="B32" s="57" t="s">
        <v>1984</v>
      </c>
      <c r="C32" s="57"/>
      <c r="D32" s="57"/>
      <c r="E32" s="57"/>
      <c r="F32" s="57"/>
      <c r="G32" s="57"/>
      <c r="H32" s="229">
        <v>8780</v>
      </c>
      <c r="I32" s="229">
        <v>13248</v>
      </c>
      <c r="J32" s="229">
        <v>18900</v>
      </c>
      <c r="K32" s="229">
        <v>26667</v>
      </c>
      <c r="L32" s="229">
        <v>9263</v>
      </c>
      <c r="M32" s="229">
        <v>17810</v>
      </c>
      <c r="N32" s="229">
        <v>28134</v>
      </c>
      <c r="O32" s="229">
        <v>30707</v>
      </c>
      <c r="P32" s="229">
        <v>13786</v>
      </c>
      <c r="Q32" s="229">
        <v>21515</v>
      </c>
      <c r="R32" s="229">
        <v>25859</v>
      </c>
      <c r="S32" s="229">
        <v>54862</v>
      </c>
      <c r="T32" s="229">
        <v>6556</v>
      </c>
      <c r="U32" s="229">
        <v>14327</v>
      </c>
      <c r="V32" s="229">
        <v>21249</v>
      </c>
      <c r="W32" s="229">
        <v>23568</v>
      </c>
      <c r="X32" s="229">
        <v>6086</v>
      </c>
      <c r="Y32" s="229">
        <v>12012</v>
      </c>
      <c r="Z32" s="229">
        <v>22285</v>
      </c>
      <c r="AA32" s="229">
        <v>89807</v>
      </c>
      <c r="AB32" s="229">
        <v>11042</v>
      </c>
      <c r="AC32" s="43">
        <v>22367</v>
      </c>
    </row>
    <row r="33" spans="1:29" s="165" customFormat="1" ht="13.8">
      <c r="A33" s="591" t="s">
        <v>2524</v>
      </c>
      <c r="B33" s="57" t="s">
        <v>1986</v>
      </c>
      <c r="C33" s="57"/>
      <c r="D33" s="57"/>
      <c r="E33" s="57"/>
      <c r="F33" s="57"/>
      <c r="G33" s="57"/>
      <c r="H33" s="229">
        <v>-108690</v>
      </c>
      <c r="I33" s="229">
        <v>-158122</v>
      </c>
      <c r="J33" s="229">
        <v>-578892</v>
      </c>
      <c r="K33" s="229">
        <v>-873602</v>
      </c>
      <c r="L33" s="229">
        <v>119568</v>
      </c>
      <c r="M33" s="229">
        <v>115913</v>
      </c>
      <c r="N33" s="229">
        <v>62425</v>
      </c>
      <c r="O33" s="229">
        <v>-52713</v>
      </c>
      <c r="P33" s="229">
        <v>-150520</v>
      </c>
      <c r="Q33" s="229">
        <v>-270905</v>
      </c>
      <c r="R33" s="229">
        <v>-328484</v>
      </c>
      <c r="S33" s="229">
        <v>-309567</v>
      </c>
      <c r="T33" s="229">
        <v>12062</v>
      </c>
      <c r="U33" s="229">
        <v>3590</v>
      </c>
      <c r="V33" s="229">
        <v>-67847</v>
      </c>
      <c r="W33" s="229">
        <v>-68638</v>
      </c>
      <c r="X33" s="229">
        <v>-59580</v>
      </c>
      <c r="Y33" s="229">
        <v>-114415</v>
      </c>
      <c r="Z33" s="229">
        <v>-231639</v>
      </c>
      <c r="AA33" s="229">
        <v>-271203</v>
      </c>
      <c r="AB33" s="229">
        <v>5068</v>
      </c>
      <c r="AC33" s="43">
        <v>-235777</v>
      </c>
    </row>
    <row r="34" spans="1:29" s="165" customFormat="1" ht="13.8">
      <c r="A34" s="591" t="s">
        <v>1408</v>
      </c>
      <c r="B34" s="57" t="s">
        <v>1987</v>
      </c>
      <c r="C34" s="57"/>
      <c r="D34" s="57"/>
      <c r="E34" s="57"/>
      <c r="F34" s="57"/>
      <c r="G34" s="57"/>
      <c r="H34" s="229">
        <v>0</v>
      </c>
      <c r="I34" s="229">
        <v>0</v>
      </c>
      <c r="J34" s="229">
        <v>0</v>
      </c>
      <c r="K34" s="229">
        <v>0</v>
      </c>
      <c r="L34" s="229">
        <v>0</v>
      </c>
      <c r="M34" s="229">
        <v>0</v>
      </c>
      <c r="N34" s="229">
        <v>0</v>
      </c>
      <c r="O34" s="229">
        <v>0</v>
      </c>
      <c r="P34" s="229">
        <v>0</v>
      </c>
      <c r="Q34" s="229">
        <v>0</v>
      </c>
      <c r="R34" s="229">
        <v>0</v>
      </c>
      <c r="S34" s="229">
        <v>0</v>
      </c>
      <c r="T34" s="229">
        <v>0</v>
      </c>
      <c r="U34" s="229">
        <v>0</v>
      </c>
      <c r="V34" s="229">
        <v>0</v>
      </c>
      <c r="W34" s="229">
        <v>0</v>
      </c>
      <c r="X34" s="229">
        <v>0</v>
      </c>
      <c r="Y34" s="229">
        <v>0</v>
      </c>
      <c r="Z34" s="229">
        <v>0</v>
      </c>
      <c r="AA34" s="229">
        <v>0</v>
      </c>
      <c r="AB34" s="229">
        <v>0</v>
      </c>
      <c r="AC34" s="43" t="s">
        <v>2100</v>
      </c>
    </row>
    <row r="35" spans="1:29" s="165" customFormat="1" ht="13.8">
      <c r="A35" s="591" t="s">
        <v>1132</v>
      </c>
      <c r="B35" s="57" t="s">
        <v>775</v>
      </c>
      <c r="C35" s="57"/>
      <c r="D35" s="57"/>
      <c r="E35" s="57"/>
      <c r="F35" s="57"/>
      <c r="G35" s="57"/>
      <c r="H35" s="229">
        <v>20880</v>
      </c>
      <c r="I35" s="229">
        <v>-3572</v>
      </c>
      <c r="J35" s="229">
        <v>22732</v>
      </c>
      <c r="K35" s="229">
        <v>99730</v>
      </c>
      <c r="L35" s="229">
        <v>4259</v>
      </c>
      <c r="M35" s="229">
        <v>4434</v>
      </c>
      <c r="N35" s="229">
        <v>10049</v>
      </c>
      <c r="O35" s="229">
        <v>40061</v>
      </c>
      <c r="P35" s="229">
        <v>14190</v>
      </c>
      <c r="Q35" s="229">
        <v>-496</v>
      </c>
      <c r="R35" s="229">
        <v>6624</v>
      </c>
      <c r="S35" s="229">
        <v>52381</v>
      </c>
      <c r="T35" s="229">
        <v>30819</v>
      </c>
      <c r="U35" s="229">
        <v>56467</v>
      </c>
      <c r="V35" s="229">
        <v>60865</v>
      </c>
      <c r="W35" s="229">
        <v>99402</v>
      </c>
      <c r="X35" s="229">
        <v>28762</v>
      </c>
      <c r="Y35" s="229">
        <v>17664</v>
      </c>
      <c r="Z35" s="229">
        <v>-19868</v>
      </c>
      <c r="AA35" s="229">
        <v>-54008</v>
      </c>
      <c r="AB35" s="229">
        <v>15042</v>
      </c>
      <c r="AC35" s="43">
        <v>44757</v>
      </c>
    </row>
    <row r="36" spans="1:29" s="165" customFormat="1" ht="13.8">
      <c r="A36" s="591" t="s">
        <v>1409</v>
      </c>
      <c r="B36" s="57" t="s">
        <v>1988</v>
      </c>
      <c r="C36" s="57"/>
      <c r="D36" s="57"/>
      <c r="E36" s="57"/>
      <c r="F36" s="57"/>
      <c r="G36" s="57"/>
      <c r="H36" s="229">
        <v>31164</v>
      </c>
      <c r="I36" s="229">
        <v>90815</v>
      </c>
      <c r="J36" s="229">
        <v>120581</v>
      </c>
      <c r="K36" s="229">
        <v>112834</v>
      </c>
      <c r="L36" s="229">
        <v>24580</v>
      </c>
      <c r="M36" s="229">
        <v>-7344</v>
      </c>
      <c r="N36" s="229">
        <v>4400</v>
      </c>
      <c r="O36" s="229">
        <v>51991</v>
      </c>
      <c r="P36" s="229">
        <v>-23789</v>
      </c>
      <c r="Q36" s="229">
        <v>19205</v>
      </c>
      <c r="R36" s="229">
        <v>50160</v>
      </c>
      <c r="S36" s="229">
        <v>-10766</v>
      </c>
      <c r="T36" s="229">
        <v>6985</v>
      </c>
      <c r="U36" s="229">
        <v>16151</v>
      </c>
      <c r="V36" s="229">
        <v>45950</v>
      </c>
      <c r="W36" s="229">
        <v>-24995</v>
      </c>
      <c r="X36" s="229">
        <v>6533</v>
      </c>
      <c r="Y36" s="229">
        <v>57337</v>
      </c>
      <c r="Z36" s="229">
        <v>137414</v>
      </c>
      <c r="AA36" s="229">
        <v>180685</v>
      </c>
      <c r="AB36" s="229">
        <v>41509</v>
      </c>
      <c r="AC36" s="43">
        <v>60687</v>
      </c>
    </row>
    <row r="37" spans="1:29" s="165" customFormat="1" ht="13.8">
      <c r="A37" s="591" t="s">
        <v>1410</v>
      </c>
      <c r="B37" s="57" t="s">
        <v>1989</v>
      </c>
      <c r="C37" s="57"/>
      <c r="D37" s="57"/>
      <c r="E37" s="57"/>
      <c r="F37" s="57"/>
      <c r="G37" s="57"/>
      <c r="H37" s="229">
        <v>4767</v>
      </c>
      <c r="I37" s="229">
        <v>8790</v>
      </c>
      <c r="J37" s="229">
        <v>15465</v>
      </c>
      <c r="K37" s="229">
        <v>19687</v>
      </c>
      <c r="L37" s="229">
        <v>2520</v>
      </c>
      <c r="M37" s="229">
        <v>6741</v>
      </c>
      <c r="N37" s="229">
        <v>10963</v>
      </c>
      <c r="O37" s="229">
        <v>15256</v>
      </c>
      <c r="P37" s="229">
        <v>4906</v>
      </c>
      <c r="Q37" s="229">
        <v>11410</v>
      </c>
      <c r="R37" s="229">
        <v>18500</v>
      </c>
      <c r="S37" s="229">
        <v>28806</v>
      </c>
      <c r="T37" s="229">
        <v>-4503</v>
      </c>
      <c r="U37" s="229">
        <v>-5147</v>
      </c>
      <c r="V37" s="229">
        <v>-2144</v>
      </c>
      <c r="W37" s="229">
        <v>-2878</v>
      </c>
      <c r="X37" s="229">
        <v>3893</v>
      </c>
      <c r="Y37" s="229">
        <v>10445</v>
      </c>
      <c r="Z37" s="229">
        <v>17857</v>
      </c>
      <c r="AA37" s="229">
        <v>34838</v>
      </c>
      <c r="AB37" s="229">
        <v>14265</v>
      </c>
      <c r="AC37" s="43">
        <v>26512</v>
      </c>
    </row>
    <row r="38" spans="1:29" s="165" customFormat="1" ht="13.8">
      <c r="A38" s="591" t="s">
        <v>1411</v>
      </c>
      <c r="B38" s="57" t="s">
        <v>1990</v>
      </c>
      <c r="C38" s="57"/>
      <c r="D38" s="57"/>
      <c r="E38" s="57"/>
      <c r="F38" s="57"/>
      <c r="G38" s="57"/>
      <c r="H38" s="229"/>
      <c r="I38" s="229"/>
      <c r="J38" s="229"/>
      <c r="K38" s="229"/>
      <c r="L38" s="229"/>
      <c r="M38" s="229"/>
      <c r="N38" s="229"/>
      <c r="O38" s="229"/>
      <c r="P38" s="229"/>
      <c r="Q38" s="229"/>
      <c r="R38" s="229"/>
      <c r="S38" s="229"/>
      <c r="T38" s="229"/>
      <c r="U38" s="229"/>
      <c r="V38" s="229"/>
      <c r="W38" s="229"/>
      <c r="X38" s="229"/>
      <c r="Y38" s="229">
        <v>0</v>
      </c>
      <c r="Z38" s="229">
        <v>0</v>
      </c>
      <c r="AA38" s="229">
        <v>0</v>
      </c>
      <c r="AB38" s="229">
        <v>0</v>
      </c>
      <c r="AC38" s="43" t="s">
        <v>2100</v>
      </c>
    </row>
    <row r="39" spans="1:29" s="165" customFormat="1" ht="13.8">
      <c r="A39" s="591" t="s">
        <v>1127</v>
      </c>
      <c r="B39" s="57" t="s">
        <v>1991</v>
      </c>
      <c r="C39" s="57"/>
      <c r="D39" s="57"/>
      <c r="E39" s="57"/>
      <c r="F39" s="57"/>
      <c r="G39" s="57"/>
      <c r="H39" s="229">
        <v>0</v>
      </c>
      <c r="I39" s="229">
        <v>0</v>
      </c>
      <c r="J39" s="229">
        <v>0</v>
      </c>
      <c r="K39" s="229">
        <v>0</v>
      </c>
      <c r="L39" s="229">
        <v>0</v>
      </c>
      <c r="M39" s="229">
        <v>185364</v>
      </c>
      <c r="N39" s="229">
        <v>247141</v>
      </c>
      <c r="O39" s="229">
        <v>247141</v>
      </c>
      <c r="P39" s="229">
        <v>0</v>
      </c>
      <c r="Q39" s="229">
        <v>-2179</v>
      </c>
      <c r="R39" s="229">
        <v>-5702</v>
      </c>
      <c r="S39" s="229">
        <v>-5702</v>
      </c>
      <c r="T39" s="229">
        <v>0</v>
      </c>
      <c r="U39" s="229">
        <v>0</v>
      </c>
      <c r="V39" s="229">
        <v>0</v>
      </c>
      <c r="W39" s="229">
        <v>0</v>
      </c>
      <c r="X39" s="229">
        <v>0</v>
      </c>
      <c r="Y39" s="229">
        <v>0</v>
      </c>
      <c r="Z39" s="229">
        <v>0</v>
      </c>
      <c r="AA39" s="229">
        <v>0</v>
      </c>
      <c r="AB39" s="229">
        <v>0</v>
      </c>
      <c r="AC39" s="43">
        <v>0</v>
      </c>
    </row>
    <row r="40" spans="1:29" s="165" customFormat="1" ht="13.8">
      <c r="A40" s="591" t="s">
        <v>1412</v>
      </c>
      <c r="B40" s="57" t="s">
        <v>1992</v>
      </c>
      <c r="C40" s="57"/>
      <c r="D40" s="57"/>
      <c r="E40" s="57"/>
      <c r="F40" s="57"/>
      <c r="G40" s="57"/>
      <c r="H40" s="229">
        <v>0</v>
      </c>
      <c r="I40" s="229">
        <v>0</v>
      </c>
      <c r="J40" s="229">
        <v>0</v>
      </c>
      <c r="K40" s="229">
        <v>0</v>
      </c>
      <c r="L40" s="229">
        <v>0</v>
      </c>
      <c r="M40" s="229">
        <v>0</v>
      </c>
      <c r="N40" s="229">
        <v>0</v>
      </c>
      <c r="O40" s="229">
        <v>0</v>
      </c>
      <c r="P40" s="229">
        <v>0</v>
      </c>
      <c r="Q40" s="229">
        <v>0</v>
      </c>
      <c r="R40" s="229">
        <v>0</v>
      </c>
      <c r="S40" s="229">
        <v>0</v>
      </c>
      <c r="T40" s="229">
        <v>0</v>
      </c>
      <c r="U40" s="229">
        <v>0</v>
      </c>
      <c r="V40" s="229">
        <v>0</v>
      </c>
      <c r="W40" s="229">
        <v>0</v>
      </c>
      <c r="X40" s="229">
        <v>0</v>
      </c>
      <c r="Y40" s="229">
        <v>0</v>
      </c>
      <c r="Z40" s="229">
        <v>0</v>
      </c>
      <c r="AA40" s="229">
        <v>0</v>
      </c>
      <c r="AB40" s="229">
        <v>0</v>
      </c>
      <c r="AC40" s="43" t="s">
        <v>2100</v>
      </c>
    </row>
    <row r="41" spans="1:29" s="165" customFormat="1" ht="13.8">
      <c r="A41" s="591" t="s">
        <v>1172</v>
      </c>
      <c r="B41" s="57" t="s">
        <v>1977</v>
      </c>
      <c r="C41" s="57"/>
      <c r="D41" s="57"/>
      <c r="E41" s="57"/>
      <c r="F41" s="57"/>
      <c r="G41" s="57"/>
      <c r="H41" s="229">
        <v>8133</v>
      </c>
      <c r="I41" s="229">
        <v>16266</v>
      </c>
      <c r="J41" s="229">
        <v>24400</v>
      </c>
      <c r="K41" s="229">
        <v>32533</v>
      </c>
      <c r="L41" s="229">
        <v>-2088</v>
      </c>
      <c r="M41" s="229">
        <v>6809</v>
      </c>
      <c r="N41" s="229">
        <v>16644</v>
      </c>
      <c r="O41" s="229">
        <v>26479</v>
      </c>
      <c r="P41" s="229">
        <v>11388</v>
      </c>
      <c r="Q41" s="229">
        <v>23026</v>
      </c>
      <c r="R41" s="229">
        <v>34665</v>
      </c>
      <c r="S41" s="229">
        <v>46303</v>
      </c>
      <c r="T41" s="229">
        <v>11522</v>
      </c>
      <c r="U41" s="229">
        <v>25019</v>
      </c>
      <c r="V41" s="229">
        <v>39514</v>
      </c>
      <c r="W41" s="229">
        <v>54009</v>
      </c>
      <c r="X41" s="229">
        <v>21505</v>
      </c>
      <c r="Y41" s="229">
        <v>33954</v>
      </c>
      <c r="Z41" s="229">
        <v>52055</v>
      </c>
      <c r="AA41" s="229">
        <v>70157</v>
      </c>
      <c r="AB41" s="229">
        <v>22189</v>
      </c>
      <c r="AC41" s="43">
        <v>42826</v>
      </c>
    </row>
    <row r="42" spans="1:29" s="165" customFormat="1" ht="13.8">
      <c r="A42" s="591" t="s">
        <v>1163</v>
      </c>
      <c r="B42" s="57" t="s">
        <v>1195</v>
      </c>
      <c r="C42" s="57"/>
      <c r="D42" s="57"/>
      <c r="E42" s="57"/>
      <c r="F42" s="57"/>
      <c r="G42" s="57"/>
      <c r="H42" s="229">
        <v>0</v>
      </c>
      <c r="I42" s="229">
        <v>0</v>
      </c>
      <c r="J42" s="229">
        <v>0</v>
      </c>
      <c r="K42" s="229">
        <v>5414</v>
      </c>
      <c r="L42" s="229">
        <v>0</v>
      </c>
      <c r="M42" s="229">
        <v>0</v>
      </c>
      <c r="N42" s="229">
        <v>0</v>
      </c>
      <c r="O42" s="229">
        <v>2225</v>
      </c>
      <c r="P42" s="229">
        <v>0</v>
      </c>
      <c r="Q42" s="229">
        <v>0</v>
      </c>
      <c r="R42" s="229">
        <v>465</v>
      </c>
      <c r="S42" s="229">
        <v>714</v>
      </c>
      <c r="T42" s="229">
        <v>102</v>
      </c>
      <c r="U42" s="229">
        <v>204</v>
      </c>
      <c r="V42" s="229">
        <v>306</v>
      </c>
      <c r="W42" s="229">
        <v>942</v>
      </c>
      <c r="X42" s="229">
        <v>160</v>
      </c>
      <c r="Y42" s="229">
        <v>321</v>
      </c>
      <c r="Z42" s="229">
        <v>480</v>
      </c>
      <c r="AA42" s="229">
        <v>1237</v>
      </c>
      <c r="AB42" s="229">
        <v>226</v>
      </c>
      <c r="AC42" s="43">
        <v>450</v>
      </c>
    </row>
    <row r="43" spans="1:29" s="165" customFormat="1" ht="13.8">
      <c r="A43" s="591" t="s">
        <v>1413</v>
      </c>
      <c r="B43" s="57" t="s">
        <v>2014</v>
      </c>
      <c r="C43" s="57"/>
      <c r="D43" s="57"/>
      <c r="E43" s="57"/>
      <c r="F43" s="57"/>
      <c r="G43" s="57"/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29"/>
      <c r="T43" s="229"/>
      <c r="U43" s="229"/>
      <c r="V43" s="229"/>
      <c r="W43" s="229"/>
      <c r="X43" s="229"/>
      <c r="Y43" s="229">
        <v>0</v>
      </c>
      <c r="Z43" s="229">
        <v>0</v>
      </c>
      <c r="AA43" s="229">
        <v>0</v>
      </c>
      <c r="AB43" s="229">
        <v>0</v>
      </c>
      <c r="AC43" s="43" t="s">
        <v>2100</v>
      </c>
    </row>
    <row r="44" spans="1:29" s="165" customFormat="1" ht="13.8">
      <c r="A44" s="591" t="s">
        <v>1414</v>
      </c>
      <c r="B44" s="57" t="s">
        <v>1992</v>
      </c>
      <c r="C44" s="57"/>
      <c r="D44" s="57"/>
      <c r="E44" s="57"/>
      <c r="F44" s="57"/>
      <c r="G44" s="57"/>
      <c r="H44" s="229"/>
      <c r="I44" s="229"/>
      <c r="J44" s="229"/>
      <c r="K44" s="229"/>
      <c r="L44" s="229"/>
      <c r="M44" s="229"/>
      <c r="N44" s="229"/>
      <c r="O44" s="229"/>
      <c r="P44" s="229"/>
      <c r="Q44" s="229"/>
      <c r="R44" s="229"/>
      <c r="S44" s="229"/>
      <c r="T44" s="229"/>
      <c r="U44" s="229"/>
      <c r="V44" s="229"/>
      <c r="W44" s="229"/>
      <c r="X44" s="229"/>
      <c r="Y44" s="229">
        <v>0</v>
      </c>
      <c r="Z44" s="229">
        <v>0</v>
      </c>
      <c r="AA44" s="229">
        <v>0</v>
      </c>
      <c r="AB44" s="229">
        <v>0</v>
      </c>
      <c r="AC44" s="43" t="s">
        <v>2100</v>
      </c>
    </row>
    <row r="45" spans="1:29" s="165" customFormat="1" ht="13.8">
      <c r="A45" s="591" t="s">
        <v>1415</v>
      </c>
      <c r="B45" s="57" t="s">
        <v>1993</v>
      </c>
      <c r="C45" s="57"/>
      <c r="D45" s="57"/>
      <c r="E45" s="57"/>
      <c r="F45" s="57"/>
      <c r="G45" s="57"/>
      <c r="H45" s="229"/>
      <c r="I45" s="229"/>
      <c r="J45" s="229"/>
      <c r="K45" s="229"/>
      <c r="L45" s="229"/>
      <c r="M45" s="229"/>
      <c r="N45" s="229"/>
      <c r="O45" s="229"/>
      <c r="P45" s="229"/>
      <c r="Q45" s="229"/>
      <c r="R45" s="229"/>
      <c r="S45" s="229"/>
      <c r="T45" s="229"/>
      <c r="U45" s="229"/>
      <c r="V45" s="229"/>
      <c r="W45" s="229"/>
      <c r="X45" s="229"/>
      <c r="Y45" s="229">
        <v>0</v>
      </c>
      <c r="Z45" s="229">
        <v>0</v>
      </c>
      <c r="AA45" s="229">
        <v>0</v>
      </c>
      <c r="AB45" s="229">
        <v>0</v>
      </c>
      <c r="AC45" s="43" t="s">
        <v>2100</v>
      </c>
    </row>
    <row r="46" spans="1:29" s="165" customFormat="1" ht="13.8">
      <c r="A46" s="591" t="s">
        <v>1416</v>
      </c>
      <c r="B46" s="57" t="s">
        <v>1417</v>
      </c>
      <c r="C46" s="57"/>
      <c r="D46" s="57"/>
      <c r="E46" s="57"/>
      <c r="F46" s="57"/>
      <c r="G46" s="57"/>
      <c r="H46" s="229">
        <v>0</v>
      </c>
      <c r="I46" s="229">
        <v>0</v>
      </c>
      <c r="J46" s="229">
        <v>0</v>
      </c>
      <c r="K46" s="229">
        <v>0</v>
      </c>
      <c r="L46" s="229">
        <v>0</v>
      </c>
      <c r="M46" s="229">
        <v>0</v>
      </c>
      <c r="N46" s="229">
        <v>0</v>
      </c>
      <c r="O46" s="229">
        <v>19008</v>
      </c>
      <c r="P46" s="229">
        <v>0</v>
      </c>
      <c r="Q46" s="229">
        <v>-4761</v>
      </c>
      <c r="R46" s="229">
        <v>-1837</v>
      </c>
      <c r="S46" s="229">
        <v>-2354</v>
      </c>
      <c r="T46" s="229">
        <v>8232</v>
      </c>
      <c r="U46" s="229">
        <v>19244</v>
      </c>
      <c r="V46" s="229">
        <v>24942</v>
      </c>
      <c r="W46" s="229">
        <v>-792</v>
      </c>
      <c r="X46" s="229">
        <v>-2647</v>
      </c>
      <c r="Y46" s="229">
        <v>1303</v>
      </c>
      <c r="Z46" s="229">
        <v>3523</v>
      </c>
      <c r="AA46" s="229">
        <v>16939</v>
      </c>
      <c r="AB46" s="229">
        <v>-1525</v>
      </c>
      <c r="AC46" s="43">
        <v>9238</v>
      </c>
    </row>
    <row r="47" spans="1:29" s="165" customFormat="1" ht="13.8">
      <c r="A47" s="591" t="s">
        <v>95</v>
      </c>
      <c r="B47" s="57" t="s">
        <v>96</v>
      </c>
      <c r="C47" s="57"/>
      <c r="D47" s="57"/>
      <c r="E47" s="57"/>
      <c r="F47" s="57"/>
      <c r="G47" s="57"/>
      <c r="H47" s="229">
        <v>-32143</v>
      </c>
      <c r="I47" s="229">
        <v>-56698</v>
      </c>
      <c r="J47" s="229">
        <v>0</v>
      </c>
      <c r="K47" s="229">
        <v>0</v>
      </c>
      <c r="L47" s="229">
        <v>0</v>
      </c>
      <c r="M47" s="229">
        <v>0</v>
      </c>
      <c r="N47" s="229">
        <v>0</v>
      </c>
      <c r="O47" s="229">
        <v>0</v>
      </c>
      <c r="P47" s="229">
        <v>0</v>
      </c>
      <c r="Q47" s="229">
        <v>0</v>
      </c>
      <c r="R47" s="229">
        <v>0</v>
      </c>
      <c r="S47" s="229">
        <v>0</v>
      </c>
      <c r="T47" s="229">
        <v>0</v>
      </c>
      <c r="U47" s="229">
        <v>0</v>
      </c>
      <c r="V47" s="229">
        <v>0</v>
      </c>
      <c r="W47" s="229">
        <v>0</v>
      </c>
      <c r="X47" s="229">
        <v>0</v>
      </c>
      <c r="Y47" s="229">
        <v>0</v>
      </c>
      <c r="Z47" s="229">
        <v>0</v>
      </c>
      <c r="AA47" s="229">
        <v>0</v>
      </c>
      <c r="AB47" s="229">
        <v>0</v>
      </c>
      <c r="AC47" s="43" t="s">
        <v>2100</v>
      </c>
    </row>
    <row r="48" spans="1:29" s="578" customFormat="1" ht="13.8">
      <c r="A48" s="592"/>
      <c r="B48" s="592"/>
      <c r="C48" s="592"/>
      <c r="D48" s="592">
        <f t="shared" ref="D48:AC48" si="0">SUM(D9:D47)</f>
        <v>0</v>
      </c>
      <c r="E48" s="592">
        <f t="shared" si="0"/>
        <v>0</v>
      </c>
      <c r="F48" s="592">
        <f t="shared" si="0"/>
        <v>0</v>
      </c>
      <c r="G48" s="592">
        <f t="shared" si="0"/>
        <v>0</v>
      </c>
      <c r="H48" s="593">
        <f t="shared" si="0"/>
        <v>180429</v>
      </c>
      <c r="I48" s="593">
        <f t="shared" si="0"/>
        <v>453551</v>
      </c>
      <c r="J48" s="593">
        <f t="shared" si="0"/>
        <v>439441</v>
      </c>
      <c r="K48" s="593">
        <f t="shared" si="0"/>
        <v>486821</v>
      </c>
      <c r="L48" s="593">
        <f t="shared" si="0"/>
        <v>355426</v>
      </c>
      <c r="M48" s="593">
        <f t="shared" si="0"/>
        <v>642148</v>
      </c>
      <c r="N48" s="593">
        <f t="shared" si="0"/>
        <v>939609</v>
      </c>
      <c r="O48" s="593">
        <f t="shared" si="0"/>
        <v>1347973</v>
      </c>
      <c r="P48" s="593">
        <f t="shared" si="0"/>
        <v>79261</v>
      </c>
      <c r="Q48" s="593">
        <f t="shared" si="0"/>
        <v>379856</v>
      </c>
      <c r="R48" s="593">
        <f t="shared" si="0"/>
        <v>693241</v>
      </c>
      <c r="S48" s="593">
        <f t="shared" si="0"/>
        <v>1110684</v>
      </c>
      <c r="T48" s="593">
        <f t="shared" si="0"/>
        <v>342023</v>
      </c>
      <c r="U48" s="593">
        <f t="shared" si="0"/>
        <v>693339</v>
      </c>
      <c r="V48" s="593">
        <f t="shared" si="0"/>
        <v>1039279</v>
      </c>
      <c r="W48" s="593">
        <f t="shared" si="0"/>
        <v>1434930</v>
      </c>
      <c r="X48" s="593">
        <f t="shared" si="0"/>
        <v>281954</v>
      </c>
      <c r="Y48" s="593">
        <f t="shared" si="0"/>
        <v>650028</v>
      </c>
      <c r="Z48" s="593">
        <f t="shared" si="0"/>
        <v>1038140</v>
      </c>
      <c r="AA48" s="593">
        <f t="shared" si="0"/>
        <v>1598839</v>
      </c>
      <c r="AB48" s="593">
        <f t="shared" si="0"/>
        <v>542143</v>
      </c>
      <c r="AC48" s="781">
        <f t="shared" si="0"/>
        <v>902569</v>
      </c>
    </row>
    <row r="49" spans="1:29" s="165" customFormat="1" ht="13.8">
      <c r="A49" s="589" t="s">
        <v>1418</v>
      </c>
      <c r="B49" s="589" t="s">
        <v>2035</v>
      </c>
      <c r="C49" s="57"/>
      <c r="D49" s="57"/>
      <c r="E49" s="57"/>
      <c r="F49" s="57"/>
      <c r="G49" s="57"/>
      <c r="H49" s="57"/>
      <c r="I49" s="229"/>
      <c r="J49" s="57"/>
      <c r="K49" s="229"/>
      <c r="L49" s="57"/>
      <c r="M49" s="229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6"/>
    </row>
    <row r="50" spans="1:29" s="165" customFormat="1" ht="13.8">
      <c r="A50" s="591" t="s">
        <v>1057</v>
      </c>
      <c r="B50" s="57" t="s">
        <v>1994</v>
      </c>
      <c r="C50" s="57"/>
      <c r="D50" s="57"/>
      <c r="E50" s="57"/>
      <c r="F50" s="57"/>
      <c r="G50" s="57"/>
      <c r="H50" s="229">
        <v>88022</v>
      </c>
      <c r="I50" s="229">
        <v>39186</v>
      </c>
      <c r="J50" s="229">
        <v>-135037</v>
      </c>
      <c r="K50" s="229">
        <v>-211146</v>
      </c>
      <c r="L50" s="229">
        <v>46159</v>
      </c>
      <c r="M50" s="229">
        <v>84264</v>
      </c>
      <c r="N50" s="229">
        <v>7140</v>
      </c>
      <c r="O50" s="229">
        <v>377</v>
      </c>
      <c r="P50" s="229">
        <v>38649</v>
      </c>
      <c r="Q50" s="229">
        <v>-99699</v>
      </c>
      <c r="R50" s="229">
        <v>-251007</v>
      </c>
      <c r="S50" s="229">
        <v>-270126</v>
      </c>
      <c r="T50" s="229">
        <v>-18521</v>
      </c>
      <c r="U50" s="229">
        <v>-68653</v>
      </c>
      <c r="V50" s="229">
        <v>-132739</v>
      </c>
      <c r="W50" s="229">
        <v>-205900</v>
      </c>
      <c r="X50" s="229">
        <v>90109.549379999997</v>
      </c>
      <c r="Y50" s="229">
        <v>-65337.450620000003</v>
      </c>
      <c r="Z50" s="229">
        <v>-262178</v>
      </c>
      <c r="AA50" s="229">
        <v>-361610</v>
      </c>
      <c r="AB50" s="229">
        <v>-16355</v>
      </c>
      <c r="AC50" s="43">
        <v>-175760</v>
      </c>
    </row>
    <row r="51" spans="1:29" s="165" customFormat="1" ht="13.8">
      <c r="A51" s="591" t="s">
        <v>887</v>
      </c>
      <c r="B51" s="57" t="s">
        <v>1995</v>
      </c>
      <c r="C51" s="57"/>
      <c r="D51" s="57"/>
      <c r="E51" s="57"/>
      <c r="F51" s="57"/>
      <c r="G51" s="57"/>
      <c r="H51" s="229">
        <v>0</v>
      </c>
      <c r="I51" s="229">
        <v>0</v>
      </c>
      <c r="J51" s="229">
        <v>0</v>
      </c>
      <c r="K51" s="229">
        <v>0</v>
      </c>
      <c r="L51" s="229">
        <v>0</v>
      </c>
      <c r="M51" s="229">
        <v>0</v>
      </c>
      <c r="N51" s="229">
        <v>0</v>
      </c>
      <c r="O51" s="229">
        <v>0</v>
      </c>
      <c r="P51" s="229">
        <v>0</v>
      </c>
      <c r="Q51" s="229">
        <v>0</v>
      </c>
      <c r="R51" s="229">
        <v>0</v>
      </c>
      <c r="S51" s="229">
        <v>0</v>
      </c>
      <c r="T51" s="229">
        <v>0</v>
      </c>
      <c r="U51" s="229">
        <v>0</v>
      </c>
      <c r="V51" s="229">
        <v>0</v>
      </c>
      <c r="W51" s="229">
        <v>0</v>
      </c>
      <c r="X51" s="229">
        <v>-6839</v>
      </c>
      <c r="Y51" s="229">
        <v>-4209</v>
      </c>
      <c r="Z51" s="229">
        <v>-3944</v>
      </c>
      <c r="AA51" s="229">
        <v>-3901</v>
      </c>
      <c r="AB51" s="229">
        <v>-145</v>
      </c>
      <c r="AC51" s="43">
        <v>2524</v>
      </c>
    </row>
    <row r="52" spans="1:29" s="165" customFormat="1" ht="13.8">
      <c r="A52" s="591" t="s">
        <v>1063</v>
      </c>
      <c r="B52" s="57" t="s">
        <v>1996</v>
      </c>
      <c r="C52" s="57"/>
      <c r="D52" s="57"/>
      <c r="E52" s="57"/>
      <c r="F52" s="57"/>
      <c r="G52" s="57"/>
      <c r="H52" s="229">
        <v>1589</v>
      </c>
      <c r="I52" s="229">
        <v>-13478</v>
      </c>
      <c r="J52" s="229">
        <v>1813</v>
      </c>
      <c r="K52" s="229">
        <v>-14793</v>
      </c>
      <c r="L52" s="229">
        <v>50737</v>
      </c>
      <c r="M52" s="229">
        <v>49083</v>
      </c>
      <c r="N52" s="229">
        <v>39979</v>
      </c>
      <c r="O52" s="229">
        <v>1680</v>
      </c>
      <c r="P52" s="229">
        <v>39668</v>
      </c>
      <c r="Q52" s="229">
        <v>34491</v>
      </c>
      <c r="R52" s="229">
        <v>46431</v>
      </c>
      <c r="S52" s="229">
        <v>53924</v>
      </c>
      <c r="T52" s="229">
        <v>-1080</v>
      </c>
      <c r="U52" s="229">
        <v>-4777</v>
      </c>
      <c r="V52" s="229">
        <v>-9471</v>
      </c>
      <c r="W52" s="229">
        <v>17762</v>
      </c>
      <c r="X52" s="229">
        <v>19743</v>
      </c>
      <c r="Y52" s="229">
        <v>7880</v>
      </c>
      <c r="Z52" s="229">
        <v>15188</v>
      </c>
      <c r="AA52" s="229">
        <v>27107</v>
      </c>
      <c r="AB52" s="229">
        <v>-5219</v>
      </c>
      <c r="AC52" s="43">
        <v>-22143</v>
      </c>
    </row>
    <row r="53" spans="1:29" s="165" customFormat="1" ht="13.8">
      <c r="A53" s="591" t="s">
        <v>1068</v>
      </c>
      <c r="B53" s="57" t="s">
        <v>1997</v>
      </c>
      <c r="C53" s="57"/>
      <c r="D53" s="57"/>
      <c r="E53" s="57"/>
      <c r="F53" s="57"/>
      <c r="G53" s="57"/>
      <c r="H53" s="229">
        <v>-2786</v>
      </c>
      <c r="I53" s="229">
        <v>-4521</v>
      </c>
      <c r="J53" s="229">
        <v>-7765</v>
      </c>
      <c r="K53" s="229">
        <v>-10788</v>
      </c>
      <c r="L53" s="229">
        <v>-3621</v>
      </c>
      <c r="M53" s="229">
        <v>-5618</v>
      </c>
      <c r="N53" s="229">
        <v>-8444</v>
      </c>
      <c r="O53" s="229">
        <v>-11571</v>
      </c>
      <c r="P53" s="229">
        <v>-2038</v>
      </c>
      <c r="Q53" s="229">
        <v>-4948</v>
      </c>
      <c r="R53" s="229">
        <v>-8858</v>
      </c>
      <c r="S53" s="229">
        <v>-11761</v>
      </c>
      <c r="T53" s="229">
        <v>-26460</v>
      </c>
      <c r="U53" s="229">
        <v>-34181</v>
      </c>
      <c r="V53" s="229">
        <v>-44161</v>
      </c>
      <c r="W53" s="229">
        <v>-50419</v>
      </c>
      <c r="X53" s="229">
        <v>-7376</v>
      </c>
      <c r="Y53" s="229">
        <v>-8944</v>
      </c>
      <c r="Z53" s="229">
        <v>-7859</v>
      </c>
      <c r="AA53" s="229">
        <v>44423</v>
      </c>
      <c r="AB53" s="229">
        <v>-5931</v>
      </c>
      <c r="AC53" s="43">
        <v>-9073</v>
      </c>
    </row>
    <row r="54" spans="1:29" s="165" customFormat="1" ht="13.8">
      <c r="A54" s="591" t="s">
        <v>1419</v>
      </c>
      <c r="B54" s="57" t="s">
        <v>1998</v>
      </c>
      <c r="C54" s="57"/>
      <c r="D54" s="57"/>
      <c r="E54" s="57"/>
      <c r="F54" s="57"/>
      <c r="G54" s="57"/>
      <c r="H54" s="229">
        <v>0</v>
      </c>
      <c r="I54" s="229">
        <v>0</v>
      </c>
      <c r="J54" s="229">
        <v>0</v>
      </c>
      <c r="K54" s="229">
        <v>0</v>
      </c>
      <c r="L54" s="229">
        <v>0</v>
      </c>
      <c r="M54" s="229">
        <v>0</v>
      </c>
      <c r="N54" s="229">
        <v>0</v>
      </c>
      <c r="O54" s="229">
        <v>0</v>
      </c>
      <c r="P54" s="229">
        <v>0</v>
      </c>
      <c r="Q54" s="229">
        <v>0</v>
      </c>
      <c r="R54" s="229">
        <v>0</v>
      </c>
      <c r="S54" s="229">
        <v>0</v>
      </c>
      <c r="T54" s="229">
        <v>0</v>
      </c>
      <c r="U54" s="229">
        <v>0</v>
      </c>
      <c r="V54" s="229">
        <v>0</v>
      </c>
      <c r="W54" s="229">
        <v>0</v>
      </c>
      <c r="X54" s="229">
        <v>0</v>
      </c>
      <c r="Y54" s="229">
        <v>0</v>
      </c>
      <c r="Z54" s="229">
        <v>0</v>
      </c>
      <c r="AA54" s="229">
        <v>0</v>
      </c>
      <c r="AB54" s="229">
        <v>0</v>
      </c>
      <c r="AC54" s="43" t="s">
        <v>2100</v>
      </c>
    </row>
    <row r="55" spans="1:29" s="165" customFormat="1" ht="13.8">
      <c r="A55" s="591" t="s">
        <v>1074</v>
      </c>
      <c r="B55" s="57" t="s">
        <v>1075</v>
      </c>
      <c r="C55" s="57"/>
      <c r="D55" s="57"/>
      <c r="E55" s="57"/>
      <c r="F55" s="57"/>
      <c r="G55" s="57"/>
      <c r="H55" s="229">
        <v>-7279</v>
      </c>
      <c r="I55" s="229">
        <v>-13853</v>
      </c>
      <c r="J55" s="229">
        <v>-17896</v>
      </c>
      <c r="K55" s="229">
        <v>-23999</v>
      </c>
      <c r="L55" s="229">
        <v>-2189</v>
      </c>
      <c r="M55" s="229">
        <v>-5701</v>
      </c>
      <c r="N55" s="229">
        <v>-10631</v>
      </c>
      <c r="O55" s="229">
        <v>-6009</v>
      </c>
      <c r="P55" s="229">
        <v>6836</v>
      </c>
      <c r="Q55" s="229">
        <v>5728</v>
      </c>
      <c r="R55" s="229">
        <v>561</v>
      </c>
      <c r="S55" s="229">
        <v>29182</v>
      </c>
      <c r="T55" s="229">
        <v>-1232</v>
      </c>
      <c r="U55" s="229">
        <v>-1511</v>
      </c>
      <c r="V55" s="229">
        <v>-1392</v>
      </c>
      <c r="W55" s="229">
        <v>-2934</v>
      </c>
      <c r="X55" s="229">
        <v>-4752</v>
      </c>
      <c r="Y55" s="229">
        <v>-10084</v>
      </c>
      <c r="Z55" s="229">
        <v>-10007</v>
      </c>
      <c r="AA55" s="229">
        <v>-7564</v>
      </c>
      <c r="AB55" s="229">
        <v>-3259</v>
      </c>
      <c r="AC55" s="43">
        <v>-4778</v>
      </c>
    </row>
    <row r="56" spans="1:29" s="165" customFormat="1" ht="13.8">
      <c r="A56" s="591" t="s">
        <v>1420</v>
      </c>
      <c r="B56" s="57" t="s">
        <v>1999</v>
      </c>
      <c r="C56" s="57"/>
      <c r="D56" s="57"/>
      <c r="E56" s="57"/>
      <c r="F56" s="57"/>
      <c r="G56" s="57"/>
      <c r="H56" s="229">
        <v>-2170</v>
      </c>
      <c r="I56" s="229">
        <v>2516</v>
      </c>
      <c r="J56" s="229">
        <v>-19172</v>
      </c>
      <c r="K56" s="229">
        <v>-5999</v>
      </c>
      <c r="L56" s="229">
        <v>-31915</v>
      </c>
      <c r="M56" s="229">
        <v>-21147</v>
      </c>
      <c r="N56" s="229">
        <v>-38288</v>
      </c>
      <c r="O56" s="229">
        <v>-83388</v>
      </c>
      <c r="P56" s="229">
        <v>6719</v>
      </c>
      <c r="Q56" s="229">
        <v>4942</v>
      </c>
      <c r="R56" s="229">
        <v>-41</v>
      </c>
      <c r="S56" s="229">
        <v>9480</v>
      </c>
      <c r="T56" s="229">
        <v>-8538</v>
      </c>
      <c r="U56" s="229">
        <v>-25316</v>
      </c>
      <c r="V56" s="229">
        <v>-35002</v>
      </c>
      <c r="W56" s="229">
        <v>-90151</v>
      </c>
      <c r="X56" s="229">
        <v>-19972</v>
      </c>
      <c r="Y56" s="229">
        <v>-26890</v>
      </c>
      <c r="Z56" s="229">
        <v>-23762</v>
      </c>
      <c r="AA56" s="229">
        <v>-10694</v>
      </c>
      <c r="AB56" s="229">
        <v>-14415</v>
      </c>
      <c r="AC56" s="43">
        <v>-13468</v>
      </c>
    </row>
    <row r="57" spans="1:29" s="165" customFormat="1" ht="13.8">
      <c r="A57" s="591" t="s">
        <v>1078</v>
      </c>
      <c r="B57" s="57" t="s">
        <v>2000</v>
      </c>
      <c r="C57" s="57"/>
      <c r="D57" s="57"/>
      <c r="E57" s="57"/>
      <c r="F57" s="57"/>
      <c r="G57" s="57"/>
      <c r="H57" s="229">
        <v>-1601</v>
      </c>
      <c r="I57" s="229">
        <v>-3763</v>
      </c>
      <c r="J57" s="229">
        <v>-7687</v>
      </c>
      <c r="K57" s="229">
        <v>-43970</v>
      </c>
      <c r="L57" s="229">
        <v>-1442</v>
      </c>
      <c r="M57" s="229">
        <v>-9358</v>
      </c>
      <c r="N57" s="229">
        <v>-17137</v>
      </c>
      <c r="O57" s="229">
        <v>-2430</v>
      </c>
      <c r="P57" s="229">
        <v>-2338</v>
      </c>
      <c r="Q57" s="229">
        <v>-31853</v>
      </c>
      <c r="R57" s="229">
        <v>-14586</v>
      </c>
      <c r="S57" s="229">
        <v>-13581</v>
      </c>
      <c r="T57" s="229">
        <v>1899</v>
      </c>
      <c r="U57" s="229">
        <v>-7499</v>
      </c>
      <c r="V57" s="229">
        <v>24314</v>
      </c>
      <c r="W57" s="229">
        <v>-10638.82245</v>
      </c>
      <c r="X57" s="229">
        <v>-2744.9138299999981</v>
      </c>
      <c r="Y57" s="229">
        <v>-19318.913829999998</v>
      </c>
      <c r="Z57" s="229">
        <v>-28938</v>
      </c>
      <c r="AA57" s="229">
        <v>97913</v>
      </c>
      <c r="AB57" s="229">
        <v>-8247</v>
      </c>
      <c r="AC57" s="43">
        <v>-34065</v>
      </c>
    </row>
    <row r="58" spans="1:29" s="165" customFormat="1" ht="13.8">
      <c r="A58" s="591" t="s">
        <v>1421</v>
      </c>
      <c r="B58" s="57" t="s">
        <v>2001</v>
      </c>
      <c r="C58" s="57"/>
      <c r="D58" s="57"/>
      <c r="E58" s="57"/>
      <c r="F58" s="57"/>
      <c r="G58" s="57"/>
      <c r="H58" s="229">
        <v>0</v>
      </c>
      <c r="I58" s="229">
        <v>0</v>
      </c>
      <c r="J58" s="229">
        <v>0</v>
      </c>
      <c r="K58" s="229">
        <v>0</v>
      </c>
      <c r="L58" s="229">
        <v>0</v>
      </c>
      <c r="M58" s="229">
        <v>0</v>
      </c>
      <c r="N58" s="229">
        <v>0</v>
      </c>
      <c r="O58" s="229">
        <v>0</v>
      </c>
      <c r="P58" s="229">
        <v>0</v>
      </c>
      <c r="Q58" s="229">
        <v>0</v>
      </c>
      <c r="R58" s="229">
        <v>0</v>
      </c>
      <c r="S58" s="229">
        <v>0</v>
      </c>
      <c r="T58" s="229">
        <v>0</v>
      </c>
      <c r="U58" s="229">
        <v>0</v>
      </c>
      <c r="V58" s="229">
        <v>0</v>
      </c>
      <c r="W58" s="229">
        <v>0</v>
      </c>
      <c r="X58" s="229">
        <v>0</v>
      </c>
      <c r="Y58" s="229">
        <v>0</v>
      </c>
      <c r="Z58" s="229">
        <v>0</v>
      </c>
      <c r="AA58" s="229">
        <v>0</v>
      </c>
      <c r="AB58" s="229">
        <v>0</v>
      </c>
      <c r="AC58" s="43" t="s">
        <v>2100</v>
      </c>
    </row>
    <row r="59" spans="1:29" s="165" customFormat="1" ht="13.8">
      <c r="A59" s="591" t="s">
        <v>1422</v>
      </c>
      <c r="B59" s="57" t="s">
        <v>2002</v>
      </c>
      <c r="C59" s="57"/>
      <c r="D59" s="57"/>
      <c r="E59" s="57"/>
      <c r="F59" s="57"/>
      <c r="G59" s="57"/>
      <c r="H59" s="229">
        <v>0</v>
      </c>
      <c r="I59" s="229">
        <v>0</v>
      </c>
      <c r="J59" s="229">
        <v>0</v>
      </c>
      <c r="K59" s="229">
        <v>0</v>
      </c>
      <c r="L59" s="229">
        <v>0</v>
      </c>
      <c r="M59" s="229">
        <v>0</v>
      </c>
      <c r="N59" s="229">
        <v>0</v>
      </c>
      <c r="O59" s="229">
        <v>0</v>
      </c>
      <c r="P59" s="229">
        <v>0</v>
      </c>
      <c r="Q59" s="229">
        <v>0</v>
      </c>
      <c r="R59" s="229">
        <v>0</v>
      </c>
      <c r="S59" s="229">
        <v>0</v>
      </c>
      <c r="T59" s="229">
        <v>0</v>
      </c>
      <c r="U59" s="229">
        <v>0</v>
      </c>
      <c r="V59" s="229">
        <v>0</v>
      </c>
      <c r="W59" s="229">
        <v>0</v>
      </c>
      <c r="X59" s="229">
        <v>0</v>
      </c>
      <c r="Y59" s="229">
        <v>0</v>
      </c>
      <c r="Z59" s="229">
        <v>0</v>
      </c>
      <c r="AA59" s="229">
        <v>0</v>
      </c>
      <c r="AB59" s="229">
        <v>0</v>
      </c>
      <c r="AC59" s="43" t="s">
        <v>2100</v>
      </c>
    </row>
    <row r="60" spans="1:29" s="165" customFormat="1" ht="13.8">
      <c r="A60" s="591" t="s">
        <v>1223</v>
      </c>
      <c r="B60" s="57" t="s">
        <v>2003</v>
      </c>
      <c r="C60" s="57"/>
      <c r="D60" s="57"/>
      <c r="E60" s="57"/>
      <c r="F60" s="57"/>
      <c r="G60" s="57"/>
      <c r="H60" s="229">
        <v>59545</v>
      </c>
      <c r="I60" s="229">
        <v>124358</v>
      </c>
      <c r="J60" s="229">
        <v>249543</v>
      </c>
      <c r="K60" s="229">
        <v>448210</v>
      </c>
      <c r="L60" s="229">
        <v>29850</v>
      </c>
      <c r="M60" s="229">
        <v>48455</v>
      </c>
      <c r="N60" s="229">
        <v>148683</v>
      </c>
      <c r="O60" s="229">
        <v>148684</v>
      </c>
      <c r="P60" s="229">
        <v>0</v>
      </c>
      <c r="Q60" s="229">
        <v>11812</v>
      </c>
      <c r="R60" s="229">
        <v>12050</v>
      </c>
      <c r="S60" s="229">
        <v>12286</v>
      </c>
      <c r="T60" s="229">
        <v>236</v>
      </c>
      <c r="U60" s="229">
        <v>27581</v>
      </c>
      <c r="V60" s="229">
        <v>27968</v>
      </c>
      <c r="W60" s="229">
        <v>28373</v>
      </c>
      <c r="X60" s="229">
        <v>1061</v>
      </c>
      <c r="Y60" s="229">
        <v>5450</v>
      </c>
      <c r="Z60" s="229">
        <v>5461</v>
      </c>
      <c r="AA60" s="229">
        <v>5460</v>
      </c>
      <c r="AB60" s="229">
        <v>335</v>
      </c>
      <c r="AC60" s="43">
        <v>5186</v>
      </c>
    </row>
    <row r="61" spans="1:29" s="165" customFormat="1" ht="13.8">
      <c r="A61" s="591" t="s">
        <v>1423</v>
      </c>
      <c r="B61" s="57" t="s">
        <v>1187</v>
      </c>
      <c r="C61" s="57"/>
      <c r="D61" s="57"/>
      <c r="E61" s="57"/>
      <c r="F61" s="57"/>
      <c r="G61" s="57"/>
      <c r="H61" s="229">
        <v>0</v>
      </c>
      <c r="I61" s="229">
        <v>0</v>
      </c>
      <c r="J61" s="229">
        <v>0</v>
      </c>
      <c r="K61" s="229">
        <v>0</v>
      </c>
      <c r="L61" s="229">
        <v>0</v>
      </c>
      <c r="M61" s="229">
        <v>0</v>
      </c>
      <c r="N61" s="229">
        <v>0</v>
      </c>
      <c r="O61" s="229">
        <v>0</v>
      </c>
      <c r="P61" s="229">
        <v>0</v>
      </c>
      <c r="Q61" s="229">
        <v>0</v>
      </c>
      <c r="R61" s="229">
        <v>0</v>
      </c>
      <c r="S61" s="229">
        <v>0</v>
      </c>
      <c r="T61" s="229">
        <v>0</v>
      </c>
      <c r="U61" s="229">
        <v>0</v>
      </c>
      <c r="V61" s="229">
        <v>0</v>
      </c>
      <c r="W61" s="229">
        <v>0</v>
      </c>
      <c r="X61" s="229">
        <v>0</v>
      </c>
      <c r="Y61" s="229">
        <v>0</v>
      </c>
      <c r="Z61" s="229">
        <v>0</v>
      </c>
      <c r="AA61" s="229">
        <v>0</v>
      </c>
      <c r="AB61" s="229">
        <v>0</v>
      </c>
      <c r="AC61" s="43" t="s">
        <v>2100</v>
      </c>
    </row>
    <row r="62" spans="1:29" s="165" customFormat="1" ht="13.8">
      <c r="A62" s="591" t="s">
        <v>1080</v>
      </c>
      <c r="B62" s="57" t="s">
        <v>2004</v>
      </c>
      <c r="C62" s="57"/>
      <c r="D62" s="57"/>
      <c r="E62" s="57"/>
      <c r="F62" s="57"/>
      <c r="G62" s="57"/>
      <c r="H62" s="229">
        <v>-13156</v>
      </c>
      <c r="I62" s="229">
        <v>-30682</v>
      </c>
      <c r="J62" s="229">
        <v>-104286</v>
      </c>
      <c r="K62" s="229">
        <v>-135463</v>
      </c>
      <c r="L62" s="229">
        <v>5672</v>
      </c>
      <c r="M62" s="229">
        <v>53921</v>
      </c>
      <c r="N62" s="229">
        <v>50066</v>
      </c>
      <c r="O62" s="229">
        <v>35468</v>
      </c>
      <c r="P62" s="229">
        <v>38170</v>
      </c>
      <c r="Q62" s="229">
        <v>21173</v>
      </c>
      <c r="R62" s="229">
        <v>33382</v>
      </c>
      <c r="S62" s="229">
        <v>-4721</v>
      </c>
      <c r="T62" s="229">
        <v>24408</v>
      </c>
      <c r="U62" s="229">
        <v>7001</v>
      </c>
      <c r="V62" s="229">
        <v>-69509</v>
      </c>
      <c r="W62" s="229">
        <v>12228</v>
      </c>
      <c r="X62" s="229">
        <v>-21645.54938</v>
      </c>
      <c r="Y62" s="229">
        <v>-39066.549379999997</v>
      </c>
      <c r="Z62" s="229">
        <v>-76158</v>
      </c>
      <c r="AA62" s="229">
        <v>-67075</v>
      </c>
      <c r="AB62" s="229">
        <v>-47759</v>
      </c>
      <c r="AC62" s="43">
        <v>-50251</v>
      </c>
    </row>
    <row r="63" spans="1:29" s="165" customFormat="1" ht="13.8">
      <c r="A63" s="591" t="s">
        <v>1102</v>
      </c>
      <c r="B63" s="57" t="s">
        <v>1103</v>
      </c>
      <c r="C63" s="57"/>
      <c r="D63" s="57"/>
      <c r="E63" s="57"/>
      <c r="F63" s="57"/>
      <c r="G63" s="57"/>
      <c r="H63" s="229">
        <v>-158584</v>
      </c>
      <c r="I63" s="229">
        <v>-179228</v>
      </c>
      <c r="J63" s="229">
        <v>59478</v>
      </c>
      <c r="K63" s="229">
        <v>32379</v>
      </c>
      <c r="L63" s="229">
        <v>-198065</v>
      </c>
      <c r="M63" s="229">
        <v>-103583</v>
      </c>
      <c r="N63" s="229">
        <v>-116117</v>
      </c>
      <c r="O63" s="229">
        <v>-131012</v>
      </c>
      <c r="P63" s="229">
        <v>-77849</v>
      </c>
      <c r="Q63" s="229">
        <v>-21434</v>
      </c>
      <c r="R63" s="229">
        <v>7392</v>
      </c>
      <c r="S63" s="229">
        <v>72332</v>
      </c>
      <c r="T63" s="229">
        <v>-92191</v>
      </c>
      <c r="U63" s="229">
        <v>-73592</v>
      </c>
      <c r="V63" s="229">
        <v>-63726</v>
      </c>
      <c r="W63" s="229">
        <v>-51184</v>
      </c>
      <c r="X63" s="229">
        <v>-75877</v>
      </c>
      <c r="Y63" s="229">
        <v>1644</v>
      </c>
      <c r="Z63" s="229">
        <v>62408</v>
      </c>
      <c r="AA63" s="229">
        <v>57932</v>
      </c>
      <c r="AB63" s="229">
        <v>-144964</v>
      </c>
      <c r="AC63" s="43">
        <v>-13042</v>
      </c>
    </row>
    <row r="64" spans="1:29" s="165" customFormat="1" ht="13.8">
      <c r="A64" s="591" t="s">
        <v>1424</v>
      </c>
      <c r="B64" s="57" t="s">
        <v>1351</v>
      </c>
      <c r="C64" s="57"/>
      <c r="D64" s="57"/>
      <c r="E64" s="57"/>
      <c r="F64" s="57"/>
      <c r="G64" s="57"/>
      <c r="H64" s="229">
        <v>0</v>
      </c>
      <c r="I64" s="229">
        <v>0</v>
      </c>
      <c r="J64" s="229">
        <v>0</v>
      </c>
      <c r="K64" s="229">
        <v>0</v>
      </c>
      <c r="L64" s="229">
        <v>0</v>
      </c>
      <c r="M64" s="229">
        <v>0</v>
      </c>
      <c r="N64" s="229">
        <v>0</v>
      </c>
      <c r="O64" s="229">
        <v>0</v>
      </c>
      <c r="P64" s="229">
        <v>0</v>
      </c>
      <c r="Q64" s="229">
        <v>0</v>
      </c>
      <c r="R64" s="229">
        <v>0</v>
      </c>
      <c r="S64" s="229">
        <v>0</v>
      </c>
      <c r="T64" s="229">
        <v>0</v>
      </c>
      <c r="U64" s="229">
        <v>0</v>
      </c>
      <c r="V64" s="229">
        <v>0</v>
      </c>
      <c r="W64" s="229">
        <v>0</v>
      </c>
      <c r="X64" s="229">
        <v>0</v>
      </c>
      <c r="Y64" s="229">
        <v>0</v>
      </c>
      <c r="Z64" s="229">
        <v>0</v>
      </c>
      <c r="AA64" s="229">
        <v>0</v>
      </c>
      <c r="AB64" s="229">
        <v>0</v>
      </c>
      <c r="AC64" s="43" t="s">
        <v>2100</v>
      </c>
    </row>
    <row r="65" spans="1:29" s="165" customFormat="1" ht="13.8">
      <c r="A65" s="591" t="s">
        <v>1104</v>
      </c>
      <c r="B65" s="57" t="s">
        <v>2005</v>
      </c>
      <c r="C65" s="57"/>
      <c r="D65" s="57"/>
      <c r="E65" s="57"/>
      <c r="F65" s="57"/>
      <c r="G65" s="57"/>
      <c r="H65" s="229">
        <v>-8303</v>
      </c>
      <c r="I65" s="229">
        <v>-6409</v>
      </c>
      <c r="J65" s="229">
        <v>-7263</v>
      </c>
      <c r="K65" s="229">
        <v>-10416</v>
      </c>
      <c r="L65" s="229">
        <v>-12291</v>
      </c>
      <c r="M65" s="229">
        <v>-7828</v>
      </c>
      <c r="N65" s="229">
        <v>-34816</v>
      </c>
      <c r="O65" s="229">
        <v>-56901</v>
      </c>
      <c r="P65" s="229">
        <v>-9298</v>
      </c>
      <c r="Q65" s="229">
        <v>-26177</v>
      </c>
      <c r="R65" s="229">
        <v>-39650</v>
      </c>
      <c r="S65" s="229">
        <v>-64819</v>
      </c>
      <c r="T65" s="229">
        <v>-7252</v>
      </c>
      <c r="U65" s="229">
        <v>-26609</v>
      </c>
      <c r="V65" s="229">
        <v>-43654</v>
      </c>
      <c r="W65" s="229">
        <v>-69006</v>
      </c>
      <c r="X65" s="229">
        <v>-8480</v>
      </c>
      <c r="Y65" s="229">
        <v>-32788</v>
      </c>
      <c r="Z65" s="229">
        <v>-49824</v>
      </c>
      <c r="AA65" s="229">
        <v>-76066</v>
      </c>
      <c r="AB65" s="229">
        <v>-20607</v>
      </c>
      <c r="AC65" s="43">
        <v>-37137</v>
      </c>
    </row>
    <row r="66" spans="1:29" s="165" customFormat="1" ht="13.8">
      <c r="A66" s="591" t="s">
        <v>1111</v>
      </c>
      <c r="B66" s="57" t="s">
        <v>2006</v>
      </c>
      <c r="C66" s="57"/>
      <c r="D66" s="57"/>
      <c r="E66" s="57"/>
      <c r="F66" s="57"/>
      <c r="G66" s="57"/>
      <c r="H66" s="229">
        <v>29009</v>
      </c>
      <c r="I66" s="229">
        <v>83408</v>
      </c>
      <c r="J66" s="229">
        <v>201294</v>
      </c>
      <c r="K66" s="229">
        <v>275775</v>
      </c>
      <c r="L66" s="229">
        <v>36635</v>
      </c>
      <c r="M66" s="229">
        <v>93069</v>
      </c>
      <c r="N66" s="229">
        <v>142647</v>
      </c>
      <c r="O66" s="229">
        <v>139084</v>
      </c>
      <c r="P66" s="229">
        <v>-5309</v>
      </c>
      <c r="Q66" s="229">
        <v>5834</v>
      </c>
      <c r="R66" s="229">
        <v>23382</v>
      </c>
      <c r="S66" s="229">
        <v>24100</v>
      </c>
      <c r="T66" s="229">
        <v>13454</v>
      </c>
      <c r="U66" s="229">
        <v>34571</v>
      </c>
      <c r="V66" s="229">
        <v>35905</v>
      </c>
      <c r="W66" s="229">
        <v>46147</v>
      </c>
      <c r="X66" s="229">
        <v>-14730</v>
      </c>
      <c r="Y66" s="229">
        <v>15465</v>
      </c>
      <c r="Z66" s="229">
        <v>55852</v>
      </c>
      <c r="AA66" s="229">
        <v>41934</v>
      </c>
      <c r="AB66" s="229">
        <v>-14150</v>
      </c>
      <c r="AC66" s="43">
        <v>1101</v>
      </c>
    </row>
    <row r="67" spans="1:29" s="165" customFormat="1" ht="13.8">
      <c r="A67" s="591" t="s">
        <v>1113</v>
      </c>
      <c r="B67" s="57" t="s">
        <v>2007</v>
      </c>
      <c r="C67" s="57"/>
      <c r="D67" s="57"/>
      <c r="E67" s="57"/>
      <c r="F67" s="57"/>
      <c r="G67" s="57"/>
      <c r="H67" s="229">
        <v>-311</v>
      </c>
      <c r="I67" s="229">
        <v>-331</v>
      </c>
      <c r="J67" s="229">
        <v>10028</v>
      </c>
      <c r="K67" s="229">
        <v>32417</v>
      </c>
      <c r="L67" s="229">
        <v>-3424</v>
      </c>
      <c r="M67" s="229">
        <v>-2174</v>
      </c>
      <c r="N67" s="229">
        <v>-4059</v>
      </c>
      <c r="O67" s="229">
        <v>-27752</v>
      </c>
      <c r="P67" s="229">
        <v>-10421</v>
      </c>
      <c r="Q67" s="229">
        <v>-9845</v>
      </c>
      <c r="R67" s="229">
        <v>-9957</v>
      </c>
      <c r="S67" s="229">
        <v>-29313</v>
      </c>
      <c r="T67" s="229">
        <v>-332</v>
      </c>
      <c r="U67" s="229">
        <v>-1727</v>
      </c>
      <c r="V67" s="229">
        <v>-4215</v>
      </c>
      <c r="W67" s="229">
        <v>62650.82245</v>
      </c>
      <c r="X67" s="229">
        <v>28128.913829999998</v>
      </c>
      <c r="Y67" s="229">
        <v>39344.913829999998</v>
      </c>
      <c r="Z67" s="229">
        <v>75969</v>
      </c>
      <c r="AA67" s="229">
        <v>-31233</v>
      </c>
      <c r="AB67" s="229">
        <v>24376</v>
      </c>
      <c r="AC67" s="43">
        <v>48906</v>
      </c>
    </row>
    <row r="68" spans="1:29" s="165" customFormat="1" ht="13.8">
      <c r="A68" s="591" t="s">
        <v>1425</v>
      </c>
      <c r="B68" s="57" t="s">
        <v>775</v>
      </c>
      <c r="C68" s="57"/>
      <c r="D68" s="57"/>
      <c r="E68" s="57"/>
      <c r="F68" s="57"/>
      <c r="G68" s="57"/>
      <c r="H68" s="229"/>
      <c r="I68" s="229"/>
      <c r="J68" s="229"/>
      <c r="K68" s="229"/>
      <c r="L68" s="229"/>
      <c r="M68" s="229"/>
      <c r="N68" s="229"/>
      <c r="O68" s="229"/>
      <c r="P68" s="229"/>
      <c r="Q68" s="229"/>
      <c r="R68" s="229"/>
      <c r="S68" s="229"/>
      <c r="T68" s="229"/>
      <c r="U68" s="229"/>
      <c r="V68" s="229"/>
      <c r="W68" s="229"/>
      <c r="X68" s="229"/>
      <c r="Y68" s="229">
        <v>0</v>
      </c>
      <c r="Z68" s="229">
        <v>0</v>
      </c>
      <c r="AA68" s="229">
        <v>0</v>
      </c>
      <c r="AB68" s="229">
        <v>0</v>
      </c>
      <c r="AC68" s="43" t="s">
        <v>2100</v>
      </c>
    </row>
    <row r="69" spans="1:29" s="165" customFormat="1" ht="13.8">
      <c r="A69" s="591" t="s">
        <v>1119</v>
      </c>
      <c r="B69" s="57" t="s">
        <v>1120</v>
      </c>
      <c r="C69" s="57"/>
      <c r="D69" s="57"/>
      <c r="E69" s="57"/>
      <c r="F69" s="57"/>
      <c r="G69" s="57"/>
      <c r="H69" s="229">
        <v>771</v>
      </c>
      <c r="I69" s="229">
        <v>2923</v>
      </c>
      <c r="J69" s="229">
        <v>-6090</v>
      </c>
      <c r="K69" s="229">
        <v>-3894</v>
      </c>
      <c r="L69" s="229">
        <v>-5058</v>
      </c>
      <c r="M69" s="229">
        <v>-2296</v>
      </c>
      <c r="N69" s="229">
        <v>141</v>
      </c>
      <c r="O69" s="229">
        <v>3443</v>
      </c>
      <c r="P69" s="229">
        <v>-491</v>
      </c>
      <c r="Q69" s="229">
        <v>5342</v>
      </c>
      <c r="R69" s="229">
        <v>51</v>
      </c>
      <c r="S69" s="229">
        <v>722</v>
      </c>
      <c r="T69" s="229">
        <v>8606</v>
      </c>
      <c r="U69" s="229">
        <v>27030</v>
      </c>
      <c r="V69" s="229">
        <v>33637</v>
      </c>
      <c r="W69" s="229">
        <v>26731</v>
      </c>
      <c r="X69" s="229">
        <v>-6086</v>
      </c>
      <c r="Y69" s="229">
        <v>-6336</v>
      </c>
      <c r="Z69" s="229">
        <v>-3275</v>
      </c>
      <c r="AA69" s="229">
        <v>4391</v>
      </c>
      <c r="AB69" s="229">
        <v>-3050</v>
      </c>
      <c r="AC69" s="43">
        <v>1823</v>
      </c>
    </row>
    <row r="70" spans="1:29" s="165" customFormat="1" ht="13.8">
      <c r="A70" s="591" t="s">
        <v>1117</v>
      </c>
      <c r="B70" s="57" t="s">
        <v>1118</v>
      </c>
      <c r="C70" s="57"/>
      <c r="D70" s="57"/>
      <c r="E70" s="57"/>
      <c r="F70" s="57"/>
      <c r="G70" s="57"/>
      <c r="H70" s="229">
        <v>-5806</v>
      </c>
      <c r="I70" s="229">
        <v>-16580</v>
      </c>
      <c r="J70" s="229">
        <v>-40587</v>
      </c>
      <c r="K70" s="229">
        <v>-59476</v>
      </c>
      <c r="L70" s="229">
        <v>-13920</v>
      </c>
      <c r="M70" s="229">
        <v>-27688</v>
      </c>
      <c r="N70" s="229">
        <v>-37939</v>
      </c>
      <c r="O70" s="229">
        <v>-42804</v>
      </c>
      <c r="P70" s="229">
        <v>-12571</v>
      </c>
      <c r="Q70" s="229">
        <v>-20714</v>
      </c>
      <c r="R70" s="229">
        <v>-29573</v>
      </c>
      <c r="S70" s="229">
        <v>-41204</v>
      </c>
      <c r="T70" s="229">
        <v>-15566</v>
      </c>
      <c r="U70" s="229">
        <v>-21828</v>
      </c>
      <c r="V70" s="229">
        <v>-28282</v>
      </c>
      <c r="W70" s="229">
        <v>-69819</v>
      </c>
      <c r="X70" s="229">
        <v>-27263</v>
      </c>
      <c r="Y70" s="229">
        <v>-35030</v>
      </c>
      <c r="Z70" s="229">
        <v>-59225</v>
      </c>
      <c r="AA70" s="229">
        <v>-95804</v>
      </c>
      <c r="AB70" s="229">
        <v>-8898</v>
      </c>
      <c r="AC70" s="43">
        <v>-13382</v>
      </c>
    </row>
    <row r="71" spans="1:29" s="165" customFormat="1" ht="13.8">
      <c r="A71" s="591" t="s">
        <v>1123</v>
      </c>
      <c r="B71" s="57" t="s">
        <v>2008</v>
      </c>
      <c r="C71" s="57"/>
      <c r="D71" s="57"/>
      <c r="E71" s="57"/>
      <c r="F71" s="57"/>
      <c r="G71" s="57"/>
      <c r="H71" s="229">
        <v>-916</v>
      </c>
      <c r="I71" s="229">
        <v>-26659</v>
      </c>
      <c r="J71" s="229">
        <v>-26659</v>
      </c>
      <c r="K71" s="229">
        <v>-27001</v>
      </c>
      <c r="L71" s="229">
        <v>-163</v>
      </c>
      <c r="M71" s="229">
        <v>-25860</v>
      </c>
      <c r="N71" s="229">
        <v>-26650</v>
      </c>
      <c r="O71" s="229">
        <v>-26650</v>
      </c>
      <c r="P71" s="229">
        <v>-34041</v>
      </c>
      <c r="Q71" s="229">
        <v>-41304</v>
      </c>
      <c r="R71" s="229">
        <v>-41347</v>
      </c>
      <c r="S71" s="229">
        <v>-41521</v>
      </c>
      <c r="T71" s="229">
        <v>-38487</v>
      </c>
      <c r="U71" s="229">
        <v>-49409</v>
      </c>
      <c r="V71" s="229">
        <v>-49452</v>
      </c>
      <c r="W71" s="229">
        <v>-49564</v>
      </c>
      <c r="X71" s="229">
        <v>-53022</v>
      </c>
      <c r="Y71" s="229">
        <v>-60481</v>
      </c>
      <c r="Z71" s="229">
        <v>-60483</v>
      </c>
      <c r="AA71" s="229">
        <v>-60488</v>
      </c>
      <c r="AB71" s="229">
        <v>-36</v>
      </c>
      <c r="AC71" s="43">
        <v>-68766</v>
      </c>
    </row>
    <row r="72" spans="1:29" s="165" customFormat="1" ht="13.8">
      <c r="A72" s="591" t="s">
        <v>1426</v>
      </c>
      <c r="B72" s="57" t="s">
        <v>2009</v>
      </c>
      <c r="C72" s="57"/>
      <c r="D72" s="57"/>
      <c r="E72" s="57"/>
      <c r="F72" s="57"/>
      <c r="G72" s="57"/>
      <c r="H72" s="229"/>
      <c r="I72" s="229"/>
      <c r="J72" s="229"/>
      <c r="K72" s="229"/>
      <c r="L72" s="229"/>
      <c r="M72" s="229"/>
      <c r="N72" s="229"/>
      <c r="O72" s="229"/>
      <c r="P72" s="229"/>
      <c r="Q72" s="229"/>
      <c r="R72" s="229"/>
      <c r="S72" s="229"/>
      <c r="T72" s="229"/>
      <c r="U72" s="229"/>
      <c r="V72" s="229"/>
      <c r="W72" s="229"/>
      <c r="X72" s="229"/>
      <c r="Y72" s="229">
        <v>0</v>
      </c>
      <c r="Z72" s="229">
        <v>0</v>
      </c>
      <c r="AA72" s="229">
        <v>0</v>
      </c>
      <c r="AB72" s="229">
        <v>0</v>
      </c>
      <c r="AC72" s="43" t="s">
        <v>2100</v>
      </c>
    </row>
    <row r="73" spans="1:29" s="165" customFormat="1" ht="13.8">
      <c r="A73" s="591" t="s">
        <v>1163</v>
      </c>
      <c r="B73" s="57" t="s">
        <v>2010</v>
      </c>
      <c r="C73" s="57"/>
      <c r="D73" s="57"/>
      <c r="E73" s="57"/>
      <c r="F73" s="57"/>
      <c r="G73" s="57"/>
      <c r="H73" s="229">
        <v>0</v>
      </c>
      <c r="I73" s="229">
        <v>0</v>
      </c>
      <c r="J73" s="229">
        <v>0</v>
      </c>
      <c r="K73" s="229">
        <v>-1360</v>
      </c>
      <c r="L73" s="229">
        <v>0</v>
      </c>
      <c r="M73" s="229">
        <v>0</v>
      </c>
      <c r="N73" s="229">
        <v>0</v>
      </c>
      <c r="O73" s="229">
        <v>-450</v>
      </c>
      <c r="P73" s="229">
        <v>154</v>
      </c>
      <c r="Q73" s="229">
        <v>309</v>
      </c>
      <c r="R73" s="229">
        <v>0</v>
      </c>
      <c r="S73" s="229">
        <v>-531</v>
      </c>
      <c r="T73" s="229">
        <v>0</v>
      </c>
      <c r="U73" s="229">
        <v>0</v>
      </c>
      <c r="V73" s="229">
        <v>0</v>
      </c>
      <c r="W73" s="229">
        <v>-519</v>
      </c>
      <c r="X73" s="229">
        <v>0</v>
      </c>
      <c r="Y73" s="229">
        <v>0</v>
      </c>
      <c r="Z73" s="229">
        <v>0</v>
      </c>
      <c r="AA73" s="229">
        <v>578</v>
      </c>
      <c r="AB73" s="229">
        <v>0</v>
      </c>
      <c r="AC73" s="43">
        <v>0</v>
      </c>
    </row>
    <row r="74" spans="1:29" s="165" customFormat="1" ht="13.8">
      <c r="A74" s="591" t="s">
        <v>1427</v>
      </c>
      <c r="B74" s="57" t="s">
        <v>1126</v>
      </c>
      <c r="C74" s="57"/>
      <c r="D74" s="57"/>
      <c r="E74" s="57"/>
      <c r="F74" s="57"/>
      <c r="G74" s="57"/>
      <c r="H74" s="229">
        <v>-5675</v>
      </c>
      <c r="I74" s="229">
        <v>-9501</v>
      </c>
      <c r="J74" s="229">
        <v>-11881</v>
      </c>
      <c r="K74" s="229">
        <v>-30436</v>
      </c>
      <c r="L74" s="229">
        <v>-7932</v>
      </c>
      <c r="M74" s="229">
        <v>-17424</v>
      </c>
      <c r="N74" s="229">
        <v>-29384</v>
      </c>
      <c r="O74" s="229">
        <v>-37199</v>
      </c>
      <c r="P74" s="229">
        <v>-12568</v>
      </c>
      <c r="Q74" s="229">
        <v>-20826</v>
      </c>
      <c r="R74" s="229">
        <v>-26064</v>
      </c>
      <c r="S74" s="229">
        <v>-32971</v>
      </c>
      <c r="T74" s="229">
        <v>-5823</v>
      </c>
      <c r="U74" s="229">
        <v>-12758</v>
      </c>
      <c r="V74" s="229">
        <v>-21588</v>
      </c>
      <c r="W74" s="229">
        <v>-26727</v>
      </c>
      <c r="X74" s="229">
        <v>-5320</v>
      </c>
      <c r="Y74" s="229">
        <v>-11354</v>
      </c>
      <c r="Z74" s="229">
        <v>-21470</v>
      </c>
      <c r="AA74" s="229">
        <v>-91981</v>
      </c>
      <c r="AB74" s="229">
        <v>-9795</v>
      </c>
      <c r="AC74" s="43">
        <v>-20480</v>
      </c>
    </row>
    <row r="75" spans="1:29" s="165" customFormat="1" ht="13.8">
      <c r="A75" s="591" t="s">
        <v>1265</v>
      </c>
      <c r="B75" s="57" t="s">
        <v>1266</v>
      </c>
      <c r="C75" s="57"/>
      <c r="D75" s="57"/>
      <c r="E75" s="57"/>
      <c r="F75" s="57"/>
      <c r="G75" s="57"/>
      <c r="H75" s="229">
        <v>0</v>
      </c>
      <c r="I75" s="229">
        <v>0</v>
      </c>
      <c r="J75" s="229">
        <v>0</v>
      </c>
      <c r="K75" s="229">
        <v>0</v>
      </c>
      <c r="L75" s="229">
        <v>0</v>
      </c>
      <c r="M75" s="229">
        <v>0</v>
      </c>
      <c r="N75" s="229">
        <v>0</v>
      </c>
      <c r="O75" s="229">
        <v>0</v>
      </c>
      <c r="P75" s="229">
        <v>0</v>
      </c>
      <c r="Q75" s="229">
        <v>0</v>
      </c>
      <c r="R75" s="229">
        <v>0</v>
      </c>
      <c r="S75" s="229">
        <v>0</v>
      </c>
      <c r="T75" s="229">
        <v>0</v>
      </c>
      <c r="U75" s="229">
        <v>0</v>
      </c>
      <c r="V75" s="229">
        <v>0</v>
      </c>
      <c r="W75" s="229">
        <v>0</v>
      </c>
      <c r="X75" s="229">
        <v>0</v>
      </c>
      <c r="Y75" s="229">
        <v>0</v>
      </c>
      <c r="Z75" s="229">
        <v>0</v>
      </c>
      <c r="AA75" s="229">
        <v>0</v>
      </c>
      <c r="AB75" s="229">
        <v>0</v>
      </c>
      <c r="AC75" s="43" t="s">
        <v>2100</v>
      </c>
    </row>
    <row r="76" spans="1:29" s="165" customFormat="1" ht="13.8">
      <c r="A76" s="591" t="s">
        <v>1129</v>
      </c>
      <c r="B76" s="57" t="s">
        <v>2011</v>
      </c>
      <c r="C76" s="57"/>
      <c r="D76" s="57"/>
      <c r="E76" s="57"/>
      <c r="F76" s="57"/>
      <c r="G76" s="57"/>
      <c r="H76" s="229">
        <v>-7439</v>
      </c>
      <c r="I76" s="229">
        <v>18672</v>
      </c>
      <c r="J76" s="229">
        <v>44351</v>
      </c>
      <c r="K76" s="229">
        <v>109781</v>
      </c>
      <c r="L76" s="229">
        <v>-11132</v>
      </c>
      <c r="M76" s="229">
        <v>-44127</v>
      </c>
      <c r="N76" s="229">
        <v>-31617</v>
      </c>
      <c r="O76" s="229">
        <v>-23822</v>
      </c>
      <c r="P76" s="229">
        <v>16448</v>
      </c>
      <c r="Q76" s="229">
        <v>50676</v>
      </c>
      <c r="R76" s="229">
        <v>67152</v>
      </c>
      <c r="S76" s="229">
        <v>4835</v>
      </c>
      <c r="T76" s="229">
        <v>6224</v>
      </c>
      <c r="U76" s="229">
        <v>26761</v>
      </c>
      <c r="V76" s="229">
        <v>56795</v>
      </c>
      <c r="W76" s="229">
        <v>117043</v>
      </c>
      <c r="X76" s="229">
        <v>-45919</v>
      </c>
      <c r="Y76" s="229">
        <v>-44068</v>
      </c>
      <c r="Z76" s="229">
        <v>3890</v>
      </c>
      <c r="AA76" s="229">
        <v>-12036</v>
      </c>
      <c r="AB76" s="229">
        <v>-3040</v>
      </c>
      <c r="AC76" s="43">
        <v>-14622</v>
      </c>
    </row>
    <row r="77" spans="1:29" s="165" customFormat="1" ht="13.8">
      <c r="A77" s="591" t="s">
        <v>1127</v>
      </c>
      <c r="B77" s="57" t="s">
        <v>1991</v>
      </c>
      <c r="C77" s="57"/>
      <c r="D77" s="57"/>
      <c r="E77" s="57"/>
      <c r="F77" s="57"/>
      <c r="G77" s="57"/>
      <c r="H77" s="229">
        <v>0</v>
      </c>
      <c r="I77" s="229">
        <v>0</v>
      </c>
      <c r="J77" s="229">
        <v>0</v>
      </c>
      <c r="K77" s="229">
        <v>0</v>
      </c>
      <c r="L77" s="229">
        <v>-3</v>
      </c>
      <c r="M77" s="229">
        <v>0</v>
      </c>
      <c r="N77" s="229">
        <v>0</v>
      </c>
      <c r="O77" s="229">
        <v>0</v>
      </c>
      <c r="P77" s="229">
        <v>0</v>
      </c>
      <c r="Q77" s="229">
        <v>0</v>
      </c>
      <c r="R77" s="229">
        <v>0</v>
      </c>
      <c r="S77" s="229">
        <v>0</v>
      </c>
      <c r="T77" s="229">
        <v>0</v>
      </c>
      <c r="U77" s="229">
        <v>0</v>
      </c>
      <c r="V77" s="229">
        <v>0</v>
      </c>
      <c r="W77" s="229">
        <v>0</v>
      </c>
      <c r="X77" s="229">
        <v>0</v>
      </c>
      <c r="Y77" s="229">
        <v>0</v>
      </c>
      <c r="Z77" s="229">
        <v>0</v>
      </c>
      <c r="AA77" s="229">
        <v>0</v>
      </c>
      <c r="AB77" s="229">
        <v>0</v>
      </c>
      <c r="AC77" s="43">
        <v>0</v>
      </c>
    </row>
    <row r="78" spans="1:29" s="165" customFormat="1" ht="13.8">
      <c r="A78" s="591" t="s">
        <v>1234</v>
      </c>
      <c r="B78" s="57" t="s">
        <v>2012</v>
      </c>
      <c r="C78" s="57"/>
      <c r="D78" s="57"/>
      <c r="E78" s="57"/>
      <c r="F78" s="57"/>
      <c r="G78" s="57"/>
      <c r="H78" s="229">
        <v>0</v>
      </c>
      <c r="I78" s="229">
        <v>0</v>
      </c>
      <c r="J78" s="229">
        <v>0</v>
      </c>
      <c r="K78" s="229">
        <v>0</v>
      </c>
      <c r="L78" s="229">
        <v>0</v>
      </c>
      <c r="M78" s="229">
        <v>0</v>
      </c>
      <c r="N78" s="229">
        <v>0</v>
      </c>
      <c r="O78" s="229">
        <v>0</v>
      </c>
      <c r="P78" s="229">
        <v>0</v>
      </c>
      <c r="Q78" s="229">
        <v>0</v>
      </c>
      <c r="R78" s="229">
        <v>0</v>
      </c>
      <c r="S78" s="229">
        <v>0</v>
      </c>
      <c r="T78" s="229">
        <v>0</v>
      </c>
      <c r="U78" s="229">
        <v>0</v>
      </c>
      <c r="V78" s="229">
        <v>0</v>
      </c>
      <c r="W78" s="229">
        <v>0</v>
      </c>
      <c r="X78" s="229">
        <v>0</v>
      </c>
      <c r="Y78" s="229">
        <v>0</v>
      </c>
      <c r="Z78" s="229">
        <v>0</v>
      </c>
      <c r="AA78" s="229">
        <v>0</v>
      </c>
      <c r="AB78" s="229">
        <v>0</v>
      </c>
      <c r="AC78" s="43" t="s">
        <v>2100</v>
      </c>
    </row>
    <row r="79" spans="1:29" s="165" customFormat="1" ht="13.8">
      <c r="A79" s="591" t="s">
        <v>1428</v>
      </c>
      <c r="B79" s="57" t="s">
        <v>2013</v>
      </c>
      <c r="C79" s="57"/>
      <c r="D79" s="57"/>
      <c r="E79" s="57"/>
      <c r="F79" s="57"/>
      <c r="G79" s="57"/>
      <c r="H79" s="229">
        <v>0</v>
      </c>
      <c r="I79" s="229">
        <v>0</v>
      </c>
      <c r="J79" s="229">
        <v>0</v>
      </c>
      <c r="K79" s="229">
        <v>0</v>
      </c>
      <c r="L79" s="229">
        <v>0</v>
      </c>
      <c r="M79" s="229">
        <v>0</v>
      </c>
      <c r="N79" s="229">
        <v>0</v>
      </c>
      <c r="O79" s="229">
        <v>0</v>
      </c>
      <c r="P79" s="229">
        <v>0</v>
      </c>
      <c r="Q79" s="229">
        <v>0</v>
      </c>
      <c r="R79" s="229">
        <v>0</v>
      </c>
      <c r="S79" s="229">
        <v>0</v>
      </c>
      <c r="T79" s="229">
        <v>0</v>
      </c>
      <c r="U79" s="229">
        <v>0</v>
      </c>
      <c r="V79" s="229">
        <v>0</v>
      </c>
      <c r="W79" s="229">
        <v>0</v>
      </c>
      <c r="X79" s="229">
        <v>0</v>
      </c>
      <c r="Y79" s="229">
        <v>0</v>
      </c>
      <c r="Z79" s="229">
        <v>0</v>
      </c>
      <c r="AA79" s="229">
        <v>0</v>
      </c>
      <c r="AB79" s="229">
        <v>0</v>
      </c>
      <c r="AC79" s="43" t="s">
        <v>2100</v>
      </c>
    </row>
    <row r="80" spans="1:29" s="578" customFormat="1" ht="13.8">
      <c r="A80" s="592" t="s">
        <v>1429</v>
      </c>
      <c r="B80" s="592" t="s">
        <v>2034</v>
      </c>
      <c r="C80" s="592"/>
      <c r="D80" s="592">
        <f t="shared" ref="D80:AC80" si="1">SUM(D48:D79)</f>
        <v>0</v>
      </c>
      <c r="E80" s="592">
        <f t="shared" si="1"/>
        <v>0</v>
      </c>
      <c r="F80" s="592">
        <f t="shared" si="1"/>
        <v>0</v>
      </c>
      <c r="G80" s="592">
        <f t="shared" si="1"/>
        <v>0</v>
      </c>
      <c r="H80" s="593">
        <f t="shared" si="1"/>
        <v>145339</v>
      </c>
      <c r="I80" s="593">
        <f t="shared" si="1"/>
        <v>419609</v>
      </c>
      <c r="J80" s="593">
        <f t="shared" si="1"/>
        <v>621625</v>
      </c>
      <c r="K80" s="593">
        <f t="shared" si="1"/>
        <v>806642</v>
      </c>
      <c r="L80" s="593">
        <f t="shared" si="1"/>
        <v>233324</v>
      </c>
      <c r="M80" s="593">
        <f t="shared" si="1"/>
        <v>698136</v>
      </c>
      <c r="N80" s="593">
        <f t="shared" si="1"/>
        <v>973183</v>
      </c>
      <c r="O80" s="593">
        <f t="shared" si="1"/>
        <v>1226721</v>
      </c>
      <c r="P80" s="593">
        <f t="shared" si="1"/>
        <v>58981</v>
      </c>
      <c r="Q80" s="593">
        <f t="shared" si="1"/>
        <v>243363</v>
      </c>
      <c r="R80" s="593">
        <f t="shared" si="1"/>
        <v>462559</v>
      </c>
      <c r="S80" s="593">
        <f t="shared" si="1"/>
        <v>806997</v>
      </c>
      <c r="T80" s="593">
        <f t="shared" si="1"/>
        <v>181368</v>
      </c>
      <c r="U80" s="593">
        <f t="shared" si="1"/>
        <v>488423</v>
      </c>
      <c r="V80" s="593">
        <f t="shared" si="1"/>
        <v>714707</v>
      </c>
      <c r="W80" s="593">
        <f t="shared" si="1"/>
        <v>1119003</v>
      </c>
      <c r="X80" s="593">
        <f t="shared" si="1"/>
        <v>120970.00000000003</v>
      </c>
      <c r="Y80" s="593">
        <f t="shared" si="1"/>
        <v>355905</v>
      </c>
      <c r="Z80" s="593">
        <f t="shared" si="1"/>
        <v>649785</v>
      </c>
      <c r="AA80" s="593">
        <f t="shared" si="1"/>
        <v>1060125</v>
      </c>
      <c r="AB80" s="593">
        <f t="shared" si="1"/>
        <v>260984</v>
      </c>
      <c r="AC80" s="781">
        <f t="shared" si="1"/>
        <v>485142</v>
      </c>
    </row>
    <row r="82" spans="1:29" s="165" customFormat="1" ht="13.8">
      <c r="A82" s="594" t="s">
        <v>1396</v>
      </c>
      <c r="B82" s="57" t="s">
        <v>1397</v>
      </c>
      <c r="C82" s="57"/>
      <c r="D82" s="57"/>
      <c r="E82" s="57"/>
      <c r="F82" s="57"/>
      <c r="G82" s="57"/>
      <c r="H82" s="57"/>
      <c r="I82" s="57"/>
      <c r="J82" s="57"/>
      <c r="K82" s="229"/>
      <c r="L82" s="229"/>
      <c r="M82" s="229"/>
      <c r="N82" s="229"/>
      <c r="O82" s="229"/>
      <c r="P82" s="229"/>
      <c r="Q82" s="229"/>
      <c r="R82" s="229">
        <v>92783</v>
      </c>
      <c r="S82" s="229">
        <v>118097</v>
      </c>
      <c r="T82" s="229"/>
      <c r="U82" s="229"/>
      <c r="V82" s="229">
        <v>68966</v>
      </c>
      <c r="W82" s="229">
        <v>105615</v>
      </c>
      <c r="X82" s="229">
        <v>43870</v>
      </c>
      <c r="Y82" s="229">
        <v>9240</v>
      </c>
      <c r="Z82" s="229">
        <v>87430</v>
      </c>
      <c r="AA82" s="229">
        <v>171233</v>
      </c>
      <c r="AB82" s="229">
        <v>171233</v>
      </c>
      <c r="AC82" s="43">
        <v>34950</v>
      </c>
    </row>
    <row r="83" spans="1:29" s="165" customFormat="1" ht="13.8">
      <c r="A83" s="594" t="s">
        <v>1430</v>
      </c>
      <c r="B83" s="57" t="s">
        <v>2016</v>
      </c>
      <c r="C83" s="57"/>
      <c r="D83" s="57"/>
      <c r="E83" s="57"/>
      <c r="F83" s="57"/>
      <c r="G83" s="57"/>
      <c r="H83" s="57"/>
      <c r="I83" s="57"/>
      <c r="J83" s="57"/>
      <c r="K83" s="229"/>
      <c r="L83" s="229"/>
      <c r="M83" s="229"/>
      <c r="N83" s="229"/>
      <c r="O83" s="229"/>
      <c r="P83" s="229">
        <v>-29190</v>
      </c>
      <c r="Q83" s="229">
        <v>-29190</v>
      </c>
      <c r="R83" s="229">
        <v>-87353</v>
      </c>
      <c r="S83" s="229">
        <v>-110160</v>
      </c>
      <c r="T83" s="229">
        <v>-7581</v>
      </c>
      <c r="U83" s="229">
        <v>-14143</v>
      </c>
      <c r="V83" s="229">
        <v>-25446</v>
      </c>
      <c r="W83" s="229">
        <v>-41310</v>
      </c>
      <c r="X83" s="229">
        <v>-25002</v>
      </c>
      <c r="Y83" s="229">
        <v>-41529</v>
      </c>
      <c r="Z83" s="229">
        <v>-83582</v>
      </c>
      <c r="AA83" s="229">
        <v>-143682</v>
      </c>
      <c r="AB83" s="229">
        <v>-30730</v>
      </c>
      <c r="AC83" s="43">
        <v>-56152</v>
      </c>
    </row>
    <row r="84" spans="1:29" s="165" customFormat="1" ht="13.8">
      <c r="A84" s="594" t="s">
        <v>1431</v>
      </c>
      <c r="B84" s="57" t="s">
        <v>2017</v>
      </c>
      <c r="C84" s="57"/>
      <c r="D84" s="57"/>
      <c r="E84" s="57"/>
      <c r="F84" s="57"/>
      <c r="G84" s="57"/>
      <c r="H84" s="229">
        <v>-104171</v>
      </c>
      <c r="I84" s="229">
        <v>-114146</v>
      </c>
      <c r="J84" s="229">
        <v>-144669</v>
      </c>
      <c r="K84" s="229">
        <v>-175784</v>
      </c>
      <c r="L84" s="229">
        <v>-51266</v>
      </c>
      <c r="M84" s="229">
        <v>-65664</v>
      </c>
      <c r="N84" s="229">
        <v>-137783</v>
      </c>
      <c r="O84" s="229">
        <v>-180387</v>
      </c>
      <c r="P84" s="229">
        <v>-43282</v>
      </c>
      <c r="Q84" s="229">
        <v>-83632</v>
      </c>
      <c r="R84" s="229">
        <v>-130144</v>
      </c>
      <c r="S84" s="229">
        <v>-181946</v>
      </c>
      <c r="T84" s="229">
        <v>-56728</v>
      </c>
      <c r="U84" s="229">
        <v>-128815</v>
      </c>
      <c r="V84" s="229">
        <v>-160962</v>
      </c>
      <c r="W84" s="229">
        <v>-262002</v>
      </c>
      <c r="X84" s="229">
        <v>-46230</v>
      </c>
      <c r="Y84" s="229">
        <v>-99773</v>
      </c>
      <c r="Z84" s="229">
        <v>-168628</v>
      </c>
      <c r="AA84" s="229">
        <v>-280732</v>
      </c>
      <c r="AB84" s="229">
        <v>-68883</v>
      </c>
      <c r="AC84" s="43">
        <v>-172664</v>
      </c>
    </row>
    <row r="85" spans="1:29" s="165" customFormat="1" ht="13.8">
      <c r="A85" s="595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6"/>
    </row>
    <row r="86" spans="1:29" s="578" customFormat="1" thickBot="1">
      <c r="A86" s="596" t="s">
        <v>1432</v>
      </c>
      <c r="B86" s="596" t="s">
        <v>2036</v>
      </c>
      <c r="C86" s="596"/>
      <c r="D86" s="596">
        <f>SUM(D80:D85)</f>
        <v>0</v>
      </c>
      <c r="E86" s="596">
        <f t="shared" ref="E86:Y86" si="2">SUM(E80:E85)</f>
        <v>0</v>
      </c>
      <c r="F86" s="596">
        <f t="shared" si="2"/>
        <v>0</v>
      </c>
      <c r="G86" s="596">
        <f t="shared" si="2"/>
        <v>0</v>
      </c>
      <c r="H86" s="597">
        <f t="shared" si="2"/>
        <v>41168</v>
      </c>
      <c r="I86" s="597">
        <f t="shared" si="2"/>
        <v>305463</v>
      </c>
      <c r="J86" s="597">
        <f t="shared" si="2"/>
        <v>476956</v>
      </c>
      <c r="K86" s="597">
        <f t="shared" si="2"/>
        <v>630858</v>
      </c>
      <c r="L86" s="597">
        <f t="shared" si="2"/>
        <v>182058</v>
      </c>
      <c r="M86" s="597">
        <f t="shared" si="2"/>
        <v>632472</v>
      </c>
      <c r="N86" s="597">
        <f t="shared" si="2"/>
        <v>835400</v>
      </c>
      <c r="O86" s="597">
        <f t="shared" si="2"/>
        <v>1046334</v>
      </c>
      <c r="P86" s="597">
        <f t="shared" si="2"/>
        <v>-13491</v>
      </c>
      <c r="Q86" s="597">
        <f t="shared" si="2"/>
        <v>130541</v>
      </c>
      <c r="R86" s="597">
        <f t="shared" si="2"/>
        <v>337845</v>
      </c>
      <c r="S86" s="597">
        <f t="shared" si="2"/>
        <v>632988</v>
      </c>
      <c r="T86" s="597">
        <f t="shared" si="2"/>
        <v>117059</v>
      </c>
      <c r="U86" s="597">
        <f t="shared" si="2"/>
        <v>345465</v>
      </c>
      <c r="V86" s="597">
        <f t="shared" si="2"/>
        <v>597265</v>
      </c>
      <c r="W86" s="597">
        <f t="shared" si="2"/>
        <v>921306</v>
      </c>
      <c r="X86" s="597">
        <f t="shared" si="2"/>
        <v>93608.000000000029</v>
      </c>
      <c r="Y86" s="597">
        <f t="shared" si="2"/>
        <v>223843</v>
      </c>
      <c r="Z86" s="597">
        <f t="shared" ref="Z86" si="3">SUM(Z80:Z85)</f>
        <v>485005</v>
      </c>
      <c r="AA86" s="597">
        <f t="shared" ref="AA86:AC86" si="4">SUM(AA80:AA85)</f>
        <v>806944</v>
      </c>
      <c r="AB86" s="597">
        <f t="shared" si="4"/>
        <v>332604</v>
      </c>
      <c r="AC86" s="782">
        <f t="shared" si="4"/>
        <v>291276</v>
      </c>
    </row>
    <row r="87" spans="1:29" s="165" customFormat="1" ht="13.8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229"/>
      <c r="L87" s="229"/>
      <c r="M87" s="229"/>
      <c r="N87" s="229"/>
      <c r="O87" s="229"/>
      <c r="P87" s="229"/>
      <c r="Q87" s="229"/>
      <c r="R87" s="229"/>
      <c r="S87" s="229"/>
      <c r="T87" s="229"/>
      <c r="U87" s="229"/>
      <c r="V87" s="229"/>
      <c r="W87" s="229"/>
      <c r="X87" s="229"/>
      <c r="Y87" s="229"/>
      <c r="Z87" s="229"/>
      <c r="AA87" s="229"/>
      <c r="AB87" s="229"/>
      <c r="AC87" s="43"/>
    </row>
    <row r="88" spans="1:29" s="165" customFormat="1" ht="13.8">
      <c r="A88" s="134" t="s">
        <v>1433</v>
      </c>
      <c r="B88" s="589" t="s">
        <v>2037</v>
      </c>
      <c r="C88" s="57"/>
      <c r="D88" s="57"/>
      <c r="E88" s="57"/>
      <c r="F88" s="57"/>
      <c r="G88" s="57"/>
      <c r="H88" s="57"/>
      <c r="I88" s="57"/>
      <c r="J88" s="57"/>
      <c r="K88" s="229"/>
      <c r="L88" s="229"/>
      <c r="M88" s="229"/>
      <c r="N88" s="229"/>
      <c r="O88" s="229"/>
      <c r="P88" s="229"/>
      <c r="Q88" s="229"/>
      <c r="R88" s="229"/>
      <c r="S88" s="229"/>
      <c r="T88" s="229"/>
      <c r="U88" s="229"/>
      <c r="V88" s="229"/>
      <c r="W88" s="229"/>
      <c r="X88" s="229"/>
      <c r="Y88" s="229"/>
      <c r="Z88" s="229"/>
      <c r="AA88" s="229"/>
      <c r="AB88" s="229"/>
      <c r="AC88" s="43"/>
    </row>
    <row r="89" spans="1:29" s="165" customFormat="1" ht="13.8">
      <c r="A89" s="591" t="s">
        <v>1434</v>
      </c>
      <c r="B89" s="57" t="s">
        <v>2018</v>
      </c>
      <c r="C89" s="57"/>
      <c r="D89" s="57"/>
      <c r="E89" s="57"/>
      <c r="F89" s="57"/>
      <c r="G89" s="57"/>
      <c r="H89" s="57"/>
      <c r="I89" s="57"/>
      <c r="J89" s="57"/>
      <c r="K89" s="229"/>
      <c r="L89" s="229"/>
      <c r="M89" s="229"/>
      <c r="N89" s="229"/>
      <c r="O89" s="229"/>
      <c r="P89" s="229"/>
      <c r="Q89" s="229"/>
      <c r="R89" s="229">
        <v>-658196</v>
      </c>
      <c r="S89" s="229"/>
      <c r="T89" s="229"/>
      <c r="U89" s="229">
        <v>-50</v>
      </c>
      <c r="V89" s="229"/>
      <c r="W89" s="229"/>
      <c r="X89" s="229"/>
      <c r="Y89" s="229"/>
      <c r="Z89" s="229"/>
      <c r="AA89" s="229"/>
      <c r="AB89" s="229"/>
      <c r="AC89" s="43"/>
    </row>
    <row r="90" spans="1:29" s="165" customFormat="1" ht="13.8">
      <c r="A90" s="598" t="s">
        <v>1435</v>
      </c>
      <c r="B90" s="57" t="s">
        <v>2019</v>
      </c>
      <c r="C90" s="57"/>
      <c r="D90" s="229"/>
      <c r="E90" s="229"/>
      <c r="F90" s="229"/>
      <c r="G90" s="229"/>
      <c r="H90" s="229"/>
      <c r="I90" s="229"/>
      <c r="J90" s="229"/>
      <c r="K90" s="229"/>
      <c r="L90" s="229"/>
      <c r="M90" s="229"/>
      <c r="N90" s="229"/>
      <c r="O90" s="229"/>
      <c r="P90" s="229"/>
      <c r="Q90" s="229"/>
      <c r="R90" s="229"/>
      <c r="S90" s="229"/>
      <c r="T90" s="229"/>
      <c r="U90" s="229"/>
      <c r="V90" s="229"/>
      <c r="W90" s="229"/>
      <c r="X90" s="229"/>
      <c r="Y90" s="229"/>
      <c r="Z90" s="229"/>
      <c r="AA90" s="229"/>
      <c r="AB90" s="229"/>
      <c r="AC90" s="43"/>
    </row>
    <row r="91" spans="1:29" s="165" customFormat="1" ht="13.8">
      <c r="A91" s="591" t="s">
        <v>1436</v>
      </c>
      <c r="B91" s="57" t="s">
        <v>2020</v>
      </c>
      <c r="C91" s="57"/>
      <c r="D91" s="229"/>
      <c r="E91" s="229"/>
      <c r="F91" s="229"/>
      <c r="G91" s="229"/>
      <c r="H91" s="229"/>
      <c r="I91" s="229"/>
      <c r="J91" s="229"/>
      <c r="K91" s="229"/>
      <c r="L91" s="229"/>
      <c r="M91" s="229"/>
      <c r="N91" s="229"/>
      <c r="O91" s="229"/>
      <c r="P91" s="229"/>
      <c r="Q91" s="229"/>
      <c r="R91" s="229"/>
      <c r="S91" s="229"/>
      <c r="T91" s="229"/>
      <c r="U91" s="229"/>
      <c r="V91" s="229"/>
      <c r="W91" s="229"/>
      <c r="X91" s="229"/>
      <c r="Y91" s="229"/>
      <c r="Z91" s="229"/>
      <c r="AA91" s="229"/>
      <c r="AB91" s="229"/>
      <c r="AC91" s="43"/>
    </row>
    <row r="92" spans="1:29" s="165" customFormat="1" ht="13.8">
      <c r="A92" s="591" t="s">
        <v>1437</v>
      </c>
      <c r="B92" s="57" t="s">
        <v>2021</v>
      </c>
      <c r="C92" s="57"/>
      <c r="D92" s="229"/>
      <c r="E92" s="229"/>
      <c r="F92" s="229"/>
      <c r="G92" s="229"/>
      <c r="H92" s="229">
        <v>-106663</v>
      </c>
      <c r="I92" s="229">
        <v>-140342</v>
      </c>
      <c r="J92" s="229">
        <v>-291051</v>
      </c>
      <c r="K92" s="229">
        <v>-462197</v>
      </c>
      <c r="L92" s="229">
        <v>-105898</v>
      </c>
      <c r="M92" s="229">
        <v>-327227</v>
      </c>
      <c r="N92" s="229">
        <v>-564240</v>
      </c>
      <c r="O92" s="229">
        <v>-817628</v>
      </c>
      <c r="P92" s="229">
        <v>-168702</v>
      </c>
      <c r="Q92" s="229">
        <v>-362851</v>
      </c>
      <c r="R92" s="229"/>
      <c r="S92" s="229">
        <v>-892639</v>
      </c>
      <c r="T92" s="229">
        <v>-200125</v>
      </c>
      <c r="U92" s="229">
        <v>-468030</v>
      </c>
      <c r="V92" s="229">
        <v>-738498</v>
      </c>
      <c r="W92" s="229">
        <v>-1009144</v>
      </c>
      <c r="X92" s="229">
        <v>-266223</v>
      </c>
      <c r="Y92" s="229">
        <v>-518310</v>
      </c>
      <c r="Z92" s="229">
        <v>-799405</v>
      </c>
      <c r="AA92" s="229">
        <v>-870167</v>
      </c>
      <c r="AB92" s="229">
        <v>-233521</v>
      </c>
      <c r="AC92" s="43">
        <v>-522530</v>
      </c>
    </row>
    <row r="93" spans="1:29" s="165" customFormat="1" ht="13.8">
      <c r="A93" s="591" t="s">
        <v>1438</v>
      </c>
      <c r="B93" s="57" t="s">
        <v>2022</v>
      </c>
      <c r="C93" s="57"/>
      <c r="D93" s="229"/>
      <c r="E93" s="229"/>
      <c r="F93" s="229"/>
      <c r="G93" s="229"/>
      <c r="H93" s="229"/>
      <c r="I93" s="229"/>
      <c r="J93" s="229"/>
      <c r="K93" s="229"/>
      <c r="L93" s="229"/>
      <c r="M93" s="229"/>
      <c r="N93" s="229"/>
      <c r="O93" s="229"/>
      <c r="P93" s="229"/>
      <c r="Q93" s="229"/>
      <c r="R93" s="229"/>
      <c r="S93" s="229"/>
      <c r="T93" s="229"/>
      <c r="U93" s="229"/>
      <c r="V93" s="229"/>
      <c r="W93" s="229"/>
      <c r="X93" s="229"/>
      <c r="Y93" s="229"/>
      <c r="Z93" s="229"/>
      <c r="AA93" s="229"/>
      <c r="AB93" s="229"/>
      <c r="AC93" s="43"/>
    </row>
    <row r="94" spans="1:29" s="165" customFormat="1" ht="13.8">
      <c r="A94" s="591" t="s">
        <v>1439</v>
      </c>
      <c r="B94" s="57" t="s">
        <v>2023</v>
      </c>
      <c r="C94" s="57"/>
      <c r="D94" s="229"/>
      <c r="E94" s="229"/>
      <c r="F94" s="229"/>
      <c r="G94" s="229"/>
      <c r="H94" s="229"/>
      <c r="I94" s="229"/>
      <c r="J94" s="229"/>
      <c r="K94" s="229"/>
      <c r="L94" s="229"/>
      <c r="M94" s="229"/>
      <c r="N94" s="229"/>
      <c r="O94" s="229"/>
      <c r="P94" s="229"/>
      <c r="Q94" s="229"/>
      <c r="R94" s="229"/>
      <c r="S94" s="229"/>
      <c r="T94" s="229"/>
      <c r="U94" s="229"/>
      <c r="V94" s="229"/>
      <c r="W94" s="229"/>
      <c r="X94" s="229"/>
      <c r="Y94" s="229"/>
      <c r="Z94" s="229"/>
      <c r="AA94" s="229"/>
      <c r="AB94" s="229"/>
      <c r="AC94" s="43"/>
    </row>
    <row r="95" spans="1:29" s="165" customFormat="1" ht="13.8">
      <c r="A95" s="591" t="s">
        <v>1440</v>
      </c>
      <c r="B95" s="57" t="s">
        <v>2024</v>
      </c>
      <c r="C95" s="57"/>
      <c r="D95" s="229"/>
      <c r="E95" s="229"/>
      <c r="F95" s="229"/>
      <c r="G95" s="229"/>
      <c r="H95" s="229"/>
      <c r="I95" s="229"/>
      <c r="J95" s="229"/>
      <c r="K95" s="229"/>
      <c r="L95" s="229"/>
      <c r="M95" s="229"/>
      <c r="N95" s="229"/>
      <c r="O95" s="229"/>
      <c r="P95" s="229"/>
      <c r="Q95" s="229"/>
      <c r="R95" s="229"/>
      <c r="S95" s="229"/>
      <c r="T95" s="229"/>
      <c r="U95" s="229"/>
      <c r="V95" s="229"/>
      <c r="W95" s="229"/>
      <c r="X95" s="229"/>
      <c r="Y95" s="229"/>
      <c r="Z95" s="229"/>
      <c r="AA95" s="229"/>
      <c r="AB95" s="229"/>
      <c r="AC95" s="43"/>
    </row>
    <row r="96" spans="1:29" s="165" customFormat="1" ht="13.8">
      <c r="A96" s="591" t="s">
        <v>1441</v>
      </c>
      <c r="B96" s="57" t="s">
        <v>2025</v>
      </c>
      <c r="C96" s="57"/>
      <c r="D96" s="229"/>
      <c r="E96" s="229"/>
      <c r="F96" s="229"/>
      <c r="G96" s="229"/>
      <c r="H96" s="229"/>
      <c r="I96" s="229"/>
      <c r="J96" s="229"/>
      <c r="K96" s="229"/>
      <c r="L96" s="229"/>
      <c r="M96" s="229"/>
      <c r="N96" s="229"/>
      <c r="O96" s="229"/>
      <c r="P96" s="229"/>
      <c r="Q96" s="229"/>
      <c r="R96" s="229"/>
      <c r="S96" s="229"/>
      <c r="T96" s="229"/>
      <c r="U96" s="229"/>
      <c r="V96" s="229"/>
      <c r="W96" s="229"/>
      <c r="X96" s="229"/>
      <c r="Y96" s="229"/>
      <c r="Z96" s="229"/>
      <c r="AA96" s="229"/>
      <c r="AB96" s="229"/>
      <c r="AC96" s="43"/>
    </row>
    <row r="97" spans="1:29" s="165" customFormat="1" ht="13.8">
      <c r="A97" s="591" t="s">
        <v>1442</v>
      </c>
      <c r="B97" s="57" t="s">
        <v>2026</v>
      </c>
      <c r="C97" s="57"/>
      <c r="D97" s="229"/>
      <c r="E97" s="229"/>
      <c r="F97" s="229"/>
      <c r="G97" s="229"/>
      <c r="H97" s="229"/>
      <c r="I97" s="229"/>
      <c r="J97" s="229"/>
      <c r="K97" s="229"/>
      <c r="L97" s="229"/>
      <c r="M97" s="229"/>
      <c r="N97" s="229"/>
      <c r="O97" s="229"/>
      <c r="P97" s="229"/>
      <c r="Q97" s="229"/>
      <c r="R97" s="229"/>
      <c r="S97" s="229"/>
      <c r="T97" s="229"/>
      <c r="U97" s="229"/>
      <c r="V97" s="229"/>
      <c r="W97" s="229"/>
      <c r="X97" s="229"/>
      <c r="Y97" s="229"/>
      <c r="Z97" s="229"/>
      <c r="AA97" s="229"/>
      <c r="AB97" s="229"/>
      <c r="AC97" s="43"/>
    </row>
    <row r="98" spans="1:29" s="165" customFormat="1" ht="13.8">
      <c r="A98" s="591" t="s">
        <v>1443</v>
      </c>
      <c r="B98" s="57" t="s">
        <v>2028</v>
      </c>
      <c r="C98" s="57"/>
      <c r="D98" s="229"/>
      <c r="E98" s="229"/>
      <c r="F98" s="229"/>
      <c r="G98" s="229"/>
      <c r="H98" s="229"/>
      <c r="I98" s="229"/>
      <c r="J98" s="229"/>
      <c r="K98" s="229"/>
      <c r="L98" s="229"/>
      <c r="M98" s="229"/>
      <c r="N98" s="229"/>
      <c r="O98" s="229"/>
      <c r="P98" s="229"/>
      <c r="Q98" s="229"/>
      <c r="R98" s="229"/>
      <c r="S98" s="229"/>
      <c r="T98" s="229"/>
      <c r="U98" s="229"/>
      <c r="V98" s="229"/>
      <c r="W98" s="229"/>
      <c r="X98" s="229"/>
      <c r="Y98" s="229"/>
      <c r="Z98" s="229"/>
      <c r="AA98" s="229"/>
      <c r="AB98" s="229"/>
      <c r="AC98" s="43"/>
    </row>
    <row r="99" spans="1:29" s="165" customFormat="1" ht="13.8">
      <c r="A99" s="591" t="s">
        <v>1444</v>
      </c>
      <c r="B99" s="57" t="s">
        <v>2029</v>
      </c>
      <c r="C99" s="57"/>
      <c r="D99" s="229"/>
      <c r="E99" s="229"/>
      <c r="F99" s="229"/>
      <c r="G99" s="229"/>
      <c r="H99" s="229"/>
      <c r="I99" s="229"/>
      <c r="J99" s="229"/>
      <c r="K99" s="229"/>
      <c r="L99" s="229"/>
      <c r="M99" s="229"/>
      <c r="N99" s="229"/>
      <c r="O99" s="229"/>
      <c r="P99" s="229"/>
      <c r="Q99" s="229"/>
      <c r="R99" s="229"/>
      <c r="S99" s="229"/>
      <c r="T99" s="229"/>
      <c r="U99" s="229"/>
      <c r="V99" s="229"/>
      <c r="W99" s="229"/>
      <c r="X99" s="229"/>
      <c r="Y99" s="229"/>
      <c r="Z99" s="229"/>
      <c r="AA99" s="229"/>
      <c r="AB99" s="229"/>
      <c r="AC99" s="43"/>
    </row>
    <row r="100" spans="1:29" s="165" customFormat="1" ht="13.8">
      <c r="A100" s="591" t="s">
        <v>1445</v>
      </c>
      <c r="B100" s="57" t="s">
        <v>2027</v>
      </c>
      <c r="C100" s="57"/>
      <c r="D100" s="229"/>
      <c r="E100" s="229"/>
      <c r="F100" s="229"/>
      <c r="G100" s="229"/>
      <c r="H100" s="229"/>
      <c r="I100" s="229"/>
      <c r="J100" s="229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 s="229"/>
      <c r="W100" s="229"/>
      <c r="X100" s="229"/>
      <c r="Y100" s="229"/>
      <c r="Z100" s="229"/>
      <c r="AA100" s="229"/>
      <c r="AB100" s="229"/>
      <c r="AC100" s="43"/>
    </row>
    <row r="101" spans="1:29" s="165" customFormat="1" ht="13.8">
      <c r="A101" s="591" t="s">
        <v>1446</v>
      </c>
      <c r="B101" s="57" t="s">
        <v>2030</v>
      </c>
      <c r="C101" s="57"/>
      <c r="D101" s="229"/>
      <c r="E101" s="229"/>
      <c r="F101" s="229"/>
      <c r="G101" s="229"/>
      <c r="H101" s="229"/>
      <c r="I101" s="229"/>
      <c r="J101" s="229"/>
      <c r="K101" s="229"/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W101" s="229"/>
      <c r="X101" s="229"/>
      <c r="Y101" s="229"/>
      <c r="Z101" s="229"/>
      <c r="AA101" s="229"/>
      <c r="AB101" s="229"/>
      <c r="AC101" s="43"/>
    </row>
    <row r="102" spans="1:29" s="165" customFormat="1" ht="13.8">
      <c r="A102" s="591" t="s">
        <v>1447</v>
      </c>
      <c r="B102" s="57" t="s">
        <v>2031</v>
      </c>
      <c r="C102" s="57"/>
      <c r="D102" s="229"/>
      <c r="E102" s="229"/>
      <c r="F102" s="229"/>
      <c r="G102" s="229"/>
      <c r="H102" s="229"/>
      <c r="I102" s="229"/>
      <c r="J102" s="229"/>
      <c r="K102" s="229"/>
      <c r="L102" s="229"/>
      <c r="M102" s="229"/>
      <c r="N102" s="229"/>
      <c r="O102" s="229"/>
      <c r="P102" s="229"/>
      <c r="Q102" s="229"/>
      <c r="R102" s="229"/>
      <c r="S102" s="229"/>
      <c r="T102" s="229"/>
      <c r="U102" s="229"/>
      <c r="V102" s="229"/>
      <c r="W102" s="229"/>
      <c r="X102" s="229"/>
      <c r="Y102" s="229"/>
      <c r="Z102" s="229"/>
      <c r="AA102" s="229"/>
      <c r="AB102" s="229"/>
      <c r="AC102" s="43"/>
    </row>
    <row r="103" spans="1:29" s="165" customFormat="1" ht="13.8">
      <c r="A103" s="591" t="s">
        <v>1448</v>
      </c>
      <c r="B103" s="57" t="s">
        <v>2032</v>
      </c>
      <c r="C103" s="57"/>
      <c r="D103" s="229"/>
      <c r="E103" s="229"/>
      <c r="F103" s="229"/>
      <c r="G103" s="229"/>
      <c r="H103" s="229"/>
      <c r="I103" s="229"/>
      <c r="J103" s="229"/>
      <c r="K103" s="229"/>
      <c r="L103" s="229"/>
      <c r="M103" s="229"/>
      <c r="N103" s="229"/>
      <c r="O103" s="229"/>
      <c r="P103" s="229"/>
      <c r="Q103" s="229"/>
      <c r="R103" s="229"/>
      <c r="S103" s="229"/>
      <c r="T103" s="229"/>
      <c r="U103" s="229"/>
      <c r="V103" s="229"/>
      <c r="W103" s="229"/>
      <c r="X103" s="229"/>
      <c r="Y103" s="229"/>
      <c r="Z103" s="229"/>
      <c r="AA103" s="229"/>
      <c r="AB103" s="229"/>
      <c r="AC103" s="43"/>
    </row>
    <row r="104" spans="1:29" s="165" customFormat="1" ht="13.8">
      <c r="A104" s="591" t="s">
        <v>1449</v>
      </c>
      <c r="B104" s="57" t="s">
        <v>2033</v>
      </c>
      <c r="C104" s="57"/>
      <c r="D104" s="229"/>
      <c r="E104" s="229"/>
      <c r="F104" s="229"/>
      <c r="G104" s="229"/>
      <c r="H104" s="229">
        <v>412108</v>
      </c>
      <c r="I104" s="229">
        <v>703904</v>
      </c>
      <c r="J104" s="229">
        <v>730463</v>
      </c>
      <c r="K104" s="229">
        <v>714289</v>
      </c>
      <c r="L104" s="229">
        <v>-34708</v>
      </c>
      <c r="M104" s="229">
        <v>-313432</v>
      </c>
      <c r="N104" s="229">
        <v>206217</v>
      </c>
      <c r="O104" s="229">
        <v>-99427</v>
      </c>
      <c r="P104" s="229">
        <v>208934</v>
      </c>
      <c r="Q104" s="229">
        <v>306327</v>
      </c>
      <c r="R104" s="229">
        <v>432262</v>
      </c>
      <c r="S104" s="229">
        <v>294493</v>
      </c>
      <c r="T104" s="229">
        <v>65325</v>
      </c>
      <c r="U104" s="229">
        <v>-14950</v>
      </c>
      <c r="V104" s="229">
        <v>89847</v>
      </c>
      <c r="W104" s="229">
        <v>-801713</v>
      </c>
      <c r="X104" s="229">
        <v>399351</v>
      </c>
      <c r="Y104" s="229">
        <v>833056</v>
      </c>
      <c r="Z104" s="229">
        <v>643702</v>
      </c>
      <c r="AA104" s="229">
        <v>868638</v>
      </c>
      <c r="AB104" s="229">
        <v>-76783</v>
      </c>
      <c r="AC104" s="43">
        <v>200921</v>
      </c>
    </row>
    <row r="105" spans="1:29" s="578" customFormat="1" thickBot="1">
      <c r="A105" s="596" t="s">
        <v>1450</v>
      </c>
      <c r="B105" s="596" t="s">
        <v>2038</v>
      </c>
      <c r="C105" s="596"/>
      <c r="D105" s="597">
        <f>SUM(D88:D104)</f>
        <v>0</v>
      </c>
      <c r="E105" s="597">
        <f t="shared" ref="E105:Y105" si="5">SUM(E88:E104)</f>
        <v>0</v>
      </c>
      <c r="F105" s="597">
        <f t="shared" si="5"/>
        <v>0</v>
      </c>
      <c r="G105" s="597">
        <f t="shared" si="5"/>
        <v>0</v>
      </c>
      <c r="H105" s="597">
        <f t="shared" si="5"/>
        <v>305445</v>
      </c>
      <c r="I105" s="597">
        <f t="shared" si="5"/>
        <v>563562</v>
      </c>
      <c r="J105" s="597">
        <f t="shared" si="5"/>
        <v>439412</v>
      </c>
      <c r="K105" s="597">
        <f t="shared" si="5"/>
        <v>252092</v>
      </c>
      <c r="L105" s="597">
        <f t="shared" si="5"/>
        <v>-140606</v>
      </c>
      <c r="M105" s="597">
        <f t="shared" si="5"/>
        <v>-640659</v>
      </c>
      <c r="N105" s="597">
        <f t="shared" si="5"/>
        <v>-358023</v>
      </c>
      <c r="O105" s="597">
        <f t="shared" si="5"/>
        <v>-917055</v>
      </c>
      <c r="P105" s="597">
        <f t="shared" si="5"/>
        <v>40232</v>
      </c>
      <c r="Q105" s="597">
        <f t="shared" si="5"/>
        <v>-56524</v>
      </c>
      <c r="R105" s="597">
        <f t="shared" si="5"/>
        <v>-225934</v>
      </c>
      <c r="S105" s="597">
        <f t="shared" si="5"/>
        <v>-598146</v>
      </c>
      <c r="T105" s="597">
        <f t="shared" si="5"/>
        <v>-134800</v>
      </c>
      <c r="U105" s="597">
        <f t="shared" si="5"/>
        <v>-483030</v>
      </c>
      <c r="V105" s="597">
        <f t="shared" si="5"/>
        <v>-648651</v>
      </c>
      <c r="W105" s="597">
        <f t="shared" si="5"/>
        <v>-1810857</v>
      </c>
      <c r="X105" s="597">
        <f t="shared" si="5"/>
        <v>133128</v>
      </c>
      <c r="Y105" s="597">
        <f t="shared" si="5"/>
        <v>314746</v>
      </c>
      <c r="Z105" s="597">
        <f t="shared" ref="Z105" si="6">SUM(Z88:Z104)</f>
        <v>-155703</v>
      </c>
      <c r="AA105" s="597">
        <f t="shared" ref="AA105:AB105" si="7">SUM(AA88:AA104)</f>
        <v>-1529</v>
      </c>
      <c r="AB105" s="597">
        <f t="shared" si="7"/>
        <v>-310304</v>
      </c>
      <c r="AC105" s="782">
        <f>SUM(AC88:AC104)</f>
        <v>-321609</v>
      </c>
    </row>
    <row r="106" spans="1:29" s="165" customFormat="1" ht="13.8">
      <c r="A106" s="57"/>
      <c r="B106" s="57"/>
      <c r="C106" s="57"/>
      <c r="D106" s="229"/>
      <c r="E106" s="229"/>
      <c r="F106" s="229"/>
      <c r="G106" s="229"/>
      <c r="H106" s="229"/>
      <c r="I106" s="229"/>
      <c r="J106" s="229"/>
      <c r="K106" s="229"/>
      <c r="L106" s="229"/>
      <c r="M106" s="229"/>
      <c r="N106" s="229"/>
      <c r="O106" s="229"/>
      <c r="P106" s="229"/>
      <c r="Q106" s="229"/>
      <c r="R106" s="229"/>
      <c r="S106" s="229"/>
      <c r="T106" s="229"/>
      <c r="U106" s="229"/>
      <c r="V106" s="229"/>
      <c r="W106" s="229"/>
      <c r="X106" s="229"/>
      <c r="Y106" s="229"/>
      <c r="Z106" s="229"/>
      <c r="AA106" s="229"/>
      <c r="AB106" s="229"/>
      <c r="AC106" s="43"/>
    </row>
    <row r="107" spans="1:29" s="165" customFormat="1" ht="13.8">
      <c r="A107" s="134" t="s">
        <v>1451</v>
      </c>
      <c r="B107" s="589" t="s">
        <v>2039</v>
      </c>
      <c r="C107" s="57"/>
      <c r="D107" s="229"/>
      <c r="E107" s="229"/>
      <c r="F107" s="229"/>
      <c r="G107" s="229"/>
      <c r="H107" s="229"/>
      <c r="I107" s="229"/>
      <c r="J107" s="229"/>
      <c r="K107" s="229"/>
      <c r="L107" s="229"/>
      <c r="M107" s="229"/>
      <c r="N107" s="229"/>
      <c r="O107" s="229"/>
      <c r="P107" s="229"/>
      <c r="Q107" s="229"/>
      <c r="R107" s="229"/>
      <c r="S107" s="229"/>
      <c r="T107" s="229"/>
      <c r="U107" s="229"/>
      <c r="V107" s="229"/>
      <c r="W107" s="229"/>
      <c r="X107" s="229"/>
      <c r="Y107" s="229"/>
      <c r="Z107" s="229"/>
      <c r="AA107" s="229"/>
      <c r="AB107" s="229"/>
      <c r="AC107" s="43"/>
    </row>
    <row r="108" spans="1:29" s="165" customFormat="1" ht="13.8">
      <c r="A108" s="591" t="s">
        <v>1452</v>
      </c>
      <c r="B108" s="57" t="s">
        <v>2040</v>
      </c>
      <c r="C108" s="57"/>
      <c r="D108" s="229"/>
      <c r="E108" s="229"/>
      <c r="F108" s="229"/>
      <c r="G108" s="229"/>
      <c r="H108" s="229">
        <v>-838819</v>
      </c>
      <c r="I108" s="229">
        <v>-857987</v>
      </c>
      <c r="J108" s="229">
        <v>-881485</v>
      </c>
      <c r="K108" s="229">
        <v>-907905</v>
      </c>
      <c r="L108" s="229">
        <v>-26995</v>
      </c>
      <c r="M108" s="229">
        <v>-54628</v>
      </c>
      <c r="N108" s="229">
        <v>-82598</v>
      </c>
      <c r="O108" s="229">
        <v>-110490</v>
      </c>
      <c r="P108" s="229">
        <v>-28201</v>
      </c>
      <c r="Q108" s="229">
        <v>-56861</v>
      </c>
      <c r="R108" s="229">
        <v>-82010</v>
      </c>
      <c r="S108" s="229">
        <v>-105510</v>
      </c>
      <c r="T108" s="229">
        <v>-205878</v>
      </c>
      <c r="U108" s="229">
        <v>-254090</v>
      </c>
      <c r="V108" s="229">
        <v>-302734</v>
      </c>
      <c r="W108" s="229">
        <v>-351705</v>
      </c>
      <c r="X108" s="229">
        <v>-235754</v>
      </c>
      <c r="Y108" s="229">
        <v>-744920</v>
      </c>
      <c r="Z108" s="229">
        <v>-801599</v>
      </c>
      <c r="AA108" s="229">
        <v>-852450</v>
      </c>
      <c r="AB108" s="229">
        <v>-50994</v>
      </c>
      <c r="AC108" s="43">
        <v>-102932</v>
      </c>
    </row>
    <row r="109" spans="1:29" s="165" customFormat="1" ht="13.8">
      <c r="A109" s="591" t="s">
        <v>1453</v>
      </c>
      <c r="B109" s="57" t="s">
        <v>2041</v>
      </c>
      <c r="C109" s="57"/>
      <c r="D109" s="229"/>
      <c r="E109" s="229"/>
      <c r="F109" s="229"/>
      <c r="G109" s="229"/>
      <c r="H109" s="229">
        <v>456623</v>
      </c>
      <c r="I109" s="229">
        <v>452853</v>
      </c>
      <c r="J109" s="229">
        <v>624223</v>
      </c>
      <c r="K109" s="229">
        <v>764184</v>
      </c>
      <c r="L109" s="229"/>
      <c r="M109" s="229">
        <v>220000</v>
      </c>
      <c r="N109" s="229">
        <v>220000</v>
      </c>
      <c r="O109" s="229">
        <v>540245</v>
      </c>
      <c r="P109" s="229"/>
      <c r="Q109" s="229">
        <v>182884</v>
      </c>
      <c r="R109" s="229">
        <v>218556</v>
      </c>
      <c r="S109" s="229">
        <v>611654</v>
      </c>
      <c r="T109" s="229"/>
      <c r="U109" s="229">
        <v>500000</v>
      </c>
      <c r="V109" s="229">
        <v>0</v>
      </c>
      <c r="W109" s="229">
        <v>420000</v>
      </c>
      <c r="X109" s="229">
        <v>293143</v>
      </c>
      <c r="Y109" s="229">
        <v>713143</v>
      </c>
      <c r="Z109" s="229">
        <v>708690</v>
      </c>
      <c r="AA109" s="229">
        <v>708691</v>
      </c>
      <c r="AB109" s="229">
        <v>262000</v>
      </c>
      <c r="AC109" s="43">
        <v>258137</v>
      </c>
    </row>
    <row r="110" spans="1:29" s="165" customFormat="1" ht="13.8">
      <c r="A110" s="591" t="s">
        <v>1454</v>
      </c>
      <c r="B110" s="57" t="s">
        <v>2042</v>
      </c>
      <c r="C110" s="57"/>
      <c r="D110" s="229"/>
      <c r="E110" s="229"/>
      <c r="F110" s="229"/>
      <c r="G110" s="229"/>
      <c r="H110" s="229"/>
      <c r="I110" s="229"/>
      <c r="J110" s="229"/>
      <c r="K110" s="229">
        <v>0</v>
      </c>
      <c r="L110" s="229"/>
      <c r="M110" s="229">
        <v>299488</v>
      </c>
      <c r="N110" s="229">
        <v>299488</v>
      </c>
      <c r="O110" s="229">
        <v>298721</v>
      </c>
      <c r="P110" s="229"/>
      <c r="Q110" s="229"/>
      <c r="R110" s="229"/>
      <c r="S110" s="229">
        <v>291526</v>
      </c>
      <c r="T110" s="229"/>
      <c r="U110" s="229"/>
      <c r="V110" s="229">
        <v>500000</v>
      </c>
      <c r="W110" s="229">
        <v>1027196</v>
      </c>
      <c r="X110" s="229">
        <v>-300000</v>
      </c>
      <c r="Y110" s="229"/>
      <c r="Z110" s="229"/>
      <c r="AA110" s="229"/>
      <c r="AB110" s="229"/>
      <c r="AC110" s="43"/>
    </row>
    <row r="111" spans="1:29" s="165" customFormat="1" ht="13.8">
      <c r="A111" s="591" t="s">
        <v>1455</v>
      </c>
      <c r="B111" s="57" t="s">
        <v>2043</v>
      </c>
      <c r="C111" s="57"/>
      <c r="D111" s="229"/>
      <c r="E111" s="229"/>
      <c r="F111" s="229"/>
      <c r="G111" s="229"/>
      <c r="H111" s="229"/>
      <c r="I111" s="229"/>
      <c r="J111" s="229"/>
      <c r="K111" s="229">
        <v>-194079</v>
      </c>
      <c r="L111" s="229"/>
      <c r="M111" s="229"/>
      <c r="N111" s="229">
        <v>-500000</v>
      </c>
      <c r="O111" s="229">
        <v>-500000</v>
      </c>
      <c r="P111" s="229"/>
      <c r="Q111" s="229"/>
      <c r="R111" s="229"/>
      <c r="S111" s="229">
        <v>-162318</v>
      </c>
      <c r="T111" s="229"/>
      <c r="U111" s="229"/>
      <c r="V111" s="229"/>
      <c r="W111" s="229"/>
      <c r="X111" s="229"/>
      <c r="Y111" s="229">
        <v>-300000</v>
      </c>
      <c r="Z111" s="229">
        <v>-300000</v>
      </c>
      <c r="AA111" s="229">
        <v>-300000</v>
      </c>
      <c r="AB111" s="229"/>
      <c r="AC111" s="43"/>
    </row>
    <row r="112" spans="1:29" s="165" customFormat="1" ht="13.8">
      <c r="A112" s="591" t="s">
        <v>1456</v>
      </c>
      <c r="B112" s="57" t="s">
        <v>2045</v>
      </c>
      <c r="C112" s="57"/>
      <c r="D112" s="229"/>
      <c r="E112" s="229"/>
      <c r="F112" s="229"/>
      <c r="G112" s="229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29"/>
      <c r="X112" s="229"/>
      <c r="Y112" s="229"/>
      <c r="Z112" s="229"/>
      <c r="AA112" s="229"/>
      <c r="AB112" s="229"/>
      <c r="AC112" s="43"/>
    </row>
    <row r="113" spans="1:29" s="165" customFormat="1" ht="13.8">
      <c r="A113" s="591" t="s">
        <v>1457</v>
      </c>
      <c r="B113" s="57" t="s">
        <v>2044</v>
      </c>
      <c r="C113" s="57"/>
      <c r="D113" s="229"/>
      <c r="E113" s="229"/>
      <c r="F113" s="229"/>
      <c r="G113" s="229"/>
      <c r="H113" s="229">
        <v>-725</v>
      </c>
      <c r="I113" s="229">
        <v>-2049</v>
      </c>
      <c r="J113" s="229">
        <v>-1729</v>
      </c>
      <c r="K113" s="229">
        <v>-2249</v>
      </c>
      <c r="L113" s="229">
        <v>-242</v>
      </c>
      <c r="M113" s="229">
        <v>-736</v>
      </c>
      <c r="N113" s="229">
        <v>-935</v>
      </c>
      <c r="O113" s="229">
        <v>-1175</v>
      </c>
      <c r="P113" s="229">
        <v>-195</v>
      </c>
      <c r="Q113" s="229">
        <v>-366</v>
      </c>
      <c r="R113" s="229">
        <v>-521</v>
      </c>
      <c r="S113" s="229">
        <v>-585</v>
      </c>
      <c r="T113" s="229">
        <v>-91</v>
      </c>
      <c r="U113" s="229">
        <v>-180</v>
      </c>
      <c r="V113" s="229">
        <v>-266</v>
      </c>
      <c r="W113" s="229">
        <v>338</v>
      </c>
      <c r="X113" s="229">
        <v>-71</v>
      </c>
      <c r="Y113" s="229">
        <v>-140</v>
      </c>
      <c r="Z113" s="229">
        <v>-199</v>
      </c>
      <c r="AA113" s="229">
        <v>-234</v>
      </c>
      <c r="AB113" s="229">
        <v>-433</v>
      </c>
      <c r="AC113" s="43">
        <v>-539</v>
      </c>
    </row>
    <row r="114" spans="1:29" s="165" customFormat="1" ht="13.8">
      <c r="A114" s="591" t="s">
        <v>1458</v>
      </c>
      <c r="B114" s="57" t="s">
        <v>2045</v>
      </c>
      <c r="C114" s="57"/>
      <c r="D114" s="229"/>
      <c r="E114" s="229"/>
      <c r="F114" s="229"/>
      <c r="G114" s="229"/>
      <c r="H114" s="229"/>
      <c r="I114" s="229"/>
      <c r="J114" s="229"/>
      <c r="K114" s="229"/>
      <c r="L114" s="229"/>
      <c r="M114" s="229"/>
      <c r="N114" s="229"/>
      <c r="O114" s="229"/>
      <c r="P114" s="229"/>
      <c r="Q114" s="229"/>
      <c r="R114" s="229"/>
      <c r="S114" s="229"/>
      <c r="T114" s="229"/>
      <c r="U114" s="229"/>
      <c r="V114" s="229"/>
      <c r="W114" s="229"/>
      <c r="X114" s="229"/>
      <c r="Y114" s="229"/>
      <c r="Z114" s="229"/>
      <c r="AA114" s="229"/>
      <c r="AB114" s="229"/>
      <c r="AC114" s="43"/>
    </row>
    <row r="115" spans="1:29" s="165" customFormat="1" ht="13.8">
      <c r="A115" s="591" t="s">
        <v>1459</v>
      </c>
      <c r="B115" s="57" t="s">
        <v>2046</v>
      </c>
      <c r="C115" s="57"/>
      <c r="D115" s="229"/>
      <c r="E115" s="229"/>
      <c r="F115" s="229"/>
      <c r="G115" s="229"/>
      <c r="H115" s="229"/>
      <c r="I115" s="229"/>
      <c r="J115" s="229"/>
      <c r="K115" s="229"/>
      <c r="L115" s="229"/>
      <c r="M115" s="229"/>
      <c r="N115" s="229"/>
      <c r="O115" s="229"/>
      <c r="P115" s="229"/>
      <c r="Q115" s="229"/>
      <c r="R115" s="229"/>
      <c r="S115" s="229"/>
      <c r="T115" s="229"/>
      <c r="U115" s="229"/>
      <c r="V115" s="229"/>
      <c r="W115" s="229"/>
      <c r="X115" s="229"/>
      <c r="Y115" s="229"/>
      <c r="Z115" s="229"/>
      <c r="AA115" s="229"/>
      <c r="AB115" s="229"/>
      <c r="AC115" s="43"/>
    </row>
    <row r="116" spans="1:29" s="165" customFormat="1" ht="13.8">
      <c r="A116" s="591" t="s">
        <v>1460</v>
      </c>
      <c r="B116" s="57" t="s">
        <v>2047</v>
      </c>
      <c r="C116" s="57"/>
      <c r="D116" s="229"/>
      <c r="E116" s="229"/>
      <c r="F116" s="229"/>
      <c r="G116" s="229"/>
      <c r="H116" s="229"/>
      <c r="I116" s="229"/>
      <c r="J116" s="229"/>
      <c r="K116" s="229"/>
      <c r="L116" s="229"/>
      <c r="M116" s="229"/>
      <c r="N116" s="229"/>
      <c r="O116" s="229"/>
      <c r="P116" s="229"/>
      <c r="Q116" s="229"/>
      <c r="R116" s="229"/>
      <c r="S116" s="229"/>
      <c r="T116" s="229"/>
      <c r="U116" s="229"/>
      <c r="V116" s="229"/>
      <c r="W116" s="229"/>
      <c r="X116" s="229"/>
      <c r="Y116" s="229"/>
      <c r="Z116" s="229"/>
      <c r="AA116" s="229"/>
      <c r="AB116" s="229"/>
      <c r="AC116" s="43"/>
    </row>
    <row r="117" spans="1:29" s="165" customFormat="1" ht="13.8">
      <c r="A117" s="599" t="s">
        <v>1461</v>
      </c>
      <c r="B117" s="57" t="s">
        <v>2048</v>
      </c>
      <c r="C117" s="57"/>
      <c r="D117" s="229"/>
      <c r="E117" s="229"/>
      <c r="F117" s="229"/>
      <c r="G117" s="229"/>
      <c r="H117" s="229"/>
      <c r="I117" s="229"/>
      <c r="J117" s="229"/>
      <c r="K117" s="229"/>
      <c r="L117" s="229"/>
      <c r="M117" s="229"/>
      <c r="N117" s="229"/>
      <c r="O117" s="229"/>
      <c r="P117" s="229"/>
      <c r="Q117" s="229"/>
      <c r="R117" s="229"/>
      <c r="S117" s="229"/>
      <c r="T117" s="229"/>
      <c r="U117" s="229"/>
      <c r="V117" s="229"/>
      <c r="W117" s="229"/>
      <c r="X117" s="229"/>
      <c r="Y117" s="229"/>
      <c r="Z117" s="229"/>
      <c r="AA117" s="229"/>
      <c r="AB117" s="229"/>
      <c r="AC117" s="43"/>
    </row>
    <row r="118" spans="1:29" s="165" customFormat="1" ht="13.8">
      <c r="A118" s="591" t="s">
        <v>1462</v>
      </c>
      <c r="B118" s="57" t="s">
        <v>2049</v>
      </c>
      <c r="C118" s="57"/>
      <c r="D118" s="229"/>
      <c r="E118" s="229"/>
      <c r="F118" s="229"/>
      <c r="G118" s="229"/>
      <c r="H118" s="229"/>
      <c r="I118" s="229">
        <v>-215033</v>
      </c>
      <c r="J118" s="229">
        <v>-553176</v>
      </c>
      <c r="K118" s="229">
        <v>-758360</v>
      </c>
      <c r="L118" s="229"/>
      <c r="M118" s="229">
        <v>-333219</v>
      </c>
      <c r="N118" s="229">
        <v>-333219</v>
      </c>
      <c r="O118" s="229">
        <v>-333218</v>
      </c>
      <c r="P118" s="229"/>
      <c r="Q118" s="229"/>
      <c r="R118" s="229"/>
      <c r="S118" s="229">
        <v>-458387</v>
      </c>
      <c r="T118" s="229"/>
      <c r="U118" s="229"/>
      <c r="V118" s="229">
        <v>-390666</v>
      </c>
      <c r="W118" s="229">
        <v>-390666</v>
      </c>
      <c r="X118" s="229"/>
      <c r="Y118" s="229"/>
      <c r="Z118" s="229"/>
      <c r="AA118" s="229">
        <v>-449756</v>
      </c>
      <c r="AB118" s="229"/>
      <c r="AC118" s="43">
        <v>-139926</v>
      </c>
    </row>
    <row r="119" spans="1:29" s="165" customFormat="1" ht="13.8">
      <c r="A119" s="591" t="s">
        <v>1463</v>
      </c>
      <c r="B119" s="57" t="s">
        <v>2050</v>
      </c>
      <c r="C119" s="57"/>
      <c r="D119" s="229"/>
      <c r="E119" s="229"/>
      <c r="F119" s="229"/>
      <c r="G119" s="229"/>
      <c r="H119" s="229"/>
      <c r="I119" s="229"/>
      <c r="J119" s="229"/>
      <c r="K119" s="229"/>
      <c r="L119" s="229"/>
      <c r="M119" s="229"/>
      <c r="N119" s="229"/>
      <c r="O119" s="229"/>
      <c r="P119" s="229"/>
      <c r="Q119" s="229"/>
      <c r="R119" s="229"/>
      <c r="S119" s="229"/>
      <c r="T119" s="229"/>
      <c r="U119" s="229"/>
      <c r="V119" s="229"/>
      <c r="W119" s="229"/>
      <c r="X119" s="229"/>
      <c r="Y119" s="229"/>
      <c r="Z119" s="229"/>
      <c r="AA119" s="229"/>
      <c r="AB119" s="229"/>
      <c r="AC119" s="43"/>
    </row>
    <row r="120" spans="1:29" s="165" customFormat="1" ht="13.8">
      <c r="A120" s="591" t="s">
        <v>1464</v>
      </c>
      <c r="B120" s="57" t="s">
        <v>2051</v>
      </c>
      <c r="C120" s="57"/>
      <c r="D120" s="229"/>
      <c r="E120" s="229"/>
      <c r="F120" s="229"/>
      <c r="G120" s="229"/>
      <c r="H120" s="229"/>
      <c r="I120" s="229"/>
      <c r="J120" s="229"/>
      <c r="K120" s="229"/>
      <c r="L120" s="229"/>
      <c r="M120" s="229"/>
      <c r="N120" s="229"/>
      <c r="O120" s="229"/>
      <c r="P120" s="229"/>
      <c r="Q120" s="229"/>
      <c r="R120" s="229"/>
      <c r="S120" s="229"/>
      <c r="T120" s="229"/>
      <c r="U120" s="229"/>
      <c r="V120" s="229"/>
      <c r="W120" s="229"/>
      <c r="X120" s="229"/>
      <c r="Y120" s="229"/>
      <c r="Z120" s="229"/>
      <c r="AA120" s="229"/>
      <c r="AB120" s="229"/>
      <c r="AC120" s="43"/>
    </row>
    <row r="121" spans="1:29" s="165" customFormat="1" ht="13.8">
      <c r="A121" s="591" t="s">
        <v>1465</v>
      </c>
      <c r="B121" s="57" t="s">
        <v>2052</v>
      </c>
      <c r="C121" s="57"/>
      <c r="D121" s="229"/>
      <c r="E121" s="229"/>
      <c r="F121" s="229"/>
      <c r="G121" s="229"/>
      <c r="H121" s="229"/>
      <c r="I121" s="229"/>
      <c r="J121" s="229"/>
      <c r="K121" s="229"/>
      <c r="L121" s="229"/>
      <c r="M121" s="229"/>
      <c r="N121" s="229"/>
      <c r="O121" s="229"/>
      <c r="P121" s="229"/>
      <c r="Q121" s="229"/>
      <c r="R121" s="229"/>
      <c r="S121" s="229"/>
      <c r="T121" s="229"/>
      <c r="U121" s="229"/>
      <c r="V121" s="229"/>
      <c r="W121" s="229"/>
      <c r="X121" s="229"/>
      <c r="Y121" s="229"/>
      <c r="Z121" s="229"/>
      <c r="AA121" s="229"/>
      <c r="AB121" s="229"/>
      <c r="AC121" s="43"/>
    </row>
    <row r="122" spans="1:29" s="578" customFormat="1" thickBot="1">
      <c r="A122" s="596" t="s">
        <v>1466</v>
      </c>
      <c r="B122" s="596"/>
      <c r="C122" s="596"/>
      <c r="D122" s="597">
        <f>SUM(D108:D120)</f>
        <v>0</v>
      </c>
      <c r="E122" s="597">
        <f t="shared" ref="E122:Y122" si="8">SUM(E108:E120)</f>
        <v>0</v>
      </c>
      <c r="F122" s="597">
        <f t="shared" si="8"/>
        <v>0</v>
      </c>
      <c r="G122" s="597">
        <f t="shared" si="8"/>
        <v>0</v>
      </c>
      <c r="H122" s="597">
        <f t="shared" si="8"/>
        <v>-382921</v>
      </c>
      <c r="I122" s="597">
        <f t="shared" si="8"/>
        <v>-622216</v>
      </c>
      <c r="J122" s="597">
        <f t="shared" si="8"/>
        <v>-812167</v>
      </c>
      <c r="K122" s="597">
        <f t="shared" si="8"/>
        <v>-1098409</v>
      </c>
      <c r="L122" s="597">
        <f t="shared" si="8"/>
        <v>-27237</v>
      </c>
      <c r="M122" s="597">
        <f t="shared" si="8"/>
        <v>130905</v>
      </c>
      <c r="N122" s="597">
        <f t="shared" si="8"/>
        <v>-397264</v>
      </c>
      <c r="O122" s="597">
        <f t="shared" si="8"/>
        <v>-105917</v>
      </c>
      <c r="P122" s="597">
        <f t="shared" si="8"/>
        <v>-28396</v>
      </c>
      <c r="Q122" s="597">
        <f t="shared" si="8"/>
        <v>125657</v>
      </c>
      <c r="R122" s="597">
        <f t="shared" si="8"/>
        <v>136025</v>
      </c>
      <c r="S122" s="597">
        <f t="shared" si="8"/>
        <v>176380</v>
      </c>
      <c r="T122" s="597">
        <f t="shared" si="8"/>
        <v>-205969</v>
      </c>
      <c r="U122" s="597">
        <f t="shared" si="8"/>
        <v>245730</v>
      </c>
      <c r="V122" s="597">
        <f t="shared" si="8"/>
        <v>-193666</v>
      </c>
      <c r="W122" s="597">
        <f t="shared" si="8"/>
        <v>705163</v>
      </c>
      <c r="X122" s="597">
        <f t="shared" si="8"/>
        <v>-242682</v>
      </c>
      <c r="Y122" s="597">
        <f t="shared" si="8"/>
        <v>-331917</v>
      </c>
      <c r="Z122" s="597">
        <f t="shared" ref="Z122" si="9">SUM(Z108:Z120)</f>
        <v>-393108</v>
      </c>
      <c r="AA122" s="597">
        <f t="shared" ref="AA122:AC122" si="10">SUM(AA108:AA120)</f>
        <v>-893749</v>
      </c>
      <c r="AB122" s="597">
        <f t="shared" si="10"/>
        <v>210573</v>
      </c>
      <c r="AC122" s="782">
        <f t="shared" si="10"/>
        <v>14740</v>
      </c>
    </row>
    <row r="123" spans="1:29" s="165" customFormat="1" ht="13.8">
      <c r="A123" s="57"/>
      <c r="B123" s="57"/>
      <c r="C123" s="57"/>
      <c r="D123" s="229"/>
      <c r="E123" s="229"/>
      <c r="F123" s="229"/>
      <c r="G123" s="229"/>
      <c r="H123" s="229"/>
      <c r="I123" s="229"/>
      <c r="J123" s="229"/>
      <c r="K123" s="229"/>
      <c r="L123" s="229"/>
      <c r="M123" s="229"/>
      <c r="N123" s="229"/>
      <c r="O123" s="229"/>
      <c r="P123" s="229"/>
      <c r="Q123" s="229"/>
      <c r="R123" s="229"/>
      <c r="S123" s="229"/>
      <c r="T123" s="229"/>
      <c r="U123" s="229"/>
      <c r="V123" s="229"/>
      <c r="W123" s="229"/>
      <c r="X123" s="229"/>
      <c r="Y123" s="229"/>
      <c r="Z123" s="229"/>
      <c r="AA123" s="229"/>
      <c r="AB123" s="229"/>
      <c r="AC123" s="43"/>
    </row>
    <row r="124" spans="1:29" s="578" customFormat="1" ht="13.8">
      <c r="A124" s="592" t="s">
        <v>1467</v>
      </c>
      <c r="B124" s="592" t="s">
        <v>2053</v>
      </c>
      <c r="C124" s="592"/>
      <c r="D124" s="593">
        <f>+D86+D105+D122</f>
        <v>0</v>
      </c>
      <c r="E124" s="593">
        <f t="shared" ref="E124:X124" si="11">+E86+E105+E122</f>
        <v>0</v>
      </c>
      <c r="F124" s="593">
        <f t="shared" si="11"/>
        <v>0</v>
      </c>
      <c r="G124" s="593">
        <f t="shared" si="11"/>
        <v>0</v>
      </c>
      <c r="H124" s="593">
        <f t="shared" si="11"/>
        <v>-36308</v>
      </c>
      <c r="I124" s="593">
        <f t="shared" si="11"/>
        <v>246809</v>
      </c>
      <c r="J124" s="593">
        <f t="shared" si="11"/>
        <v>104201</v>
      </c>
      <c r="K124" s="593">
        <f t="shared" si="11"/>
        <v>-215459</v>
      </c>
      <c r="L124" s="593">
        <f t="shared" si="11"/>
        <v>14215</v>
      </c>
      <c r="M124" s="593">
        <f t="shared" si="11"/>
        <v>122718</v>
      </c>
      <c r="N124" s="593">
        <f t="shared" si="11"/>
        <v>80113</v>
      </c>
      <c r="O124" s="593">
        <f t="shared" si="11"/>
        <v>23362</v>
      </c>
      <c r="P124" s="593">
        <f t="shared" si="11"/>
        <v>-1655</v>
      </c>
      <c r="Q124" s="593">
        <f t="shared" si="11"/>
        <v>199674</v>
      </c>
      <c r="R124" s="593">
        <f t="shared" si="11"/>
        <v>247936</v>
      </c>
      <c r="S124" s="593">
        <f t="shared" si="11"/>
        <v>211222</v>
      </c>
      <c r="T124" s="593">
        <f t="shared" si="11"/>
        <v>-223710</v>
      </c>
      <c r="U124" s="593">
        <f t="shared" si="11"/>
        <v>108165</v>
      </c>
      <c r="V124" s="593">
        <f t="shared" si="11"/>
        <v>-245052</v>
      </c>
      <c r="W124" s="593">
        <f t="shared" si="11"/>
        <v>-184388</v>
      </c>
      <c r="X124" s="593">
        <f t="shared" si="11"/>
        <v>-15945.999999999971</v>
      </c>
      <c r="Y124" s="593">
        <f>+Y86+Y105+Y122</f>
        <v>206672</v>
      </c>
      <c r="Z124" s="593">
        <f>+Z86+Z105+Z122</f>
        <v>-63806</v>
      </c>
      <c r="AA124" s="593">
        <f>+AA86+AA105+AA122</f>
        <v>-88334</v>
      </c>
      <c r="AB124" s="593">
        <f>+AB86+AB105+AB122</f>
        <v>232873</v>
      </c>
      <c r="AC124" s="781">
        <f>+AC86+AC105+AC122</f>
        <v>-15593</v>
      </c>
    </row>
    <row r="125" spans="1:29" s="165" customFormat="1" ht="13.8">
      <c r="A125" s="57"/>
      <c r="B125" s="57"/>
      <c r="C125" s="57"/>
      <c r="D125" s="229"/>
      <c r="E125" s="229"/>
      <c r="F125" s="229"/>
      <c r="G125" s="229"/>
      <c r="H125" s="229"/>
      <c r="I125" s="229"/>
      <c r="J125" s="229"/>
      <c r="K125" s="229"/>
      <c r="L125" s="229"/>
      <c r="M125" s="229"/>
      <c r="N125" s="229"/>
      <c r="O125" s="229"/>
      <c r="P125" s="229"/>
      <c r="Q125" s="229"/>
      <c r="R125" s="229"/>
      <c r="S125" s="229"/>
      <c r="T125" s="229"/>
      <c r="U125" s="229"/>
      <c r="V125" s="229"/>
      <c r="W125" s="229"/>
      <c r="X125" s="229"/>
      <c r="Y125" s="229"/>
      <c r="Z125" s="229"/>
      <c r="AA125" s="229"/>
      <c r="AB125" s="229"/>
      <c r="AC125" s="43"/>
    </row>
    <row r="126" spans="1:29" s="165" customFormat="1" ht="13.8">
      <c r="A126" s="600" t="s">
        <v>1468</v>
      </c>
      <c r="B126" s="57" t="s">
        <v>2054</v>
      </c>
      <c r="C126" s="57"/>
      <c r="D126" s="229"/>
      <c r="E126" s="229"/>
      <c r="F126" s="229"/>
      <c r="G126" s="229"/>
      <c r="H126" s="229">
        <v>295458</v>
      </c>
      <c r="I126" s="229">
        <v>295458</v>
      </c>
      <c r="J126" s="229">
        <v>295458</v>
      </c>
      <c r="K126" s="229">
        <v>295458</v>
      </c>
      <c r="L126" s="229">
        <v>79999</v>
      </c>
      <c r="M126" s="229">
        <v>79999</v>
      </c>
      <c r="N126" s="229">
        <v>79999</v>
      </c>
      <c r="O126" s="229">
        <v>79999</v>
      </c>
      <c r="P126" s="229">
        <v>103361</v>
      </c>
      <c r="Q126" s="229">
        <v>103361</v>
      </c>
      <c r="R126" s="229">
        <v>103361</v>
      </c>
      <c r="S126" s="229">
        <v>103361</v>
      </c>
      <c r="T126" s="229">
        <v>314583</v>
      </c>
      <c r="U126" s="229">
        <v>314583</v>
      </c>
      <c r="V126" s="229">
        <v>314583</v>
      </c>
      <c r="W126" s="229">
        <v>314583</v>
      </c>
      <c r="X126" s="229">
        <v>130195</v>
      </c>
      <c r="Y126" s="229">
        <v>130195</v>
      </c>
      <c r="Z126" s="229">
        <v>130195</v>
      </c>
      <c r="AA126" s="229">
        <v>130195</v>
      </c>
      <c r="AB126" s="229">
        <v>41861</v>
      </c>
      <c r="AC126" s="43">
        <v>41861</v>
      </c>
    </row>
    <row r="127" spans="1:29" s="165" customFormat="1" ht="13.8">
      <c r="A127" s="600" t="s">
        <v>1469</v>
      </c>
      <c r="B127" s="57" t="s">
        <v>2055</v>
      </c>
      <c r="C127" s="57"/>
      <c r="D127" s="229"/>
      <c r="E127" s="229"/>
      <c r="F127" s="229"/>
      <c r="G127" s="229"/>
      <c r="H127" s="229">
        <v>259150</v>
      </c>
      <c r="I127" s="229">
        <v>542267</v>
      </c>
      <c r="J127" s="229">
        <v>399659</v>
      </c>
      <c r="K127" s="229">
        <v>79999</v>
      </c>
      <c r="L127" s="229">
        <v>94214</v>
      </c>
      <c r="M127" s="229">
        <v>202717</v>
      </c>
      <c r="N127" s="229">
        <v>160112</v>
      </c>
      <c r="O127" s="229">
        <v>103361</v>
      </c>
      <c r="P127" s="229">
        <v>101706</v>
      </c>
      <c r="Q127" s="229">
        <v>303035</v>
      </c>
      <c r="R127" s="229">
        <v>351297</v>
      </c>
      <c r="S127" s="229">
        <v>314583</v>
      </c>
      <c r="T127" s="229">
        <v>90873</v>
      </c>
      <c r="U127" s="229">
        <v>422748</v>
      </c>
      <c r="V127" s="229">
        <v>69531</v>
      </c>
      <c r="W127" s="229">
        <v>130195</v>
      </c>
      <c r="X127" s="229">
        <v>114249</v>
      </c>
      <c r="Y127" s="229">
        <v>336867</v>
      </c>
      <c r="Z127" s="229">
        <v>66389</v>
      </c>
      <c r="AA127" s="229">
        <v>41861</v>
      </c>
      <c r="AB127" s="229">
        <v>274734</v>
      </c>
      <c r="AC127" s="43">
        <v>26268</v>
      </c>
    </row>
    <row r="129" spans="1:29" s="578" customFormat="1" thickBot="1">
      <c r="A129" s="596" t="s">
        <v>1467</v>
      </c>
      <c r="B129" s="596" t="s">
        <v>2053</v>
      </c>
      <c r="C129" s="596"/>
      <c r="D129" s="597">
        <f>+D127-D126</f>
        <v>0</v>
      </c>
      <c r="E129" s="597">
        <f t="shared" ref="E129:X129" si="12">+E127-E126</f>
        <v>0</v>
      </c>
      <c r="F129" s="597">
        <f t="shared" si="12"/>
        <v>0</v>
      </c>
      <c r="G129" s="597">
        <f t="shared" si="12"/>
        <v>0</v>
      </c>
      <c r="H129" s="597">
        <f t="shared" si="12"/>
        <v>-36308</v>
      </c>
      <c r="I129" s="597">
        <f t="shared" si="12"/>
        <v>246809</v>
      </c>
      <c r="J129" s="597">
        <f t="shared" si="12"/>
        <v>104201</v>
      </c>
      <c r="K129" s="597">
        <f t="shared" si="12"/>
        <v>-215459</v>
      </c>
      <c r="L129" s="597">
        <f t="shared" si="12"/>
        <v>14215</v>
      </c>
      <c r="M129" s="597">
        <f t="shared" si="12"/>
        <v>122718</v>
      </c>
      <c r="N129" s="597">
        <f t="shared" si="12"/>
        <v>80113</v>
      </c>
      <c r="O129" s="597">
        <f t="shared" si="12"/>
        <v>23362</v>
      </c>
      <c r="P129" s="597">
        <f t="shared" si="12"/>
        <v>-1655</v>
      </c>
      <c r="Q129" s="597">
        <f t="shared" si="12"/>
        <v>199674</v>
      </c>
      <c r="R129" s="597">
        <f t="shared" si="12"/>
        <v>247936</v>
      </c>
      <c r="S129" s="597">
        <f t="shared" si="12"/>
        <v>211222</v>
      </c>
      <c r="T129" s="597">
        <f t="shared" si="12"/>
        <v>-223710</v>
      </c>
      <c r="U129" s="597">
        <f t="shared" si="12"/>
        <v>108165</v>
      </c>
      <c r="V129" s="597">
        <f t="shared" si="12"/>
        <v>-245052</v>
      </c>
      <c r="W129" s="597">
        <f t="shared" si="12"/>
        <v>-184388</v>
      </c>
      <c r="X129" s="597">
        <f t="shared" si="12"/>
        <v>-15946</v>
      </c>
      <c r="Y129" s="597">
        <f>+Y127-Y126</f>
        <v>206672</v>
      </c>
      <c r="Z129" s="597">
        <f>+Z127-Z126</f>
        <v>-63806</v>
      </c>
      <c r="AA129" s="597">
        <f>+AA127-AA126</f>
        <v>-88334</v>
      </c>
      <c r="AB129" s="597">
        <f>+AB127-AB126</f>
        <v>232873</v>
      </c>
      <c r="AC129" s="782">
        <f>+AC127-AC126</f>
        <v>-15593</v>
      </c>
    </row>
  </sheetData>
  <phoneticPr fontId="30" type="noConversion"/>
  <hyperlinks>
    <hyperlink ref="B121" r:id="rId1" display="https://www.lawinsider.com/clause/advance-for-future-capital-increase-afac" xr:uid="{00000000-0004-0000-4700-000000000000}"/>
  </hyperlinks>
  <pageMargins left="0.511811024" right="0.511811024" top="0.78740157499999996" bottom="0.78740157499999996" header="0.31496062000000002" footer="0.31496062000000002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theme="9" tint="0.79998168889431442"/>
  </sheetPr>
  <dimension ref="A6:AC129"/>
  <sheetViews>
    <sheetView showGridLines="0" zoomScale="85" zoomScaleNormal="85" workbookViewId="0">
      <pane xSplit="1" ySplit="7" topLeftCell="S77" activePane="bottomRight" state="frozen"/>
      <selection pane="topRight" activeCell="B1" sqref="B1"/>
      <selection pane="bottomLeft" activeCell="A8" sqref="A8"/>
      <selection pane="bottomRight" activeCell="A82" sqref="A82:A84"/>
    </sheetView>
  </sheetViews>
  <sheetFormatPr defaultColWidth="9.21875" defaultRowHeight="14.4" outlineLevelCol="1"/>
  <cols>
    <col min="1" max="1" width="70.77734375" style="35" bestFit="1" customWidth="1"/>
    <col min="2" max="2" width="75.88671875" style="35" bestFit="1" customWidth="1"/>
    <col min="3" max="3" width="0.5546875" style="35" customWidth="1"/>
    <col min="4" max="5" width="10.5546875" style="35" hidden="1" customWidth="1" outlineLevel="1"/>
    <col min="6" max="7" width="11.44140625" style="35" hidden="1" customWidth="1" outlineLevel="1"/>
    <col min="8" max="8" width="11.44140625" style="35" customWidth="1" collapsed="1"/>
    <col min="9" max="10" width="11.44140625" style="35" customWidth="1"/>
    <col min="11" max="29" width="11.44140625" style="35" bestFit="1" customWidth="1"/>
    <col min="30" max="16384" width="9.21875" style="35"/>
  </cols>
  <sheetData>
    <row r="6" spans="1:29">
      <c r="A6" s="38" t="s">
        <v>110</v>
      </c>
      <c r="B6" s="38" t="s">
        <v>110</v>
      </c>
      <c r="C6" s="348"/>
      <c r="D6" s="399"/>
      <c r="E6" s="399"/>
      <c r="F6" s="399"/>
      <c r="G6" s="399"/>
      <c r="H6" s="399"/>
      <c r="I6" s="399"/>
      <c r="J6" s="399"/>
      <c r="K6" s="601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399"/>
    </row>
    <row r="7" spans="1:29">
      <c r="A7" s="441" t="s">
        <v>1365</v>
      </c>
      <c r="B7" s="441" t="s">
        <v>1366</v>
      </c>
      <c r="C7" s="602"/>
      <c r="D7" s="603" t="s">
        <v>67</v>
      </c>
      <c r="E7" s="603" t="s">
        <v>68</v>
      </c>
      <c r="F7" s="603" t="s">
        <v>69</v>
      </c>
      <c r="G7" s="603" t="s">
        <v>70</v>
      </c>
      <c r="H7" s="603" t="s">
        <v>1367</v>
      </c>
      <c r="I7" s="603" t="s">
        <v>1368</v>
      </c>
      <c r="J7" s="603" t="s">
        <v>1369</v>
      </c>
      <c r="K7" s="604" t="s">
        <v>1370</v>
      </c>
      <c r="L7" s="603" t="s">
        <v>584</v>
      </c>
      <c r="M7" s="603" t="s">
        <v>585</v>
      </c>
      <c r="N7" s="603" t="s">
        <v>586</v>
      </c>
      <c r="O7" s="604" t="s">
        <v>1371</v>
      </c>
      <c r="P7" s="603" t="s">
        <v>587</v>
      </c>
      <c r="Q7" s="603" t="s">
        <v>588</v>
      </c>
      <c r="R7" s="603" t="s">
        <v>589</v>
      </c>
      <c r="S7" s="604" t="s">
        <v>1372</v>
      </c>
      <c r="T7" s="603" t="s">
        <v>590</v>
      </c>
      <c r="U7" s="603" t="s">
        <v>591</v>
      </c>
      <c r="V7" s="603" t="s">
        <v>592</v>
      </c>
      <c r="W7" s="604" t="s">
        <v>1373</v>
      </c>
      <c r="X7" s="603" t="s">
        <v>593</v>
      </c>
      <c r="Y7" s="603" t="s">
        <v>594</v>
      </c>
      <c r="Z7" s="603" t="s">
        <v>595</v>
      </c>
      <c r="AA7" s="604" t="s">
        <v>2151</v>
      </c>
      <c r="AB7" s="604" t="s">
        <v>2488</v>
      </c>
      <c r="AC7" s="604" t="s">
        <v>2497</v>
      </c>
    </row>
    <row r="8" spans="1:29" s="165" customFormat="1" ht="13.8">
      <c r="A8" s="134" t="s">
        <v>1374</v>
      </c>
      <c r="B8" s="134" t="s">
        <v>2034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</row>
    <row r="9" spans="1:29" s="578" customFormat="1" ht="13.8">
      <c r="A9" s="588" t="s">
        <v>776</v>
      </c>
      <c r="B9" s="589" t="s">
        <v>1375</v>
      </c>
      <c r="C9" s="589"/>
      <c r="D9" s="589"/>
      <c r="E9" s="589"/>
      <c r="F9" s="589"/>
      <c r="G9" s="589"/>
      <c r="H9" s="590">
        <v>124021</v>
      </c>
      <c r="I9" s="590">
        <v>333742</v>
      </c>
      <c r="J9" s="590">
        <v>710423</v>
      </c>
      <c r="K9" s="590">
        <v>1025545</v>
      </c>
      <c r="L9" s="590">
        <v>314804</v>
      </c>
      <c r="M9" s="590">
        <v>700056</v>
      </c>
      <c r="N9" s="590">
        <v>1068171</v>
      </c>
      <c r="O9" s="590">
        <v>1556399</v>
      </c>
      <c r="P9" s="590">
        <v>424972</v>
      </c>
      <c r="Q9" s="590">
        <v>944228</v>
      </c>
      <c r="R9" s="590">
        <v>1621882</v>
      </c>
      <c r="S9" s="590">
        <v>2225811</v>
      </c>
      <c r="T9" s="590">
        <v>430036</v>
      </c>
      <c r="U9" s="590">
        <v>913891</v>
      </c>
      <c r="V9" s="590">
        <v>1470347</v>
      </c>
      <c r="W9" s="590">
        <v>1976074</v>
      </c>
      <c r="X9" s="590">
        <v>393144</v>
      </c>
      <c r="Y9" s="590">
        <v>753824</v>
      </c>
      <c r="Z9" s="590">
        <v>1142509</v>
      </c>
      <c r="AA9" s="590">
        <v>1552654</v>
      </c>
      <c r="AB9" s="590">
        <v>384415</v>
      </c>
      <c r="AC9" s="590">
        <v>770813</v>
      </c>
    </row>
    <row r="10" spans="1:29" s="165" customFormat="1" ht="13.8">
      <c r="A10" s="104" t="s">
        <v>1376</v>
      </c>
      <c r="B10" s="57" t="s">
        <v>1377</v>
      </c>
      <c r="C10" s="57"/>
      <c r="D10" s="57"/>
      <c r="E10" s="57"/>
      <c r="F10" s="57"/>
      <c r="G10" s="57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57"/>
      <c r="W10" s="57"/>
      <c r="X10" s="57"/>
      <c r="Y10" s="57"/>
      <c r="Z10" s="57"/>
      <c r="AA10" s="57"/>
      <c r="AB10" s="57"/>
      <c r="AC10" s="57"/>
    </row>
    <row r="11" spans="1:29" s="165" customFormat="1" ht="13.8">
      <c r="A11" s="591" t="s">
        <v>1378</v>
      </c>
      <c r="B11" s="57" t="s">
        <v>1379</v>
      </c>
      <c r="C11" s="57"/>
      <c r="D11" s="57"/>
      <c r="E11" s="57"/>
      <c r="F11" s="57"/>
      <c r="G11" s="57"/>
      <c r="H11" s="229">
        <v>71751</v>
      </c>
      <c r="I11" s="229">
        <v>166444</v>
      </c>
      <c r="J11" s="229">
        <v>252733</v>
      </c>
      <c r="K11" s="229">
        <v>365297</v>
      </c>
      <c r="L11" s="229">
        <v>86746</v>
      </c>
      <c r="M11" s="229">
        <v>181134</v>
      </c>
      <c r="N11" s="229">
        <v>274969</v>
      </c>
      <c r="O11" s="229">
        <v>380405</v>
      </c>
      <c r="P11" s="229">
        <v>114895</v>
      </c>
      <c r="Q11" s="229">
        <v>219577</v>
      </c>
      <c r="R11" s="229">
        <v>323359</v>
      </c>
      <c r="S11" s="229">
        <v>439073</v>
      </c>
      <c r="T11" s="229">
        <v>115490</v>
      </c>
      <c r="U11" s="229">
        <v>236138</v>
      </c>
      <c r="V11" s="229">
        <v>302755</v>
      </c>
      <c r="W11" s="229">
        <v>424900</v>
      </c>
      <c r="X11" s="229">
        <v>111879</v>
      </c>
      <c r="Y11" s="229">
        <v>334726</v>
      </c>
      <c r="Z11" s="229">
        <v>407590</v>
      </c>
      <c r="AA11" s="229">
        <v>613902</v>
      </c>
      <c r="AB11" s="229">
        <v>167489</v>
      </c>
      <c r="AC11" s="229">
        <v>341621</v>
      </c>
    </row>
    <row r="12" spans="1:29" s="165" customFormat="1" ht="13.8">
      <c r="A12" s="591" t="s">
        <v>710</v>
      </c>
      <c r="B12" s="57" t="s">
        <v>1380</v>
      </c>
      <c r="C12" s="57"/>
      <c r="D12" s="57"/>
      <c r="E12" s="57"/>
      <c r="F12" s="57"/>
      <c r="G12" s="57"/>
      <c r="H12" s="229">
        <v>0</v>
      </c>
      <c r="I12" s="229">
        <v>0</v>
      </c>
      <c r="J12" s="229">
        <v>0</v>
      </c>
      <c r="K12" s="229">
        <v>0</v>
      </c>
      <c r="L12" s="229">
        <v>0</v>
      </c>
      <c r="M12" s="229">
        <v>0</v>
      </c>
      <c r="N12" s="229">
        <v>0</v>
      </c>
      <c r="O12" s="229">
        <v>0</v>
      </c>
      <c r="P12" s="229">
        <v>0</v>
      </c>
      <c r="Q12" s="229">
        <v>0</v>
      </c>
      <c r="R12" s="229">
        <v>0</v>
      </c>
      <c r="S12" s="229">
        <v>0</v>
      </c>
      <c r="T12" s="229">
        <v>0</v>
      </c>
      <c r="U12" s="229">
        <v>0</v>
      </c>
      <c r="V12" s="229">
        <v>0</v>
      </c>
      <c r="W12" s="229">
        <v>0</v>
      </c>
      <c r="X12" s="229">
        <v>0</v>
      </c>
      <c r="Y12" s="229">
        <v>0</v>
      </c>
      <c r="Z12" s="229">
        <v>0</v>
      </c>
      <c r="AA12" s="229">
        <v>0</v>
      </c>
      <c r="AB12" s="229">
        <v>0</v>
      </c>
      <c r="AC12" s="229">
        <v>0</v>
      </c>
    </row>
    <row r="13" spans="1:29" s="165" customFormat="1" ht="13.8">
      <c r="A13" s="591" t="s">
        <v>1381</v>
      </c>
      <c r="B13" s="57" t="s">
        <v>1983</v>
      </c>
      <c r="C13" s="57"/>
      <c r="D13" s="57"/>
      <c r="E13" s="57"/>
      <c r="F13" s="57"/>
      <c r="G13" s="57"/>
      <c r="H13" s="229">
        <v>0</v>
      </c>
      <c r="I13" s="229">
        <v>0</v>
      </c>
      <c r="J13" s="229">
        <v>0</v>
      </c>
      <c r="K13" s="229">
        <v>0</v>
      </c>
      <c r="L13" s="229">
        <v>0</v>
      </c>
      <c r="M13" s="229">
        <v>0</v>
      </c>
      <c r="N13" s="229">
        <v>0</v>
      </c>
      <c r="O13" s="229">
        <v>0</v>
      </c>
      <c r="P13" s="229">
        <v>0</v>
      </c>
      <c r="Q13" s="229">
        <v>0</v>
      </c>
      <c r="R13" s="229">
        <v>0</v>
      </c>
      <c r="S13" s="229">
        <v>0</v>
      </c>
      <c r="T13" s="229">
        <v>0</v>
      </c>
      <c r="U13" s="229">
        <v>0</v>
      </c>
      <c r="V13" s="229">
        <v>0</v>
      </c>
      <c r="W13" s="229">
        <v>0</v>
      </c>
      <c r="X13" s="229">
        <v>0</v>
      </c>
      <c r="Y13" s="229">
        <v>0</v>
      </c>
      <c r="Z13" s="229">
        <v>0</v>
      </c>
      <c r="AA13" s="229">
        <v>0</v>
      </c>
      <c r="AB13" s="229">
        <v>0</v>
      </c>
      <c r="AC13" s="229">
        <v>0</v>
      </c>
    </row>
    <row r="14" spans="1:29" s="165" customFormat="1" ht="13.8">
      <c r="A14" s="591" t="s">
        <v>1382</v>
      </c>
      <c r="B14" s="57" t="s">
        <v>1383</v>
      </c>
      <c r="C14" s="57"/>
      <c r="D14" s="57"/>
      <c r="E14" s="57"/>
      <c r="F14" s="57"/>
      <c r="G14" s="57"/>
      <c r="H14" s="229">
        <v>-436</v>
      </c>
      <c r="I14" s="229">
        <v>-433</v>
      </c>
      <c r="J14" s="229">
        <v>-4011</v>
      </c>
      <c r="K14" s="229">
        <v>66587</v>
      </c>
      <c r="L14" s="229">
        <v>-1748</v>
      </c>
      <c r="M14" s="229">
        <v>53580</v>
      </c>
      <c r="N14" s="229">
        <v>45652</v>
      </c>
      <c r="O14" s="229">
        <v>101179</v>
      </c>
      <c r="P14" s="229">
        <v>17227</v>
      </c>
      <c r="Q14" s="229">
        <v>22875</v>
      </c>
      <c r="R14" s="229">
        <v>30166</v>
      </c>
      <c r="S14" s="229">
        <v>40120</v>
      </c>
      <c r="T14" s="229">
        <v>47668</v>
      </c>
      <c r="U14" s="229">
        <v>21909</v>
      </c>
      <c r="V14" s="229">
        <v>6296</v>
      </c>
      <c r="W14" s="229">
        <v>20392</v>
      </c>
      <c r="X14" s="229">
        <v>3141</v>
      </c>
      <c r="Y14" s="229">
        <v>15492</v>
      </c>
      <c r="Z14" s="229">
        <v>35638</v>
      </c>
      <c r="AA14" s="229">
        <v>48095</v>
      </c>
      <c r="AB14" s="229">
        <v>14982</v>
      </c>
      <c r="AC14" s="229">
        <v>24606</v>
      </c>
    </row>
    <row r="15" spans="1:29" s="165" customFormat="1" ht="13.8">
      <c r="A15" s="591" t="s">
        <v>1384</v>
      </c>
      <c r="B15" s="57" t="s">
        <v>1982</v>
      </c>
      <c r="C15" s="57"/>
      <c r="D15" s="57"/>
      <c r="E15" s="57"/>
      <c r="F15" s="57"/>
      <c r="G15" s="57"/>
      <c r="H15" s="229">
        <v>-46740</v>
      </c>
      <c r="I15" s="229">
        <v>-100828</v>
      </c>
      <c r="J15" s="229">
        <v>-220609</v>
      </c>
      <c r="K15" s="229">
        <v>-326937</v>
      </c>
      <c r="L15" s="229">
        <v>-83714</v>
      </c>
      <c r="M15" s="229">
        <v>-229284</v>
      </c>
      <c r="N15" s="229">
        <v>-78426</v>
      </c>
      <c r="O15" s="229">
        <v>-123449</v>
      </c>
      <c r="P15" s="229">
        <v>28603</v>
      </c>
      <c r="Q15" s="229">
        <v>-54256</v>
      </c>
      <c r="R15" s="229">
        <v>-313335</v>
      </c>
      <c r="S15" s="229">
        <v>-377407</v>
      </c>
      <c r="T15" s="229">
        <v>-100832</v>
      </c>
      <c r="U15" s="229">
        <v>-209419</v>
      </c>
      <c r="V15" s="229">
        <v>-209068</v>
      </c>
      <c r="W15" s="229">
        <v>-303916</v>
      </c>
      <c r="X15" s="229">
        <v>-151954</v>
      </c>
      <c r="Y15" s="229">
        <v>-209036</v>
      </c>
      <c r="Z15" s="229">
        <v>-285846</v>
      </c>
      <c r="AA15" s="229">
        <v>-333093</v>
      </c>
      <c r="AB15" s="229">
        <v>-178242</v>
      </c>
      <c r="AC15" s="229">
        <v>-318444</v>
      </c>
    </row>
    <row r="16" spans="1:29" s="165" customFormat="1" ht="13.8">
      <c r="A16" s="591" t="s">
        <v>1385</v>
      </c>
      <c r="B16" s="57" t="s">
        <v>1386</v>
      </c>
      <c r="C16" s="57"/>
      <c r="D16" s="57"/>
      <c r="E16" s="57"/>
      <c r="F16" s="57"/>
      <c r="G16" s="57"/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Y16" s="229">
        <v>0</v>
      </c>
      <c r="Z16" s="229">
        <v>0</v>
      </c>
      <c r="AA16" s="229">
        <v>0</v>
      </c>
      <c r="AB16" s="229">
        <v>0</v>
      </c>
      <c r="AC16" s="229">
        <v>0</v>
      </c>
    </row>
    <row r="17" spans="1:29" s="165" customFormat="1" ht="13.8">
      <c r="A17" s="591" t="s">
        <v>1387</v>
      </c>
      <c r="B17" s="57" t="s">
        <v>1388</v>
      </c>
      <c r="C17" s="57"/>
      <c r="D17" s="57"/>
      <c r="E17" s="57"/>
      <c r="F17" s="57"/>
      <c r="G17" s="57"/>
      <c r="H17" s="229">
        <v>0</v>
      </c>
      <c r="I17" s="229">
        <v>0</v>
      </c>
      <c r="J17" s="229">
        <v>0</v>
      </c>
      <c r="K17" s="229">
        <v>0</v>
      </c>
      <c r="L17" s="229">
        <v>0</v>
      </c>
      <c r="M17" s="229">
        <v>0</v>
      </c>
      <c r="N17" s="229">
        <v>0</v>
      </c>
      <c r="O17" s="229">
        <v>0</v>
      </c>
      <c r="P17" s="229">
        <v>0</v>
      </c>
      <c r="Q17" s="229">
        <v>0</v>
      </c>
      <c r="R17" s="229">
        <v>0</v>
      </c>
      <c r="S17" s="229">
        <v>0</v>
      </c>
      <c r="T17" s="229">
        <v>0</v>
      </c>
      <c r="U17" s="229">
        <v>0</v>
      </c>
      <c r="V17" s="229">
        <v>0</v>
      </c>
      <c r="W17" s="229">
        <v>2882</v>
      </c>
      <c r="X17" s="229">
        <v>-123</v>
      </c>
      <c r="Y17" s="229">
        <v>-255388</v>
      </c>
      <c r="Z17" s="229">
        <v>0</v>
      </c>
      <c r="AA17" s="229">
        <v>0</v>
      </c>
      <c r="AB17" s="229">
        <v>0</v>
      </c>
      <c r="AC17" s="229">
        <v>0</v>
      </c>
    </row>
    <row r="18" spans="1:29" s="165" customFormat="1" ht="13.8">
      <c r="A18" s="591" t="s">
        <v>1389</v>
      </c>
      <c r="B18" s="57" t="s">
        <v>1390</v>
      </c>
      <c r="C18" s="57"/>
      <c r="D18" s="57"/>
      <c r="E18" s="57"/>
      <c r="F18" s="57"/>
      <c r="G18" s="57"/>
      <c r="H18" s="229">
        <v>0</v>
      </c>
      <c r="I18" s="229">
        <v>0</v>
      </c>
      <c r="J18" s="229">
        <v>0</v>
      </c>
      <c r="K18" s="229">
        <v>0</v>
      </c>
      <c r="L18" s="229">
        <v>0</v>
      </c>
      <c r="M18" s="229">
        <v>0</v>
      </c>
      <c r="N18" s="229">
        <v>0</v>
      </c>
      <c r="O18" s="229">
        <v>0</v>
      </c>
      <c r="P18" s="229">
        <v>0</v>
      </c>
      <c r="Q18" s="229">
        <v>0</v>
      </c>
      <c r="R18" s="229">
        <v>0</v>
      </c>
      <c r="S18" s="229">
        <v>0</v>
      </c>
      <c r="T18" s="229">
        <v>0</v>
      </c>
      <c r="U18" s="229">
        <v>0</v>
      </c>
      <c r="V18" s="229">
        <v>0</v>
      </c>
      <c r="W18" s="229">
        <v>0</v>
      </c>
      <c r="X18" s="229">
        <v>0</v>
      </c>
      <c r="Y18" s="229">
        <v>0</v>
      </c>
      <c r="Z18" s="229">
        <v>0</v>
      </c>
      <c r="AA18" s="229">
        <v>0</v>
      </c>
      <c r="AB18" s="229">
        <v>0</v>
      </c>
      <c r="AC18" s="229">
        <v>0</v>
      </c>
    </row>
    <row r="19" spans="1:29" s="165" customFormat="1" ht="13.8">
      <c r="A19" s="591" t="s">
        <v>610</v>
      </c>
      <c r="B19" s="57" t="s">
        <v>1391</v>
      </c>
      <c r="C19" s="57"/>
      <c r="D19" s="57"/>
      <c r="E19" s="57"/>
      <c r="F19" s="57"/>
      <c r="G19" s="57"/>
      <c r="H19" s="229">
        <v>0</v>
      </c>
      <c r="I19" s="229">
        <v>0</v>
      </c>
      <c r="J19" s="229">
        <v>0</v>
      </c>
      <c r="K19" s="229">
        <v>0</v>
      </c>
      <c r="L19" s="229">
        <v>0</v>
      </c>
      <c r="M19" s="229">
        <v>0</v>
      </c>
      <c r="N19" s="229">
        <v>0</v>
      </c>
      <c r="O19" s="229">
        <v>0</v>
      </c>
      <c r="P19" s="229">
        <v>0</v>
      </c>
      <c r="Q19" s="229">
        <v>0</v>
      </c>
      <c r="R19" s="229">
        <v>0</v>
      </c>
      <c r="S19" s="229">
        <v>0</v>
      </c>
      <c r="T19" s="229">
        <v>0</v>
      </c>
      <c r="U19" s="229">
        <v>0</v>
      </c>
      <c r="V19" s="229">
        <v>0</v>
      </c>
      <c r="W19" s="229">
        <v>0</v>
      </c>
      <c r="X19" s="229">
        <v>0</v>
      </c>
      <c r="Y19" s="229">
        <v>0</v>
      </c>
      <c r="Z19" s="229">
        <v>0</v>
      </c>
      <c r="AA19" s="229">
        <v>0</v>
      </c>
      <c r="AB19" s="229">
        <v>0</v>
      </c>
      <c r="AC19" s="229">
        <v>0</v>
      </c>
    </row>
    <row r="20" spans="1:29" s="165" customFormat="1" ht="13.8">
      <c r="A20" s="591" t="s">
        <v>1392</v>
      </c>
      <c r="B20" s="57" t="s">
        <v>1393</v>
      </c>
      <c r="C20" s="57"/>
      <c r="D20" s="57"/>
      <c r="E20" s="57"/>
      <c r="F20" s="57"/>
      <c r="G20" s="57"/>
      <c r="H20" s="229">
        <v>254857</v>
      </c>
      <c r="I20" s="229">
        <v>172394</v>
      </c>
      <c r="J20" s="229">
        <v>372880</v>
      </c>
      <c r="K20" s="229">
        <v>550219</v>
      </c>
      <c r="L20" s="229">
        <v>22601</v>
      </c>
      <c r="M20" s="229">
        <v>241132</v>
      </c>
      <c r="N20" s="229">
        <v>342318</v>
      </c>
      <c r="O20" s="229">
        <v>404046</v>
      </c>
      <c r="P20" s="229">
        <v>138908</v>
      </c>
      <c r="Q20" s="229">
        <v>210818</v>
      </c>
      <c r="R20" s="229">
        <v>351527</v>
      </c>
      <c r="S20" s="229">
        <v>429875</v>
      </c>
      <c r="T20" s="229">
        <v>148121</v>
      </c>
      <c r="U20" s="229">
        <v>374976</v>
      </c>
      <c r="V20" s="229">
        <v>491086</v>
      </c>
      <c r="W20" s="229">
        <v>809607</v>
      </c>
      <c r="X20" s="229">
        <v>106622</v>
      </c>
      <c r="Y20" s="229">
        <v>278533</v>
      </c>
      <c r="Z20" s="229">
        <v>329795</v>
      </c>
      <c r="AA20" s="229">
        <v>599166</v>
      </c>
      <c r="AB20" s="229">
        <v>295480</v>
      </c>
      <c r="AC20" s="229">
        <v>578287</v>
      </c>
    </row>
    <row r="21" spans="1:29" s="165" customFormat="1" ht="13.8">
      <c r="A21" s="591" t="s">
        <v>2523</v>
      </c>
      <c r="B21" s="57"/>
      <c r="C21" s="57"/>
      <c r="D21" s="57"/>
      <c r="E21" s="57"/>
      <c r="F21" s="57"/>
      <c r="G21" s="57"/>
      <c r="H21" s="229"/>
      <c r="I21" s="229"/>
      <c r="J21" s="229"/>
      <c r="K21" s="229"/>
      <c r="L21" s="229"/>
      <c r="M21" s="229"/>
      <c r="N21" s="229"/>
      <c r="O21" s="229"/>
      <c r="P21" s="229"/>
      <c r="Q21" s="229"/>
      <c r="R21" s="229"/>
      <c r="S21" s="229"/>
      <c r="T21" s="229"/>
      <c r="U21" s="229"/>
      <c r="V21" s="229"/>
      <c r="W21" s="229"/>
      <c r="X21" s="229"/>
      <c r="Y21" s="229"/>
      <c r="Z21" s="229"/>
      <c r="AA21" s="229"/>
      <c r="AB21" s="229"/>
      <c r="AC21" s="229">
        <v>-135000</v>
      </c>
    </row>
    <row r="22" spans="1:29" s="165" customFormat="1" ht="13.8">
      <c r="A22" s="591" t="s">
        <v>1394</v>
      </c>
      <c r="B22" s="57" t="s">
        <v>1395</v>
      </c>
      <c r="C22" s="57"/>
      <c r="D22" s="57"/>
      <c r="E22" s="57"/>
      <c r="F22" s="57"/>
      <c r="G22" s="57"/>
      <c r="H22" s="229">
        <v>-122265</v>
      </c>
      <c r="I22" s="229">
        <v>59189</v>
      </c>
      <c r="J22" s="229">
        <v>-23632</v>
      </c>
      <c r="K22" s="229">
        <v>-39188</v>
      </c>
      <c r="L22" s="229">
        <v>161256</v>
      </c>
      <c r="M22" s="229">
        <v>90130</v>
      </c>
      <c r="N22" s="229">
        <v>84392</v>
      </c>
      <c r="O22" s="229">
        <v>133288</v>
      </c>
      <c r="P22" s="229">
        <v>60399</v>
      </c>
      <c r="Q22" s="229">
        <v>152931</v>
      </c>
      <c r="R22" s="229">
        <v>261800</v>
      </c>
      <c r="S22" s="229">
        <v>202137</v>
      </c>
      <c r="T22" s="229">
        <v>-10988</v>
      </c>
      <c r="U22" s="229">
        <v>-102968</v>
      </c>
      <c r="V22" s="229">
        <v>-70579</v>
      </c>
      <c r="W22" s="229">
        <v>-212183</v>
      </c>
      <c r="X22" s="229">
        <v>122390</v>
      </c>
      <c r="Y22" s="229">
        <v>157965</v>
      </c>
      <c r="Z22" s="229">
        <v>373592</v>
      </c>
      <c r="AA22" s="229">
        <v>401213</v>
      </c>
      <c r="AB22" s="229">
        <v>-17356</v>
      </c>
      <c r="AC22" s="229">
        <v>154588</v>
      </c>
    </row>
    <row r="23" spans="1:29" s="165" customFormat="1" ht="13.8">
      <c r="A23" s="591" t="s">
        <v>1396</v>
      </c>
      <c r="B23" s="57" t="s">
        <v>1397</v>
      </c>
      <c r="C23" s="57"/>
      <c r="D23" s="57"/>
      <c r="E23" s="57"/>
      <c r="F23" s="57"/>
      <c r="G23" s="57"/>
      <c r="H23" s="229">
        <v>-12427</v>
      </c>
      <c r="I23" s="229">
        <v>-34573</v>
      </c>
      <c r="J23" s="229">
        <v>-69929</v>
      </c>
      <c r="K23" s="229">
        <v>-113309</v>
      </c>
      <c r="L23" s="229">
        <v>-34581</v>
      </c>
      <c r="M23" s="229">
        <v>-89228</v>
      </c>
      <c r="N23" s="229">
        <v>-151078</v>
      </c>
      <c r="O23" s="229">
        <v>-215756</v>
      </c>
      <c r="P23" s="229">
        <v>-52736</v>
      </c>
      <c r="Q23" s="229">
        <v>-101911</v>
      </c>
      <c r="R23" s="229">
        <v>-148921</v>
      </c>
      <c r="S23" s="229">
        <v>-193553</v>
      </c>
      <c r="T23" s="229">
        <v>-34841</v>
      </c>
      <c r="U23" s="229">
        <v>-81735</v>
      </c>
      <c r="V23" s="229">
        <v>-150893</v>
      </c>
      <c r="W23" s="229">
        <v>-224957</v>
      </c>
      <c r="X23" s="229">
        <v>-92158</v>
      </c>
      <c r="Y23" s="229">
        <v>-151205</v>
      </c>
      <c r="Z23" s="229">
        <v>-246704</v>
      </c>
      <c r="AA23" s="229">
        <v>-377197</v>
      </c>
      <c r="AB23" s="229">
        <v>-61607</v>
      </c>
      <c r="AC23" s="229">
        <v>-122316</v>
      </c>
    </row>
    <row r="24" spans="1:29" s="165" customFormat="1" ht="13.8">
      <c r="A24" s="591" t="s">
        <v>1398</v>
      </c>
      <c r="B24" s="57" t="s">
        <v>1399</v>
      </c>
      <c r="C24" s="57"/>
      <c r="D24" s="57"/>
      <c r="E24" s="57"/>
      <c r="F24" s="57"/>
      <c r="G24" s="57"/>
      <c r="H24" s="229">
        <v>0</v>
      </c>
      <c r="I24" s="229">
        <v>0</v>
      </c>
      <c r="J24" s="229">
        <v>0</v>
      </c>
      <c r="K24" s="229">
        <v>0</v>
      </c>
      <c r="L24" s="229">
        <v>0</v>
      </c>
      <c r="M24" s="229">
        <v>0</v>
      </c>
      <c r="N24" s="229">
        <v>0</v>
      </c>
      <c r="O24" s="229">
        <v>0</v>
      </c>
      <c r="P24" s="229">
        <v>0</v>
      </c>
      <c r="Q24" s="229">
        <v>0</v>
      </c>
      <c r="R24" s="229">
        <v>0</v>
      </c>
      <c r="S24" s="229">
        <v>0</v>
      </c>
      <c r="T24" s="229">
        <v>0</v>
      </c>
      <c r="U24" s="229">
        <v>0</v>
      </c>
      <c r="V24" s="229">
        <v>0</v>
      </c>
      <c r="W24" s="229">
        <v>0</v>
      </c>
      <c r="X24" s="229">
        <v>0</v>
      </c>
      <c r="Y24" s="229">
        <v>0</v>
      </c>
      <c r="Z24" s="229">
        <v>0</v>
      </c>
      <c r="AA24" s="229">
        <v>0</v>
      </c>
      <c r="AB24" s="229">
        <v>0</v>
      </c>
      <c r="AC24" s="229">
        <v>0</v>
      </c>
    </row>
    <row r="25" spans="1:29" s="165" customFormat="1" ht="13.8">
      <c r="A25" s="591" t="s">
        <v>1400</v>
      </c>
      <c r="B25" s="57" t="s">
        <v>1978</v>
      </c>
      <c r="C25" s="57"/>
      <c r="D25" s="57"/>
      <c r="E25" s="57"/>
      <c r="F25" s="57"/>
      <c r="G25" s="57"/>
      <c r="H25" s="229">
        <v>0</v>
      </c>
      <c r="I25" s="229">
        <v>0</v>
      </c>
      <c r="J25" s="229">
        <v>0</v>
      </c>
      <c r="K25" s="229">
        <v>0</v>
      </c>
      <c r="L25" s="229">
        <v>0</v>
      </c>
      <c r="M25" s="229">
        <v>0</v>
      </c>
      <c r="N25" s="229">
        <v>0</v>
      </c>
      <c r="O25" s="229">
        <v>0</v>
      </c>
      <c r="P25" s="229">
        <v>0</v>
      </c>
      <c r="Q25" s="229">
        <v>0</v>
      </c>
      <c r="R25" s="229">
        <v>0</v>
      </c>
      <c r="S25" s="229">
        <v>0</v>
      </c>
      <c r="T25" s="229">
        <v>0</v>
      </c>
      <c r="U25" s="229">
        <v>0</v>
      </c>
      <c r="V25" s="229">
        <v>0</v>
      </c>
      <c r="W25" s="229">
        <v>0</v>
      </c>
      <c r="X25" s="229">
        <v>0</v>
      </c>
      <c r="Y25" s="229">
        <v>0</v>
      </c>
      <c r="Z25" s="229">
        <v>0</v>
      </c>
      <c r="AA25" s="229">
        <v>0</v>
      </c>
      <c r="AB25" s="229">
        <v>0</v>
      </c>
      <c r="AC25" s="229">
        <v>0</v>
      </c>
    </row>
    <row r="26" spans="1:29" s="165" customFormat="1" ht="13.8">
      <c r="A26" s="591" t="s">
        <v>1401</v>
      </c>
      <c r="B26" s="57" t="s">
        <v>1402</v>
      </c>
      <c r="C26" s="57"/>
      <c r="D26" s="57"/>
      <c r="E26" s="57"/>
      <c r="F26" s="57"/>
      <c r="G26" s="57"/>
      <c r="H26" s="229">
        <v>5203</v>
      </c>
      <c r="I26" s="229">
        <v>10405</v>
      </c>
      <c r="J26" s="229">
        <v>15607</v>
      </c>
      <c r="K26" s="229">
        <v>20809</v>
      </c>
      <c r="L26" s="229">
        <v>5203</v>
      </c>
      <c r="M26" s="229">
        <v>10402</v>
      </c>
      <c r="N26" s="229">
        <v>15604</v>
      </c>
      <c r="O26" s="229">
        <v>88617</v>
      </c>
      <c r="P26" s="229">
        <v>-11241</v>
      </c>
      <c r="Q26" s="229">
        <v>-11223</v>
      </c>
      <c r="R26" s="229">
        <v>-17683</v>
      </c>
      <c r="S26" s="229">
        <v>-20109</v>
      </c>
      <c r="T26" s="229">
        <v>-3608</v>
      </c>
      <c r="U26" s="229">
        <v>-181</v>
      </c>
      <c r="V26" s="229">
        <v>-6754</v>
      </c>
      <c r="W26" s="229">
        <v>7371</v>
      </c>
      <c r="X26" s="229">
        <v>4790</v>
      </c>
      <c r="Y26" s="229">
        <v>5139</v>
      </c>
      <c r="Z26" s="229">
        <v>7058</v>
      </c>
      <c r="AA26" s="229">
        <v>14841</v>
      </c>
      <c r="AB26" s="229">
        <v>5941</v>
      </c>
      <c r="AC26" s="229">
        <v>15946</v>
      </c>
    </row>
    <row r="27" spans="1:29" s="165" customFormat="1" ht="13.8">
      <c r="A27" s="591" t="s">
        <v>1403</v>
      </c>
      <c r="B27" s="57" t="s">
        <v>2015</v>
      </c>
      <c r="C27" s="57"/>
      <c r="D27" s="57"/>
      <c r="E27" s="57"/>
      <c r="F27" s="57"/>
      <c r="G27" s="57"/>
      <c r="H27" s="229"/>
      <c r="I27" s="229"/>
      <c r="J27" s="229"/>
      <c r="K27" s="229"/>
      <c r="L27" s="229"/>
      <c r="M27" s="229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>
        <v>0</v>
      </c>
      <c r="Z27" s="229">
        <v>0</v>
      </c>
      <c r="AA27" s="229">
        <v>0</v>
      </c>
      <c r="AB27" s="229">
        <v>0</v>
      </c>
      <c r="AC27" s="229">
        <v>0</v>
      </c>
    </row>
    <row r="28" spans="1:29" s="165" customFormat="1" ht="13.8">
      <c r="A28" s="591" t="s">
        <v>1470</v>
      </c>
      <c r="B28" s="57" t="s">
        <v>1980</v>
      </c>
      <c r="C28" s="57"/>
      <c r="D28" s="57"/>
      <c r="E28" s="57"/>
      <c r="F28" s="57"/>
      <c r="G28" s="57"/>
      <c r="H28" s="229">
        <v>33878</v>
      </c>
      <c r="I28" s="229">
        <v>72285</v>
      </c>
      <c r="J28" s="229">
        <v>119188</v>
      </c>
      <c r="K28" s="229">
        <v>166674</v>
      </c>
      <c r="L28" s="229">
        <v>44904</v>
      </c>
      <c r="M28" s="229">
        <v>79478</v>
      </c>
      <c r="N28" s="229">
        <v>129421</v>
      </c>
      <c r="O28" s="229">
        <v>98098</v>
      </c>
      <c r="P28" s="229">
        <v>30892</v>
      </c>
      <c r="Q28" s="229">
        <v>56883</v>
      </c>
      <c r="R28" s="229">
        <v>111142</v>
      </c>
      <c r="S28" s="229">
        <v>146727</v>
      </c>
      <c r="T28" s="229">
        <v>56755</v>
      </c>
      <c r="U28" s="229">
        <v>106839</v>
      </c>
      <c r="V28" s="229">
        <v>158141</v>
      </c>
      <c r="W28" s="229">
        <v>217985</v>
      </c>
      <c r="X28" s="229">
        <v>53297</v>
      </c>
      <c r="Y28" s="229">
        <v>120753</v>
      </c>
      <c r="Z28" s="229">
        <v>188385</v>
      </c>
      <c r="AA28" s="229">
        <v>224416</v>
      </c>
      <c r="AB28" s="229">
        <v>78416</v>
      </c>
      <c r="AC28" s="229">
        <v>148863</v>
      </c>
    </row>
    <row r="29" spans="1:29" s="165" customFormat="1" ht="13.8">
      <c r="A29" s="591" t="s">
        <v>1404</v>
      </c>
      <c r="B29" s="57" t="s">
        <v>1979</v>
      </c>
      <c r="C29" s="57"/>
      <c r="D29" s="57"/>
      <c r="E29" s="57"/>
      <c r="F29" s="57"/>
      <c r="G29" s="57"/>
      <c r="H29" s="229">
        <v>-12576</v>
      </c>
      <c r="I29" s="229">
        <v>2243</v>
      </c>
      <c r="J29" s="229">
        <v>3736</v>
      </c>
      <c r="K29" s="229">
        <v>0</v>
      </c>
      <c r="L29" s="229">
        <v>0</v>
      </c>
      <c r="M29" s="229">
        <v>-1090</v>
      </c>
      <c r="N29" s="229">
        <v>3224</v>
      </c>
      <c r="O29" s="229">
        <v>0</v>
      </c>
      <c r="P29" s="229">
        <v>0</v>
      </c>
      <c r="Q29" s="229">
        <v>0</v>
      </c>
      <c r="R29" s="229">
        <v>0</v>
      </c>
      <c r="S29" s="229">
        <v>2808</v>
      </c>
      <c r="T29" s="229">
        <v>986</v>
      </c>
      <c r="U29" s="229">
        <v>0</v>
      </c>
      <c r="V29" s="229">
        <v>0</v>
      </c>
      <c r="W29" s="229">
        <v>-1580</v>
      </c>
      <c r="X29" s="229">
        <v>470</v>
      </c>
      <c r="Y29" s="229">
        <v>1245</v>
      </c>
      <c r="Z29" s="229">
        <v>2028</v>
      </c>
      <c r="AA29" s="229">
        <v>2656</v>
      </c>
      <c r="AB29" s="229">
        <v>134</v>
      </c>
      <c r="AC29" s="229">
        <v>973</v>
      </c>
    </row>
    <row r="30" spans="1:29" s="165" customFormat="1" ht="13.8">
      <c r="A30" s="591" t="s">
        <v>720</v>
      </c>
      <c r="B30" s="57" t="s">
        <v>1981</v>
      </c>
      <c r="C30" s="57"/>
      <c r="D30" s="57"/>
      <c r="E30" s="57"/>
      <c r="F30" s="57"/>
      <c r="G30" s="57"/>
      <c r="H30" s="229">
        <v>0</v>
      </c>
      <c r="I30" s="229">
        <v>0</v>
      </c>
      <c r="J30" s="229">
        <v>0</v>
      </c>
      <c r="K30" s="229">
        <v>0</v>
      </c>
      <c r="L30" s="229">
        <v>0</v>
      </c>
      <c r="M30" s="229">
        <v>0</v>
      </c>
      <c r="N30" s="229">
        <v>0</v>
      </c>
      <c r="O30" s="229">
        <v>0</v>
      </c>
      <c r="P30" s="229">
        <v>0</v>
      </c>
      <c r="Q30" s="229">
        <v>15047</v>
      </c>
      <c r="R30" s="229">
        <v>23132</v>
      </c>
      <c r="S30" s="229">
        <v>31652</v>
      </c>
      <c r="T30" s="229">
        <v>10210</v>
      </c>
      <c r="U30" s="229">
        <v>21066</v>
      </c>
      <c r="V30" s="229">
        <v>37523</v>
      </c>
      <c r="W30" s="229">
        <v>85556</v>
      </c>
      <c r="X30" s="229">
        <v>6175</v>
      </c>
      <c r="Y30" s="229">
        <v>12428</v>
      </c>
      <c r="Z30" s="229">
        <v>15913</v>
      </c>
      <c r="AA30" s="229">
        <v>25726</v>
      </c>
      <c r="AB30" s="229">
        <v>7719</v>
      </c>
      <c r="AC30" s="229">
        <v>13375</v>
      </c>
    </row>
    <row r="31" spans="1:29" s="165" customFormat="1" ht="13.8">
      <c r="A31" s="591" t="s">
        <v>1405</v>
      </c>
      <c r="B31" s="57" t="s">
        <v>1985</v>
      </c>
      <c r="C31" s="57"/>
      <c r="D31" s="57"/>
      <c r="E31" s="57"/>
      <c r="F31" s="57"/>
      <c r="G31" s="57"/>
      <c r="H31" s="229">
        <v>0</v>
      </c>
      <c r="I31" s="229">
        <v>37351</v>
      </c>
      <c r="J31" s="229">
        <v>25187</v>
      </c>
      <c r="K31" s="229">
        <v>48489</v>
      </c>
      <c r="L31" s="229">
        <v>14813</v>
      </c>
      <c r="M31" s="229">
        <v>29570</v>
      </c>
      <c r="N31" s="229">
        <v>45600</v>
      </c>
      <c r="O31" s="229">
        <v>62819</v>
      </c>
      <c r="P31" s="229">
        <v>16046</v>
      </c>
      <c r="Q31" s="229">
        <v>32860</v>
      </c>
      <c r="R31" s="229">
        <v>52512</v>
      </c>
      <c r="S31" s="229">
        <v>79443</v>
      </c>
      <c r="T31" s="229">
        <v>16487</v>
      </c>
      <c r="U31" s="229">
        <v>35682</v>
      </c>
      <c r="V31" s="229">
        <v>57937</v>
      </c>
      <c r="W31" s="229">
        <v>79803</v>
      </c>
      <c r="X31" s="229">
        <v>18345</v>
      </c>
      <c r="Y31" s="229">
        <v>38873</v>
      </c>
      <c r="Z31" s="229">
        <v>60860</v>
      </c>
      <c r="AA31" s="229">
        <v>83335</v>
      </c>
      <c r="AB31" s="229">
        <v>20489</v>
      </c>
      <c r="AC31" s="229">
        <v>45239</v>
      </c>
    </row>
    <row r="32" spans="1:29" s="165" customFormat="1" ht="13.8">
      <c r="A32" s="591" t="s">
        <v>1471</v>
      </c>
      <c r="B32" s="57" t="s">
        <v>1984</v>
      </c>
      <c r="C32" s="57"/>
      <c r="D32" s="57"/>
      <c r="E32" s="57"/>
      <c r="F32" s="57"/>
      <c r="G32" s="57"/>
      <c r="H32" s="229">
        <v>4293</v>
      </c>
      <c r="I32" s="229">
        <v>2226</v>
      </c>
      <c r="J32" s="229">
        <v>5095</v>
      </c>
      <c r="K32" s="229">
        <v>24746</v>
      </c>
      <c r="L32" s="229">
        <v>2096</v>
      </c>
      <c r="M32" s="229">
        <v>6445</v>
      </c>
      <c r="N32" s="229">
        <v>12034</v>
      </c>
      <c r="O32" s="229">
        <v>24651</v>
      </c>
      <c r="P32" s="229">
        <v>5425</v>
      </c>
      <c r="Q32" s="229">
        <v>8579</v>
      </c>
      <c r="R32" s="229">
        <v>15745</v>
      </c>
      <c r="S32" s="229">
        <v>18187</v>
      </c>
      <c r="T32" s="229">
        <v>8641</v>
      </c>
      <c r="U32" s="229">
        <v>13385</v>
      </c>
      <c r="V32" s="229">
        <v>17236</v>
      </c>
      <c r="W32" s="229">
        <v>24651</v>
      </c>
      <c r="X32" s="229">
        <v>8293</v>
      </c>
      <c r="Y32" s="229">
        <v>14430</v>
      </c>
      <c r="Z32" s="229">
        <v>21487</v>
      </c>
      <c r="AA32" s="229">
        <v>66398</v>
      </c>
      <c r="AB32" s="229">
        <v>13996</v>
      </c>
      <c r="AC32" s="229">
        <v>20462</v>
      </c>
    </row>
    <row r="33" spans="1:29" s="165" customFormat="1" ht="13.8">
      <c r="A33" s="591" t="s">
        <v>1407</v>
      </c>
      <c r="B33" s="57" t="s">
        <v>1986</v>
      </c>
      <c r="C33" s="57"/>
      <c r="D33" s="57"/>
      <c r="E33" s="57"/>
      <c r="F33" s="57"/>
      <c r="G33" s="57"/>
      <c r="H33" s="229">
        <v>-153108</v>
      </c>
      <c r="I33" s="229">
        <v>-206007</v>
      </c>
      <c r="J33" s="229">
        <v>-676171</v>
      </c>
      <c r="K33" s="229">
        <v>-1272566</v>
      </c>
      <c r="L33" s="229">
        <v>-3335</v>
      </c>
      <c r="M33" s="229">
        <v>-180658</v>
      </c>
      <c r="N33" s="229">
        <v>-289622</v>
      </c>
      <c r="O33" s="229">
        <v>-439883</v>
      </c>
      <c r="P33" s="229">
        <v>-224910</v>
      </c>
      <c r="Q33" s="229">
        <v>-408925</v>
      </c>
      <c r="R33" s="229">
        <v>-408048</v>
      </c>
      <c r="S33" s="229">
        <v>-285464</v>
      </c>
      <c r="T33" s="229">
        <v>91146</v>
      </c>
      <c r="U33" s="229">
        <v>159534</v>
      </c>
      <c r="V33" s="229">
        <v>104363</v>
      </c>
      <c r="W33" s="229">
        <v>188713</v>
      </c>
      <c r="X33" s="229">
        <v>-6875</v>
      </c>
      <c r="Y33" s="229">
        <v>-28764</v>
      </c>
      <c r="Z33" s="229">
        <v>-40549</v>
      </c>
      <c r="AA33" s="229">
        <v>-59717</v>
      </c>
      <c r="AB33" s="229">
        <v>-63652</v>
      </c>
      <c r="AC33" s="229">
        <v>-396499</v>
      </c>
    </row>
    <row r="34" spans="1:29" s="165" customFormat="1" ht="13.8">
      <c r="A34" s="591" t="s">
        <v>1408</v>
      </c>
      <c r="B34" s="57" t="s">
        <v>1987</v>
      </c>
      <c r="C34" s="57"/>
      <c r="D34" s="57"/>
      <c r="E34" s="57"/>
      <c r="F34" s="57"/>
      <c r="G34" s="57"/>
      <c r="H34" s="229">
        <v>0</v>
      </c>
      <c r="I34" s="229">
        <v>0</v>
      </c>
      <c r="J34" s="229">
        <v>0</v>
      </c>
      <c r="K34" s="229">
        <v>0</v>
      </c>
      <c r="L34" s="229">
        <v>0</v>
      </c>
      <c r="M34" s="229">
        <v>0</v>
      </c>
      <c r="N34" s="229">
        <v>0</v>
      </c>
      <c r="O34" s="229">
        <v>0</v>
      </c>
      <c r="P34" s="229">
        <v>0</v>
      </c>
      <c r="Q34" s="229">
        <v>0</v>
      </c>
      <c r="R34" s="229">
        <v>0</v>
      </c>
      <c r="S34" s="229">
        <v>0</v>
      </c>
      <c r="T34" s="229">
        <v>0</v>
      </c>
      <c r="U34" s="229">
        <v>0</v>
      </c>
      <c r="V34" s="229">
        <v>0</v>
      </c>
      <c r="W34" s="229">
        <v>0</v>
      </c>
      <c r="X34" s="229">
        <v>0</v>
      </c>
      <c r="Y34" s="229">
        <v>0</v>
      </c>
      <c r="Z34" s="229">
        <v>0</v>
      </c>
      <c r="AA34" s="229">
        <v>0</v>
      </c>
      <c r="AB34" s="229">
        <v>0</v>
      </c>
      <c r="AC34" s="229">
        <v>0</v>
      </c>
    </row>
    <row r="35" spans="1:29" s="165" customFormat="1" ht="13.8">
      <c r="A35" s="591" t="s">
        <v>1472</v>
      </c>
      <c r="B35" s="57" t="s">
        <v>775</v>
      </c>
      <c r="C35" s="57"/>
      <c r="D35" s="57"/>
      <c r="E35" s="57"/>
      <c r="F35" s="57"/>
      <c r="G35" s="57"/>
      <c r="H35" s="229">
        <v>43664</v>
      </c>
      <c r="I35" s="229">
        <v>68825</v>
      </c>
      <c r="J35" s="229">
        <v>83810</v>
      </c>
      <c r="K35" s="229">
        <v>124764</v>
      </c>
      <c r="L35" s="229">
        <v>-40426</v>
      </c>
      <c r="M35" s="229">
        <v>1932</v>
      </c>
      <c r="N35" s="229">
        <v>-67937</v>
      </c>
      <c r="O35" s="229">
        <v>-87300</v>
      </c>
      <c r="P35" s="229">
        <v>-34554</v>
      </c>
      <c r="Q35" s="229">
        <v>-53765</v>
      </c>
      <c r="R35" s="229">
        <v>37140</v>
      </c>
      <c r="S35" s="229">
        <v>222799</v>
      </c>
      <c r="T35" s="229">
        <v>33033</v>
      </c>
      <c r="U35" s="229">
        <v>104458</v>
      </c>
      <c r="V35" s="229">
        <v>101804</v>
      </c>
      <c r="W35" s="229">
        <v>131931</v>
      </c>
      <c r="X35" s="229">
        <v>65165</v>
      </c>
      <c r="Y35" s="229">
        <v>65889</v>
      </c>
      <c r="Z35" s="229">
        <v>82330</v>
      </c>
      <c r="AA35" s="229">
        <v>52539</v>
      </c>
      <c r="AB35" s="229">
        <v>43922</v>
      </c>
      <c r="AC35" s="229">
        <v>93134</v>
      </c>
    </row>
    <row r="36" spans="1:29" s="165" customFormat="1" ht="13.8">
      <c r="A36" s="591" t="s">
        <v>1409</v>
      </c>
      <c r="B36" s="57" t="s">
        <v>1988</v>
      </c>
      <c r="C36" s="57"/>
      <c r="D36" s="57"/>
      <c r="E36" s="57"/>
      <c r="F36" s="57"/>
      <c r="G36" s="57"/>
      <c r="H36" s="229">
        <v>3501</v>
      </c>
      <c r="I36" s="229">
        <v>29191</v>
      </c>
      <c r="J36" s="229">
        <v>114936</v>
      </c>
      <c r="K36" s="229">
        <v>148852</v>
      </c>
      <c r="L36" s="229">
        <v>107557</v>
      </c>
      <c r="M36" s="229">
        <v>155466</v>
      </c>
      <c r="N36" s="229">
        <v>257745</v>
      </c>
      <c r="O36" s="229">
        <v>266609</v>
      </c>
      <c r="P36" s="229">
        <v>82827</v>
      </c>
      <c r="Q36" s="229">
        <v>212243</v>
      </c>
      <c r="R36" s="229">
        <v>291678</v>
      </c>
      <c r="S36" s="229">
        <v>104459</v>
      </c>
      <c r="T36" s="229">
        <v>61528</v>
      </c>
      <c r="U36" s="229">
        <v>91608</v>
      </c>
      <c r="V36" s="229">
        <v>196775</v>
      </c>
      <c r="W36" s="229">
        <v>86123</v>
      </c>
      <c r="X36" s="229">
        <v>28144</v>
      </c>
      <c r="Y36" s="229">
        <v>91693</v>
      </c>
      <c r="Z36" s="229">
        <v>139851</v>
      </c>
      <c r="AA36" s="229">
        <v>199469</v>
      </c>
      <c r="AB36" s="229">
        <v>29217</v>
      </c>
      <c r="AC36" s="229">
        <v>63855</v>
      </c>
    </row>
    <row r="37" spans="1:29" s="165" customFormat="1" ht="13.8">
      <c r="A37" s="591" t="s">
        <v>1488</v>
      </c>
      <c r="B37" s="57" t="s">
        <v>1989</v>
      </c>
      <c r="C37" s="57"/>
      <c r="D37" s="57"/>
      <c r="E37" s="57"/>
      <c r="F37" s="57"/>
      <c r="G37" s="57"/>
      <c r="H37" s="229">
        <v>2335</v>
      </c>
      <c r="I37" s="229">
        <v>5277</v>
      </c>
      <c r="J37" s="229">
        <v>8029</v>
      </c>
      <c r="K37" s="229">
        <v>10552</v>
      </c>
      <c r="L37" s="229">
        <v>1502</v>
      </c>
      <c r="M37" s="229">
        <v>2974</v>
      </c>
      <c r="N37" s="229">
        <v>4907</v>
      </c>
      <c r="O37" s="229">
        <v>8525</v>
      </c>
      <c r="P37" s="229">
        <v>2537</v>
      </c>
      <c r="Q37" s="229">
        <v>-174</v>
      </c>
      <c r="R37" s="229">
        <v>7713</v>
      </c>
      <c r="S37" s="229">
        <v>12099</v>
      </c>
      <c r="T37" s="229">
        <v>890</v>
      </c>
      <c r="U37" s="229">
        <v>-1875</v>
      </c>
      <c r="V37" s="229">
        <v>317</v>
      </c>
      <c r="W37" s="229">
        <v>652</v>
      </c>
      <c r="X37" s="229">
        <v>1480</v>
      </c>
      <c r="Y37" s="229">
        <v>3556</v>
      </c>
      <c r="Z37" s="229">
        <v>0</v>
      </c>
      <c r="AA37" s="229">
        <v>0</v>
      </c>
      <c r="AB37" s="229">
        <v>5359</v>
      </c>
      <c r="AC37" s="229">
        <v>10546</v>
      </c>
    </row>
    <row r="38" spans="1:29" s="165" customFormat="1" ht="13.8">
      <c r="A38" s="591" t="s">
        <v>1411</v>
      </c>
      <c r="B38" s="57" t="s">
        <v>1990</v>
      </c>
      <c r="C38" s="57"/>
      <c r="D38" s="57"/>
      <c r="E38" s="57"/>
      <c r="F38" s="57"/>
      <c r="G38" s="57"/>
      <c r="H38" s="229"/>
      <c r="I38" s="229"/>
      <c r="J38" s="229"/>
      <c r="K38" s="229"/>
      <c r="L38" s="229"/>
      <c r="M38" s="229"/>
      <c r="N38" s="229"/>
      <c r="O38" s="229"/>
      <c r="P38" s="229"/>
      <c r="Q38" s="229"/>
      <c r="R38" s="229"/>
      <c r="S38" s="229"/>
      <c r="T38" s="229"/>
      <c r="U38" s="229"/>
      <c r="V38" s="229"/>
      <c r="W38" s="229"/>
      <c r="X38" s="229"/>
      <c r="Y38" s="229">
        <v>0</v>
      </c>
      <c r="Z38" s="229">
        <v>6299</v>
      </c>
      <c r="AA38" s="229">
        <v>10287</v>
      </c>
      <c r="AB38" s="229">
        <v>0</v>
      </c>
      <c r="AC38" s="229">
        <v>0</v>
      </c>
    </row>
    <row r="39" spans="1:29" s="165" customFormat="1" ht="13.8">
      <c r="A39" s="591" t="s">
        <v>1127</v>
      </c>
      <c r="B39" s="57" t="s">
        <v>1991</v>
      </c>
      <c r="C39" s="57"/>
      <c r="D39" s="57"/>
      <c r="E39" s="57"/>
      <c r="F39" s="57"/>
      <c r="G39" s="57"/>
      <c r="H39" s="229">
        <v>0</v>
      </c>
      <c r="I39" s="229">
        <v>0</v>
      </c>
      <c r="J39" s="229">
        <v>0</v>
      </c>
      <c r="K39" s="229">
        <v>0</v>
      </c>
      <c r="L39" s="229">
        <v>0</v>
      </c>
      <c r="M39" s="229">
        <v>0</v>
      </c>
      <c r="N39" s="229">
        <v>0</v>
      </c>
      <c r="O39" s="229">
        <v>0</v>
      </c>
      <c r="P39" s="229">
        <v>0</v>
      </c>
      <c r="Q39" s="229">
        <v>0</v>
      </c>
      <c r="R39" s="229">
        <v>-12711</v>
      </c>
      <c r="S39" s="229">
        <v>-12711</v>
      </c>
      <c r="T39" s="229">
        <v>0</v>
      </c>
      <c r="U39" s="229">
        <v>0</v>
      </c>
      <c r="V39" s="229">
        <v>0</v>
      </c>
      <c r="W39" s="229">
        <v>0</v>
      </c>
      <c r="X39" s="229">
        <v>0</v>
      </c>
      <c r="Y39" s="229">
        <v>0</v>
      </c>
      <c r="Z39" s="229">
        <v>0</v>
      </c>
      <c r="AA39" s="229">
        <v>0</v>
      </c>
      <c r="AB39" s="229">
        <v>0</v>
      </c>
      <c r="AC39" s="229">
        <v>0</v>
      </c>
    </row>
    <row r="40" spans="1:29" s="165" customFormat="1" ht="13.8">
      <c r="A40" s="591" t="s">
        <v>1412</v>
      </c>
      <c r="B40" s="57" t="s">
        <v>1992</v>
      </c>
      <c r="C40" s="57"/>
      <c r="D40" s="57"/>
      <c r="E40" s="57"/>
      <c r="F40" s="57"/>
      <c r="G40" s="57"/>
      <c r="H40" s="229">
        <v>0</v>
      </c>
      <c r="I40" s="229">
        <v>0</v>
      </c>
      <c r="J40" s="229">
        <v>0</v>
      </c>
      <c r="K40" s="229">
        <v>0</v>
      </c>
      <c r="L40" s="229">
        <v>0</v>
      </c>
      <c r="M40" s="229">
        <v>0</v>
      </c>
      <c r="N40" s="229">
        <v>0</v>
      </c>
      <c r="O40" s="229">
        <v>0</v>
      </c>
      <c r="P40" s="229">
        <v>0</v>
      </c>
      <c r="Q40" s="229">
        <v>0</v>
      </c>
      <c r="R40" s="229">
        <v>0</v>
      </c>
      <c r="S40" s="229">
        <v>0</v>
      </c>
      <c r="T40" s="229">
        <v>0</v>
      </c>
      <c r="U40" s="229">
        <v>0</v>
      </c>
      <c r="V40" s="229">
        <v>0</v>
      </c>
      <c r="W40" s="229">
        <v>0</v>
      </c>
      <c r="X40" s="229">
        <v>0</v>
      </c>
      <c r="Y40" s="229">
        <v>0</v>
      </c>
      <c r="Z40" s="229">
        <v>0</v>
      </c>
      <c r="AA40" s="229">
        <v>0</v>
      </c>
      <c r="AB40" s="229">
        <v>0</v>
      </c>
      <c r="AC40" s="229">
        <v>0</v>
      </c>
    </row>
    <row r="41" spans="1:29" s="165" customFormat="1" ht="13.8">
      <c r="A41" s="591" t="s">
        <v>1172</v>
      </c>
      <c r="B41" s="57" t="s">
        <v>1977</v>
      </c>
      <c r="C41" s="57"/>
      <c r="D41" s="57"/>
      <c r="E41" s="57"/>
      <c r="F41" s="57"/>
      <c r="G41" s="57"/>
      <c r="H41" s="229">
        <v>6074</v>
      </c>
      <c r="I41" s="229">
        <v>12148</v>
      </c>
      <c r="J41" s="229">
        <v>18223</v>
      </c>
      <c r="K41" s="229">
        <v>25619</v>
      </c>
      <c r="L41" s="229">
        <v>6330</v>
      </c>
      <c r="M41" s="229">
        <v>12886</v>
      </c>
      <c r="N41" s="229">
        <v>19416</v>
      </c>
      <c r="O41" s="229">
        <v>25947</v>
      </c>
      <c r="P41" s="229">
        <v>6819</v>
      </c>
      <c r="Q41" s="229">
        <v>-13645</v>
      </c>
      <c r="R41" s="229">
        <v>20468</v>
      </c>
      <c r="S41" s="229">
        <v>27291</v>
      </c>
      <c r="T41" s="229">
        <v>7079</v>
      </c>
      <c r="U41" s="229">
        <v>15569</v>
      </c>
      <c r="V41" s="229">
        <v>25636</v>
      </c>
      <c r="W41" s="229">
        <v>35720</v>
      </c>
      <c r="X41" s="229">
        <v>8132</v>
      </c>
      <c r="Y41" s="229">
        <v>17959</v>
      </c>
      <c r="Z41" s="229">
        <v>29058</v>
      </c>
      <c r="AA41" s="229">
        <v>40154</v>
      </c>
      <c r="AB41" s="229">
        <v>6372</v>
      </c>
      <c r="AC41" s="229">
        <v>15299</v>
      </c>
    </row>
    <row r="42" spans="1:29" s="165" customFormat="1" ht="13.8">
      <c r="A42" s="591" t="s">
        <v>1473</v>
      </c>
      <c r="B42" s="57" t="s">
        <v>1195</v>
      </c>
      <c r="C42" s="57"/>
      <c r="D42" s="57"/>
      <c r="E42" s="57"/>
      <c r="F42" s="57"/>
      <c r="G42" s="57"/>
      <c r="H42" s="229">
        <v>0</v>
      </c>
      <c r="I42" s="229">
        <v>0</v>
      </c>
      <c r="J42" s="229">
        <v>11798</v>
      </c>
      <c r="K42" s="229">
        <v>8611</v>
      </c>
      <c r="L42" s="229">
        <v>0</v>
      </c>
      <c r="M42" s="229">
        <v>0</v>
      </c>
      <c r="N42" s="229">
        <v>0</v>
      </c>
      <c r="O42" s="229">
        <v>8577</v>
      </c>
      <c r="P42" s="229">
        <v>1246</v>
      </c>
      <c r="Q42" s="229">
        <v>2456</v>
      </c>
      <c r="R42" s="229">
        <v>4205</v>
      </c>
      <c r="S42" s="229">
        <v>8306</v>
      </c>
      <c r="T42" s="229">
        <v>9161</v>
      </c>
      <c r="U42" s="229">
        <v>9161</v>
      </c>
      <c r="V42" s="229">
        <v>3249</v>
      </c>
      <c r="W42" s="229">
        <v>8419</v>
      </c>
      <c r="X42" s="229">
        <v>594</v>
      </c>
      <c r="Y42" s="229">
        <v>1002</v>
      </c>
      <c r="Z42" s="229">
        <v>1387</v>
      </c>
      <c r="AA42" s="229">
        <v>7374</v>
      </c>
      <c r="AB42" s="229">
        <v>660</v>
      </c>
      <c r="AC42" s="229">
        <v>1403</v>
      </c>
    </row>
    <row r="43" spans="1:29" s="165" customFormat="1" ht="13.8">
      <c r="A43" s="591" t="s">
        <v>1413</v>
      </c>
      <c r="B43" s="57" t="s">
        <v>2014</v>
      </c>
      <c r="C43" s="57"/>
      <c r="D43" s="57"/>
      <c r="E43" s="57"/>
      <c r="F43" s="57"/>
      <c r="G43" s="57"/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29"/>
      <c r="T43" s="229"/>
      <c r="U43" s="229"/>
      <c r="V43" s="229"/>
      <c r="W43" s="229"/>
      <c r="X43" s="229"/>
      <c r="Y43" s="229">
        <v>0</v>
      </c>
      <c r="Z43" s="229">
        <v>0</v>
      </c>
      <c r="AA43" s="229">
        <v>0</v>
      </c>
      <c r="AB43" s="229">
        <v>0</v>
      </c>
      <c r="AC43" s="229">
        <v>0</v>
      </c>
    </row>
    <row r="44" spans="1:29" s="165" customFormat="1" ht="13.8">
      <c r="A44" s="591" t="s">
        <v>1414</v>
      </c>
      <c r="B44" s="57" t="s">
        <v>1992</v>
      </c>
      <c r="C44" s="57"/>
      <c r="D44" s="57"/>
      <c r="E44" s="57"/>
      <c r="F44" s="57"/>
      <c r="G44" s="57"/>
      <c r="H44" s="229"/>
      <c r="I44" s="229"/>
      <c r="J44" s="229"/>
      <c r="K44" s="229"/>
      <c r="L44" s="229"/>
      <c r="M44" s="229"/>
      <c r="N44" s="229"/>
      <c r="O44" s="229"/>
      <c r="P44" s="229"/>
      <c r="Q44" s="229"/>
      <c r="R44" s="229"/>
      <c r="S44" s="229"/>
      <c r="T44" s="229"/>
      <c r="U44" s="229"/>
      <c r="V44" s="229"/>
      <c r="W44" s="229"/>
      <c r="X44" s="229"/>
      <c r="Y44" s="229">
        <v>0</v>
      </c>
      <c r="Z44" s="229">
        <v>0</v>
      </c>
      <c r="AA44" s="229">
        <v>0</v>
      </c>
      <c r="AB44" s="229">
        <v>0</v>
      </c>
      <c r="AC44" s="229">
        <v>0</v>
      </c>
    </row>
    <row r="45" spans="1:29" s="165" customFormat="1" ht="13.8">
      <c r="A45" s="591" t="s">
        <v>1415</v>
      </c>
      <c r="B45" s="57" t="s">
        <v>1993</v>
      </c>
      <c r="C45" s="57"/>
      <c r="D45" s="57"/>
      <c r="E45" s="57"/>
      <c r="F45" s="57"/>
      <c r="G45" s="57"/>
      <c r="H45" s="229"/>
      <c r="I45" s="229"/>
      <c r="J45" s="229"/>
      <c r="K45" s="229"/>
      <c r="L45" s="229"/>
      <c r="M45" s="229"/>
      <c r="N45" s="229"/>
      <c r="O45" s="229"/>
      <c r="P45" s="229"/>
      <c r="Q45" s="229"/>
      <c r="R45" s="229"/>
      <c r="S45" s="229"/>
      <c r="T45" s="229"/>
      <c r="U45" s="229"/>
      <c r="V45" s="229"/>
      <c r="W45" s="229"/>
      <c r="X45" s="229"/>
      <c r="Y45" s="229">
        <v>0</v>
      </c>
      <c r="Z45" s="229">
        <v>0</v>
      </c>
      <c r="AA45" s="229">
        <v>0</v>
      </c>
      <c r="AB45" s="229">
        <v>0</v>
      </c>
      <c r="AC45" s="229">
        <v>0</v>
      </c>
    </row>
    <row r="46" spans="1:29" s="165" customFormat="1" ht="13.8">
      <c r="A46" s="591" t="s">
        <v>1474</v>
      </c>
      <c r="B46" s="57" t="s">
        <v>1417</v>
      </c>
      <c r="C46" s="57"/>
      <c r="D46" s="57"/>
      <c r="E46" s="57"/>
      <c r="F46" s="57"/>
      <c r="G46" s="57"/>
      <c r="H46" s="229">
        <v>0</v>
      </c>
      <c r="I46" s="229">
        <v>0</v>
      </c>
      <c r="J46" s="229">
        <v>0</v>
      </c>
      <c r="K46" s="229">
        <v>0</v>
      </c>
      <c r="L46" s="229">
        <v>0</v>
      </c>
      <c r="M46" s="229">
        <v>0</v>
      </c>
      <c r="N46" s="229">
        <v>0</v>
      </c>
      <c r="O46" s="229">
        <v>113106</v>
      </c>
      <c r="P46" s="229">
        <v>-113722</v>
      </c>
      <c r="Q46" s="229">
        <v>-80598</v>
      </c>
      <c r="R46" s="229">
        <v>-78507</v>
      </c>
      <c r="S46" s="229">
        <v>-77152</v>
      </c>
      <c r="T46" s="229">
        <v>490</v>
      </c>
      <c r="U46" s="229">
        <v>3772</v>
      </c>
      <c r="V46" s="229">
        <v>-5703</v>
      </c>
      <c r="W46" s="229">
        <v>-6009</v>
      </c>
      <c r="X46" s="229">
        <v>9278</v>
      </c>
      <c r="Y46" s="229">
        <v>10954</v>
      </c>
      <c r="Z46" s="229">
        <v>18243</v>
      </c>
      <c r="AA46" s="229">
        <v>20599</v>
      </c>
      <c r="AB46" s="229">
        <v>-3243</v>
      </c>
      <c r="AC46" s="229">
        <v>-2179</v>
      </c>
    </row>
    <row r="47" spans="1:29" s="165" customFormat="1" ht="13.8">
      <c r="A47" s="591" t="s">
        <v>95</v>
      </c>
      <c r="B47" s="57" t="s">
        <v>96</v>
      </c>
      <c r="C47" s="57"/>
      <c r="D47" s="57"/>
      <c r="E47" s="57"/>
      <c r="F47" s="57"/>
      <c r="G47" s="57"/>
      <c r="H47" s="229">
        <v>6934</v>
      </c>
      <c r="I47" s="229">
        <v>-81633</v>
      </c>
      <c r="J47" s="229">
        <v>-6357</v>
      </c>
      <c r="K47" s="229">
        <v>-15374</v>
      </c>
      <c r="L47" s="229">
        <v>1729</v>
      </c>
      <c r="M47" s="229">
        <v>0</v>
      </c>
      <c r="N47" s="229">
        <v>0</v>
      </c>
      <c r="O47" s="229">
        <v>0</v>
      </c>
      <c r="P47" s="229">
        <v>0</v>
      </c>
      <c r="Q47" s="229">
        <v>0</v>
      </c>
      <c r="R47" s="229">
        <v>0</v>
      </c>
      <c r="S47" s="229">
        <v>0</v>
      </c>
      <c r="T47" s="229">
        <v>0</v>
      </c>
      <c r="U47" s="229">
        <v>0</v>
      </c>
      <c r="V47" s="229">
        <v>0</v>
      </c>
      <c r="W47" s="229">
        <v>0</v>
      </c>
      <c r="X47" s="229">
        <v>0</v>
      </c>
      <c r="Y47" s="229">
        <v>0</v>
      </c>
      <c r="Z47" s="229">
        <v>0</v>
      </c>
      <c r="AA47" s="229">
        <v>0</v>
      </c>
      <c r="AB47" s="229">
        <v>0</v>
      </c>
      <c r="AC47" s="229">
        <v>0</v>
      </c>
    </row>
    <row r="48" spans="1:29" s="578" customFormat="1" ht="13.8">
      <c r="A48" s="592"/>
      <c r="B48" s="592"/>
      <c r="C48" s="592"/>
      <c r="D48" s="592">
        <f t="shared" ref="D48:Y48" si="0">SUM(D9:D47)</f>
        <v>0</v>
      </c>
      <c r="E48" s="592">
        <f t="shared" si="0"/>
        <v>0</v>
      </c>
      <c r="F48" s="592">
        <f t="shared" si="0"/>
        <v>0</v>
      </c>
      <c r="G48" s="592">
        <f t="shared" si="0"/>
        <v>0</v>
      </c>
      <c r="H48" s="593">
        <f t="shared" si="0"/>
        <v>208959</v>
      </c>
      <c r="I48" s="593">
        <f t="shared" si="0"/>
        <v>548246</v>
      </c>
      <c r="J48" s="593">
        <f t="shared" si="0"/>
        <v>740936</v>
      </c>
      <c r="K48" s="593">
        <f t="shared" si="0"/>
        <v>819390</v>
      </c>
      <c r="L48" s="593">
        <f t="shared" si="0"/>
        <v>605737</v>
      </c>
      <c r="M48" s="593">
        <f t="shared" si="0"/>
        <v>1064925</v>
      </c>
      <c r="N48" s="593">
        <f t="shared" si="0"/>
        <v>1716390</v>
      </c>
      <c r="O48" s="593">
        <f t="shared" si="0"/>
        <v>2405878</v>
      </c>
      <c r="P48" s="593">
        <f t="shared" si="0"/>
        <v>493633</v>
      </c>
      <c r="Q48" s="593">
        <f t="shared" si="0"/>
        <v>1154000</v>
      </c>
      <c r="R48" s="593">
        <f t="shared" si="0"/>
        <v>2173264</v>
      </c>
      <c r="S48" s="593">
        <f t="shared" si="0"/>
        <v>3024391</v>
      </c>
      <c r="T48" s="593">
        <f t="shared" si="0"/>
        <v>887452</v>
      </c>
      <c r="U48" s="593">
        <f t="shared" si="0"/>
        <v>1711810</v>
      </c>
      <c r="V48" s="593">
        <f t="shared" si="0"/>
        <v>2530468</v>
      </c>
      <c r="W48" s="593">
        <f t="shared" si="0"/>
        <v>3352134</v>
      </c>
      <c r="X48" s="593">
        <f t="shared" si="0"/>
        <v>690229</v>
      </c>
      <c r="Y48" s="593">
        <f t="shared" si="0"/>
        <v>1280068</v>
      </c>
      <c r="Z48" s="593">
        <f>SUM(Z9:Z47)</f>
        <v>2288924</v>
      </c>
      <c r="AA48" s="593">
        <f>SUM(AA9:AA47)</f>
        <v>3192817</v>
      </c>
      <c r="AB48" s="593">
        <f>SUM(AB9:AB47)</f>
        <v>750491</v>
      </c>
      <c r="AC48" s="593">
        <f>SUM(AC9:AC47)</f>
        <v>1324572</v>
      </c>
    </row>
    <row r="49" spans="1:29" s="165" customFormat="1" ht="13.8">
      <c r="A49" s="589" t="s">
        <v>1418</v>
      </c>
      <c r="B49" s="589" t="s">
        <v>2035</v>
      </c>
      <c r="C49" s="57"/>
      <c r="D49" s="57"/>
      <c r="E49" s="57"/>
      <c r="F49" s="57"/>
      <c r="G49" s="57"/>
      <c r="H49" s="229"/>
      <c r="I49" s="229"/>
      <c r="J49" s="57"/>
      <c r="K49" s="229"/>
      <c r="L49" s="229"/>
      <c r="M49" s="229"/>
      <c r="N49" s="229"/>
      <c r="O49" s="57"/>
      <c r="P49" s="57"/>
      <c r="Q49" s="57"/>
      <c r="R49" s="57"/>
      <c r="S49" s="57"/>
      <c r="T49" s="229"/>
      <c r="U49" s="57"/>
      <c r="V49" s="57"/>
      <c r="W49" s="57"/>
      <c r="X49" s="229"/>
      <c r="Y49" s="229"/>
      <c r="Z49" s="229"/>
      <c r="AA49" s="229"/>
      <c r="AB49" s="229"/>
      <c r="AC49" s="229"/>
    </row>
    <row r="50" spans="1:29" s="165" customFormat="1" ht="13.8">
      <c r="A50" s="591" t="s">
        <v>1057</v>
      </c>
      <c r="B50" s="57" t="s">
        <v>1994</v>
      </c>
      <c r="C50" s="57"/>
      <c r="D50" s="57"/>
      <c r="E50" s="57"/>
      <c r="F50" s="57"/>
      <c r="G50" s="57"/>
      <c r="H50" s="229">
        <v>30412</v>
      </c>
      <c r="I50" s="229">
        <v>20121</v>
      </c>
      <c r="J50" s="229">
        <v>-296314</v>
      </c>
      <c r="K50" s="229">
        <v>-317706</v>
      </c>
      <c r="L50" s="229">
        <v>-8452</v>
      </c>
      <c r="M50" s="229">
        <v>9248</v>
      </c>
      <c r="N50" s="229">
        <v>-182765</v>
      </c>
      <c r="O50" s="229">
        <v>-174298</v>
      </c>
      <c r="P50" s="229">
        <v>-2901</v>
      </c>
      <c r="Q50" s="229">
        <v>-148458</v>
      </c>
      <c r="R50" s="229">
        <v>-443499</v>
      </c>
      <c r="S50" s="229">
        <v>-434439</v>
      </c>
      <c r="T50" s="229">
        <v>-41980</v>
      </c>
      <c r="U50" s="229">
        <v>-139983</v>
      </c>
      <c r="V50" s="229">
        <v>-221486</v>
      </c>
      <c r="W50" s="229">
        <v>-277695</v>
      </c>
      <c r="X50" s="229">
        <v>91053</v>
      </c>
      <c r="Y50" s="229">
        <v>-166474</v>
      </c>
      <c r="Z50" s="229">
        <v>-338949</v>
      </c>
      <c r="AA50" s="229">
        <v>-422003</v>
      </c>
      <c r="AB50" s="229">
        <v>38038</v>
      </c>
      <c r="AC50" s="229">
        <v>-200459</v>
      </c>
    </row>
    <row r="51" spans="1:29" s="165" customFormat="1" ht="13.8">
      <c r="A51" s="591" t="s">
        <v>887</v>
      </c>
      <c r="B51" s="57" t="s">
        <v>1995</v>
      </c>
      <c r="C51" s="57"/>
      <c r="D51" s="57"/>
      <c r="E51" s="57"/>
      <c r="F51" s="57"/>
      <c r="G51" s="57"/>
      <c r="H51" s="229">
        <v>13727</v>
      </c>
      <c r="I51" s="229">
        <v>-12018</v>
      </c>
      <c r="J51" s="229">
        <v>-31686</v>
      </c>
      <c r="K51" s="229">
        <v>-33342</v>
      </c>
      <c r="L51" s="229">
        <v>11483</v>
      </c>
      <c r="M51" s="229">
        <v>-4322</v>
      </c>
      <c r="N51" s="229">
        <v>-12795</v>
      </c>
      <c r="O51" s="229">
        <v>-9685</v>
      </c>
      <c r="P51" s="229">
        <v>17752</v>
      </c>
      <c r="Q51" s="229">
        <v>24544</v>
      </c>
      <c r="R51" s="229">
        <v>13380</v>
      </c>
      <c r="S51" s="229">
        <v>18480</v>
      </c>
      <c r="T51" s="229">
        <v>4098</v>
      </c>
      <c r="U51" s="229">
        <v>6546</v>
      </c>
      <c r="V51" s="229">
        <v>-3213</v>
      </c>
      <c r="W51" s="229">
        <v>-5798</v>
      </c>
      <c r="X51" s="229">
        <v>8534</v>
      </c>
      <c r="Y51" s="229">
        <v>-1600</v>
      </c>
      <c r="Z51" s="229">
        <v>-10711</v>
      </c>
      <c r="AA51" s="229">
        <v>-57240</v>
      </c>
      <c r="AB51" s="229">
        <v>6667</v>
      </c>
      <c r="AC51" s="229">
        <v>-4213</v>
      </c>
    </row>
    <row r="52" spans="1:29" s="165" customFormat="1" ht="13.8">
      <c r="A52" s="591" t="s">
        <v>1063</v>
      </c>
      <c r="B52" s="57" t="s">
        <v>1996</v>
      </c>
      <c r="C52" s="57"/>
      <c r="D52" s="57"/>
      <c r="E52" s="57"/>
      <c r="F52" s="57"/>
      <c r="G52" s="57"/>
      <c r="H52" s="229">
        <v>11991</v>
      </c>
      <c r="I52" s="229">
        <v>5181</v>
      </c>
      <c r="J52" s="229">
        <v>-5213</v>
      </c>
      <c r="K52" s="229">
        <v>-48131</v>
      </c>
      <c r="L52" s="229">
        <v>0</v>
      </c>
      <c r="M52" s="229">
        <v>0</v>
      </c>
      <c r="N52" s="229">
        <v>17902</v>
      </c>
      <c r="O52" s="229">
        <v>59743</v>
      </c>
      <c r="P52" s="229">
        <v>888</v>
      </c>
      <c r="Q52" s="229">
        <v>-11350</v>
      </c>
      <c r="R52" s="229">
        <v>26744</v>
      </c>
      <c r="S52" s="229">
        <v>21883</v>
      </c>
      <c r="T52" s="229">
        <v>14092</v>
      </c>
      <c r="U52" s="229">
        <v>2024</v>
      </c>
      <c r="V52" s="229">
        <v>3958</v>
      </c>
      <c r="W52" s="229">
        <v>12006</v>
      </c>
      <c r="X52" s="229">
        <v>-13138</v>
      </c>
      <c r="Y52" s="229">
        <v>-28139</v>
      </c>
      <c r="Z52" s="229">
        <v>-30160</v>
      </c>
      <c r="AA52" s="229">
        <v>-30308</v>
      </c>
      <c r="AB52" s="229">
        <v>15628</v>
      </c>
      <c r="AC52" s="229">
        <v>-7560</v>
      </c>
    </row>
    <row r="53" spans="1:29" s="165" customFormat="1" ht="13.8">
      <c r="A53" s="591" t="s">
        <v>1068</v>
      </c>
      <c r="B53" s="57" t="s">
        <v>1997</v>
      </c>
      <c r="C53" s="57"/>
      <c r="D53" s="57"/>
      <c r="E53" s="57"/>
      <c r="F53" s="57"/>
      <c r="G53" s="57"/>
      <c r="H53" s="229">
        <v>-5227</v>
      </c>
      <c r="I53" s="229">
        <v>-7833</v>
      </c>
      <c r="J53" s="229">
        <v>-13033</v>
      </c>
      <c r="K53" s="229">
        <v>-14589</v>
      </c>
      <c r="L53" s="229">
        <v>-5011</v>
      </c>
      <c r="M53" s="229">
        <v>-6960</v>
      </c>
      <c r="N53" s="229">
        <v>-12642</v>
      </c>
      <c r="O53" s="229">
        <v>-15175</v>
      </c>
      <c r="P53" s="229">
        <v>-3972</v>
      </c>
      <c r="Q53" s="229">
        <v>-4454</v>
      </c>
      <c r="R53" s="229">
        <v>-8603</v>
      </c>
      <c r="S53" s="229">
        <v>-14256</v>
      </c>
      <c r="T53" s="229">
        <v>-1627</v>
      </c>
      <c r="U53" s="229">
        <v>-6589</v>
      </c>
      <c r="V53" s="229">
        <v>-11618</v>
      </c>
      <c r="W53" s="229">
        <v>-17013</v>
      </c>
      <c r="X53" s="229">
        <v>18148</v>
      </c>
      <c r="Y53" s="229">
        <v>7395</v>
      </c>
      <c r="Z53" s="229">
        <v>1179</v>
      </c>
      <c r="AA53" s="229">
        <v>39379</v>
      </c>
      <c r="AB53" s="229">
        <v>-1481</v>
      </c>
      <c r="AC53" s="229">
        <v>-8895</v>
      </c>
    </row>
    <row r="54" spans="1:29" s="165" customFormat="1" ht="13.8">
      <c r="A54" s="591" t="s">
        <v>1419</v>
      </c>
      <c r="B54" s="57" t="s">
        <v>1998</v>
      </c>
      <c r="C54" s="57"/>
      <c r="D54" s="57"/>
      <c r="E54" s="57"/>
      <c r="F54" s="57"/>
      <c r="G54" s="57"/>
      <c r="H54" s="229">
        <v>0</v>
      </c>
      <c r="I54" s="229">
        <v>0</v>
      </c>
      <c r="J54" s="229">
        <v>0</v>
      </c>
      <c r="K54" s="229">
        <v>0</v>
      </c>
      <c r="L54" s="229">
        <v>0</v>
      </c>
      <c r="M54" s="229">
        <v>0</v>
      </c>
      <c r="N54" s="229">
        <v>0</v>
      </c>
      <c r="O54" s="229">
        <v>0</v>
      </c>
      <c r="P54" s="229">
        <v>0</v>
      </c>
      <c r="Q54" s="229">
        <v>0</v>
      </c>
      <c r="R54" s="229">
        <v>0</v>
      </c>
      <c r="S54" s="229">
        <v>0</v>
      </c>
      <c r="T54" s="229">
        <v>0</v>
      </c>
      <c r="U54" s="229">
        <v>0</v>
      </c>
      <c r="V54" s="229">
        <v>0</v>
      </c>
      <c r="W54" s="229">
        <v>0</v>
      </c>
      <c r="X54" s="229">
        <v>0</v>
      </c>
      <c r="Y54" s="229">
        <v>0</v>
      </c>
      <c r="Z54" s="229">
        <v>0</v>
      </c>
      <c r="AA54" s="229">
        <v>0</v>
      </c>
      <c r="AB54" s="229">
        <v>0</v>
      </c>
      <c r="AC54" s="229">
        <v>0</v>
      </c>
    </row>
    <row r="55" spans="1:29" s="165" customFormat="1" ht="13.8">
      <c r="A55" s="591" t="s">
        <v>1074</v>
      </c>
      <c r="B55" s="57" t="s">
        <v>1075</v>
      </c>
      <c r="C55" s="57"/>
      <c r="D55" s="57"/>
      <c r="E55" s="57"/>
      <c r="F55" s="57"/>
      <c r="G55" s="57"/>
      <c r="H55" s="229">
        <v>-4204</v>
      </c>
      <c r="I55" s="229">
        <v>-19908</v>
      </c>
      <c r="J55" s="229">
        <v>-35645</v>
      </c>
      <c r="K55" s="229">
        <v>-77811</v>
      </c>
      <c r="L55" s="229">
        <v>-3096</v>
      </c>
      <c r="M55" s="229">
        <v>2438</v>
      </c>
      <c r="N55" s="229">
        <v>17425</v>
      </c>
      <c r="O55" s="229">
        <v>23800</v>
      </c>
      <c r="P55" s="229">
        <v>-832</v>
      </c>
      <c r="Q55" s="229">
        <v>27384</v>
      </c>
      <c r="R55" s="229">
        <v>31411</v>
      </c>
      <c r="S55" s="229">
        <v>58922</v>
      </c>
      <c r="T55" s="229">
        <v>2501</v>
      </c>
      <c r="U55" s="229">
        <v>2797</v>
      </c>
      <c r="V55" s="229">
        <v>1023</v>
      </c>
      <c r="W55" s="229">
        <v>-7170</v>
      </c>
      <c r="X55" s="229">
        <v>-2465</v>
      </c>
      <c r="Y55" s="229">
        <v>-7786</v>
      </c>
      <c r="Z55" s="229">
        <v>-8009</v>
      </c>
      <c r="AA55" s="229">
        <v>-9278</v>
      </c>
      <c r="AB55" s="229">
        <v>-12226</v>
      </c>
      <c r="AC55" s="229">
        <v>-11571</v>
      </c>
    </row>
    <row r="56" spans="1:29" s="165" customFormat="1" ht="13.8">
      <c r="A56" s="591" t="s">
        <v>1420</v>
      </c>
      <c r="B56" s="57" t="s">
        <v>1999</v>
      </c>
      <c r="C56" s="57"/>
      <c r="D56" s="57"/>
      <c r="E56" s="57"/>
      <c r="F56" s="57"/>
      <c r="G56" s="57"/>
      <c r="H56" s="229">
        <v>73284</v>
      </c>
      <c r="I56" s="229">
        <v>-11729</v>
      </c>
      <c r="J56" s="229">
        <v>-32641</v>
      </c>
      <c r="K56" s="229">
        <v>-36256</v>
      </c>
      <c r="L56" s="229">
        <v>-50880</v>
      </c>
      <c r="M56" s="229">
        <v>-13893</v>
      </c>
      <c r="N56" s="229">
        <v>-135103</v>
      </c>
      <c r="O56" s="229">
        <v>-262715</v>
      </c>
      <c r="P56" s="229">
        <v>-22202</v>
      </c>
      <c r="Q56" s="229">
        <v>-66157</v>
      </c>
      <c r="R56" s="229">
        <v>-114325</v>
      </c>
      <c r="S56" s="229">
        <v>-127980</v>
      </c>
      <c r="T56" s="229">
        <v>-15554</v>
      </c>
      <c r="U56" s="229">
        <v>-31815</v>
      </c>
      <c r="V56" s="229">
        <v>-67094</v>
      </c>
      <c r="W56" s="229">
        <v>-92363</v>
      </c>
      <c r="X56" s="229">
        <v>40691</v>
      </c>
      <c r="Y56" s="229">
        <v>48588</v>
      </c>
      <c r="Z56" s="229">
        <v>-39241</v>
      </c>
      <c r="AA56" s="229">
        <v>-37306</v>
      </c>
      <c r="AB56" s="229">
        <v>-28076</v>
      </c>
      <c r="AC56" s="229">
        <v>-28407</v>
      </c>
    </row>
    <row r="57" spans="1:29" s="165" customFormat="1" ht="13.8">
      <c r="A57" s="591" t="s">
        <v>1078</v>
      </c>
      <c r="B57" s="57" t="s">
        <v>2000</v>
      </c>
      <c r="C57" s="57"/>
      <c r="D57" s="57"/>
      <c r="E57" s="57"/>
      <c r="F57" s="57"/>
      <c r="G57" s="57"/>
      <c r="H57" s="229">
        <v>-3587</v>
      </c>
      <c r="I57" s="229">
        <v>-11735</v>
      </c>
      <c r="J57" s="229">
        <v>-23776</v>
      </c>
      <c r="K57" s="229">
        <v>-25203</v>
      </c>
      <c r="L57" s="229">
        <v>-15909</v>
      </c>
      <c r="M57" s="229">
        <v>-31357</v>
      </c>
      <c r="N57" s="229">
        <v>-23165</v>
      </c>
      <c r="O57" s="229">
        <v>-31321</v>
      </c>
      <c r="P57" s="229">
        <v>-20958</v>
      </c>
      <c r="Q57" s="229">
        <v>-95783</v>
      </c>
      <c r="R57" s="229">
        <v>-162656</v>
      </c>
      <c r="S57" s="229">
        <v>-110639</v>
      </c>
      <c r="T57" s="229">
        <v>-60121</v>
      </c>
      <c r="U57" s="229">
        <v>-122603</v>
      </c>
      <c r="V57" s="229">
        <v>-99969</v>
      </c>
      <c r="W57" s="229">
        <v>19296</v>
      </c>
      <c r="X57" s="229">
        <v>8244</v>
      </c>
      <c r="Y57" s="229">
        <v>-43173</v>
      </c>
      <c r="Z57" s="229">
        <v>-39780</v>
      </c>
      <c r="AA57" s="229">
        <v>76138</v>
      </c>
      <c r="AB57" s="229">
        <v>-44242</v>
      </c>
      <c r="AC57" s="229">
        <v>-80611</v>
      </c>
    </row>
    <row r="58" spans="1:29" s="165" customFormat="1" ht="13.8">
      <c r="A58" s="591" t="s">
        <v>1160</v>
      </c>
      <c r="B58" s="57" t="s">
        <v>2001</v>
      </c>
      <c r="C58" s="57"/>
      <c r="D58" s="57"/>
      <c r="E58" s="57"/>
      <c r="F58" s="57"/>
      <c r="G58" s="57"/>
      <c r="H58" s="229">
        <v>-36705</v>
      </c>
      <c r="I58" s="229">
        <v>143030</v>
      </c>
      <c r="J58" s="229">
        <v>166747</v>
      </c>
      <c r="K58" s="229">
        <v>214559</v>
      </c>
      <c r="L58" s="229">
        <v>83007</v>
      </c>
      <c r="M58" s="229">
        <v>15769</v>
      </c>
      <c r="N58" s="229">
        <v>0</v>
      </c>
      <c r="O58" s="229">
        <v>0</v>
      </c>
      <c r="P58" s="229">
        <v>64676</v>
      </c>
      <c r="Q58" s="229">
        <v>64676</v>
      </c>
      <c r="R58" s="229">
        <v>64676</v>
      </c>
      <c r="S58" s="229">
        <v>64676</v>
      </c>
      <c r="T58" s="229">
        <v>0</v>
      </c>
      <c r="U58" s="229">
        <v>-381794</v>
      </c>
      <c r="V58" s="229">
        <v>9936</v>
      </c>
      <c r="W58" s="229">
        <v>-92666</v>
      </c>
      <c r="X58" s="229">
        <v>0</v>
      </c>
      <c r="Y58" s="229">
        <v>0</v>
      </c>
      <c r="Z58" s="229">
        <v>0</v>
      </c>
      <c r="AA58" s="229">
        <v>0</v>
      </c>
      <c r="AB58" s="229">
        <v>15496</v>
      </c>
      <c r="AC58" s="229">
        <v>15496</v>
      </c>
    </row>
    <row r="59" spans="1:29" s="165" customFormat="1" ht="13.8">
      <c r="A59" s="591" t="s">
        <v>1422</v>
      </c>
      <c r="B59" s="57" t="s">
        <v>2002</v>
      </c>
      <c r="C59" s="57"/>
      <c r="D59" s="57"/>
      <c r="E59" s="57"/>
      <c r="F59" s="57"/>
      <c r="G59" s="57"/>
      <c r="H59" s="229">
        <v>0</v>
      </c>
      <c r="I59" s="229">
        <v>0</v>
      </c>
      <c r="J59" s="229">
        <v>0</v>
      </c>
      <c r="K59" s="229">
        <v>0</v>
      </c>
      <c r="L59" s="229">
        <v>0</v>
      </c>
      <c r="M59" s="229">
        <v>0</v>
      </c>
      <c r="N59" s="229">
        <v>0</v>
      </c>
      <c r="O59" s="229">
        <v>0</v>
      </c>
      <c r="P59" s="229">
        <v>0</v>
      </c>
      <c r="Q59" s="229">
        <v>0</v>
      </c>
      <c r="R59" s="229">
        <v>0</v>
      </c>
      <c r="S59" s="229">
        <v>0</v>
      </c>
      <c r="T59" s="229">
        <v>0</v>
      </c>
      <c r="U59" s="229">
        <v>0</v>
      </c>
      <c r="V59" s="229">
        <v>0</v>
      </c>
      <c r="W59" s="229">
        <v>0</v>
      </c>
      <c r="X59" s="229">
        <v>0</v>
      </c>
      <c r="Y59" s="229">
        <v>0</v>
      </c>
      <c r="Z59" s="229">
        <v>0</v>
      </c>
      <c r="AA59" s="229">
        <v>0</v>
      </c>
      <c r="AB59" s="229">
        <v>0</v>
      </c>
      <c r="AC59" s="229">
        <v>0</v>
      </c>
    </row>
    <row r="60" spans="1:29" s="165" customFormat="1" ht="13.8">
      <c r="A60" s="591" t="s">
        <v>1352</v>
      </c>
      <c r="B60" s="57" t="s">
        <v>2003</v>
      </c>
      <c r="C60" s="57"/>
      <c r="D60" s="57"/>
      <c r="E60" s="57"/>
      <c r="F60" s="57"/>
      <c r="G60" s="57"/>
      <c r="H60" s="229">
        <v>144455</v>
      </c>
      <c r="I60" s="229">
        <v>219561</v>
      </c>
      <c r="J60" s="229">
        <v>376602</v>
      </c>
      <c r="K60" s="229">
        <v>607038</v>
      </c>
      <c r="L60" s="229">
        <v>143191</v>
      </c>
      <c r="M60" s="229">
        <v>369382</v>
      </c>
      <c r="N60" s="229">
        <v>604880</v>
      </c>
      <c r="O60" s="229">
        <v>704236</v>
      </c>
      <c r="P60" s="229">
        <v>75</v>
      </c>
      <c r="Q60" s="229">
        <v>2268</v>
      </c>
      <c r="R60" s="229">
        <v>15253</v>
      </c>
      <c r="S60" s="229">
        <v>16107</v>
      </c>
      <c r="T60" s="229">
        <v>916</v>
      </c>
      <c r="U60" s="229">
        <v>34398</v>
      </c>
      <c r="V60" s="229">
        <v>34768</v>
      </c>
      <c r="W60" s="229">
        <v>35241</v>
      </c>
      <c r="X60" s="229">
        <v>1457</v>
      </c>
      <c r="Y60" s="229">
        <v>6806</v>
      </c>
      <c r="Z60" s="229">
        <v>6886</v>
      </c>
      <c r="AA60" s="229">
        <v>7076</v>
      </c>
      <c r="AB60" s="229">
        <v>141</v>
      </c>
      <c r="AC60" s="229">
        <v>5916</v>
      </c>
    </row>
    <row r="61" spans="1:29" s="165" customFormat="1" ht="13.8">
      <c r="A61" s="591" t="s">
        <v>1423</v>
      </c>
      <c r="B61" s="57" t="s">
        <v>1187</v>
      </c>
      <c r="C61" s="57"/>
      <c r="D61" s="57"/>
      <c r="E61" s="57"/>
      <c r="F61" s="57"/>
      <c r="G61" s="57"/>
      <c r="H61" s="229">
        <v>0</v>
      </c>
      <c r="I61" s="229">
        <v>0</v>
      </c>
      <c r="J61" s="229">
        <v>0</v>
      </c>
      <c r="K61" s="229">
        <v>0</v>
      </c>
      <c r="L61" s="229">
        <v>0</v>
      </c>
      <c r="M61" s="229">
        <v>0</v>
      </c>
      <c r="N61" s="229">
        <v>0</v>
      </c>
      <c r="O61" s="229">
        <v>0</v>
      </c>
      <c r="P61" s="229">
        <v>0</v>
      </c>
      <c r="Q61" s="229">
        <v>0</v>
      </c>
      <c r="R61" s="229">
        <v>0</v>
      </c>
      <c r="S61" s="229">
        <v>0</v>
      </c>
      <c r="T61" s="229">
        <v>0</v>
      </c>
      <c r="U61" s="229">
        <v>0</v>
      </c>
      <c r="V61" s="229">
        <v>0</v>
      </c>
      <c r="W61" s="229">
        <v>0</v>
      </c>
      <c r="X61" s="229">
        <v>0</v>
      </c>
      <c r="Y61" s="229">
        <v>0</v>
      </c>
      <c r="Z61" s="229">
        <v>0</v>
      </c>
      <c r="AA61" s="229">
        <v>0</v>
      </c>
      <c r="AB61" s="229">
        <v>0</v>
      </c>
      <c r="AC61" s="229">
        <v>0</v>
      </c>
    </row>
    <row r="62" spans="1:29" s="165" customFormat="1" ht="13.8">
      <c r="A62" s="591" t="s">
        <v>1080</v>
      </c>
      <c r="B62" s="57" t="s">
        <v>2004</v>
      </c>
      <c r="C62" s="57"/>
      <c r="D62" s="57"/>
      <c r="E62" s="57"/>
      <c r="F62" s="57"/>
      <c r="G62" s="57"/>
      <c r="H62" s="229">
        <v>95642</v>
      </c>
      <c r="I62" s="229">
        <v>97146</v>
      </c>
      <c r="J62" s="229">
        <v>-27970</v>
      </c>
      <c r="K62" s="229">
        <v>-105477</v>
      </c>
      <c r="L62" s="229">
        <v>-9230</v>
      </c>
      <c r="M62" s="229">
        <v>-19464</v>
      </c>
      <c r="N62" s="229">
        <v>-61159</v>
      </c>
      <c r="O62" s="229">
        <v>-109086</v>
      </c>
      <c r="P62" s="229">
        <v>8196</v>
      </c>
      <c r="Q62" s="229">
        <v>-26968</v>
      </c>
      <c r="R62" s="229">
        <v>-1551</v>
      </c>
      <c r="S62" s="229">
        <v>-43334</v>
      </c>
      <c r="T62" s="229">
        <v>-22334</v>
      </c>
      <c r="U62" s="229">
        <v>-53884</v>
      </c>
      <c r="V62" s="229">
        <v>-134645</v>
      </c>
      <c r="W62" s="229">
        <v>-134303</v>
      </c>
      <c r="X62" s="229">
        <v>-35519</v>
      </c>
      <c r="Y62" s="229">
        <v>-182800</v>
      </c>
      <c r="Z62" s="229">
        <v>-402944</v>
      </c>
      <c r="AA62" s="229">
        <v>-151693</v>
      </c>
      <c r="AB62" s="229">
        <v>-68751</v>
      </c>
      <c r="AC62" s="229">
        <v>-17493</v>
      </c>
    </row>
    <row r="63" spans="1:29" s="165" customFormat="1" ht="13.8">
      <c r="A63" s="591" t="s">
        <v>1102</v>
      </c>
      <c r="B63" s="57" t="s">
        <v>1103</v>
      </c>
      <c r="C63" s="57"/>
      <c r="D63" s="57"/>
      <c r="E63" s="57"/>
      <c r="F63" s="57"/>
      <c r="G63" s="57"/>
      <c r="H63" s="229">
        <v>-106202</v>
      </c>
      <c r="I63" s="229">
        <v>-47709</v>
      </c>
      <c r="J63" s="229">
        <v>201261</v>
      </c>
      <c r="K63" s="229">
        <v>336157</v>
      </c>
      <c r="L63" s="229">
        <v>-316940</v>
      </c>
      <c r="M63" s="229">
        <v>-228957</v>
      </c>
      <c r="N63" s="229">
        <v>-186408</v>
      </c>
      <c r="O63" s="229">
        <v>-152669</v>
      </c>
      <c r="P63" s="229">
        <v>-163883</v>
      </c>
      <c r="Q63" s="229">
        <v>-170439</v>
      </c>
      <c r="R63" s="229">
        <v>-45411</v>
      </c>
      <c r="S63" s="229">
        <v>-27909</v>
      </c>
      <c r="T63" s="229">
        <v>-223479</v>
      </c>
      <c r="U63" s="229">
        <v>-168667</v>
      </c>
      <c r="V63" s="229">
        <v>-102033</v>
      </c>
      <c r="W63" s="229">
        <v>-70217</v>
      </c>
      <c r="X63" s="229">
        <v>-205254</v>
      </c>
      <c r="Y63" s="229">
        <v>-159286</v>
      </c>
      <c r="Z63" s="229">
        <v>32637</v>
      </c>
      <c r="AA63" s="229">
        <v>-89799</v>
      </c>
      <c r="AB63" s="229">
        <v>-129289</v>
      </c>
      <c r="AC63" s="229">
        <v>-125339</v>
      </c>
    </row>
    <row r="64" spans="1:29" s="4" customFormat="1" ht="13.8">
      <c r="A64" s="591" t="s">
        <v>1424</v>
      </c>
      <c r="B64" s="57" t="s">
        <v>1351</v>
      </c>
      <c r="C64" s="104"/>
      <c r="D64" s="104"/>
      <c r="E64" s="104"/>
      <c r="F64" s="104"/>
      <c r="G64" s="104"/>
      <c r="H64" s="229">
        <v>0</v>
      </c>
      <c r="I64" s="229">
        <v>0</v>
      </c>
      <c r="J64" s="229">
        <v>0</v>
      </c>
      <c r="K64" s="229">
        <v>0</v>
      </c>
      <c r="L64" s="229">
        <v>0</v>
      </c>
      <c r="M64" s="229">
        <v>0</v>
      </c>
      <c r="N64" s="229">
        <v>0</v>
      </c>
      <c r="O64" s="229">
        <v>21630</v>
      </c>
      <c r="P64" s="229">
        <v>15512</v>
      </c>
      <c r="Q64" s="138">
        <v>-5501</v>
      </c>
      <c r="R64" s="229">
        <v>1027</v>
      </c>
      <c r="S64" s="229">
        <v>55554</v>
      </c>
      <c r="T64" s="138">
        <v>-40603</v>
      </c>
      <c r="U64" s="138">
        <v>-15483</v>
      </c>
      <c r="V64" s="138">
        <v>-4933</v>
      </c>
      <c r="W64" s="229">
        <v>-24737</v>
      </c>
      <c r="X64" s="138">
        <v>-15644</v>
      </c>
      <c r="Y64" s="229">
        <v>61567</v>
      </c>
      <c r="Z64" s="229">
        <v>113343</v>
      </c>
      <c r="AA64" s="229">
        <v>72901</v>
      </c>
      <c r="AB64" s="229">
        <v>-10309</v>
      </c>
      <c r="AC64" s="229">
        <v>-19875</v>
      </c>
    </row>
    <row r="65" spans="1:29" s="165" customFormat="1" ht="13.8">
      <c r="A65" s="591" t="s">
        <v>1104</v>
      </c>
      <c r="B65" s="57" t="s">
        <v>2005</v>
      </c>
      <c r="C65" s="57"/>
      <c r="D65" s="57"/>
      <c r="E65" s="57"/>
      <c r="F65" s="57"/>
      <c r="G65" s="57"/>
      <c r="H65" s="229">
        <v>-10662</v>
      </c>
      <c r="I65" s="229">
        <v>-10082</v>
      </c>
      <c r="J65" s="229">
        <v>-9438</v>
      </c>
      <c r="K65" s="229">
        <v>-9675</v>
      </c>
      <c r="L65" s="229">
        <v>-14960</v>
      </c>
      <c r="M65" s="229">
        <v>-18301</v>
      </c>
      <c r="N65" s="229">
        <v>-49717</v>
      </c>
      <c r="O65" s="229">
        <v>-71104</v>
      </c>
      <c r="P65" s="229">
        <v>21270</v>
      </c>
      <c r="Q65" s="229">
        <v>36441</v>
      </c>
      <c r="R65" s="229">
        <v>56129</v>
      </c>
      <c r="S65" s="229">
        <v>74589</v>
      </c>
      <c r="T65" s="229">
        <v>-14374</v>
      </c>
      <c r="U65" s="229">
        <v>-32059</v>
      </c>
      <c r="V65" s="229">
        <v>-59640</v>
      </c>
      <c r="W65" s="229">
        <v>-91084</v>
      </c>
      <c r="X65" s="229">
        <v>-15778</v>
      </c>
      <c r="Y65" s="229">
        <v>-45032</v>
      </c>
      <c r="Z65" s="229">
        <v>-70956</v>
      </c>
      <c r="AA65" s="229">
        <v>-104786</v>
      </c>
      <c r="AB65" s="229">
        <v>-30131</v>
      </c>
      <c r="AC65" s="229">
        <v>-65034</v>
      </c>
    </row>
    <row r="66" spans="1:29" s="165" customFormat="1" ht="13.8">
      <c r="A66" s="591" t="s">
        <v>1111</v>
      </c>
      <c r="B66" s="57" t="s">
        <v>2006</v>
      </c>
      <c r="C66" s="57"/>
      <c r="D66" s="57"/>
      <c r="E66" s="57"/>
      <c r="F66" s="57"/>
      <c r="G66" s="57"/>
      <c r="H66" s="229">
        <v>-5331</v>
      </c>
      <c r="I66" s="229">
        <v>79853</v>
      </c>
      <c r="J66" s="229">
        <v>215631</v>
      </c>
      <c r="K66" s="229">
        <v>302443</v>
      </c>
      <c r="L66" s="229">
        <v>-22316</v>
      </c>
      <c r="M66" s="229">
        <v>-33948</v>
      </c>
      <c r="N66" s="229">
        <v>-38317</v>
      </c>
      <c r="O66" s="229">
        <v>-26463</v>
      </c>
      <c r="P66" s="229">
        <v>-17412</v>
      </c>
      <c r="Q66" s="229">
        <v>-1337</v>
      </c>
      <c r="R66" s="229">
        <v>47882</v>
      </c>
      <c r="S66" s="229">
        <v>54918</v>
      </c>
      <c r="T66" s="229">
        <v>-16569</v>
      </c>
      <c r="U66" s="229">
        <v>11226</v>
      </c>
      <c r="V66" s="229">
        <v>21278</v>
      </c>
      <c r="W66" s="229">
        <v>-70535</v>
      </c>
      <c r="X66" s="229">
        <v>-130984</v>
      </c>
      <c r="Y66" s="229">
        <v>-105701</v>
      </c>
      <c r="Z66" s="229">
        <v>10619</v>
      </c>
      <c r="AA66" s="229">
        <v>7121</v>
      </c>
      <c r="AB66" s="229">
        <v>-614</v>
      </c>
      <c r="AC66" s="229">
        <v>17129</v>
      </c>
    </row>
    <row r="67" spans="1:29" s="165" customFormat="1" ht="13.8">
      <c r="A67" s="591" t="s">
        <v>1113</v>
      </c>
      <c r="B67" s="57" t="s">
        <v>2007</v>
      </c>
      <c r="C67" s="57"/>
      <c r="D67" s="57"/>
      <c r="E67" s="57"/>
      <c r="F67" s="57"/>
      <c r="G67" s="57"/>
      <c r="H67" s="229">
        <v>-33875</v>
      </c>
      <c r="I67" s="229">
        <v>19633</v>
      </c>
      <c r="J67" s="229">
        <v>-14140</v>
      </c>
      <c r="K67" s="229">
        <v>-32124</v>
      </c>
      <c r="L67" s="229">
        <v>-16425</v>
      </c>
      <c r="M67" s="229">
        <v>-122819</v>
      </c>
      <c r="N67" s="229">
        <v>-152437</v>
      </c>
      <c r="O67" s="229">
        <v>-240744</v>
      </c>
      <c r="P67" s="229">
        <v>5708</v>
      </c>
      <c r="Q67" s="229">
        <v>70528</v>
      </c>
      <c r="R67" s="229">
        <v>-13118</v>
      </c>
      <c r="S67" s="229">
        <v>-131546</v>
      </c>
      <c r="T67" s="229">
        <v>-46</v>
      </c>
      <c r="U67" s="229">
        <v>80069</v>
      </c>
      <c r="V67" s="229">
        <v>108635</v>
      </c>
      <c r="W67" s="229">
        <v>93140</v>
      </c>
      <c r="X67" s="229">
        <v>23520</v>
      </c>
      <c r="Y67" s="229">
        <v>20512</v>
      </c>
      <c r="Z67" s="229">
        <v>100975</v>
      </c>
      <c r="AA67" s="229">
        <v>-43177</v>
      </c>
      <c r="AB67" s="229">
        <v>28919</v>
      </c>
      <c r="AC67" s="229">
        <v>48995</v>
      </c>
    </row>
    <row r="68" spans="1:29" s="165" customFormat="1" ht="13.8">
      <c r="A68" s="591" t="s">
        <v>1425</v>
      </c>
      <c r="B68" s="57" t="s">
        <v>775</v>
      </c>
      <c r="C68" s="57"/>
      <c r="D68" s="57"/>
      <c r="E68" s="57"/>
      <c r="F68" s="57"/>
      <c r="G68" s="57"/>
      <c r="H68" s="229"/>
      <c r="I68" s="229"/>
      <c r="J68" s="229"/>
      <c r="K68" s="229"/>
      <c r="L68" s="229"/>
      <c r="M68" s="229"/>
      <c r="N68" s="229"/>
      <c r="O68" s="229"/>
      <c r="P68" s="229"/>
      <c r="Q68" s="229"/>
      <c r="R68" s="229"/>
      <c r="S68" s="229"/>
      <c r="T68" s="229"/>
      <c r="U68" s="229"/>
      <c r="V68" s="229"/>
      <c r="W68" s="229"/>
      <c r="X68" s="229"/>
      <c r="Y68" s="229">
        <v>0</v>
      </c>
      <c r="Z68" s="229">
        <v>0</v>
      </c>
      <c r="AA68" s="229">
        <v>0</v>
      </c>
      <c r="AB68" s="229">
        <v>0</v>
      </c>
      <c r="AC68" s="229">
        <v>0</v>
      </c>
    </row>
    <row r="69" spans="1:29" s="165" customFormat="1" ht="13.8">
      <c r="A69" s="591" t="s">
        <v>1119</v>
      </c>
      <c r="B69" s="57" t="s">
        <v>1120</v>
      </c>
      <c r="C69" s="57"/>
      <c r="D69" s="57"/>
      <c r="E69" s="57"/>
      <c r="F69" s="57"/>
      <c r="G69" s="57"/>
      <c r="H69" s="229">
        <v>-1726</v>
      </c>
      <c r="I69" s="229">
        <v>-332</v>
      </c>
      <c r="J69" s="229">
        <v>-6075</v>
      </c>
      <c r="K69" s="229">
        <v>-4507</v>
      </c>
      <c r="L69" s="229">
        <v>-1148</v>
      </c>
      <c r="M69" s="229">
        <v>1028</v>
      </c>
      <c r="N69" s="229">
        <v>7235</v>
      </c>
      <c r="O69" s="229">
        <v>12843</v>
      </c>
      <c r="P69" s="229">
        <v>-3909</v>
      </c>
      <c r="Q69" s="229">
        <v>-5666</v>
      </c>
      <c r="R69" s="229">
        <v>1851</v>
      </c>
      <c r="S69" s="229">
        <v>12510</v>
      </c>
      <c r="T69" s="229">
        <v>-5618</v>
      </c>
      <c r="U69" s="229">
        <v>1220</v>
      </c>
      <c r="V69" s="229">
        <v>4285</v>
      </c>
      <c r="W69" s="229">
        <v>2115</v>
      </c>
      <c r="X69" s="229">
        <v>-3443</v>
      </c>
      <c r="Y69" s="229">
        <v>-72</v>
      </c>
      <c r="Z69" s="229">
        <v>3621</v>
      </c>
      <c r="AA69" s="229">
        <v>8851</v>
      </c>
      <c r="AB69" s="229">
        <v>2143</v>
      </c>
      <c r="AC69" s="229">
        <v>-3140</v>
      </c>
    </row>
    <row r="70" spans="1:29" s="165" customFormat="1" ht="13.8">
      <c r="A70" s="591" t="s">
        <v>1117</v>
      </c>
      <c r="B70" s="57" t="s">
        <v>1118</v>
      </c>
      <c r="C70" s="57"/>
      <c r="D70" s="57"/>
      <c r="E70" s="57"/>
      <c r="F70" s="57"/>
      <c r="G70" s="57"/>
      <c r="H70" s="229">
        <v>18180</v>
      </c>
      <c r="I70" s="229">
        <v>-30123</v>
      </c>
      <c r="J70" s="229">
        <v>-306944</v>
      </c>
      <c r="K70" s="229">
        <v>-353322</v>
      </c>
      <c r="L70" s="229">
        <v>20762</v>
      </c>
      <c r="M70" s="229">
        <v>-10780</v>
      </c>
      <c r="N70" s="229">
        <v>-66503</v>
      </c>
      <c r="O70" s="229">
        <v>-75380</v>
      </c>
      <c r="P70" s="229">
        <v>-8400</v>
      </c>
      <c r="Q70" s="229">
        <v>-22661</v>
      </c>
      <c r="R70" s="229">
        <v>-41974</v>
      </c>
      <c r="S70" s="229">
        <v>-64658</v>
      </c>
      <c r="T70" s="229">
        <v>-29277</v>
      </c>
      <c r="U70" s="229">
        <v>-44197</v>
      </c>
      <c r="V70" s="229">
        <v>-59850</v>
      </c>
      <c r="W70" s="229">
        <v>-98020</v>
      </c>
      <c r="X70" s="229">
        <v>-10589</v>
      </c>
      <c r="Y70" s="229">
        <v>-33411</v>
      </c>
      <c r="Z70" s="229">
        <v>-62659</v>
      </c>
      <c r="AA70" s="229">
        <v>-84108</v>
      </c>
      <c r="AB70" s="229">
        <v>-13982</v>
      </c>
      <c r="AC70" s="229">
        <v>-22402</v>
      </c>
    </row>
    <row r="71" spans="1:29" s="165" customFormat="1" ht="13.8">
      <c r="A71" s="591" t="s">
        <v>1123</v>
      </c>
      <c r="B71" s="57" t="s">
        <v>2008</v>
      </c>
      <c r="C71" s="57"/>
      <c r="D71" s="57"/>
      <c r="E71" s="57"/>
      <c r="F71" s="57"/>
      <c r="G71" s="57"/>
      <c r="H71" s="229">
        <v>-353</v>
      </c>
      <c r="I71" s="229">
        <v>-19273</v>
      </c>
      <c r="J71" s="229">
        <v>-18969</v>
      </c>
      <c r="K71" s="229">
        <v>-20443</v>
      </c>
      <c r="L71" s="229">
        <v>-199</v>
      </c>
      <c r="M71" s="229">
        <v>-25793</v>
      </c>
      <c r="N71" s="229">
        <v>-25855</v>
      </c>
      <c r="O71" s="229">
        <v>-25896</v>
      </c>
      <c r="P71" s="229">
        <v>-24227</v>
      </c>
      <c r="Q71" s="229">
        <v>-5693</v>
      </c>
      <c r="R71" s="229">
        <v>-33024</v>
      </c>
      <c r="S71" s="229">
        <v>-33058</v>
      </c>
      <c r="T71" s="229">
        <v>-24143</v>
      </c>
      <c r="U71" s="229">
        <v>-34287</v>
      </c>
      <c r="V71" s="229">
        <v>-34305</v>
      </c>
      <c r="W71" s="229">
        <v>-34340</v>
      </c>
      <c r="X71" s="229">
        <v>-26241</v>
      </c>
      <c r="Y71" s="229">
        <v>-33018</v>
      </c>
      <c r="Z71" s="229">
        <v>-33055</v>
      </c>
      <c r="AA71" s="229">
        <v>-34150</v>
      </c>
      <c r="AB71" s="229">
        <v>-29</v>
      </c>
      <c r="AC71" s="229">
        <v>-41951</v>
      </c>
    </row>
    <row r="72" spans="1:29" s="165" customFormat="1" ht="13.8">
      <c r="A72" s="591" t="s">
        <v>1426</v>
      </c>
      <c r="B72" s="57" t="s">
        <v>2009</v>
      </c>
      <c r="C72" s="57"/>
      <c r="D72" s="57"/>
      <c r="E72" s="57"/>
      <c r="F72" s="57"/>
      <c r="G72" s="57"/>
      <c r="H72" s="229"/>
      <c r="I72" s="229"/>
      <c r="J72" s="229"/>
      <c r="K72" s="229"/>
      <c r="L72" s="229"/>
      <c r="M72" s="229"/>
      <c r="N72" s="229"/>
      <c r="O72" s="229"/>
      <c r="P72" s="229"/>
      <c r="Q72" s="229"/>
      <c r="R72" s="229"/>
      <c r="S72" s="229"/>
      <c r="T72" s="229"/>
      <c r="U72" s="229"/>
      <c r="V72" s="229"/>
      <c r="W72" s="229"/>
      <c r="X72" s="229"/>
      <c r="Y72" s="229">
        <v>0</v>
      </c>
      <c r="Z72" s="229">
        <v>0</v>
      </c>
      <c r="AA72" s="229">
        <v>0</v>
      </c>
      <c r="AB72" s="229">
        <v>0</v>
      </c>
      <c r="AC72" s="229">
        <v>0</v>
      </c>
    </row>
    <row r="73" spans="1:29" s="165" customFormat="1" ht="13.8">
      <c r="A73" s="591" t="s">
        <v>1194</v>
      </c>
      <c r="B73" s="57" t="s">
        <v>2010</v>
      </c>
      <c r="C73" s="57"/>
      <c r="D73" s="57"/>
      <c r="E73" s="57"/>
      <c r="F73" s="57"/>
      <c r="G73" s="57"/>
      <c r="H73" s="229">
        <v>11798</v>
      </c>
      <c r="I73" s="229">
        <v>11798</v>
      </c>
      <c r="J73" s="229">
        <v>0</v>
      </c>
      <c r="K73" s="229">
        <v>-3863</v>
      </c>
      <c r="L73" s="229">
        <v>0</v>
      </c>
      <c r="M73" s="229">
        <v>5403</v>
      </c>
      <c r="N73" s="229">
        <v>6159</v>
      </c>
      <c r="O73" s="229">
        <v>1417</v>
      </c>
      <c r="P73" s="229">
        <v>0</v>
      </c>
      <c r="Q73" s="229">
        <v>0</v>
      </c>
      <c r="R73" s="229">
        <v>-759</v>
      </c>
      <c r="S73" s="229">
        <v>-4415</v>
      </c>
      <c r="T73" s="229">
        <v>-7987</v>
      </c>
      <c r="U73" s="229">
        <v>-6918</v>
      </c>
      <c r="V73" s="229">
        <v>0</v>
      </c>
      <c r="W73" s="229">
        <v>-5921</v>
      </c>
      <c r="X73" s="229">
        <v>0</v>
      </c>
      <c r="Y73" s="229">
        <v>120</v>
      </c>
      <c r="Z73" s="229">
        <v>138</v>
      </c>
      <c r="AA73" s="229">
        <v>-6414</v>
      </c>
      <c r="AB73" s="229">
        <v>0</v>
      </c>
      <c r="AC73" s="229">
        <v>0</v>
      </c>
    </row>
    <row r="74" spans="1:29" s="165" customFormat="1" ht="13.8">
      <c r="A74" s="591" t="s">
        <v>1475</v>
      </c>
      <c r="B74" s="57" t="s">
        <v>1126</v>
      </c>
      <c r="C74" s="57"/>
      <c r="D74" s="57"/>
      <c r="E74" s="57"/>
      <c r="F74" s="57"/>
      <c r="G74" s="57"/>
      <c r="H74" s="229">
        <v>-2540</v>
      </c>
      <c r="I74" s="229">
        <v>-4741</v>
      </c>
      <c r="J74" s="229">
        <v>-7510</v>
      </c>
      <c r="K74" s="229">
        <v>-12435</v>
      </c>
      <c r="L74" s="229">
        <v>-1162</v>
      </c>
      <c r="M74" s="229">
        <v>-5346</v>
      </c>
      <c r="N74" s="229">
        <v>-23969</v>
      </c>
      <c r="O74" s="229">
        <v>-27499</v>
      </c>
      <c r="P74" s="229">
        <v>-4702</v>
      </c>
      <c r="Q74" s="229">
        <v>-11245</v>
      </c>
      <c r="R74" s="229">
        <v>-18812</v>
      </c>
      <c r="S74" s="229">
        <v>-22478</v>
      </c>
      <c r="T74" s="229">
        <v>-7073</v>
      </c>
      <c r="U74" s="229">
        <v>-13257</v>
      </c>
      <c r="V74" s="229">
        <v>-19212</v>
      </c>
      <c r="W74" s="229">
        <v>-27974</v>
      </c>
      <c r="X74" s="229">
        <v>-8844</v>
      </c>
      <c r="Y74" s="229">
        <v>-16602</v>
      </c>
      <c r="Z74" s="229">
        <v>-25099</v>
      </c>
      <c r="AA74" s="229">
        <v>-71712</v>
      </c>
      <c r="AB74" s="229">
        <v>-13925</v>
      </c>
      <c r="AC74" s="229">
        <v>-20834</v>
      </c>
    </row>
    <row r="75" spans="1:29" s="165" customFormat="1" ht="13.8">
      <c r="A75" s="591" t="s">
        <v>1265</v>
      </c>
      <c r="B75" s="57" t="s">
        <v>1266</v>
      </c>
      <c r="C75" s="57"/>
      <c r="D75" s="57"/>
      <c r="E75" s="57"/>
      <c r="F75" s="57"/>
      <c r="G75" s="57"/>
      <c r="H75" s="229">
        <v>0</v>
      </c>
      <c r="I75" s="229">
        <v>0</v>
      </c>
      <c r="J75" s="229">
        <v>0</v>
      </c>
      <c r="K75" s="229">
        <v>0</v>
      </c>
      <c r="L75" s="229">
        <v>0</v>
      </c>
      <c r="M75" s="229">
        <v>0</v>
      </c>
      <c r="N75" s="229">
        <v>0</v>
      </c>
      <c r="O75" s="229">
        <v>0</v>
      </c>
      <c r="P75" s="229">
        <v>0</v>
      </c>
      <c r="Q75" s="229">
        <v>0</v>
      </c>
      <c r="R75" s="229">
        <v>0</v>
      </c>
      <c r="S75" s="229">
        <v>0</v>
      </c>
      <c r="T75" s="229">
        <v>0</v>
      </c>
      <c r="U75" s="229">
        <v>0</v>
      </c>
      <c r="V75" s="229">
        <v>0</v>
      </c>
      <c r="W75" s="229">
        <v>0</v>
      </c>
      <c r="X75" s="229">
        <v>0</v>
      </c>
      <c r="Y75" s="229">
        <v>0</v>
      </c>
      <c r="Z75" s="229">
        <v>0</v>
      </c>
      <c r="AA75" s="229">
        <v>0</v>
      </c>
      <c r="AB75" s="229">
        <v>0</v>
      </c>
      <c r="AC75" s="229">
        <v>0</v>
      </c>
    </row>
    <row r="76" spans="1:29" s="165" customFormat="1" ht="13.8">
      <c r="A76" s="591" t="s">
        <v>1129</v>
      </c>
      <c r="B76" s="57" t="s">
        <v>2011</v>
      </c>
      <c r="C76" s="57"/>
      <c r="D76" s="57"/>
      <c r="E76" s="57"/>
      <c r="F76" s="57"/>
      <c r="G76" s="57"/>
      <c r="H76" s="229">
        <v>14101</v>
      </c>
      <c r="I76" s="229">
        <v>13182</v>
      </c>
      <c r="J76" s="229">
        <v>68558</v>
      </c>
      <c r="K76" s="229">
        <v>115713</v>
      </c>
      <c r="L76" s="229">
        <v>2749</v>
      </c>
      <c r="M76" s="229">
        <v>-23128</v>
      </c>
      <c r="N76" s="229">
        <v>32150</v>
      </c>
      <c r="O76" s="229">
        <v>40440</v>
      </c>
      <c r="P76" s="229">
        <v>50160</v>
      </c>
      <c r="Q76" s="229">
        <v>150244</v>
      </c>
      <c r="R76" s="229">
        <v>195100</v>
      </c>
      <c r="S76" s="229">
        <v>49230</v>
      </c>
      <c r="T76" s="229">
        <v>-1995</v>
      </c>
      <c r="U76" s="229">
        <v>663</v>
      </c>
      <c r="V76" s="229">
        <v>3492</v>
      </c>
      <c r="W76" s="229">
        <v>136403</v>
      </c>
      <c r="X76" s="229">
        <v>-23580</v>
      </c>
      <c r="Y76" s="229">
        <v>289815</v>
      </c>
      <c r="Z76" s="229">
        <v>253040</v>
      </c>
      <c r="AA76" s="229">
        <v>50093</v>
      </c>
      <c r="AB76" s="229">
        <v>-6383</v>
      </c>
      <c r="AC76" s="229">
        <v>2652</v>
      </c>
    </row>
    <row r="77" spans="1:29" s="165" customFormat="1" ht="13.8">
      <c r="A77" s="591" t="s">
        <v>1127</v>
      </c>
      <c r="B77" s="57" t="s">
        <v>1991</v>
      </c>
      <c r="C77" s="57"/>
      <c r="D77" s="57"/>
      <c r="E77" s="57"/>
      <c r="F77" s="57"/>
      <c r="G77" s="57"/>
      <c r="H77" s="229">
        <v>0</v>
      </c>
      <c r="I77" s="229">
        <v>0</v>
      </c>
      <c r="J77" s="229">
        <v>0</v>
      </c>
      <c r="K77" s="229">
        <v>0</v>
      </c>
      <c r="L77" s="229">
        <v>0</v>
      </c>
      <c r="M77" s="229">
        <v>0</v>
      </c>
      <c r="N77" s="229">
        <v>0</v>
      </c>
      <c r="O77" s="229">
        <v>0</v>
      </c>
      <c r="P77" s="229">
        <v>0</v>
      </c>
      <c r="Q77" s="229">
        <v>0</v>
      </c>
      <c r="R77" s="229">
        <v>0</v>
      </c>
      <c r="S77" s="229">
        <v>0</v>
      </c>
      <c r="T77" s="229">
        <v>0</v>
      </c>
      <c r="U77" s="229">
        <v>0</v>
      </c>
      <c r="V77" s="229">
        <v>0</v>
      </c>
      <c r="W77" s="229">
        <v>0</v>
      </c>
      <c r="X77" s="229">
        <v>0</v>
      </c>
      <c r="Y77" s="229">
        <v>0</v>
      </c>
      <c r="Z77" s="229">
        <v>0</v>
      </c>
      <c r="AA77" s="229">
        <v>0</v>
      </c>
      <c r="AB77" s="229">
        <v>0</v>
      </c>
      <c r="AC77" s="229">
        <v>0</v>
      </c>
    </row>
    <row r="78" spans="1:29" s="165" customFormat="1" ht="13.8">
      <c r="A78" s="591" t="s">
        <v>1234</v>
      </c>
      <c r="B78" s="57" t="s">
        <v>2012</v>
      </c>
      <c r="C78" s="57"/>
      <c r="D78" s="57"/>
      <c r="E78" s="57"/>
      <c r="F78" s="57"/>
      <c r="G78" s="57"/>
      <c r="H78" s="229">
        <v>0</v>
      </c>
      <c r="I78" s="229">
        <v>0</v>
      </c>
      <c r="J78" s="229">
        <v>0</v>
      </c>
      <c r="K78" s="229">
        <v>0</v>
      </c>
      <c r="L78" s="229">
        <v>0</v>
      </c>
      <c r="M78" s="229">
        <v>0</v>
      </c>
      <c r="N78" s="229">
        <v>0</v>
      </c>
      <c r="O78" s="229">
        <v>0</v>
      </c>
      <c r="P78" s="229">
        <v>0</v>
      </c>
      <c r="Q78" s="229">
        <v>0</v>
      </c>
      <c r="R78" s="229">
        <v>0</v>
      </c>
      <c r="S78" s="229">
        <v>0</v>
      </c>
      <c r="T78" s="229">
        <v>0</v>
      </c>
      <c r="U78" s="229">
        <v>0</v>
      </c>
      <c r="V78" s="229">
        <v>0</v>
      </c>
      <c r="W78" s="229">
        <v>0</v>
      </c>
      <c r="X78" s="229">
        <v>0</v>
      </c>
      <c r="Y78" s="229">
        <v>0</v>
      </c>
      <c r="Z78" s="229">
        <v>0</v>
      </c>
      <c r="AA78" s="229">
        <v>0</v>
      </c>
      <c r="AB78" s="229">
        <v>0</v>
      </c>
      <c r="AC78" s="229">
        <v>0</v>
      </c>
    </row>
    <row r="79" spans="1:29" s="165" customFormat="1" ht="13.8">
      <c r="A79" s="591" t="s">
        <v>1428</v>
      </c>
      <c r="B79" s="57" t="s">
        <v>2013</v>
      </c>
      <c r="C79" s="57"/>
      <c r="D79" s="57"/>
      <c r="E79" s="57"/>
      <c r="F79" s="57"/>
      <c r="G79" s="57"/>
      <c r="H79" s="229">
        <v>0</v>
      </c>
      <c r="I79" s="229">
        <v>0</v>
      </c>
      <c r="J79" s="229">
        <v>0</v>
      </c>
      <c r="K79" s="229">
        <v>0</v>
      </c>
      <c r="L79" s="229">
        <v>0</v>
      </c>
      <c r="M79" s="229">
        <v>0</v>
      </c>
      <c r="N79" s="229">
        <v>0</v>
      </c>
      <c r="O79" s="229">
        <v>0</v>
      </c>
      <c r="P79" s="229">
        <v>0</v>
      </c>
      <c r="Q79" s="229">
        <v>0</v>
      </c>
      <c r="R79" s="229">
        <v>0</v>
      </c>
      <c r="S79" s="229">
        <v>0</v>
      </c>
      <c r="T79" s="229">
        <v>0</v>
      </c>
      <c r="U79" s="229">
        <v>0</v>
      </c>
      <c r="V79" s="229">
        <v>0</v>
      </c>
      <c r="W79" s="229">
        <v>0</v>
      </c>
      <c r="X79" s="229">
        <v>0</v>
      </c>
      <c r="Y79" s="229">
        <v>0</v>
      </c>
      <c r="Z79" s="229">
        <v>0</v>
      </c>
      <c r="AA79" s="229">
        <v>0</v>
      </c>
      <c r="AB79" s="229">
        <v>0</v>
      </c>
      <c r="AC79" s="229">
        <v>0</v>
      </c>
    </row>
    <row r="80" spans="1:29" s="578" customFormat="1" ht="13.8">
      <c r="A80" s="592" t="s">
        <v>1429</v>
      </c>
      <c r="B80" s="592" t="s">
        <v>2034</v>
      </c>
      <c r="C80" s="592"/>
      <c r="D80" s="592">
        <f t="shared" ref="D80:Y80" si="1">SUM(D48:D79)</f>
        <v>0</v>
      </c>
      <c r="E80" s="592">
        <f t="shared" si="1"/>
        <v>0</v>
      </c>
      <c r="F80" s="592">
        <f t="shared" si="1"/>
        <v>0</v>
      </c>
      <c r="G80" s="592">
        <f t="shared" si="1"/>
        <v>0</v>
      </c>
      <c r="H80" s="593">
        <f t="shared" si="1"/>
        <v>412137</v>
      </c>
      <c r="I80" s="593">
        <f t="shared" si="1"/>
        <v>982268</v>
      </c>
      <c r="J80" s="593">
        <f t="shared" si="1"/>
        <v>940381</v>
      </c>
      <c r="K80" s="593">
        <f t="shared" si="1"/>
        <v>1300416</v>
      </c>
      <c r="L80" s="593">
        <f t="shared" si="1"/>
        <v>401201</v>
      </c>
      <c r="M80" s="593">
        <f t="shared" si="1"/>
        <v>923125</v>
      </c>
      <c r="N80" s="593">
        <f t="shared" si="1"/>
        <v>1431306</v>
      </c>
      <c r="O80" s="593">
        <f t="shared" si="1"/>
        <v>2047952</v>
      </c>
      <c r="P80" s="593">
        <f t="shared" si="1"/>
        <v>404472</v>
      </c>
      <c r="Q80" s="593">
        <f t="shared" si="1"/>
        <v>954373</v>
      </c>
      <c r="R80" s="593">
        <f t="shared" si="1"/>
        <v>1742985</v>
      </c>
      <c r="S80" s="593">
        <f t="shared" si="1"/>
        <v>2436548</v>
      </c>
      <c r="T80" s="593">
        <f t="shared" si="1"/>
        <v>396279</v>
      </c>
      <c r="U80" s="593">
        <f t="shared" si="1"/>
        <v>799217</v>
      </c>
      <c r="V80" s="593">
        <f t="shared" si="1"/>
        <v>1899845</v>
      </c>
      <c r="W80" s="593">
        <f t="shared" si="1"/>
        <v>2600499</v>
      </c>
      <c r="X80" s="593">
        <f t="shared" si="1"/>
        <v>390397</v>
      </c>
      <c r="Y80" s="593">
        <f t="shared" si="1"/>
        <v>891777</v>
      </c>
      <c r="Z80" s="593">
        <f t="shared" ref="Z80" si="2">SUM(Z48:Z79)</f>
        <v>1749799</v>
      </c>
      <c r="AA80" s="593">
        <f>SUM(AA48:AA79)</f>
        <v>2312402</v>
      </c>
      <c r="AB80" s="593">
        <f>SUM(AB48:AB79)</f>
        <v>498085</v>
      </c>
      <c r="AC80" s="593">
        <f>SUM(AC48:AC79)</f>
        <v>756976</v>
      </c>
    </row>
    <row r="82" spans="1:29" s="165" customFormat="1" ht="13.8">
      <c r="A82" s="827" t="s">
        <v>1430</v>
      </c>
      <c r="B82" s="57" t="s">
        <v>1397</v>
      </c>
      <c r="C82" s="57"/>
      <c r="D82" s="57"/>
      <c r="E82" s="57"/>
      <c r="F82" s="57"/>
      <c r="G82" s="57"/>
      <c r="H82" s="57"/>
      <c r="I82" s="57"/>
      <c r="J82" s="57"/>
      <c r="K82" s="229"/>
      <c r="L82" s="229"/>
      <c r="M82" s="229"/>
      <c r="N82" s="229"/>
      <c r="O82" s="229"/>
      <c r="P82" s="229"/>
      <c r="Q82" s="229"/>
      <c r="R82" s="229">
        <v>148921</v>
      </c>
      <c r="S82" s="229">
        <v>193553</v>
      </c>
      <c r="T82" s="229">
        <v>34841</v>
      </c>
      <c r="U82" s="229"/>
      <c r="V82" s="229">
        <v>150893</v>
      </c>
      <c r="W82" s="229">
        <v>224957</v>
      </c>
      <c r="X82" s="229">
        <v>92158</v>
      </c>
      <c r="Y82" s="229">
        <v>23176</v>
      </c>
      <c r="Z82" s="229">
        <v>-106914</v>
      </c>
      <c r="AA82" s="229">
        <v>-155730</v>
      </c>
      <c r="AB82" s="229">
        <v>42909</v>
      </c>
      <c r="AC82" s="229">
        <v>-56282</v>
      </c>
    </row>
    <row r="83" spans="1:29" s="165" customFormat="1" ht="13.8">
      <c r="A83" s="827" t="s">
        <v>2526</v>
      </c>
      <c r="B83" s="57" t="s">
        <v>2016</v>
      </c>
      <c r="C83" s="57"/>
      <c r="D83" s="57"/>
      <c r="E83" s="57"/>
      <c r="F83" s="57"/>
      <c r="G83" s="57"/>
      <c r="H83" s="57"/>
      <c r="I83" s="57"/>
      <c r="J83" s="57"/>
      <c r="K83" s="229"/>
      <c r="L83" s="229"/>
      <c r="M83" s="229"/>
      <c r="N83" s="229"/>
      <c r="O83" s="229"/>
      <c r="P83" s="229">
        <v>-49880</v>
      </c>
      <c r="Q83" s="229">
        <v>-119379</v>
      </c>
      <c r="R83" s="229">
        <v>-39659</v>
      </c>
      <c r="S83" s="229">
        <v>-40027</v>
      </c>
      <c r="T83" s="229">
        <v>0</v>
      </c>
      <c r="U83" s="229">
        <v>-83525</v>
      </c>
      <c r="V83" s="229">
        <v>-121124</v>
      </c>
      <c r="W83" s="229">
        <v>-176683</v>
      </c>
      <c r="X83" s="229">
        <v>-25040</v>
      </c>
      <c r="Y83" s="229">
        <v>-25040</v>
      </c>
      <c r="Z83" s="229">
        <v>138317.04</v>
      </c>
      <c r="AA83" s="229">
        <v>3884.9740000000002</v>
      </c>
      <c r="AB83" s="229">
        <v>-35205</v>
      </c>
      <c r="AC83" s="229">
        <v>86829</v>
      </c>
    </row>
    <row r="84" spans="1:29" s="165" customFormat="1" ht="13.8">
      <c r="A84" s="827" t="s">
        <v>1431</v>
      </c>
      <c r="B84" s="57" t="s">
        <v>2017</v>
      </c>
      <c r="C84" s="57"/>
      <c r="D84" s="57"/>
      <c r="E84" s="57"/>
      <c r="F84" s="57"/>
      <c r="G84" s="57"/>
      <c r="H84" s="229">
        <v>-27273</v>
      </c>
      <c r="I84" s="229">
        <v>-73602</v>
      </c>
      <c r="J84" s="229">
        <v>-140432</v>
      </c>
      <c r="K84" s="229">
        <v>-235125</v>
      </c>
      <c r="L84" s="229">
        <v>-54999</v>
      </c>
      <c r="M84" s="229">
        <v>-84189</v>
      </c>
      <c r="N84" s="229">
        <v>-219598</v>
      </c>
      <c r="O84" s="229">
        <v>-346027</v>
      </c>
      <c r="P84" s="229">
        <v>-48545</v>
      </c>
      <c r="Q84" s="229">
        <v>-277596</v>
      </c>
      <c r="R84" s="229">
        <v>-308498</v>
      </c>
      <c r="S84" s="229">
        <v>-527100</v>
      </c>
      <c r="T84" s="229">
        <v>-29829</v>
      </c>
      <c r="U84" s="229">
        <v>-210811</v>
      </c>
      <c r="V84" s="229">
        <v>-244038</v>
      </c>
      <c r="W84" s="229">
        <v>-415469</v>
      </c>
      <c r="X84" s="229">
        <v>-111055</v>
      </c>
      <c r="Y84" s="229">
        <v>-307268</v>
      </c>
      <c r="Z84" s="229">
        <v>-408444</v>
      </c>
      <c r="AA84" s="229">
        <v>-706627</v>
      </c>
      <c r="AB84" s="229">
        <v>-241145</v>
      </c>
      <c r="AC84" s="229">
        <v>-368567</v>
      </c>
    </row>
    <row r="85" spans="1:29" s="165" customFormat="1" ht="13.8">
      <c r="A85" s="595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</row>
    <row r="86" spans="1:29" s="578" customFormat="1" thickBot="1">
      <c r="A86" s="596" t="s">
        <v>1432</v>
      </c>
      <c r="B86" s="596" t="s">
        <v>2036</v>
      </c>
      <c r="C86" s="596"/>
      <c r="D86" s="596">
        <f t="shared" ref="D86:Y86" si="3">SUM(D80:D85)</f>
        <v>0</v>
      </c>
      <c r="E86" s="596">
        <f t="shared" si="3"/>
        <v>0</v>
      </c>
      <c r="F86" s="596">
        <f t="shared" si="3"/>
        <v>0</v>
      </c>
      <c r="G86" s="596">
        <f t="shared" si="3"/>
        <v>0</v>
      </c>
      <c r="H86" s="597">
        <f t="shared" si="3"/>
        <v>384864</v>
      </c>
      <c r="I86" s="597">
        <f t="shared" si="3"/>
        <v>908666</v>
      </c>
      <c r="J86" s="597">
        <f t="shared" si="3"/>
        <v>799949</v>
      </c>
      <c r="K86" s="597">
        <f t="shared" si="3"/>
        <v>1065291</v>
      </c>
      <c r="L86" s="597">
        <f t="shared" si="3"/>
        <v>346202</v>
      </c>
      <c r="M86" s="597">
        <f t="shared" si="3"/>
        <v>838936</v>
      </c>
      <c r="N86" s="597">
        <f t="shared" si="3"/>
        <v>1211708</v>
      </c>
      <c r="O86" s="597">
        <f t="shared" si="3"/>
        <v>1701925</v>
      </c>
      <c r="P86" s="597">
        <f t="shared" si="3"/>
        <v>306047</v>
      </c>
      <c r="Q86" s="597">
        <f t="shared" si="3"/>
        <v>557398</v>
      </c>
      <c r="R86" s="597">
        <f t="shared" si="3"/>
        <v>1543749</v>
      </c>
      <c r="S86" s="597">
        <f t="shared" si="3"/>
        <v>2062974</v>
      </c>
      <c r="T86" s="597">
        <f t="shared" si="3"/>
        <v>401291</v>
      </c>
      <c r="U86" s="597">
        <f t="shared" si="3"/>
        <v>504881</v>
      </c>
      <c r="V86" s="597">
        <f t="shared" si="3"/>
        <v>1685576</v>
      </c>
      <c r="W86" s="597">
        <f t="shared" si="3"/>
        <v>2233304</v>
      </c>
      <c r="X86" s="597">
        <f t="shared" si="3"/>
        <v>346460</v>
      </c>
      <c r="Y86" s="597">
        <f t="shared" si="3"/>
        <v>582645</v>
      </c>
      <c r="Z86" s="597">
        <f t="shared" ref="Z86" si="4">SUM(Z80:Z85)</f>
        <v>1372758.04</v>
      </c>
      <c r="AA86" s="597">
        <f>SUM(AA80:AA85)</f>
        <v>1453929.9739999999</v>
      </c>
      <c r="AB86" s="597">
        <f>SUM(AB80:AB85)</f>
        <v>264644</v>
      </c>
      <c r="AC86" s="597">
        <f>SUM(AC80:AC85)</f>
        <v>418956</v>
      </c>
    </row>
    <row r="87" spans="1:29" s="165" customFormat="1" ht="13.8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229"/>
      <c r="L87" s="229"/>
      <c r="M87" s="229"/>
      <c r="N87" s="229"/>
      <c r="O87" s="229"/>
      <c r="P87" s="229"/>
      <c r="Q87" s="229"/>
      <c r="R87" s="229"/>
      <c r="S87" s="229"/>
      <c r="T87" s="229"/>
      <c r="U87" s="229"/>
      <c r="V87" s="229"/>
      <c r="W87" s="229"/>
      <c r="X87" s="229"/>
      <c r="Y87" s="229"/>
      <c r="Z87" s="229"/>
      <c r="AA87" s="229"/>
      <c r="AB87" s="229"/>
      <c r="AC87" s="229"/>
    </row>
    <row r="88" spans="1:29" s="165" customFormat="1" ht="13.8">
      <c r="A88" s="134" t="s">
        <v>1433</v>
      </c>
      <c r="B88" s="589" t="s">
        <v>2037</v>
      </c>
      <c r="C88" s="57"/>
      <c r="D88" s="57"/>
      <c r="E88" s="57"/>
      <c r="F88" s="57"/>
      <c r="G88" s="57"/>
      <c r="H88" s="57"/>
      <c r="I88" s="57"/>
      <c r="J88" s="57"/>
      <c r="K88" s="229"/>
      <c r="L88" s="229"/>
      <c r="M88" s="229"/>
      <c r="N88" s="229"/>
      <c r="O88" s="229"/>
      <c r="P88" s="229"/>
      <c r="Q88" s="229"/>
      <c r="R88" s="229"/>
      <c r="S88" s="229"/>
      <c r="T88" s="229"/>
      <c r="U88" s="229"/>
      <c r="V88" s="229"/>
      <c r="W88" s="229"/>
      <c r="X88" s="229"/>
      <c r="Y88" s="229"/>
      <c r="Z88" s="229"/>
      <c r="AA88" s="229"/>
      <c r="AB88" s="229"/>
      <c r="AC88" s="229"/>
    </row>
    <row r="89" spans="1:29" s="165" customFormat="1" ht="13.8">
      <c r="A89" s="591" t="s">
        <v>1434</v>
      </c>
      <c r="B89" s="57" t="s">
        <v>2018</v>
      </c>
      <c r="C89" s="57"/>
      <c r="D89" s="57"/>
      <c r="E89" s="57"/>
      <c r="F89" s="57"/>
      <c r="G89" s="57"/>
      <c r="H89" s="57">
        <v>-13289</v>
      </c>
      <c r="I89" s="57"/>
      <c r="J89" s="57"/>
      <c r="K89" s="229"/>
      <c r="L89" s="229"/>
      <c r="M89" s="229"/>
      <c r="N89" s="229"/>
      <c r="O89" s="229"/>
      <c r="P89" s="229"/>
      <c r="Q89" s="229"/>
      <c r="R89" s="229"/>
      <c r="S89" s="229"/>
      <c r="T89" s="229"/>
      <c r="U89" s="229"/>
      <c r="V89" s="229"/>
      <c r="W89" s="229"/>
      <c r="X89" s="229"/>
      <c r="Y89" s="229"/>
      <c r="Z89" s="229"/>
      <c r="AA89" s="229"/>
      <c r="AB89" s="229"/>
      <c r="AC89" s="229"/>
    </row>
    <row r="90" spans="1:29" s="165" customFormat="1" ht="13.8">
      <c r="A90" s="598" t="s">
        <v>1435</v>
      </c>
      <c r="B90" s="57" t="s">
        <v>2019</v>
      </c>
      <c r="C90" s="57"/>
      <c r="D90" s="229"/>
      <c r="E90" s="229"/>
      <c r="F90" s="229"/>
      <c r="G90" s="229"/>
      <c r="H90" s="229"/>
      <c r="I90" s="229"/>
      <c r="J90" s="229"/>
      <c r="K90" s="229"/>
      <c r="L90" s="229"/>
      <c r="M90" s="229"/>
      <c r="N90" s="229"/>
      <c r="O90" s="229"/>
      <c r="P90" s="229"/>
      <c r="Q90" s="229"/>
      <c r="R90" s="229"/>
      <c r="S90" s="229"/>
      <c r="T90" s="229"/>
      <c r="U90" s="229"/>
      <c r="V90" s="229"/>
      <c r="W90" s="229"/>
      <c r="X90" s="229"/>
      <c r="Y90" s="229"/>
      <c r="Z90" s="229"/>
      <c r="AA90" s="229"/>
      <c r="AB90" s="229"/>
      <c r="AC90" s="229"/>
    </row>
    <row r="91" spans="1:29" s="165" customFormat="1" ht="13.8">
      <c r="A91" s="591" t="s">
        <v>1436</v>
      </c>
      <c r="B91" s="57" t="s">
        <v>2020</v>
      </c>
      <c r="C91" s="57"/>
      <c r="D91" s="229"/>
      <c r="E91" s="229"/>
      <c r="F91" s="229"/>
      <c r="G91" s="229"/>
      <c r="H91" s="229"/>
      <c r="I91" s="229"/>
      <c r="J91" s="229"/>
      <c r="K91" s="229"/>
      <c r="L91" s="229"/>
      <c r="M91" s="229"/>
      <c r="N91" s="229"/>
      <c r="O91" s="229"/>
      <c r="P91" s="229"/>
      <c r="Q91" s="229"/>
      <c r="R91" s="229"/>
      <c r="S91" s="229"/>
      <c r="T91" s="229"/>
      <c r="U91" s="229"/>
      <c r="V91" s="229"/>
      <c r="W91" s="229"/>
      <c r="X91" s="229"/>
      <c r="Y91" s="229"/>
      <c r="Z91" s="229"/>
      <c r="AA91" s="229"/>
      <c r="AB91" s="229"/>
      <c r="AC91" s="229"/>
    </row>
    <row r="92" spans="1:29" s="165" customFormat="1" ht="13.8">
      <c r="A92" s="591" t="s">
        <v>2527</v>
      </c>
      <c r="B92" s="57" t="s">
        <v>2021</v>
      </c>
      <c r="C92" s="57"/>
      <c r="D92" s="229"/>
      <c r="E92" s="229"/>
      <c r="F92" s="229"/>
      <c r="G92" s="229"/>
      <c r="H92" s="229">
        <v>-15006</v>
      </c>
      <c r="I92" s="229">
        <v>-385541</v>
      </c>
      <c r="J92" s="229">
        <v>-723767</v>
      </c>
      <c r="K92" s="229">
        <v>-1110719</v>
      </c>
      <c r="L92" s="229">
        <v>-312486</v>
      </c>
      <c r="M92" s="229">
        <v>-557769</v>
      </c>
      <c r="N92" s="229">
        <v>-879519</v>
      </c>
      <c r="O92" s="229">
        <v>-1827060</v>
      </c>
      <c r="P92" s="229">
        <v>-470733</v>
      </c>
      <c r="Q92" s="229">
        <v>-953134</v>
      </c>
      <c r="R92" s="229">
        <v>-1512897</v>
      </c>
      <c r="S92" s="229">
        <v>-2247331</v>
      </c>
      <c r="T92" s="229">
        <v>-469250</v>
      </c>
      <c r="U92" s="229">
        <v>-999956</v>
      </c>
      <c r="V92" s="229">
        <v>-1568078</v>
      </c>
      <c r="W92" s="229">
        <v>-2310545</v>
      </c>
      <c r="X92" s="229">
        <v>-656894</v>
      </c>
      <c r="Y92" s="229">
        <v>-1426835</v>
      </c>
      <c r="Z92" s="229">
        <v>-2342760</v>
      </c>
      <c r="AA92" s="229">
        <v>-3249116</v>
      </c>
      <c r="AB92" s="229">
        <v>-717800</v>
      </c>
      <c r="AC92" s="229">
        <v>-1035016</v>
      </c>
    </row>
    <row r="93" spans="1:29" s="165" customFormat="1" ht="13.8">
      <c r="A93" s="591" t="s">
        <v>1438</v>
      </c>
      <c r="B93" s="57" t="s">
        <v>2022</v>
      </c>
      <c r="C93" s="57"/>
      <c r="D93" s="229"/>
      <c r="E93" s="229"/>
      <c r="F93" s="229"/>
      <c r="G93" s="229"/>
      <c r="H93" s="229"/>
      <c r="I93" s="229">
        <v>91219</v>
      </c>
      <c r="J93" s="229">
        <v>92115</v>
      </c>
      <c r="K93" s="229">
        <v>95416</v>
      </c>
      <c r="L93" s="229"/>
      <c r="M93" s="229"/>
      <c r="N93" s="229"/>
      <c r="O93" s="229">
        <v>356470</v>
      </c>
      <c r="P93" s="229">
        <v>25111</v>
      </c>
      <c r="Q93" s="229">
        <v>411443</v>
      </c>
      <c r="R93" s="229">
        <v>514190</v>
      </c>
      <c r="S93" s="229">
        <v>816681</v>
      </c>
      <c r="T93" s="229">
        <v>147612</v>
      </c>
      <c r="U93" s="229">
        <v>1313239</v>
      </c>
      <c r="V93" s="229">
        <v>1023681</v>
      </c>
      <c r="W93" s="229">
        <v>1765295</v>
      </c>
      <c r="X93" s="229">
        <v>74842</v>
      </c>
      <c r="Y93" s="229">
        <v>158099</v>
      </c>
      <c r="Z93" s="229">
        <v>435911</v>
      </c>
      <c r="AA93" s="229">
        <v>1552748</v>
      </c>
      <c r="AB93" s="229">
        <v>106660</v>
      </c>
      <c r="AC93" s="229">
        <v>0</v>
      </c>
    </row>
    <row r="94" spans="1:29" s="165" customFormat="1" ht="13.8">
      <c r="A94" s="591" t="s">
        <v>1439</v>
      </c>
      <c r="B94" s="57" t="s">
        <v>2023</v>
      </c>
      <c r="C94" s="57"/>
      <c r="D94" s="229"/>
      <c r="E94" s="229"/>
      <c r="F94" s="229"/>
      <c r="G94" s="229"/>
      <c r="H94" s="229"/>
      <c r="I94" s="229"/>
      <c r="J94" s="229"/>
      <c r="K94" s="229"/>
      <c r="L94" s="229"/>
      <c r="M94" s="229"/>
      <c r="N94" s="229"/>
      <c r="O94" s="229"/>
      <c r="P94" s="229"/>
      <c r="Q94" s="229"/>
      <c r="R94" s="229"/>
      <c r="S94" s="229"/>
      <c r="T94" s="229"/>
      <c r="U94" s="229"/>
      <c r="V94" s="229"/>
      <c r="W94" s="229"/>
      <c r="X94" s="229"/>
      <c r="Y94" s="229"/>
      <c r="Z94" s="229"/>
      <c r="AA94" s="229"/>
      <c r="AB94" s="229"/>
      <c r="AC94" s="229"/>
    </row>
    <row r="95" spans="1:29" s="165" customFormat="1" ht="13.8">
      <c r="A95" s="591" t="s">
        <v>1440</v>
      </c>
      <c r="B95" s="57" t="s">
        <v>2024</v>
      </c>
      <c r="C95" s="57"/>
      <c r="D95" s="229"/>
      <c r="E95" s="229"/>
      <c r="F95" s="229"/>
      <c r="G95" s="229"/>
      <c r="H95" s="229"/>
      <c r="I95" s="229"/>
      <c r="J95" s="229"/>
      <c r="K95" s="229"/>
      <c r="L95" s="229"/>
      <c r="M95" s="229"/>
      <c r="N95" s="229"/>
      <c r="O95" s="229"/>
      <c r="P95" s="229"/>
      <c r="Q95" s="229"/>
      <c r="R95" s="229"/>
      <c r="S95" s="229"/>
      <c r="T95" s="229"/>
      <c r="U95" s="229"/>
      <c r="V95" s="229"/>
      <c r="W95" s="229"/>
      <c r="X95" s="229"/>
      <c r="Y95" s="229"/>
      <c r="Z95" s="229"/>
      <c r="AA95" s="229"/>
      <c r="AB95" s="229"/>
      <c r="AC95" s="229"/>
    </row>
    <row r="96" spans="1:29" s="165" customFormat="1" ht="13.8">
      <c r="A96" s="591" t="s">
        <v>1441</v>
      </c>
      <c r="B96" s="57" t="s">
        <v>2025</v>
      </c>
      <c r="C96" s="57"/>
      <c r="D96" s="229"/>
      <c r="E96" s="229"/>
      <c r="F96" s="229"/>
      <c r="G96" s="229"/>
      <c r="H96" s="229"/>
      <c r="I96" s="229"/>
      <c r="J96" s="229"/>
      <c r="K96" s="229"/>
      <c r="L96" s="229"/>
      <c r="M96" s="229"/>
      <c r="N96" s="229"/>
      <c r="O96" s="229"/>
      <c r="P96" s="229"/>
      <c r="Q96" s="229"/>
      <c r="R96" s="229"/>
      <c r="S96" s="229"/>
      <c r="T96" s="229"/>
      <c r="U96" s="229"/>
      <c r="V96" s="229"/>
      <c r="W96" s="229"/>
      <c r="X96" s="229"/>
      <c r="Y96" s="229"/>
      <c r="Z96" s="229"/>
      <c r="AA96" s="229"/>
      <c r="AB96" s="229"/>
      <c r="AC96" s="229"/>
    </row>
    <row r="97" spans="1:29" s="165" customFormat="1" ht="13.8">
      <c r="A97" s="591" t="s">
        <v>1442</v>
      </c>
      <c r="B97" s="57" t="s">
        <v>2026</v>
      </c>
      <c r="C97" s="57"/>
      <c r="D97" s="229"/>
      <c r="E97" s="229"/>
      <c r="F97" s="229"/>
      <c r="G97" s="229"/>
      <c r="H97" s="229"/>
      <c r="I97" s="229"/>
      <c r="J97" s="229"/>
      <c r="K97" s="229"/>
      <c r="L97" s="229"/>
      <c r="M97" s="229"/>
      <c r="N97" s="229"/>
      <c r="O97" s="229"/>
      <c r="P97" s="229"/>
      <c r="Q97" s="229"/>
      <c r="R97" s="229"/>
      <c r="S97" s="229"/>
      <c r="T97" s="229"/>
      <c r="U97" s="229"/>
      <c r="V97" s="229"/>
      <c r="W97" s="229"/>
      <c r="X97" s="229"/>
      <c r="Y97" s="229"/>
      <c r="Z97" s="229"/>
      <c r="AA97" s="229"/>
      <c r="AB97" s="229"/>
      <c r="AC97" s="229"/>
    </row>
    <row r="98" spans="1:29" s="165" customFormat="1" ht="13.8">
      <c r="A98" s="591" t="s">
        <v>1443</v>
      </c>
      <c r="B98" s="57" t="s">
        <v>2028</v>
      </c>
      <c r="C98" s="57"/>
      <c r="D98" s="229"/>
      <c r="E98" s="229"/>
      <c r="F98" s="229"/>
      <c r="G98" s="229"/>
      <c r="H98" s="229"/>
      <c r="I98" s="229"/>
      <c r="J98" s="229"/>
      <c r="K98" s="229"/>
      <c r="L98" s="229"/>
      <c r="M98" s="229"/>
      <c r="N98" s="229"/>
      <c r="O98" s="229"/>
      <c r="P98" s="229"/>
      <c r="Q98" s="229"/>
      <c r="R98" s="229"/>
      <c r="S98" s="229"/>
      <c r="T98" s="229"/>
      <c r="U98" s="229"/>
      <c r="V98" s="229"/>
      <c r="W98" s="229"/>
      <c r="X98" s="229"/>
      <c r="Y98" s="229"/>
      <c r="Z98" s="229"/>
      <c r="AA98" s="229"/>
      <c r="AB98" s="229"/>
      <c r="AC98" s="229"/>
    </row>
    <row r="99" spans="1:29" s="165" customFormat="1" ht="13.8">
      <c r="A99" s="591" t="s">
        <v>1444</v>
      </c>
      <c r="B99" s="57" t="s">
        <v>2029</v>
      </c>
      <c r="C99" s="57"/>
      <c r="D99" s="229"/>
      <c r="E99" s="229"/>
      <c r="F99" s="229"/>
      <c r="G99" s="229"/>
      <c r="H99" s="229"/>
      <c r="I99" s="229"/>
      <c r="J99" s="229"/>
      <c r="K99" s="229"/>
      <c r="L99" s="229"/>
      <c r="M99" s="229"/>
      <c r="N99" s="229"/>
      <c r="O99" s="229"/>
      <c r="P99" s="229"/>
      <c r="Q99" s="229"/>
      <c r="R99" s="229"/>
      <c r="S99" s="229"/>
      <c r="T99" s="229"/>
      <c r="U99" s="229"/>
      <c r="V99" s="229"/>
      <c r="W99" s="229"/>
      <c r="X99" s="229"/>
      <c r="Y99" s="229"/>
      <c r="Z99" s="229"/>
      <c r="AA99" s="229"/>
      <c r="AB99" s="229"/>
      <c r="AC99" s="229"/>
    </row>
    <row r="100" spans="1:29" s="165" customFormat="1" ht="13.8">
      <c r="A100" s="591" t="s">
        <v>1445</v>
      </c>
      <c r="B100" s="57" t="s">
        <v>2027</v>
      </c>
      <c r="C100" s="57"/>
      <c r="D100" s="229"/>
      <c r="E100" s="229"/>
      <c r="F100" s="229"/>
      <c r="G100" s="229"/>
      <c r="H100" s="229"/>
      <c r="I100" s="229"/>
      <c r="J100" s="229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 s="229"/>
      <c r="W100" s="229"/>
      <c r="X100" s="229"/>
      <c r="Y100" s="229"/>
      <c r="Z100" s="229"/>
      <c r="AA100" s="229"/>
      <c r="AB100" s="229"/>
      <c r="AC100" s="229"/>
    </row>
    <row r="101" spans="1:29" s="165" customFormat="1" ht="13.8">
      <c r="A101" s="591" t="s">
        <v>1446</v>
      </c>
      <c r="B101" s="57" t="s">
        <v>2030</v>
      </c>
      <c r="C101" s="57"/>
      <c r="D101" s="229"/>
      <c r="E101" s="229"/>
      <c r="F101" s="229"/>
      <c r="G101" s="229"/>
      <c r="H101" s="229"/>
      <c r="I101" s="229"/>
      <c r="J101" s="229"/>
      <c r="K101" s="229"/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W101" s="229"/>
      <c r="X101" s="229"/>
      <c r="Y101" s="229"/>
      <c r="Z101" s="229"/>
      <c r="AA101" s="229"/>
      <c r="AB101" s="229"/>
      <c r="AC101" s="229"/>
    </row>
    <row r="102" spans="1:29" s="165" customFormat="1" ht="13.8">
      <c r="A102" s="591" t="s">
        <v>1447</v>
      </c>
      <c r="B102" s="57" t="s">
        <v>2031</v>
      </c>
      <c r="C102" s="57"/>
      <c r="D102" s="229"/>
      <c r="E102" s="229"/>
      <c r="F102" s="229"/>
      <c r="G102" s="229"/>
      <c r="H102" s="229"/>
      <c r="I102" s="229"/>
      <c r="J102" s="229"/>
      <c r="K102" s="229"/>
      <c r="L102" s="229"/>
      <c r="M102" s="229"/>
      <c r="N102" s="229"/>
      <c r="O102" s="229"/>
      <c r="P102" s="229"/>
      <c r="Q102" s="229"/>
      <c r="R102" s="229"/>
      <c r="S102" s="229"/>
      <c r="T102" s="229"/>
      <c r="U102" s="229"/>
      <c r="V102" s="229"/>
      <c r="W102" s="229"/>
      <c r="X102" s="229"/>
      <c r="Y102" s="229"/>
      <c r="Z102" s="229"/>
      <c r="AA102" s="229"/>
      <c r="AB102" s="229"/>
      <c r="AC102" s="229"/>
    </row>
    <row r="103" spans="1:29" s="165" customFormat="1" ht="13.8">
      <c r="A103" s="591" t="s">
        <v>1448</v>
      </c>
      <c r="B103" s="57" t="s">
        <v>2032</v>
      </c>
      <c r="C103" s="57"/>
      <c r="D103" s="229"/>
      <c r="E103" s="229"/>
      <c r="F103" s="229"/>
      <c r="G103" s="229"/>
      <c r="H103" s="229"/>
      <c r="I103" s="229"/>
      <c r="J103" s="229"/>
      <c r="K103" s="229"/>
      <c r="L103" s="229"/>
      <c r="M103" s="229"/>
      <c r="N103" s="229"/>
      <c r="O103" s="229"/>
      <c r="P103" s="229"/>
      <c r="Q103" s="229"/>
      <c r="R103" s="229"/>
      <c r="S103" s="229"/>
      <c r="T103" s="229"/>
      <c r="U103" s="229"/>
      <c r="V103" s="229"/>
      <c r="W103" s="229"/>
      <c r="X103" s="229"/>
      <c r="Y103" s="229"/>
      <c r="Z103" s="229"/>
      <c r="AA103" s="229"/>
      <c r="AB103" s="229"/>
      <c r="AC103" s="229"/>
    </row>
    <row r="104" spans="1:29" s="165" customFormat="1" ht="13.8">
      <c r="A104" s="591" t="s">
        <v>1449</v>
      </c>
      <c r="B104" s="57" t="s">
        <v>2033</v>
      </c>
      <c r="C104" s="57"/>
      <c r="D104" s="229"/>
      <c r="E104" s="229"/>
      <c r="F104" s="229"/>
      <c r="G104" s="229"/>
      <c r="H104" s="229">
        <v>-31783</v>
      </c>
      <c r="I104" s="229">
        <v>-90323</v>
      </c>
      <c r="J104" s="229">
        <v>-337307</v>
      </c>
      <c r="K104" s="229">
        <v>228399</v>
      </c>
      <c r="L104" s="229">
        <v>97946</v>
      </c>
      <c r="M104" s="229">
        <v>209753</v>
      </c>
      <c r="N104" s="229">
        <v>12482</v>
      </c>
      <c r="O104" s="229">
        <v>146260</v>
      </c>
      <c r="P104" s="229">
        <v>226275</v>
      </c>
      <c r="Q104" s="229">
        <v>347598</v>
      </c>
      <c r="R104" s="229">
        <v>603896</v>
      </c>
      <c r="S104" s="229">
        <v>507252</v>
      </c>
      <c r="T104" s="229">
        <v>174189</v>
      </c>
      <c r="U104" s="229">
        <v>-756091</v>
      </c>
      <c r="V104" s="229">
        <v>-1868785</v>
      </c>
      <c r="W104" s="229">
        <v>-1348031</v>
      </c>
      <c r="X104" s="229">
        <v>6528</v>
      </c>
      <c r="Y104" s="229">
        <v>541151</v>
      </c>
      <c r="Z104" s="229">
        <v>-263081.04000000004</v>
      </c>
      <c r="AA104" s="229">
        <v>742882.02599999995</v>
      </c>
      <c r="AB104" s="229">
        <v>246164</v>
      </c>
      <c r="AC104" s="229">
        <v>300688</v>
      </c>
    </row>
    <row r="105" spans="1:29" s="578" customFormat="1" thickBot="1">
      <c r="A105" s="596" t="s">
        <v>1450</v>
      </c>
      <c r="B105" s="596" t="s">
        <v>2038</v>
      </c>
      <c r="C105" s="596"/>
      <c r="D105" s="597">
        <f t="shared" ref="D105:AC105" si="5">SUM(D88:D104)</f>
        <v>0</v>
      </c>
      <c r="E105" s="597">
        <f t="shared" si="5"/>
        <v>0</v>
      </c>
      <c r="F105" s="597">
        <f t="shared" si="5"/>
        <v>0</v>
      </c>
      <c r="G105" s="597">
        <f t="shared" si="5"/>
        <v>0</v>
      </c>
      <c r="H105" s="597">
        <f t="shared" si="5"/>
        <v>-60078</v>
      </c>
      <c r="I105" s="597">
        <f t="shared" si="5"/>
        <v>-384645</v>
      </c>
      <c r="J105" s="597">
        <f t="shared" si="5"/>
        <v>-968959</v>
      </c>
      <c r="K105" s="597">
        <f t="shared" si="5"/>
        <v>-786904</v>
      </c>
      <c r="L105" s="597">
        <f t="shared" si="5"/>
        <v>-214540</v>
      </c>
      <c r="M105" s="597">
        <f t="shared" si="5"/>
        <v>-348016</v>
      </c>
      <c r="N105" s="597">
        <f t="shared" si="5"/>
        <v>-867037</v>
      </c>
      <c r="O105" s="597">
        <f t="shared" si="5"/>
        <v>-1324330</v>
      </c>
      <c r="P105" s="597">
        <f t="shared" si="5"/>
        <v>-219347</v>
      </c>
      <c r="Q105" s="597">
        <f t="shared" si="5"/>
        <v>-194093</v>
      </c>
      <c r="R105" s="597">
        <f t="shared" si="5"/>
        <v>-394811</v>
      </c>
      <c r="S105" s="597">
        <f t="shared" si="5"/>
        <v>-923398</v>
      </c>
      <c r="T105" s="597">
        <f t="shared" si="5"/>
        <v>-147449</v>
      </c>
      <c r="U105" s="597">
        <f t="shared" si="5"/>
        <v>-442808</v>
      </c>
      <c r="V105" s="597">
        <f t="shared" si="5"/>
        <v>-2413182</v>
      </c>
      <c r="W105" s="597">
        <f t="shared" si="5"/>
        <v>-1893281</v>
      </c>
      <c r="X105" s="597">
        <f t="shared" si="5"/>
        <v>-575524</v>
      </c>
      <c r="Y105" s="597">
        <f t="shared" si="5"/>
        <v>-727585</v>
      </c>
      <c r="Z105" s="597">
        <f t="shared" si="5"/>
        <v>-2169930.04</v>
      </c>
      <c r="AA105" s="597">
        <f t="shared" si="5"/>
        <v>-953485.97400000005</v>
      </c>
      <c r="AB105" s="597">
        <f t="shared" si="5"/>
        <v>-364976</v>
      </c>
      <c r="AC105" s="597">
        <f t="shared" si="5"/>
        <v>-734328</v>
      </c>
    </row>
    <row r="106" spans="1:29" s="165" customFormat="1" ht="13.8">
      <c r="A106" s="57"/>
      <c r="B106" s="57"/>
      <c r="C106" s="57"/>
      <c r="D106" s="229"/>
      <c r="E106" s="229"/>
      <c r="F106" s="229"/>
      <c r="G106" s="229"/>
      <c r="H106" s="229"/>
      <c r="I106" s="229"/>
      <c r="J106" s="229"/>
      <c r="K106" s="229"/>
      <c r="L106" s="229"/>
      <c r="M106" s="229"/>
      <c r="N106" s="229"/>
      <c r="O106" s="229"/>
      <c r="P106" s="229"/>
      <c r="Q106" s="229"/>
      <c r="R106" s="229"/>
      <c r="S106" s="229"/>
      <c r="T106" s="229"/>
      <c r="U106" s="229"/>
      <c r="V106" s="229"/>
      <c r="W106" s="229"/>
      <c r="X106" s="229"/>
      <c r="Y106" s="229"/>
      <c r="Z106" s="229"/>
      <c r="AA106" s="229"/>
      <c r="AB106" s="229"/>
      <c r="AC106" s="229"/>
    </row>
    <row r="107" spans="1:29" s="165" customFormat="1" ht="13.8">
      <c r="A107" s="134" t="s">
        <v>1451</v>
      </c>
      <c r="B107" s="589" t="s">
        <v>2039</v>
      </c>
      <c r="C107" s="57"/>
      <c r="D107" s="229"/>
      <c r="E107" s="229"/>
      <c r="F107" s="229"/>
      <c r="G107" s="229"/>
      <c r="H107" s="229"/>
      <c r="I107" s="229"/>
      <c r="J107" s="229"/>
      <c r="K107" s="229"/>
      <c r="L107" s="229"/>
      <c r="M107" s="229"/>
      <c r="N107" s="229"/>
      <c r="O107" s="229"/>
      <c r="P107" s="229"/>
      <c r="Q107" s="229"/>
      <c r="R107" s="229"/>
      <c r="S107" s="229"/>
      <c r="T107" s="229"/>
      <c r="U107" s="229"/>
      <c r="V107" s="229"/>
      <c r="W107" s="229"/>
      <c r="X107" s="229"/>
      <c r="Y107" s="229"/>
      <c r="Z107" s="229"/>
      <c r="AA107" s="229"/>
      <c r="AB107" s="229"/>
      <c r="AC107" s="229"/>
    </row>
    <row r="108" spans="1:29" s="165" customFormat="1" ht="13.8">
      <c r="A108" s="591" t="s">
        <v>1452</v>
      </c>
      <c r="B108" s="57" t="s">
        <v>2040</v>
      </c>
      <c r="C108" s="57"/>
      <c r="D108" s="229"/>
      <c r="E108" s="229"/>
      <c r="F108" s="229"/>
      <c r="G108" s="229"/>
      <c r="H108" s="229">
        <v>-44942</v>
      </c>
      <c r="I108" s="229">
        <v>-192108</v>
      </c>
      <c r="J108" s="229">
        <v>-383232</v>
      </c>
      <c r="K108" s="229">
        <v>-786763</v>
      </c>
      <c r="L108" s="229">
        <v>-212174</v>
      </c>
      <c r="M108" s="229">
        <v>-470776</v>
      </c>
      <c r="N108" s="229">
        <v>-674970</v>
      </c>
      <c r="O108" s="229">
        <v>-729380</v>
      </c>
      <c r="P108" s="229">
        <v>-55095</v>
      </c>
      <c r="Q108" s="229">
        <v>-429296</v>
      </c>
      <c r="R108" s="229">
        <v>-485971</v>
      </c>
      <c r="S108" s="229">
        <v>-542942</v>
      </c>
      <c r="T108" s="229">
        <v>-80306</v>
      </c>
      <c r="U108" s="229">
        <v>-161817</v>
      </c>
      <c r="V108" s="229">
        <v>-244709</v>
      </c>
      <c r="W108" s="229">
        <v>-327455</v>
      </c>
      <c r="X108" s="229">
        <v>-84034</v>
      </c>
      <c r="Y108" s="229">
        <v>-169808</v>
      </c>
      <c r="Z108" s="229">
        <v>-256409</v>
      </c>
      <c r="AA108" s="229">
        <v>-1422386</v>
      </c>
      <c r="AB108" s="229">
        <v>-87639</v>
      </c>
      <c r="AC108" s="229">
        <v>-176866</v>
      </c>
    </row>
    <row r="109" spans="1:29" s="165" customFormat="1" ht="13.8">
      <c r="A109" s="591" t="s">
        <v>1453</v>
      </c>
      <c r="B109" s="57" t="s">
        <v>2041</v>
      </c>
      <c r="C109" s="57"/>
      <c r="D109" s="229"/>
      <c r="E109" s="229"/>
      <c r="F109" s="229"/>
      <c r="G109" s="229"/>
      <c r="H109" s="229">
        <v>115514</v>
      </c>
      <c r="I109" s="229">
        <v>178682</v>
      </c>
      <c r="J109" s="229">
        <v>678681</v>
      </c>
      <c r="K109" s="229">
        <v>678681</v>
      </c>
      <c r="L109" s="229">
        <v>350000</v>
      </c>
      <c r="M109" s="229">
        <v>350000</v>
      </c>
      <c r="N109" s="229">
        <v>350000</v>
      </c>
      <c r="O109" s="229">
        <v>1819255</v>
      </c>
      <c r="P109" s="229"/>
      <c r="Q109" s="229"/>
      <c r="R109" s="229"/>
      <c r="S109" s="229">
        <v>0</v>
      </c>
      <c r="T109" s="229"/>
      <c r="U109" s="229"/>
      <c r="V109" s="229"/>
      <c r="W109" s="229">
        <v>299779</v>
      </c>
      <c r="X109" s="229"/>
      <c r="Y109" s="229"/>
      <c r="Z109" s="229"/>
      <c r="AA109" s="229"/>
      <c r="AB109" s="229"/>
      <c r="AC109" s="229"/>
    </row>
    <row r="110" spans="1:29" s="165" customFormat="1" ht="13.8">
      <c r="A110" s="591" t="s">
        <v>1454</v>
      </c>
      <c r="B110" s="57" t="s">
        <v>2042</v>
      </c>
      <c r="C110" s="57"/>
      <c r="D110" s="229"/>
      <c r="E110" s="229"/>
      <c r="F110" s="229"/>
      <c r="G110" s="229"/>
      <c r="H110" s="229"/>
      <c r="I110" s="229"/>
      <c r="J110" s="229"/>
      <c r="K110" s="229"/>
      <c r="L110" s="229"/>
      <c r="M110" s="229">
        <v>1345510</v>
      </c>
      <c r="N110" s="229">
        <v>1345510</v>
      </c>
      <c r="O110" s="229">
        <v>1344017</v>
      </c>
      <c r="P110" s="229"/>
      <c r="Q110" s="229"/>
      <c r="R110" s="229"/>
      <c r="S110" s="229">
        <v>-180079</v>
      </c>
      <c r="T110" s="229"/>
      <c r="U110" s="229"/>
      <c r="V110" s="229">
        <v>1000000</v>
      </c>
      <c r="W110" s="229">
        <v>-39132</v>
      </c>
      <c r="X110" s="229"/>
      <c r="Y110" s="229"/>
      <c r="Z110" s="229">
        <v>3249823</v>
      </c>
      <c r="AA110" s="229">
        <v>3248507</v>
      </c>
      <c r="AB110" s="229">
        <v>771908</v>
      </c>
      <c r="AC110" s="229">
        <v>771908</v>
      </c>
    </row>
    <row r="111" spans="1:29" s="165" customFormat="1" ht="13.8">
      <c r="A111" s="591" t="s">
        <v>1455</v>
      </c>
      <c r="B111" s="57" t="s">
        <v>2043</v>
      </c>
      <c r="C111" s="57"/>
      <c r="D111" s="229"/>
      <c r="E111" s="229"/>
      <c r="F111" s="229"/>
      <c r="G111" s="229"/>
      <c r="H111" s="229"/>
      <c r="I111" s="229"/>
      <c r="J111" s="229"/>
      <c r="K111" s="229">
        <v>-253775</v>
      </c>
      <c r="L111" s="229">
        <v>-35389</v>
      </c>
      <c r="M111" s="229">
        <v>-576928</v>
      </c>
      <c r="N111" s="229">
        <v>-1035389</v>
      </c>
      <c r="O111" s="229">
        <v>-1035389</v>
      </c>
      <c r="P111" s="229">
        <v>-37437</v>
      </c>
      <c r="Q111" s="229">
        <v>-37437</v>
      </c>
      <c r="R111" s="229">
        <v>-37437</v>
      </c>
      <c r="S111" s="229">
        <v>0</v>
      </c>
      <c r="T111" s="229">
        <v>-39132</v>
      </c>
      <c r="U111" s="229">
        <v>-39132</v>
      </c>
      <c r="V111" s="229">
        <v>-42255</v>
      </c>
      <c r="W111" s="229">
        <v>2415692</v>
      </c>
      <c r="X111" s="229">
        <v>-722127</v>
      </c>
      <c r="Y111" s="229">
        <v>-722127</v>
      </c>
      <c r="Z111" s="229">
        <v>-722127</v>
      </c>
      <c r="AA111" s="229">
        <v>-1350000</v>
      </c>
      <c r="AB111" s="229">
        <v>0</v>
      </c>
      <c r="AC111" s="229">
        <v>0</v>
      </c>
    </row>
    <row r="112" spans="1:29" s="165" customFormat="1" ht="13.8">
      <c r="A112" s="591" t="s">
        <v>1456</v>
      </c>
      <c r="B112" s="57" t="s">
        <v>2045</v>
      </c>
      <c r="C112" s="57"/>
      <c r="D112" s="229"/>
      <c r="E112" s="229"/>
      <c r="F112" s="229"/>
      <c r="G112" s="229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29"/>
      <c r="X112" s="229"/>
      <c r="Y112" s="229"/>
      <c r="Z112" s="229"/>
      <c r="AA112" s="229"/>
      <c r="AB112" s="229"/>
      <c r="AC112" s="229"/>
    </row>
    <row r="113" spans="1:29" s="165" customFormat="1" ht="13.8">
      <c r="A113" s="591" t="s">
        <v>1457</v>
      </c>
      <c r="B113" s="57" t="s">
        <v>2044</v>
      </c>
      <c r="C113" s="57"/>
      <c r="D113" s="229"/>
      <c r="E113" s="229"/>
      <c r="F113" s="229"/>
      <c r="G113" s="229"/>
      <c r="H113" s="229">
        <v>-2752</v>
      </c>
      <c r="I113" s="229">
        <v>-3812</v>
      </c>
      <c r="J113" s="229">
        <v>-5452</v>
      </c>
      <c r="K113" s="229">
        <v>-6099</v>
      </c>
      <c r="L113" s="229">
        <v>-646</v>
      </c>
      <c r="M113" s="229">
        <v>-1271</v>
      </c>
      <c r="N113" s="229">
        <v>-1877</v>
      </c>
      <c r="O113" s="229">
        <v>-2721</v>
      </c>
      <c r="P113" s="229">
        <v>-714</v>
      </c>
      <c r="Q113" s="229">
        <v>-1432</v>
      </c>
      <c r="R113" s="229">
        <v>-2148</v>
      </c>
      <c r="S113" s="229">
        <v>-3184</v>
      </c>
      <c r="T113" s="229">
        <v>-1227</v>
      </c>
      <c r="U113" s="229">
        <v>-2484</v>
      </c>
      <c r="V113" s="229">
        <v>-3753</v>
      </c>
      <c r="W113" s="229">
        <v>-5015</v>
      </c>
      <c r="X113" s="229">
        <v>-1305</v>
      </c>
      <c r="Y113" s="229">
        <v>-2625</v>
      </c>
      <c r="Z113" s="229">
        <v>-3949</v>
      </c>
      <c r="AA113" s="229">
        <v>-5270</v>
      </c>
      <c r="AB113" s="229">
        <v>-1328</v>
      </c>
      <c r="AC113" s="229">
        <v>-2666</v>
      </c>
    </row>
    <row r="114" spans="1:29" s="165" customFormat="1" ht="13.8">
      <c r="A114" s="591" t="s">
        <v>1458</v>
      </c>
      <c r="B114" s="57" t="s">
        <v>2045</v>
      </c>
      <c r="C114" s="57"/>
      <c r="D114" s="229"/>
      <c r="E114" s="229"/>
      <c r="F114" s="229"/>
      <c r="G114" s="229"/>
      <c r="H114" s="229"/>
      <c r="I114" s="229"/>
      <c r="J114" s="229">
        <v>52002</v>
      </c>
      <c r="K114" s="229">
        <v>91806</v>
      </c>
      <c r="L114" s="229"/>
      <c r="M114" s="229"/>
      <c r="N114" s="229">
        <v>108300</v>
      </c>
      <c r="O114" s="229">
        <v>108300</v>
      </c>
      <c r="P114" s="229"/>
      <c r="Q114" s="229">
        <v>61229</v>
      </c>
      <c r="R114" s="229">
        <v>-61229</v>
      </c>
      <c r="S114" s="229">
        <v>61229</v>
      </c>
      <c r="T114" s="229"/>
      <c r="U114" s="229"/>
      <c r="V114" s="229"/>
      <c r="W114" s="229"/>
      <c r="X114" s="229"/>
      <c r="Y114" s="229"/>
      <c r="Z114" s="229"/>
      <c r="AA114" s="229"/>
      <c r="AB114" s="229"/>
      <c r="AC114" s="229"/>
    </row>
    <row r="115" spans="1:29" s="165" customFormat="1" ht="13.8">
      <c r="A115" s="591" t="s">
        <v>1459</v>
      </c>
      <c r="B115" s="57" t="s">
        <v>2046</v>
      </c>
      <c r="C115" s="57"/>
      <c r="D115" s="229"/>
      <c r="E115" s="229"/>
      <c r="F115" s="229"/>
      <c r="G115" s="229"/>
      <c r="H115" s="229">
        <v>-24971</v>
      </c>
      <c r="I115" s="229"/>
      <c r="J115" s="229">
        <v>-94</v>
      </c>
      <c r="K115" s="229">
        <v>-378</v>
      </c>
      <c r="L115" s="229">
        <v>-284</v>
      </c>
      <c r="M115" s="229">
        <v>-2760</v>
      </c>
      <c r="N115" s="229">
        <v>-9624</v>
      </c>
      <c r="O115" s="229">
        <v>-14293</v>
      </c>
      <c r="P115" s="229">
        <v>-27034</v>
      </c>
      <c r="Q115" s="229">
        <v>-15921</v>
      </c>
      <c r="R115" s="229">
        <v>-20496</v>
      </c>
      <c r="S115" s="229">
        <v>-27360</v>
      </c>
      <c r="T115" s="229">
        <v>-6863</v>
      </c>
      <c r="U115" s="229">
        <v>-13727</v>
      </c>
      <c r="V115" s="229">
        <v>-22878</v>
      </c>
      <c r="W115" s="229">
        <v>-29742</v>
      </c>
      <c r="X115" s="229">
        <v>-6863</v>
      </c>
      <c r="Y115" s="229">
        <v>-13728</v>
      </c>
      <c r="Z115" s="229">
        <v>-20591</v>
      </c>
      <c r="AA115" s="229">
        <v>-27455</v>
      </c>
      <c r="AB115" s="229">
        <v>-6863</v>
      </c>
      <c r="AC115" s="229">
        <v>-13727</v>
      </c>
    </row>
    <row r="116" spans="1:29" s="165" customFormat="1" ht="13.8">
      <c r="A116" s="591" t="s">
        <v>1460</v>
      </c>
      <c r="B116" s="57" t="s">
        <v>2047</v>
      </c>
      <c r="C116" s="57"/>
      <c r="D116" s="229"/>
      <c r="E116" s="229"/>
      <c r="F116" s="229"/>
      <c r="G116" s="229"/>
      <c r="H116" s="229"/>
      <c r="I116" s="229"/>
      <c r="J116" s="229">
        <v>120000</v>
      </c>
      <c r="K116" s="229">
        <v>120000</v>
      </c>
      <c r="L116" s="229"/>
      <c r="M116" s="229">
        <v>31448</v>
      </c>
      <c r="N116" s="229">
        <v>90000</v>
      </c>
      <c r="O116" s="229">
        <v>130000</v>
      </c>
      <c r="P116" s="229"/>
      <c r="Q116" s="229"/>
      <c r="R116" s="229"/>
      <c r="S116" s="229"/>
      <c r="T116" s="229"/>
      <c r="U116" s="229"/>
      <c r="V116" s="229"/>
      <c r="W116" s="229"/>
      <c r="X116" s="229"/>
      <c r="Y116" s="229"/>
      <c r="Z116" s="229"/>
      <c r="AA116" s="229"/>
      <c r="AB116" s="229"/>
      <c r="AC116" s="229"/>
    </row>
    <row r="117" spans="1:29" s="165" customFormat="1" ht="13.8">
      <c r="A117" s="599" t="s">
        <v>1461</v>
      </c>
      <c r="B117" s="57" t="s">
        <v>2048</v>
      </c>
      <c r="C117" s="57"/>
      <c r="D117" s="229"/>
      <c r="E117" s="229"/>
      <c r="F117" s="229"/>
      <c r="G117" s="229"/>
      <c r="H117" s="229"/>
      <c r="I117" s="229">
        <v>-220840</v>
      </c>
      <c r="J117" s="229"/>
      <c r="K117" s="229"/>
      <c r="L117" s="229"/>
      <c r="M117" s="229"/>
      <c r="N117" s="229"/>
      <c r="O117" s="229"/>
      <c r="P117" s="229"/>
      <c r="Q117" s="229"/>
      <c r="R117" s="229"/>
      <c r="S117" s="229"/>
      <c r="T117" s="229"/>
      <c r="U117" s="229"/>
      <c r="V117" s="229"/>
      <c r="W117" s="229"/>
      <c r="X117" s="229"/>
      <c r="Y117" s="229"/>
      <c r="Z117" s="229"/>
      <c r="AA117" s="229"/>
      <c r="AB117" s="229"/>
      <c r="AC117" s="229"/>
    </row>
    <row r="118" spans="1:29" s="165" customFormat="1" ht="13.8">
      <c r="A118" s="591" t="s">
        <v>1462</v>
      </c>
      <c r="B118" s="57" t="s">
        <v>2049</v>
      </c>
      <c r="C118" s="57"/>
      <c r="D118" s="229"/>
      <c r="E118" s="229"/>
      <c r="F118" s="229"/>
      <c r="G118" s="229"/>
      <c r="H118" s="229"/>
      <c r="I118" s="57"/>
      <c r="J118" s="229">
        <v>-552078</v>
      </c>
      <c r="K118" s="229">
        <v>-905468</v>
      </c>
      <c r="L118" s="229"/>
      <c r="M118" s="229">
        <v>-287016</v>
      </c>
      <c r="N118" s="229">
        <v>-287016</v>
      </c>
      <c r="O118" s="229">
        <v>-1950544</v>
      </c>
      <c r="P118" s="229"/>
      <c r="Q118" s="229">
        <v>-129</v>
      </c>
      <c r="R118" s="229">
        <v>-127</v>
      </c>
      <c r="S118" s="229">
        <v>-325969</v>
      </c>
      <c r="T118" s="229"/>
      <c r="U118" s="229">
        <v>-8</v>
      </c>
      <c r="V118" s="229">
        <v>-9</v>
      </c>
      <c r="W118" s="229">
        <v>-1678075</v>
      </c>
      <c r="X118" s="229">
        <v>-53</v>
      </c>
      <c r="Y118" s="229">
        <v>-54</v>
      </c>
      <c r="Z118" s="229">
        <v>-54</v>
      </c>
      <c r="AA118" s="229">
        <v>-1454812</v>
      </c>
      <c r="AB118" s="229"/>
      <c r="AC118" s="229">
        <v>-296739</v>
      </c>
    </row>
    <row r="119" spans="1:29" s="165" customFormat="1" ht="13.8">
      <c r="A119" s="591" t="s">
        <v>1463</v>
      </c>
      <c r="B119" s="57" t="s">
        <v>2050</v>
      </c>
      <c r="C119" s="57"/>
      <c r="D119" s="229"/>
      <c r="E119" s="229"/>
      <c r="F119" s="229"/>
      <c r="G119" s="229"/>
      <c r="H119" s="229"/>
      <c r="I119" s="229"/>
      <c r="J119" s="229"/>
      <c r="K119" s="229"/>
      <c r="L119" s="229"/>
      <c r="M119" s="229"/>
      <c r="N119" s="229"/>
      <c r="O119" s="229"/>
      <c r="P119" s="229"/>
      <c r="Q119" s="229"/>
      <c r="R119" s="229"/>
      <c r="S119" s="229"/>
      <c r="T119" s="229"/>
      <c r="U119" s="229"/>
      <c r="V119" s="229"/>
      <c r="W119" s="229"/>
      <c r="X119" s="229"/>
      <c r="Y119" s="229"/>
      <c r="Z119" s="229"/>
      <c r="AA119" s="229"/>
      <c r="AB119" s="229"/>
      <c r="AC119" s="229"/>
    </row>
    <row r="120" spans="1:29" s="165" customFormat="1" ht="13.8">
      <c r="A120" s="591" t="s">
        <v>1464</v>
      </c>
      <c r="B120" s="57" t="s">
        <v>2051</v>
      </c>
      <c r="C120" s="57"/>
      <c r="D120" s="229"/>
      <c r="E120" s="229"/>
      <c r="F120" s="229"/>
      <c r="G120" s="229"/>
      <c r="H120" s="229"/>
      <c r="I120" s="229"/>
      <c r="J120" s="229"/>
      <c r="K120" s="229"/>
      <c r="L120" s="229"/>
      <c r="M120" s="229"/>
      <c r="N120" s="229"/>
      <c r="O120" s="229"/>
      <c r="P120" s="229"/>
      <c r="Q120" s="229"/>
      <c r="R120" s="229"/>
      <c r="S120" s="229"/>
      <c r="T120" s="229"/>
      <c r="U120" s="229"/>
      <c r="V120" s="229"/>
      <c r="W120" s="229"/>
      <c r="X120" s="229"/>
      <c r="Y120" s="229"/>
      <c r="Z120" s="229"/>
      <c r="AA120" s="229"/>
      <c r="AB120" s="229"/>
      <c r="AC120" s="229"/>
    </row>
    <row r="121" spans="1:29" s="165" customFormat="1" ht="13.8">
      <c r="A121" s="591" t="s">
        <v>1465</v>
      </c>
      <c r="B121" s="57" t="s">
        <v>2052</v>
      </c>
      <c r="C121" s="57"/>
      <c r="D121" s="229"/>
      <c r="E121" s="229"/>
      <c r="F121" s="229"/>
      <c r="G121" s="229"/>
      <c r="H121" s="229"/>
      <c r="I121" s="229"/>
      <c r="J121" s="229"/>
      <c r="K121" s="229"/>
      <c r="L121" s="229"/>
      <c r="M121" s="229"/>
      <c r="N121" s="229"/>
      <c r="O121" s="229"/>
      <c r="P121" s="229"/>
      <c r="Q121" s="229"/>
      <c r="R121" s="229"/>
      <c r="S121" s="229"/>
      <c r="T121" s="229"/>
      <c r="U121" s="229"/>
      <c r="V121" s="229"/>
      <c r="W121" s="229"/>
      <c r="X121" s="229"/>
      <c r="Y121" s="229"/>
      <c r="Z121" s="229"/>
      <c r="AA121" s="229"/>
      <c r="AB121" s="229"/>
      <c r="AC121" s="229"/>
    </row>
    <row r="122" spans="1:29" s="578" customFormat="1" thickBot="1">
      <c r="A122" s="596" t="s">
        <v>1466</v>
      </c>
      <c r="B122" s="596"/>
      <c r="C122" s="596"/>
      <c r="D122" s="597">
        <f t="shared" ref="D122:Y122" si="6">SUM(D108:D120)</f>
        <v>0</v>
      </c>
      <c r="E122" s="597">
        <f t="shared" si="6"/>
        <v>0</v>
      </c>
      <c r="F122" s="597">
        <f t="shared" si="6"/>
        <v>0</v>
      </c>
      <c r="G122" s="597">
        <f t="shared" si="6"/>
        <v>0</v>
      </c>
      <c r="H122" s="597">
        <f t="shared" si="6"/>
        <v>42849</v>
      </c>
      <c r="I122" s="597">
        <f>SUM(I107:I120)</f>
        <v>-238078</v>
      </c>
      <c r="J122" s="597">
        <f t="shared" si="6"/>
        <v>-90173</v>
      </c>
      <c r="K122" s="597">
        <f t="shared" si="6"/>
        <v>-1061996</v>
      </c>
      <c r="L122" s="597">
        <f t="shared" si="6"/>
        <v>101507</v>
      </c>
      <c r="M122" s="597">
        <f t="shared" si="6"/>
        <v>388207</v>
      </c>
      <c r="N122" s="597">
        <f t="shared" si="6"/>
        <v>-115066</v>
      </c>
      <c r="O122" s="597">
        <f t="shared" si="6"/>
        <v>-330755</v>
      </c>
      <c r="P122" s="597">
        <f t="shared" si="6"/>
        <v>-120280</v>
      </c>
      <c r="Q122" s="597">
        <f t="shared" si="6"/>
        <v>-422986</v>
      </c>
      <c r="R122" s="597">
        <f t="shared" si="6"/>
        <v>-607408</v>
      </c>
      <c r="S122" s="597">
        <f t="shared" si="6"/>
        <v>-1018305</v>
      </c>
      <c r="T122" s="597">
        <f t="shared" si="6"/>
        <v>-127528</v>
      </c>
      <c r="U122" s="597">
        <f t="shared" si="6"/>
        <v>-217168</v>
      </c>
      <c r="V122" s="597">
        <f t="shared" si="6"/>
        <v>686396</v>
      </c>
      <c r="W122" s="597">
        <f t="shared" si="6"/>
        <v>636052</v>
      </c>
      <c r="X122" s="597">
        <f t="shared" si="6"/>
        <v>-814382</v>
      </c>
      <c r="Y122" s="597">
        <f t="shared" si="6"/>
        <v>-908342</v>
      </c>
      <c r="Z122" s="597">
        <f t="shared" ref="Z122" si="7">SUM(Z108:Z120)</f>
        <v>2246693</v>
      </c>
      <c r="AA122" s="597">
        <f>SUM(AA108:AA120)</f>
        <v>-1011416</v>
      </c>
      <c r="AB122" s="597">
        <f>SUM(AB108:AB120)</f>
        <v>676078</v>
      </c>
      <c r="AC122" s="597">
        <f>SUM(AC108:AC120)</f>
        <v>281910</v>
      </c>
    </row>
    <row r="123" spans="1:29" s="165" customFormat="1" ht="13.8">
      <c r="A123" s="57"/>
      <c r="B123" s="57"/>
      <c r="C123" s="57"/>
      <c r="D123" s="229"/>
      <c r="E123" s="229"/>
      <c r="F123" s="229"/>
      <c r="G123" s="229"/>
      <c r="H123" s="229"/>
      <c r="I123" s="229"/>
      <c r="J123" s="229"/>
      <c r="K123" s="229"/>
      <c r="L123" s="229"/>
      <c r="M123" s="229"/>
      <c r="N123" s="229"/>
      <c r="O123" s="229"/>
      <c r="P123" s="229"/>
      <c r="Q123" s="229"/>
      <c r="R123" s="229"/>
      <c r="S123" s="229"/>
      <c r="T123" s="229"/>
      <c r="U123" s="229"/>
      <c r="V123" s="229"/>
      <c r="W123" s="229"/>
      <c r="X123" s="229"/>
      <c r="Y123" s="229"/>
      <c r="Z123" s="229"/>
      <c r="AA123" s="229"/>
      <c r="AB123" s="229"/>
      <c r="AC123" s="229"/>
    </row>
    <row r="124" spans="1:29" s="578" customFormat="1" ht="13.8">
      <c r="A124" s="592" t="s">
        <v>1467</v>
      </c>
      <c r="B124" s="592" t="s">
        <v>2053</v>
      </c>
      <c r="C124" s="592"/>
      <c r="D124" s="593">
        <f t="shared" ref="D124:AC124" si="8">+D86+D105+D122</f>
        <v>0</v>
      </c>
      <c r="E124" s="593">
        <f t="shared" si="8"/>
        <v>0</v>
      </c>
      <c r="F124" s="593">
        <f t="shared" si="8"/>
        <v>0</v>
      </c>
      <c r="G124" s="593">
        <f t="shared" si="8"/>
        <v>0</v>
      </c>
      <c r="H124" s="593">
        <f t="shared" si="8"/>
        <v>367635</v>
      </c>
      <c r="I124" s="593">
        <f t="shared" si="8"/>
        <v>285943</v>
      </c>
      <c r="J124" s="593">
        <f t="shared" si="8"/>
        <v>-259183</v>
      </c>
      <c r="K124" s="593">
        <f t="shared" si="8"/>
        <v>-783609</v>
      </c>
      <c r="L124" s="593">
        <f t="shared" si="8"/>
        <v>233169</v>
      </c>
      <c r="M124" s="593">
        <f t="shared" si="8"/>
        <v>879127</v>
      </c>
      <c r="N124" s="593">
        <f t="shared" si="8"/>
        <v>229605</v>
      </c>
      <c r="O124" s="593">
        <f t="shared" si="8"/>
        <v>46840</v>
      </c>
      <c r="P124" s="593">
        <f t="shared" si="8"/>
        <v>-33580</v>
      </c>
      <c r="Q124" s="593">
        <f t="shared" si="8"/>
        <v>-59681</v>
      </c>
      <c r="R124" s="593">
        <f t="shared" si="8"/>
        <v>541530</v>
      </c>
      <c r="S124" s="593">
        <f t="shared" si="8"/>
        <v>121271</v>
      </c>
      <c r="T124" s="593">
        <f t="shared" si="8"/>
        <v>126314</v>
      </c>
      <c r="U124" s="593">
        <f t="shared" si="8"/>
        <v>-155095</v>
      </c>
      <c r="V124" s="593">
        <f t="shared" si="8"/>
        <v>-41210</v>
      </c>
      <c r="W124" s="593">
        <f t="shared" si="8"/>
        <v>976075</v>
      </c>
      <c r="X124" s="593">
        <f t="shared" si="8"/>
        <v>-1043446</v>
      </c>
      <c r="Y124" s="593">
        <f t="shared" si="8"/>
        <v>-1053282</v>
      </c>
      <c r="Z124" s="593">
        <f t="shared" si="8"/>
        <v>1449521</v>
      </c>
      <c r="AA124" s="593">
        <f t="shared" si="8"/>
        <v>-510972.00000000012</v>
      </c>
      <c r="AB124" s="593">
        <f t="shared" si="8"/>
        <v>575746</v>
      </c>
      <c r="AC124" s="593">
        <f t="shared" si="8"/>
        <v>-33462</v>
      </c>
    </row>
    <row r="125" spans="1:29" s="165" customFormat="1" ht="13.8">
      <c r="A125" s="57"/>
      <c r="B125" s="57"/>
      <c r="C125" s="57"/>
      <c r="D125" s="229"/>
      <c r="E125" s="229"/>
      <c r="F125" s="229"/>
      <c r="G125" s="229"/>
      <c r="H125" s="229"/>
      <c r="I125" s="229"/>
      <c r="J125" s="229"/>
      <c r="K125" s="229"/>
      <c r="L125" s="229"/>
      <c r="M125" s="229"/>
      <c r="N125" s="229"/>
      <c r="O125" s="229"/>
      <c r="P125" s="229"/>
      <c r="Q125" s="229"/>
      <c r="R125" s="229"/>
      <c r="S125" s="229"/>
      <c r="T125" s="229"/>
      <c r="U125" s="229"/>
      <c r="V125" s="229"/>
      <c r="W125" s="229"/>
      <c r="X125" s="229"/>
      <c r="Y125" s="229"/>
      <c r="Z125" s="229"/>
      <c r="AA125" s="229"/>
      <c r="AB125" s="229"/>
      <c r="AC125" s="229"/>
    </row>
    <row r="126" spans="1:29" s="165" customFormat="1" ht="13.8">
      <c r="A126" s="600" t="s">
        <v>1468</v>
      </c>
      <c r="B126" s="57" t="s">
        <v>2054</v>
      </c>
      <c r="C126" s="57"/>
      <c r="D126" s="229"/>
      <c r="E126" s="229"/>
      <c r="F126" s="229"/>
      <c r="G126" s="229"/>
      <c r="H126" s="229">
        <v>957597</v>
      </c>
      <c r="I126" s="229">
        <v>957597</v>
      </c>
      <c r="J126" s="229">
        <v>957597</v>
      </c>
      <c r="K126" s="229">
        <v>957597</v>
      </c>
      <c r="L126" s="229">
        <v>173988</v>
      </c>
      <c r="M126" s="229">
        <v>173988</v>
      </c>
      <c r="N126" s="229">
        <v>173988</v>
      </c>
      <c r="O126" s="229">
        <v>173988</v>
      </c>
      <c r="P126" s="229">
        <v>220828</v>
      </c>
      <c r="Q126" s="229">
        <v>220828</v>
      </c>
      <c r="R126" s="229">
        <v>220828</v>
      </c>
      <c r="S126" s="229">
        <v>220828</v>
      </c>
      <c r="T126" s="229">
        <v>342099</v>
      </c>
      <c r="U126" s="229">
        <v>342099</v>
      </c>
      <c r="V126" s="229">
        <v>342099</v>
      </c>
      <c r="W126" s="229">
        <v>342099</v>
      </c>
      <c r="X126" s="229">
        <v>1318174</v>
      </c>
      <c r="Y126" s="229">
        <v>1318174</v>
      </c>
      <c r="Z126" s="229">
        <v>1318174</v>
      </c>
      <c r="AA126" s="229">
        <v>1318174</v>
      </c>
      <c r="AB126" s="229">
        <v>807202</v>
      </c>
      <c r="AC126" s="229">
        <v>807202</v>
      </c>
    </row>
    <row r="127" spans="1:29" s="165" customFormat="1" ht="13.8">
      <c r="A127" s="600" t="s">
        <v>1469</v>
      </c>
      <c r="B127" s="57" t="s">
        <v>2055</v>
      </c>
      <c r="C127" s="57"/>
      <c r="D127" s="229"/>
      <c r="E127" s="229"/>
      <c r="F127" s="229"/>
      <c r="G127" s="229"/>
      <c r="H127" s="229">
        <v>1325232</v>
      </c>
      <c r="I127" s="229">
        <v>1243540</v>
      </c>
      <c r="J127" s="229">
        <v>698414</v>
      </c>
      <c r="K127" s="229">
        <v>173988</v>
      </c>
      <c r="L127" s="229">
        <v>407157</v>
      </c>
      <c r="M127" s="229">
        <v>1053115</v>
      </c>
      <c r="N127" s="229">
        <v>403593</v>
      </c>
      <c r="O127" s="229">
        <v>220828</v>
      </c>
      <c r="P127" s="229">
        <v>187248</v>
      </c>
      <c r="Q127" s="229">
        <v>161147</v>
      </c>
      <c r="R127" s="229">
        <v>762358</v>
      </c>
      <c r="S127" s="229">
        <v>342099</v>
      </c>
      <c r="T127" s="229">
        <v>468413</v>
      </c>
      <c r="U127" s="229">
        <v>187004</v>
      </c>
      <c r="V127" s="229">
        <v>300889</v>
      </c>
      <c r="W127" s="229">
        <v>1318174</v>
      </c>
      <c r="X127" s="229">
        <v>274728</v>
      </c>
      <c r="Y127" s="229">
        <v>264892</v>
      </c>
      <c r="Z127" s="229">
        <v>2767695</v>
      </c>
      <c r="AA127" s="229">
        <v>807202</v>
      </c>
      <c r="AB127" s="229">
        <v>1382948</v>
      </c>
      <c r="AC127" s="229">
        <v>773740</v>
      </c>
    </row>
    <row r="129" spans="1:29" s="578" customFormat="1" thickBot="1">
      <c r="A129" s="596" t="s">
        <v>1467</v>
      </c>
      <c r="B129" s="596" t="s">
        <v>2053</v>
      </c>
      <c r="C129" s="596"/>
      <c r="D129" s="597">
        <f t="shared" ref="D129:Y129" si="9">+D127-D126</f>
        <v>0</v>
      </c>
      <c r="E129" s="597">
        <f t="shared" si="9"/>
        <v>0</v>
      </c>
      <c r="F129" s="597">
        <f t="shared" si="9"/>
        <v>0</v>
      </c>
      <c r="G129" s="597">
        <f t="shared" si="9"/>
        <v>0</v>
      </c>
      <c r="H129" s="597">
        <f t="shared" si="9"/>
        <v>367635</v>
      </c>
      <c r="I129" s="597">
        <f t="shared" si="9"/>
        <v>285943</v>
      </c>
      <c r="J129" s="597">
        <f t="shared" si="9"/>
        <v>-259183</v>
      </c>
      <c r="K129" s="597">
        <f t="shared" si="9"/>
        <v>-783609</v>
      </c>
      <c r="L129" s="597">
        <f t="shared" si="9"/>
        <v>233169</v>
      </c>
      <c r="M129" s="597">
        <f t="shared" si="9"/>
        <v>879127</v>
      </c>
      <c r="N129" s="597">
        <f t="shared" si="9"/>
        <v>229605</v>
      </c>
      <c r="O129" s="597">
        <f t="shared" si="9"/>
        <v>46840</v>
      </c>
      <c r="P129" s="597">
        <f t="shared" si="9"/>
        <v>-33580</v>
      </c>
      <c r="Q129" s="597">
        <f t="shared" si="9"/>
        <v>-59681</v>
      </c>
      <c r="R129" s="597">
        <f t="shared" si="9"/>
        <v>541530</v>
      </c>
      <c r="S129" s="597">
        <f t="shared" si="9"/>
        <v>121271</v>
      </c>
      <c r="T129" s="597">
        <f t="shared" si="9"/>
        <v>126314</v>
      </c>
      <c r="U129" s="597">
        <f t="shared" si="9"/>
        <v>-155095</v>
      </c>
      <c r="V129" s="597">
        <f t="shared" si="9"/>
        <v>-41210</v>
      </c>
      <c r="W129" s="597">
        <f t="shared" si="9"/>
        <v>976075</v>
      </c>
      <c r="X129" s="597">
        <f t="shared" si="9"/>
        <v>-1043446</v>
      </c>
      <c r="Y129" s="597">
        <f t="shared" si="9"/>
        <v>-1053282</v>
      </c>
      <c r="Z129" s="597">
        <f t="shared" ref="Z129" si="10">+Z127-Z126</f>
        <v>1449521</v>
      </c>
      <c r="AA129" s="597">
        <f>+AA127-AA126</f>
        <v>-510972</v>
      </c>
      <c r="AB129" s="597">
        <f>+AB127-AB126</f>
        <v>575746</v>
      </c>
      <c r="AC129" s="597">
        <f>+AC127-AC126</f>
        <v>-33462</v>
      </c>
    </row>
  </sheetData>
  <phoneticPr fontId="30" type="noConversion"/>
  <hyperlinks>
    <hyperlink ref="B121" r:id="rId1" display="https://www.lawinsider.com/clause/advance-for-future-capital-increase-afac" xr:uid="{00000000-0004-0000-4800-000000000000}"/>
  </hyperlinks>
  <pageMargins left="0.511811024" right="0.511811024" top="0.78740157499999996" bottom="0.78740157499999996" header="0.31496062000000002" footer="0.31496062000000002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tabColor theme="9" tint="0.79998168889431442"/>
  </sheetPr>
  <dimension ref="A6:AC129"/>
  <sheetViews>
    <sheetView showGridLines="0" zoomScale="70" zoomScaleNormal="70" workbookViewId="0">
      <pane xSplit="1" ySplit="7" topLeftCell="P74" activePane="bottomRight" state="frozen"/>
      <selection pane="topRight" activeCell="B1" sqref="B1"/>
      <selection pane="bottomLeft" activeCell="A8" sqref="A8"/>
      <selection pane="bottomRight" activeCell="A82" sqref="A82:A84"/>
    </sheetView>
  </sheetViews>
  <sheetFormatPr defaultColWidth="9.21875" defaultRowHeight="13.8" outlineLevelCol="1"/>
  <cols>
    <col min="1" max="1" width="70.77734375" style="57" bestFit="1" customWidth="1"/>
    <col min="2" max="2" width="75.88671875" style="57" bestFit="1" customWidth="1"/>
    <col min="3" max="3" width="0.5546875" style="57" customWidth="1"/>
    <col min="4" max="5" width="10.5546875" style="57" hidden="1" customWidth="1" outlineLevel="1"/>
    <col min="6" max="7" width="11.44140625" style="57" hidden="1" customWidth="1" outlineLevel="1"/>
    <col min="8" max="8" width="11.44140625" style="57" customWidth="1" collapsed="1"/>
    <col min="9" max="10" width="11.44140625" style="57" customWidth="1"/>
    <col min="11" max="29" width="11.44140625" style="57" bestFit="1" customWidth="1"/>
    <col min="30" max="16384" width="9.21875" style="57"/>
  </cols>
  <sheetData>
    <row r="6" spans="1:29">
      <c r="A6" s="38" t="s">
        <v>113</v>
      </c>
      <c r="B6" s="38" t="s">
        <v>113</v>
      </c>
      <c r="C6" s="348"/>
      <c r="D6" s="399"/>
      <c r="E6" s="399"/>
      <c r="F6" s="399"/>
      <c r="G6" s="399"/>
      <c r="H6" s="399"/>
      <c r="I6" s="399"/>
      <c r="J6" s="399"/>
      <c r="K6" s="601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399"/>
    </row>
    <row r="7" spans="1:29">
      <c r="A7" s="441" t="s">
        <v>1365</v>
      </c>
      <c r="B7" s="441" t="s">
        <v>1366</v>
      </c>
      <c r="C7" s="602"/>
      <c r="D7" s="603" t="s">
        <v>67</v>
      </c>
      <c r="E7" s="603" t="s">
        <v>68</v>
      </c>
      <c r="F7" s="603" t="s">
        <v>69</v>
      </c>
      <c r="G7" s="603" t="s">
        <v>70</v>
      </c>
      <c r="H7" s="603" t="s">
        <v>1367</v>
      </c>
      <c r="I7" s="603" t="s">
        <v>1368</v>
      </c>
      <c r="J7" s="603" t="s">
        <v>1369</v>
      </c>
      <c r="K7" s="604" t="s">
        <v>1370</v>
      </c>
      <c r="L7" s="603" t="s">
        <v>584</v>
      </c>
      <c r="M7" s="603" t="s">
        <v>585</v>
      </c>
      <c r="N7" s="603" t="s">
        <v>586</v>
      </c>
      <c r="O7" s="604" t="s">
        <v>1371</v>
      </c>
      <c r="P7" s="603" t="s">
        <v>587</v>
      </c>
      <c r="Q7" s="603" t="s">
        <v>588</v>
      </c>
      <c r="R7" s="603" t="s">
        <v>589</v>
      </c>
      <c r="S7" s="604" t="s">
        <v>1372</v>
      </c>
      <c r="T7" s="603" t="s">
        <v>590</v>
      </c>
      <c r="U7" s="603" t="s">
        <v>591</v>
      </c>
      <c r="V7" s="603" t="s">
        <v>592</v>
      </c>
      <c r="W7" s="604" t="s">
        <v>1373</v>
      </c>
      <c r="X7" s="603" t="s">
        <v>593</v>
      </c>
      <c r="Y7" s="603" t="s">
        <v>594</v>
      </c>
      <c r="Z7" s="603" t="s">
        <v>595</v>
      </c>
      <c r="AA7" s="604" t="s">
        <v>2151</v>
      </c>
      <c r="AB7" s="604" t="s">
        <v>2488</v>
      </c>
      <c r="AC7" s="604" t="s">
        <v>2497</v>
      </c>
    </row>
    <row r="8" spans="1:29">
      <c r="A8" s="134" t="s">
        <v>1374</v>
      </c>
      <c r="B8" s="134" t="s">
        <v>2034</v>
      </c>
      <c r="T8" s="229"/>
    </row>
    <row r="9" spans="1:29" s="589" customFormat="1">
      <c r="A9" s="588" t="s">
        <v>776</v>
      </c>
      <c r="B9" s="589" t="s">
        <v>1375</v>
      </c>
      <c r="H9" s="590">
        <v>68189</v>
      </c>
      <c r="I9" s="590">
        <v>180748</v>
      </c>
      <c r="J9" s="590">
        <v>832216</v>
      </c>
      <c r="K9" s="590">
        <v>1009065</v>
      </c>
      <c r="L9" s="590">
        <v>67521</v>
      </c>
      <c r="M9" s="590">
        <v>87280</v>
      </c>
      <c r="N9" s="590">
        <v>159056</v>
      </c>
      <c r="O9" s="590">
        <v>225258</v>
      </c>
      <c r="P9" s="590">
        <v>28972</v>
      </c>
      <c r="Q9" s="590">
        <v>102528</v>
      </c>
      <c r="R9" s="590">
        <v>164414</v>
      </c>
      <c r="S9" s="590">
        <v>254771</v>
      </c>
      <c r="T9" s="590">
        <v>64818</v>
      </c>
      <c r="U9" s="590">
        <v>130837</v>
      </c>
      <c r="V9" s="590">
        <v>236546</v>
      </c>
      <c r="W9" s="590">
        <v>364092</v>
      </c>
      <c r="X9" s="590">
        <v>46862</v>
      </c>
      <c r="Y9" s="590">
        <v>142699</v>
      </c>
      <c r="Z9" s="590">
        <v>240731</v>
      </c>
      <c r="AA9" s="590">
        <v>515264</v>
      </c>
      <c r="AB9" s="590">
        <v>33046</v>
      </c>
      <c r="AC9" s="590">
        <v>144489</v>
      </c>
    </row>
    <row r="10" spans="1:29">
      <c r="A10" s="104" t="s">
        <v>1376</v>
      </c>
      <c r="B10" s="57" t="s">
        <v>1377</v>
      </c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</row>
    <row r="11" spans="1:29">
      <c r="A11" s="591" t="s">
        <v>1378</v>
      </c>
      <c r="B11" s="57" t="s">
        <v>1379</v>
      </c>
      <c r="H11" s="229">
        <v>22071</v>
      </c>
      <c r="I11" s="229">
        <v>45612</v>
      </c>
      <c r="J11" s="229">
        <v>10188</v>
      </c>
      <c r="K11" s="229">
        <v>35611</v>
      </c>
      <c r="L11" s="229">
        <v>24600</v>
      </c>
      <c r="M11" s="229">
        <v>51568</v>
      </c>
      <c r="N11" s="229">
        <v>77969</v>
      </c>
      <c r="O11" s="229">
        <v>110925</v>
      </c>
      <c r="P11" s="229">
        <v>22432</v>
      </c>
      <c r="Q11" s="229">
        <v>58703</v>
      </c>
      <c r="R11" s="229">
        <v>95409</v>
      </c>
      <c r="S11" s="229">
        <v>133476</v>
      </c>
      <c r="T11" s="229">
        <v>38086</v>
      </c>
      <c r="U11" s="229">
        <v>79304</v>
      </c>
      <c r="V11" s="229">
        <v>120061</v>
      </c>
      <c r="W11" s="229">
        <v>162827</v>
      </c>
      <c r="X11" s="229">
        <v>48618</v>
      </c>
      <c r="Y11" s="229">
        <v>94459</v>
      </c>
      <c r="Z11" s="229">
        <v>142450</v>
      </c>
      <c r="AA11" s="229">
        <v>203184</v>
      </c>
      <c r="AB11" s="229">
        <v>54381</v>
      </c>
      <c r="AC11" s="229">
        <v>111949</v>
      </c>
    </row>
    <row r="12" spans="1:29">
      <c r="A12" s="591" t="s">
        <v>710</v>
      </c>
      <c r="B12" s="57" t="s">
        <v>1380</v>
      </c>
      <c r="H12" s="229">
        <v>0</v>
      </c>
      <c r="I12" s="229">
        <v>0</v>
      </c>
      <c r="J12" s="229">
        <v>0</v>
      </c>
      <c r="K12" s="229">
        <v>0</v>
      </c>
      <c r="L12" s="229">
        <v>0</v>
      </c>
      <c r="M12" s="229">
        <v>0</v>
      </c>
      <c r="N12" s="229">
        <v>0</v>
      </c>
      <c r="O12" s="229">
        <v>0</v>
      </c>
      <c r="P12" s="229">
        <v>0</v>
      </c>
      <c r="Q12" s="229">
        <v>0</v>
      </c>
      <c r="R12" s="229">
        <v>0</v>
      </c>
      <c r="S12" s="229">
        <v>0</v>
      </c>
      <c r="T12" s="229">
        <v>0</v>
      </c>
      <c r="U12" s="229">
        <v>0</v>
      </c>
      <c r="V12" s="229">
        <v>0</v>
      </c>
      <c r="W12" s="229">
        <v>0</v>
      </c>
      <c r="X12" s="229">
        <v>0</v>
      </c>
      <c r="Y12" s="229">
        <v>0</v>
      </c>
      <c r="Z12" s="229">
        <v>0</v>
      </c>
      <c r="AA12" s="229">
        <v>0</v>
      </c>
      <c r="AB12" s="229">
        <v>0</v>
      </c>
      <c r="AC12" s="229">
        <v>0</v>
      </c>
    </row>
    <row r="13" spans="1:29">
      <c r="A13" s="591" t="s">
        <v>1381</v>
      </c>
      <c r="B13" s="57" t="s">
        <v>1983</v>
      </c>
      <c r="H13" s="229">
        <v>0</v>
      </c>
      <c r="I13" s="229">
        <v>0</v>
      </c>
      <c r="J13" s="229">
        <v>0</v>
      </c>
      <c r="K13" s="229">
        <v>0</v>
      </c>
      <c r="L13" s="229">
        <v>0</v>
      </c>
      <c r="M13" s="229">
        <v>0</v>
      </c>
      <c r="N13" s="229">
        <v>0</v>
      </c>
      <c r="O13" s="229">
        <v>0</v>
      </c>
      <c r="P13" s="229">
        <v>0</v>
      </c>
      <c r="Q13" s="229">
        <v>0</v>
      </c>
      <c r="R13" s="229">
        <v>0</v>
      </c>
      <c r="S13" s="229">
        <v>0</v>
      </c>
      <c r="T13" s="229">
        <v>0</v>
      </c>
      <c r="U13" s="229">
        <v>0</v>
      </c>
      <c r="V13" s="229">
        <v>0</v>
      </c>
      <c r="W13" s="229">
        <v>0</v>
      </c>
      <c r="X13" s="229">
        <v>0</v>
      </c>
      <c r="Y13" s="229">
        <v>0</v>
      </c>
      <c r="Z13" s="229">
        <v>0</v>
      </c>
      <c r="AA13" s="229">
        <v>0</v>
      </c>
      <c r="AB13" s="229">
        <v>0</v>
      </c>
      <c r="AC13" s="229">
        <v>0</v>
      </c>
    </row>
    <row r="14" spans="1:29">
      <c r="A14" s="591" t="s">
        <v>2152</v>
      </c>
      <c r="B14" s="57" t="s">
        <v>1383</v>
      </c>
      <c r="H14" s="229">
        <v>2016</v>
      </c>
      <c r="I14" s="229">
        <v>2015</v>
      </c>
      <c r="J14" s="229">
        <v>2017</v>
      </c>
      <c r="K14" s="229">
        <v>10516</v>
      </c>
      <c r="L14" s="229">
        <v>0</v>
      </c>
      <c r="M14" s="229">
        <v>10108</v>
      </c>
      <c r="N14" s="229">
        <v>9756</v>
      </c>
      <c r="O14" s="229">
        <v>13429</v>
      </c>
      <c r="P14" s="229">
        <v>2048</v>
      </c>
      <c r="Q14" s="229">
        <v>3904</v>
      </c>
      <c r="R14" s="229">
        <v>4116</v>
      </c>
      <c r="S14" s="229">
        <v>6724</v>
      </c>
      <c r="T14" s="229">
        <v>459</v>
      </c>
      <c r="U14" s="229">
        <v>2391</v>
      </c>
      <c r="V14" s="229">
        <v>3019</v>
      </c>
      <c r="W14" s="229">
        <v>4788</v>
      </c>
      <c r="X14" s="229">
        <v>917</v>
      </c>
      <c r="Y14" s="229">
        <v>2995</v>
      </c>
      <c r="Z14" s="229">
        <v>8464</v>
      </c>
      <c r="AA14" s="229">
        <v>14138</v>
      </c>
      <c r="AB14" s="229">
        <v>4260</v>
      </c>
      <c r="AC14" s="229">
        <v>4752</v>
      </c>
    </row>
    <row r="15" spans="1:29">
      <c r="A15" s="591" t="s">
        <v>1384</v>
      </c>
      <c r="B15" s="57" t="s">
        <v>1982</v>
      </c>
      <c r="H15" s="229">
        <v>-818</v>
      </c>
      <c r="I15" s="229">
        <v>-1286</v>
      </c>
      <c r="J15" s="229">
        <v>-1751</v>
      </c>
      <c r="K15" s="229">
        <v>-3605</v>
      </c>
      <c r="L15" s="229">
        <v>-1214</v>
      </c>
      <c r="M15" s="229">
        <v>-3243</v>
      </c>
      <c r="N15" s="229">
        <v>-201</v>
      </c>
      <c r="O15" s="229">
        <v>-1129</v>
      </c>
      <c r="P15" s="229">
        <v>-2219</v>
      </c>
      <c r="Q15" s="229">
        <v>-3116</v>
      </c>
      <c r="R15" s="229">
        <v>-4423</v>
      </c>
      <c r="S15" s="229">
        <v>-19057</v>
      </c>
      <c r="T15" s="229">
        <v>-2588</v>
      </c>
      <c r="U15" s="229">
        <v>-4745</v>
      </c>
      <c r="V15" s="229">
        <v>-4956</v>
      </c>
      <c r="W15" s="229">
        <v>-8254</v>
      </c>
      <c r="X15" s="229">
        <v>-5518</v>
      </c>
      <c r="Y15" s="229">
        <v>-8344</v>
      </c>
      <c r="Z15" s="229">
        <v>-12118</v>
      </c>
      <c r="AA15" s="229">
        <v>-12572</v>
      </c>
      <c r="AB15" s="229">
        <v>-5560</v>
      </c>
      <c r="AC15" s="229">
        <v>-13003</v>
      </c>
    </row>
    <row r="16" spans="1:29">
      <c r="A16" s="591" t="s">
        <v>1385</v>
      </c>
      <c r="B16" s="57" t="s">
        <v>1386</v>
      </c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Y16" s="229">
        <v>0</v>
      </c>
      <c r="Z16" s="229">
        <v>0</v>
      </c>
      <c r="AA16" s="229">
        <v>0</v>
      </c>
      <c r="AB16" s="229">
        <v>0</v>
      </c>
      <c r="AC16" s="229">
        <v>0</v>
      </c>
    </row>
    <row r="17" spans="1:29">
      <c r="A17" s="591" t="s">
        <v>1476</v>
      </c>
      <c r="B17" s="57" t="s">
        <v>1388</v>
      </c>
      <c r="H17" s="229">
        <v>0</v>
      </c>
      <c r="I17" s="229">
        <v>0</v>
      </c>
      <c r="J17" s="229">
        <v>0</v>
      </c>
      <c r="K17" s="229">
        <v>0</v>
      </c>
      <c r="L17" s="229">
        <v>0</v>
      </c>
      <c r="M17" s="229">
        <v>0</v>
      </c>
      <c r="N17" s="229">
        <v>0</v>
      </c>
      <c r="O17" s="229">
        <v>0</v>
      </c>
      <c r="P17" s="229">
        <v>0</v>
      </c>
      <c r="Q17" s="229">
        <v>0</v>
      </c>
      <c r="R17" s="229">
        <v>0</v>
      </c>
      <c r="S17" s="229">
        <v>0</v>
      </c>
      <c r="T17" s="229">
        <v>0</v>
      </c>
      <c r="U17" s="229">
        <v>0</v>
      </c>
      <c r="V17" s="229">
        <v>0</v>
      </c>
      <c r="W17" s="229">
        <v>2669</v>
      </c>
      <c r="X17" s="229">
        <v>-115</v>
      </c>
      <c r="Y17" s="229">
        <v>0</v>
      </c>
      <c r="Z17" s="229">
        <v>0</v>
      </c>
      <c r="AA17" s="229">
        <v>0</v>
      </c>
      <c r="AB17" s="229">
        <v>0</v>
      </c>
      <c r="AC17" s="229">
        <v>0</v>
      </c>
    </row>
    <row r="18" spans="1:29">
      <c r="A18" s="591" t="s">
        <v>1389</v>
      </c>
      <c r="B18" s="57" t="s">
        <v>1390</v>
      </c>
      <c r="H18" s="229">
        <v>0</v>
      </c>
      <c r="I18" s="229">
        <v>0</v>
      </c>
      <c r="J18" s="229">
        <v>0</v>
      </c>
      <c r="K18" s="229">
        <v>0</v>
      </c>
      <c r="L18" s="229">
        <v>0</v>
      </c>
      <c r="M18" s="229">
        <v>0</v>
      </c>
      <c r="N18" s="229">
        <v>0</v>
      </c>
      <c r="O18" s="229">
        <v>0</v>
      </c>
      <c r="P18" s="229">
        <v>0</v>
      </c>
      <c r="Q18" s="229">
        <v>0</v>
      </c>
      <c r="R18" s="229">
        <v>0</v>
      </c>
      <c r="S18" s="229">
        <v>0</v>
      </c>
      <c r="T18" s="229">
        <v>0</v>
      </c>
      <c r="U18" s="229">
        <v>0</v>
      </c>
      <c r="V18" s="229">
        <v>0</v>
      </c>
      <c r="W18" s="229">
        <v>0</v>
      </c>
      <c r="X18" s="229">
        <v>0</v>
      </c>
      <c r="Y18" s="229">
        <v>0</v>
      </c>
      <c r="Z18" s="229">
        <v>0</v>
      </c>
      <c r="AA18" s="229">
        <v>0</v>
      </c>
      <c r="AB18" s="229">
        <v>0</v>
      </c>
      <c r="AC18" s="229">
        <v>0</v>
      </c>
    </row>
    <row r="19" spans="1:29">
      <c r="A19" s="591" t="s">
        <v>610</v>
      </c>
      <c r="B19" s="57" t="s">
        <v>1391</v>
      </c>
      <c r="H19" s="229">
        <v>0</v>
      </c>
      <c r="I19" s="229">
        <v>0</v>
      </c>
      <c r="J19" s="229">
        <v>0</v>
      </c>
      <c r="K19" s="229">
        <v>0</v>
      </c>
      <c r="L19" s="229">
        <v>0</v>
      </c>
      <c r="M19" s="229">
        <v>0</v>
      </c>
      <c r="N19" s="229">
        <v>0</v>
      </c>
      <c r="O19" s="229">
        <v>0</v>
      </c>
      <c r="P19" s="229">
        <v>0</v>
      </c>
      <c r="Q19" s="229">
        <v>0</v>
      </c>
      <c r="R19" s="229">
        <v>0</v>
      </c>
      <c r="S19" s="229">
        <v>0</v>
      </c>
      <c r="T19" s="229">
        <v>0</v>
      </c>
      <c r="U19" s="229">
        <v>0</v>
      </c>
      <c r="V19" s="229">
        <v>0</v>
      </c>
      <c r="W19" s="229">
        <v>0</v>
      </c>
      <c r="X19" s="229">
        <v>0</v>
      </c>
      <c r="Y19" s="229">
        <v>0</v>
      </c>
      <c r="Z19" s="229">
        <v>0</v>
      </c>
      <c r="AA19" s="229">
        <v>0</v>
      </c>
      <c r="AB19" s="229">
        <v>0</v>
      </c>
      <c r="AC19" s="229">
        <v>0</v>
      </c>
    </row>
    <row r="20" spans="1:29">
      <c r="A20" s="591" t="s">
        <v>1392</v>
      </c>
      <c r="B20" s="57" t="s">
        <v>1393</v>
      </c>
      <c r="H20" s="229">
        <v>108730</v>
      </c>
      <c r="I20" s="229">
        <v>29339</v>
      </c>
      <c r="J20" s="229">
        <v>169134</v>
      </c>
      <c r="K20" s="229">
        <v>277752</v>
      </c>
      <c r="L20" s="229">
        <v>-52806</v>
      </c>
      <c r="M20" s="229">
        <v>79327</v>
      </c>
      <c r="N20" s="229">
        <v>168414</v>
      </c>
      <c r="O20" s="229">
        <v>222281</v>
      </c>
      <c r="P20" s="229">
        <v>73209</v>
      </c>
      <c r="Q20" s="229">
        <v>122439</v>
      </c>
      <c r="R20" s="229">
        <v>205612</v>
      </c>
      <c r="S20" s="229">
        <v>240025</v>
      </c>
      <c r="T20" s="229">
        <v>110367.00000000003</v>
      </c>
      <c r="U20" s="229">
        <v>292193</v>
      </c>
      <c r="V20" s="229">
        <v>356793</v>
      </c>
      <c r="W20" s="229">
        <v>613244</v>
      </c>
      <c r="X20" s="229">
        <v>1931</v>
      </c>
      <c r="Y20" s="229">
        <v>74572</v>
      </c>
      <c r="Z20" s="229">
        <v>59127</v>
      </c>
      <c r="AA20" s="229">
        <v>234215</v>
      </c>
      <c r="AB20" s="229">
        <v>46569</v>
      </c>
      <c r="AC20" s="229">
        <v>189797</v>
      </c>
    </row>
    <row r="21" spans="1:29">
      <c r="A21" s="591" t="s">
        <v>2523</v>
      </c>
      <c r="H21" s="229"/>
      <c r="I21" s="229"/>
      <c r="J21" s="229"/>
      <c r="K21" s="229"/>
      <c r="L21" s="229"/>
      <c r="M21" s="229"/>
      <c r="N21" s="229"/>
      <c r="O21" s="229"/>
      <c r="P21" s="229"/>
      <c r="Q21" s="229"/>
      <c r="R21" s="229"/>
      <c r="S21" s="229"/>
      <c r="T21" s="229"/>
      <c r="U21" s="229"/>
      <c r="V21" s="229"/>
      <c r="W21" s="229"/>
      <c r="X21" s="229"/>
      <c r="Y21" s="229"/>
      <c r="Z21" s="229"/>
      <c r="AA21" s="229"/>
      <c r="AB21" s="229"/>
      <c r="AC21" s="229">
        <v>-41754</v>
      </c>
    </row>
    <row r="22" spans="1:29">
      <c r="A22" s="591" t="s">
        <v>1394</v>
      </c>
      <c r="B22" s="57" t="s">
        <v>1395</v>
      </c>
      <c r="H22" s="229">
        <v>-63216</v>
      </c>
      <c r="I22" s="229">
        <v>69814</v>
      </c>
      <c r="J22" s="229">
        <v>-327</v>
      </c>
      <c r="K22" s="229">
        <v>-19818</v>
      </c>
      <c r="L22" s="229">
        <v>158665</v>
      </c>
      <c r="M22" s="229">
        <v>141069</v>
      </c>
      <c r="N22" s="229">
        <v>166440</v>
      </c>
      <c r="O22" s="229">
        <v>165911</v>
      </c>
      <c r="P22" s="229">
        <v>27536</v>
      </c>
      <c r="Q22" s="229">
        <v>42313</v>
      </c>
      <c r="R22" s="229">
        <v>36376</v>
      </c>
      <c r="S22" s="229">
        <v>121385</v>
      </c>
      <c r="T22" s="229">
        <v>-13771</v>
      </c>
      <c r="U22" s="229">
        <v>-106953</v>
      </c>
      <c r="V22" s="229">
        <v>-76104</v>
      </c>
      <c r="W22" s="229">
        <v>-230168</v>
      </c>
      <c r="X22" s="229">
        <v>119439</v>
      </c>
      <c r="Y22" s="229">
        <v>155543</v>
      </c>
      <c r="Z22" s="229">
        <v>298556</v>
      </c>
      <c r="AA22" s="229">
        <v>267496</v>
      </c>
      <c r="AB22" s="229">
        <v>101009</v>
      </c>
      <c r="AC22" s="229">
        <v>158918</v>
      </c>
    </row>
    <row r="23" spans="1:29">
      <c r="A23" s="591" t="s">
        <v>1396</v>
      </c>
      <c r="B23" s="57" t="s">
        <v>1397</v>
      </c>
      <c r="H23" s="229">
        <v>-5809</v>
      </c>
      <c r="I23" s="229">
        <v>-16454</v>
      </c>
      <c r="J23" s="229">
        <v>-36027</v>
      </c>
      <c r="K23" s="229">
        <v>-64993</v>
      </c>
      <c r="L23" s="229">
        <v>-36959</v>
      </c>
      <c r="M23" s="229">
        <v>-71767</v>
      </c>
      <c r="N23" s="229">
        <v>-106824</v>
      </c>
      <c r="O23" s="229">
        <v>-133619</v>
      </c>
      <c r="P23" s="229">
        <v>-25594</v>
      </c>
      <c r="Q23" s="229">
        <v>-44935</v>
      </c>
      <c r="R23" s="229">
        <v>-56409</v>
      </c>
      <c r="S23" s="229">
        <v>-65472</v>
      </c>
      <c r="T23" s="229">
        <v>-20108</v>
      </c>
      <c r="U23" s="229">
        <v>-39253</v>
      </c>
      <c r="V23" s="229">
        <v>-61012</v>
      </c>
      <c r="W23" s="229">
        <v>-86068</v>
      </c>
      <c r="X23" s="229">
        <v>-23235</v>
      </c>
      <c r="Y23" s="229">
        <v>-35956</v>
      </c>
      <c r="Z23" s="229">
        <v>-64588.049420000199</v>
      </c>
      <c r="AA23" s="229">
        <v>-102895.66103</v>
      </c>
      <c r="AB23" s="229">
        <v>-27790.215680000001</v>
      </c>
      <c r="AC23" s="229">
        <v>-15128.160629999993</v>
      </c>
    </row>
    <row r="24" spans="1:29">
      <c r="A24" s="591" t="s">
        <v>1398</v>
      </c>
      <c r="B24" s="57" t="s">
        <v>1399</v>
      </c>
      <c r="H24" s="229">
        <v>0</v>
      </c>
      <c r="I24" s="229">
        <v>0</v>
      </c>
      <c r="J24" s="229">
        <v>0</v>
      </c>
      <c r="K24" s="229">
        <v>0</v>
      </c>
      <c r="L24" s="229">
        <v>0</v>
      </c>
      <c r="M24" s="229">
        <v>0</v>
      </c>
      <c r="N24" s="229">
        <v>0</v>
      </c>
      <c r="O24" s="229">
        <v>0</v>
      </c>
      <c r="P24" s="229">
        <v>0</v>
      </c>
      <c r="Q24" s="229">
        <v>0</v>
      </c>
      <c r="R24" s="229">
        <v>0</v>
      </c>
      <c r="S24" s="229">
        <v>0</v>
      </c>
      <c r="T24" s="229">
        <v>0</v>
      </c>
      <c r="U24" s="229">
        <v>0</v>
      </c>
      <c r="V24" s="229">
        <v>0</v>
      </c>
      <c r="W24" s="229">
        <v>0</v>
      </c>
      <c r="X24" s="229">
        <v>0</v>
      </c>
      <c r="Y24" s="229">
        <v>0</v>
      </c>
      <c r="Z24" s="229">
        <v>0</v>
      </c>
      <c r="AA24" s="229">
        <v>0</v>
      </c>
      <c r="AB24" s="229">
        <v>0</v>
      </c>
      <c r="AC24" s="229">
        <v>0</v>
      </c>
    </row>
    <row r="25" spans="1:29">
      <c r="A25" s="591" t="s">
        <v>1400</v>
      </c>
      <c r="B25" s="57" t="s">
        <v>1978</v>
      </c>
      <c r="H25" s="229">
        <v>0</v>
      </c>
      <c r="I25" s="229">
        <v>0</v>
      </c>
      <c r="J25" s="229">
        <v>0</v>
      </c>
      <c r="K25" s="229">
        <v>0</v>
      </c>
      <c r="L25" s="229">
        <v>0</v>
      </c>
      <c r="M25" s="229">
        <v>0</v>
      </c>
      <c r="N25" s="229">
        <v>0</v>
      </c>
      <c r="O25" s="229">
        <v>0</v>
      </c>
      <c r="P25" s="229">
        <v>0</v>
      </c>
      <c r="Q25" s="229">
        <v>0</v>
      </c>
      <c r="R25" s="229">
        <v>0</v>
      </c>
      <c r="S25" s="229">
        <v>0</v>
      </c>
      <c r="T25" s="229">
        <v>0</v>
      </c>
      <c r="U25" s="229">
        <v>0</v>
      </c>
      <c r="V25" s="229">
        <v>0</v>
      </c>
      <c r="W25" s="229">
        <v>0</v>
      </c>
      <c r="X25" s="229">
        <v>0</v>
      </c>
      <c r="Y25" s="229">
        <v>0</v>
      </c>
      <c r="Z25" s="229">
        <v>0</v>
      </c>
      <c r="AA25" s="229">
        <v>0</v>
      </c>
      <c r="AB25" s="229">
        <v>0</v>
      </c>
      <c r="AC25" s="229">
        <v>0</v>
      </c>
    </row>
    <row r="26" spans="1:29">
      <c r="A26" s="591" t="s">
        <v>1401</v>
      </c>
      <c r="B26" s="57" t="s">
        <v>1402</v>
      </c>
      <c r="H26" s="229">
        <v>3695</v>
      </c>
      <c r="I26" s="229">
        <v>6754</v>
      </c>
      <c r="J26" s="229">
        <v>11560</v>
      </c>
      <c r="K26" s="229">
        <v>15740</v>
      </c>
      <c r="L26" s="229">
        <v>3153</v>
      </c>
      <c r="M26" s="229">
        <v>8406</v>
      </c>
      <c r="N26" s="229">
        <v>12664</v>
      </c>
      <c r="O26" s="229">
        <v>16899</v>
      </c>
      <c r="P26" s="229">
        <v>4335</v>
      </c>
      <c r="Q26" s="229">
        <v>8489</v>
      </c>
      <c r="R26" s="229">
        <v>12222</v>
      </c>
      <c r="S26" s="229">
        <v>16020</v>
      </c>
      <c r="T26" s="229">
        <v>4103</v>
      </c>
      <c r="U26" s="229">
        <v>8184</v>
      </c>
      <c r="V26" s="229">
        <v>11835</v>
      </c>
      <c r="W26" s="229">
        <v>12852</v>
      </c>
      <c r="X26" s="229">
        <v>4029</v>
      </c>
      <c r="Y26" s="229">
        <v>7897</v>
      </c>
      <c r="Z26" s="229">
        <v>11523</v>
      </c>
      <c r="AA26" s="229">
        <v>14660</v>
      </c>
      <c r="AB26" s="229">
        <v>3708</v>
      </c>
      <c r="AC26" s="229">
        <v>8313</v>
      </c>
    </row>
    <row r="27" spans="1:29">
      <c r="A27" s="591" t="s">
        <v>1403</v>
      </c>
      <c r="B27" s="57" t="s">
        <v>2015</v>
      </c>
      <c r="H27" s="229"/>
      <c r="I27" s="229"/>
      <c r="J27" s="229"/>
      <c r="K27" s="229"/>
      <c r="L27" s="229"/>
      <c r="M27" s="229"/>
      <c r="N27" s="229"/>
      <c r="O27" s="229"/>
      <c r="P27" s="229"/>
      <c r="Q27" s="229"/>
      <c r="R27" s="229"/>
      <c r="S27" s="229"/>
      <c r="T27" s="229"/>
      <c r="U27" s="229"/>
      <c r="V27" s="229"/>
      <c r="W27" s="229"/>
      <c r="X27" s="229"/>
      <c r="Y27" s="229">
        <v>0</v>
      </c>
      <c r="Z27" s="229">
        <v>0</v>
      </c>
      <c r="AA27" s="229">
        <v>0</v>
      </c>
      <c r="AB27" s="229">
        <v>0</v>
      </c>
      <c r="AC27" s="229">
        <v>0</v>
      </c>
    </row>
    <row r="28" spans="1:29">
      <c r="A28" s="591" t="s">
        <v>1470</v>
      </c>
      <c r="B28" s="57" t="s">
        <v>1980</v>
      </c>
      <c r="H28" s="229">
        <v>8101</v>
      </c>
      <c r="I28" s="229">
        <v>10326</v>
      </c>
      <c r="J28" s="229">
        <v>15607</v>
      </c>
      <c r="K28" s="229">
        <v>-130006</v>
      </c>
      <c r="L28" s="229">
        <v>10332</v>
      </c>
      <c r="M28" s="229">
        <v>22012</v>
      </c>
      <c r="N28" s="229">
        <v>33891</v>
      </c>
      <c r="O28" s="229">
        <v>73796</v>
      </c>
      <c r="P28" s="229">
        <v>18889</v>
      </c>
      <c r="Q28" s="229">
        <v>22928</v>
      </c>
      <c r="R28" s="229">
        <v>28617</v>
      </c>
      <c r="S28" s="229">
        <v>41300</v>
      </c>
      <c r="T28" s="229">
        <v>14794</v>
      </c>
      <c r="U28" s="229">
        <v>25157</v>
      </c>
      <c r="V28" s="229">
        <v>36775</v>
      </c>
      <c r="W28" s="229">
        <v>71575</v>
      </c>
      <c r="X28" s="229">
        <v>20543</v>
      </c>
      <c r="Y28" s="229">
        <v>33600</v>
      </c>
      <c r="Z28" s="229">
        <v>50004</v>
      </c>
      <c r="AA28" s="229">
        <v>75336</v>
      </c>
      <c r="AB28" s="229">
        <v>20648</v>
      </c>
      <c r="AC28" s="229">
        <v>44393</v>
      </c>
    </row>
    <row r="29" spans="1:29">
      <c r="A29" s="591" t="s">
        <v>1404</v>
      </c>
      <c r="B29" s="57" t="s">
        <v>1979</v>
      </c>
      <c r="H29" s="229">
        <v>0</v>
      </c>
      <c r="I29" s="229">
        <v>0</v>
      </c>
      <c r="J29" s="229">
        <v>0</v>
      </c>
      <c r="K29" s="229">
        <v>0</v>
      </c>
      <c r="L29" s="229">
        <v>568</v>
      </c>
      <c r="M29" s="229">
        <v>0</v>
      </c>
      <c r="N29" s="229">
        <v>0</v>
      </c>
      <c r="O29" s="229">
        <v>0</v>
      </c>
      <c r="P29" s="229">
        <v>0</v>
      </c>
      <c r="Q29" s="229">
        <v>0</v>
      </c>
      <c r="R29" s="229">
        <v>0</v>
      </c>
      <c r="S29" s="229">
        <v>0</v>
      </c>
      <c r="T29" s="229">
        <v>0</v>
      </c>
      <c r="U29" s="229">
        <v>0</v>
      </c>
      <c r="V29" s="229">
        <v>0</v>
      </c>
      <c r="W29" s="229">
        <v>0</v>
      </c>
      <c r="X29" s="229">
        <v>0</v>
      </c>
      <c r="Y29" s="229">
        <v>0</v>
      </c>
      <c r="Z29" s="229">
        <v>753</v>
      </c>
      <c r="AA29" s="229">
        <v>995</v>
      </c>
      <c r="AB29" s="229">
        <v>279</v>
      </c>
      <c r="AC29" s="229">
        <v>1569</v>
      </c>
    </row>
    <row r="30" spans="1:29">
      <c r="A30" s="591" t="s">
        <v>720</v>
      </c>
      <c r="B30" s="57" t="s">
        <v>1981</v>
      </c>
      <c r="H30" s="229">
        <v>0</v>
      </c>
      <c r="I30" s="229">
        <v>0</v>
      </c>
      <c r="J30" s="229">
        <v>0</v>
      </c>
      <c r="K30" s="229">
        <v>0</v>
      </c>
      <c r="L30" s="229">
        <v>0</v>
      </c>
      <c r="M30" s="229">
        <v>0</v>
      </c>
      <c r="N30" s="229">
        <v>0</v>
      </c>
      <c r="O30" s="229">
        <v>0</v>
      </c>
      <c r="P30" s="229">
        <v>7738</v>
      </c>
      <c r="Q30" s="229">
        <v>14823</v>
      </c>
      <c r="R30" s="229">
        <v>22875</v>
      </c>
      <c r="S30" s="229">
        <v>29274</v>
      </c>
      <c r="T30" s="229">
        <v>7027</v>
      </c>
      <c r="U30" s="229">
        <v>14214</v>
      </c>
      <c r="V30" s="229">
        <v>21889</v>
      </c>
      <c r="W30" s="229">
        <v>58474</v>
      </c>
      <c r="X30" s="229">
        <v>6128</v>
      </c>
      <c r="Y30" s="229">
        <v>10095</v>
      </c>
      <c r="Z30" s="229">
        <v>12811</v>
      </c>
      <c r="AA30" s="229">
        <v>15859</v>
      </c>
      <c r="AB30" s="229">
        <v>6008</v>
      </c>
      <c r="AC30" s="229">
        <v>11771</v>
      </c>
    </row>
    <row r="31" spans="1:29">
      <c r="A31" s="591" t="s">
        <v>1405</v>
      </c>
      <c r="B31" s="57" t="s">
        <v>1985</v>
      </c>
      <c r="H31" s="229">
        <v>-4962</v>
      </c>
      <c r="I31" s="229">
        <v>-12254</v>
      </c>
      <c r="J31" s="229">
        <v>-15440</v>
      </c>
      <c r="K31" s="229">
        <v>-26763</v>
      </c>
      <c r="L31" s="229">
        <v>0</v>
      </c>
      <c r="M31" s="229">
        <v>0</v>
      </c>
      <c r="N31" s="229">
        <v>18213</v>
      </c>
      <c r="O31" s="229">
        <v>23650</v>
      </c>
      <c r="P31" s="229">
        <v>6239</v>
      </c>
      <c r="Q31" s="229">
        <v>12419</v>
      </c>
      <c r="R31" s="229">
        <v>18728</v>
      </c>
      <c r="S31" s="229">
        <v>-1697</v>
      </c>
      <c r="T31" s="229">
        <v>6746</v>
      </c>
      <c r="U31" s="229">
        <v>13944</v>
      </c>
      <c r="V31" s="229">
        <v>21891</v>
      </c>
      <c r="W31" s="229">
        <v>30542</v>
      </c>
      <c r="X31" s="229">
        <v>7134</v>
      </c>
      <c r="Y31" s="229">
        <v>15455</v>
      </c>
      <c r="Z31" s="229">
        <v>24382</v>
      </c>
      <c r="AA31" s="229">
        <v>35226</v>
      </c>
      <c r="AB31" s="229">
        <v>7839</v>
      </c>
      <c r="AC31" s="229">
        <v>16618</v>
      </c>
    </row>
    <row r="32" spans="1:29">
      <c r="A32" s="591" t="s">
        <v>1471</v>
      </c>
      <c r="B32" s="57" t="s">
        <v>1984</v>
      </c>
      <c r="H32" s="229">
        <v>4089</v>
      </c>
      <c r="I32" s="229">
        <v>-74031</v>
      </c>
      <c r="J32" s="229">
        <v>-71730</v>
      </c>
      <c r="K32" s="229">
        <v>-38266</v>
      </c>
      <c r="L32" s="229">
        <v>834</v>
      </c>
      <c r="M32" s="229">
        <v>884</v>
      </c>
      <c r="N32" s="229">
        <v>1373</v>
      </c>
      <c r="O32" s="229">
        <v>6878</v>
      </c>
      <c r="P32" s="229">
        <v>5804</v>
      </c>
      <c r="Q32" s="229">
        <v>9826</v>
      </c>
      <c r="R32" s="229">
        <v>10456</v>
      </c>
      <c r="S32" s="229">
        <v>20384</v>
      </c>
      <c r="T32" s="229">
        <v>4808</v>
      </c>
      <c r="U32" s="229">
        <v>8671</v>
      </c>
      <c r="V32" s="229">
        <v>11736</v>
      </c>
      <c r="W32" s="229">
        <v>20629</v>
      </c>
      <c r="X32" s="229">
        <v>1700</v>
      </c>
      <c r="Y32" s="229">
        <v>6344</v>
      </c>
      <c r="Z32" s="229">
        <v>10422</v>
      </c>
      <c r="AA32" s="229">
        <v>187362</v>
      </c>
      <c r="AB32" s="229">
        <v>4671</v>
      </c>
      <c r="AC32" s="229">
        <v>10309</v>
      </c>
    </row>
    <row r="33" spans="1:29">
      <c r="A33" s="591" t="s">
        <v>1407</v>
      </c>
      <c r="B33" s="57" t="s">
        <v>1986</v>
      </c>
      <c r="H33" s="229">
        <v>-192110</v>
      </c>
      <c r="I33" s="229">
        <v>-141656</v>
      </c>
      <c r="J33" s="229">
        <v>-1857</v>
      </c>
      <c r="K33" s="229">
        <v>-639962</v>
      </c>
      <c r="L33" s="229">
        <v>1288</v>
      </c>
      <c r="M33" s="229">
        <v>-46448</v>
      </c>
      <c r="N33" s="229">
        <v>-163060</v>
      </c>
      <c r="O33" s="229">
        <v>-229550</v>
      </c>
      <c r="P33" s="229">
        <v>-65280</v>
      </c>
      <c r="Q33" s="229">
        <v>-113281</v>
      </c>
      <c r="R33" s="229">
        <v>-129833</v>
      </c>
      <c r="S33" s="229">
        <v>-92874</v>
      </c>
      <c r="T33" s="229">
        <v>-2850</v>
      </c>
      <c r="U33" s="229">
        <v>-25226</v>
      </c>
      <c r="V33" s="229">
        <v>-43655</v>
      </c>
      <c r="W33" s="229">
        <v>11473</v>
      </c>
      <c r="X33" s="229">
        <v>-34036</v>
      </c>
      <c r="Y33" s="229">
        <v>-77464</v>
      </c>
      <c r="Z33" s="229">
        <v>-171446</v>
      </c>
      <c r="AA33" s="229">
        <v>-631153</v>
      </c>
      <c r="AB33" s="229">
        <v>-22026</v>
      </c>
      <c r="AC33" s="229">
        <v>-109251</v>
      </c>
    </row>
    <row r="34" spans="1:29">
      <c r="A34" s="591" t="s">
        <v>1408</v>
      </c>
      <c r="B34" s="57" t="s">
        <v>1987</v>
      </c>
      <c r="H34" s="229">
        <v>0</v>
      </c>
      <c r="I34" s="229">
        <v>0</v>
      </c>
      <c r="J34" s="229">
        <v>0</v>
      </c>
      <c r="K34" s="229">
        <v>0</v>
      </c>
      <c r="L34" s="229">
        <v>0</v>
      </c>
      <c r="M34" s="229">
        <v>0</v>
      </c>
      <c r="N34" s="229">
        <v>0</v>
      </c>
      <c r="O34" s="229">
        <v>0</v>
      </c>
      <c r="P34" s="229">
        <v>0</v>
      </c>
      <c r="Q34" s="229">
        <v>0</v>
      </c>
      <c r="R34" s="229">
        <v>0</v>
      </c>
      <c r="S34" s="229">
        <v>0</v>
      </c>
      <c r="T34" s="229">
        <v>0</v>
      </c>
      <c r="U34" s="229">
        <v>0</v>
      </c>
      <c r="V34" s="229">
        <v>0</v>
      </c>
      <c r="W34" s="229">
        <v>0</v>
      </c>
      <c r="X34" s="229">
        <v>0</v>
      </c>
      <c r="Y34" s="229">
        <v>0</v>
      </c>
      <c r="Z34" s="229">
        <v>0</v>
      </c>
      <c r="AA34" s="229">
        <v>0</v>
      </c>
      <c r="AB34" s="229">
        <v>0</v>
      </c>
      <c r="AC34" s="229">
        <v>0</v>
      </c>
    </row>
    <row r="35" spans="1:29">
      <c r="A35" s="591" t="s">
        <v>1472</v>
      </c>
      <c r="B35" s="57" t="s">
        <v>775</v>
      </c>
      <c r="H35" s="229">
        <v>19877</v>
      </c>
      <c r="I35" s="229">
        <v>6800</v>
      </c>
      <c r="J35" s="229">
        <v>-481085</v>
      </c>
      <c r="K35" s="229">
        <v>-397992</v>
      </c>
      <c r="L35" s="229">
        <v>-24070</v>
      </c>
      <c r="M35" s="229">
        <v>-15031</v>
      </c>
      <c r="N35" s="229">
        <v>-4429</v>
      </c>
      <c r="O35" s="229">
        <v>-4697</v>
      </c>
      <c r="P35" s="229">
        <v>-4639</v>
      </c>
      <c r="Q35" s="229">
        <v>314</v>
      </c>
      <c r="R35" s="229">
        <v>7515</v>
      </c>
      <c r="S35" s="229">
        <v>18786</v>
      </c>
      <c r="T35" s="229">
        <v>5336</v>
      </c>
      <c r="U35" s="229">
        <v>39406</v>
      </c>
      <c r="V35" s="229">
        <v>52542</v>
      </c>
      <c r="W35" s="229">
        <v>-4686</v>
      </c>
      <c r="X35" s="229">
        <v>-31448</v>
      </c>
      <c r="Y35" s="229">
        <v>-2808</v>
      </c>
      <c r="Z35" s="229">
        <v>6097</v>
      </c>
      <c r="AA35" s="229">
        <v>-8243</v>
      </c>
      <c r="AB35" s="229">
        <v>52200</v>
      </c>
      <c r="AC35" s="229">
        <v>74136</v>
      </c>
    </row>
    <row r="36" spans="1:29">
      <c r="A36" s="591" t="s">
        <v>1409</v>
      </c>
      <c r="B36" s="57" t="s">
        <v>1988</v>
      </c>
      <c r="H36" s="229">
        <v>2178</v>
      </c>
      <c r="I36" s="229">
        <v>18227</v>
      </c>
      <c r="J36" s="229">
        <v>23815</v>
      </c>
      <c r="K36" s="229">
        <v>19967</v>
      </c>
      <c r="L36" s="229">
        <v>27356</v>
      </c>
      <c r="M36" s="229">
        <v>30185</v>
      </c>
      <c r="N36" s="229">
        <v>36667</v>
      </c>
      <c r="O36" s="229">
        <v>-34041</v>
      </c>
      <c r="P36" s="229">
        <v>8475</v>
      </c>
      <c r="Q36" s="229">
        <v>17046</v>
      </c>
      <c r="R36" s="229">
        <v>22527</v>
      </c>
      <c r="S36" s="229">
        <v>20233</v>
      </c>
      <c r="T36" s="229">
        <v>4785</v>
      </c>
      <c r="U36" s="229">
        <v>4044</v>
      </c>
      <c r="V36" s="229">
        <v>13722</v>
      </c>
      <c r="W36" s="229">
        <v>12403</v>
      </c>
      <c r="X36" s="229">
        <v>38068</v>
      </c>
      <c r="Y36" s="229">
        <v>50410</v>
      </c>
      <c r="Z36" s="229">
        <v>76492</v>
      </c>
      <c r="AA36" s="229">
        <v>112342</v>
      </c>
      <c r="AB36" s="229">
        <v>13112</v>
      </c>
      <c r="AC36" s="229">
        <v>15515</v>
      </c>
    </row>
    <row r="37" spans="1:29">
      <c r="A37" s="591" t="s">
        <v>1410</v>
      </c>
      <c r="B37" s="57" t="s">
        <v>1989</v>
      </c>
      <c r="H37" s="229">
        <v>737</v>
      </c>
      <c r="I37" s="229">
        <v>0</v>
      </c>
      <c r="J37" s="229">
        <v>0</v>
      </c>
      <c r="K37" s="229">
        <v>3565</v>
      </c>
      <c r="L37" s="229">
        <v>783</v>
      </c>
      <c r="M37" s="229">
        <v>1604</v>
      </c>
      <c r="N37" s="229">
        <v>0</v>
      </c>
      <c r="O37" s="229">
        <v>5104</v>
      </c>
      <c r="P37" s="229">
        <v>784</v>
      </c>
      <c r="Q37" s="229">
        <v>2836</v>
      </c>
      <c r="R37" s="229">
        <v>5666</v>
      </c>
      <c r="S37" s="229">
        <v>8318</v>
      </c>
      <c r="T37" s="229">
        <v>1534</v>
      </c>
      <c r="U37" s="229">
        <v>791</v>
      </c>
      <c r="V37" s="229">
        <v>1896</v>
      </c>
      <c r="W37" s="229">
        <v>75</v>
      </c>
      <c r="X37" s="229">
        <v>695</v>
      </c>
      <c r="Y37" s="229">
        <v>2798</v>
      </c>
      <c r="Z37" s="229">
        <v>6217</v>
      </c>
      <c r="AA37" s="229">
        <v>8678</v>
      </c>
      <c r="AB37" s="229">
        <v>4898</v>
      </c>
      <c r="AC37" s="229">
        <v>6596</v>
      </c>
    </row>
    <row r="38" spans="1:29">
      <c r="A38" s="591" t="s">
        <v>1411</v>
      </c>
      <c r="B38" s="57" t="s">
        <v>1990</v>
      </c>
      <c r="H38" s="229"/>
      <c r="I38" s="229"/>
      <c r="J38" s="229"/>
      <c r="K38" s="229"/>
      <c r="L38" s="229"/>
      <c r="M38" s="229"/>
      <c r="N38" s="229"/>
      <c r="O38" s="229"/>
      <c r="P38" s="229"/>
      <c r="Q38" s="229"/>
      <c r="R38" s="229"/>
      <c r="S38" s="229"/>
      <c r="T38" s="229"/>
      <c r="U38" s="229"/>
      <c r="V38" s="229"/>
      <c r="W38" s="229"/>
      <c r="X38" s="229"/>
      <c r="Y38" s="229">
        <v>0</v>
      </c>
      <c r="Z38" s="229">
        <v>0</v>
      </c>
      <c r="AA38" s="229">
        <v>0</v>
      </c>
      <c r="AB38" s="229">
        <v>0</v>
      </c>
      <c r="AC38" s="229">
        <v>0</v>
      </c>
    </row>
    <row r="39" spans="1:29">
      <c r="A39" s="591" t="s">
        <v>1127</v>
      </c>
      <c r="B39" s="57" t="s">
        <v>1991</v>
      </c>
      <c r="H39" s="229">
        <v>0</v>
      </c>
      <c r="I39" s="229">
        <v>0</v>
      </c>
      <c r="J39" s="229">
        <v>0</v>
      </c>
      <c r="K39" s="229">
        <v>0</v>
      </c>
      <c r="L39" s="229">
        <v>2994</v>
      </c>
      <c r="M39" s="229">
        <v>17189</v>
      </c>
      <c r="N39" s="229">
        <v>17189</v>
      </c>
      <c r="O39" s="229">
        <v>17189</v>
      </c>
      <c r="P39" s="229">
        <v>3662</v>
      </c>
      <c r="Q39" s="229">
        <v>3662</v>
      </c>
      <c r="R39" s="229">
        <v>3661</v>
      </c>
      <c r="S39" s="229">
        <v>66612</v>
      </c>
      <c r="T39" s="229">
        <v>0</v>
      </c>
      <c r="U39" s="229">
        <v>0</v>
      </c>
      <c r="V39" s="229">
        <v>0</v>
      </c>
      <c r="W39" s="229">
        <v>0</v>
      </c>
      <c r="X39" s="229">
        <v>0</v>
      </c>
      <c r="Y39" s="229">
        <v>0</v>
      </c>
      <c r="Z39" s="229">
        <v>0</v>
      </c>
      <c r="AA39" s="229">
        <v>0</v>
      </c>
      <c r="AB39" s="229">
        <v>0</v>
      </c>
      <c r="AC39" s="229">
        <v>0</v>
      </c>
    </row>
    <row r="40" spans="1:29">
      <c r="A40" s="591" t="s">
        <v>1412</v>
      </c>
      <c r="B40" s="57" t="s">
        <v>1992</v>
      </c>
      <c r="H40" s="229">
        <v>0</v>
      </c>
      <c r="I40" s="229">
        <v>0</v>
      </c>
      <c r="J40" s="229">
        <v>0</v>
      </c>
      <c r="K40" s="229">
        <v>0</v>
      </c>
      <c r="L40" s="229">
        <v>0</v>
      </c>
      <c r="M40" s="229">
        <v>0</v>
      </c>
      <c r="N40" s="229">
        <v>0</v>
      </c>
      <c r="O40" s="229">
        <v>0</v>
      </c>
      <c r="P40" s="229">
        <v>0</v>
      </c>
      <c r="Q40" s="229">
        <v>0</v>
      </c>
      <c r="R40" s="229">
        <v>0</v>
      </c>
      <c r="S40" s="229">
        <v>0</v>
      </c>
      <c r="T40" s="229">
        <v>0</v>
      </c>
      <c r="U40" s="229">
        <v>0</v>
      </c>
      <c r="V40" s="229">
        <v>0</v>
      </c>
      <c r="W40" s="229">
        <v>0</v>
      </c>
      <c r="X40" s="229">
        <v>0</v>
      </c>
      <c r="Y40" s="229">
        <v>0</v>
      </c>
      <c r="Z40" s="229">
        <v>0</v>
      </c>
      <c r="AA40" s="229">
        <v>0</v>
      </c>
      <c r="AB40" s="229">
        <v>0</v>
      </c>
      <c r="AC40" s="229">
        <v>0</v>
      </c>
    </row>
    <row r="41" spans="1:29">
      <c r="A41" s="591" t="s">
        <v>1172</v>
      </c>
      <c r="B41" s="57" t="s">
        <v>1977</v>
      </c>
      <c r="H41" s="229">
        <v>2094</v>
      </c>
      <c r="I41" s="229">
        <v>6991</v>
      </c>
      <c r="J41" s="229">
        <v>9861</v>
      </c>
      <c r="K41" s="229">
        <v>12731</v>
      </c>
      <c r="L41" s="229">
        <v>2674</v>
      </c>
      <c r="M41" s="229">
        <v>5461</v>
      </c>
      <c r="N41" s="229">
        <v>8256</v>
      </c>
      <c r="O41" s="229">
        <v>11050</v>
      </c>
      <c r="P41" s="229">
        <v>2771</v>
      </c>
      <c r="Q41" s="229">
        <v>5558</v>
      </c>
      <c r="R41" s="229">
        <v>8382</v>
      </c>
      <c r="S41" s="229">
        <v>11280</v>
      </c>
      <c r="T41" s="229">
        <v>2621</v>
      </c>
      <c r="U41" s="229">
        <v>-1106</v>
      </c>
      <c r="V41" s="229">
        <v>-5478</v>
      </c>
      <c r="W41" s="229">
        <v>9860</v>
      </c>
      <c r="X41" s="229">
        <v>-2642</v>
      </c>
      <c r="Y41" s="229">
        <v>-1614</v>
      </c>
      <c r="Z41" s="229">
        <v>-4902</v>
      </c>
      <c r="AA41" s="229">
        <v>13182</v>
      </c>
      <c r="AB41" s="229">
        <v>7347</v>
      </c>
      <c r="AC41" s="229">
        <v>13752</v>
      </c>
    </row>
    <row r="42" spans="1:29">
      <c r="A42" s="591" t="s">
        <v>1473</v>
      </c>
      <c r="B42" s="57" t="s">
        <v>1195</v>
      </c>
      <c r="H42" s="229">
        <v>0</v>
      </c>
      <c r="I42" s="229">
        <v>0</v>
      </c>
      <c r="J42" s="229">
        <v>0</v>
      </c>
      <c r="K42" s="229">
        <v>292</v>
      </c>
      <c r="L42" s="229">
        <v>292</v>
      </c>
      <c r="M42" s="229">
        <v>0</v>
      </c>
      <c r="N42" s="229">
        <v>0</v>
      </c>
      <c r="O42" s="229">
        <v>603</v>
      </c>
      <c r="P42" s="229">
        <v>0</v>
      </c>
      <c r="Q42" s="229">
        <v>0</v>
      </c>
      <c r="R42" s="229">
        <v>345</v>
      </c>
      <c r="S42" s="229">
        <v>460</v>
      </c>
      <c r="T42" s="229">
        <v>63</v>
      </c>
      <c r="U42" s="229">
        <v>125</v>
      </c>
      <c r="V42" s="229">
        <v>187</v>
      </c>
      <c r="W42" s="229">
        <v>788</v>
      </c>
      <c r="X42" s="229">
        <v>-13</v>
      </c>
      <c r="Y42" s="229">
        <v>138</v>
      </c>
      <c r="Z42" s="229">
        <v>207</v>
      </c>
      <c r="AA42" s="229">
        <v>699</v>
      </c>
      <c r="AB42" s="229">
        <v>0</v>
      </c>
      <c r="AC42" s="229">
        <v>80</v>
      </c>
    </row>
    <row r="43" spans="1:29">
      <c r="A43" s="591" t="s">
        <v>1413</v>
      </c>
      <c r="B43" s="57" t="s">
        <v>2014</v>
      </c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29"/>
      <c r="T43" s="229"/>
      <c r="U43" s="229"/>
      <c r="V43" s="229"/>
      <c r="W43" s="229"/>
      <c r="X43" s="229"/>
      <c r="Y43" s="229">
        <v>0</v>
      </c>
      <c r="Z43" s="229">
        <v>0</v>
      </c>
      <c r="AA43" s="229">
        <v>0</v>
      </c>
      <c r="AB43" s="229">
        <v>0</v>
      </c>
      <c r="AC43" s="229">
        <v>0</v>
      </c>
    </row>
    <row r="44" spans="1:29">
      <c r="A44" s="591" t="s">
        <v>1414</v>
      </c>
      <c r="B44" s="57" t="s">
        <v>1992</v>
      </c>
      <c r="H44" s="229"/>
      <c r="I44" s="229"/>
      <c r="J44" s="229"/>
      <c r="K44" s="229"/>
      <c r="L44" s="229"/>
      <c r="M44" s="229"/>
      <c r="N44" s="229"/>
      <c r="O44" s="229"/>
      <c r="P44" s="229"/>
      <c r="Q44" s="229"/>
      <c r="R44" s="229"/>
      <c r="S44" s="229"/>
      <c r="T44" s="229"/>
      <c r="U44" s="229"/>
      <c r="V44" s="229"/>
      <c r="W44" s="229"/>
      <c r="X44" s="229"/>
      <c r="Y44" s="229">
        <v>0</v>
      </c>
      <c r="Z44" s="229">
        <v>0</v>
      </c>
      <c r="AA44" s="229">
        <v>0</v>
      </c>
      <c r="AB44" s="229">
        <v>0</v>
      </c>
      <c r="AC44" s="229">
        <v>0</v>
      </c>
    </row>
    <row r="45" spans="1:29">
      <c r="A45" s="591" t="s">
        <v>1415</v>
      </c>
      <c r="B45" s="57" t="s">
        <v>1993</v>
      </c>
      <c r="H45" s="229"/>
      <c r="I45" s="229"/>
      <c r="J45" s="229"/>
      <c r="K45" s="229"/>
      <c r="L45" s="229"/>
      <c r="M45" s="229"/>
      <c r="N45" s="229"/>
      <c r="O45" s="229"/>
      <c r="P45" s="229"/>
      <c r="Q45" s="229"/>
      <c r="R45" s="229"/>
      <c r="S45" s="229"/>
      <c r="T45" s="229"/>
      <c r="U45" s="229"/>
      <c r="V45" s="229"/>
      <c r="W45" s="229"/>
      <c r="X45" s="229"/>
      <c r="Y45" s="229">
        <v>0</v>
      </c>
      <c r="Z45" s="229">
        <v>0</v>
      </c>
      <c r="AA45" s="229">
        <v>0</v>
      </c>
      <c r="AB45" s="229">
        <v>0</v>
      </c>
      <c r="AC45" s="229">
        <v>0</v>
      </c>
    </row>
    <row r="46" spans="1:29">
      <c r="A46" s="591" t="s">
        <v>1474</v>
      </c>
      <c r="B46" s="57" t="s">
        <v>1417</v>
      </c>
      <c r="H46" s="229">
        <v>0</v>
      </c>
      <c r="I46" s="229">
        <v>0</v>
      </c>
      <c r="J46" s="229">
        <v>0</v>
      </c>
      <c r="K46" s="229">
        <v>0</v>
      </c>
      <c r="L46" s="229">
        <v>0</v>
      </c>
      <c r="M46" s="229">
        <v>0</v>
      </c>
      <c r="N46" s="229">
        <v>0</v>
      </c>
      <c r="O46" s="229">
        <v>16029</v>
      </c>
      <c r="P46" s="229">
        <v>0</v>
      </c>
      <c r="Q46" s="229">
        <v>-982</v>
      </c>
      <c r="R46" s="229">
        <v>-1421</v>
      </c>
      <c r="S46" s="229">
        <v>409</v>
      </c>
      <c r="T46" s="229">
        <v>9645</v>
      </c>
      <c r="U46" s="229">
        <v>7059</v>
      </c>
      <c r="V46" s="229">
        <v>8836</v>
      </c>
      <c r="W46" s="229">
        <v>4473</v>
      </c>
      <c r="X46" s="229">
        <v>5828</v>
      </c>
      <c r="Y46" s="229">
        <v>5828</v>
      </c>
      <c r="Z46" s="229">
        <v>5645</v>
      </c>
      <c r="AA46" s="229">
        <v>10729</v>
      </c>
      <c r="AB46" s="229">
        <v>6366</v>
      </c>
      <c r="AC46" s="229">
        <v>2383</v>
      </c>
    </row>
    <row r="47" spans="1:29">
      <c r="A47" s="591" t="s">
        <v>95</v>
      </c>
      <c r="B47" s="57" t="s">
        <v>96</v>
      </c>
      <c r="H47" s="229">
        <v>0</v>
      </c>
      <c r="I47" s="229">
        <v>-55203</v>
      </c>
      <c r="J47" s="229">
        <v>-81690</v>
      </c>
      <c r="K47" s="229">
        <v>0</v>
      </c>
      <c r="L47" s="229">
        <v>0</v>
      </c>
      <c r="M47" s="229">
        <v>897</v>
      </c>
      <c r="N47" s="229">
        <v>3306</v>
      </c>
      <c r="O47" s="229">
        <v>-189627</v>
      </c>
      <c r="P47" s="229">
        <v>0</v>
      </c>
      <c r="Q47" s="229">
        <v>0</v>
      </c>
      <c r="R47" s="229">
        <v>0</v>
      </c>
      <c r="S47" s="229">
        <v>0</v>
      </c>
      <c r="T47" s="229">
        <v>0</v>
      </c>
      <c r="U47" s="229">
        <v>0</v>
      </c>
      <c r="V47" s="229">
        <v>0</v>
      </c>
      <c r="W47" s="229">
        <v>0</v>
      </c>
      <c r="X47" s="229">
        <v>0</v>
      </c>
      <c r="Y47" s="229">
        <v>0</v>
      </c>
      <c r="Z47" s="229">
        <v>0</v>
      </c>
      <c r="AA47" s="229">
        <v>0</v>
      </c>
      <c r="AB47" s="229">
        <v>0</v>
      </c>
      <c r="AC47" s="229">
        <v>0</v>
      </c>
    </row>
    <row r="48" spans="1:29" s="589" customFormat="1">
      <c r="A48" s="592"/>
      <c r="B48" s="592"/>
      <c r="C48" s="592"/>
      <c r="D48" s="592">
        <f t="shared" ref="D48:Y48" si="0">SUM(D9:D47)</f>
        <v>0</v>
      </c>
      <c r="E48" s="592">
        <f t="shared" si="0"/>
        <v>0</v>
      </c>
      <c r="F48" s="592">
        <f t="shared" si="0"/>
        <v>0</v>
      </c>
      <c r="G48" s="592">
        <f t="shared" si="0"/>
        <v>0</v>
      </c>
      <c r="H48" s="593">
        <f t="shared" si="0"/>
        <v>-25138</v>
      </c>
      <c r="I48" s="593">
        <f t="shared" si="0"/>
        <v>75742</v>
      </c>
      <c r="J48" s="593">
        <f t="shared" si="0"/>
        <v>384491</v>
      </c>
      <c r="K48" s="593">
        <f t="shared" si="0"/>
        <v>63834</v>
      </c>
      <c r="L48" s="593">
        <f t="shared" si="0"/>
        <v>186011</v>
      </c>
      <c r="M48" s="593">
        <f t="shared" si="0"/>
        <v>319501</v>
      </c>
      <c r="N48" s="593">
        <f t="shared" si="0"/>
        <v>438680</v>
      </c>
      <c r="O48" s="593">
        <f t="shared" si="0"/>
        <v>316339</v>
      </c>
      <c r="P48" s="593">
        <f t="shared" si="0"/>
        <v>115162</v>
      </c>
      <c r="Q48" s="593">
        <f t="shared" si="0"/>
        <v>265474</v>
      </c>
      <c r="R48" s="593">
        <f t="shared" si="0"/>
        <v>454835</v>
      </c>
      <c r="S48" s="593">
        <f t="shared" si="0"/>
        <v>810357</v>
      </c>
      <c r="T48" s="593">
        <f t="shared" si="0"/>
        <v>235875.00000000003</v>
      </c>
      <c r="U48" s="593">
        <f t="shared" si="0"/>
        <v>449037</v>
      </c>
      <c r="V48" s="593">
        <f t="shared" si="0"/>
        <v>706523</v>
      </c>
      <c r="W48" s="593">
        <f t="shared" si="0"/>
        <v>1051588</v>
      </c>
      <c r="X48" s="593">
        <f t="shared" si="0"/>
        <v>204885</v>
      </c>
      <c r="Y48" s="593">
        <f t="shared" si="0"/>
        <v>476647</v>
      </c>
      <c r="Z48" s="593">
        <f t="shared" ref="Z48" si="1">SUM(Z9:Z47)</f>
        <v>700826.95057999983</v>
      </c>
      <c r="AA48" s="593">
        <f t="shared" ref="AA48:AC48" si="2">SUM(AA9:AA47)</f>
        <v>954501.33896999992</v>
      </c>
      <c r="AB48" s="593">
        <f t="shared" si="2"/>
        <v>310964.78431999998</v>
      </c>
      <c r="AC48" s="593">
        <f t="shared" si="2"/>
        <v>636203.83937000006</v>
      </c>
    </row>
    <row r="49" spans="1:29">
      <c r="A49" s="589" t="s">
        <v>1418</v>
      </c>
      <c r="B49" s="589" t="s">
        <v>2035</v>
      </c>
      <c r="H49" s="229"/>
      <c r="I49" s="229"/>
      <c r="J49" s="229"/>
      <c r="K49" s="229"/>
      <c r="L49" s="229"/>
      <c r="M49" s="229"/>
      <c r="N49" s="229"/>
      <c r="T49" s="229"/>
      <c r="U49" s="229"/>
      <c r="X49" s="229"/>
      <c r="Y49" s="229"/>
      <c r="Z49" s="229"/>
      <c r="AA49" s="229"/>
      <c r="AB49" s="229"/>
      <c r="AC49" s="229"/>
    </row>
    <row r="50" spans="1:29">
      <c r="A50" s="591" t="s">
        <v>1057</v>
      </c>
      <c r="B50" s="57" t="s">
        <v>1994</v>
      </c>
      <c r="H50" s="229">
        <v>31886</v>
      </c>
      <c r="I50" s="229">
        <v>70117</v>
      </c>
      <c r="J50" s="229">
        <v>32604</v>
      </c>
      <c r="K50" s="229">
        <v>-82048</v>
      </c>
      <c r="L50" s="229">
        <v>30619</v>
      </c>
      <c r="M50" s="229">
        <v>69421</v>
      </c>
      <c r="N50" s="229">
        <v>25256</v>
      </c>
      <c r="O50" s="229">
        <v>190304</v>
      </c>
      <c r="P50" s="229">
        <v>-40752</v>
      </c>
      <c r="Q50" s="229">
        <v>-89040</v>
      </c>
      <c r="R50" s="229">
        <v>-112869</v>
      </c>
      <c r="S50" s="229">
        <v>-88125</v>
      </c>
      <c r="T50" s="229">
        <v>15653</v>
      </c>
      <c r="U50" s="229">
        <v>14435</v>
      </c>
      <c r="V50" s="229">
        <v>-19963</v>
      </c>
      <c r="W50" s="229">
        <v>-39988</v>
      </c>
      <c r="X50" s="229">
        <v>60810</v>
      </c>
      <c r="Y50" s="229">
        <v>-36498</v>
      </c>
      <c r="Z50" s="229">
        <v>-129515</v>
      </c>
      <c r="AA50" s="229">
        <v>-119132</v>
      </c>
      <c r="AB50" s="229">
        <v>-527</v>
      </c>
      <c r="AC50" s="229">
        <v>-97504</v>
      </c>
    </row>
    <row r="51" spans="1:29">
      <c r="A51" s="591" t="s">
        <v>887</v>
      </c>
      <c r="B51" s="57" t="s">
        <v>1995</v>
      </c>
      <c r="H51" s="229">
        <v>0</v>
      </c>
      <c r="I51" s="229">
        <v>0</v>
      </c>
      <c r="J51" s="229">
        <v>0</v>
      </c>
      <c r="K51" s="229">
        <v>0</v>
      </c>
      <c r="L51" s="229">
        <v>0</v>
      </c>
      <c r="M51" s="229">
        <v>0</v>
      </c>
      <c r="N51" s="229">
        <v>0</v>
      </c>
      <c r="O51" s="229">
        <v>0</v>
      </c>
      <c r="P51" s="229">
        <v>0</v>
      </c>
      <c r="Q51" s="229">
        <v>0</v>
      </c>
      <c r="R51" s="229">
        <v>0</v>
      </c>
      <c r="S51" s="229">
        <v>0</v>
      </c>
      <c r="T51" s="229">
        <v>0</v>
      </c>
      <c r="U51" s="229">
        <v>0</v>
      </c>
      <c r="V51" s="229">
        <v>0</v>
      </c>
      <c r="W51" s="229">
        <v>0</v>
      </c>
      <c r="X51" s="229">
        <v>0</v>
      </c>
      <c r="Y51" s="229">
        <v>0</v>
      </c>
      <c r="Z51" s="229">
        <v>0</v>
      </c>
      <c r="AA51" s="229">
        <v>0</v>
      </c>
      <c r="AB51" s="229">
        <v>0</v>
      </c>
      <c r="AC51" s="229">
        <v>0</v>
      </c>
    </row>
    <row r="52" spans="1:29">
      <c r="A52" s="591" t="s">
        <v>1063</v>
      </c>
      <c r="B52" s="57" t="s">
        <v>1996</v>
      </c>
      <c r="H52" s="229">
        <v>0</v>
      </c>
      <c r="I52" s="229">
        <v>0</v>
      </c>
      <c r="J52" s="229">
        <v>0</v>
      </c>
      <c r="K52" s="229">
        <v>0</v>
      </c>
      <c r="L52" s="229">
        <v>0</v>
      </c>
      <c r="M52" s="229">
        <v>0</v>
      </c>
      <c r="N52" s="229">
        <v>0</v>
      </c>
      <c r="O52" s="229">
        <v>0</v>
      </c>
      <c r="P52" s="229">
        <v>0</v>
      </c>
      <c r="Q52" s="229">
        <v>0</v>
      </c>
      <c r="R52" s="229">
        <v>0</v>
      </c>
      <c r="S52" s="229">
        <v>0</v>
      </c>
      <c r="T52" s="229">
        <v>0</v>
      </c>
      <c r="U52" s="229">
        <v>0</v>
      </c>
      <c r="V52" s="229">
        <v>0</v>
      </c>
      <c r="W52" s="229">
        <v>0</v>
      </c>
      <c r="X52" s="229">
        <v>0</v>
      </c>
      <c r="Y52" s="229">
        <v>0</v>
      </c>
      <c r="Z52" s="229">
        <v>0</v>
      </c>
      <c r="AA52" s="229">
        <v>0</v>
      </c>
      <c r="AB52" s="229">
        <v>0</v>
      </c>
      <c r="AC52" s="229">
        <v>0</v>
      </c>
    </row>
    <row r="53" spans="1:29">
      <c r="A53" s="591" t="s">
        <v>1068</v>
      </c>
      <c r="B53" s="57" t="s">
        <v>1997</v>
      </c>
      <c r="H53" s="229">
        <v>-382</v>
      </c>
      <c r="I53" s="229">
        <v>173</v>
      </c>
      <c r="J53" s="229">
        <v>20546</v>
      </c>
      <c r="K53" s="229">
        <v>20411</v>
      </c>
      <c r="L53" s="229">
        <v>-212</v>
      </c>
      <c r="M53" s="229">
        <v>-293</v>
      </c>
      <c r="N53" s="229">
        <v>-663</v>
      </c>
      <c r="O53" s="229">
        <v>-1413</v>
      </c>
      <c r="P53" s="229">
        <v>100</v>
      </c>
      <c r="Q53" s="229">
        <v>-395</v>
      </c>
      <c r="R53" s="229">
        <v>-1299</v>
      </c>
      <c r="S53" s="229">
        <v>-567</v>
      </c>
      <c r="T53" s="229">
        <v>-203</v>
      </c>
      <c r="U53" s="229">
        <v>-1298</v>
      </c>
      <c r="V53" s="229">
        <v>660</v>
      </c>
      <c r="W53" s="229">
        <v>2872</v>
      </c>
      <c r="X53" s="229">
        <v>5209</v>
      </c>
      <c r="Y53" s="229">
        <v>18710</v>
      </c>
      <c r="Z53" s="229">
        <v>9052</v>
      </c>
      <c r="AA53" s="229">
        <v>5280</v>
      </c>
      <c r="AB53" s="229">
        <v>-1253</v>
      </c>
      <c r="AC53" s="229">
        <v>-2266</v>
      </c>
    </row>
    <row r="54" spans="1:29">
      <c r="A54" s="591" t="s">
        <v>1419</v>
      </c>
      <c r="B54" s="57" t="s">
        <v>1998</v>
      </c>
      <c r="H54" s="229">
        <v>0</v>
      </c>
      <c r="I54" s="229">
        <v>0</v>
      </c>
      <c r="J54" s="229">
        <v>0</v>
      </c>
      <c r="K54" s="229">
        <v>0</v>
      </c>
      <c r="L54" s="229">
        <v>0</v>
      </c>
      <c r="M54" s="229">
        <v>0</v>
      </c>
      <c r="N54" s="229">
        <v>0</v>
      </c>
      <c r="O54" s="229">
        <v>0</v>
      </c>
      <c r="P54" s="229">
        <v>0</v>
      </c>
      <c r="Q54" s="229">
        <v>0</v>
      </c>
      <c r="R54" s="229">
        <v>0</v>
      </c>
      <c r="S54" s="229">
        <v>0</v>
      </c>
      <c r="T54" s="229">
        <v>0</v>
      </c>
      <c r="U54" s="229">
        <v>0</v>
      </c>
      <c r="V54" s="229">
        <v>0</v>
      </c>
      <c r="W54" s="229">
        <v>0</v>
      </c>
      <c r="X54" s="229">
        <v>0</v>
      </c>
      <c r="Y54" s="229">
        <v>0</v>
      </c>
      <c r="Z54" s="229">
        <v>0</v>
      </c>
      <c r="AA54" s="229">
        <v>0</v>
      </c>
      <c r="AB54" s="229">
        <v>0</v>
      </c>
      <c r="AC54" s="229">
        <v>0</v>
      </c>
    </row>
    <row r="55" spans="1:29">
      <c r="A55" s="591" t="s">
        <v>1074</v>
      </c>
      <c r="B55" s="57" t="s">
        <v>1075</v>
      </c>
      <c r="H55" s="229">
        <v>-2969</v>
      </c>
      <c r="I55" s="229">
        <v>-14566</v>
      </c>
      <c r="J55" s="229">
        <v>-23279</v>
      </c>
      <c r="K55" s="229">
        <v>-34544</v>
      </c>
      <c r="L55" s="229">
        <v>-7907</v>
      </c>
      <c r="M55" s="229">
        <v>6209</v>
      </c>
      <c r="N55" s="229">
        <v>2470</v>
      </c>
      <c r="O55" s="229">
        <v>1436</v>
      </c>
      <c r="P55" s="229">
        <v>4945</v>
      </c>
      <c r="Q55" s="229">
        <v>16221</v>
      </c>
      <c r="R55" s="229">
        <v>14910</v>
      </c>
      <c r="S55" s="229">
        <v>39055</v>
      </c>
      <c r="T55" s="229">
        <v>1255</v>
      </c>
      <c r="U55" s="229">
        <v>571</v>
      </c>
      <c r="V55" s="229">
        <v>-29</v>
      </c>
      <c r="W55" s="229">
        <v>-2559</v>
      </c>
      <c r="X55" s="229">
        <v>-2557</v>
      </c>
      <c r="Y55" s="229">
        <v>-6832</v>
      </c>
      <c r="Z55" s="229">
        <v>-8480</v>
      </c>
      <c r="AA55" s="229">
        <v>-9114</v>
      </c>
      <c r="AB55" s="229">
        <v>-3239</v>
      </c>
      <c r="AC55" s="229">
        <v>-2453</v>
      </c>
    </row>
    <row r="56" spans="1:29">
      <c r="A56" s="591" t="s">
        <v>1420</v>
      </c>
      <c r="B56" s="57" t="s">
        <v>1999</v>
      </c>
      <c r="H56" s="229">
        <v>89044</v>
      </c>
      <c r="I56" s="229">
        <v>122959</v>
      </c>
      <c r="J56" s="229">
        <v>148935</v>
      </c>
      <c r="K56" s="229">
        <v>177485</v>
      </c>
      <c r="L56" s="229">
        <v>-28042</v>
      </c>
      <c r="M56" s="229">
        <v>-31800</v>
      </c>
      <c r="N56" s="229">
        <v>-61985</v>
      </c>
      <c r="O56" s="229">
        <v>-133161</v>
      </c>
      <c r="P56" s="229">
        <v>-20573</v>
      </c>
      <c r="Q56" s="229">
        <v>-30662</v>
      </c>
      <c r="R56" s="229">
        <v>-28397</v>
      </c>
      <c r="S56" s="229">
        <v>-21493</v>
      </c>
      <c r="T56" s="229">
        <v>-4105</v>
      </c>
      <c r="U56" s="229">
        <v>-10395</v>
      </c>
      <c r="V56" s="229">
        <v>-14594</v>
      </c>
      <c r="W56" s="229">
        <v>-13856</v>
      </c>
      <c r="X56" s="229">
        <v>-12167</v>
      </c>
      <c r="Y56" s="229">
        <v>-23456</v>
      </c>
      <c r="Z56" s="229">
        <v>-35791</v>
      </c>
      <c r="AA56" s="229">
        <v>-40243</v>
      </c>
      <c r="AB56" s="229">
        <v>112106</v>
      </c>
      <c r="AC56" s="229">
        <v>-22889</v>
      </c>
    </row>
    <row r="57" spans="1:29">
      <c r="A57" s="591" t="s">
        <v>1078</v>
      </c>
      <c r="B57" s="57" t="s">
        <v>2000</v>
      </c>
      <c r="H57" s="229">
        <v>-1647</v>
      </c>
      <c r="I57" s="229">
        <v>-2658</v>
      </c>
      <c r="J57" s="229">
        <v>-7290</v>
      </c>
      <c r="K57" s="229">
        <v>-16718</v>
      </c>
      <c r="L57" s="229">
        <v>-8691</v>
      </c>
      <c r="M57" s="229">
        <v>-13915</v>
      </c>
      <c r="N57" s="229">
        <v>-20601</v>
      </c>
      <c r="O57" s="229">
        <v>-32391</v>
      </c>
      <c r="P57" s="229">
        <v>-10894</v>
      </c>
      <c r="Q57" s="229">
        <v>-14772</v>
      </c>
      <c r="R57" s="229">
        <v>-4305</v>
      </c>
      <c r="S57" s="229">
        <v>31116</v>
      </c>
      <c r="T57" s="229">
        <v>-10158</v>
      </c>
      <c r="U57" s="229">
        <v>-19340</v>
      </c>
      <c r="V57" s="229">
        <v>-2076</v>
      </c>
      <c r="W57" s="229">
        <v>-25615</v>
      </c>
      <c r="X57" s="229">
        <v>-37026</v>
      </c>
      <c r="Y57" s="229">
        <v>-44409</v>
      </c>
      <c r="Z57" s="229">
        <v>-46976</v>
      </c>
      <c r="AA57" s="229">
        <v>2879</v>
      </c>
      <c r="AB57" s="229">
        <v>-169948</v>
      </c>
      <c r="AC57" s="229">
        <v>-54563</v>
      </c>
    </row>
    <row r="58" spans="1:29">
      <c r="A58" s="591" t="s">
        <v>1421</v>
      </c>
      <c r="B58" s="57" t="s">
        <v>2001</v>
      </c>
      <c r="H58" s="229">
        <v>0</v>
      </c>
      <c r="I58" s="229">
        <v>0</v>
      </c>
      <c r="J58" s="229">
        <v>0</v>
      </c>
      <c r="K58" s="229">
        <v>0</v>
      </c>
      <c r="L58" s="229">
        <v>0</v>
      </c>
      <c r="M58" s="229">
        <v>0</v>
      </c>
      <c r="N58" s="229">
        <v>0</v>
      </c>
      <c r="O58" s="229">
        <v>0</v>
      </c>
      <c r="P58" s="229">
        <v>0</v>
      </c>
      <c r="Q58" s="229">
        <v>0</v>
      </c>
      <c r="R58" s="229">
        <v>0</v>
      </c>
      <c r="S58" s="229">
        <v>0</v>
      </c>
      <c r="T58" s="229">
        <v>0</v>
      </c>
      <c r="U58" s="229">
        <v>0</v>
      </c>
      <c r="V58" s="229">
        <v>0</v>
      </c>
      <c r="W58" s="229">
        <v>0</v>
      </c>
      <c r="X58" s="229">
        <v>0</v>
      </c>
      <c r="Y58" s="229">
        <v>0</v>
      </c>
      <c r="Z58" s="229">
        <v>0</v>
      </c>
      <c r="AA58" s="229">
        <v>0</v>
      </c>
      <c r="AB58" s="229">
        <v>0</v>
      </c>
      <c r="AC58" s="229">
        <v>0</v>
      </c>
    </row>
    <row r="59" spans="1:29">
      <c r="A59" s="591" t="s">
        <v>1422</v>
      </c>
      <c r="B59" s="57" t="s">
        <v>2002</v>
      </c>
      <c r="H59" s="229">
        <v>0</v>
      </c>
      <c r="I59" s="229">
        <v>0</v>
      </c>
      <c r="J59" s="229">
        <v>0</v>
      </c>
      <c r="K59" s="229">
        <v>0</v>
      </c>
      <c r="L59" s="229">
        <v>0</v>
      </c>
      <c r="M59" s="229">
        <v>0</v>
      </c>
      <c r="N59" s="229">
        <v>0</v>
      </c>
      <c r="O59" s="229">
        <v>0</v>
      </c>
      <c r="P59" s="229">
        <v>0</v>
      </c>
      <c r="Q59" s="229">
        <v>0</v>
      </c>
      <c r="R59" s="229">
        <v>0</v>
      </c>
      <c r="S59" s="229">
        <v>0</v>
      </c>
      <c r="T59" s="229">
        <v>0</v>
      </c>
      <c r="U59" s="229">
        <v>0</v>
      </c>
      <c r="V59" s="229">
        <v>0</v>
      </c>
      <c r="W59" s="229">
        <v>0</v>
      </c>
      <c r="X59" s="229">
        <v>0</v>
      </c>
      <c r="Y59" s="229">
        <v>0</v>
      </c>
      <c r="Z59" s="229">
        <v>0</v>
      </c>
      <c r="AA59" s="229">
        <v>0</v>
      </c>
      <c r="AB59" s="229">
        <v>0</v>
      </c>
      <c r="AC59" s="229">
        <v>0</v>
      </c>
    </row>
    <row r="60" spans="1:29">
      <c r="A60" s="591" t="s">
        <v>1352</v>
      </c>
      <c r="B60" s="57" t="s">
        <v>2003</v>
      </c>
      <c r="H60" s="229">
        <v>127328</v>
      </c>
      <c r="I60" s="229">
        <v>43859</v>
      </c>
      <c r="J60" s="229">
        <v>-269630</v>
      </c>
      <c r="K60" s="229">
        <v>247017</v>
      </c>
      <c r="L60" s="229">
        <v>54172</v>
      </c>
      <c r="M60" s="229">
        <v>215140</v>
      </c>
      <c r="N60" s="229">
        <v>331655</v>
      </c>
      <c r="O60" s="229">
        <v>396718</v>
      </c>
      <c r="P60" s="229">
        <v>0</v>
      </c>
      <c r="Q60" s="229">
        <v>16907</v>
      </c>
      <c r="R60" s="229">
        <v>17059</v>
      </c>
      <c r="S60" s="229">
        <v>-40639</v>
      </c>
      <c r="T60" s="229">
        <v>-2960</v>
      </c>
      <c r="U60" s="229">
        <v>15728</v>
      </c>
      <c r="V60" s="229">
        <v>15804</v>
      </c>
      <c r="W60" s="229">
        <v>15886</v>
      </c>
      <c r="X60" s="229">
        <v>466</v>
      </c>
      <c r="Y60" s="229">
        <v>2949</v>
      </c>
      <c r="Z60" s="229">
        <v>2950</v>
      </c>
      <c r="AA60" s="229">
        <v>2950</v>
      </c>
      <c r="AB60" s="229">
        <v>46</v>
      </c>
      <c r="AC60" s="229">
        <v>2564</v>
      </c>
    </row>
    <row r="61" spans="1:29">
      <c r="A61" s="591" t="s">
        <v>1423</v>
      </c>
      <c r="B61" s="57" t="s">
        <v>1187</v>
      </c>
      <c r="H61" s="229">
        <v>0</v>
      </c>
      <c r="I61" s="229">
        <v>0</v>
      </c>
      <c r="J61" s="229">
        <v>0</v>
      </c>
      <c r="K61" s="229">
        <v>0</v>
      </c>
      <c r="L61" s="229">
        <v>0</v>
      </c>
      <c r="M61" s="229">
        <v>0</v>
      </c>
      <c r="N61" s="229">
        <v>0</v>
      </c>
      <c r="O61" s="229">
        <v>0</v>
      </c>
      <c r="P61" s="229">
        <v>0</v>
      </c>
      <c r="Q61" s="229">
        <v>0</v>
      </c>
      <c r="R61" s="229">
        <v>0</v>
      </c>
      <c r="S61" s="229">
        <v>0</v>
      </c>
      <c r="T61" s="229">
        <v>0</v>
      </c>
      <c r="U61" s="229">
        <v>0</v>
      </c>
      <c r="V61" s="229">
        <v>0</v>
      </c>
      <c r="W61" s="229">
        <v>0</v>
      </c>
      <c r="X61" s="229">
        <v>0</v>
      </c>
      <c r="Y61" s="229">
        <v>0</v>
      </c>
      <c r="Z61" s="229">
        <v>0</v>
      </c>
      <c r="AA61" s="229">
        <v>0</v>
      </c>
      <c r="AB61" s="229">
        <v>0</v>
      </c>
      <c r="AC61" s="229">
        <v>0</v>
      </c>
    </row>
    <row r="62" spans="1:29">
      <c r="A62" s="591" t="s">
        <v>1080</v>
      </c>
      <c r="B62" s="57" t="s">
        <v>2004</v>
      </c>
      <c r="H62" s="229">
        <v>8063</v>
      </c>
      <c r="I62" s="229">
        <v>34413</v>
      </c>
      <c r="J62" s="229">
        <v>58151</v>
      </c>
      <c r="K62" s="229">
        <v>48388</v>
      </c>
      <c r="L62" s="229">
        <v>48777</v>
      </c>
      <c r="M62" s="229">
        <v>79721</v>
      </c>
      <c r="N62" s="229">
        <v>115131</v>
      </c>
      <c r="O62" s="229">
        <v>178552</v>
      </c>
      <c r="P62" s="229">
        <v>37803</v>
      </c>
      <c r="Q62" s="229">
        <v>56670</v>
      </c>
      <c r="R62" s="229">
        <v>73305</v>
      </c>
      <c r="S62" s="229">
        <v>59850</v>
      </c>
      <c r="T62" s="229">
        <v>37493</v>
      </c>
      <c r="U62" s="229">
        <v>40257</v>
      </c>
      <c r="V62" s="229">
        <v>23409</v>
      </c>
      <c r="W62" s="229">
        <v>-7412</v>
      </c>
      <c r="X62" s="229">
        <v>17303</v>
      </c>
      <c r="Y62" s="229">
        <v>-11265</v>
      </c>
      <c r="Z62" s="229">
        <v>-9745</v>
      </c>
      <c r="AA62" s="229">
        <v>-55669</v>
      </c>
      <c r="AB62" s="229">
        <v>21225</v>
      </c>
      <c r="AC62" s="229">
        <v>58438</v>
      </c>
    </row>
    <row r="63" spans="1:29">
      <c r="A63" s="591" t="s">
        <v>1102</v>
      </c>
      <c r="B63" s="57" t="s">
        <v>1103</v>
      </c>
      <c r="H63" s="229">
        <v>-133021</v>
      </c>
      <c r="I63" s="229">
        <v>-151142</v>
      </c>
      <c r="J63" s="229">
        <v>5494</v>
      </c>
      <c r="K63" s="229">
        <v>18567</v>
      </c>
      <c r="L63" s="229">
        <v>-172378</v>
      </c>
      <c r="M63" s="229">
        <v>-122355</v>
      </c>
      <c r="N63" s="229">
        <v>-103677</v>
      </c>
      <c r="O63" s="229">
        <v>-76283</v>
      </c>
      <c r="P63" s="229">
        <v>9333</v>
      </c>
      <c r="Q63" s="229">
        <v>4001</v>
      </c>
      <c r="R63" s="229">
        <v>-58175</v>
      </c>
      <c r="S63" s="229">
        <v>859</v>
      </c>
      <c r="T63" s="229">
        <v>-79441</v>
      </c>
      <c r="U63" s="229">
        <v>-66975</v>
      </c>
      <c r="V63" s="229">
        <v>-60641</v>
      </c>
      <c r="W63" s="229">
        <v>-70858</v>
      </c>
      <c r="X63" s="229">
        <v>-46727</v>
      </c>
      <c r="Y63" s="229">
        <v>-23867</v>
      </c>
      <c r="Z63" s="229">
        <v>2741</v>
      </c>
      <c r="AA63" s="229">
        <v>44136.671860000002</v>
      </c>
      <c r="AB63" s="229">
        <v>-52836.344499999999</v>
      </c>
      <c r="AC63" s="229">
        <v>-24845.58</v>
      </c>
    </row>
    <row r="64" spans="1:29" s="104" customFormat="1">
      <c r="A64" s="591" t="s">
        <v>1424</v>
      </c>
      <c r="B64" s="57" t="s">
        <v>1351</v>
      </c>
      <c r="H64" s="229">
        <v>0</v>
      </c>
      <c r="I64" s="229">
        <v>0</v>
      </c>
      <c r="J64" s="229">
        <v>0</v>
      </c>
      <c r="K64" s="229">
        <v>0</v>
      </c>
      <c r="L64" s="229">
        <v>0</v>
      </c>
      <c r="M64" s="229">
        <v>0</v>
      </c>
      <c r="N64" s="229">
        <v>0</v>
      </c>
      <c r="O64" s="229">
        <v>0</v>
      </c>
      <c r="P64" s="229">
        <v>-55236</v>
      </c>
      <c r="Q64" s="138">
        <v>0</v>
      </c>
      <c r="R64" s="229">
        <v>-3775</v>
      </c>
      <c r="S64" s="229">
        <v>12746</v>
      </c>
      <c r="T64" s="229">
        <v>-8658</v>
      </c>
      <c r="U64" s="229">
        <v>-4301</v>
      </c>
      <c r="V64" s="229">
        <v>-7222</v>
      </c>
      <c r="W64" s="229">
        <v>-9464</v>
      </c>
      <c r="X64" s="229">
        <v>8476</v>
      </c>
      <c r="Y64" s="229">
        <v>-1492</v>
      </c>
      <c r="Z64" s="229">
        <v>-10385</v>
      </c>
      <c r="AA64" s="229">
        <v>-5404</v>
      </c>
      <c r="AB64" s="229">
        <v>-11742</v>
      </c>
      <c r="AC64" s="229">
        <v>-8794</v>
      </c>
    </row>
    <row r="65" spans="1:29">
      <c r="A65" s="591" t="s">
        <v>1104</v>
      </c>
      <c r="B65" s="57" t="s">
        <v>2005</v>
      </c>
      <c r="H65" s="229">
        <v>-7043</v>
      </c>
      <c r="I65" s="229">
        <v>-6567</v>
      </c>
      <c r="J65" s="229">
        <v>-6658</v>
      </c>
      <c r="K65" s="229">
        <v>-8656</v>
      </c>
      <c r="L65" s="229">
        <v>-6931</v>
      </c>
      <c r="M65" s="229">
        <v>-5199</v>
      </c>
      <c r="N65" s="229">
        <v>-22076</v>
      </c>
      <c r="O65" s="229">
        <v>-34461</v>
      </c>
      <c r="P65" s="229">
        <v>-9135</v>
      </c>
      <c r="Q65" s="229">
        <v>-18540</v>
      </c>
      <c r="R65" s="229">
        <v>-29106</v>
      </c>
      <c r="S65" s="229">
        <v>-45304</v>
      </c>
      <c r="T65" s="229">
        <v>-10381</v>
      </c>
      <c r="U65" s="229">
        <v>-21084</v>
      </c>
      <c r="V65" s="229">
        <v>-33638</v>
      </c>
      <c r="W65" s="229">
        <v>-48814</v>
      </c>
      <c r="X65" s="229">
        <v>-7218</v>
      </c>
      <c r="Y65" s="229">
        <v>-23068</v>
      </c>
      <c r="Z65" s="229">
        <v>-38270</v>
      </c>
      <c r="AA65" s="229">
        <v>-55064</v>
      </c>
      <c r="AB65" s="229">
        <v>-13420</v>
      </c>
      <c r="AC65" s="229">
        <v>-24985</v>
      </c>
    </row>
    <row r="66" spans="1:29">
      <c r="A66" s="591" t="s">
        <v>1111</v>
      </c>
      <c r="B66" s="57" t="s">
        <v>2006</v>
      </c>
      <c r="H66" s="229">
        <v>-49018</v>
      </c>
      <c r="I66" s="229">
        <v>-50341</v>
      </c>
      <c r="J66" s="229">
        <v>-28052</v>
      </c>
      <c r="K66" s="229">
        <v>-50499</v>
      </c>
      <c r="L66" s="229">
        <v>-15320</v>
      </c>
      <c r="M66" s="229">
        <v>-27120</v>
      </c>
      <c r="N66" s="229">
        <v>-48789</v>
      </c>
      <c r="O66" s="229">
        <v>-46431</v>
      </c>
      <c r="P66" s="229">
        <v>64230</v>
      </c>
      <c r="Q66" s="229">
        <v>84132</v>
      </c>
      <c r="R66" s="229">
        <v>84878</v>
      </c>
      <c r="S66" s="229">
        <v>93761</v>
      </c>
      <c r="T66" s="229">
        <v>-2366</v>
      </c>
      <c r="U66" s="229">
        <v>6282</v>
      </c>
      <c r="V66" s="229">
        <v>10762</v>
      </c>
      <c r="W66" s="229">
        <v>-267</v>
      </c>
      <c r="X66" s="229">
        <v>-7234</v>
      </c>
      <c r="Y66" s="229">
        <v>18876</v>
      </c>
      <c r="Z66" s="229">
        <v>30275</v>
      </c>
      <c r="AA66" s="229">
        <v>31484</v>
      </c>
      <c r="AB66" s="229">
        <v>-32447</v>
      </c>
      <c r="AC66" s="229">
        <v>-21343</v>
      </c>
    </row>
    <row r="67" spans="1:29">
      <c r="A67" s="591" t="s">
        <v>1113</v>
      </c>
      <c r="B67" s="57" t="s">
        <v>2007</v>
      </c>
      <c r="H67" s="229">
        <v>-28350</v>
      </c>
      <c r="I67" s="229">
        <v>-32080</v>
      </c>
      <c r="J67" s="229">
        <v>-42900</v>
      </c>
      <c r="K67" s="229">
        <v>-44796</v>
      </c>
      <c r="L67" s="229">
        <v>-168</v>
      </c>
      <c r="M67" s="229">
        <v>-28113</v>
      </c>
      <c r="N67" s="229">
        <v>-34477</v>
      </c>
      <c r="O67" s="229">
        <v>33299</v>
      </c>
      <c r="P67" s="229">
        <v>-2397</v>
      </c>
      <c r="Q67" s="229">
        <v>-96</v>
      </c>
      <c r="R67" s="229">
        <v>20141</v>
      </c>
      <c r="S67" s="229">
        <v>5908</v>
      </c>
      <c r="T67" s="229">
        <v>0</v>
      </c>
      <c r="U67" s="229">
        <v>0</v>
      </c>
      <c r="V67" s="229">
        <v>0</v>
      </c>
      <c r="W67" s="229">
        <v>0</v>
      </c>
      <c r="X67" s="229">
        <v>0</v>
      </c>
      <c r="Y67" s="229">
        <v>0</v>
      </c>
      <c r="Z67" s="229">
        <v>0</v>
      </c>
      <c r="AA67" s="229">
        <v>0</v>
      </c>
      <c r="AB67" s="229">
        <v>32557</v>
      </c>
      <c r="AC67" s="229">
        <v>33243</v>
      </c>
    </row>
    <row r="68" spans="1:29">
      <c r="A68" s="591" t="s">
        <v>1425</v>
      </c>
      <c r="B68" s="57" t="s">
        <v>775</v>
      </c>
      <c r="H68" s="229"/>
      <c r="I68" s="229"/>
      <c r="J68" s="229"/>
      <c r="K68" s="229"/>
      <c r="L68" s="229"/>
      <c r="M68" s="229"/>
      <c r="N68" s="229"/>
      <c r="O68" s="229"/>
      <c r="P68" s="229"/>
      <c r="Q68" s="229"/>
      <c r="R68" s="229"/>
      <c r="S68" s="229"/>
      <c r="T68" s="229"/>
      <c r="U68" s="229"/>
      <c r="V68" s="229"/>
      <c r="W68" s="229"/>
      <c r="X68" s="229"/>
      <c r="Y68" s="229">
        <v>0</v>
      </c>
      <c r="Z68" s="229">
        <v>0</v>
      </c>
      <c r="AA68" s="229">
        <v>0</v>
      </c>
      <c r="AB68" s="229">
        <v>0</v>
      </c>
      <c r="AC68" s="229">
        <v>0</v>
      </c>
    </row>
    <row r="69" spans="1:29">
      <c r="A69" s="591" t="s">
        <v>1119</v>
      </c>
      <c r="B69" s="57" t="s">
        <v>1120</v>
      </c>
      <c r="H69" s="229">
        <v>-582</v>
      </c>
      <c r="I69" s="229">
        <v>216</v>
      </c>
      <c r="J69" s="229">
        <v>2985</v>
      </c>
      <c r="K69" s="229">
        <v>3390</v>
      </c>
      <c r="L69" s="229">
        <v>-335</v>
      </c>
      <c r="M69" s="229">
        <v>-2809</v>
      </c>
      <c r="N69" s="229">
        <v>-951</v>
      </c>
      <c r="O69" s="229">
        <v>-2798</v>
      </c>
      <c r="P69" s="229">
        <v>802</v>
      </c>
      <c r="Q69" s="229">
        <v>892</v>
      </c>
      <c r="R69" s="229">
        <v>-7695</v>
      </c>
      <c r="S69" s="229">
        <v>3814</v>
      </c>
      <c r="T69" s="229">
        <v>-1846</v>
      </c>
      <c r="U69" s="229">
        <v>699</v>
      </c>
      <c r="V69" s="229">
        <v>412</v>
      </c>
      <c r="W69" s="229">
        <v>5533</v>
      </c>
      <c r="X69" s="229">
        <v>-7562</v>
      </c>
      <c r="Y69" s="229">
        <v>-6863</v>
      </c>
      <c r="Z69" s="229">
        <v>-6426</v>
      </c>
      <c r="AA69" s="229">
        <v>-4757</v>
      </c>
      <c r="AB69" s="229">
        <v>-3632</v>
      </c>
      <c r="AC69" s="229">
        <v>-4539</v>
      </c>
    </row>
    <row r="70" spans="1:29">
      <c r="A70" s="591" t="s">
        <v>1117</v>
      </c>
      <c r="B70" s="57" t="s">
        <v>1118</v>
      </c>
      <c r="H70" s="229">
        <v>6274</v>
      </c>
      <c r="I70" s="229">
        <v>4618</v>
      </c>
      <c r="J70" s="229">
        <v>-1435</v>
      </c>
      <c r="K70" s="229">
        <v>5356</v>
      </c>
      <c r="L70" s="229">
        <v>-1426</v>
      </c>
      <c r="M70" s="229">
        <v>-3782</v>
      </c>
      <c r="N70" s="229">
        <v>-23098</v>
      </c>
      <c r="O70" s="229">
        <v>-30805</v>
      </c>
      <c r="P70" s="229">
        <v>2705</v>
      </c>
      <c r="Q70" s="229">
        <v>1308</v>
      </c>
      <c r="R70" s="229">
        <v>-11951</v>
      </c>
      <c r="S70" s="229">
        <v>2199</v>
      </c>
      <c r="T70" s="229">
        <v>-1831</v>
      </c>
      <c r="U70" s="229">
        <v>-10811</v>
      </c>
      <c r="V70" s="229">
        <v>-19946</v>
      </c>
      <c r="W70" s="229">
        <v>-31231</v>
      </c>
      <c r="X70" s="229">
        <v>-7928</v>
      </c>
      <c r="Y70" s="229">
        <v>-18217</v>
      </c>
      <c r="Z70" s="229">
        <v>-39636</v>
      </c>
      <c r="AA70" s="229">
        <v>-47222</v>
      </c>
      <c r="AB70" s="229">
        <v>-3095</v>
      </c>
      <c r="AC70" s="229">
        <v>-22577</v>
      </c>
    </row>
    <row r="71" spans="1:29">
      <c r="A71" s="591" t="s">
        <v>1123</v>
      </c>
      <c r="B71" s="57" t="s">
        <v>2008</v>
      </c>
      <c r="H71" s="229">
        <v>-2427</v>
      </c>
      <c r="I71" s="229">
        <v>-11708</v>
      </c>
      <c r="J71" s="229">
        <v>-11708</v>
      </c>
      <c r="K71" s="229">
        <v>-11708</v>
      </c>
      <c r="L71" s="229">
        <v>-100</v>
      </c>
      <c r="M71" s="229">
        <v>-8071</v>
      </c>
      <c r="N71" s="229">
        <v>-8072</v>
      </c>
      <c r="O71" s="229">
        <v>-8071</v>
      </c>
      <c r="P71" s="229">
        <v>-9592</v>
      </c>
      <c r="Q71" s="229">
        <v>-13562</v>
      </c>
      <c r="R71" s="229">
        <v>-13562</v>
      </c>
      <c r="S71" s="229">
        <v>-13561</v>
      </c>
      <c r="T71" s="229">
        <v>-11206</v>
      </c>
      <c r="U71" s="229">
        <v>-8557</v>
      </c>
      <c r="V71" s="229">
        <v>166</v>
      </c>
      <c r="W71" s="229">
        <v>-10840</v>
      </c>
      <c r="X71" s="229">
        <v>-13321</v>
      </c>
      <c r="Y71" s="229">
        <v>-15115</v>
      </c>
      <c r="Z71" s="229">
        <v>-8539</v>
      </c>
      <c r="AA71" s="229">
        <v>-18343</v>
      </c>
      <c r="AB71" s="229">
        <v>0</v>
      </c>
      <c r="AC71" s="229">
        <v>-20665</v>
      </c>
    </row>
    <row r="72" spans="1:29">
      <c r="A72" s="591" t="s">
        <v>1426</v>
      </c>
      <c r="B72" s="57" t="s">
        <v>2009</v>
      </c>
      <c r="H72" s="229"/>
      <c r="I72" s="229"/>
      <c r="J72" s="229"/>
      <c r="K72" s="229"/>
      <c r="L72" s="229"/>
      <c r="M72" s="229"/>
      <c r="N72" s="229"/>
      <c r="O72" s="229"/>
      <c r="P72" s="229"/>
      <c r="Q72" s="229"/>
      <c r="R72" s="229"/>
      <c r="S72" s="229"/>
      <c r="T72" s="229"/>
      <c r="U72" s="229"/>
      <c r="V72" s="229"/>
      <c r="W72" s="229"/>
      <c r="X72" s="229"/>
      <c r="Y72" s="229">
        <v>0</v>
      </c>
      <c r="Z72" s="229">
        <v>0</v>
      </c>
      <c r="AA72" s="229">
        <v>0</v>
      </c>
      <c r="AB72" s="229">
        <v>0</v>
      </c>
      <c r="AC72" s="229">
        <v>0</v>
      </c>
    </row>
    <row r="73" spans="1:29">
      <c r="A73" s="591" t="s">
        <v>1194</v>
      </c>
      <c r="B73" s="57" t="s">
        <v>2010</v>
      </c>
      <c r="H73" s="229">
        <v>0</v>
      </c>
      <c r="I73" s="229">
        <v>0</v>
      </c>
      <c r="J73" s="229">
        <v>0</v>
      </c>
      <c r="K73" s="229">
        <v>2616</v>
      </c>
      <c r="L73" s="229">
        <v>-292</v>
      </c>
      <c r="M73" s="229">
        <v>0</v>
      </c>
      <c r="N73" s="229">
        <v>0</v>
      </c>
      <c r="O73" s="229">
        <v>-266</v>
      </c>
      <c r="P73" s="229">
        <v>54</v>
      </c>
      <c r="Q73" s="229">
        <v>108</v>
      </c>
      <c r="R73" s="229">
        <v>-183</v>
      </c>
      <c r="S73" s="229">
        <v>-107</v>
      </c>
      <c r="T73" s="229">
        <v>0</v>
      </c>
      <c r="U73" s="229">
        <v>0</v>
      </c>
      <c r="V73" s="229">
        <v>0</v>
      </c>
      <c r="W73" s="229">
        <v>-143</v>
      </c>
      <c r="X73" s="229">
        <v>83</v>
      </c>
      <c r="Y73" s="229">
        <v>0</v>
      </c>
      <c r="Z73" s="229">
        <v>0</v>
      </c>
      <c r="AA73" s="229">
        <v>-315</v>
      </c>
      <c r="AB73" s="229">
        <v>39</v>
      </c>
      <c r="AC73" s="229">
        <v>0</v>
      </c>
    </row>
    <row r="74" spans="1:29">
      <c r="A74" s="591" t="s">
        <v>1475</v>
      </c>
      <c r="B74" s="57" t="s">
        <v>1126</v>
      </c>
      <c r="H74" s="229">
        <v>-926</v>
      </c>
      <c r="I74" s="229">
        <v>-6720</v>
      </c>
      <c r="J74" s="229">
        <v>-12080</v>
      </c>
      <c r="K74" s="229">
        <v>-98631</v>
      </c>
      <c r="L74" s="229">
        <v>-24885</v>
      </c>
      <c r="M74" s="229">
        <v>-36446</v>
      </c>
      <c r="N74" s="229">
        <v>-40047</v>
      </c>
      <c r="O74" s="229">
        <v>-53370</v>
      </c>
      <c r="P74" s="229">
        <v>-3510</v>
      </c>
      <c r="Q74" s="229">
        <v>-18586</v>
      </c>
      <c r="R74" s="229">
        <v>-26436</v>
      </c>
      <c r="S74" s="229">
        <v>-38142</v>
      </c>
      <c r="T74" s="229">
        <v>-2553</v>
      </c>
      <c r="U74" s="229">
        <v>-8197</v>
      </c>
      <c r="V74" s="229">
        <v>-14375</v>
      </c>
      <c r="W74" s="229">
        <v>-23846</v>
      </c>
      <c r="X74" s="229">
        <v>-5240</v>
      </c>
      <c r="Y74" s="229">
        <v>-10159</v>
      </c>
      <c r="Z74" s="229">
        <v>-15110</v>
      </c>
      <c r="AA74" s="229">
        <v>-17494</v>
      </c>
      <c r="AB74" s="229">
        <v>-53675</v>
      </c>
      <c r="AC74" s="229">
        <v>-63235</v>
      </c>
    </row>
    <row r="75" spans="1:29">
      <c r="A75" s="591" t="s">
        <v>1265</v>
      </c>
      <c r="B75" s="57" t="s">
        <v>1266</v>
      </c>
      <c r="H75" s="229">
        <v>0</v>
      </c>
      <c r="I75" s="229">
        <v>0</v>
      </c>
      <c r="J75" s="229">
        <v>0</v>
      </c>
      <c r="K75" s="229">
        <v>0</v>
      </c>
      <c r="L75" s="229">
        <v>0</v>
      </c>
      <c r="M75" s="229">
        <v>0</v>
      </c>
      <c r="N75" s="229">
        <v>0</v>
      </c>
      <c r="O75" s="229">
        <v>0</v>
      </c>
      <c r="P75" s="229">
        <v>0</v>
      </c>
      <c r="Q75" s="229">
        <v>0</v>
      </c>
      <c r="R75" s="229">
        <v>0</v>
      </c>
      <c r="S75" s="229">
        <v>0</v>
      </c>
      <c r="T75" s="229">
        <v>0</v>
      </c>
      <c r="U75" s="229">
        <v>0</v>
      </c>
      <c r="V75" s="229">
        <v>0</v>
      </c>
      <c r="W75" s="229">
        <v>0</v>
      </c>
      <c r="X75" s="229">
        <v>0</v>
      </c>
      <c r="Y75" s="229">
        <v>0</v>
      </c>
      <c r="Z75" s="229">
        <v>0</v>
      </c>
      <c r="AA75" s="229">
        <v>0</v>
      </c>
      <c r="AB75" s="229">
        <v>0</v>
      </c>
      <c r="AC75" s="229">
        <v>0</v>
      </c>
    </row>
    <row r="76" spans="1:29">
      <c r="A76" s="591" t="s">
        <v>1129</v>
      </c>
      <c r="B76" s="57" t="s">
        <v>2011</v>
      </c>
      <c r="H76" s="229">
        <v>-17584</v>
      </c>
      <c r="I76" s="229">
        <v>-23186</v>
      </c>
      <c r="J76" s="229">
        <v>-21121</v>
      </c>
      <c r="K76" s="229">
        <v>-1626</v>
      </c>
      <c r="L76" s="229">
        <v>-14727</v>
      </c>
      <c r="M76" s="229">
        <v>-47402</v>
      </c>
      <c r="N76" s="229">
        <v>-34931</v>
      </c>
      <c r="O76" s="229">
        <v>-3455</v>
      </c>
      <c r="P76" s="229">
        <v>15248</v>
      </c>
      <c r="Q76" s="229">
        <v>55547</v>
      </c>
      <c r="R76" s="229">
        <v>65501</v>
      </c>
      <c r="S76" s="229">
        <v>-13877</v>
      </c>
      <c r="T76" s="229">
        <v>6630</v>
      </c>
      <c r="U76" s="229">
        <v>14017</v>
      </c>
      <c r="V76" s="229">
        <v>2214</v>
      </c>
      <c r="W76" s="229">
        <v>62648</v>
      </c>
      <c r="X76" s="229">
        <v>-8127</v>
      </c>
      <c r="Y76" s="229">
        <v>6777</v>
      </c>
      <c r="Z76" s="229">
        <v>9958</v>
      </c>
      <c r="AA76" s="229">
        <v>7197</v>
      </c>
      <c r="AB76" s="229">
        <v>3068</v>
      </c>
      <c r="AC76" s="229">
        <v>13744</v>
      </c>
    </row>
    <row r="77" spans="1:29">
      <c r="A77" s="591" t="s">
        <v>1127</v>
      </c>
      <c r="B77" s="57" t="s">
        <v>1991</v>
      </c>
      <c r="H77" s="229">
        <v>0</v>
      </c>
      <c r="I77" s="229">
        <v>0</v>
      </c>
      <c r="J77" s="229">
        <v>0</v>
      </c>
      <c r="K77" s="229">
        <v>0</v>
      </c>
      <c r="L77" s="229">
        <v>0</v>
      </c>
      <c r="M77" s="229">
        <v>0</v>
      </c>
      <c r="N77" s="229">
        <v>0</v>
      </c>
      <c r="O77" s="229">
        <v>0</v>
      </c>
      <c r="P77" s="229">
        <v>0</v>
      </c>
      <c r="Q77" s="229">
        <v>0</v>
      </c>
      <c r="R77" s="229">
        <v>0</v>
      </c>
      <c r="S77" s="229">
        <v>0</v>
      </c>
      <c r="T77" s="229">
        <v>0</v>
      </c>
      <c r="U77" s="229">
        <v>0</v>
      </c>
      <c r="V77" s="229">
        <v>0</v>
      </c>
      <c r="W77" s="229">
        <v>0</v>
      </c>
      <c r="X77" s="229">
        <v>0</v>
      </c>
      <c r="Y77" s="229">
        <v>0</v>
      </c>
      <c r="Z77" s="229">
        <v>0</v>
      </c>
      <c r="AA77" s="229">
        <v>0</v>
      </c>
      <c r="AB77" s="229">
        <v>0</v>
      </c>
      <c r="AC77" s="229">
        <v>0</v>
      </c>
    </row>
    <row r="78" spans="1:29">
      <c r="A78" s="591" t="s">
        <v>1234</v>
      </c>
      <c r="B78" s="57" t="s">
        <v>2012</v>
      </c>
      <c r="H78" s="229">
        <v>0</v>
      </c>
      <c r="I78" s="229">
        <v>0</v>
      </c>
      <c r="J78" s="229">
        <v>0</v>
      </c>
      <c r="K78" s="229">
        <v>0</v>
      </c>
      <c r="L78" s="229">
        <v>0</v>
      </c>
      <c r="M78" s="229">
        <v>0</v>
      </c>
      <c r="N78" s="229">
        <v>0</v>
      </c>
      <c r="O78" s="229">
        <v>0</v>
      </c>
      <c r="P78" s="229">
        <v>0</v>
      </c>
      <c r="Q78" s="229">
        <v>0</v>
      </c>
      <c r="R78" s="229">
        <v>0</v>
      </c>
      <c r="S78" s="229">
        <v>0</v>
      </c>
      <c r="T78" s="229">
        <v>0</v>
      </c>
      <c r="U78" s="229">
        <v>0</v>
      </c>
      <c r="V78" s="229">
        <v>0</v>
      </c>
      <c r="W78" s="229">
        <v>0</v>
      </c>
      <c r="X78" s="229">
        <v>0</v>
      </c>
      <c r="Y78" s="229">
        <v>0</v>
      </c>
      <c r="Z78" s="229">
        <v>0</v>
      </c>
      <c r="AA78" s="229">
        <v>0</v>
      </c>
      <c r="AB78" s="229">
        <v>0</v>
      </c>
      <c r="AC78" s="229">
        <v>0</v>
      </c>
    </row>
    <row r="79" spans="1:29">
      <c r="A79" s="591" t="s">
        <v>1428</v>
      </c>
      <c r="B79" s="57" t="s">
        <v>2013</v>
      </c>
      <c r="H79" s="229">
        <v>0</v>
      </c>
      <c r="I79" s="229">
        <v>0</v>
      </c>
      <c r="J79" s="229">
        <v>0</v>
      </c>
      <c r="K79" s="229">
        <v>0</v>
      </c>
      <c r="L79" s="229">
        <v>0</v>
      </c>
      <c r="M79" s="229">
        <v>0</v>
      </c>
      <c r="N79" s="229">
        <v>0</v>
      </c>
      <c r="O79" s="229">
        <v>0</v>
      </c>
      <c r="P79" s="229">
        <v>0</v>
      </c>
      <c r="Q79" s="229">
        <v>0</v>
      </c>
      <c r="R79" s="229">
        <v>0</v>
      </c>
      <c r="S79" s="229">
        <v>0</v>
      </c>
      <c r="T79" s="229">
        <v>0</v>
      </c>
      <c r="U79" s="229">
        <v>0</v>
      </c>
      <c r="V79" s="229">
        <v>0</v>
      </c>
      <c r="W79" s="229">
        <v>0</v>
      </c>
      <c r="X79" s="229">
        <v>0</v>
      </c>
      <c r="Y79" s="229">
        <v>0</v>
      </c>
      <c r="Z79" s="229">
        <v>0</v>
      </c>
      <c r="AA79" s="229">
        <v>0</v>
      </c>
      <c r="AB79" s="229">
        <v>0</v>
      </c>
      <c r="AC79" s="229">
        <v>0</v>
      </c>
    </row>
    <row r="80" spans="1:29" s="589" customFormat="1">
      <c r="A80" s="592" t="s">
        <v>1429</v>
      </c>
      <c r="B80" s="592" t="s">
        <v>2034</v>
      </c>
      <c r="C80" s="592"/>
      <c r="D80" s="592">
        <f t="shared" ref="D80:Y80" si="3">SUM(D48:D79)</f>
        <v>0</v>
      </c>
      <c r="E80" s="592">
        <f t="shared" si="3"/>
        <v>0</v>
      </c>
      <c r="F80" s="592">
        <f t="shared" si="3"/>
        <v>0</v>
      </c>
      <c r="G80" s="592">
        <f t="shared" si="3"/>
        <v>0</v>
      </c>
      <c r="H80" s="593">
        <f t="shared" si="3"/>
        <v>-6492</v>
      </c>
      <c r="I80" s="593">
        <f t="shared" si="3"/>
        <v>53129</v>
      </c>
      <c r="J80" s="593">
        <f t="shared" si="3"/>
        <v>229053</v>
      </c>
      <c r="K80" s="593">
        <f t="shared" si="3"/>
        <v>237838</v>
      </c>
      <c r="L80" s="593">
        <f t="shared" si="3"/>
        <v>38165</v>
      </c>
      <c r="M80" s="593">
        <f t="shared" si="3"/>
        <v>362687</v>
      </c>
      <c r="N80" s="593">
        <f t="shared" si="3"/>
        <v>513825</v>
      </c>
      <c r="O80" s="593">
        <f t="shared" si="3"/>
        <v>693743</v>
      </c>
      <c r="P80" s="593">
        <f t="shared" si="3"/>
        <v>98293</v>
      </c>
      <c r="Q80" s="593">
        <f t="shared" si="3"/>
        <v>315607</v>
      </c>
      <c r="R80" s="593">
        <f t="shared" si="3"/>
        <v>432876</v>
      </c>
      <c r="S80" s="593">
        <f t="shared" si="3"/>
        <v>797850</v>
      </c>
      <c r="T80" s="593">
        <f t="shared" si="3"/>
        <v>161198</v>
      </c>
      <c r="U80" s="593">
        <f t="shared" si="3"/>
        <v>390068</v>
      </c>
      <c r="V80" s="593">
        <f t="shared" si="3"/>
        <v>587466</v>
      </c>
      <c r="W80" s="593">
        <f t="shared" si="3"/>
        <v>853634</v>
      </c>
      <c r="X80" s="593">
        <f t="shared" si="3"/>
        <v>142125</v>
      </c>
      <c r="Y80" s="593">
        <f t="shared" si="3"/>
        <v>302718</v>
      </c>
      <c r="Z80" s="593">
        <f t="shared" ref="Z80" si="4">SUM(Z48:Z79)</f>
        <v>406929.95057999983</v>
      </c>
      <c r="AA80" s="593">
        <f t="shared" ref="AA80:AC80" si="5">SUM(AA48:AA79)</f>
        <v>675671.01082999993</v>
      </c>
      <c r="AB80" s="593">
        <f t="shared" si="5"/>
        <v>134191.43981999997</v>
      </c>
      <c r="AC80" s="593">
        <f t="shared" si="5"/>
        <v>373534.25937000004</v>
      </c>
    </row>
    <row r="82" spans="1:29">
      <c r="A82" s="827" t="s">
        <v>1430</v>
      </c>
      <c r="B82" s="57" t="s">
        <v>1397</v>
      </c>
      <c r="K82" s="229"/>
      <c r="L82" s="229"/>
      <c r="M82" s="229"/>
      <c r="N82" s="229"/>
      <c r="O82" s="229"/>
      <c r="P82" s="229"/>
      <c r="Q82" s="229"/>
      <c r="R82" s="229">
        <v>56409</v>
      </c>
      <c r="S82" s="229">
        <v>65472</v>
      </c>
      <c r="T82" s="229">
        <v>20108</v>
      </c>
      <c r="U82" s="229"/>
      <c r="V82" s="229">
        <v>61012</v>
      </c>
      <c r="W82" s="229">
        <v>86068</v>
      </c>
      <c r="X82" s="229">
        <v>23235</v>
      </c>
      <c r="Y82" s="229">
        <v>-5260</v>
      </c>
      <c r="Z82" s="229">
        <v>45997.448700000001</v>
      </c>
      <c r="AA82" s="229">
        <v>-224354.22339</v>
      </c>
      <c r="AB82" s="229">
        <v>37828.792679999999</v>
      </c>
      <c r="AC82" s="229">
        <v>-43549</v>
      </c>
    </row>
    <row r="83" spans="1:29">
      <c r="A83" s="827" t="s">
        <v>1431</v>
      </c>
      <c r="B83" s="57" t="s">
        <v>2016</v>
      </c>
      <c r="K83" s="229"/>
      <c r="L83" s="229"/>
      <c r="M83" s="229"/>
      <c r="N83" s="229"/>
      <c r="O83" s="229"/>
      <c r="P83" s="229"/>
      <c r="Q83" s="229">
        <v>0</v>
      </c>
      <c r="R83" s="229">
        <v>-20180</v>
      </c>
      <c r="S83" s="229">
        <v>-23187</v>
      </c>
      <c r="T83" s="229">
        <v>-5260</v>
      </c>
      <c r="U83" s="229">
        <v>-5260</v>
      </c>
      <c r="V83" s="229">
        <v>-5260</v>
      </c>
      <c r="W83" s="229">
        <v>-5260</v>
      </c>
      <c r="X83" s="229">
        <v>-5260</v>
      </c>
      <c r="Y83" s="229">
        <v>-164319</v>
      </c>
      <c r="Z83" s="229">
        <v>-5260</v>
      </c>
      <c r="AA83" s="229">
        <v>-58876</v>
      </c>
      <c r="AB83" s="229">
        <v>-41859</v>
      </c>
      <c r="AC83" s="229">
        <v>-212278</v>
      </c>
    </row>
    <row r="84" spans="1:29">
      <c r="A84" s="827" t="s">
        <v>2526</v>
      </c>
      <c r="B84" s="57" t="s">
        <v>2017</v>
      </c>
      <c r="H84" s="229">
        <v>-14027</v>
      </c>
      <c r="I84" s="229">
        <v>-37949</v>
      </c>
      <c r="J84" s="229">
        <v>-50457</v>
      </c>
      <c r="K84" s="229">
        <v>-123071</v>
      </c>
      <c r="L84" s="229">
        <v>-28129</v>
      </c>
      <c r="M84" s="229">
        <v>-56404</v>
      </c>
      <c r="N84" s="229">
        <v>-104284</v>
      </c>
      <c r="O84" s="229">
        <v>-237590</v>
      </c>
      <c r="P84" s="229">
        <v>-24596</v>
      </c>
      <c r="Q84" s="229">
        <v>-65283</v>
      </c>
      <c r="R84" s="229">
        <v>-90409</v>
      </c>
      <c r="S84" s="229">
        <v>-293835</v>
      </c>
      <c r="T84" s="229">
        <v>-38995</v>
      </c>
      <c r="U84" s="229">
        <v>-103029</v>
      </c>
      <c r="V84" s="229">
        <v>-141526</v>
      </c>
      <c r="W84" s="229">
        <v>-287023</v>
      </c>
      <c r="X84" s="229">
        <v>-79970</v>
      </c>
      <c r="Y84" s="229">
        <v>-10299</v>
      </c>
      <c r="Z84" s="229">
        <v>-221653</v>
      </c>
      <c r="AA84" s="229">
        <v>-79468</v>
      </c>
      <c r="AB84" s="229">
        <v>-106261</v>
      </c>
      <c r="AC84" s="229">
        <v>60929.983310000003</v>
      </c>
    </row>
    <row r="85" spans="1:29">
      <c r="A85" s="595"/>
    </row>
    <row r="86" spans="1:29" s="589" customFormat="1" ht="14.4" thickBot="1">
      <c r="A86" s="596" t="s">
        <v>1432</v>
      </c>
      <c r="B86" s="596" t="s">
        <v>2036</v>
      </c>
      <c r="C86" s="596"/>
      <c r="D86" s="596">
        <f t="shared" ref="D86:Y86" si="6">SUM(D80:D85)</f>
        <v>0</v>
      </c>
      <c r="E86" s="596">
        <f t="shared" si="6"/>
        <v>0</v>
      </c>
      <c r="F86" s="596">
        <f t="shared" si="6"/>
        <v>0</v>
      </c>
      <c r="G86" s="596">
        <f t="shared" si="6"/>
        <v>0</v>
      </c>
      <c r="H86" s="597">
        <f t="shared" si="6"/>
        <v>-20519</v>
      </c>
      <c r="I86" s="597">
        <f t="shared" si="6"/>
        <v>15180</v>
      </c>
      <c r="J86" s="597">
        <f t="shared" si="6"/>
        <v>178596</v>
      </c>
      <c r="K86" s="597">
        <f t="shared" si="6"/>
        <v>114767</v>
      </c>
      <c r="L86" s="597">
        <f t="shared" si="6"/>
        <v>10036</v>
      </c>
      <c r="M86" s="597">
        <f t="shared" si="6"/>
        <v>306283</v>
      </c>
      <c r="N86" s="597">
        <f t="shared" si="6"/>
        <v>409541</v>
      </c>
      <c r="O86" s="597">
        <f t="shared" si="6"/>
        <v>456153</v>
      </c>
      <c r="P86" s="597">
        <f t="shared" si="6"/>
        <v>73697</v>
      </c>
      <c r="Q86" s="597">
        <f t="shared" si="6"/>
        <v>250324</v>
      </c>
      <c r="R86" s="597">
        <f t="shared" si="6"/>
        <v>378696</v>
      </c>
      <c r="S86" s="597">
        <f t="shared" si="6"/>
        <v>546300</v>
      </c>
      <c r="T86" s="597">
        <f t="shared" si="6"/>
        <v>137051</v>
      </c>
      <c r="U86" s="597">
        <f t="shared" si="6"/>
        <v>281779</v>
      </c>
      <c r="V86" s="597">
        <f t="shared" si="6"/>
        <v>501692</v>
      </c>
      <c r="W86" s="597">
        <f t="shared" si="6"/>
        <v>647419</v>
      </c>
      <c r="X86" s="597">
        <f t="shared" si="6"/>
        <v>80130</v>
      </c>
      <c r="Y86" s="597">
        <f t="shared" si="6"/>
        <v>122840</v>
      </c>
      <c r="Z86" s="597">
        <f t="shared" ref="Z86" si="7">SUM(Z80:Z85)</f>
        <v>226014.39927999984</v>
      </c>
      <c r="AA86" s="597">
        <f t="shared" ref="AA86:AC86" si="8">SUM(AA80:AA85)</f>
        <v>312972.78743999993</v>
      </c>
      <c r="AB86" s="597">
        <f t="shared" si="8"/>
        <v>23900.232499999984</v>
      </c>
      <c r="AC86" s="597">
        <f t="shared" si="8"/>
        <v>178637.24268000005</v>
      </c>
    </row>
    <row r="87" spans="1:29">
      <c r="K87" s="229"/>
      <c r="L87" s="229"/>
      <c r="M87" s="229"/>
      <c r="N87" s="229"/>
      <c r="O87" s="229"/>
      <c r="P87" s="229"/>
      <c r="Q87" s="229"/>
      <c r="R87" s="229"/>
      <c r="S87" s="229"/>
      <c r="T87" s="229"/>
      <c r="U87" s="229"/>
      <c r="V87" s="229"/>
      <c r="W87" s="229"/>
      <c r="X87" s="229"/>
      <c r="Y87" s="229"/>
      <c r="Z87" s="229"/>
      <c r="AA87" s="229"/>
      <c r="AB87" s="229"/>
      <c r="AC87" s="229"/>
    </row>
    <row r="88" spans="1:29">
      <c r="A88" s="134" t="s">
        <v>1433</v>
      </c>
      <c r="B88" s="589" t="s">
        <v>2037</v>
      </c>
      <c r="K88" s="229"/>
      <c r="L88" s="229"/>
      <c r="M88" s="229"/>
      <c r="N88" s="229"/>
      <c r="O88" s="229"/>
      <c r="P88" s="229"/>
      <c r="Q88" s="229"/>
      <c r="R88" s="229"/>
      <c r="S88" s="229"/>
      <c r="T88" s="229"/>
      <c r="U88" s="229"/>
      <c r="V88" s="229"/>
      <c r="W88" s="229"/>
      <c r="X88" s="229"/>
      <c r="Y88" s="229"/>
      <c r="Z88" s="229"/>
      <c r="AA88" s="229"/>
      <c r="AB88" s="229"/>
      <c r="AC88" s="229"/>
    </row>
    <row r="89" spans="1:29">
      <c r="A89" s="591" t="s">
        <v>1434</v>
      </c>
      <c r="B89" s="57" t="s">
        <v>2018</v>
      </c>
      <c r="K89" s="229"/>
      <c r="L89" s="229"/>
      <c r="M89" s="229"/>
      <c r="N89" s="229"/>
      <c r="O89" s="229"/>
      <c r="P89" s="229"/>
      <c r="Q89" s="229"/>
      <c r="R89" s="229"/>
      <c r="S89" s="229"/>
      <c r="T89" s="229"/>
      <c r="U89" s="229"/>
      <c r="V89" s="229"/>
      <c r="W89" s="229"/>
      <c r="X89" s="229"/>
      <c r="Y89" s="229"/>
      <c r="Z89" s="229"/>
      <c r="AA89" s="229"/>
      <c r="AB89" s="229"/>
      <c r="AC89" s="229"/>
    </row>
    <row r="90" spans="1:29">
      <c r="A90" s="598" t="s">
        <v>1435</v>
      </c>
      <c r="B90" s="57" t="s">
        <v>2019</v>
      </c>
      <c r="D90" s="229"/>
      <c r="E90" s="229"/>
      <c r="F90" s="229"/>
      <c r="G90" s="229"/>
      <c r="H90" s="229"/>
      <c r="I90" s="229"/>
      <c r="J90" s="229"/>
      <c r="K90" s="229"/>
      <c r="L90" s="229"/>
      <c r="M90" s="229"/>
      <c r="N90" s="229"/>
      <c r="O90" s="229"/>
      <c r="P90" s="229"/>
      <c r="Q90" s="229"/>
      <c r="R90" s="229"/>
      <c r="S90" s="229"/>
      <c r="T90" s="229"/>
      <c r="U90" s="229"/>
      <c r="V90" s="229"/>
      <c r="W90" s="229"/>
      <c r="X90" s="229"/>
      <c r="Y90" s="229"/>
      <c r="Z90" s="229"/>
      <c r="AA90" s="229"/>
      <c r="AB90" s="229"/>
      <c r="AC90" s="229"/>
    </row>
    <row r="91" spans="1:29">
      <c r="A91" s="591" t="s">
        <v>1436</v>
      </c>
      <c r="B91" s="57" t="s">
        <v>2020</v>
      </c>
      <c r="D91" s="229"/>
      <c r="E91" s="229"/>
      <c r="F91" s="229"/>
      <c r="G91" s="229"/>
      <c r="H91" s="229"/>
      <c r="I91" s="229"/>
      <c r="J91" s="229"/>
      <c r="K91" s="229"/>
      <c r="L91" s="229"/>
      <c r="M91" s="229"/>
      <c r="N91" s="229"/>
      <c r="O91" s="229"/>
      <c r="P91" s="229"/>
      <c r="Q91" s="229"/>
      <c r="R91" s="229"/>
      <c r="S91" s="229"/>
      <c r="T91" s="229"/>
      <c r="U91" s="229"/>
      <c r="V91" s="229"/>
      <c r="W91" s="229"/>
      <c r="X91" s="229"/>
      <c r="Y91" s="229"/>
      <c r="Z91" s="229"/>
      <c r="AA91" s="229"/>
      <c r="AB91" s="229"/>
      <c r="AC91" s="229"/>
    </row>
    <row r="92" spans="1:29">
      <c r="A92" s="591" t="s">
        <v>1437</v>
      </c>
      <c r="B92" s="57" t="s">
        <v>2021</v>
      </c>
      <c r="D92" s="229"/>
      <c r="E92" s="229"/>
      <c r="F92" s="229"/>
      <c r="G92" s="229"/>
      <c r="H92" s="229">
        <v>-60676</v>
      </c>
      <c r="I92" s="229">
        <v>-123230</v>
      </c>
      <c r="J92" s="229">
        <v>-243260</v>
      </c>
      <c r="K92" s="229">
        <v>-382661</v>
      </c>
      <c r="L92" s="229">
        <v>-69858</v>
      </c>
      <c r="M92" s="229">
        <v>-220515</v>
      </c>
      <c r="N92" s="229">
        <v>-418678</v>
      </c>
      <c r="O92" s="229">
        <v>-582031</v>
      </c>
      <c r="P92" s="229">
        <v>-158321</v>
      </c>
      <c r="Q92" s="229">
        <v>-399457</v>
      </c>
      <c r="R92" s="229">
        <v>-528191</v>
      </c>
      <c r="S92" s="229">
        <v>-613602</v>
      </c>
      <c r="T92" s="229">
        <v>-118544</v>
      </c>
      <c r="U92" s="229">
        <v>-289462</v>
      </c>
      <c r="V92" s="229">
        <v>-476593</v>
      </c>
      <c r="W92" s="229">
        <v>-590245</v>
      </c>
      <c r="X92" s="229">
        <v>-168460</v>
      </c>
      <c r="Y92" s="229">
        <v>-354824</v>
      </c>
      <c r="Z92" s="229">
        <v>-561714</v>
      </c>
      <c r="AA92" s="229">
        <v>-832113.67186</v>
      </c>
      <c r="AB92" s="229">
        <v>-76963.655499999993</v>
      </c>
      <c r="AC92" s="229">
        <v>-288348.42</v>
      </c>
    </row>
    <row r="93" spans="1:29">
      <c r="A93" s="591" t="s">
        <v>1438</v>
      </c>
      <c r="B93" s="57" t="s">
        <v>2022</v>
      </c>
      <c r="D93" s="229"/>
      <c r="E93" s="229"/>
      <c r="F93" s="229"/>
      <c r="G93" s="229"/>
      <c r="H93" s="229"/>
      <c r="I93" s="229"/>
      <c r="J93" s="229"/>
      <c r="K93" s="229"/>
      <c r="L93" s="229"/>
      <c r="M93" s="229"/>
      <c r="N93" s="229"/>
      <c r="O93" s="229"/>
      <c r="P93" s="229"/>
      <c r="Q93" s="229"/>
      <c r="R93" s="229"/>
      <c r="S93" s="229"/>
      <c r="T93" s="229"/>
      <c r="U93" s="229"/>
      <c r="V93" s="229"/>
      <c r="W93" s="229"/>
      <c r="X93" s="229"/>
      <c r="Y93" s="229"/>
      <c r="Z93" s="229"/>
      <c r="AA93" s="229"/>
      <c r="AB93" s="229"/>
      <c r="AC93" s="229"/>
    </row>
    <row r="94" spans="1:29">
      <c r="A94" s="591" t="s">
        <v>1439</v>
      </c>
      <c r="B94" s="57" t="s">
        <v>2023</v>
      </c>
      <c r="D94" s="229"/>
      <c r="E94" s="229"/>
      <c r="F94" s="229"/>
      <c r="G94" s="229"/>
      <c r="H94" s="229"/>
      <c r="I94" s="229"/>
      <c r="J94" s="229"/>
      <c r="K94" s="229"/>
      <c r="L94" s="229"/>
      <c r="M94" s="229"/>
      <c r="N94" s="229"/>
      <c r="O94" s="229"/>
      <c r="P94" s="229"/>
      <c r="Q94" s="229"/>
      <c r="R94" s="229"/>
      <c r="S94" s="229"/>
      <c r="T94" s="229"/>
      <c r="U94" s="229"/>
      <c r="V94" s="229"/>
      <c r="W94" s="229"/>
      <c r="X94" s="229"/>
      <c r="Y94" s="229"/>
      <c r="Z94" s="229"/>
      <c r="AA94" s="229"/>
      <c r="AB94" s="229"/>
      <c r="AC94" s="229"/>
    </row>
    <row r="95" spans="1:29">
      <c r="A95" s="591" t="s">
        <v>1440</v>
      </c>
      <c r="B95" s="57" t="s">
        <v>2024</v>
      </c>
      <c r="D95" s="229"/>
      <c r="E95" s="229"/>
      <c r="F95" s="229"/>
      <c r="G95" s="229"/>
      <c r="H95" s="229"/>
      <c r="I95" s="229"/>
      <c r="J95" s="229"/>
      <c r="K95" s="229"/>
      <c r="L95" s="229"/>
      <c r="M95" s="229"/>
      <c r="N95" s="229"/>
      <c r="O95" s="229"/>
      <c r="P95" s="229"/>
      <c r="Q95" s="229"/>
      <c r="R95" s="229"/>
      <c r="S95" s="229"/>
      <c r="T95" s="229"/>
      <c r="U95" s="229"/>
      <c r="V95" s="229"/>
      <c r="W95" s="229"/>
      <c r="X95" s="229"/>
      <c r="Y95" s="229"/>
      <c r="Z95" s="229"/>
      <c r="AA95" s="229"/>
      <c r="AB95" s="229"/>
      <c r="AC95" s="229"/>
    </row>
    <row r="96" spans="1:29">
      <c r="A96" s="591" t="s">
        <v>1441</v>
      </c>
      <c r="B96" s="57" t="s">
        <v>2025</v>
      </c>
      <c r="D96" s="229"/>
      <c r="E96" s="229"/>
      <c r="F96" s="229"/>
      <c r="G96" s="229"/>
      <c r="H96" s="229"/>
      <c r="I96" s="229"/>
      <c r="J96" s="229"/>
      <c r="K96" s="229"/>
      <c r="L96" s="229"/>
      <c r="M96" s="229"/>
      <c r="N96" s="229"/>
      <c r="O96" s="229"/>
      <c r="P96" s="229"/>
      <c r="Q96" s="229"/>
      <c r="R96" s="229"/>
      <c r="S96" s="229"/>
      <c r="T96" s="229"/>
      <c r="U96" s="229"/>
      <c r="V96" s="229"/>
      <c r="W96" s="229"/>
      <c r="X96" s="229"/>
      <c r="Y96" s="229"/>
      <c r="Z96" s="229"/>
      <c r="AA96" s="229"/>
      <c r="AB96" s="229"/>
      <c r="AC96" s="229"/>
    </row>
    <row r="97" spans="1:29">
      <c r="A97" s="591" t="s">
        <v>1442</v>
      </c>
      <c r="B97" s="57" t="s">
        <v>2026</v>
      </c>
      <c r="D97" s="229"/>
      <c r="E97" s="229"/>
      <c r="F97" s="229"/>
      <c r="G97" s="229"/>
      <c r="H97" s="229"/>
      <c r="I97" s="229"/>
      <c r="J97" s="229"/>
      <c r="K97" s="229"/>
      <c r="L97" s="229"/>
      <c r="M97" s="229"/>
      <c r="N97" s="229"/>
      <c r="O97" s="229"/>
      <c r="P97" s="229"/>
      <c r="Q97" s="229"/>
      <c r="R97" s="229"/>
      <c r="S97" s="229"/>
      <c r="T97" s="229"/>
      <c r="U97" s="229"/>
      <c r="V97" s="229"/>
      <c r="W97" s="229"/>
      <c r="X97" s="229"/>
      <c r="Y97" s="229"/>
      <c r="Z97" s="229"/>
      <c r="AA97" s="229"/>
      <c r="AB97" s="229"/>
      <c r="AC97" s="229"/>
    </row>
    <row r="98" spans="1:29">
      <c r="A98" s="591" t="s">
        <v>1443</v>
      </c>
      <c r="B98" s="57" t="s">
        <v>2028</v>
      </c>
      <c r="D98" s="229"/>
      <c r="E98" s="229"/>
      <c r="F98" s="229"/>
      <c r="G98" s="229"/>
      <c r="H98" s="229"/>
      <c r="I98" s="229"/>
      <c r="J98" s="229"/>
      <c r="K98" s="229"/>
      <c r="L98" s="229"/>
      <c r="M98" s="229"/>
      <c r="N98" s="229"/>
      <c r="O98" s="229"/>
      <c r="P98" s="229"/>
      <c r="Q98" s="229"/>
      <c r="R98" s="229"/>
      <c r="S98" s="229"/>
      <c r="T98" s="229"/>
      <c r="U98" s="229"/>
      <c r="V98" s="229"/>
      <c r="W98" s="229"/>
      <c r="X98" s="229"/>
      <c r="Y98" s="229"/>
      <c r="Z98" s="229"/>
      <c r="AA98" s="229"/>
      <c r="AB98" s="229"/>
      <c r="AC98" s="229"/>
    </row>
    <row r="99" spans="1:29">
      <c r="A99" s="591" t="s">
        <v>1444</v>
      </c>
      <c r="B99" s="57" t="s">
        <v>2029</v>
      </c>
      <c r="D99" s="229"/>
      <c r="E99" s="229"/>
      <c r="F99" s="229"/>
      <c r="G99" s="229"/>
      <c r="H99" s="229"/>
      <c r="I99" s="229"/>
      <c r="J99" s="229"/>
      <c r="K99" s="229"/>
      <c r="L99" s="229"/>
      <c r="M99" s="229"/>
      <c r="N99" s="229"/>
      <c r="O99" s="229"/>
      <c r="P99" s="229"/>
      <c r="Q99" s="229"/>
      <c r="R99" s="229"/>
      <c r="S99" s="229"/>
      <c r="T99" s="229"/>
      <c r="U99" s="229"/>
      <c r="V99" s="229"/>
      <c r="W99" s="229"/>
      <c r="X99" s="229"/>
      <c r="Y99" s="229"/>
      <c r="Z99" s="229"/>
      <c r="AA99" s="229"/>
      <c r="AB99" s="229"/>
      <c r="AC99" s="229"/>
    </row>
    <row r="100" spans="1:29">
      <c r="A100" s="591" t="s">
        <v>1445</v>
      </c>
      <c r="B100" s="57" t="s">
        <v>2027</v>
      </c>
      <c r="D100" s="229"/>
      <c r="E100" s="229"/>
      <c r="F100" s="229"/>
      <c r="G100" s="229"/>
      <c r="H100" s="229"/>
      <c r="I100" s="229"/>
      <c r="J100" s="229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 s="229"/>
      <c r="W100" s="229"/>
      <c r="X100" s="229"/>
      <c r="Y100" s="229"/>
      <c r="Z100" s="229"/>
      <c r="AA100" s="229"/>
      <c r="AB100" s="229"/>
      <c r="AC100" s="229"/>
    </row>
    <row r="101" spans="1:29">
      <c r="A101" s="591" t="s">
        <v>1446</v>
      </c>
      <c r="B101" s="57" t="s">
        <v>2030</v>
      </c>
      <c r="D101" s="229"/>
      <c r="E101" s="229"/>
      <c r="F101" s="229"/>
      <c r="G101" s="229"/>
      <c r="H101" s="229"/>
      <c r="I101" s="229"/>
      <c r="J101" s="229"/>
      <c r="K101" s="229"/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W101" s="229"/>
      <c r="X101" s="229"/>
      <c r="Y101" s="229"/>
      <c r="Z101" s="229"/>
      <c r="AA101" s="229"/>
      <c r="AB101" s="229"/>
      <c r="AC101" s="229"/>
    </row>
    <row r="102" spans="1:29">
      <c r="A102" s="591" t="s">
        <v>1447</v>
      </c>
      <c r="B102" s="57" t="s">
        <v>2031</v>
      </c>
      <c r="D102" s="229"/>
      <c r="E102" s="229"/>
      <c r="F102" s="229"/>
      <c r="G102" s="229"/>
      <c r="H102" s="229"/>
      <c r="I102" s="229"/>
      <c r="J102" s="229"/>
      <c r="K102" s="229"/>
      <c r="L102" s="229"/>
      <c r="M102" s="229"/>
      <c r="N102" s="229"/>
      <c r="O102" s="229"/>
      <c r="P102" s="229"/>
      <c r="Q102" s="229"/>
      <c r="R102" s="229"/>
      <c r="S102" s="229"/>
      <c r="T102" s="229"/>
      <c r="U102" s="229"/>
      <c r="V102" s="229"/>
      <c r="W102" s="229"/>
      <c r="X102" s="229"/>
      <c r="Y102" s="229"/>
      <c r="Z102" s="229"/>
      <c r="AA102" s="229"/>
      <c r="AB102" s="229"/>
      <c r="AC102" s="229"/>
    </row>
    <row r="103" spans="1:29">
      <c r="A103" s="591" t="s">
        <v>1448</v>
      </c>
      <c r="B103" s="57" t="s">
        <v>2032</v>
      </c>
      <c r="D103" s="229"/>
      <c r="E103" s="229"/>
      <c r="F103" s="229"/>
      <c r="G103" s="229"/>
      <c r="H103" s="229"/>
      <c r="I103" s="229"/>
      <c r="J103" s="229"/>
      <c r="K103" s="229"/>
      <c r="L103" s="229"/>
      <c r="M103" s="229"/>
      <c r="N103" s="229"/>
      <c r="O103" s="229"/>
      <c r="P103" s="229"/>
      <c r="Q103" s="229"/>
      <c r="R103" s="229"/>
      <c r="S103" s="229"/>
      <c r="T103" s="229"/>
      <c r="U103" s="229"/>
      <c r="V103" s="229"/>
      <c r="W103" s="229"/>
      <c r="X103" s="229"/>
      <c r="Y103" s="229"/>
      <c r="Z103" s="229"/>
      <c r="AA103" s="229"/>
      <c r="AB103" s="229"/>
      <c r="AC103" s="229"/>
    </row>
    <row r="104" spans="1:29">
      <c r="A104" s="591" t="s">
        <v>1449</v>
      </c>
      <c r="B104" s="57" t="s">
        <v>2033</v>
      </c>
      <c r="D104" s="229"/>
      <c r="E104" s="229"/>
      <c r="F104" s="229"/>
      <c r="G104" s="229"/>
      <c r="H104" s="229">
        <v>135649</v>
      </c>
      <c r="I104" s="229">
        <v>431357</v>
      </c>
      <c r="J104" s="229">
        <v>298275</v>
      </c>
      <c r="K104" s="229">
        <v>40949</v>
      </c>
      <c r="L104" s="229">
        <v>-159125</v>
      </c>
      <c r="M104" s="229">
        <v>343308</v>
      </c>
      <c r="N104" s="229">
        <v>535793</v>
      </c>
      <c r="O104" s="229">
        <v>571567</v>
      </c>
      <c r="P104" s="229">
        <v>153116</v>
      </c>
      <c r="Q104" s="229">
        <v>234033</v>
      </c>
      <c r="R104" s="229">
        <v>194796</v>
      </c>
      <c r="S104" s="229">
        <v>-123633</v>
      </c>
      <c r="T104" s="229">
        <v>-4042</v>
      </c>
      <c r="U104" s="229">
        <v>1409</v>
      </c>
      <c r="V104" s="229">
        <v>166842</v>
      </c>
      <c r="W104" s="229">
        <v>-235269</v>
      </c>
      <c r="X104" s="229">
        <v>166570</v>
      </c>
      <c r="Y104" s="229">
        <v>347645</v>
      </c>
      <c r="Z104" s="229">
        <v>-348603.39927999984</v>
      </c>
      <c r="AA104" s="229">
        <v>-63888.115579999998</v>
      </c>
      <c r="AB104" s="229">
        <v>172238.42300000001</v>
      </c>
      <c r="AC104" s="229">
        <v>406312.17732000002</v>
      </c>
    </row>
    <row r="105" spans="1:29" s="589" customFormat="1" ht="14.4" thickBot="1">
      <c r="A105" s="596" t="s">
        <v>1450</v>
      </c>
      <c r="B105" s="596" t="s">
        <v>2038</v>
      </c>
      <c r="C105" s="596"/>
      <c r="D105" s="597">
        <f t="shared" ref="D105:Y105" si="9">SUM(D88:D104)</f>
        <v>0</v>
      </c>
      <c r="E105" s="597">
        <f t="shared" si="9"/>
        <v>0</v>
      </c>
      <c r="F105" s="597">
        <f t="shared" si="9"/>
        <v>0</v>
      </c>
      <c r="G105" s="597">
        <f t="shared" si="9"/>
        <v>0</v>
      </c>
      <c r="H105" s="597">
        <f t="shared" si="9"/>
        <v>74973</v>
      </c>
      <c r="I105" s="597">
        <f t="shared" si="9"/>
        <v>308127</v>
      </c>
      <c r="J105" s="597">
        <f t="shared" si="9"/>
        <v>55015</v>
      </c>
      <c r="K105" s="597">
        <f t="shared" si="9"/>
        <v>-341712</v>
      </c>
      <c r="L105" s="597">
        <f t="shared" si="9"/>
        <v>-228983</v>
      </c>
      <c r="M105" s="597">
        <f t="shared" si="9"/>
        <v>122793</v>
      </c>
      <c r="N105" s="597">
        <f t="shared" si="9"/>
        <v>117115</v>
      </c>
      <c r="O105" s="597">
        <f t="shared" si="9"/>
        <v>-10464</v>
      </c>
      <c r="P105" s="597">
        <f t="shared" si="9"/>
        <v>-5205</v>
      </c>
      <c r="Q105" s="597">
        <f t="shared" si="9"/>
        <v>-165424</v>
      </c>
      <c r="R105" s="597">
        <f t="shared" si="9"/>
        <v>-333395</v>
      </c>
      <c r="S105" s="597">
        <f t="shared" si="9"/>
        <v>-737235</v>
      </c>
      <c r="T105" s="597">
        <f t="shared" si="9"/>
        <v>-122586</v>
      </c>
      <c r="U105" s="597">
        <f t="shared" si="9"/>
        <v>-288053</v>
      </c>
      <c r="V105" s="597">
        <f t="shared" si="9"/>
        <v>-309751</v>
      </c>
      <c r="W105" s="597">
        <f t="shared" si="9"/>
        <v>-825514</v>
      </c>
      <c r="X105" s="597">
        <f t="shared" si="9"/>
        <v>-1890</v>
      </c>
      <c r="Y105" s="597">
        <f t="shared" si="9"/>
        <v>-7179</v>
      </c>
      <c r="Z105" s="597">
        <f t="shared" ref="Z105" si="10">SUM(Z88:Z104)</f>
        <v>-910317.39927999978</v>
      </c>
      <c r="AA105" s="597">
        <f t="shared" ref="AA105:AC105" si="11">SUM(AA88:AA104)</f>
        <v>-896001.78743999999</v>
      </c>
      <c r="AB105" s="597">
        <f t="shared" si="11"/>
        <v>95274.767500000016</v>
      </c>
      <c r="AC105" s="597">
        <f t="shared" si="11"/>
        <v>117963.75732000003</v>
      </c>
    </row>
    <row r="106" spans="1:29">
      <c r="D106" s="229"/>
      <c r="E106" s="229"/>
      <c r="F106" s="229"/>
      <c r="G106" s="229"/>
      <c r="H106" s="229"/>
      <c r="I106" s="229"/>
      <c r="J106" s="229"/>
      <c r="K106" s="229"/>
      <c r="L106" s="229"/>
      <c r="M106" s="229"/>
      <c r="N106" s="229"/>
      <c r="O106" s="229"/>
      <c r="P106" s="229"/>
      <c r="Q106" s="229"/>
      <c r="R106" s="229"/>
      <c r="S106" s="229"/>
      <c r="T106" s="229"/>
      <c r="U106" s="229"/>
      <c r="V106" s="229"/>
      <c r="W106" s="229"/>
      <c r="X106" s="229"/>
      <c r="Y106" s="229"/>
      <c r="Z106" s="229"/>
      <c r="AA106" s="229"/>
      <c r="AB106" s="229"/>
      <c r="AC106" s="229"/>
    </row>
    <row r="107" spans="1:29">
      <c r="A107" s="134" t="s">
        <v>1451</v>
      </c>
      <c r="B107" s="589" t="s">
        <v>2039</v>
      </c>
      <c r="D107" s="229"/>
      <c r="E107" s="229"/>
      <c r="F107" s="229"/>
      <c r="G107" s="229"/>
      <c r="H107" s="229"/>
      <c r="I107" s="229"/>
      <c r="J107" s="229"/>
      <c r="K107" s="229"/>
      <c r="L107" s="229"/>
      <c r="M107" s="229"/>
      <c r="N107" s="229"/>
      <c r="O107" s="229"/>
      <c r="P107" s="229"/>
      <c r="Q107" s="229"/>
      <c r="R107" s="229"/>
      <c r="S107" s="229"/>
      <c r="T107" s="229"/>
      <c r="U107" s="229"/>
      <c r="V107" s="229"/>
      <c r="W107" s="229"/>
      <c r="X107" s="229"/>
      <c r="Y107" s="229"/>
      <c r="Z107" s="229"/>
      <c r="AA107" s="229"/>
      <c r="AB107" s="229"/>
      <c r="AC107" s="229"/>
    </row>
    <row r="108" spans="1:29">
      <c r="A108" s="591" t="s">
        <v>1452</v>
      </c>
      <c r="B108" s="57" t="s">
        <v>2040</v>
      </c>
      <c r="D108" s="229"/>
      <c r="E108" s="229"/>
      <c r="F108" s="229"/>
      <c r="G108" s="229"/>
      <c r="H108" s="229">
        <v>-42495</v>
      </c>
      <c r="I108" s="229">
        <v>-85216</v>
      </c>
      <c r="J108" s="229">
        <v>-134027</v>
      </c>
      <c r="K108" s="229">
        <v>-183010</v>
      </c>
      <c r="L108" s="229">
        <v>-48357</v>
      </c>
      <c r="M108" s="229">
        <v>-553345</v>
      </c>
      <c r="N108" s="229">
        <v>-788642</v>
      </c>
      <c r="O108" s="229">
        <v>-925243</v>
      </c>
      <c r="P108" s="229">
        <v>-6689</v>
      </c>
      <c r="Q108" s="229">
        <v>-13518</v>
      </c>
      <c r="R108" s="229">
        <v>-20406</v>
      </c>
      <c r="S108" s="229">
        <v>-208458</v>
      </c>
      <c r="T108" s="229">
        <v>-23601</v>
      </c>
      <c r="U108" s="229">
        <v>-47547</v>
      </c>
      <c r="V108" s="229">
        <v>-71753</v>
      </c>
      <c r="W108" s="229">
        <v>-581919</v>
      </c>
      <c r="X108" s="229">
        <v>-444177</v>
      </c>
      <c r="Y108" s="229">
        <v>-625225</v>
      </c>
      <c r="Z108" s="229">
        <v>-650658</v>
      </c>
      <c r="AA108" s="229">
        <v>-686365</v>
      </c>
      <c r="AB108" s="229">
        <v>-186000</v>
      </c>
      <c r="AC108" s="229">
        <v>-556776</v>
      </c>
    </row>
    <row r="109" spans="1:29">
      <c r="A109" s="591" t="s">
        <v>1453</v>
      </c>
      <c r="B109" s="57" t="s">
        <v>2041</v>
      </c>
      <c r="D109" s="229"/>
      <c r="E109" s="229"/>
      <c r="F109" s="229"/>
      <c r="G109" s="229"/>
      <c r="H109" s="229">
        <v>54500</v>
      </c>
      <c r="I109" s="229">
        <v>373735</v>
      </c>
      <c r="J109" s="229">
        <v>483735</v>
      </c>
      <c r="K109" s="229">
        <v>598735</v>
      </c>
      <c r="L109" s="229">
        <v>150000</v>
      </c>
      <c r="M109" s="229">
        <v>360000</v>
      </c>
      <c r="N109" s="229">
        <v>360000</v>
      </c>
      <c r="O109" s="229">
        <v>659531</v>
      </c>
      <c r="P109" s="229"/>
      <c r="Q109" s="229"/>
      <c r="R109" s="229"/>
      <c r="S109" s="229">
        <v>592300</v>
      </c>
      <c r="T109" s="229"/>
      <c r="U109" s="229">
        <v>200000</v>
      </c>
      <c r="V109" s="229">
        <v>200000</v>
      </c>
      <c r="W109" s="229">
        <v>657630</v>
      </c>
      <c r="X109" s="229">
        <v>259998</v>
      </c>
      <c r="Y109" s="229">
        <v>260000</v>
      </c>
      <c r="Z109" s="229">
        <v>1046353</v>
      </c>
      <c r="AA109" s="229">
        <v>1050000</v>
      </c>
      <c r="AB109" s="229">
        <v>0</v>
      </c>
      <c r="AC109" s="229">
        <v>0</v>
      </c>
    </row>
    <row r="110" spans="1:29">
      <c r="A110" s="591" t="s">
        <v>1454</v>
      </c>
      <c r="B110" s="57" t="s">
        <v>2042</v>
      </c>
      <c r="D110" s="229"/>
      <c r="E110" s="229"/>
      <c r="F110" s="229"/>
      <c r="G110" s="229"/>
      <c r="H110" s="229"/>
      <c r="I110" s="229"/>
      <c r="J110" s="229"/>
      <c r="K110" s="229"/>
      <c r="L110" s="229"/>
      <c r="M110" s="229"/>
      <c r="N110" s="229"/>
      <c r="O110" s="229"/>
      <c r="P110" s="229"/>
      <c r="Q110" s="229"/>
      <c r="R110" s="229"/>
      <c r="S110" s="229"/>
      <c r="T110" s="229"/>
      <c r="U110" s="229"/>
      <c r="V110" s="229"/>
      <c r="W110" s="229">
        <v>288412</v>
      </c>
      <c r="X110" s="229"/>
      <c r="Y110" s="229"/>
      <c r="Z110" s="229">
        <v>488248</v>
      </c>
      <c r="AA110" s="229">
        <v>482258</v>
      </c>
      <c r="AB110" s="229">
        <v>578931</v>
      </c>
      <c r="AC110" s="229">
        <v>578931</v>
      </c>
    </row>
    <row r="111" spans="1:29">
      <c r="A111" s="591" t="s">
        <v>1455</v>
      </c>
      <c r="B111" s="57" t="s">
        <v>2043</v>
      </c>
      <c r="D111" s="229"/>
      <c r="E111" s="229"/>
      <c r="F111" s="229"/>
      <c r="G111" s="229"/>
      <c r="H111" s="229"/>
      <c r="I111" s="229"/>
      <c r="J111" s="229"/>
      <c r="K111" s="229"/>
      <c r="L111" s="229"/>
      <c r="M111" s="229">
        <v>-310000</v>
      </c>
      <c r="N111" s="229">
        <v>-310000</v>
      </c>
      <c r="O111" s="229">
        <v>-310000</v>
      </c>
      <c r="P111" s="229"/>
      <c r="Q111" s="229">
        <v>-310000</v>
      </c>
      <c r="R111" s="229">
        <v>-310000</v>
      </c>
      <c r="S111" s="229">
        <v>-310000</v>
      </c>
      <c r="T111" s="229"/>
      <c r="U111" s="229"/>
      <c r="V111" s="229"/>
      <c r="W111" s="229"/>
      <c r="X111" s="229"/>
      <c r="Y111" s="229"/>
      <c r="Z111" s="229"/>
      <c r="AA111" s="229">
        <v>-400000</v>
      </c>
      <c r="AB111" s="229">
        <v>0</v>
      </c>
      <c r="AC111" s="229">
        <v>0</v>
      </c>
    </row>
    <row r="112" spans="1:29">
      <c r="A112" s="591" t="s">
        <v>1456</v>
      </c>
      <c r="B112" s="57" t="s">
        <v>2045</v>
      </c>
      <c r="D112" s="229"/>
      <c r="E112" s="229"/>
      <c r="F112" s="229"/>
      <c r="G112" s="229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29"/>
      <c r="X112" s="229"/>
      <c r="Y112" s="229"/>
      <c r="Z112" s="229"/>
      <c r="AA112" s="229"/>
      <c r="AB112" s="229"/>
      <c r="AC112" s="229"/>
    </row>
    <row r="113" spans="1:29">
      <c r="A113" s="591" t="s">
        <v>1457</v>
      </c>
      <c r="B113" s="57" t="s">
        <v>2044</v>
      </c>
      <c r="D113" s="229"/>
      <c r="E113" s="229"/>
      <c r="F113" s="229"/>
      <c r="G113" s="229"/>
      <c r="H113" s="229">
        <v>-1082</v>
      </c>
      <c r="I113" s="229">
        <v>-2265</v>
      </c>
      <c r="J113" s="229">
        <v>-2943</v>
      </c>
      <c r="K113" s="229">
        <v>-3058</v>
      </c>
      <c r="L113" s="229">
        <v>-51</v>
      </c>
      <c r="M113" s="229">
        <v>-103</v>
      </c>
      <c r="N113" s="229">
        <v>-263</v>
      </c>
      <c r="O113" s="229">
        <v>-1037</v>
      </c>
      <c r="P113" s="229">
        <v>-170</v>
      </c>
      <c r="Q113" s="229">
        <v>-343</v>
      </c>
      <c r="R113" s="229">
        <v>-507</v>
      </c>
      <c r="S113" s="229">
        <v>-654</v>
      </c>
      <c r="T113" s="229">
        <v>-147</v>
      </c>
      <c r="U113" s="229">
        <v>-279</v>
      </c>
      <c r="V113" s="229">
        <v>-414</v>
      </c>
      <c r="W113" s="229">
        <v>-561</v>
      </c>
      <c r="X113" s="229">
        <v>-144</v>
      </c>
      <c r="Y113" s="229">
        <v>-300</v>
      </c>
      <c r="Z113" s="229">
        <v>-498</v>
      </c>
      <c r="AA113" s="229">
        <v>-658</v>
      </c>
      <c r="AB113" s="229">
        <v>-167</v>
      </c>
      <c r="AC113" s="229">
        <v>-340</v>
      </c>
    </row>
    <row r="114" spans="1:29">
      <c r="A114" s="591" t="s">
        <v>1458</v>
      </c>
      <c r="B114" s="57" t="s">
        <v>2045</v>
      </c>
      <c r="D114" s="229"/>
      <c r="E114" s="229"/>
      <c r="F114" s="229"/>
      <c r="G114" s="229"/>
      <c r="H114" s="229"/>
      <c r="I114" s="229"/>
      <c r="J114" s="229"/>
      <c r="K114" s="229"/>
      <c r="L114" s="229"/>
      <c r="M114" s="229"/>
      <c r="N114" s="229"/>
      <c r="O114" s="229"/>
      <c r="P114" s="229"/>
      <c r="Q114" s="229"/>
      <c r="R114" s="229"/>
      <c r="S114" s="229"/>
      <c r="T114" s="229"/>
      <c r="U114" s="229"/>
      <c r="V114" s="229"/>
      <c r="W114" s="229">
        <v>31898</v>
      </c>
      <c r="X114" s="229">
        <v>59372</v>
      </c>
      <c r="Y114" s="229">
        <v>59407</v>
      </c>
      <c r="Z114" s="229">
        <v>59411</v>
      </c>
      <c r="AA114" s="229">
        <v>59412</v>
      </c>
      <c r="AB114" s="229"/>
      <c r="AC114" s="229"/>
    </row>
    <row r="115" spans="1:29">
      <c r="A115" s="591" t="s">
        <v>1459</v>
      </c>
      <c r="B115" s="57" t="s">
        <v>2046</v>
      </c>
      <c r="D115" s="229"/>
      <c r="E115" s="229"/>
      <c r="F115" s="229"/>
      <c r="G115" s="229"/>
      <c r="H115" s="229"/>
      <c r="I115" s="229"/>
      <c r="J115" s="229"/>
      <c r="K115" s="229"/>
      <c r="L115" s="229"/>
      <c r="M115" s="229"/>
      <c r="N115" s="229"/>
      <c r="O115" s="229"/>
      <c r="P115" s="229"/>
      <c r="Q115" s="229"/>
      <c r="R115" s="229"/>
      <c r="S115" s="229"/>
      <c r="T115" s="229"/>
      <c r="U115" s="229"/>
      <c r="V115" s="229"/>
      <c r="W115" s="229"/>
      <c r="X115" s="229"/>
      <c r="Y115" s="229"/>
      <c r="Z115" s="229"/>
      <c r="AA115" s="229"/>
      <c r="AB115" s="229"/>
      <c r="AC115" s="229"/>
    </row>
    <row r="116" spans="1:29">
      <c r="A116" s="591" t="s">
        <v>1460</v>
      </c>
      <c r="B116" s="57" t="s">
        <v>2047</v>
      </c>
      <c r="D116" s="229"/>
      <c r="E116" s="229"/>
      <c r="F116" s="229"/>
      <c r="G116" s="229"/>
      <c r="H116" s="229"/>
      <c r="I116" s="229"/>
      <c r="J116" s="229"/>
      <c r="K116" s="229"/>
      <c r="L116" s="229"/>
      <c r="M116" s="229"/>
      <c r="N116" s="229"/>
      <c r="O116" s="229"/>
      <c r="P116" s="229"/>
      <c r="Q116" s="229"/>
      <c r="R116" s="229"/>
      <c r="S116" s="229"/>
      <c r="T116" s="229"/>
      <c r="U116" s="229"/>
      <c r="V116" s="229"/>
      <c r="W116" s="229"/>
      <c r="X116" s="229"/>
      <c r="Y116" s="229"/>
      <c r="Z116" s="229"/>
      <c r="AA116" s="229"/>
      <c r="AB116" s="229"/>
      <c r="AC116" s="229"/>
    </row>
    <row r="117" spans="1:29">
      <c r="A117" s="599" t="s">
        <v>1461</v>
      </c>
      <c r="B117" s="57" t="s">
        <v>2048</v>
      </c>
      <c r="D117" s="229"/>
      <c r="E117" s="229"/>
      <c r="F117" s="229"/>
      <c r="G117" s="229"/>
      <c r="H117" s="229"/>
      <c r="I117" s="229"/>
      <c r="J117" s="229"/>
      <c r="K117" s="229"/>
      <c r="L117" s="229"/>
      <c r="M117" s="229"/>
      <c r="N117" s="229"/>
      <c r="O117" s="229"/>
      <c r="P117" s="229"/>
      <c r="Q117" s="229"/>
      <c r="R117" s="229"/>
      <c r="S117" s="229"/>
      <c r="T117" s="229"/>
      <c r="U117" s="229"/>
      <c r="V117" s="229"/>
      <c r="W117" s="229"/>
      <c r="X117" s="229"/>
      <c r="Y117" s="229"/>
      <c r="Z117" s="229"/>
      <c r="AA117" s="229"/>
      <c r="AB117" s="229"/>
      <c r="AC117" s="229"/>
    </row>
    <row r="118" spans="1:29">
      <c r="A118" s="591" t="s">
        <v>1462</v>
      </c>
      <c r="B118" s="57" t="s">
        <v>2049</v>
      </c>
      <c r="D118" s="229"/>
      <c r="E118" s="229"/>
      <c r="F118" s="229"/>
      <c r="G118" s="229"/>
      <c r="H118" s="229"/>
      <c r="J118" s="229"/>
      <c r="K118" s="229"/>
      <c r="L118" s="229"/>
      <c r="M118" s="229"/>
      <c r="N118" s="229"/>
      <c r="O118" s="229"/>
      <c r="P118" s="229">
        <v>-78763</v>
      </c>
      <c r="Q118" s="229">
        <v>-78762</v>
      </c>
      <c r="R118" s="229">
        <v>-78762</v>
      </c>
      <c r="S118" s="229">
        <v>-130617</v>
      </c>
      <c r="T118" s="229">
        <v>-22</v>
      </c>
      <c r="U118" s="229">
        <v>-22</v>
      </c>
      <c r="V118" s="229">
        <v>-173333</v>
      </c>
      <c r="W118" s="229">
        <v>-173334</v>
      </c>
      <c r="X118" s="229"/>
      <c r="Y118" s="229"/>
      <c r="Z118" s="229"/>
      <c r="AA118" s="229">
        <v>-99650</v>
      </c>
      <c r="AB118" s="229">
        <v>0</v>
      </c>
      <c r="AC118" s="229">
        <v>-120327</v>
      </c>
    </row>
    <row r="119" spans="1:29">
      <c r="A119" s="591" t="s">
        <v>1463</v>
      </c>
      <c r="B119" s="57" t="s">
        <v>2050</v>
      </c>
      <c r="D119" s="229"/>
      <c r="E119" s="229"/>
      <c r="F119" s="229"/>
      <c r="G119" s="229"/>
      <c r="H119" s="229"/>
      <c r="I119" s="229"/>
      <c r="J119" s="229"/>
      <c r="K119" s="229"/>
      <c r="L119" s="229"/>
      <c r="M119" s="229"/>
      <c r="N119" s="229"/>
      <c r="O119" s="229"/>
      <c r="P119" s="229"/>
      <c r="Q119" s="229"/>
      <c r="R119" s="229"/>
      <c r="S119" s="229"/>
      <c r="T119" s="229"/>
      <c r="U119" s="229"/>
      <c r="V119" s="229"/>
      <c r="W119" s="229"/>
      <c r="X119" s="229"/>
      <c r="Y119" s="229"/>
      <c r="Z119" s="229"/>
      <c r="AA119" s="229"/>
      <c r="AB119" s="229"/>
      <c r="AC119" s="229"/>
    </row>
    <row r="120" spans="1:29">
      <c r="A120" s="591" t="s">
        <v>1464</v>
      </c>
      <c r="B120" s="57" t="s">
        <v>2051</v>
      </c>
      <c r="D120" s="229"/>
      <c r="E120" s="229"/>
      <c r="F120" s="229"/>
      <c r="G120" s="229"/>
      <c r="H120" s="229"/>
      <c r="I120" s="229"/>
      <c r="J120" s="229"/>
      <c r="K120" s="229"/>
      <c r="L120" s="229"/>
      <c r="M120" s="229"/>
      <c r="N120" s="229"/>
      <c r="O120" s="229"/>
      <c r="P120" s="229"/>
      <c r="Q120" s="229"/>
      <c r="R120" s="229"/>
      <c r="S120" s="229"/>
      <c r="T120" s="229"/>
      <c r="U120" s="229"/>
      <c r="V120" s="229"/>
      <c r="W120" s="229"/>
      <c r="X120" s="229"/>
      <c r="Y120" s="229"/>
      <c r="Z120" s="229"/>
      <c r="AA120" s="229"/>
      <c r="AB120" s="229"/>
      <c r="AC120" s="229"/>
    </row>
    <row r="121" spans="1:29">
      <c r="A121" s="591" t="s">
        <v>1465</v>
      </c>
      <c r="B121" s="57" t="s">
        <v>2052</v>
      </c>
      <c r="D121" s="229"/>
      <c r="E121" s="229"/>
      <c r="F121" s="229"/>
      <c r="G121" s="229"/>
      <c r="H121" s="229"/>
      <c r="I121" s="229"/>
      <c r="J121" s="229"/>
      <c r="K121" s="229"/>
      <c r="L121" s="229"/>
      <c r="M121" s="229"/>
      <c r="N121" s="229"/>
      <c r="O121" s="229"/>
      <c r="P121" s="229"/>
      <c r="Q121" s="229"/>
      <c r="R121" s="229"/>
      <c r="S121" s="229"/>
      <c r="T121" s="229"/>
      <c r="U121" s="229"/>
      <c r="V121" s="229"/>
      <c r="W121" s="229"/>
      <c r="X121" s="229"/>
      <c r="Y121" s="229"/>
      <c r="Z121" s="229"/>
      <c r="AA121" s="229"/>
      <c r="AB121" s="229"/>
      <c r="AC121" s="229"/>
    </row>
    <row r="122" spans="1:29" s="589" customFormat="1" ht="14.4" thickBot="1">
      <c r="A122" s="596" t="s">
        <v>1466</v>
      </c>
      <c r="B122" s="596"/>
      <c r="C122" s="596"/>
      <c r="D122" s="597">
        <f t="shared" ref="D122:Y122" si="12">SUM(D108:D120)</f>
        <v>0</v>
      </c>
      <c r="E122" s="597">
        <f t="shared" si="12"/>
        <v>0</v>
      </c>
      <c r="F122" s="597">
        <f t="shared" si="12"/>
        <v>0</v>
      </c>
      <c r="G122" s="597">
        <f t="shared" si="12"/>
        <v>0</v>
      </c>
      <c r="H122" s="597">
        <f t="shared" si="12"/>
        <v>10923</v>
      </c>
      <c r="I122" s="597">
        <f>SUM(I107:I120)</f>
        <v>286254</v>
      </c>
      <c r="J122" s="597">
        <f t="shared" si="12"/>
        <v>346765</v>
      </c>
      <c r="K122" s="597">
        <f t="shared" si="12"/>
        <v>412667</v>
      </c>
      <c r="L122" s="597">
        <f t="shared" si="12"/>
        <v>101592</v>
      </c>
      <c r="M122" s="597">
        <f t="shared" si="12"/>
        <v>-503448</v>
      </c>
      <c r="N122" s="597">
        <f t="shared" si="12"/>
        <v>-738905</v>
      </c>
      <c r="O122" s="597">
        <f t="shared" si="12"/>
        <v>-576749</v>
      </c>
      <c r="P122" s="597">
        <f t="shared" si="12"/>
        <v>-85622</v>
      </c>
      <c r="Q122" s="597">
        <f t="shared" si="12"/>
        <v>-402623</v>
      </c>
      <c r="R122" s="597">
        <f t="shared" si="12"/>
        <v>-409675</v>
      </c>
      <c r="S122" s="597">
        <f t="shared" si="12"/>
        <v>-57429</v>
      </c>
      <c r="T122" s="597">
        <f t="shared" si="12"/>
        <v>-23770</v>
      </c>
      <c r="U122" s="597">
        <f t="shared" si="12"/>
        <v>152152</v>
      </c>
      <c r="V122" s="597">
        <f t="shared" si="12"/>
        <v>-45500</v>
      </c>
      <c r="W122" s="597">
        <f t="shared" si="12"/>
        <v>222126</v>
      </c>
      <c r="X122" s="597">
        <f t="shared" si="12"/>
        <v>-124951</v>
      </c>
      <c r="Y122" s="597">
        <f t="shared" si="12"/>
        <v>-306118</v>
      </c>
      <c r="Z122" s="597">
        <f t="shared" ref="Z122" si="13">SUM(Z108:Z120)</f>
        <v>942856</v>
      </c>
      <c r="AA122" s="597">
        <f t="shared" ref="AA122:AC122" si="14">SUM(AA108:AA120)</f>
        <v>404997</v>
      </c>
      <c r="AB122" s="597">
        <f t="shared" si="14"/>
        <v>392764</v>
      </c>
      <c r="AC122" s="597">
        <f t="shared" si="14"/>
        <v>-98512</v>
      </c>
    </row>
    <row r="123" spans="1:29">
      <c r="D123" s="229"/>
      <c r="E123" s="229"/>
      <c r="F123" s="229"/>
      <c r="G123" s="229"/>
      <c r="H123" s="229"/>
      <c r="I123" s="229"/>
      <c r="J123" s="229"/>
      <c r="K123" s="229"/>
      <c r="L123" s="229"/>
      <c r="M123" s="229"/>
      <c r="N123" s="229"/>
      <c r="O123" s="229"/>
      <c r="P123" s="229"/>
      <c r="Q123" s="229"/>
      <c r="R123" s="229"/>
      <c r="S123" s="229"/>
      <c r="T123" s="229"/>
      <c r="U123" s="229"/>
      <c r="V123" s="229"/>
      <c r="W123" s="229"/>
      <c r="X123" s="229"/>
      <c r="Y123" s="229"/>
      <c r="Z123" s="229"/>
      <c r="AA123" s="229"/>
      <c r="AB123" s="229"/>
      <c r="AC123" s="229"/>
    </row>
    <row r="124" spans="1:29" s="589" customFormat="1">
      <c r="A124" s="592" t="s">
        <v>1467</v>
      </c>
      <c r="B124" s="592" t="s">
        <v>2053</v>
      </c>
      <c r="C124" s="592"/>
      <c r="D124" s="593">
        <f t="shared" ref="D124:Y124" si="15">+D86+D105+D122</f>
        <v>0</v>
      </c>
      <c r="E124" s="593">
        <f t="shared" si="15"/>
        <v>0</v>
      </c>
      <c r="F124" s="593">
        <f t="shared" si="15"/>
        <v>0</v>
      </c>
      <c r="G124" s="593">
        <f t="shared" si="15"/>
        <v>0</v>
      </c>
      <c r="H124" s="593">
        <f t="shared" si="15"/>
        <v>65377</v>
      </c>
      <c r="I124" s="593">
        <f t="shared" si="15"/>
        <v>609561</v>
      </c>
      <c r="J124" s="593">
        <f t="shared" si="15"/>
        <v>580376</v>
      </c>
      <c r="K124" s="593">
        <f t="shared" si="15"/>
        <v>185722</v>
      </c>
      <c r="L124" s="593">
        <f t="shared" si="15"/>
        <v>-117355</v>
      </c>
      <c r="M124" s="593">
        <f t="shared" si="15"/>
        <v>-74372</v>
      </c>
      <c r="N124" s="593">
        <f t="shared" si="15"/>
        <v>-212249</v>
      </c>
      <c r="O124" s="593">
        <f t="shared" si="15"/>
        <v>-131060</v>
      </c>
      <c r="P124" s="593">
        <f t="shared" si="15"/>
        <v>-17130</v>
      </c>
      <c r="Q124" s="593">
        <f t="shared" si="15"/>
        <v>-317723</v>
      </c>
      <c r="R124" s="593">
        <f t="shared" si="15"/>
        <v>-364374</v>
      </c>
      <c r="S124" s="593">
        <f t="shared" si="15"/>
        <v>-248364</v>
      </c>
      <c r="T124" s="593">
        <f t="shared" si="15"/>
        <v>-9305</v>
      </c>
      <c r="U124" s="593">
        <f t="shared" si="15"/>
        <v>145878</v>
      </c>
      <c r="V124" s="593">
        <f t="shared" si="15"/>
        <v>146441</v>
      </c>
      <c r="W124" s="593">
        <f t="shared" si="15"/>
        <v>44031</v>
      </c>
      <c r="X124" s="593">
        <f t="shared" si="15"/>
        <v>-46711</v>
      </c>
      <c r="Y124" s="593">
        <f t="shared" si="15"/>
        <v>-190457</v>
      </c>
      <c r="Z124" s="593">
        <f t="shared" ref="Z124" si="16">+Z86+Z105+Z122</f>
        <v>258553</v>
      </c>
      <c r="AA124" s="593">
        <f>+AA86+AA105+AA122</f>
        <v>-178032</v>
      </c>
      <c r="AB124" s="593">
        <f>+AB86+AB105+AB122</f>
        <v>511939</v>
      </c>
      <c r="AC124" s="593">
        <f>+AC86+AC105+AC122</f>
        <v>198089.00000000012</v>
      </c>
    </row>
    <row r="125" spans="1:29">
      <c r="D125" s="229"/>
      <c r="E125" s="229"/>
      <c r="F125" s="229"/>
      <c r="G125" s="229"/>
      <c r="H125" s="229"/>
      <c r="I125" s="229"/>
      <c r="J125" s="229"/>
      <c r="K125" s="229"/>
      <c r="L125" s="229"/>
      <c r="M125" s="229"/>
      <c r="N125" s="229"/>
      <c r="O125" s="229"/>
      <c r="P125" s="229"/>
      <c r="Q125" s="229"/>
      <c r="R125" s="229"/>
      <c r="S125" s="229"/>
      <c r="T125" s="229"/>
      <c r="U125" s="229"/>
      <c r="V125" s="229"/>
      <c r="W125" s="229"/>
      <c r="X125" s="229"/>
      <c r="Y125" s="229"/>
      <c r="Z125" s="229"/>
      <c r="AA125" s="229"/>
      <c r="AB125" s="229"/>
      <c r="AC125" s="229"/>
    </row>
    <row r="126" spans="1:29">
      <c r="A126" s="600" t="s">
        <v>1468</v>
      </c>
      <c r="B126" s="57" t="s">
        <v>2054</v>
      </c>
      <c r="D126" s="229"/>
      <c r="E126" s="229"/>
      <c r="F126" s="229"/>
      <c r="G126" s="229"/>
      <c r="H126" s="229">
        <v>369257</v>
      </c>
      <c r="I126" s="229">
        <v>369257</v>
      </c>
      <c r="J126" s="229">
        <v>369257</v>
      </c>
      <c r="K126" s="229">
        <v>369257</v>
      </c>
      <c r="L126" s="229">
        <v>554979</v>
      </c>
      <c r="M126" s="229">
        <v>554979</v>
      </c>
      <c r="N126" s="229">
        <v>554979</v>
      </c>
      <c r="O126" s="229">
        <v>554979</v>
      </c>
      <c r="P126" s="229">
        <v>423919</v>
      </c>
      <c r="Q126" s="229">
        <v>423919</v>
      </c>
      <c r="R126" s="229">
        <v>423919</v>
      </c>
      <c r="S126" s="229">
        <v>423919</v>
      </c>
      <c r="T126" s="229">
        <v>175555</v>
      </c>
      <c r="U126" s="229">
        <v>175555</v>
      </c>
      <c r="V126" s="229">
        <v>175555</v>
      </c>
      <c r="W126" s="229">
        <v>175555</v>
      </c>
      <c r="X126" s="229">
        <v>219586</v>
      </c>
      <c r="Y126" s="229">
        <v>219586</v>
      </c>
      <c r="Z126" s="229">
        <v>219586</v>
      </c>
      <c r="AA126" s="229">
        <v>219586</v>
      </c>
      <c r="AB126" s="229">
        <v>41554</v>
      </c>
      <c r="AC126" s="229">
        <v>41554</v>
      </c>
    </row>
    <row r="127" spans="1:29">
      <c r="A127" s="600" t="s">
        <v>1469</v>
      </c>
      <c r="B127" s="57" t="s">
        <v>2055</v>
      </c>
      <c r="D127" s="229"/>
      <c r="E127" s="229"/>
      <c r="F127" s="229"/>
      <c r="G127" s="229"/>
      <c r="H127" s="229">
        <v>434634</v>
      </c>
      <c r="I127" s="229">
        <v>978818</v>
      </c>
      <c r="J127" s="229">
        <v>949633</v>
      </c>
      <c r="K127" s="229">
        <v>554979</v>
      </c>
      <c r="L127" s="229">
        <v>437624</v>
      </c>
      <c r="M127" s="229">
        <v>480607</v>
      </c>
      <c r="N127" s="229">
        <v>342730</v>
      </c>
      <c r="O127" s="229">
        <v>423919</v>
      </c>
      <c r="P127" s="229">
        <v>406789</v>
      </c>
      <c r="Q127" s="229">
        <v>106196</v>
      </c>
      <c r="R127" s="229">
        <v>59545</v>
      </c>
      <c r="S127" s="229">
        <v>175555</v>
      </c>
      <c r="T127" s="229">
        <v>166250</v>
      </c>
      <c r="U127" s="229">
        <v>321433</v>
      </c>
      <c r="V127" s="229">
        <v>321996</v>
      </c>
      <c r="W127" s="229">
        <v>219586</v>
      </c>
      <c r="X127" s="229">
        <v>172875</v>
      </c>
      <c r="Y127" s="229">
        <v>29129</v>
      </c>
      <c r="Z127" s="229">
        <v>478139</v>
      </c>
      <c r="AA127" s="229">
        <v>41554</v>
      </c>
      <c r="AB127" s="229">
        <v>553493</v>
      </c>
      <c r="AC127" s="229">
        <v>239643</v>
      </c>
    </row>
    <row r="129" spans="1:29" s="589" customFormat="1" ht="14.4" thickBot="1">
      <c r="A129" s="596" t="s">
        <v>1467</v>
      </c>
      <c r="B129" s="596" t="s">
        <v>2053</v>
      </c>
      <c r="C129" s="596"/>
      <c r="D129" s="597">
        <f t="shared" ref="D129:Y129" si="17">+D127-D126</f>
        <v>0</v>
      </c>
      <c r="E129" s="597">
        <f t="shared" si="17"/>
        <v>0</v>
      </c>
      <c r="F129" s="597">
        <f t="shared" si="17"/>
        <v>0</v>
      </c>
      <c r="G129" s="597">
        <f t="shared" si="17"/>
        <v>0</v>
      </c>
      <c r="H129" s="597">
        <f t="shared" si="17"/>
        <v>65377</v>
      </c>
      <c r="I129" s="597">
        <f t="shared" si="17"/>
        <v>609561</v>
      </c>
      <c r="J129" s="597">
        <f t="shared" si="17"/>
        <v>580376</v>
      </c>
      <c r="K129" s="597">
        <f t="shared" si="17"/>
        <v>185722</v>
      </c>
      <c r="L129" s="597">
        <f t="shared" si="17"/>
        <v>-117355</v>
      </c>
      <c r="M129" s="597">
        <f t="shared" si="17"/>
        <v>-74372</v>
      </c>
      <c r="N129" s="597">
        <f t="shared" si="17"/>
        <v>-212249</v>
      </c>
      <c r="O129" s="597">
        <f t="shared" si="17"/>
        <v>-131060</v>
      </c>
      <c r="P129" s="597">
        <f t="shared" si="17"/>
        <v>-17130</v>
      </c>
      <c r="Q129" s="597">
        <f t="shared" si="17"/>
        <v>-317723</v>
      </c>
      <c r="R129" s="597">
        <f t="shared" si="17"/>
        <v>-364374</v>
      </c>
      <c r="S129" s="597">
        <f t="shared" si="17"/>
        <v>-248364</v>
      </c>
      <c r="T129" s="597">
        <f t="shared" si="17"/>
        <v>-9305</v>
      </c>
      <c r="U129" s="597">
        <f t="shared" si="17"/>
        <v>145878</v>
      </c>
      <c r="V129" s="597">
        <f t="shared" si="17"/>
        <v>146441</v>
      </c>
      <c r="W129" s="597">
        <f t="shared" si="17"/>
        <v>44031</v>
      </c>
      <c r="X129" s="597">
        <f t="shared" si="17"/>
        <v>-46711</v>
      </c>
      <c r="Y129" s="597">
        <f t="shared" si="17"/>
        <v>-190457</v>
      </c>
      <c r="Z129" s="597">
        <f t="shared" ref="Z129" si="18">+Z127-Z126</f>
        <v>258553</v>
      </c>
      <c r="AA129" s="597">
        <f>+AA127-AA126</f>
        <v>-178032</v>
      </c>
      <c r="AB129" s="597">
        <f>+AB127-AB126</f>
        <v>511939</v>
      </c>
      <c r="AC129" s="597">
        <f>+AC127-AC126</f>
        <v>198089</v>
      </c>
    </row>
  </sheetData>
  <phoneticPr fontId="30" type="noConversion"/>
  <hyperlinks>
    <hyperlink ref="B121" r:id="rId1" display="https://www.lawinsider.com/clause/advance-for-future-capital-increase-afac" xr:uid="{00000000-0004-0000-4900-000000000000}"/>
  </hyperlinks>
  <pageMargins left="0.511811024" right="0.511811024" top="0.78740157499999996" bottom="0.78740157499999996" header="0.31496062000000002" footer="0.31496062000000002"/>
  <drawing r:id="rId2"/>
  <legacyDrawing r:id="rId3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tabColor theme="9" tint="0.79998168889431442"/>
  </sheetPr>
  <dimension ref="A6:AC129"/>
  <sheetViews>
    <sheetView showGridLines="0" zoomScale="55" zoomScaleNormal="55" workbookViewId="0">
      <pane xSplit="1" ySplit="7" topLeftCell="R35" activePane="bottomRight" state="frozen"/>
      <selection pane="topRight" activeCell="B1" sqref="B1"/>
      <selection pane="bottomLeft" activeCell="A8" sqref="A8"/>
      <selection pane="bottomRight" activeCell="AE56" activeCellId="1" sqref="AC118 AE56"/>
    </sheetView>
  </sheetViews>
  <sheetFormatPr defaultColWidth="9.21875" defaultRowHeight="14.4" outlineLevelCol="1"/>
  <cols>
    <col min="1" max="1" width="70.77734375" style="35" bestFit="1" customWidth="1"/>
    <col min="2" max="2" width="75.88671875" style="35" bestFit="1" customWidth="1"/>
    <col min="3" max="3" width="0.5546875" style="35" customWidth="1"/>
    <col min="4" max="5" width="10.5546875" style="35" hidden="1" customWidth="1" outlineLevel="1"/>
    <col min="6" max="7" width="11.44140625" style="35" hidden="1" customWidth="1" outlineLevel="1"/>
    <col min="8" max="8" width="11.44140625" style="35" customWidth="1" collapsed="1"/>
    <col min="9" max="10" width="11.44140625" style="35" customWidth="1"/>
    <col min="11" max="29" width="11.44140625" style="35" bestFit="1" customWidth="1"/>
    <col min="30" max="16384" width="9.21875" style="35"/>
  </cols>
  <sheetData>
    <row r="6" spans="1:29">
      <c r="A6" s="38" t="s">
        <v>116</v>
      </c>
      <c r="B6" s="38" t="s">
        <v>116</v>
      </c>
      <c r="C6" s="348"/>
      <c r="D6" s="399"/>
      <c r="E6" s="399"/>
      <c r="F6" s="399"/>
      <c r="G6" s="399"/>
      <c r="H6" s="399"/>
      <c r="I6" s="399"/>
      <c r="J6" s="399"/>
      <c r="K6" s="601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399"/>
    </row>
    <row r="7" spans="1:29">
      <c r="A7" s="441" t="s">
        <v>1365</v>
      </c>
      <c r="B7" s="441" t="s">
        <v>1366</v>
      </c>
      <c r="C7" s="602"/>
      <c r="D7" s="603" t="s">
        <v>67</v>
      </c>
      <c r="E7" s="603" t="s">
        <v>68</v>
      </c>
      <c r="F7" s="603" t="s">
        <v>69</v>
      </c>
      <c r="G7" s="603" t="s">
        <v>70</v>
      </c>
      <c r="H7" s="603" t="s">
        <v>1367</v>
      </c>
      <c r="I7" s="603" t="s">
        <v>1368</v>
      </c>
      <c r="J7" s="603" t="s">
        <v>1369</v>
      </c>
      <c r="K7" s="604" t="s">
        <v>1370</v>
      </c>
      <c r="L7" s="603" t="s">
        <v>584</v>
      </c>
      <c r="M7" s="603" t="s">
        <v>585</v>
      </c>
      <c r="N7" s="603" t="s">
        <v>586</v>
      </c>
      <c r="O7" s="604" t="s">
        <v>1371</v>
      </c>
      <c r="P7" s="603" t="s">
        <v>587</v>
      </c>
      <c r="Q7" s="603" t="s">
        <v>588</v>
      </c>
      <c r="R7" s="603" t="s">
        <v>589</v>
      </c>
      <c r="S7" s="604" t="s">
        <v>1372</v>
      </c>
      <c r="T7" s="603" t="s">
        <v>590</v>
      </c>
      <c r="U7" s="603" t="s">
        <v>591</v>
      </c>
      <c r="V7" s="603" t="s">
        <v>592</v>
      </c>
      <c r="W7" s="604" t="s">
        <v>1373</v>
      </c>
      <c r="X7" s="603" t="s">
        <v>593</v>
      </c>
      <c r="Y7" s="603" t="s">
        <v>594</v>
      </c>
      <c r="Z7" s="603" t="s">
        <v>595</v>
      </c>
      <c r="AA7" s="604" t="s">
        <v>2151</v>
      </c>
      <c r="AB7" s="604" t="s">
        <v>2488</v>
      </c>
      <c r="AC7" s="604" t="s">
        <v>2497</v>
      </c>
    </row>
    <row r="8" spans="1:29" s="165" customFormat="1" ht="13.8">
      <c r="A8" s="134" t="s">
        <v>1374</v>
      </c>
      <c r="B8" s="134" t="s">
        <v>2034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229"/>
      <c r="U8" s="57"/>
      <c r="V8" s="57"/>
      <c r="W8" s="57"/>
      <c r="X8" s="57"/>
      <c r="Y8" s="57"/>
      <c r="Z8" s="57"/>
      <c r="AA8" s="57"/>
      <c r="AB8" s="57"/>
      <c r="AC8" s="57"/>
    </row>
    <row r="9" spans="1:29" s="578" customFormat="1" ht="13.8">
      <c r="A9" s="588" t="s">
        <v>776</v>
      </c>
      <c r="B9" s="589" t="s">
        <v>1375</v>
      </c>
      <c r="C9" s="589"/>
      <c r="D9" s="589"/>
      <c r="E9" s="589"/>
      <c r="F9" s="589"/>
      <c r="G9" s="589"/>
      <c r="H9" s="590">
        <v>64068</v>
      </c>
      <c r="I9" s="590">
        <v>236331</v>
      </c>
      <c r="J9" s="590">
        <v>972540</v>
      </c>
      <c r="K9" s="590">
        <v>1174294</v>
      </c>
      <c r="L9" s="590">
        <v>73572</v>
      </c>
      <c r="M9" s="590">
        <v>170821</v>
      </c>
      <c r="N9" s="590">
        <v>246608</v>
      </c>
      <c r="O9" s="590">
        <v>319751</v>
      </c>
      <c r="P9" s="590">
        <v>279733</v>
      </c>
      <c r="Q9" s="590">
        <v>163203</v>
      </c>
      <c r="R9" s="590">
        <v>279733</v>
      </c>
      <c r="S9" s="590">
        <v>376845</v>
      </c>
      <c r="T9" s="590">
        <v>105638</v>
      </c>
      <c r="U9" s="590">
        <v>206060</v>
      </c>
      <c r="V9" s="590">
        <v>305674</v>
      </c>
      <c r="W9" s="590">
        <v>313856</v>
      </c>
      <c r="X9" s="590">
        <v>55866</v>
      </c>
      <c r="Y9" s="590">
        <v>162055</v>
      </c>
      <c r="Z9" s="590">
        <v>228064</v>
      </c>
      <c r="AA9" s="590">
        <v>283032</v>
      </c>
      <c r="AB9" s="590">
        <v>119729</v>
      </c>
      <c r="AC9" s="590">
        <v>175576</v>
      </c>
    </row>
    <row r="10" spans="1:29" s="165" customFormat="1" ht="13.8">
      <c r="A10" s="104" t="s">
        <v>1376</v>
      </c>
      <c r="B10" s="57" t="s">
        <v>1377</v>
      </c>
      <c r="C10" s="57"/>
      <c r="D10" s="57"/>
      <c r="E10" s="57"/>
      <c r="F10" s="57"/>
      <c r="G10" s="57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57"/>
      <c r="W10" s="57"/>
      <c r="X10" s="57"/>
      <c r="Y10" s="57"/>
      <c r="Z10" s="57"/>
      <c r="AA10" s="57"/>
      <c r="AB10" s="57"/>
      <c r="AC10" s="57"/>
    </row>
    <row r="11" spans="1:29" s="165" customFormat="1" ht="13.8">
      <c r="A11" s="591" t="s">
        <v>1378</v>
      </c>
      <c r="B11" s="57" t="s">
        <v>1379</v>
      </c>
      <c r="C11" s="57"/>
      <c r="D11" s="57"/>
      <c r="E11" s="57"/>
      <c r="F11" s="57"/>
      <c r="G11" s="57"/>
      <c r="H11" s="229">
        <v>16456</v>
      </c>
      <c r="I11" s="229">
        <v>33945</v>
      </c>
      <c r="J11" s="229">
        <v>52218</v>
      </c>
      <c r="K11" s="229">
        <v>71778</v>
      </c>
      <c r="L11" s="229">
        <v>19019</v>
      </c>
      <c r="M11" s="229">
        <v>38602</v>
      </c>
      <c r="N11" s="229">
        <v>58564</v>
      </c>
      <c r="O11" s="229">
        <v>83237</v>
      </c>
      <c r="P11" s="229">
        <v>55095</v>
      </c>
      <c r="Q11" s="229">
        <v>31456</v>
      </c>
      <c r="R11" s="229">
        <v>55095</v>
      </c>
      <c r="S11" s="229">
        <v>113719</v>
      </c>
      <c r="T11" s="229">
        <v>31557</v>
      </c>
      <c r="U11" s="229">
        <v>62721</v>
      </c>
      <c r="V11" s="229">
        <v>94914</v>
      </c>
      <c r="W11" s="229">
        <v>130861</v>
      </c>
      <c r="X11" s="229">
        <v>36269</v>
      </c>
      <c r="Y11" s="229">
        <v>71407</v>
      </c>
      <c r="Z11" s="229">
        <v>107860</v>
      </c>
      <c r="AA11" s="229">
        <v>153684</v>
      </c>
      <c r="AB11" s="229">
        <v>39668</v>
      </c>
      <c r="AC11" s="229">
        <v>85281</v>
      </c>
    </row>
    <row r="12" spans="1:29" s="165" customFormat="1" ht="13.8">
      <c r="A12" s="591" t="s">
        <v>710</v>
      </c>
      <c r="B12" s="57" t="s">
        <v>1380</v>
      </c>
      <c r="C12" s="57"/>
      <c r="D12" s="57"/>
      <c r="E12" s="57"/>
      <c r="F12" s="57"/>
      <c r="G12" s="57"/>
      <c r="H12" s="229">
        <v>0</v>
      </c>
      <c r="I12" s="229">
        <v>0</v>
      </c>
      <c r="J12" s="229">
        <v>0</v>
      </c>
      <c r="K12" s="229">
        <v>0</v>
      </c>
      <c r="L12" s="229">
        <v>0</v>
      </c>
      <c r="M12" s="229">
        <v>0</v>
      </c>
      <c r="N12" s="229">
        <v>0</v>
      </c>
      <c r="O12" s="229">
        <v>0</v>
      </c>
      <c r="P12" s="229">
        <v>0</v>
      </c>
      <c r="Q12" s="229">
        <v>0</v>
      </c>
      <c r="R12" s="229">
        <v>0</v>
      </c>
      <c r="S12" s="229">
        <v>0</v>
      </c>
      <c r="T12" s="229">
        <v>0</v>
      </c>
      <c r="U12" s="229">
        <v>0</v>
      </c>
      <c r="V12" s="229">
        <v>0</v>
      </c>
      <c r="W12" s="229">
        <v>0</v>
      </c>
      <c r="X12" s="229">
        <v>0</v>
      </c>
      <c r="Y12" s="229">
        <v>0</v>
      </c>
      <c r="Z12" s="229">
        <v>0</v>
      </c>
      <c r="AA12" s="229">
        <v>0</v>
      </c>
      <c r="AB12" s="229">
        <v>0</v>
      </c>
      <c r="AC12" s="229">
        <v>0</v>
      </c>
    </row>
    <row r="13" spans="1:29" s="165" customFormat="1" ht="13.8">
      <c r="A13" s="591" t="s">
        <v>1381</v>
      </c>
      <c r="B13" s="57" t="s">
        <v>1983</v>
      </c>
      <c r="C13" s="57"/>
      <c r="D13" s="57"/>
      <c r="E13" s="57"/>
      <c r="F13" s="57"/>
      <c r="G13" s="57"/>
      <c r="H13" s="229">
        <v>0</v>
      </c>
      <c r="I13" s="229">
        <v>0</v>
      </c>
      <c r="J13" s="229">
        <v>0</v>
      </c>
      <c r="K13" s="229">
        <v>0</v>
      </c>
      <c r="L13" s="229">
        <v>0</v>
      </c>
      <c r="M13" s="229">
        <v>0</v>
      </c>
      <c r="N13" s="229">
        <v>0</v>
      </c>
      <c r="O13" s="229">
        <v>0</v>
      </c>
      <c r="P13" s="229">
        <v>0</v>
      </c>
      <c r="Q13" s="229">
        <v>0</v>
      </c>
      <c r="R13" s="229">
        <v>0</v>
      </c>
      <c r="S13" s="229">
        <v>0</v>
      </c>
      <c r="T13" s="229">
        <v>0</v>
      </c>
      <c r="U13" s="229">
        <v>0</v>
      </c>
      <c r="V13" s="229">
        <v>0</v>
      </c>
      <c r="W13" s="229">
        <v>0</v>
      </c>
      <c r="X13" s="229">
        <v>0</v>
      </c>
      <c r="Y13" s="229">
        <v>0</v>
      </c>
      <c r="Z13" s="229">
        <v>0</v>
      </c>
      <c r="AA13" s="229">
        <v>0</v>
      </c>
      <c r="AB13" s="229">
        <v>0</v>
      </c>
      <c r="AC13" s="229">
        <v>0</v>
      </c>
    </row>
    <row r="14" spans="1:29" s="165" customFormat="1" ht="13.8">
      <c r="A14" s="591" t="s">
        <v>1382</v>
      </c>
      <c r="B14" s="57" t="s">
        <v>1383</v>
      </c>
      <c r="C14" s="57"/>
      <c r="D14" s="57"/>
      <c r="E14" s="57"/>
      <c r="F14" s="57"/>
      <c r="G14" s="57"/>
      <c r="H14" s="229">
        <v>0</v>
      </c>
      <c r="I14" s="229">
        <v>0</v>
      </c>
      <c r="J14" s="229">
        <v>0</v>
      </c>
      <c r="K14" s="229">
        <v>199</v>
      </c>
      <c r="L14" s="229">
        <v>0</v>
      </c>
      <c r="M14" s="229">
        <v>1801</v>
      </c>
      <c r="N14" s="229">
        <v>1783</v>
      </c>
      <c r="O14" s="229">
        <v>2577</v>
      </c>
      <c r="P14" s="229">
        <v>1872</v>
      </c>
      <c r="Q14" s="229">
        <v>84</v>
      </c>
      <c r="R14" s="229">
        <v>1872</v>
      </c>
      <c r="S14" s="229">
        <v>3426</v>
      </c>
      <c r="T14" s="229">
        <v>56</v>
      </c>
      <c r="U14" s="229">
        <v>6345</v>
      </c>
      <c r="V14" s="229">
        <v>6719</v>
      </c>
      <c r="W14" s="229">
        <v>9726</v>
      </c>
      <c r="X14" s="229">
        <v>797</v>
      </c>
      <c r="Y14" s="229">
        <v>1573</v>
      </c>
      <c r="Z14" s="229">
        <v>10589</v>
      </c>
      <c r="AA14" s="229">
        <v>14135</v>
      </c>
      <c r="AB14" s="229">
        <v>4417</v>
      </c>
      <c r="AC14" s="229">
        <v>5716</v>
      </c>
    </row>
    <row r="15" spans="1:29" s="165" customFormat="1" ht="13.8">
      <c r="A15" s="591" t="s">
        <v>1384</v>
      </c>
      <c r="B15" s="57" t="s">
        <v>1982</v>
      </c>
      <c r="C15" s="57"/>
      <c r="D15" s="57"/>
      <c r="E15" s="57"/>
      <c r="F15" s="57"/>
      <c r="G15" s="57"/>
      <c r="H15" s="229">
        <v>-1072</v>
      </c>
      <c r="I15" s="229">
        <v>-2020</v>
      </c>
      <c r="J15" s="229">
        <v>-3791</v>
      </c>
      <c r="K15" s="229">
        <v>-7060</v>
      </c>
      <c r="L15" s="229">
        <v>-313</v>
      </c>
      <c r="M15" s="229">
        <v>-2659</v>
      </c>
      <c r="N15" s="229">
        <v>-2265</v>
      </c>
      <c r="O15" s="229">
        <v>-1587</v>
      </c>
      <c r="P15" s="229">
        <v>-4189</v>
      </c>
      <c r="Q15" s="229">
        <v>-3236</v>
      </c>
      <c r="R15" s="229">
        <v>-4189</v>
      </c>
      <c r="S15" s="229">
        <v>-6049</v>
      </c>
      <c r="T15" s="229">
        <v>-3533</v>
      </c>
      <c r="U15" s="229">
        <v>628</v>
      </c>
      <c r="V15" s="229">
        <v>-886</v>
      </c>
      <c r="W15" s="229">
        <v>-3512</v>
      </c>
      <c r="X15" s="229">
        <v>-4879</v>
      </c>
      <c r="Y15" s="229">
        <v>-7147</v>
      </c>
      <c r="Z15" s="229">
        <v>-8848</v>
      </c>
      <c r="AA15" s="229">
        <v>-10221</v>
      </c>
      <c r="AB15" s="229">
        <v>-4388</v>
      </c>
      <c r="AC15" s="229">
        <v>-10652</v>
      </c>
    </row>
    <row r="16" spans="1:29" s="165" customFormat="1" ht="13.8">
      <c r="A16" s="591" t="s">
        <v>1385</v>
      </c>
      <c r="B16" s="57" t="s">
        <v>1386</v>
      </c>
      <c r="C16" s="57"/>
      <c r="D16" s="57"/>
      <c r="E16" s="57"/>
      <c r="F16" s="57"/>
      <c r="G16" s="57"/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Y16" s="229">
        <v>0</v>
      </c>
      <c r="Z16" s="229">
        <v>0</v>
      </c>
      <c r="AA16" s="229">
        <v>0</v>
      </c>
      <c r="AB16" s="229">
        <v>0</v>
      </c>
      <c r="AC16" s="229">
        <v>0</v>
      </c>
    </row>
    <row r="17" spans="1:29" s="165" customFormat="1" ht="13.8">
      <c r="A17" s="591" t="s">
        <v>1476</v>
      </c>
      <c r="B17" s="57" t="s">
        <v>1388</v>
      </c>
      <c r="C17" s="57"/>
      <c r="D17" s="57"/>
      <c r="E17" s="57"/>
      <c r="F17" s="57"/>
      <c r="G17" s="57"/>
      <c r="H17" s="229">
        <v>0</v>
      </c>
      <c r="I17" s="229">
        <v>0</v>
      </c>
      <c r="J17" s="229">
        <v>0</v>
      </c>
      <c r="K17" s="229">
        <v>0</v>
      </c>
      <c r="L17" s="229">
        <v>0</v>
      </c>
      <c r="M17" s="229">
        <v>0</v>
      </c>
      <c r="N17" s="229">
        <v>0</v>
      </c>
      <c r="O17" s="229">
        <v>0</v>
      </c>
      <c r="P17" s="229">
        <v>0</v>
      </c>
      <c r="Q17" s="229">
        <v>0</v>
      </c>
      <c r="R17" s="229">
        <v>0</v>
      </c>
      <c r="S17" s="229">
        <v>0</v>
      </c>
      <c r="T17" s="229">
        <v>0</v>
      </c>
      <c r="U17" s="229">
        <v>0</v>
      </c>
      <c r="V17" s="229">
        <v>0</v>
      </c>
      <c r="W17" s="229">
        <v>-2091</v>
      </c>
      <c r="X17" s="229">
        <v>111</v>
      </c>
      <c r="Y17" s="229">
        <v>-3155</v>
      </c>
      <c r="Z17" s="229">
        <v>0</v>
      </c>
      <c r="AA17" s="229">
        <v>0</v>
      </c>
      <c r="AB17" s="229">
        <v>0</v>
      </c>
      <c r="AC17" s="229">
        <v>0</v>
      </c>
    </row>
    <row r="18" spans="1:29" s="165" customFormat="1" ht="13.8">
      <c r="A18" s="591" t="s">
        <v>1389</v>
      </c>
      <c r="B18" s="57" t="s">
        <v>1390</v>
      </c>
      <c r="C18" s="57"/>
      <c r="D18" s="57"/>
      <c r="E18" s="57"/>
      <c r="F18" s="57"/>
      <c r="G18" s="57"/>
      <c r="H18" s="229">
        <v>0</v>
      </c>
      <c r="I18" s="229">
        <v>0</v>
      </c>
      <c r="J18" s="229">
        <v>0</v>
      </c>
      <c r="K18" s="229">
        <v>0</v>
      </c>
      <c r="L18" s="229">
        <v>0</v>
      </c>
      <c r="M18" s="229">
        <v>0</v>
      </c>
      <c r="N18" s="229">
        <v>0</v>
      </c>
      <c r="O18" s="229">
        <v>0</v>
      </c>
      <c r="P18" s="229">
        <v>0</v>
      </c>
      <c r="Q18" s="229">
        <v>0</v>
      </c>
      <c r="R18" s="229">
        <v>0</v>
      </c>
      <c r="S18" s="229">
        <v>0</v>
      </c>
      <c r="T18" s="229">
        <v>0</v>
      </c>
      <c r="U18" s="229">
        <v>0</v>
      </c>
      <c r="V18" s="229">
        <v>0</v>
      </c>
      <c r="W18" s="229">
        <v>0</v>
      </c>
      <c r="X18" s="229">
        <v>0</v>
      </c>
      <c r="Y18" s="229">
        <v>0</v>
      </c>
      <c r="Z18" s="229">
        <v>0</v>
      </c>
      <c r="AA18" s="229">
        <v>0</v>
      </c>
      <c r="AB18" s="229">
        <v>0</v>
      </c>
      <c r="AC18" s="229">
        <v>0</v>
      </c>
    </row>
    <row r="19" spans="1:29" s="165" customFormat="1" ht="13.8">
      <c r="A19" s="591" t="s">
        <v>610</v>
      </c>
      <c r="B19" s="57" t="s">
        <v>1391</v>
      </c>
      <c r="C19" s="57"/>
      <c r="D19" s="57"/>
      <c r="E19" s="57"/>
      <c r="F19" s="57"/>
      <c r="G19" s="57"/>
      <c r="H19" s="229">
        <v>0</v>
      </c>
      <c r="I19" s="229">
        <v>0</v>
      </c>
      <c r="J19" s="229">
        <v>0</v>
      </c>
      <c r="K19" s="229">
        <v>0</v>
      </c>
      <c r="L19" s="229">
        <v>0</v>
      </c>
      <c r="M19" s="229">
        <v>0</v>
      </c>
      <c r="N19" s="229">
        <v>0</v>
      </c>
      <c r="O19" s="229">
        <v>0</v>
      </c>
      <c r="P19" s="229">
        <v>0</v>
      </c>
      <c r="Q19" s="229">
        <v>0</v>
      </c>
      <c r="R19" s="229">
        <v>0</v>
      </c>
      <c r="S19" s="229">
        <v>0</v>
      </c>
      <c r="T19" s="229">
        <v>0</v>
      </c>
      <c r="U19" s="229">
        <v>0</v>
      </c>
      <c r="V19" s="229">
        <v>0</v>
      </c>
      <c r="W19" s="229">
        <v>0</v>
      </c>
      <c r="X19" s="229">
        <v>0</v>
      </c>
      <c r="Y19" s="229">
        <v>0</v>
      </c>
      <c r="Z19" s="229">
        <v>0</v>
      </c>
      <c r="AA19" s="229">
        <v>0</v>
      </c>
      <c r="AB19" s="229">
        <v>0</v>
      </c>
      <c r="AC19" s="229">
        <v>0</v>
      </c>
    </row>
    <row r="20" spans="1:29" s="165" customFormat="1" ht="13.8">
      <c r="A20" s="591" t="s">
        <v>1392</v>
      </c>
      <c r="B20" s="57" t="s">
        <v>1393</v>
      </c>
      <c r="C20" s="57"/>
      <c r="D20" s="57"/>
      <c r="E20" s="57"/>
      <c r="F20" s="57"/>
      <c r="G20" s="57"/>
      <c r="H20" s="229">
        <v>36711</v>
      </c>
      <c r="I20" s="229">
        <v>58051</v>
      </c>
      <c r="J20" s="229">
        <v>83626</v>
      </c>
      <c r="K20" s="229">
        <v>121251</v>
      </c>
      <c r="L20" s="229">
        <v>40396</v>
      </c>
      <c r="M20" s="229">
        <v>97645</v>
      </c>
      <c r="N20" s="229">
        <v>140427</v>
      </c>
      <c r="O20" s="229">
        <v>187415</v>
      </c>
      <c r="P20" s="229">
        <v>126898</v>
      </c>
      <c r="Q20" s="229">
        <v>82056</v>
      </c>
      <c r="R20" s="229">
        <v>126898</v>
      </c>
      <c r="S20" s="229">
        <v>138496</v>
      </c>
      <c r="T20" s="229">
        <v>64685</v>
      </c>
      <c r="U20" s="229">
        <v>166742</v>
      </c>
      <c r="V20" s="229">
        <v>208380</v>
      </c>
      <c r="W20" s="229">
        <v>407061</v>
      </c>
      <c r="X20" s="229">
        <v>-54850</v>
      </c>
      <c r="Y20" s="229">
        <v>-89836</v>
      </c>
      <c r="Z20" s="229">
        <v>-107267</v>
      </c>
      <c r="AA20" s="229">
        <v>7411</v>
      </c>
      <c r="AB20" s="229">
        <v>-57196</v>
      </c>
      <c r="AC20" s="229">
        <v>-2652</v>
      </c>
    </row>
    <row r="21" spans="1:29" s="165" customFormat="1" ht="13.8">
      <c r="A21" s="591" t="s">
        <v>1394</v>
      </c>
      <c r="B21" s="57" t="s">
        <v>1395</v>
      </c>
      <c r="C21" s="57"/>
      <c r="D21" s="57"/>
      <c r="E21" s="57"/>
      <c r="F21" s="57"/>
      <c r="G21" s="57"/>
      <c r="H21" s="229">
        <v>0</v>
      </c>
      <c r="I21" s="229">
        <v>0</v>
      </c>
      <c r="J21" s="229">
        <v>0</v>
      </c>
      <c r="K21" s="229">
        <v>0</v>
      </c>
      <c r="L21" s="229">
        <v>0</v>
      </c>
      <c r="M21" s="229">
        <v>0</v>
      </c>
      <c r="N21" s="229">
        <v>0</v>
      </c>
      <c r="O21" s="229">
        <v>7900</v>
      </c>
      <c r="P21" s="229">
        <v>25137</v>
      </c>
      <c r="Q21" s="229">
        <v>30325</v>
      </c>
      <c r="R21" s="229">
        <v>25137</v>
      </c>
      <c r="S21" s="229">
        <v>56661</v>
      </c>
      <c r="T21" s="229">
        <v>-12747</v>
      </c>
      <c r="U21" s="229">
        <v>-81990</v>
      </c>
      <c r="V21" s="229">
        <v>-61971</v>
      </c>
      <c r="W21" s="229">
        <v>-202361</v>
      </c>
      <c r="X21" s="229">
        <v>130954</v>
      </c>
      <c r="Y21" s="229">
        <v>247726</v>
      </c>
      <c r="Z21" s="229">
        <v>368708</v>
      </c>
      <c r="AA21" s="229">
        <v>354515</v>
      </c>
      <c r="AB21" s="229">
        <v>156646</v>
      </c>
      <c r="AC21" s="229">
        <v>255725</v>
      </c>
    </row>
    <row r="22" spans="1:29" s="165" customFormat="1" ht="13.8">
      <c r="A22" s="591" t="s">
        <v>1396</v>
      </c>
      <c r="B22" s="57" t="s">
        <v>1397</v>
      </c>
      <c r="C22" s="57"/>
      <c r="D22" s="57"/>
      <c r="E22" s="57"/>
      <c r="F22" s="57"/>
      <c r="G22" s="57"/>
      <c r="H22" s="229">
        <v>-4656</v>
      </c>
      <c r="I22" s="229">
        <v>-11643</v>
      </c>
      <c r="J22" s="229">
        <v>-22579</v>
      </c>
      <c r="K22" s="229">
        <v>-38894</v>
      </c>
      <c r="L22" s="229">
        <v>-16582</v>
      </c>
      <c r="M22" s="229">
        <v>-42296</v>
      </c>
      <c r="N22" s="229">
        <v>-72133</v>
      </c>
      <c r="O22" s="229">
        <v>-101251</v>
      </c>
      <c r="P22" s="229">
        <v>-29572</v>
      </c>
      <c r="Q22" s="229">
        <v>-21915</v>
      </c>
      <c r="R22" s="229">
        <v>-29572</v>
      </c>
      <c r="S22" s="229">
        <v>-35219</v>
      </c>
      <c r="T22" s="229">
        <v>-6864</v>
      </c>
      <c r="U22" s="229">
        <v>-15858</v>
      </c>
      <c r="V22" s="229">
        <v>-26566</v>
      </c>
      <c r="W22" s="229">
        <v>-41810</v>
      </c>
      <c r="X22" s="229">
        <v>-23606</v>
      </c>
      <c r="Y22" s="229">
        <v>-54126</v>
      </c>
      <c r="Z22" s="229">
        <v>-78102</v>
      </c>
      <c r="AA22" s="229">
        <v>-97047</v>
      </c>
      <c r="AB22" s="229">
        <v>-20731</v>
      </c>
      <c r="AC22" s="229">
        <v>-30993</v>
      </c>
    </row>
    <row r="23" spans="1:29" s="165" customFormat="1" ht="13.8">
      <c r="A23" s="591" t="s">
        <v>1398</v>
      </c>
      <c r="B23" s="57" t="s">
        <v>1399</v>
      </c>
      <c r="C23" s="57"/>
      <c r="D23" s="57"/>
      <c r="E23" s="57"/>
      <c r="F23" s="57"/>
      <c r="G23" s="57"/>
      <c r="H23" s="229">
        <v>0</v>
      </c>
      <c r="I23" s="229">
        <v>0</v>
      </c>
      <c r="J23" s="229">
        <v>0</v>
      </c>
      <c r="K23" s="229">
        <v>0</v>
      </c>
      <c r="L23" s="229">
        <v>0</v>
      </c>
      <c r="M23" s="229">
        <v>0</v>
      </c>
      <c r="N23" s="229">
        <v>0</v>
      </c>
      <c r="O23" s="229">
        <v>0</v>
      </c>
      <c r="P23" s="229">
        <v>0</v>
      </c>
      <c r="Q23" s="229">
        <v>0</v>
      </c>
      <c r="R23" s="229">
        <v>0</v>
      </c>
      <c r="S23" s="229">
        <v>0</v>
      </c>
      <c r="T23" s="229">
        <v>0</v>
      </c>
      <c r="U23" s="229">
        <v>0</v>
      </c>
      <c r="V23" s="229">
        <v>0</v>
      </c>
      <c r="W23" s="229">
        <v>0</v>
      </c>
      <c r="X23" s="229">
        <v>0</v>
      </c>
      <c r="Y23" s="229">
        <v>0</v>
      </c>
      <c r="Z23" s="229">
        <v>0</v>
      </c>
      <c r="AA23" s="229">
        <v>0</v>
      </c>
      <c r="AB23" s="229">
        <v>0</v>
      </c>
      <c r="AC23" s="229">
        <v>0</v>
      </c>
    </row>
    <row r="24" spans="1:29" s="165" customFormat="1" ht="13.8">
      <c r="A24" s="591" t="s">
        <v>1400</v>
      </c>
      <c r="B24" s="57" t="s">
        <v>1978</v>
      </c>
      <c r="C24" s="57"/>
      <c r="D24" s="57"/>
      <c r="E24" s="57"/>
      <c r="F24" s="57"/>
      <c r="G24" s="57"/>
      <c r="H24" s="229">
        <v>0</v>
      </c>
      <c r="I24" s="229">
        <v>0</v>
      </c>
      <c r="J24" s="229">
        <v>0</v>
      </c>
      <c r="K24" s="229">
        <v>0</v>
      </c>
      <c r="L24" s="229">
        <v>0</v>
      </c>
      <c r="M24" s="229">
        <v>0</v>
      </c>
      <c r="N24" s="229">
        <v>0</v>
      </c>
      <c r="O24" s="229">
        <v>0</v>
      </c>
      <c r="P24" s="229">
        <v>0</v>
      </c>
      <c r="Q24" s="229">
        <v>0</v>
      </c>
      <c r="R24" s="229">
        <v>0</v>
      </c>
      <c r="S24" s="229">
        <v>0</v>
      </c>
      <c r="T24" s="229">
        <v>0</v>
      </c>
      <c r="U24" s="229">
        <v>0</v>
      </c>
      <c r="V24" s="229">
        <v>0</v>
      </c>
      <c r="W24" s="229">
        <v>0</v>
      </c>
      <c r="X24" s="229">
        <v>0</v>
      </c>
      <c r="Y24" s="229">
        <v>0</v>
      </c>
      <c r="Z24" s="229">
        <v>0</v>
      </c>
      <c r="AA24" s="229">
        <v>0</v>
      </c>
      <c r="AB24" s="229">
        <v>0</v>
      </c>
      <c r="AC24" s="229">
        <v>0</v>
      </c>
    </row>
    <row r="25" spans="1:29" s="165" customFormat="1" ht="13.8">
      <c r="A25" s="591" t="s">
        <v>1401</v>
      </c>
      <c r="B25" s="57" t="s">
        <v>1402</v>
      </c>
      <c r="C25" s="57"/>
      <c r="D25" s="57"/>
      <c r="E25" s="57"/>
      <c r="F25" s="57"/>
      <c r="G25" s="57"/>
      <c r="H25" s="229">
        <v>0</v>
      </c>
      <c r="I25" s="229">
        <v>0</v>
      </c>
      <c r="J25" s="229">
        <v>0</v>
      </c>
      <c r="K25" s="229">
        <v>0</v>
      </c>
      <c r="L25" s="229">
        <v>0</v>
      </c>
      <c r="M25" s="229">
        <v>0</v>
      </c>
      <c r="N25" s="229">
        <v>0</v>
      </c>
      <c r="O25" s="229">
        <v>0</v>
      </c>
      <c r="P25" s="229">
        <v>-4328</v>
      </c>
      <c r="Q25" s="229">
        <v>-1957</v>
      </c>
      <c r="R25" s="229">
        <v>-4328</v>
      </c>
      <c r="S25" s="229">
        <v>-5931</v>
      </c>
      <c r="T25" s="229">
        <v>-2263</v>
      </c>
      <c r="U25" s="229">
        <v>-3287</v>
      </c>
      <c r="V25" s="229">
        <v>-4132</v>
      </c>
      <c r="W25" s="229">
        <v>-6798</v>
      </c>
      <c r="X25" s="229">
        <v>-906</v>
      </c>
      <c r="Y25" s="229">
        <v>-1486</v>
      </c>
      <c r="Z25" s="229">
        <v>-2620</v>
      </c>
      <c r="AA25" s="229">
        <v>-4462</v>
      </c>
      <c r="AB25" s="229">
        <v>-1379</v>
      </c>
      <c r="AC25" s="229">
        <v>-2058</v>
      </c>
    </row>
    <row r="26" spans="1:29" s="165" customFormat="1" ht="13.8">
      <c r="A26" s="591" t="s">
        <v>1403</v>
      </c>
      <c r="B26" s="57" t="s">
        <v>2015</v>
      </c>
      <c r="C26" s="57"/>
      <c r="D26" s="57"/>
      <c r="E26" s="57"/>
      <c r="F26" s="57"/>
      <c r="G26" s="57"/>
      <c r="H26" s="229"/>
      <c r="I26" s="229"/>
      <c r="J26" s="229"/>
      <c r="K26" s="229"/>
      <c r="L26" s="229"/>
      <c r="M26" s="229"/>
      <c r="N26" s="229"/>
      <c r="O26" s="229"/>
      <c r="P26" s="229"/>
      <c r="Q26" s="229"/>
      <c r="R26" s="229"/>
      <c r="S26" s="229"/>
      <c r="T26" s="229"/>
      <c r="U26" s="229"/>
      <c r="V26" s="229"/>
      <c r="W26" s="229"/>
      <c r="X26" s="229"/>
      <c r="Y26" s="229">
        <v>0</v>
      </c>
      <c r="Z26" s="229">
        <v>0</v>
      </c>
      <c r="AA26" s="229">
        <v>0</v>
      </c>
      <c r="AB26" s="229">
        <v>0</v>
      </c>
      <c r="AC26" s="229">
        <v>0</v>
      </c>
    </row>
    <row r="27" spans="1:29" s="165" customFormat="1" ht="13.8">
      <c r="A27" s="591" t="s">
        <v>1470</v>
      </c>
      <c r="B27" s="57" t="s">
        <v>1980</v>
      </c>
      <c r="C27" s="57"/>
      <c r="D27" s="57"/>
      <c r="E27" s="57"/>
      <c r="F27" s="57"/>
      <c r="G27" s="57"/>
      <c r="H27" s="229">
        <v>13690</v>
      </c>
      <c r="I27" s="229">
        <v>23132</v>
      </c>
      <c r="J27" s="229">
        <v>3802</v>
      </c>
      <c r="K27" s="229">
        <v>-108882</v>
      </c>
      <c r="L27" s="229">
        <v>15467</v>
      </c>
      <c r="M27" s="229">
        <v>20090</v>
      </c>
      <c r="N27" s="229">
        <v>35044</v>
      </c>
      <c r="O27" s="229">
        <v>48348</v>
      </c>
      <c r="P27" s="229">
        <v>15780</v>
      </c>
      <c r="Q27" s="229">
        <v>12362</v>
      </c>
      <c r="R27" s="229">
        <v>15780</v>
      </c>
      <c r="S27" s="229">
        <v>23456</v>
      </c>
      <c r="T27" s="229">
        <v>7082</v>
      </c>
      <c r="U27" s="229">
        <v>9019</v>
      </c>
      <c r="V27" s="229">
        <v>-11574</v>
      </c>
      <c r="W27" s="229">
        <v>551</v>
      </c>
      <c r="X27" s="229">
        <v>14673</v>
      </c>
      <c r="Y27" s="229">
        <v>24732</v>
      </c>
      <c r="Z27" s="229">
        <v>19355</v>
      </c>
      <c r="AA27" s="229">
        <v>47098</v>
      </c>
      <c r="AB27" s="229">
        <v>5700</v>
      </c>
      <c r="AC27" s="229">
        <v>1540</v>
      </c>
    </row>
    <row r="28" spans="1:29" s="165" customFormat="1" ht="13.8">
      <c r="A28" s="591" t="s">
        <v>1404</v>
      </c>
      <c r="B28" s="57" t="s">
        <v>1979</v>
      </c>
      <c r="C28" s="57"/>
      <c r="D28" s="57"/>
      <c r="E28" s="57"/>
      <c r="F28" s="57"/>
      <c r="G28" s="57"/>
      <c r="H28" s="229">
        <v>0</v>
      </c>
      <c r="I28" s="229">
        <v>0</v>
      </c>
      <c r="J28" s="229">
        <v>0</v>
      </c>
      <c r="K28" s="229">
        <v>0</v>
      </c>
      <c r="L28" s="229">
        <v>0</v>
      </c>
      <c r="M28" s="229">
        <v>0</v>
      </c>
      <c r="N28" s="229">
        <v>0</v>
      </c>
      <c r="O28" s="229">
        <v>0</v>
      </c>
      <c r="P28" s="229">
        <v>0</v>
      </c>
      <c r="Q28" s="229">
        <v>0</v>
      </c>
      <c r="R28" s="229">
        <v>0</v>
      </c>
      <c r="S28" s="229">
        <v>0</v>
      </c>
      <c r="T28" s="229">
        <v>0</v>
      </c>
      <c r="U28" s="229">
        <v>0</v>
      </c>
      <c r="V28" s="229">
        <v>0</v>
      </c>
      <c r="W28" s="229">
        <v>0</v>
      </c>
      <c r="X28" s="229">
        <v>0</v>
      </c>
      <c r="Y28" s="229">
        <v>0</v>
      </c>
      <c r="Z28" s="229">
        <v>0</v>
      </c>
      <c r="AA28" s="229">
        <v>0</v>
      </c>
      <c r="AB28" s="229">
        <v>0</v>
      </c>
      <c r="AC28" s="229">
        <v>0</v>
      </c>
    </row>
    <row r="29" spans="1:29" s="165" customFormat="1" ht="13.8">
      <c r="A29" s="591" t="s">
        <v>720</v>
      </c>
      <c r="B29" s="57" t="s">
        <v>1981</v>
      </c>
      <c r="C29" s="57"/>
      <c r="D29" s="57"/>
      <c r="E29" s="57"/>
      <c r="F29" s="57"/>
      <c r="G29" s="57"/>
      <c r="H29" s="229">
        <v>0</v>
      </c>
      <c r="I29" s="229">
        <v>0</v>
      </c>
      <c r="J29" s="229">
        <v>0</v>
      </c>
      <c r="K29" s="229">
        <v>0</v>
      </c>
      <c r="L29" s="229">
        <v>0</v>
      </c>
      <c r="M29" s="229">
        <v>0</v>
      </c>
      <c r="N29" s="229">
        <v>0</v>
      </c>
      <c r="O29" s="229">
        <v>0</v>
      </c>
      <c r="P29" s="229">
        <v>9490</v>
      </c>
      <c r="Q29" s="229">
        <v>3947</v>
      </c>
      <c r="R29" s="229">
        <v>9490</v>
      </c>
      <c r="S29" s="229">
        <v>11813</v>
      </c>
      <c r="T29" s="229">
        <v>5936</v>
      </c>
      <c r="U29" s="229">
        <v>10614</v>
      </c>
      <c r="V29" s="229">
        <v>20817</v>
      </c>
      <c r="W29" s="229">
        <v>50420</v>
      </c>
      <c r="X29" s="229">
        <v>2559</v>
      </c>
      <c r="Y29" s="229">
        <v>4420</v>
      </c>
      <c r="Z29" s="229">
        <v>5110</v>
      </c>
      <c r="AA29" s="229">
        <v>6247</v>
      </c>
      <c r="AB29" s="229">
        <v>-516</v>
      </c>
      <c r="AC29" s="229">
        <v>5451</v>
      </c>
    </row>
    <row r="30" spans="1:29" s="165" customFormat="1" ht="13.8">
      <c r="A30" s="591" t="s">
        <v>1405</v>
      </c>
      <c r="B30" s="57" t="s">
        <v>1985</v>
      </c>
      <c r="C30" s="57"/>
      <c r="D30" s="57"/>
      <c r="E30" s="57"/>
      <c r="F30" s="57"/>
      <c r="G30" s="57"/>
      <c r="H30" s="229">
        <v>0</v>
      </c>
      <c r="I30" s="229">
        <v>0</v>
      </c>
      <c r="J30" s="229">
        <v>0</v>
      </c>
      <c r="K30" s="229">
        <v>24507</v>
      </c>
      <c r="L30" s="229">
        <v>0</v>
      </c>
      <c r="M30" s="229">
        <v>0</v>
      </c>
      <c r="N30" s="229">
        <v>0</v>
      </c>
      <c r="O30" s="229">
        <v>21486</v>
      </c>
      <c r="P30" s="229">
        <v>16725</v>
      </c>
      <c r="Q30" s="229">
        <v>10848</v>
      </c>
      <c r="R30" s="229">
        <v>16725</v>
      </c>
      <c r="S30" s="229">
        <v>22685</v>
      </c>
      <c r="T30" s="229">
        <v>6041</v>
      </c>
      <c r="U30" s="229">
        <v>12101</v>
      </c>
      <c r="V30" s="229">
        <v>18869</v>
      </c>
      <c r="W30" s="229">
        <v>26094</v>
      </c>
      <c r="X30" s="229">
        <v>6491</v>
      </c>
      <c r="Y30" s="229">
        <v>18159</v>
      </c>
      <c r="Z30" s="229">
        <v>20906</v>
      </c>
      <c r="AA30" s="229">
        <v>28182</v>
      </c>
      <c r="AB30" s="229">
        <v>0</v>
      </c>
      <c r="AC30" s="229">
        <v>0</v>
      </c>
    </row>
    <row r="31" spans="1:29" s="165" customFormat="1" ht="13.8">
      <c r="A31" s="591" t="s">
        <v>1471</v>
      </c>
      <c r="B31" s="57" t="s">
        <v>1984</v>
      </c>
      <c r="C31" s="57"/>
      <c r="D31" s="57"/>
      <c r="E31" s="57"/>
      <c r="F31" s="57"/>
      <c r="G31" s="57"/>
      <c r="H31" s="229">
        <v>1349</v>
      </c>
      <c r="I31" s="229">
        <v>45</v>
      </c>
      <c r="J31" s="229">
        <v>-4516</v>
      </c>
      <c r="K31" s="229">
        <v>-15339</v>
      </c>
      <c r="L31" s="229">
        <v>5000</v>
      </c>
      <c r="M31" s="229">
        <v>10861</v>
      </c>
      <c r="N31" s="229">
        <v>10843</v>
      </c>
      <c r="O31" s="229">
        <v>19807</v>
      </c>
      <c r="P31" s="229">
        <v>14789</v>
      </c>
      <c r="Q31" s="229">
        <v>12671</v>
      </c>
      <c r="R31" s="229">
        <v>14789</v>
      </c>
      <c r="S31" s="229">
        <v>19687</v>
      </c>
      <c r="T31" s="229">
        <v>7618</v>
      </c>
      <c r="U31" s="229">
        <v>13601</v>
      </c>
      <c r="V31" s="229">
        <v>20758</v>
      </c>
      <c r="W31" s="229">
        <v>25525</v>
      </c>
      <c r="X31" s="229">
        <v>7183</v>
      </c>
      <c r="Y31" s="229">
        <v>14426</v>
      </c>
      <c r="Z31" s="229">
        <v>27270</v>
      </c>
      <c r="AA31" s="229">
        <v>21749</v>
      </c>
      <c r="AB31" s="229">
        <v>-14920</v>
      </c>
      <c r="AC31" s="229">
        <v>-11438</v>
      </c>
    </row>
    <row r="32" spans="1:29" s="165" customFormat="1" ht="13.8">
      <c r="A32" s="591" t="s">
        <v>1407</v>
      </c>
      <c r="B32" s="57" t="s">
        <v>1986</v>
      </c>
      <c r="C32" s="57"/>
      <c r="D32" s="57"/>
      <c r="E32" s="57"/>
      <c r="F32" s="57"/>
      <c r="G32" s="57"/>
      <c r="H32" s="229">
        <v>-89364</v>
      </c>
      <c r="I32" s="229">
        <v>-207997</v>
      </c>
      <c r="J32" s="229">
        <v>-379085</v>
      </c>
      <c r="K32" s="229">
        <v>-613502</v>
      </c>
      <c r="L32" s="229">
        <v>-8749</v>
      </c>
      <c r="M32" s="229">
        <v>-68927</v>
      </c>
      <c r="N32" s="229">
        <v>-116664</v>
      </c>
      <c r="O32" s="229">
        <v>-146673</v>
      </c>
      <c r="P32" s="229">
        <v>-42226</v>
      </c>
      <c r="Q32" s="229">
        <v>-3265</v>
      </c>
      <c r="R32" s="229">
        <v>-42226</v>
      </c>
      <c r="S32" s="229">
        <v>-1508</v>
      </c>
      <c r="T32" s="229">
        <v>90596</v>
      </c>
      <c r="U32" s="229">
        <v>131820</v>
      </c>
      <c r="V32" s="229">
        <v>65046</v>
      </c>
      <c r="W32" s="229">
        <v>130722</v>
      </c>
      <c r="X32" s="229">
        <v>82323</v>
      </c>
      <c r="Y32" s="229">
        <v>62046</v>
      </c>
      <c r="Z32" s="229">
        <v>-2361</v>
      </c>
      <c r="AA32" s="229">
        <v>-44933</v>
      </c>
      <c r="AB32" s="229">
        <v>-66079</v>
      </c>
      <c r="AC32" s="229">
        <v>-227322</v>
      </c>
    </row>
    <row r="33" spans="1:29" s="165" customFormat="1" ht="13.8">
      <c r="A33" s="591" t="s">
        <v>1408</v>
      </c>
      <c r="B33" s="57" t="s">
        <v>1987</v>
      </c>
      <c r="C33" s="57"/>
      <c r="D33" s="57"/>
      <c r="E33" s="57"/>
      <c r="F33" s="57"/>
      <c r="G33" s="57"/>
      <c r="H33" s="229">
        <v>0</v>
      </c>
      <c r="I33" s="229">
        <v>0</v>
      </c>
      <c r="J33" s="229">
        <v>0</v>
      </c>
      <c r="K33" s="229">
        <v>0</v>
      </c>
      <c r="L33" s="229">
        <v>0</v>
      </c>
      <c r="M33" s="229">
        <v>0</v>
      </c>
      <c r="N33" s="229">
        <v>0</v>
      </c>
      <c r="O33" s="229">
        <v>0</v>
      </c>
      <c r="P33" s="229">
        <v>0</v>
      </c>
      <c r="Q33" s="229">
        <v>0</v>
      </c>
      <c r="R33" s="229">
        <v>0</v>
      </c>
      <c r="S33" s="229">
        <v>0</v>
      </c>
      <c r="T33" s="229">
        <v>0</v>
      </c>
      <c r="U33" s="229">
        <v>0</v>
      </c>
      <c r="V33" s="229">
        <v>0</v>
      </c>
      <c r="W33" s="229">
        <v>0</v>
      </c>
      <c r="X33" s="229">
        <v>0</v>
      </c>
      <c r="Y33" s="229">
        <v>0</v>
      </c>
      <c r="Z33" s="229">
        <v>0</v>
      </c>
      <c r="AA33" s="229">
        <v>0</v>
      </c>
      <c r="AB33" s="229">
        <v>0</v>
      </c>
      <c r="AC33" s="229">
        <v>0</v>
      </c>
    </row>
    <row r="34" spans="1:29" s="165" customFormat="1" ht="13.8">
      <c r="A34" s="591" t="s">
        <v>1472</v>
      </c>
      <c r="B34" s="57" t="s">
        <v>775</v>
      </c>
      <c r="C34" s="57"/>
      <c r="D34" s="57"/>
      <c r="E34" s="57"/>
      <c r="F34" s="57"/>
      <c r="G34" s="57"/>
      <c r="H34" s="229">
        <v>0</v>
      </c>
      <c r="I34" s="229">
        <v>0</v>
      </c>
      <c r="J34" s="229">
        <v>-602113</v>
      </c>
      <c r="K34" s="229">
        <v>-544022</v>
      </c>
      <c r="L34" s="229">
        <v>15528</v>
      </c>
      <c r="M34" s="229">
        <v>34794</v>
      </c>
      <c r="N34" s="229">
        <v>42564</v>
      </c>
      <c r="O34" s="229">
        <v>42039</v>
      </c>
      <c r="P34" s="229">
        <v>36278</v>
      </c>
      <c r="Q34" s="229">
        <v>18500</v>
      </c>
      <c r="R34" s="229">
        <v>36278</v>
      </c>
      <c r="S34" s="229">
        <v>23444</v>
      </c>
      <c r="T34" s="229">
        <v>9832</v>
      </c>
      <c r="U34" s="229">
        <v>36678</v>
      </c>
      <c r="V34" s="229">
        <v>51665</v>
      </c>
      <c r="W34" s="229">
        <v>51620</v>
      </c>
      <c r="X34" s="229">
        <v>6927</v>
      </c>
      <c r="Y34" s="229">
        <v>4467</v>
      </c>
      <c r="Z34" s="229">
        <v>-4571</v>
      </c>
      <c r="AA34" s="229">
        <v>-4379</v>
      </c>
      <c r="AB34" s="229">
        <v>30700</v>
      </c>
      <c r="AC34" s="229">
        <v>82354</v>
      </c>
    </row>
    <row r="35" spans="1:29" s="165" customFormat="1" ht="13.8">
      <c r="A35" s="591" t="s">
        <v>1409</v>
      </c>
      <c r="B35" s="57" t="s">
        <v>1988</v>
      </c>
      <c r="C35" s="57"/>
      <c r="D35" s="57"/>
      <c r="E35" s="57"/>
      <c r="F35" s="57"/>
      <c r="G35" s="57"/>
      <c r="H35" s="229">
        <v>5641</v>
      </c>
      <c r="I35" s="229">
        <v>19720</v>
      </c>
      <c r="J35" s="229">
        <v>26440</v>
      </c>
      <c r="K35" s="229">
        <v>32795</v>
      </c>
      <c r="L35" s="229">
        <v>3237</v>
      </c>
      <c r="M35" s="229">
        <v>10337</v>
      </c>
      <c r="N35" s="229">
        <v>16176</v>
      </c>
      <c r="O35" s="229">
        <v>27327</v>
      </c>
      <c r="P35" s="229">
        <v>23422</v>
      </c>
      <c r="Q35" s="229">
        <v>16015</v>
      </c>
      <c r="R35" s="229">
        <v>23422</v>
      </c>
      <c r="S35" s="229">
        <v>11807</v>
      </c>
      <c r="T35" s="229">
        <v>6805</v>
      </c>
      <c r="U35" s="229">
        <v>9756</v>
      </c>
      <c r="V35" s="229">
        <v>17327</v>
      </c>
      <c r="W35" s="229">
        <v>1667</v>
      </c>
      <c r="X35" s="229">
        <v>21144</v>
      </c>
      <c r="Y35" s="229">
        <v>57542</v>
      </c>
      <c r="Z35" s="229">
        <v>70637</v>
      </c>
      <c r="AA35" s="229">
        <v>75514</v>
      </c>
      <c r="AB35" s="229">
        <v>15985</v>
      </c>
      <c r="AC35" s="229">
        <v>26163</v>
      </c>
    </row>
    <row r="36" spans="1:29" s="165" customFormat="1" ht="13.8">
      <c r="A36" s="591" t="s">
        <v>1410</v>
      </c>
      <c r="B36" s="57" t="s">
        <v>1989</v>
      </c>
      <c r="C36" s="57"/>
      <c r="D36" s="57"/>
      <c r="E36" s="57"/>
      <c r="F36" s="57"/>
      <c r="G36" s="57"/>
      <c r="H36" s="229">
        <v>2405</v>
      </c>
      <c r="I36" s="229">
        <v>4504</v>
      </c>
      <c r="J36" s="229">
        <v>6038</v>
      </c>
      <c r="K36" s="229">
        <v>7320</v>
      </c>
      <c r="L36" s="229">
        <v>478</v>
      </c>
      <c r="M36" s="229">
        <v>1872</v>
      </c>
      <c r="N36" s="229">
        <v>2798</v>
      </c>
      <c r="O36" s="229">
        <v>4043</v>
      </c>
      <c r="P36" s="229">
        <v>3709</v>
      </c>
      <c r="Q36" s="229">
        <v>2350</v>
      </c>
      <c r="R36" s="229">
        <v>3709</v>
      </c>
      <c r="S36" s="229">
        <v>5486</v>
      </c>
      <c r="T36" s="229">
        <v>-2577</v>
      </c>
      <c r="U36" s="229">
        <v>-2661</v>
      </c>
      <c r="V36" s="229">
        <v>-1880</v>
      </c>
      <c r="W36" s="229">
        <v>-2137</v>
      </c>
      <c r="X36" s="229">
        <v>1363</v>
      </c>
      <c r="Y36" s="229">
        <v>3271</v>
      </c>
      <c r="Z36" s="229">
        <v>5554</v>
      </c>
      <c r="AA36" s="229">
        <v>9144</v>
      </c>
      <c r="AB36" s="229">
        <v>3637</v>
      </c>
      <c r="AC36" s="229">
        <v>8254</v>
      </c>
    </row>
    <row r="37" spans="1:29" s="165" customFormat="1" ht="13.8">
      <c r="A37" s="591" t="s">
        <v>1411</v>
      </c>
      <c r="B37" s="57" t="s">
        <v>1990</v>
      </c>
      <c r="C37" s="57"/>
      <c r="D37" s="57"/>
      <c r="E37" s="57"/>
      <c r="F37" s="57"/>
      <c r="G37" s="57"/>
      <c r="H37" s="229"/>
      <c r="I37" s="229"/>
      <c r="J37" s="229"/>
      <c r="K37" s="229"/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Y37" s="229">
        <v>0</v>
      </c>
      <c r="Z37" s="229">
        <v>0</v>
      </c>
      <c r="AA37" s="229">
        <v>0</v>
      </c>
      <c r="AB37" s="229">
        <v>0</v>
      </c>
      <c r="AC37" s="229">
        <v>0</v>
      </c>
    </row>
    <row r="38" spans="1:29" s="165" customFormat="1" ht="13.8">
      <c r="A38" s="591" t="s">
        <v>1127</v>
      </c>
      <c r="B38" s="57" t="s">
        <v>1991</v>
      </c>
      <c r="C38" s="57"/>
      <c r="D38" s="57"/>
      <c r="E38" s="57"/>
      <c r="F38" s="57"/>
      <c r="G38" s="57"/>
      <c r="H38" s="229">
        <v>0</v>
      </c>
      <c r="I38" s="229">
        <v>0</v>
      </c>
      <c r="J38" s="229">
        <v>0</v>
      </c>
      <c r="K38" s="229">
        <v>0</v>
      </c>
      <c r="L38" s="229">
        <v>0</v>
      </c>
      <c r="M38" s="229">
        <v>0</v>
      </c>
      <c r="N38" s="229">
        <v>0</v>
      </c>
      <c r="O38" s="229">
        <v>0</v>
      </c>
      <c r="P38" s="229">
        <v>9091</v>
      </c>
      <c r="Q38" s="229">
        <v>7957</v>
      </c>
      <c r="R38" s="229">
        <v>9091</v>
      </c>
      <c r="S38" s="229">
        <v>11392</v>
      </c>
      <c r="T38" s="229">
        <v>14</v>
      </c>
      <c r="U38" s="229">
        <v>34</v>
      </c>
      <c r="V38" s="229">
        <v>56</v>
      </c>
      <c r="W38" s="229">
        <v>159</v>
      </c>
      <c r="X38" s="229">
        <v>22</v>
      </c>
      <c r="Y38" s="229">
        <v>49</v>
      </c>
      <c r="Z38" s="229">
        <v>1744</v>
      </c>
      <c r="AA38" s="229">
        <v>108</v>
      </c>
      <c r="AB38" s="229">
        <v>0</v>
      </c>
      <c r="AC38" s="229">
        <v>53</v>
      </c>
    </row>
    <row r="39" spans="1:29" s="165" customFormat="1" ht="13.8">
      <c r="A39" s="591" t="s">
        <v>1412</v>
      </c>
      <c r="B39" s="57" t="s">
        <v>1992</v>
      </c>
      <c r="C39" s="57"/>
      <c r="D39" s="57"/>
      <c r="E39" s="57"/>
      <c r="F39" s="57"/>
      <c r="G39" s="57"/>
      <c r="H39" s="229">
        <v>0</v>
      </c>
      <c r="I39" s="229">
        <v>0</v>
      </c>
      <c r="J39" s="229">
        <v>0</v>
      </c>
      <c r="K39" s="229">
        <v>0</v>
      </c>
      <c r="L39" s="229">
        <v>0</v>
      </c>
      <c r="M39" s="229">
        <v>0</v>
      </c>
      <c r="N39" s="229">
        <v>0</v>
      </c>
      <c r="O39" s="229">
        <v>0</v>
      </c>
      <c r="P39" s="229">
        <v>0</v>
      </c>
      <c r="Q39" s="229">
        <v>0</v>
      </c>
      <c r="R39" s="229">
        <v>0</v>
      </c>
      <c r="S39" s="229">
        <v>0</v>
      </c>
      <c r="T39" s="229">
        <v>0</v>
      </c>
      <c r="U39" s="229">
        <v>0</v>
      </c>
      <c r="V39" s="229">
        <v>0</v>
      </c>
      <c r="W39" s="229">
        <v>0</v>
      </c>
      <c r="X39" s="229">
        <v>0</v>
      </c>
      <c r="Y39" s="229">
        <v>0</v>
      </c>
      <c r="Z39" s="229">
        <v>0</v>
      </c>
      <c r="AA39" s="229">
        <v>0</v>
      </c>
      <c r="AB39" s="229">
        <v>0</v>
      </c>
      <c r="AC39" s="229">
        <v>0</v>
      </c>
    </row>
    <row r="40" spans="1:29" s="165" customFormat="1" ht="13.8">
      <c r="A40" s="591" t="s">
        <v>1123</v>
      </c>
      <c r="B40" s="57" t="s">
        <v>1977</v>
      </c>
      <c r="C40" s="57"/>
      <c r="D40" s="57"/>
      <c r="E40" s="57"/>
      <c r="F40" s="57"/>
      <c r="G40" s="57"/>
      <c r="H40" s="229">
        <v>2029</v>
      </c>
      <c r="I40" s="229">
        <v>4057</v>
      </c>
      <c r="J40" s="229">
        <v>6471</v>
      </c>
      <c r="K40" s="229">
        <v>8959</v>
      </c>
      <c r="L40" s="229">
        <v>2236</v>
      </c>
      <c r="M40" s="229">
        <v>5247</v>
      </c>
      <c r="N40" s="229">
        <v>6823</v>
      </c>
      <c r="O40" s="229">
        <v>9111</v>
      </c>
      <c r="P40" s="229">
        <v>7054</v>
      </c>
      <c r="Q40" s="229">
        <v>4703</v>
      </c>
      <c r="R40" s="229">
        <v>7054</v>
      </c>
      <c r="S40" s="229">
        <v>9406</v>
      </c>
      <c r="T40" s="229">
        <v>3027</v>
      </c>
      <c r="U40" s="229">
        <v>5808</v>
      </c>
      <c r="V40" s="229">
        <v>9207</v>
      </c>
      <c r="W40" s="229">
        <v>12934</v>
      </c>
      <c r="X40" s="229">
        <v>4381</v>
      </c>
      <c r="Y40" s="229">
        <v>8565</v>
      </c>
      <c r="Z40" s="229">
        <v>14024</v>
      </c>
      <c r="AA40" s="229">
        <v>20492</v>
      </c>
      <c r="AB40" s="229">
        <v>7531</v>
      </c>
      <c r="AC40" s="229">
        <v>14257</v>
      </c>
    </row>
    <row r="41" spans="1:29" s="165" customFormat="1" ht="13.8">
      <c r="A41" s="591" t="s">
        <v>1473</v>
      </c>
      <c r="B41" s="57" t="s">
        <v>1195</v>
      </c>
      <c r="C41" s="57"/>
      <c r="D41" s="57"/>
      <c r="E41" s="57"/>
      <c r="F41" s="57"/>
      <c r="G41" s="57"/>
      <c r="H41" s="229">
        <v>0</v>
      </c>
      <c r="I41" s="229">
        <v>0</v>
      </c>
      <c r="J41" s="229">
        <v>0</v>
      </c>
      <c r="K41" s="229">
        <v>1398</v>
      </c>
      <c r="L41" s="229">
        <v>0</v>
      </c>
      <c r="M41" s="229">
        <v>0</v>
      </c>
      <c r="N41" s="229">
        <v>0</v>
      </c>
      <c r="O41" s="229">
        <v>2896</v>
      </c>
      <c r="P41" s="229">
        <v>6499</v>
      </c>
      <c r="Q41" s="229">
        <v>0</v>
      </c>
      <c r="R41" s="229">
        <v>6499</v>
      </c>
      <c r="S41" s="229">
        <v>8665</v>
      </c>
      <c r="T41" s="229">
        <v>582</v>
      </c>
      <c r="U41" s="229">
        <v>1165</v>
      </c>
      <c r="V41" s="229">
        <v>1748</v>
      </c>
      <c r="W41" s="229">
        <v>9164</v>
      </c>
      <c r="X41" s="229">
        <v>0</v>
      </c>
      <c r="Y41" s="229">
        <v>0</v>
      </c>
      <c r="Z41" s="229">
        <v>0</v>
      </c>
      <c r="AA41" s="229">
        <v>0</v>
      </c>
      <c r="AB41" s="229">
        <v>0</v>
      </c>
      <c r="AC41" s="229">
        <v>0</v>
      </c>
    </row>
    <row r="42" spans="1:29" s="165" customFormat="1" ht="13.8">
      <c r="A42" s="591" t="s">
        <v>1413</v>
      </c>
      <c r="B42" s="57" t="s">
        <v>2014</v>
      </c>
      <c r="C42" s="57"/>
      <c r="D42" s="57"/>
      <c r="E42" s="57"/>
      <c r="F42" s="57"/>
      <c r="G42" s="57"/>
      <c r="H42" s="229"/>
      <c r="I42" s="229"/>
      <c r="J42" s="229"/>
      <c r="K42" s="229"/>
      <c r="L42" s="229"/>
      <c r="M42" s="229"/>
      <c r="N42" s="229"/>
      <c r="O42" s="229"/>
      <c r="P42" s="229"/>
      <c r="Q42" s="229"/>
      <c r="R42" s="229"/>
      <c r="S42" s="229"/>
      <c r="T42" s="229"/>
      <c r="U42" s="229"/>
      <c r="V42" s="229"/>
      <c r="W42" s="229"/>
      <c r="X42" s="229"/>
      <c r="Y42" s="229">
        <v>0</v>
      </c>
      <c r="Z42" s="229">
        <v>0</v>
      </c>
      <c r="AA42" s="229">
        <v>0</v>
      </c>
      <c r="AB42" s="229">
        <v>0</v>
      </c>
      <c r="AC42" s="229">
        <v>0</v>
      </c>
    </row>
    <row r="43" spans="1:29" s="165" customFormat="1" ht="13.8">
      <c r="A43" s="591" t="s">
        <v>1414</v>
      </c>
      <c r="B43" s="57" t="s">
        <v>1992</v>
      </c>
      <c r="C43" s="57"/>
      <c r="D43" s="57"/>
      <c r="E43" s="57"/>
      <c r="F43" s="57"/>
      <c r="G43" s="57"/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29"/>
      <c r="T43" s="229"/>
      <c r="U43" s="229"/>
      <c r="V43" s="229"/>
      <c r="W43" s="229"/>
      <c r="X43" s="229"/>
      <c r="Y43" s="229">
        <v>0</v>
      </c>
      <c r="Z43" s="229">
        <v>0</v>
      </c>
      <c r="AA43" s="229">
        <v>0</v>
      </c>
      <c r="AB43" s="229">
        <v>0</v>
      </c>
      <c r="AC43" s="229">
        <v>0</v>
      </c>
    </row>
    <row r="44" spans="1:29" s="165" customFormat="1" ht="13.8">
      <c r="A44" s="591" t="s">
        <v>1415</v>
      </c>
      <c r="B44" s="57" t="s">
        <v>1993</v>
      </c>
      <c r="C44" s="57"/>
      <c r="D44" s="57"/>
      <c r="E44" s="57"/>
      <c r="F44" s="57"/>
      <c r="G44" s="57"/>
      <c r="H44" s="229"/>
      <c r="I44" s="229"/>
      <c r="J44" s="229"/>
      <c r="K44" s="229"/>
      <c r="L44" s="229"/>
      <c r="M44" s="229"/>
      <c r="N44" s="229"/>
      <c r="O44" s="229"/>
      <c r="P44" s="229"/>
      <c r="Q44" s="229"/>
      <c r="R44" s="229"/>
      <c r="S44" s="229"/>
      <c r="T44" s="229"/>
      <c r="U44" s="229"/>
      <c r="V44" s="229"/>
      <c r="W44" s="229"/>
      <c r="X44" s="229"/>
      <c r="Y44" s="229">
        <v>0</v>
      </c>
      <c r="Z44" s="229">
        <v>0</v>
      </c>
      <c r="AA44" s="229">
        <v>0</v>
      </c>
      <c r="AB44" s="229">
        <v>0</v>
      </c>
      <c r="AC44" s="229">
        <v>0</v>
      </c>
    </row>
    <row r="45" spans="1:29" s="165" customFormat="1" ht="13.8">
      <c r="A45" s="591" t="s">
        <v>2523</v>
      </c>
      <c r="B45" s="57" t="s">
        <v>2528</v>
      </c>
      <c r="C45" s="57"/>
      <c r="D45" s="57"/>
      <c r="E45" s="57"/>
      <c r="F45" s="57"/>
      <c r="G45" s="57"/>
      <c r="H45" s="229"/>
      <c r="I45" s="229"/>
      <c r="J45" s="229"/>
      <c r="K45" s="229"/>
      <c r="L45" s="229"/>
      <c r="M45" s="229"/>
      <c r="N45" s="229"/>
      <c r="O45" s="229"/>
      <c r="P45" s="229"/>
      <c r="Q45" s="229"/>
      <c r="R45" s="229"/>
      <c r="S45" s="229"/>
      <c r="T45" s="229"/>
      <c r="U45" s="229"/>
      <c r="V45" s="229"/>
      <c r="W45" s="229"/>
      <c r="X45" s="229"/>
      <c r="Y45" s="229"/>
      <c r="Z45" s="229"/>
      <c r="AA45" s="229"/>
      <c r="AB45" s="229"/>
      <c r="AC45" s="229">
        <v>-31715</v>
      </c>
    </row>
    <row r="46" spans="1:29" s="165" customFormat="1" ht="13.8">
      <c r="A46" s="591" t="s">
        <v>1474</v>
      </c>
      <c r="B46" s="57" t="s">
        <v>1417</v>
      </c>
      <c r="C46" s="57"/>
      <c r="D46" s="57"/>
      <c r="E46" s="57"/>
      <c r="F46" s="57"/>
      <c r="G46" s="57"/>
      <c r="H46" s="229">
        <v>0</v>
      </c>
      <c r="I46" s="229">
        <v>0</v>
      </c>
      <c r="J46" s="229">
        <v>0</v>
      </c>
      <c r="K46" s="229">
        <v>0</v>
      </c>
      <c r="L46" s="229">
        <v>0</v>
      </c>
      <c r="M46" s="229">
        <v>0</v>
      </c>
      <c r="N46" s="229">
        <v>0</v>
      </c>
      <c r="O46" s="229">
        <v>0</v>
      </c>
      <c r="P46" s="229">
        <v>0</v>
      </c>
      <c r="Q46" s="229">
        <v>0</v>
      </c>
      <c r="R46" s="229">
        <v>0</v>
      </c>
      <c r="S46" s="229">
        <v>0</v>
      </c>
      <c r="T46" s="229">
        <v>4203</v>
      </c>
      <c r="U46" s="229">
        <v>2181</v>
      </c>
      <c r="V46" s="229">
        <v>399</v>
      </c>
      <c r="W46" s="229">
        <v>540</v>
      </c>
      <c r="X46" s="229">
        <v>1172</v>
      </c>
      <c r="Y46" s="229">
        <v>5209</v>
      </c>
      <c r="Z46" s="229">
        <v>12151</v>
      </c>
      <c r="AA46" s="229">
        <v>9964</v>
      </c>
      <c r="AB46" s="229">
        <v>-3050</v>
      </c>
      <c r="AC46" s="229">
        <v>-6030</v>
      </c>
    </row>
    <row r="47" spans="1:29" s="165" customFormat="1" ht="13.8">
      <c r="A47" s="591" t="s">
        <v>95</v>
      </c>
      <c r="B47" s="57" t="s">
        <v>96</v>
      </c>
      <c r="C47" s="57"/>
      <c r="D47" s="57"/>
      <c r="E47" s="57"/>
      <c r="F47" s="57"/>
      <c r="G47" s="57"/>
      <c r="H47" s="229">
        <v>5278</v>
      </c>
      <c r="I47" s="229">
        <v>-41721</v>
      </c>
      <c r="J47" s="229">
        <v>16211</v>
      </c>
      <c r="K47" s="229">
        <v>0</v>
      </c>
      <c r="L47" s="229">
        <v>5205</v>
      </c>
      <c r="M47" s="229">
        <v>-49646</v>
      </c>
      <c r="N47" s="229">
        <v>15748</v>
      </c>
      <c r="O47" s="229">
        <v>0</v>
      </c>
      <c r="P47" s="229">
        <v>0</v>
      </c>
      <c r="Q47" s="229">
        <v>0</v>
      </c>
      <c r="R47" s="229">
        <v>0</v>
      </c>
      <c r="S47" s="229">
        <v>0</v>
      </c>
      <c r="T47" s="229">
        <v>0</v>
      </c>
      <c r="U47" s="229">
        <v>0</v>
      </c>
      <c r="V47" s="229">
        <v>0</v>
      </c>
      <c r="W47" s="229">
        <v>0</v>
      </c>
      <c r="X47" s="229">
        <v>0</v>
      </c>
      <c r="Y47" s="229">
        <v>0</v>
      </c>
      <c r="Z47" s="229">
        <v>0</v>
      </c>
      <c r="AA47" s="229">
        <v>0</v>
      </c>
      <c r="AB47" s="229">
        <v>0</v>
      </c>
      <c r="AC47" s="229">
        <v>0</v>
      </c>
    </row>
    <row r="48" spans="1:29" s="578" customFormat="1" ht="13.8">
      <c r="A48" s="592"/>
      <c r="B48" s="592"/>
      <c r="C48" s="592"/>
      <c r="D48" s="592">
        <f t="shared" ref="D48:Y48" si="0">SUM(D9:D47)</f>
        <v>0</v>
      </c>
      <c r="E48" s="592">
        <f t="shared" si="0"/>
        <v>0</v>
      </c>
      <c r="F48" s="592">
        <f t="shared" si="0"/>
        <v>0</v>
      </c>
      <c r="G48" s="592">
        <f t="shared" si="0"/>
        <v>0</v>
      </c>
      <c r="H48" s="593">
        <f t="shared" si="0"/>
        <v>52535</v>
      </c>
      <c r="I48" s="593">
        <f t="shared" si="0"/>
        <v>116404</v>
      </c>
      <c r="J48" s="593">
        <f t="shared" si="0"/>
        <v>155262</v>
      </c>
      <c r="K48" s="593">
        <f t="shared" si="0"/>
        <v>114802</v>
      </c>
      <c r="L48" s="593">
        <f t="shared" si="0"/>
        <v>154494</v>
      </c>
      <c r="M48" s="593">
        <f t="shared" si="0"/>
        <v>228542</v>
      </c>
      <c r="N48" s="593">
        <f t="shared" si="0"/>
        <v>386316</v>
      </c>
      <c r="O48" s="593">
        <f t="shared" si="0"/>
        <v>526426</v>
      </c>
      <c r="P48" s="593">
        <f t="shared" si="0"/>
        <v>551257</v>
      </c>
      <c r="Q48" s="593">
        <f t="shared" si="0"/>
        <v>366104</v>
      </c>
      <c r="R48" s="593">
        <f t="shared" si="0"/>
        <v>551257</v>
      </c>
      <c r="S48" s="593">
        <f t="shared" si="0"/>
        <v>788281</v>
      </c>
      <c r="T48" s="593">
        <f t="shared" si="0"/>
        <v>315688</v>
      </c>
      <c r="U48" s="593">
        <f t="shared" si="0"/>
        <v>571477</v>
      </c>
      <c r="V48" s="593">
        <f t="shared" si="0"/>
        <v>714570</v>
      </c>
      <c r="W48" s="593">
        <f t="shared" si="0"/>
        <v>912191</v>
      </c>
      <c r="X48" s="593">
        <f t="shared" si="0"/>
        <v>287994</v>
      </c>
      <c r="Y48" s="593">
        <f t="shared" si="0"/>
        <v>529897</v>
      </c>
      <c r="Z48" s="593">
        <f t="shared" ref="Z48" si="1">SUM(Z9:Z47)</f>
        <v>688203</v>
      </c>
      <c r="AA48" s="593">
        <f t="shared" ref="AA48" si="2">SUM(AA9:AA47)</f>
        <v>870233</v>
      </c>
      <c r="AB48" s="593">
        <f>SUM(AB9:AB47)</f>
        <v>215754</v>
      </c>
      <c r="AC48" s="593">
        <f>SUM(AC9:AC47)</f>
        <v>337510</v>
      </c>
    </row>
    <row r="49" spans="1:29" s="165" customFormat="1" ht="13.8">
      <c r="A49" s="589" t="s">
        <v>1418</v>
      </c>
      <c r="B49" s="589" t="s">
        <v>2035</v>
      </c>
      <c r="C49" s="57"/>
      <c r="D49" s="57"/>
      <c r="E49" s="57"/>
      <c r="F49" s="57"/>
      <c r="G49" s="57"/>
      <c r="H49" s="229"/>
      <c r="I49" s="229"/>
      <c r="J49" s="229"/>
      <c r="K49" s="229"/>
      <c r="L49" s="229"/>
      <c r="M49" s="229"/>
      <c r="N49" s="229"/>
      <c r="O49" s="57"/>
      <c r="P49" s="57"/>
      <c r="Q49" s="57"/>
      <c r="R49" s="57"/>
      <c r="S49" s="229"/>
      <c r="T49" s="229"/>
      <c r="U49" s="229"/>
      <c r="V49" s="229"/>
      <c r="W49" s="57"/>
      <c r="X49" s="229"/>
      <c r="Y49" s="229"/>
      <c r="Z49" s="229"/>
      <c r="AA49" s="229"/>
      <c r="AB49" s="229"/>
      <c r="AC49" s="229"/>
    </row>
    <row r="50" spans="1:29" s="165" customFormat="1" ht="13.8">
      <c r="A50" s="591" t="s">
        <v>1057</v>
      </c>
      <c r="B50" s="57" t="s">
        <v>1994</v>
      </c>
      <c r="C50" s="57"/>
      <c r="D50" s="57"/>
      <c r="E50" s="57"/>
      <c r="F50" s="57"/>
      <c r="G50" s="57"/>
      <c r="H50" s="229">
        <v>-14993</v>
      </c>
      <c r="I50" s="229">
        <v>26298</v>
      </c>
      <c r="J50" s="229">
        <v>-68476</v>
      </c>
      <c r="K50" s="229">
        <v>-131607</v>
      </c>
      <c r="L50" s="229">
        <v>-8856</v>
      </c>
      <c r="M50" s="229">
        <v>85296</v>
      </c>
      <c r="N50" s="229">
        <v>3722</v>
      </c>
      <c r="O50" s="229">
        <v>-36640</v>
      </c>
      <c r="P50" s="229">
        <v>-85767</v>
      </c>
      <c r="Q50" s="229">
        <v>-53261</v>
      </c>
      <c r="R50" s="229">
        <v>-85767</v>
      </c>
      <c r="S50" s="229">
        <v>-92616</v>
      </c>
      <c r="T50" s="229">
        <v>-38376</v>
      </c>
      <c r="U50" s="229">
        <v>23182</v>
      </c>
      <c r="V50" s="229">
        <v>38495</v>
      </c>
      <c r="W50" s="229">
        <v>11281</v>
      </c>
      <c r="X50" s="229">
        <v>-3903</v>
      </c>
      <c r="Y50" s="229">
        <v>8899</v>
      </c>
      <c r="Z50" s="229">
        <v>34316</v>
      </c>
      <c r="AA50" s="229">
        <v>-11152</v>
      </c>
      <c r="AB50" s="229">
        <v>-1743</v>
      </c>
      <c r="AC50" s="229">
        <v>-14354</v>
      </c>
    </row>
    <row r="51" spans="1:29" s="165" customFormat="1" ht="13.8">
      <c r="A51" s="591" t="s">
        <v>887</v>
      </c>
      <c r="B51" s="57" t="s">
        <v>1995</v>
      </c>
      <c r="C51" s="57"/>
      <c r="D51" s="57"/>
      <c r="E51" s="57"/>
      <c r="F51" s="57"/>
      <c r="G51" s="57"/>
      <c r="H51" s="229">
        <v>0</v>
      </c>
      <c r="I51" s="229">
        <v>0</v>
      </c>
      <c r="J51" s="229">
        <v>0</v>
      </c>
      <c r="K51" s="229">
        <v>0</v>
      </c>
      <c r="L51" s="229">
        <v>0</v>
      </c>
      <c r="M51" s="229">
        <v>0</v>
      </c>
      <c r="N51" s="229">
        <v>0</v>
      </c>
      <c r="O51" s="229">
        <v>0</v>
      </c>
      <c r="P51" s="229">
        <v>0</v>
      </c>
      <c r="Q51" s="229">
        <v>0</v>
      </c>
      <c r="R51" s="229">
        <v>0</v>
      </c>
      <c r="S51" s="229">
        <v>0</v>
      </c>
      <c r="T51" s="229">
        <v>0</v>
      </c>
      <c r="U51" s="229">
        <v>0</v>
      </c>
      <c r="V51" s="229">
        <v>0</v>
      </c>
      <c r="W51" s="229">
        <v>0</v>
      </c>
      <c r="X51" s="229">
        <v>0</v>
      </c>
      <c r="Y51" s="229">
        <v>0</v>
      </c>
      <c r="Z51" s="229">
        <v>0</v>
      </c>
      <c r="AA51" s="229">
        <v>0</v>
      </c>
      <c r="AB51" s="229">
        <v>0</v>
      </c>
      <c r="AC51" s="229">
        <v>0</v>
      </c>
    </row>
    <row r="52" spans="1:29" s="165" customFormat="1" ht="13.8">
      <c r="A52" s="591" t="s">
        <v>1063</v>
      </c>
      <c r="B52" s="57" t="s">
        <v>1996</v>
      </c>
      <c r="C52" s="57"/>
      <c r="D52" s="57"/>
      <c r="E52" s="57"/>
      <c r="F52" s="57"/>
      <c r="G52" s="57"/>
      <c r="H52" s="229">
        <v>249</v>
      </c>
      <c r="I52" s="229">
        <v>-3258</v>
      </c>
      <c r="J52" s="229">
        <v>-6433</v>
      </c>
      <c r="K52" s="229">
        <v>-3297</v>
      </c>
      <c r="L52" s="229">
        <v>-3555</v>
      </c>
      <c r="M52" s="229">
        <v>-4489</v>
      </c>
      <c r="N52" s="229">
        <v>-9473</v>
      </c>
      <c r="O52" s="229">
        <v>-2723</v>
      </c>
      <c r="P52" s="229">
        <v>18341</v>
      </c>
      <c r="Q52" s="229">
        <v>9025</v>
      </c>
      <c r="R52" s="229">
        <v>18341</v>
      </c>
      <c r="S52" s="229">
        <v>26005</v>
      </c>
      <c r="T52" s="229">
        <v>4351</v>
      </c>
      <c r="U52" s="229">
        <v>-4977</v>
      </c>
      <c r="V52" s="229">
        <v>-4994</v>
      </c>
      <c r="W52" s="229">
        <v>-12927</v>
      </c>
      <c r="X52" s="229">
        <v>12276</v>
      </c>
      <c r="Y52" s="229">
        <v>8533</v>
      </c>
      <c r="Z52" s="229">
        <v>38311.624620000002</v>
      </c>
      <c r="AA52" s="229">
        <v>38620.981489999998</v>
      </c>
      <c r="AB52" s="229">
        <v>-287</v>
      </c>
      <c r="AC52" s="229">
        <v>-6903</v>
      </c>
    </row>
    <row r="53" spans="1:29" s="165" customFormat="1" ht="13.8">
      <c r="A53" s="591" t="s">
        <v>1068</v>
      </c>
      <c r="B53" s="57" t="s">
        <v>1997</v>
      </c>
      <c r="C53" s="57"/>
      <c r="D53" s="57"/>
      <c r="E53" s="57"/>
      <c r="F53" s="57"/>
      <c r="G53" s="57"/>
      <c r="H53" s="229">
        <v>368</v>
      </c>
      <c r="I53" s="229">
        <v>-319</v>
      </c>
      <c r="J53" s="229">
        <v>3624</v>
      </c>
      <c r="K53" s="229">
        <v>9714</v>
      </c>
      <c r="L53" s="229">
        <v>259</v>
      </c>
      <c r="M53" s="229">
        <v>30</v>
      </c>
      <c r="N53" s="229">
        <v>-1270</v>
      </c>
      <c r="O53" s="229">
        <v>-3705</v>
      </c>
      <c r="P53" s="229">
        <v>-2326</v>
      </c>
      <c r="Q53" s="229">
        <v>-1327</v>
      </c>
      <c r="R53" s="229">
        <v>-2326</v>
      </c>
      <c r="S53" s="229">
        <v>-2442</v>
      </c>
      <c r="T53" s="229">
        <v>-6862</v>
      </c>
      <c r="U53" s="229">
        <v>1411</v>
      </c>
      <c r="V53" s="229">
        <v>3885</v>
      </c>
      <c r="W53" s="229">
        <v>4909</v>
      </c>
      <c r="X53" s="229">
        <v>2029</v>
      </c>
      <c r="Y53" s="229">
        <v>2579</v>
      </c>
      <c r="Z53" s="229">
        <v>3248</v>
      </c>
      <c r="AA53" s="229">
        <v>9719</v>
      </c>
      <c r="AB53" s="229">
        <v>4</v>
      </c>
      <c r="AC53" s="229">
        <v>-2586</v>
      </c>
    </row>
    <row r="54" spans="1:29" s="165" customFormat="1" ht="13.8">
      <c r="A54" s="591" t="s">
        <v>1419</v>
      </c>
      <c r="B54" s="57" t="s">
        <v>1998</v>
      </c>
      <c r="C54" s="57"/>
      <c r="D54" s="57"/>
      <c r="E54" s="57"/>
      <c r="F54" s="57"/>
      <c r="G54" s="57"/>
      <c r="H54" s="229">
        <v>0</v>
      </c>
      <c r="I54" s="229">
        <v>0</v>
      </c>
      <c r="J54" s="229">
        <v>0</v>
      </c>
      <c r="K54" s="229">
        <v>0</v>
      </c>
      <c r="L54" s="229">
        <v>0</v>
      </c>
      <c r="M54" s="229">
        <v>0</v>
      </c>
      <c r="N54" s="229">
        <v>0</v>
      </c>
      <c r="O54" s="229">
        <v>0</v>
      </c>
      <c r="P54" s="229">
        <v>0</v>
      </c>
      <c r="Q54" s="229">
        <v>0</v>
      </c>
      <c r="R54" s="229">
        <v>0</v>
      </c>
      <c r="S54" s="229">
        <v>0</v>
      </c>
      <c r="T54" s="229">
        <v>0</v>
      </c>
      <c r="U54" s="229">
        <v>0</v>
      </c>
      <c r="V54" s="229">
        <v>0</v>
      </c>
      <c r="W54" s="229">
        <v>0</v>
      </c>
      <c r="X54" s="229">
        <v>0</v>
      </c>
      <c r="Y54" s="229">
        <v>0</v>
      </c>
      <c r="Z54" s="229">
        <v>0</v>
      </c>
      <c r="AA54" s="229">
        <v>0</v>
      </c>
      <c r="AB54" s="229">
        <v>0</v>
      </c>
      <c r="AC54" s="229">
        <v>0</v>
      </c>
    </row>
    <row r="55" spans="1:29" s="165" customFormat="1" ht="13.8">
      <c r="A55" s="591" t="s">
        <v>1074</v>
      </c>
      <c r="B55" s="57" t="s">
        <v>1075</v>
      </c>
      <c r="C55" s="57"/>
      <c r="D55" s="57"/>
      <c r="E55" s="57"/>
      <c r="F55" s="57"/>
      <c r="G55" s="57"/>
      <c r="H55" s="229">
        <v>-36</v>
      </c>
      <c r="I55" s="229">
        <v>-383</v>
      </c>
      <c r="J55" s="229">
        <v>-3178</v>
      </c>
      <c r="K55" s="229">
        <v>-4730</v>
      </c>
      <c r="L55" s="229">
        <v>-6020</v>
      </c>
      <c r="M55" s="229">
        <v>-9966</v>
      </c>
      <c r="N55" s="229">
        <v>-15350</v>
      </c>
      <c r="O55" s="229">
        <v>-13322</v>
      </c>
      <c r="P55" s="229">
        <v>14367</v>
      </c>
      <c r="Q55" s="229">
        <v>13846</v>
      </c>
      <c r="R55" s="229">
        <v>14367</v>
      </c>
      <c r="S55" s="229">
        <v>17019</v>
      </c>
      <c r="T55" s="229">
        <v>-40</v>
      </c>
      <c r="U55" s="229">
        <v>-1832</v>
      </c>
      <c r="V55" s="229">
        <v>-4493</v>
      </c>
      <c r="W55" s="229">
        <v>-9271</v>
      </c>
      <c r="X55" s="229">
        <v>-5007</v>
      </c>
      <c r="Y55" s="229">
        <v>-6658</v>
      </c>
      <c r="Z55" s="229">
        <v>-8075</v>
      </c>
      <c r="AA55" s="229">
        <v>-6153</v>
      </c>
      <c r="AB55" s="229">
        <v>2272</v>
      </c>
      <c r="AC55" s="229">
        <v>1984</v>
      </c>
    </row>
    <row r="56" spans="1:29" s="165" customFormat="1" ht="13.8">
      <c r="A56" s="591" t="s">
        <v>1420</v>
      </c>
      <c r="B56" s="57" t="s">
        <v>1999</v>
      </c>
      <c r="C56" s="57"/>
      <c r="D56" s="57"/>
      <c r="E56" s="57"/>
      <c r="F56" s="57"/>
      <c r="G56" s="57"/>
      <c r="H56" s="229">
        <v>-126</v>
      </c>
      <c r="I56" s="229">
        <v>-104121</v>
      </c>
      <c r="J56" s="229">
        <v>15854</v>
      </c>
      <c r="K56" s="229">
        <v>11426</v>
      </c>
      <c r="L56" s="229">
        <v>-162833</v>
      </c>
      <c r="M56" s="229">
        <v>4228</v>
      </c>
      <c r="N56" s="229">
        <v>-5531</v>
      </c>
      <c r="O56" s="229">
        <v>-11806</v>
      </c>
      <c r="P56" s="229">
        <v>-48415</v>
      </c>
      <c r="Q56" s="229">
        <v>-39876</v>
      </c>
      <c r="R56" s="229">
        <v>-48415</v>
      </c>
      <c r="S56" s="229">
        <v>-56695</v>
      </c>
      <c r="T56" s="229">
        <v>-3216</v>
      </c>
      <c r="U56" s="229">
        <v>-6113</v>
      </c>
      <c r="V56" s="229">
        <v>-7772</v>
      </c>
      <c r="W56" s="229">
        <v>-11003</v>
      </c>
      <c r="X56" s="229">
        <v>-9535</v>
      </c>
      <c r="Y56" s="229">
        <v>-16993</v>
      </c>
      <c r="Z56" s="229">
        <v>-25573</v>
      </c>
      <c r="AA56" s="229">
        <v>-19312</v>
      </c>
      <c r="AB56" s="229">
        <v>-7025</v>
      </c>
      <c r="AC56" s="229">
        <v>-10416</v>
      </c>
    </row>
    <row r="57" spans="1:29" s="165" customFormat="1" ht="13.8">
      <c r="A57" s="591" t="s">
        <v>1078</v>
      </c>
      <c r="B57" s="57" t="s">
        <v>2000</v>
      </c>
      <c r="C57" s="57"/>
      <c r="D57" s="57"/>
      <c r="E57" s="57"/>
      <c r="F57" s="57"/>
      <c r="G57" s="57"/>
      <c r="H57" s="229">
        <v>-1272</v>
      </c>
      <c r="I57" s="229">
        <v>-2293</v>
      </c>
      <c r="J57" s="229">
        <v>-2271</v>
      </c>
      <c r="K57" s="229">
        <v>-5461</v>
      </c>
      <c r="L57" s="229">
        <v>1391</v>
      </c>
      <c r="M57" s="229">
        <v>-14446</v>
      </c>
      <c r="N57" s="229">
        <v>-25732</v>
      </c>
      <c r="O57" s="229">
        <v>-38521</v>
      </c>
      <c r="P57" s="229">
        <v>20731</v>
      </c>
      <c r="Q57" s="229">
        <v>12104</v>
      </c>
      <c r="R57" s="229">
        <v>20731</v>
      </c>
      <c r="S57" s="229">
        <v>-5711</v>
      </c>
      <c r="T57" s="229">
        <v>22969</v>
      </c>
      <c r="U57" s="229">
        <v>7877</v>
      </c>
      <c r="V57" s="229">
        <v>15159</v>
      </c>
      <c r="W57" s="229">
        <v>-4684</v>
      </c>
      <c r="X57" s="229">
        <v>12184</v>
      </c>
      <c r="Y57" s="229">
        <v>-31604</v>
      </c>
      <c r="Z57" s="229">
        <v>-42851</v>
      </c>
      <c r="AA57" s="229">
        <v>-70117</v>
      </c>
      <c r="AB57" s="229">
        <v>45479</v>
      </c>
      <c r="AC57" s="229">
        <v>34136</v>
      </c>
    </row>
    <row r="58" spans="1:29" s="165" customFormat="1" ht="13.8">
      <c r="A58" s="591" t="s">
        <v>1421</v>
      </c>
      <c r="B58" s="57" t="s">
        <v>2001</v>
      </c>
      <c r="C58" s="57"/>
      <c r="D58" s="57"/>
      <c r="E58" s="57"/>
      <c r="F58" s="57"/>
      <c r="G58" s="57"/>
      <c r="H58" s="229">
        <v>0</v>
      </c>
      <c r="I58" s="229">
        <v>0</v>
      </c>
      <c r="J58" s="229">
        <v>0</v>
      </c>
      <c r="K58" s="229">
        <v>0</v>
      </c>
      <c r="L58" s="229">
        <v>0</v>
      </c>
      <c r="M58" s="229">
        <v>0</v>
      </c>
      <c r="N58" s="229">
        <v>0</v>
      </c>
      <c r="O58" s="229">
        <v>0</v>
      </c>
      <c r="P58" s="229">
        <v>0</v>
      </c>
      <c r="Q58" s="229">
        <v>0</v>
      </c>
      <c r="R58" s="229">
        <v>0</v>
      </c>
      <c r="S58" s="229">
        <v>0</v>
      </c>
      <c r="T58" s="229">
        <v>0</v>
      </c>
      <c r="U58" s="229">
        <v>0</v>
      </c>
      <c r="V58" s="229">
        <v>0</v>
      </c>
      <c r="W58" s="229">
        <v>0</v>
      </c>
      <c r="X58" s="229">
        <v>0</v>
      </c>
      <c r="Y58" s="229">
        <v>0</v>
      </c>
      <c r="Z58" s="229">
        <v>0</v>
      </c>
      <c r="AA58" s="229">
        <v>0</v>
      </c>
      <c r="AB58" s="229">
        <v>0</v>
      </c>
      <c r="AC58" s="229">
        <v>0</v>
      </c>
    </row>
    <row r="59" spans="1:29" s="165" customFormat="1" ht="13.8">
      <c r="A59" s="591" t="s">
        <v>1422</v>
      </c>
      <c r="B59" s="57" t="s">
        <v>2002</v>
      </c>
      <c r="C59" s="57"/>
      <c r="D59" s="57"/>
      <c r="E59" s="57"/>
      <c r="F59" s="57"/>
      <c r="G59" s="57"/>
      <c r="H59" s="229">
        <v>0</v>
      </c>
      <c r="I59" s="229">
        <v>0</v>
      </c>
      <c r="J59" s="229">
        <v>0</v>
      </c>
      <c r="K59" s="229">
        <v>0</v>
      </c>
      <c r="L59" s="229">
        <v>0</v>
      </c>
      <c r="M59" s="229">
        <v>0</v>
      </c>
      <c r="N59" s="229">
        <v>0</v>
      </c>
      <c r="O59" s="229">
        <v>0</v>
      </c>
      <c r="P59" s="229">
        <v>0</v>
      </c>
      <c r="Q59" s="229">
        <v>0</v>
      </c>
      <c r="R59" s="229">
        <v>0</v>
      </c>
      <c r="S59" s="229">
        <v>0</v>
      </c>
      <c r="T59" s="229">
        <v>0</v>
      </c>
      <c r="U59" s="229">
        <v>0</v>
      </c>
      <c r="V59" s="229">
        <v>0</v>
      </c>
      <c r="W59" s="229">
        <v>0</v>
      </c>
      <c r="X59" s="229">
        <v>0</v>
      </c>
      <c r="Y59" s="229">
        <v>0</v>
      </c>
      <c r="Z59" s="229">
        <v>0</v>
      </c>
      <c r="AA59" s="229">
        <v>0</v>
      </c>
      <c r="AB59" s="229">
        <v>0</v>
      </c>
      <c r="AC59" s="229">
        <v>0</v>
      </c>
    </row>
    <row r="60" spans="1:29" s="165" customFormat="1" ht="13.8">
      <c r="A60" s="591" t="s">
        <v>1352</v>
      </c>
      <c r="B60" s="57" t="s">
        <v>2003</v>
      </c>
      <c r="C60" s="57"/>
      <c r="D60" s="57"/>
      <c r="E60" s="57"/>
      <c r="F60" s="57"/>
      <c r="G60" s="57"/>
      <c r="H60" s="229">
        <v>14606</v>
      </c>
      <c r="I60" s="229">
        <v>193264</v>
      </c>
      <c r="J60" s="229">
        <v>104817</v>
      </c>
      <c r="K60" s="229">
        <v>211526</v>
      </c>
      <c r="L60" s="229">
        <v>17731</v>
      </c>
      <c r="M60" s="229">
        <v>288127</v>
      </c>
      <c r="N60" s="229">
        <v>342842</v>
      </c>
      <c r="O60" s="229">
        <v>342842</v>
      </c>
      <c r="P60" s="229">
        <v>6442</v>
      </c>
      <c r="Q60" s="229">
        <v>6333</v>
      </c>
      <c r="R60" s="229">
        <v>6442</v>
      </c>
      <c r="S60" s="229">
        <v>8750</v>
      </c>
      <c r="T60" s="229">
        <v>110</v>
      </c>
      <c r="U60" s="229">
        <v>13942</v>
      </c>
      <c r="V60" s="229">
        <v>13968</v>
      </c>
      <c r="W60" s="229">
        <v>13995</v>
      </c>
      <c r="X60" s="229">
        <v>157</v>
      </c>
      <c r="Y60" s="229">
        <v>2439</v>
      </c>
      <c r="Z60" s="229">
        <v>2438</v>
      </c>
      <c r="AA60" s="229">
        <v>2439</v>
      </c>
      <c r="AB60" s="229">
        <v>0</v>
      </c>
      <c r="AC60" s="229">
        <v>2351</v>
      </c>
    </row>
    <row r="61" spans="1:29" s="165" customFormat="1" ht="13.8">
      <c r="A61" s="591" t="s">
        <v>1423</v>
      </c>
      <c r="B61" s="57" t="s">
        <v>1187</v>
      </c>
      <c r="C61" s="57"/>
      <c r="D61" s="57"/>
      <c r="E61" s="57"/>
      <c r="F61" s="57"/>
      <c r="G61" s="57"/>
      <c r="H61" s="229">
        <v>0</v>
      </c>
      <c r="I61" s="229">
        <v>0</v>
      </c>
      <c r="J61" s="229">
        <v>0</v>
      </c>
      <c r="K61" s="229">
        <v>0</v>
      </c>
      <c r="L61" s="229">
        <v>0</v>
      </c>
      <c r="M61" s="229">
        <v>0</v>
      </c>
      <c r="N61" s="229">
        <v>0</v>
      </c>
      <c r="O61" s="229">
        <v>0</v>
      </c>
      <c r="P61" s="229">
        <v>0</v>
      </c>
      <c r="Q61" s="229">
        <v>0</v>
      </c>
      <c r="R61" s="229">
        <v>0</v>
      </c>
      <c r="S61" s="229">
        <v>0</v>
      </c>
      <c r="T61" s="229">
        <v>0</v>
      </c>
      <c r="U61" s="229">
        <v>0</v>
      </c>
      <c r="V61" s="229">
        <v>0</v>
      </c>
      <c r="W61" s="229">
        <v>0</v>
      </c>
      <c r="X61" s="229">
        <v>0</v>
      </c>
      <c r="Y61" s="229">
        <v>0</v>
      </c>
      <c r="Z61" s="229">
        <v>0</v>
      </c>
      <c r="AA61" s="229">
        <v>0</v>
      </c>
      <c r="AB61" s="229">
        <v>0</v>
      </c>
      <c r="AC61" s="229">
        <v>0</v>
      </c>
    </row>
    <row r="62" spans="1:29" s="165" customFormat="1" ht="13.8">
      <c r="A62" s="591" t="s">
        <v>1080</v>
      </c>
      <c r="B62" s="57" t="s">
        <v>2004</v>
      </c>
      <c r="C62" s="57"/>
      <c r="D62" s="57"/>
      <c r="E62" s="57"/>
      <c r="F62" s="57"/>
      <c r="G62" s="57"/>
      <c r="H62" s="229">
        <v>10158</v>
      </c>
      <c r="I62" s="229">
        <v>-27577</v>
      </c>
      <c r="J62" s="229">
        <v>-1907</v>
      </c>
      <c r="K62" s="229">
        <v>661</v>
      </c>
      <c r="L62" s="229">
        <v>49325</v>
      </c>
      <c r="M62" s="229">
        <v>48926</v>
      </c>
      <c r="N62" s="229">
        <v>50464</v>
      </c>
      <c r="O62" s="229">
        <v>46016</v>
      </c>
      <c r="P62" s="229">
        <v>10419</v>
      </c>
      <c r="Q62" s="229">
        <v>9413</v>
      </c>
      <c r="R62" s="229">
        <v>10419</v>
      </c>
      <c r="S62" s="229">
        <v>-18411</v>
      </c>
      <c r="T62" s="229">
        <v>-10584</v>
      </c>
      <c r="U62" s="229">
        <v>-44065</v>
      </c>
      <c r="V62" s="229">
        <v>-46873</v>
      </c>
      <c r="W62" s="229">
        <v>39924</v>
      </c>
      <c r="X62" s="229">
        <v>6234</v>
      </c>
      <c r="Y62" s="229">
        <v>-6532</v>
      </c>
      <c r="Z62" s="229">
        <v>-1127</v>
      </c>
      <c r="AA62" s="229">
        <v>2141</v>
      </c>
      <c r="AB62" s="229">
        <v>-11889</v>
      </c>
      <c r="AC62" s="229">
        <v>-8576</v>
      </c>
    </row>
    <row r="63" spans="1:29" s="165" customFormat="1" ht="13.8">
      <c r="A63" s="591" t="s">
        <v>1102</v>
      </c>
      <c r="B63" s="57" t="s">
        <v>1103</v>
      </c>
      <c r="C63" s="57"/>
      <c r="D63" s="57"/>
      <c r="E63" s="57"/>
      <c r="F63" s="57"/>
      <c r="G63" s="57"/>
      <c r="H63" s="229">
        <v>-49523</v>
      </c>
      <c r="I63" s="229">
        <v>-65968</v>
      </c>
      <c r="J63" s="229">
        <v>-21992</v>
      </c>
      <c r="K63" s="229">
        <v>77546</v>
      </c>
      <c r="L63" s="229">
        <v>-121606</v>
      </c>
      <c r="M63" s="229">
        <v>-101797</v>
      </c>
      <c r="N63" s="229">
        <v>-126261</v>
      </c>
      <c r="O63" s="229">
        <v>-63243</v>
      </c>
      <c r="P63" s="229">
        <v>-14374</v>
      </c>
      <c r="Q63" s="229">
        <v>-8867</v>
      </c>
      <c r="R63" s="229">
        <v>-14374</v>
      </c>
      <c r="S63" s="229">
        <v>5633</v>
      </c>
      <c r="T63" s="229">
        <v>-49131</v>
      </c>
      <c r="U63" s="229">
        <v>-45999</v>
      </c>
      <c r="V63" s="229">
        <v>-51932.024389999999</v>
      </c>
      <c r="W63" s="229">
        <v>-40059</v>
      </c>
      <c r="X63" s="229">
        <v>-2160</v>
      </c>
      <c r="Y63" s="229">
        <v>11621</v>
      </c>
      <c r="Z63" s="229">
        <v>-3081</v>
      </c>
      <c r="AA63" s="229">
        <v>-24293.416569999994</v>
      </c>
      <c r="AB63" s="229">
        <v>-16502.858200000002</v>
      </c>
      <c r="AC63" s="229">
        <v>3765.9410999999982</v>
      </c>
    </row>
    <row r="64" spans="1:29" s="4" customFormat="1" ht="13.8">
      <c r="A64" s="591" t="s">
        <v>1424</v>
      </c>
      <c r="B64" s="57" t="s">
        <v>1351</v>
      </c>
      <c r="C64" s="104"/>
      <c r="D64" s="104"/>
      <c r="E64" s="104"/>
      <c r="F64" s="104"/>
      <c r="G64" s="104"/>
      <c r="H64" s="229">
        <v>0</v>
      </c>
      <c r="I64" s="229">
        <v>0</v>
      </c>
      <c r="J64" s="229">
        <v>0</v>
      </c>
      <c r="K64" s="229">
        <v>0</v>
      </c>
      <c r="L64" s="229">
        <v>0</v>
      </c>
      <c r="M64" s="229">
        <v>0</v>
      </c>
      <c r="N64" s="229">
        <v>0</v>
      </c>
      <c r="O64" s="229">
        <v>0</v>
      </c>
      <c r="P64" s="229">
        <v>0</v>
      </c>
      <c r="Q64" s="229">
        <v>0</v>
      </c>
      <c r="R64" s="229">
        <v>0</v>
      </c>
      <c r="S64" s="229">
        <v>0</v>
      </c>
      <c r="T64" s="229">
        <v>0</v>
      </c>
      <c r="U64" s="229">
        <v>0</v>
      </c>
      <c r="V64" s="229">
        <v>0</v>
      </c>
      <c r="W64" s="229">
        <v>0</v>
      </c>
      <c r="X64" s="229">
        <v>0</v>
      </c>
      <c r="Y64" s="229">
        <v>0</v>
      </c>
      <c r="Z64" s="229">
        <v>0</v>
      </c>
      <c r="AA64" s="229">
        <v>0</v>
      </c>
      <c r="AB64" s="229">
        <v>0</v>
      </c>
      <c r="AC64" s="229">
        <v>0</v>
      </c>
    </row>
    <row r="65" spans="1:29" s="165" customFormat="1" ht="13.8">
      <c r="A65" s="591" t="s">
        <v>1104</v>
      </c>
      <c r="B65" s="57" t="s">
        <v>2005</v>
      </c>
      <c r="C65" s="57"/>
      <c r="D65" s="57"/>
      <c r="E65" s="57"/>
      <c r="F65" s="57"/>
      <c r="G65" s="57"/>
      <c r="H65" s="229">
        <v>-5150</v>
      </c>
      <c r="I65" s="229">
        <v>-5684</v>
      </c>
      <c r="J65" s="229">
        <v>-5861</v>
      </c>
      <c r="K65" s="229">
        <v>-6183</v>
      </c>
      <c r="L65" s="229">
        <v>-4410</v>
      </c>
      <c r="M65" s="229">
        <v>-11601</v>
      </c>
      <c r="N65" s="229">
        <v>-13342</v>
      </c>
      <c r="O65" s="229">
        <v>-21547</v>
      </c>
      <c r="P65" s="229">
        <v>-17751</v>
      </c>
      <c r="Q65" s="229">
        <v>-10771</v>
      </c>
      <c r="R65" s="229">
        <v>-17751</v>
      </c>
      <c r="S65" s="229">
        <v>-28742</v>
      </c>
      <c r="T65" s="229">
        <v>-6794</v>
      </c>
      <c r="U65" s="229">
        <v>-15570</v>
      </c>
      <c r="V65" s="229">
        <v>-24598.636730000002</v>
      </c>
      <c r="W65" s="229">
        <v>-32423</v>
      </c>
      <c r="X65" s="229">
        <v>-14746</v>
      </c>
      <c r="Y65" s="229">
        <v>-32274</v>
      </c>
      <c r="Z65" s="229">
        <v>-44074</v>
      </c>
      <c r="AA65" s="229">
        <v>2844</v>
      </c>
      <c r="AB65" s="229">
        <v>-14620.8485</v>
      </c>
      <c r="AC65" s="229">
        <v>-28758.590390000005</v>
      </c>
    </row>
    <row r="66" spans="1:29" s="165" customFormat="1" ht="13.8">
      <c r="A66" s="591" t="s">
        <v>1111</v>
      </c>
      <c r="B66" s="57" t="s">
        <v>2006</v>
      </c>
      <c r="C66" s="57"/>
      <c r="D66" s="57"/>
      <c r="E66" s="57"/>
      <c r="F66" s="57"/>
      <c r="G66" s="57"/>
      <c r="H66" s="229">
        <v>28552</v>
      </c>
      <c r="I66" s="229">
        <v>19382</v>
      </c>
      <c r="J66" s="229">
        <v>58119</v>
      </c>
      <c r="K66" s="229">
        <v>57487</v>
      </c>
      <c r="L66" s="229">
        <v>135834</v>
      </c>
      <c r="M66" s="229">
        <v>-19638</v>
      </c>
      <c r="N66" s="229">
        <v>-33512</v>
      </c>
      <c r="O66" s="229">
        <v>-29131</v>
      </c>
      <c r="P66" s="229">
        <v>331</v>
      </c>
      <c r="Q66" s="229">
        <v>-1795</v>
      </c>
      <c r="R66" s="229">
        <v>331</v>
      </c>
      <c r="S66" s="229">
        <v>3295</v>
      </c>
      <c r="T66" s="229">
        <v>4712</v>
      </c>
      <c r="U66" s="229">
        <v>-10514</v>
      </c>
      <c r="V66" s="229">
        <v>-10139</v>
      </c>
      <c r="W66" s="229">
        <v>784</v>
      </c>
      <c r="X66" s="229">
        <v>31</v>
      </c>
      <c r="Y66" s="229">
        <v>-7687</v>
      </c>
      <c r="Z66" s="229">
        <v>-9593</v>
      </c>
      <c r="AA66" s="229">
        <v>-2009</v>
      </c>
      <c r="AB66" s="229">
        <v>2691</v>
      </c>
      <c r="AC66" s="229">
        <v>-3136</v>
      </c>
    </row>
    <row r="67" spans="1:29" s="165" customFormat="1" ht="13.8">
      <c r="A67" s="591" t="s">
        <v>1113</v>
      </c>
      <c r="B67" s="57" t="s">
        <v>2007</v>
      </c>
      <c r="C67" s="57"/>
      <c r="D67" s="57"/>
      <c r="E67" s="57"/>
      <c r="F67" s="57"/>
      <c r="G67" s="57"/>
      <c r="H67" s="229">
        <v>-229</v>
      </c>
      <c r="I67" s="229">
        <v>-5888</v>
      </c>
      <c r="J67" s="229">
        <v>-3776</v>
      </c>
      <c r="K67" s="229">
        <v>-11238</v>
      </c>
      <c r="L67" s="229">
        <v>21888</v>
      </c>
      <c r="M67" s="229">
        <v>12682</v>
      </c>
      <c r="N67" s="229">
        <v>16535</v>
      </c>
      <c r="O67" s="229">
        <v>15623</v>
      </c>
      <c r="P67" s="229">
        <v>-8390</v>
      </c>
      <c r="Q67" s="229">
        <v>-19554</v>
      </c>
      <c r="R67" s="229">
        <v>-8390</v>
      </c>
      <c r="S67" s="229">
        <v>11313</v>
      </c>
      <c r="T67" s="229">
        <v>-21593</v>
      </c>
      <c r="U67" s="229">
        <v>-20359</v>
      </c>
      <c r="V67" s="229">
        <v>-19802</v>
      </c>
      <c r="W67" s="229">
        <v>-7499</v>
      </c>
      <c r="X67" s="229">
        <v>-6034</v>
      </c>
      <c r="Y67" s="229">
        <v>-44260</v>
      </c>
      <c r="Z67" s="229">
        <v>-65850</v>
      </c>
      <c r="AA67" s="229">
        <v>-68682</v>
      </c>
      <c r="AB67" s="229">
        <v>-47463</v>
      </c>
      <c r="AC67" s="229">
        <v>-45383</v>
      </c>
    </row>
    <row r="68" spans="1:29" s="165" customFormat="1" ht="13.8">
      <c r="A68" s="591" t="s">
        <v>1425</v>
      </c>
      <c r="B68" s="57" t="s">
        <v>775</v>
      </c>
      <c r="C68" s="57"/>
      <c r="D68" s="57"/>
      <c r="E68" s="57"/>
      <c r="F68" s="57"/>
      <c r="G68" s="57"/>
      <c r="H68" s="229">
        <v>0</v>
      </c>
      <c r="I68" s="229">
        <v>0</v>
      </c>
      <c r="J68" s="229">
        <v>0</v>
      </c>
      <c r="K68" s="229">
        <v>0</v>
      </c>
      <c r="L68" s="229">
        <v>0</v>
      </c>
      <c r="M68" s="229">
        <v>0</v>
      </c>
      <c r="N68" s="229">
        <v>0</v>
      </c>
      <c r="O68" s="229">
        <v>0</v>
      </c>
      <c r="P68" s="229">
        <v>0</v>
      </c>
      <c r="Q68" s="229">
        <v>0</v>
      </c>
      <c r="R68" s="229">
        <v>0</v>
      </c>
      <c r="S68" s="229">
        <v>0</v>
      </c>
      <c r="T68" s="229"/>
      <c r="U68" s="229">
        <v>0</v>
      </c>
      <c r="V68" s="229">
        <v>0</v>
      </c>
      <c r="W68" s="229">
        <v>-9142</v>
      </c>
      <c r="X68" s="229"/>
      <c r="Y68" s="229">
        <v>0</v>
      </c>
      <c r="Z68" s="229">
        <v>0</v>
      </c>
      <c r="AA68" s="229">
        <v>12063</v>
      </c>
      <c r="AB68" s="229">
        <v>-1</v>
      </c>
      <c r="AC68" s="229">
        <v>0</v>
      </c>
    </row>
    <row r="69" spans="1:29" s="165" customFormat="1" ht="13.8">
      <c r="A69" s="591" t="s">
        <v>1119</v>
      </c>
      <c r="B69" s="57" t="s">
        <v>1120</v>
      </c>
      <c r="C69" s="57"/>
      <c r="D69" s="57"/>
      <c r="E69" s="57"/>
      <c r="F69" s="57"/>
      <c r="G69" s="57"/>
      <c r="H69" s="229">
        <v>2509</v>
      </c>
      <c r="I69" s="229">
        <v>1539</v>
      </c>
      <c r="J69" s="229">
        <v>3857</v>
      </c>
      <c r="K69" s="229">
        <v>11033</v>
      </c>
      <c r="L69" s="229">
        <v>3657</v>
      </c>
      <c r="M69" s="229">
        <v>-8570</v>
      </c>
      <c r="N69" s="229">
        <v>-10400</v>
      </c>
      <c r="O69" s="229">
        <v>-10360</v>
      </c>
      <c r="P69" s="229">
        <v>-10799</v>
      </c>
      <c r="Q69" s="229">
        <v>-6108</v>
      </c>
      <c r="R69" s="229">
        <v>-10799</v>
      </c>
      <c r="S69" s="229">
        <v>-10109</v>
      </c>
      <c r="T69" s="229">
        <v>-2606</v>
      </c>
      <c r="U69" s="229">
        <v>-4847</v>
      </c>
      <c r="V69" s="229">
        <v>-10062</v>
      </c>
      <c r="W69" s="229">
        <v>-6929</v>
      </c>
      <c r="X69" s="229">
        <v>-3304</v>
      </c>
      <c r="Y69" s="229">
        <v>-4483</v>
      </c>
      <c r="Z69" s="229">
        <v>-5112</v>
      </c>
      <c r="AA69" s="229">
        <v>35415</v>
      </c>
      <c r="AB69" s="229">
        <v>-442</v>
      </c>
      <c r="AC69" s="229">
        <v>-1852</v>
      </c>
    </row>
    <row r="70" spans="1:29" s="165" customFormat="1" ht="13.8">
      <c r="A70" s="591" t="s">
        <v>1117</v>
      </c>
      <c r="B70" s="57" t="s">
        <v>1118</v>
      </c>
      <c r="C70" s="57"/>
      <c r="D70" s="57"/>
      <c r="E70" s="57"/>
      <c r="F70" s="57"/>
      <c r="G70" s="57"/>
      <c r="H70" s="229">
        <v>-1762</v>
      </c>
      <c r="I70" s="229">
        <v>-7830</v>
      </c>
      <c r="J70" s="229">
        <v>-14820</v>
      </c>
      <c r="K70" s="229">
        <v>-36310</v>
      </c>
      <c r="L70" s="229">
        <v>-2848</v>
      </c>
      <c r="M70" s="229">
        <v>-9588</v>
      </c>
      <c r="N70" s="229">
        <v>-11939</v>
      </c>
      <c r="O70" s="229">
        <v>-26916</v>
      </c>
      <c r="P70" s="229">
        <v>-31965</v>
      </c>
      <c r="Q70" s="229">
        <v>-13300</v>
      </c>
      <c r="R70" s="229">
        <v>-31965</v>
      </c>
      <c r="S70" s="229">
        <v>-38445</v>
      </c>
      <c r="T70" s="229">
        <v>-12525</v>
      </c>
      <c r="U70" s="229">
        <v>-15272</v>
      </c>
      <c r="V70" s="229">
        <v>-18227</v>
      </c>
      <c r="W70" s="229">
        <v>-31529</v>
      </c>
      <c r="X70" s="229">
        <v>-16909</v>
      </c>
      <c r="Y70" s="229">
        <v>-32479</v>
      </c>
      <c r="Z70" s="229">
        <v>-68169.624620000002</v>
      </c>
      <c r="AA70" s="229">
        <v>-72890.981490000006</v>
      </c>
      <c r="AB70" s="229">
        <v>3210</v>
      </c>
      <c r="AC70" s="229">
        <v>8231</v>
      </c>
    </row>
    <row r="71" spans="1:29" s="165" customFormat="1" ht="13.8">
      <c r="A71" s="591" t="s">
        <v>1123</v>
      </c>
      <c r="B71" s="57" t="s">
        <v>2008</v>
      </c>
      <c r="C71" s="57"/>
      <c r="D71" s="57"/>
      <c r="E71" s="57"/>
      <c r="F71" s="57"/>
      <c r="G71" s="57"/>
      <c r="H71" s="229">
        <v>0</v>
      </c>
      <c r="I71" s="229">
        <v>-7958</v>
      </c>
      <c r="J71" s="229">
        <v>-8344</v>
      </c>
      <c r="K71" s="229">
        <v>-8404</v>
      </c>
      <c r="L71" s="229">
        <v>0</v>
      </c>
      <c r="M71" s="229">
        <v>-7010</v>
      </c>
      <c r="N71" s="229">
        <v>-7010</v>
      </c>
      <c r="O71" s="229">
        <v>-7010</v>
      </c>
      <c r="P71" s="229">
        <v>-11199</v>
      </c>
      <c r="Q71" s="229">
        <v>-11200</v>
      </c>
      <c r="R71" s="229">
        <v>-11199</v>
      </c>
      <c r="S71" s="229">
        <v>-11200</v>
      </c>
      <c r="T71" s="229">
        <v>-9769</v>
      </c>
      <c r="U71" s="229">
        <v>-12247</v>
      </c>
      <c r="V71" s="229">
        <v>-12247</v>
      </c>
      <c r="W71" s="229">
        <v>-12681</v>
      </c>
      <c r="X71" s="229">
        <v>-14830</v>
      </c>
      <c r="Y71" s="229">
        <v>-16645</v>
      </c>
      <c r="Z71" s="229">
        <v>-16647</v>
      </c>
      <c r="AA71" s="229">
        <v>-16648</v>
      </c>
      <c r="AB71" s="229">
        <v>0</v>
      </c>
      <c r="AC71" s="229">
        <v>-25266</v>
      </c>
    </row>
    <row r="72" spans="1:29" s="165" customFormat="1" ht="13.8">
      <c r="A72" s="591" t="s">
        <v>1426</v>
      </c>
      <c r="B72" s="57" t="s">
        <v>2009</v>
      </c>
      <c r="C72" s="57"/>
      <c r="D72" s="57"/>
      <c r="E72" s="57"/>
      <c r="F72" s="57"/>
      <c r="G72" s="57"/>
      <c r="H72" s="229"/>
      <c r="I72" s="229"/>
      <c r="J72" s="229"/>
      <c r="K72" s="229"/>
      <c r="L72" s="229"/>
      <c r="M72" s="229"/>
      <c r="N72" s="229"/>
      <c r="O72" s="229"/>
      <c r="P72" s="229"/>
      <c r="Q72" s="229"/>
      <c r="R72" s="229"/>
      <c r="S72" s="229"/>
      <c r="T72" s="229"/>
      <c r="U72" s="229"/>
      <c r="V72" s="229"/>
      <c r="W72" s="229"/>
      <c r="X72" s="229"/>
      <c r="Y72" s="229">
        <v>0</v>
      </c>
      <c r="Z72" s="229">
        <v>0</v>
      </c>
      <c r="AA72" s="229">
        <v>0</v>
      </c>
      <c r="AB72" s="229">
        <v>0</v>
      </c>
      <c r="AC72" s="229">
        <v>0</v>
      </c>
    </row>
    <row r="73" spans="1:29" s="165" customFormat="1" ht="13.8">
      <c r="A73" s="591" t="s">
        <v>1194</v>
      </c>
      <c r="B73" s="57" t="s">
        <v>2010</v>
      </c>
      <c r="C73" s="57"/>
      <c r="D73" s="57"/>
      <c r="E73" s="57"/>
      <c r="F73" s="57"/>
      <c r="G73" s="57"/>
      <c r="H73" s="229">
        <v>0</v>
      </c>
      <c r="I73" s="229">
        <v>0</v>
      </c>
      <c r="J73" s="229">
        <v>0</v>
      </c>
      <c r="K73" s="229">
        <v>0</v>
      </c>
      <c r="L73" s="229">
        <v>0</v>
      </c>
      <c r="M73" s="229">
        <v>0</v>
      </c>
      <c r="N73" s="229">
        <v>0</v>
      </c>
      <c r="O73" s="229">
        <v>-9</v>
      </c>
      <c r="P73" s="229">
        <v>-4692</v>
      </c>
      <c r="Q73" s="229">
        <v>1205</v>
      </c>
      <c r="R73" s="229">
        <v>-4692</v>
      </c>
      <c r="S73" s="229">
        <v>-6871</v>
      </c>
      <c r="T73" s="229">
        <v>0</v>
      </c>
      <c r="U73" s="229">
        <v>0</v>
      </c>
      <c r="V73" s="229">
        <v>0</v>
      </c>
      <c r="W73" s="229">
        <v>1866</v>
      </c>
      <c r="X73" s="229">
        <v>1087</v>
      </c>
      <c r="Y73" s="229">
        <v>2785</v>
      </c>
      <c r="Z73" s="229">
        <v>4379</v>
      </c>
      <c r="AA73" s="229">
        <v>-7237</v>
      </c>
      <c r="AB73" s="229">
        <v>1272</v>
      </c>
      <c r="AC73" s="229">
        <v>2558</v>
      </c>
    </row>
    <row r="74" spans="1:29" s="4" customFormat="1" ht="13.8">
      <c r="A74" s="591" t="s">
        <v>1475</v>
      </c>
      <c r="B74" s="57" t="s">
        <v>1126</v>
      </c>
      <c r="C74" s="104"/>
      <c r="D74" s="104"/>
      <c r="E74" s="104"/>
      <c r="F74" s="104"/>
      <c r="G74" s="104"/>
      <c r="H74" s="138">
        <v>-7693</v>
      </c>
      <c r="I74" s="138">
        <v>-14241</v>
      </c>
      <c r="J74" s="138">
        <v>-20268</v>
      </c>
      <c r="K74" s="138">
        <v>-41185</v>
      </c>
      <c r="L74" s="138">
        <v>-3183</v>
      </c>
      <c r="M74" s="138">
        <v>-10483</v>
      </c>
      <c r="N74" s="138">
        <v>-16151</v>
      </c>
      <c r="O74" s="138">
        <v>-23075</v>
      </c>
      <c r="P74" s="138">
        <v>-12561</v>
      </c>
      <c r="Q74" s="138">
        <v>-8336</v>
      </c>
      <c r="R74" s="138">
        <v>-12561</v>
      </c>
      <c r="S74" s="138">
        <v>-19322</v>
      </c>
      <c r="T74" s="138">
        <v>-4714</v>
      </c>
      <c r="U74" s="138">
        <v>-14536</v>
      </c>
      <c r="V74" s="138">
        <v>-22188</v>
      </c>
      <c r="W74" s="138">
        <v>-31501</v>
      </c>
      <c r="X74" s="138">
        <v>-7351</v>
      </c>
      <c r="Y74" s="138">
        <v>-15454</v>
      </c>
      <c r="Z74" s="229">
        <v>-27289</v>
      </c>
      <c r="AA74" s="229">
        <v>-41018</v>
      </c>
      <c r="AB74" s="229">
        <v>-7699</v>
      </c>
      <c r="AC74" s="229">
        <v>-15683</v>
      </c>
    </row>
    <row r="75" spans="1:29" s="165" customFormat="1" ht="13.8">
      <c r="A75" s="591" t="s">
        <v>1265</v>
      </c>
      <c r="B75" s="57" t="s">
        <v>1266</v>
      </c>
      <c r="C75" s="57"/>
      <c r="D75" s="57"/>
      <c r="E75" s="57"/>
      <c r="F75" s="57"/>
      <c r="G75" s="57"/>
      <c r="H75" s="229">
        <v>0</v>
      </c>
      <c r="I75" s="229">
        <v>0</v>
      </c>
      <c r="J75" s="229">
        <v>0</v>
      </c>
      <c r="K75" s="229">
        <v>0</v>
      </c>
      <c r="L75" s="229">
        <v>0</v>
      </c>
      <c r="M75" s="229">
        <v>0</v>
      </c>
      <c r="N75" s="229">
        <v>0</v>
      </c>
      <c r="O75" s="229">
        <v>0</v>
      </c>
      <c r="P75" s="229">
        <v>0</v>
      </c>
      <c r="Q75" s="229">
        <v>0</v>
      </c>
      <c r="R75" s="229">
        <v>0</v>
      </c>
      <c r="S75" s="229">
        <v>0</v>
      </c>
      <c r="T75" s="229">
        <v>0</v>
      </c>
      <c r="U75" s="229">
        <v>0</v>
      </c>
      <c r="V75" s="229">
        <v>0</v>
      </c>
      <c r="W75" s="229">
        <v>0</v>
      </c>
      <c r="X75" s="229">
        <v>0</v>
      </c>
      <c r="Y75" s="229">
        <v>0</v>
      </c>
      <c r="Z75" s="229">
        <v>0</v>
      </c>
      <c r="AA75" s="229">
        <v>0</v>
      </c>
      <c r="AB75" s="229">
        <v>0</v>
      </c>
      <c r="AC75" s="229">
        <v>0</v>
      </c>
    </row>
    <row r="76" spans="1:29" s="165" customFormat="1" ht="13.8">
      <c r="A76" s="591" t="s">
        <v>1129</v>
      </c>
      <c r="B76" s="57" t="s">
        <v>2011</v>
      </c>
      <c r="C76" s="57"/>
      <c r="D76" s="57"/>
      <c r="E76" s="57"/>
      <c r="F76" s="57"/>
      <c r="G76" s="57"/>
      <c r="H76" s="229">
        <v>-23147</v>
      </c>
      <c r="I76" s="229">
        <v>-20860</v>
      </c>
      <c r="J76" s="229">
        <v>604</v>
      </c>
      <c r="K76" s="229">
        <v>12656</v>
      </c>
      <c r="L76" s="229">
        <v>-10998</v>
      </c>
      <c r="M76" s="229">
        <v>-46392</v>
      </c>
      <c r="N76" s="229">
        <v>-7425</v>
      </c>
      <c r="O76" s="229">
        <v>9616</v>
      </c>
      <c r="P76" s="229">
        <v>68032</v>
      </c>
      <c r="Q76" s="229">
        <v>57670</v>
      </c>
      <c r="R76" s="229">
        <v>68032</v>
      </c>
      <c r="S76" s="229">
        <v>27446</v>
      </c>
      <c r="T76" s="229">
        <v>629</v>
      </c>
      <c r="U76" s="229">
        <v>4277</v>
      </c>
      <c r="V76" s="229">
        <v>-11885</v>
      </c>
      <c r="W76" s="229">
        <v>2551</v>
      </c>
      <c r="X76" s="229">
        <v>-15233</v>
      </c>
      <c r="Y76" s="229">
        <v>-9427</v>
      </c>
      <c r="Z76" s="229">
        <v>-26237</v>
      </c>
      <c r="AA76" s="229">
        <v>-71901</v>
      </c>
      <c r="AB76" s="229">
        <v>-452</v>
      </c>
      <c r="AC76" s="229">
        <v>-7075</v>
      </c>
    </row>
    <row r="77" spans="1:29" s="165" customFormat="1" ht="13.8">
      <c r="A77" s="591" t="s">
        <v>1127</v>
      </c>
      <c r="B77" s="57" t="s">
        <v>1991</v>
      </c>
      <c r="C77" s="57"/>
      <c r="D77" s="57"/>
      <c r="E77" s="57"/>
      <c r="F77" s="57"/>
      <c r="G77" s="57"/>
      <c r="H77" s="229">
        <v>0</v>
      </c>
      <c r="I77" s="229">
        <v>0</v>
      </c>
      <c r="J77" s="229">
        <v>0</v>
      </c>
      <c r="K77" s="229">
        <v>0</v>
      </c>
      <c r="L77" s="229">
        <v>0</v>
      </c>
      <c r="M77" s="229">
        <v>0</v>
      </c>
      <c r="N77" s="229">
        <v>0</v>
      </c>
      <c r="O77" s="229">
        <v>0</v>
      </c>
      <c r="P77" s="229">
        <v>0</v>
      </c>
      <c r="Q77" s="229">
        <v>0</v>
      </c>
      <c r="R77" s="229">
        <v>0</v>
      </c>
      <c r="S77" s="229">
        <v>0</v>
      </c>
      <c r="T77" s="229">
        <v>0</v>
      </c>
      <c r="U77" s="229">
        <v>0</v>
      </c>
      <c r="V77" s="229">
        <v>0</v>
      </c>
      <c r="W77" s="229">
        <v>0</v>
      </c>
      <c r="X77" s="229">
        <v>0</v>
      </c>
      <c r="Y77" s="229">
        <v>0</v>
      </c>
      <c r="Z77" s="229">
        <v>0</v>
      </c>
      <c r="AA77" s="229">
        <v>0</v>
      </c>
      <c r="AB77" s="229">
        <v>0</v>
      </c>
      <c r="AC77" s="229">
        <v>0</v>
      </c>
    </row>
    <row r="78" spans="1:29" s="165" customFormat="1" ht="13.8">
      <c r="A78" s="591" t="s">
        <v>1234</v>
      </c>
      <c r="B78" s="57" t="s">
        <v>2012</v>
      </c>
      <c r="C78" s="57"/>
      <c r="D78" s="57"/>
      <c r="E78" s="57"/>
      <c r="F78" s="57"/>
      <c r="G78" s="57"/>
      <c r="H78" s="229">
        <v>0</v>
      </c>
      <c r="I78" s="229">
        <v>0</v>
      </c>
      <c r="J78" s="229">
        <v>0</v>
      </c>
      <c r="K78" s="229">
        <v>0</v>
      </c>
      <c r="L78" s="229">
        <v>0</v>
      </c>
      <c r="M78" s="229">
        <v>0</v>
      </c>
      <c r="N78" s="229">
        <v>0</v>
      </c>
      <c r="O78" s="229">
        <v>0</v>
      </c>
      <c r="P78" s="229">
        <v>0</v>
      </c>
      <c r="Q78" s="229">
        <v>0</v>
      </c>
      <c r="R78" s="229">
        <v>0</v>
      </c>
      <c r="S78" s="229">
        <v>0</v>
      </c>
      <c r="T78" s="229">
        <v>0</v>
      </c>
      <c r="U78" s="229">
        <v>0</v>
      </c>
      <c r="V78" s="229">
        <v>0</v>
      </c>
      <c r="W78" s="229">
        <v>0</v>
      </c>
      <c r="X78" s="229">
        <v>0</v>
      </c>
      <c r="Y78" s="229">
        <v>0</v>
      </c>
      <c r="Z78" s="229">
        <v>0</v>
      </c>
      <c r="AA78" s="229">
        <v>0</v>
      </c>
      <c r="AB78" s="229">
        <v>0</v>
      </c>
      <c r="AC78" s="229">
        <v>0</v>
      </c>
    </row>
    <row r="79" spans="1:29" s="165" customFormat="1" ht="13.8">
      <c r="A79" s="591" t="s">
        <v>1428</v>
      </c>
      <c r="B79" s="57" t="s">
        <v>2013</v>
      </c>
      <c r="C79" s="57"/>
      <c r="D79" s="57"/>
      <c r="E79" s="57"/>
      <c r="F79" s="57"/>
      <c r="G79" s="57"/>
      <c r="H79" s="229">
        <v>0</v>
      </c>
      <c r="I79" s="229">
        <v>0</v>
      </c>
      <c r="J79" s="229">
        <v>0</v>
      </c>
      <c r="K79" s="229">
        <v>0</v>
      </c>
      <c r="L79" s="229">
        <v>0</v>
      </c>
      <c r="M79" s="229">
        <v>0</v>
      </c>
      <c r="N79" s="229">
        <v>0</v>
      </c>
      <c r="O79" s="229">
        <v>0</v>
      </c>
      <c r="P79" s="229">
        <v>0</v>
      </c>
      <c r="Q79" s="229">
        <v>0</v>
      </c>
      <c r="R79" s="229">
        <v>0</v>
      </c>
      <c r="S79" s="229">
        <v>0</v>
      </c>
      <c r="T79" s="229">
        <v>0</v>
      </c>
      <c r="U79" s="229">
        <v>0</v>
      </c>
      <c r="V79" s="229">
        <v>0</v>
      </c>
      <c r="W79" s="229">
        <v>0</v>
      </c>
      <c r="X79" s="229">
        <v>0</v>
      </c>
      <c r="Y79" s="229">
        <v>0</v>
      </c>
      <c r="Z79" s="229">
        <v>0</v>
      </c>
      <c r="AA79" s="229">
        <v>0</v>
      </c>
      <c r="AB79" s="229">
        <v>0</v>
      </c>
      <c r="AC79" s="229">
        <v>0</v>
      </c>
    </row>
    <row r="80" spans="1:29" s="578" customFormat="1" ht="13.8">
      <c r="A80" s="592" t="s">
        <v>1429</v>
      </c>
      <c r="B80" s="592" t="s">
        <v>2034</v>
      </c>
      <c r="C80" s="592"/>
      <c r="D80" s="592">
        <f t="shared" ref="D80:Y80" si="3">SUM(D48:D79)</f>
        <v>0</v>
      </c>
      <c r="E80" s="592">
        <f t="shared" si="3"/>
        <v>0</v>
      </c>
      <c r="F80" s="592">
        <f t="shared" si="3"/>
        <v>0</v>
      </c>
      <c r="G80" s="592">
        <f t="shared" si="3"/>
        <v>0</v>
      </c>
      <c r="H80" s="593">
        <f t="shared" si="3"/>
        <v>5046</v>
      </c>
      <c r="I80" s="593">
        <f t="shared" si="3"/>
        <v>90507</v>
      </c>
      <c r="J80" s="593">
        <f t="shared" si="3"/>
        <v>184811</v>
      </c>
      <c r="K80" s="593">
        <f t="shared" si="3"/>
        <v>258436</v>
      </c>
      <c r="L80" s="593">
        <f t="shared" si="3"/>
        <v>60270</v>
      </c>
      <c r="M80" s="593">
        <f t="shared" si="3"/>
        <v>423851</v>
      </c>
      <c r="N80" s="593">
        <f t="shared" si="3"/>
        <v>516483</v>
      </c>
      <c r="O80" s="593">
        <f t="shared" si="3"/>
        <v>652515</v>
      </c>
      <c r="P80" s="593">
        <f t="shared" si="3"/>
        <v>441681</v>
      </c>
      <c r="Q80" s="593">
        <f t="shared" si="3"/>
        <v>301305</v>
      </c>
      <c r="R80" s="593">
        <f t="shared" si="3"/>
        <v>441681</v>
      </c>
      <c r="S80" s="593">
        <f t="shared" si="3"/>
        <v>597178</v>
      </c>
      <c r="T80" s="593">
        <f t="shared" si="3"/>
        <v>182249</v>
      </c>
      <c r="U80" s="593">
        <f t="shared" si="3"/>
        <v>425835</v>
      </c>
      <c r="V80" s="593">
        <f t="shared" si="3"/>
        <v>540864.33887999994</v>
      </c>
      <c r="W80" s="593">
        <f t="shared" si="3"/>
        <v>777853</v>
      </c>
      <c r="X80" s="593">
        <f t="shared" si="3"/>
        <v>222980</v>
      </c>
      <c r="Y80" s="593">
        <f t="shared" si="3"/>
        <v>342257</v>
      </c>
      <c r="Z80" s="593">
        <f t="shared" ref="Z80" si="4">SUM(Z48:Z79)</f>
        <v>427217</v>
      </c>
      <c r="AA80" s="593">
        <f t="shared" ref="AA80:AC80" si="5">SUM(AA48:AA79)</f>
        <v>562061.58343</v>
      </c>
      <c r="AB80" s="593">
        <f t="shared" si="5"/>
        <v>162557.29329999999</v>
      </c>
      <c r="AC80" s="593">
        <f t="shared" si="5"/>
        <v>220547.35070999997</v>
      </c>
    </row>
    <row r="82" spans="1:29" s="165" customFormat="1" ht="13.8">
      <c r="A82" s="594" t="s">
        <v>1396</v>
      </c>
      <c r="B82" s="57" t="s">
        <v>1397</v>
      </c>
      <c r="C82" s="57"/>
      <c r="D82" s="57"/>
      <c r="E82" s="57"/>
      <c r="F82" s="57"/>
      <c r="G82" s="57"/>
      <c r="H82" s="57"/>
      <c r="I82" s="57"/>
      <c r="J82" s="57"/>
      <c r="K82" s="229"/>
      <c r="L82" s="229"/>
      <c r="M82" s="229"/>
      <c r="N82" s="229"/>
      <c r="O82" s="229"/>
      <c r="P82" s="229">
        <v>29572</v>
      </c>
      <c r="Q82" s="229"/>
      <c r="R82" s="229">
        <v>29572</v>
      </c>
      <c r="S82" s="229">
        <v>35219</v>
      </c>
      <c r="T82" s="229">
        <v>6864</v>
      </c>
      <c r="U82" s="229"/>
      <c r="V82" s="229">
        <v>26566</v>
      </c>
      <c r="W82" s="229">
        <v>41810</v>
      </c>
      <c r="X82" s="229">
        <v>23606</v>
      </c>
      <c r="Y82" s="229">
        <v>2777</v>
      </c>
      <c r="Z82" s="229">
        <v>60261</v>
      </c>
      <c r="AA82" s="229">
        <v>85685</v>
      </c>
      <c r="AB82" s="229">
        <v>23231</v>
      </c>
      <c r="AC82" s="229">
        <v>23231</v>
      </c>
    </row>
    <row r="83" spans="1:29" s="165" customFormat="1" ht="13.8">
      <c r="A83" s="594" t="s">
        <v>1430</v>
      </c>
      <c r="B83" s="57" t="s">
        <v>2016</v>
      </c>
      <c r="C83" s="57"/>
      <c r="D83" s="57"/>
      <c r="E83" s="57"/>
      <c r="F83" s="57"/>
      <c r="G83" s="57"/>
      <c r="H83" s="57"/>
      <c r="I83" s="57"/>
      <c r="J83" s="57"/>
      <c r="K83" s="229"/>
      <c r="L83" s="229">
        <v>-3209</v>
      </c>
      <c r="M83" s="229">
        <v>-16581</v>
      </c>
      <c r="N83" s="229">
        <v>-20937</v>
      </c>
      <c r="O83" s="229">
        <v>-22331</v>
      </c>
      <c r="P83" s="229">
        <v>-18671</v>
      </c>
      <c r="Q83" s="229">
        <v>-6888</v>
      </c>
      <c r="R83" s="229">
        <v>-18671</v>
      </c>
      <c r="S83" s="229">
        <v>-25789</v>
      </c>
      <c r="T83" s="229">
        <v>-3850</v>
      </c>
      <c r="U83" s="229">
        <v>-11155</v>
      </c>
      <c r="V83" s="229">
        <v>-12522</v>
      </c>
      <c r="W83" s="229">
        <v>-14864</v>
      </c>
      <c r="X83" s="229">
        <v>-2075</v>
      </c>
      <c r="Y83" s="229">
        <v>36127</v>
      </c>
      <c r="Z83" s="229">
        <v>57386</v>
      </c>
      <c r="AA83" s="229">
        <v>60253</v>
      </c>
      <c r="AB83" s="229">
        <v>-27865</v>
      </c>
      <c r="AC83" s="229">
        <v>-29945</v>
      </c>
    </row>
    <row r="84" spans="1:29" s="165" customFormat="1" ht="13.8">
      <c r="A84" s="594" t="s">
        <v>1431</v>
      </c>
      <c r="B84" s="57" t="s">
        <v>2017</v>
      </c>
      <c r="C84" s="57"/>
      <c r="D84" s="57"/>
      <c r="E84" s="57"/>
      <c r="F84" s="57"/>
      <c r="G84" s="57"/>
      <c r="H84" s="229">
        <v>-39734</v>
      </c>
      <c r="I84" s="229">
        <v>-53443</v>
      </c>
      <c r="J84" s="229">
        <v>-68535</v>
      </c>
      <c r="K84" s="229">
        <v>-87631</v>
      </c>
      <c r="L84" s="229">
        <v>-38404</v>
      </c>
      <c r="M84" s="229">
        <v>-69511</v>
      </c>
      <c r="N84" s="229">
        <v>-104830</v>
      </c>
      <c r="O84" s="229">
        <v>-166935</v>
      </c>
      <c r="P84" s="229">
        <v>-116557</v>
      </c>
      <c r="Q84" s="229">
        <v>-86940</v>
      </c>
      <c r="R84" s="229">
        <v>-116557</v>
      </c>
      <c r="S84" s="229">
        <v>-157490</v>
      </c>
      <c r="T84" s="229">
        <v>-18219</v>
      </c>
      <c r="U84" s="229">
        <v>-69505</v>
      </c>
      <c r="V84" s="229">
        <v>-113286</v>
      </c>
      <c r="W84" s="229">
        <v>-163728</v>
      </c>
      <c r="X84" s="229">
        <v>-17903</v>
      </c>
      <c r="Y84" s="229">
        <v>-102217</v>
      </c>
      <c r="Z84" s="229">
        <v>-160265</v>
      </c>
      <c r="AA84" s="229">
        <v>-263139</v>
      </c>
      <c r="AB84" s="229">
        <v>-95689</v>
      </c>
      <c r="AC84" s="229">
        <v>-165613</v>
      </c>
    </row>
    <row r="85" spans="1:29" s="165" customFormat="1" ht="13.8">
      <c r="A85" s="595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</row>
    <row r="86" spans="1:29" s="578" customFormat="1" thickBot="1">
      <c r="A86" s="596" t="s">
        <v>1432</v>
      </c>
      <c r="B86" s="596" t="s">
        <v>2036</v>
      </c>
      <c r="C86" s="596"/>
      <c r="D86" s="596">
        <f t="shared" ref="D86:Y86" si="6">SUM(D80:D85)</f>
        <v>0</v>
      </c>
      <c r="E86" s="596">
        <f t="shared" si="6"/>
        <v>0</v>
      </c>
      <c r="F86" s="596">
        <f t="shared" si="6"/>
        <v>0</v>
      </c>
      <c r="G86" s="596">
        <f t="shared" si="6"/>
        <v>0</v>
      </c>
      <c r="H86" s="597">
        <f t="shared" si="6"/>
        <v>-34688</v>
      </c>
      <c r="I86" s="597">
        <f t="shared" si="6"/>
        <v>37064</v>
      </c>
      <c r="J86" s="597">
        <f t="shared" si="6"/>
        <v>116276</v>
      </c>
      <c r="K86" s="597">
        <f t="shared" si="6"/>
        <v>170805</v>
      </c>
      <c r="L86" s="597">
        <f t="shared" si="6"/>
        <v>18657</v>
      </c>
      <c r="M86" s="597">
        <f t="shared" si="6"/>
        <v>337759</v>
      </c>
      <c r="N86" s="597">
        <f t="shared" si="6"/>
        <v>390716</v>
      </c>
      <c r="O86" s="597">
        <f t="shared" si="6"/>
        <v>463249</v>
      </c>
      <c r="P86" s="597">
        <f t="shared" si="6"/>
        <v>336025</v>
      </c>
      <c r="Q86" s="597">
        <f t="shared" si="6"/>
        <v>207477</v>
      </c>
      <c r="R86" s="597">
        <f t="shared" si="6"/>
        <v>336025</v>
      </c>
      <c r="S86" s="597">
        <f t="shared" si="6"/>
        <v>449118</v>
      </c>
      <c r="T86" s="597">
        <f t="shared" si="6"/>
        <v>167044</v>
      </c>
      <c r="U86" s="597">
        <f t="shared" si="6"/>
        <v>345175</v>
      </c>
      <c r="V86" s="597">
        <f t="shared" si="6"/>
        <v>441622.33887999994</v>
      </c>
      <c r="W86" s="597">
        <f t="shared" si="6"/>
        <v>641071</v>
      </c>
      <c r="X86" s="597">
        <f t="shared" si="6"/>
        <v>226608</v>
      </c>
      <c r="Y86" s="597">
        <f t="shared" si="6"/>
        <v>278944</v>
      </c>
      <c r="Z86" s="597">
        <f t="shared" ref="Z86" si="7">SUM(Z80:Z85)</f>
        <v>384599</v>
      </c>
      <c r="AA86" s="597">
        <f t="shared" ref="AA86:AC86" si="8">SUM(AA80:AA85)</f>
        <v>444860.58343</v>
      </c>
      <c r="AB86" s="597">
        <f t="shared" si="8"/>
        <v>62234.29329999999</v>
      </c>
      <c r="AC86" s="597">
        <f t="shared" si="8"/>
        <v>48220.35070999997</v>
      </c>
    </row>
    <row r="87" spans="1:29" s="165" customFormat="1" ht="13.8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229"/>
      <c r="L87" s="229"/>
      <c r="M87" s="229"/>
      <c r="N87" s="229"/>
      <c r="O87" s="229"/>
      <c r="P87" s="229"/>
      <c r="Q87" s="229"/>
      <c r="R87" s="229"/>
      <c r="S87" s="229"/>
      <c r="T87" s="229"/>
      <c r="U87" s="229"/>
      <c r="V87" s="229"/>
      <c r="W87" s="229"/>
      <c r="X87" s="229"/>
      <c r="Y87" s="229"/>
      <c r="Z87" s="229"/>
      <c r="AA87" s="229"/>
      <c r="AB87" s="229"/>
      <c r="AC87" s="229"/>
    </row>
    <row r="88" spans="1:29" s="165" customFormat="1" ht="13.8">
      <c r="A88" s="134" t="s">
        <v>1433</v>
      </c>
      <c r="B88" s="589" t="s">
        <v>2037</v>
      </c>
      <c r="C88" s="57"/>
      <c r="D88" s="57"/>
      <c r="E88" s="57"/>
      <c r="F88" s="57"/>
      <c r="G88" s="57"/>
      <c r="H88" s="57"/>
      <c r="I88" s="57"/>
      <c r="J88" s="57"/>
      <c r="K88" s="229"/>
      <c r="L88" s="229"/>
      <c r="M88" s="229"/>
      <c r="N88" s="229"/>
      <c r="O88" s="229"/>
      <c r="P88" s="229"/>
      <c r="Q88" s="229"/>
      <c r="R88" s="229"/>
      <c r="S88" s="229"/>
      <c r="T88" s="229"/>
      <c r="U88" s="229"/>
      <c r="V88" s="229"/>
      <c r="W88" s="229"/>
      <c r="X88" s="229"/>
      <c r="Y88" s="229"/>
      <c r="Z88" s="229"/>
      <c r="AA88" s="229"/>
      <c r="AB88" s="229"/>
      <c r="AC88" s="229"/>
    </row>
    <row r="89" spans="1:29" s="165" customFormat="1" ht="13.8">
      <c r="A89" s="591" t="s">
        <v>1434</v>
      </c>
      <c r="B89" s="57" t="s">
        <v>2018</v>
      </c>
      <c r="C89" s="57"/>
      <c r="D89" s="57"/>
      <c r="E89" s="57"/>
      <c r="F89" s="57"/>
      <c r="G89" s="57"/>
      <c r="H89" s="57"/>
      <c r="I89" s="57"/>
      <c r="J89" s="57"/>
      <c r="K89" s="229"/>
      <c r="L89" s="229"/>
      <c r="M89" s="229"/>
      <c r="N89" s="229"/>
      <c r="O89" s="229"/>
      <c r="P89" s="229"/>
      <c r="Q89" s="229"/>
      <c r="R89" s="229"/>
      <c r="S89" s="229"/>
      <c r="T89" s="229"/>
      <c r="U89" s="229"/>
      <c r="V89" s="229"/>
      <c r="W89" s="229"/>
      <c r="X89" s="229"/>
      <c r="Y89" s="229"/>
      <c r="Z89" s="229"/>
      <c r="AA89" s="229"/>
      <c r="AB89" s="229"/>
      <c r="AC89" s="229"/>
    </row>
    <row r="90" spans="1:29" s="165" customFormat="1" ht="13.8">
      <c r="A90" s="598" t="s">
        <v>1435</v>
      </c>
      <c r="B90" s="57" t="s">
        <v>2019</v>
      </c>
      <c r="C90" s="57"/>
      <c r="D90" s="229"/>
      <c r="E90" s="229"/>
      <c r="F90" s="229"/>
      <c r="G90" s="229"/>
      <c r="H90" s="229"/>
      <c r="I90" s="229"/>
      <c r="J90" s="229"/>
      <c r="K90" s="229"/>
      <c r="L90" s="229"/>
      <c r="M90" s="229"/>
      <c r="N90" s="229"/>
      <c r="O90" s="229"/>
      <c r="P90" s="229"/>
      <c r="Q90" s="229"/>
      <c r="R90" s="229"/>
      <c r="S90" s="229"/>
      <c r="T90" s="229"/>
      <c r="U90" s="229"/>
      <c r="V90" s="229"/>
      <c r="W90" s="229"/>
      <c r="X90" s="229"/>
      <c r="Y90" s="229"/>
      <c r="Z90" s="229"/>
      <c r="AA90" s="229"/>
      <c r="AB90" s="229"/>
      <c r="AC90" s="229"/>
    </row>
    <row r="91" spans="1:29" s="165" customFormat="1" ht="13.8">
      <c r="A91" s="591" t="s">
        <v>1436</v>
      </c>
      <c r="B91" s="57" t="s">
        <v>2020</v>
      </c>
      <c r="C91" s="57"/>
      <c r="D91" s="229"/>
      <c r="E91" s="229"/>
      <c r="F91" s="229"/>
      <c r="G91" s="229"/>
      <c r="H91" s="229"/>
      <c r="I91" s="229"/>
      <c r="J91" s="229"/>
      <c r="K91" s="229"/>
      <c r="L91" s="229"/>
      <c r="M91" s="229"/>
      <c r="N91" s="229"/>
      <c r="O91" s="229"/>
      <c r="P91" s="229"/>
      <c r="Q91" s="229"/>
      <c r="R91" s="229"/>
      <c r="S91" s="229"/>
      <c r="T91" s="229"/>
      <c r="U91" s="229"/>
      <c r="V91" s="229"/>
      <c r="W91" s="229"/>
      <c r="X91" s="229"/>
      <c r="Y91" s="229"/>
      <c r="Z91" s="229"/>
      <c r="AA91" s="229"/>
      <c r="AB91" s="229"/>
      <c r="AC91" s="229"/>
    </row>
    <row r="92" spans="1:29" s="165" customFormat="1" ht="13.8">
      <c r="A92" s="591" t="s">
        <v>1437</v>
      </c>
      <c r="B92" s="57" t="s">
        <v>2021</v>
      </c>
      <c r="C92" s="57"/>
      <c r="D92" s="229"/>
      <c r="E92" s="229"/>
      <c r="F92" s="229"/>
      <c r="G92" s="229"/>
      <c r="H92" s="229">
        <v>-40255</v>
      </c>
      <c r="I92" s="229">
        <v>-92455</v>
      </c>
      <c r="J92" s="229">
        <v>-170077</v>
      </c>
      <c r="K92" s="229">
        <v>-267671</v>
      </c>
      <c r="L92" s="229">
        <v>-43324</v>
      </c>
      <c r="M92" s="229">
        <v>-141079</v>
      </c>
      <c r="N92" s="229">
        <v>-237476</v>
      </c>
      <c r="O92" s="229">
        <v>-364114</v>
      </c>
      <c r="P92" s="229">
        <v>-405555</v>
      </c>
      <c r="Q92" s="229">
        <v>-259568</v>
      </c>
      <c r="R92" s="229">
        <v>-405555</v>
      </c>
      <c r="S92" s="229">
        <v>-590030</v>
      </c>
      <c r="T92" s="229">
        <v>-82535</v>
      </c>
      <c r="U92" s="229">
        <v>-190074</v>
      </c>
      <c r="V92" s="229">
        <v>-312888.33888</v>
      </c>
      <c r="W92" s="229">
        <v>-437473</v>
      </c>
      <c r="X92" s="229">
        <v>-135058</v>
      </c>
      <c r="Y92" s="229">
        <v>-290676</v>
      </c>
      <c r="Z92" s="229">
        <v>-436910</v>
      </c>
      <c r="AA92" s="229">
        <v>-636616.58343</v>
      </c>
      <c r="AB92" s="229">
        <v>-142381.29329999999</v>
      </c>
      <c r="AC92" s="229">
        <v>-300898.35070999997</v>
      </c>
    </row>
    <row r="93" spans="1:29" s="165" customFormat="1" ht="13.8">
      <c r="A93" s="591" t="s">
        <v>1438</v>
      </c>
      <c r="B93" s="57" t="s">
        <v>2022</v>
      </c>
      <c r="C93" s="57"/>
      <c r="D93" s="229"/>
      <c r="E93" s="229"/>
      <c r="F93" s="229"/>
      <c r="G93" s="229"/>
      <c r="H93" s="229"/>
      <c r="I93" s="229"/>
      <c r="J93" s="229"/>
      <c r="K93" s="229"/>
      <c r="L93" s="229"/>
      <c r="M93" s="229"/>
      <c r="N93" s="229"/>
      <c r="O93" s="229"/>
      <c r="P93" s="229"/>
      <c r="Q93" s="229"/>
      <c r="R93" s="229"/>
      <c r="S93" s="229"/>
      <c r="T93" s="229"/>
      <c r="U93" s="229"/>
      <c r="V93" s="229"/>
      <c r="W93" s="229"/>
      <c r="X93" s="229"/>
      <c r="Y93" s="229"/>
      <c r="Z93" s="229"/>
      <c r="AA93" s="229"/>
      <c r="AB93" s="229"/>
      <c r="AC93" s="229"/>
    </row>
    <row r="94" spans="1:29" s="165" customFormat="1" ht="13.8">
      <c r="A94" s="591" t="s">
        <v>1439</v>
      </c>
      <c r="B94" s="57" t="s">
        <v>2023</v>
      </c>
      <c r="C94" s="57"/>
      <c r="D94" s="229"/>
      <c r="E94" s="229"/>
      <c r="F94" s="229"/>
      <c r="G94" s="229"/>
      <c r="H94" s="229"/>
      <c r="I94" s="229"/>
      <c r="J94" s="229"/>
      <c r="K94" s="229"/>
      <c r="L94" s="229"/>
      <c r="M94" s="229"/>
      <c r="N94" s="229"/>
      <c r="O94" s="229"/>
      <c r="P94" s="229"/>
      <c r="Q94" s="229"/>
      <c r="R94" s="229"/>
      <c r="S94" s="229"/>
      <c r="T94" s="229"/>
      <c r="U94" s="229"/>
      <c r="V94" s="229"/>
      <c r="W94" s="229"/>
      <c r="X94" s="229"/>
      <c r="Y94" s="229"/>
      <c r="Z94" s="229"/>
      <c r="AA94" s="229"/>
      <c r="AB94" s="229"/>
      <c r="AC94" s="229"/>
    </row>
    <row r="95" spans="1:29" s="165" customFormat="1" ht="13.8">
      <c r="A95" s="591" t="s">
        <v>1440</v>
      </c>
      <c r="B95" s="57" t="s">
        <v>2024</v>
      </c>
      <c r="C95" s="57"/>
      <c r="D95" s="229"/>
      <c r="E95" s="229"/>
      <c r="F95" s="229"/>
      <c r="G95" s="229"/>
      <c r="H95" s="229"/>
      <c r="I95" s="229"/>
      <c r="J95" s="229"/>
      <c r="K95" s="229"/>
      <c r="L95" s="229"/>
      <c r="M95" s="229"/>
      <c r="N95" s="229"/>
      <c r="O95" s="229"/>
      <c r="P95" s="229"/>
      <c r="Q95" s="229"/>
      <c r="R95" s="229"/>
      <c r="S95" s="229"/>
      <c r="T95" s="229"/>
      <c r="U95" s="229"/>
      <c r="V95" s="229"/>
      <c r="W95" s="229"/>
      <c r="X95" s="229"/>
      <c r="Y95" s="229"/>
      <c r="Z95" s="229"/>
      <c r="AA95" s="229"/>
      <c r="AB95" s="229"/>
      <c r="AC95" s="229"/>
    </row>
    <row r="96" spans="1:29" s="165" customFormat="1" ht="13.8">
      <c r="A96" s="591" t="s">
        <v>1441</v>
      </c>
      <c r="B96" s="57" t="s">
        <v>2025</v>
      </c>
      <c r="C96" s="57"/>
      <c r="D96" s="229"/>
      <c r="E96" s="229"/>
      <c r="F96" s="229"/>
      <c r="G96" s="229"/>
      <c r="H96" s="229"/>
      <c r="I96" s="229"/>
      <c r="J96" s="229"/>
      <c r="K96" s="229"/>
      <c r="L96" s="229"/>
      <c r="M96" s="229"/>
      <c r="N96" s="229"/>
      <c r="O96" s="229"/>
      <c r="P96" s="229"/>
      <c r="Q96" s="229"/>
      <c r="R96" s="229"/>
      <c r="S96" s="229"/>
      <c r="T96" s="229"/>
      <c r="U96" s="229"/>
      <c r="V96" s="229"/>
      <c r="W96" s="229"/>
      <c r="X96" s="229"/>
      <c r="Y96" s="229"/>
      <c r="Z96" s="229"/>
      <c r="AA96" s="229"/>
      <c r="AB96" s="229"/>
      <c r="AC96" s="229"/>
    </row>
    <row r="97" spans="1:29" s="165" customFormat="1" ht="13.8">
      <c r="A97" s="591" t="s">
        <v>1442</v>
      </c>
      <c r="B97" s="57" t="s">
        <v>2026</v>
      </c>
      <c r="C97" s="57"/>
      <c r="D97" s="229"/>
      <c r="E97" s="229"/>
      <c r="F97" s="229"/>
      <c r="G97" s="229"/>
      <c r="H97" s="229"/>
      <c r="I97" s="229"/>
      <c r="J97" s="229"/>
      <c r="K97" s="229"/>
      <c r="L97" s="229"/>
      <c r="M97" s="229"/>
      <c r="N97" s="229"/>
      <c r="O97" s="229"/>
      <c r="P97" s="229"/>
      <c r="Q97" s="229"/>
      <c r="R97" s="229"/>
      <c r="S97" s="229"/>
      <c r="T97" s="229"/>
      <c r="U97" s="229"/>
      <c r="V97" s="229"/>
      <c r="W97" s="229"/>
      <c r="X97" s="229"/>
      <c r="Y97" s="229"/>
      <c r="Z97" s="229"/>
      <c r="AA97" s="229"/>
      <c r="AB97" s="229"/>
      <c r="AC97" s="229"/>
    </row>
    <row r="98" spans="1:29" s="165" customFormat="1" ht="13.8">
      <c r="A98" s="591" t="s">
        <v>1443</v>
      </c>
      <c r="B98" s="57" t="s">
        <v>2028</v>
      </c>
      <c r="C98" s="57"/>
      <c r="D98" s="229"/>
      <c r="E98" s="229"/>
      <c r="F98" s="229"/>
      <c r="G98" s="229"/>
      <c r="H98" s="229"/>
      <c r="I98" s="229"/>
      <c r="J98" s="229"/>
      <c r="K98" s="229"/>
      <c r="L98" s="229"/>
      <c r="M98" s="229"/>
      <c r="N98" s="229"/>
      <c r="O98" s="229"/>
      <c r="P98" s="229"/>
      <c r="Q98" s="229"/>
      <c r="R98" s="229"/>
      <c r="S98" s="229"/>
      <c r="T98" s="229"/>
      <c r="U98" s="229"/>
      <c r="V98" s="229"/>
      <c r="W98" s="229"/>
      <c r="X98" s="229"/>
      <c r="Y98" s="229"/>
      <c r="Z98" s="229"/>
      <c r="AA98" s="229"/>
      <c r="AB98" s="229"/>
      <c r="AC98" s="229"/>
    </row>
    <row r="99" spans="1:29" s="165" customFormat="1" ht="13.8">
      <c r="A99" s="591" t="s">
        <v>1444</v>
      </c>
      <c r="B99" s="57" t="s">
        <v>2029</v>
      </c>
      <c r="C99" s="57"/>
      <c r="D99" s="229"/>
      <c r="E99" s="229"/>
      <c r="F99" s="229"/>
      <c r="G99" s="229"/>
      <c r="H99" s="229"/>
      <c r="I99" s="229"/>
      <c r="J99" s="229"/>
      <c r="K99" s="229"/>
      <c r="L99" s="229"/>
      <c r="M99" s="229"/>
      <c r="N99" s="229"/>
      <c r="O99" s="229"/>
      <c r="P99" s="229"/>
      <c r="Q99" s="229"/>
      <c r="R99" s="229"/>
      <c r="S99" s="229"/>
      <c r="T99" s="229"/>
      <c r="U99" s="229"/>
      <c r="V99" s="229"/>
      <c r="W99" s="229"/>
      <c r="X99" s="229"/>
      <c r="Y99" s="229"/>
      <c r="Z99" s="229"/>
      <c r="AA99" s="229"/>
      <c r="AB99" s="229"/>
      <c r="AC99" s="229"/>
    </row>
    <row r="100" spans="1:29" s="165" customFormat="1" ht="13.8">
      <c r="A100" s="591" t="s">
        <v>1445</v>
      </c>
      <c r="B100" s="57" t="s">
        <v>2027</v>
      </c>
      <c r="C100" s="57"/>
      <c r="D100" s="229"/>
      <c r="E100" s="229"/>
      <c r="F100" s="229"/>
      <c r="G100" s="229"/>
      <c r="H100" s="229"/>
      <c r="I100" s="229"/>
      <c r="J100" s="229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 s="229"/>
      <c r="W100" s="229"/>
      <c r="X100" s="229"/>
      <c r="Y100" s="229"/>
      <c r="Z100" s="229"/>
      <c r="AA100" s="229"/>
      <c r="AB100" s="229"/>
      <c r="AC100" s="229"/>
    </row>
    <row r="101" spans="1:29" s="165" customFormat="1" ht="13.8">
      <c r="A101" s="591" t="s">
        <v>1446</v>
      </c>
      <c r="B101" s="57" t="s">
        <v>2030</v>
      </c>
      <c r="C101" s="57"/>
      <c r="D101" s="229"/>
      <c r="E101" s="229"/>
      <c r="F101" s="229"/>
      <c r="G101" s="229"/>
      <c r="H101" s="229"/>
      <c r="I101" s="229"/>
      <c r="J101" s="229"/>
      <c r="K101" s="229"/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W101" s="229"/>
      <c r="X101" s="229"/>
      <c r="Y101" s="229"/>
      <c r="Z101" s="229"/>
      <c r="AA101" s="229"/>
      <c r="AB101" s="229"/>
      <c r="AC101" s="229"/>
    </row>
    <row r="102" spans="1:29" s="165" customFormat="1" ht="13.8">
      <c r="A102" s="591" t="s">
        <v>1447</v>
      </c>
      <c r="B102" s="57" t="s">
        <v>2031</v>
      </c>
      <c r="C102" s="57"/>
      <c r="D102" s="229"/>
      <c r="E102" s="229"/>
      <c r="F102" s="229"/>
      <c r="G102" s="229"/>
      <c r="H102" s="229"/>
      <c r="I102" s="229"/>
      <c r="J102" s="229"/>
      <c r="K102" s="229"/>
      <c r="L102" s="229"/>
      <c r="M102" s="229"/>
      <c r="N102" s="229"/>
      <c r="O102" s="229"/>
      <c r="P102" s="229"/>
      <c r="Q102" s="229"/>
      <c r="R102" s="229"/>
      <c r="S102" s="229"/>
      <c r="T102" s="229"/>
      <c r="U102" s="229"/>
      <c r="V102" s="229"/>
      <c r="W102" s="229"/>
      <c r="X102" s="229"/>
      <c r="Y102" s="229"/>
      <c r="Z102" s="229"/>
      <c r="AA102" s="229"/>
      <c r="AB102" s="229"/>
      <c r="AC102" s="229"/>
    </row>
    <row r="103" spans="1:29" s="165" customFormat="1" ht="13.8">
      <c r="A103" s="591" t="s">
        <v>1448</v>
      </c>
      <c r="B103" s="57" t="s">
        <v>2032</v>
      </c>
      <c r="C103" s="57"/>
      <c r="D103" s="229"/>
      <c r="E103" s="229"/>
      <c r="F103" s="229"/>
      <c r="G103" s="229"/>
      <c r="H103" s="229"/>
      <c r="I103" s="229"/>
      <c r="J103" s="229"/>
      <c r="K103" s="229"/>
      <c r="L103" s="229"/>
      <c r="M103" s="229"/>
      <c r="N103" s="229"/>
      <c r="O103" s="229"/>
      <c r="P103" s="229"/>
      <c r="Q103" s="229"/>
      <c r="R103" s="229"/>
      <c r="S103" s="229"/>
      <c r="T103" s="229"/>
      <c r="U103" s="229"/>
      <c r="V103" s="229"/>
      <c r="W103" s="229"/>
      <c r="X103" s="229"/>
      <c r="Y103" s="229"/>
      <c r="Z103" s="229"/>
      <c r="AA103" s="229"/>
      <c r="AB103" s="229"/>
      <c r="AC103" s="229"/>
    </row>
    <row r="104" spans="1:29" s="165" customFormat="1" ht="13.8">
      <c r="A104" s="591" t="s">
        <v>1449</v>
      </c>
      <c r="B104" s="57" t="s">
        <v>2033</v>
      </c>
      <c r="C104" s="57"/>
      <c r="D104" s="229"/>
      <c r="E104" s="229"/>
      <c r="F104" s="229"/>
      <c r="G104" s="229"/>
      <c r="H104" s="229">
        <v>83712</v>
      </c>
      <c r="I104" s="229">
        <v>226655</v>
      </c>
      <c r="J104" s="229">
        <v>254457</v>
      </c>
      <c r="K104" s="229">
        <v>384984</v>
      </c>
      <c r="L104" s="229">
        <v>-55965</v>
      </c>
      <c r="M104" s="229">
        <v>-46730</v>
      </c>
      <c r="N104" s="229">
        <v>-9423</v>
      </c>
      <c r="O104" s="229">
        <v>137864</v>
      </c>
      <c r="P104" s="229">
        <v>153032</v>
      </c>
      <c r="Q104" s="229">
        <v>87280</v>
      </c>
      <c r="R104" s="229">
        <v>153032</v>
      </c>
      <c r="S104" s="229">
        <v>87169</v>
      </c>
      <c r="T104" s="229">
        <v>-82161</v>
      </c>
      <c r="U104" s="229">
        <v>-144820</v>
      </c>
      <c r="V104" s="229">
        <v>-96710</v>
      </c>
      <c r="W104" s="229">
        <v>-476976</v>
      </c>
      <c r="X104" s="229">
        <v>-137662</v>
      </c>
      <c r="Y104" s="229">
        <v>-13137</v>
      </c>
      <c r="Z104" s="229">
        <v>-35856</v>
      </c>
      <c r="AA104" s="229">
        <v>-80582</v>
      </c>
      <c r="AB104" s="229">
        <v>348243</v>
      </c>
      <c r="AC104" s="229">
        <v>444080</v>
      </c>
    </row>
    <row r="105" spans="1:29" s="578" customFormat="1" thickBot="1">
      <c r="A105" s="596" t="s">
        <v>1450</v>
      </c>
      <c r="B105" s="596" t="s">
        <v>2038</v>
      </c>
      <c r="C105" s="596"/>
      <c r="D105" s="597">
        <f t="shared" ref="D105:Y105" si="9">SUM(D88:D104)</f>
        <v>0</v>
      </c>
      <c r="E105" s="597">
        <f t="shared" si="9"/>
        <v>0</v>
      </c>
      <c r="F105" s="597">
        <f t="shared" si="9"/>
        <v>0</v>
      </c>
      <c r="G105" s="597">
        <f t="shared" si="9"/>
        <v>0</v>
      </c>
      <c r="H105" s="597">
        <f t="shared" si="9"/>
        <v>43457</v>
      </c>
      <c r="I105" s="597">
        <f t="shared" si="9"/>
        <v>134200</v>
      </c>
      <c r="J105" s="597">
        <f t="shared" si="9"/>
        <v>84380</v>
      </c>
      <c r="K105" s="597">
        <f t="shared" si="9"/>
        <v>117313</v>
      </c>
      <c r="L105" s="597">
        <f t="shared" si="9"/>
        <v>-99289</v>
      </c>
      <c r="M105" s="597">
        <f t="shared" si="9"/>
        <v>-187809</v>
      </c>
      <c r="N105" s="597">
        <f t="shared" si="9"/>
        <v>-246899</v>
      </c>
      <c r="O105" s="597">
        <f t="shared" si="9"/>
        <v>-226250</v>
      </c>
      <c r="P105" s="597">
        <f t="shared" si="9"/>
        <v>-252523</v>
      </c>
      <c r="Q105" s="597">
        <f t="shared" si="9"/>
        <v>-172288</v>
      </c>
      <c r="R105" s="597">
        <f t="shared" si="9"/>
        <v>-252523</v>
      </c>
      <c r="S105" s="597">
        <f t="shared" si="9"/>
        <v>-502861</v>
      </c>
      <c r="T105" s="597">
        <f t="shared" si="9"/>
        <v>-164696</v>
      </c>
      <c r="U105" s="597">
        <f t="shared" si="9"/>
        <v>-334894</v>
      </c>
      <c r="V105" s="597">
        <f t="shared" si="9"/>
        <v>-409598.33888</v>
      </c>
      <c r="W105" s="597">
        <f t="shared" si="9"/>
        <v>-914449</v>
      </c>
      <c r="X105" s="597">
        <f t="shared" si="9"/>
        <v>-272720</v>
      </c>
      <c r="Y105" s="597">
        <f t="shared" si="9"/>
        <v>-303813</v>
      </c>
      <c r="Z105" s="597">
        <f t="shared" ref="Z105" si="10">SUM(Z88:Z104)</f>
        <v>-472766</v>
      </c>
      <c r="AA105" s="597">
        <f t="shared" ref="AA105:AC105" si="11">SUM(AA88:AA104)</f>
        <v>-717198.58343</v>
      </c>
      <c r="AB105" s="597">
        <f t="shared" si="11"/>
        <v>205861.70670000001</v>
      </c>
      <c r="AC105" s="597">
        <f t="shared" si="11"/>
        <v>143181.64929000003</v>
      </c>
    </row>
    <row r="106" spans="1:29" s="165" customFormat="1" ht="13.8">
      <c r="A106" s="57"/>
      <c r="B106" s="57"/>
      <c r="C106" s="57"/>
      <c r="D106" s="229"/>
      <c r="E106" s="229"/>
      <c r="F106" s="229"/>
      <c r="G106" s="229"/>
      <c r="H106" s="229"/>
      <c r="I106" s="229"/>
      <c r="J106" s="229"/>
      <c r="K106" s="229"/>
      <c r="L106" s="229"/>
      <c r="M106" s="229"/>
      <c r="N106" s="229"/>
      <c r="O106" s="229"/>
      <c r="P106" s="229"/>
      <c r="Q106" s="229"/>
      <c r="R106" s="229"/>
      <c r="S106" s="229"/>
      <c r="T106" s="229"/>
      <c r="U106" s="229"/>
      <c r="V106" s="229"/>
      <c r="W106" s="229"/>
      <c r="X106" s="229"/>
      <c r="Y106" s="229"/>
      <c r="Z106" s="229"/>
      <c r="AA106" s="229"/>
      <c r="AB106" s="229"/>
      <c r="AC106" s="229"/>
    </row>
    <row r="107" spans="1:29" s="165" customFormat="1" ht="13.8">
      <c r="A107" s="134" t="s">
        <v>1451</v>
      </c>
      <c r="B107" s="589" t="s">
        <v>2039</v>
      </c>
      <c r="C107" s="57"/>
      <c r="D107" s="229"/>
      <c r="E107" s="229"/>
      <c r="F107" s="229"/>
      <c r="G107" s="229"/>
      <c r="H107" s="229"/>
      <c r="I107" s="229"/>
      <c r="J107" s="229"/>
      <c r="K107" s="229"/>
      <c r="L107" s="229"/>
      <c r="M107" s="229"/>
      <c r="N107" s="229"/>
      <c r="O107" s="229"/>
      <c r="P107" s="229"/>
      <c r="Q107" s="229"/>
      <c r="R107" s="229"/>
      <c r="S107" s="229"/>
      <c r="T107" s="229"/>
      <c r="U107" s="229"/>
      <c r="V107" s="229"/>
      <c r="W107" s="229"/>
      <c r="X107" s="229"/>
      <c r="Y107" s="229"/>
      <c r="Z107" s="229"/>
      <c r="AA107" s="229"/>
      <c r="AB107" s="229"/>
      <c r="AC107" s="229"/>
    </row>
    <row r="108" spans="1:29" s="165" customFormat="1" ht="13.8">
      <c r="A108" s="591" t="s">
        <v>1452</v>
      </c>
      <c r="B108" s="57" t="s">
        <v>2040</v>
      </c>
      <c r="C108" s="57"/>
      <c r="D108" s="229"/>
      <c r="E108" s="229"/>
      <c r="F108" s="229"/>
      <c r="G108" s="229"/>
      <c r="H108" s="229">
        <v>-97839</v>
      </c>
      <c r="I108" s="229">
        <v>-195678</v>
      </c>
      <c r="J108" s="229">
        <v>-295243</v>
      </c>
      <c r="K108" s="229">
        <v>-394117</v>
      </c>
      <c r="L108" s="229">
        <v>-97285</v>
      </c>
      <c r="M108" s="229">
        <v>-195493</v>
      </c>
      <c r="N108" s="229">
        <v>-290512</v>
      </c>
      <c r="O108" s="229">
        <v>-993664</v>
      </c>
      <c r="P108" s="229">
        <v>-379008</v>
      </c>
      <c r="Q108" s="229">
        <v>-140296</v>
      </c>
      <c r="R108" s="229">
        <v>-379008</v>
      </c>
      <c r="S108" s="229">
        <v>-382832</v>
      </c>
      <c r="T108" s="229">
        <v>-12224</v>
      </c>
      <c r="U108" s="229">
        <v>-24635</v>
      </c>
      <c r="V108" s="229">
        <v>-37174</v>
      </c>
      <c r="W108" s="229">
        <v>-49813</v>
      </c>
      <c r="X108" s="229">
        <v>-12805</v>
      </c>
      <c r="Y108" s="229">
        <v>-309443</v>
      </c>
      <c r="Z108" s="229">
        <v>-544206</v>
      </c>
      <c r="AA108" s="229">
        <v>-559239</v>
      </c>
      <c r="AB108" s="229">
        <v>-15538</v>
      </c>
      <c r="AC108" s="229">
        <v>-31363</v>
      </c>
    </row>
    <row r="109" spans="1:29" s="165" customFormat="1" ht="13.8">
      <c r="A109" s="591" t="s">
        <v>1453</v>
      </c>
      <c r="B109" s="57" t="s">
        <v>2041</v>
      </c>
      <c r="C109" s="57"/>
      <c r="D109" s="229"/>
      <c r="E109" s="229"/>
      <c r="F109" s="229"/>
      <c r="G109" s="229"/>
      <c r="H109" s="229">
        <v>103538</v>
      </c>
      <c r="I109" s="229">
        <v>103537</v>
      </c>
      <c r="J109" s="229">
        <v>103537</v>
      </c>
      <c r="K109" s="229">
        <v>213537</v>
      </c>
      <c r="L109" s="229">
        <v>115000</v>
      </c>
      <c r="M109" s="229">
        <v>115000</v>
      </c>
      <c r="N109" s="229">
        <v>115000</v>
      </c>
      <c r="O109" s="229">
        <v>626429</v>
      </c>
      <c r="P109" s="229"/>
      <c r="Q109" s="229"/>
      <c r="R109" s="229"/>
      <c r="S109" s="229">
        <v>444750</v>
      </c>
      <c r="T109" s="229"/>
      <c r="U109" s="229"/>
      <c r="V109" s="229"/>
      <c r="W109" s="229">
        <v>622900</v>
      </c>
      <c r="X109" s="229">
        <v>70000</v>
      </c>
      <c r="Y109" s="229">
        <v>639360</v>
      </c>
      <c r="Z109" s="229">
        <v>1002957</v>
      </c>
      <c r="AA109" s="229">
        <v>1446486</v>
      </c>
      <c r="AB109" s="229">
        <v>0</v>
      </c>
      <c r="AC109" s="229">
        <v>0</v>
      </c>
    </row>
    <row r="110" spans="1:29" s="165" customFormat="1" ht="13.8">
      <c r="A110" s="591" t="s">
        <v>1454</v>
      </c>
      <c r="B110" s="57" t="s">
        <v>2042</v>
      </c>
      <c r="C110" s="57"/>
      <c r="D110" s="229"/>
      <c r="E110" s="229"/>
      <c r="F110" s="229"/>
      <c r="G110" s="229"/>
      <c r="H110" s="229"/>
      <c r="I110" s="229"/>
      <c r="J110" s="229"/>
      <c r="K110" s="229"/>
      <c r="L110" s="229"/>
      <c r="M110" s="229"/>
      <c r="N110" s="229"/>
      <c r="O110" s="229">
        <v>296125</v>
      </c>
      <c r="P110" s="229">
        <v>200000</v>
      </c>
      <c r="Q110" s="229"/>
      <c r="R110" s="229">
        <v>200000</v>
      </c>
      <c r="S110" s="229"/>
      <c r="T110" s="229"/>
      <c r="U110" s="229">
        <v>15500</v>
      </c>
      <c r="V110" s="229"/>
      <c r="W110" s="229"/>
      <c r="X110" s="229">
        <v>-193</v>
      </c>
      <c r="Y110" s="229"/>
      <c r="Z110" s="229"/>
      <c r="AA110" s="229"/>
      <c r="AB110" s="229">
        <v>-205</v>
      </c>
      <c r="AC110" s="229">
        <v>-361</v>
      </c>
    </row>
    <row r="111" spans="1:29" s="165" customFormat="1" ht="13.8">
      <c r="A111" s="591" t="s">
        <v>1455</v>
      </c>
      <c r="B111" s="57" t="s">
        <v>2043</v>
      </c>
      <c r="C111" s="57"/>
      <c r="D111" s="229"/>
      <c r="E111" s="229"/>
      <c r="F111" s="229"/>
      <c r="G111" s="229"/>
      <c r="H111" s="229"/>
      <c r="I111" s="229"/>
      <c r="J111" s="229"/>
      <c r="K111" s="229"/>
      <c r="L111" s="229"/>
      <c r="M111" s="229"/>
      <c r="N111" s="229"/>
      <c r="O111" s="229"/>
      <c r="P111" s="229"/>
      <c r="Q111" s="229"/>
      <c r="R111" s="229"/>
      <c r="S111" s="229"/>
      <c r="T111" s="229"/>
      <c r="U111" s="229"/>
      <c r="V111" s="229"/>
      <c r="W111" s="229">
        <v>-411</v>
      </c>
      <c r="X111" s="229"/>
      <c r="Y111" s="229"/>
      <c r="Z111" s="229"/>
      <c r="AA111" s="229">
        <v>-200000</v>
      </c>
      <c r="AB111" s="229">
        <v>0</v>
      </c>
      <c r="AC111" s="229">
        <v>0</v>
      </c>
    </row>
    <row r="112" spans="1:29" s="165" customFormat="1" ht="13.8">
      <c r="A112" s="591" t="s">
        <v>1456</v>
      </c>
      <c r="B112" s="57" t="s">
        <v>2045</v>
      </c>
      <c r="C112" s="57"/>
      <c r="D112" s="229"/>
      <c r="E112" s="229"/>
      <c r="F112" s="229"/>
      <c r="G112" s="229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29"/>
      <c r="X112" s="229"/>
      <c r="Y112" s="229"/>
      <c r="Z112" s="229"/>
      <c r="AA112" s="229"/>
      <c r="AB112" s="229"/>
      <c r="AC112" s="229"/>
    </row>
    <row r="113" spans="1:29" s="165" customFormat="1" ht="13.8">
      <c r="A113" s="591" t="s">
        <v>1457</v>
      </c>
      <c r="B113" s="57" t="s">
        <v>2044</v>
      </c>
      <c r="C113" s="57"/>
      <c r="D113" s="229"/>
      <c r="E113" s="229"/>
      <c r="F113" s="229"/>
      <c r="G113" s="229"/>
      <c r="H113" s="229">
        <v>-369</v>
      </c>
      <c r="I113" s="229">
        <v>-951</v>
      </c>
      <c r="J113" s="229">
        <v>-1353</v>
      </c>
      <c r="K113" s="229">
        <v>-1480</v>
      </c>
      <c r="L113" s="229">
        <v>-80</v>
      </c>
      <c r="M113" s="229">
        <v>-153</v>
      </c>
      <c r="N113" s="229">
        <v>-242</v>
      </c>
      <c r="O113" s="229">
        <v>-235</v>
      </c>
      <c r="P113" s="229">
        <v>-100</v>
      </c>
      <c r="Q113" s="229">
        <v>-33</v>
      </c>
      <c r="R113" s="229">
        <v>-100</v>
      </c>
      <c r="S113" s="229">
        <v>-173</v>
      </c>
      <c r="T113" s="229">
        <v>-83</v>
      </c>
      <c r="U113" s="229">
        <v>-187</v>
      </c>
      <c r="V113" s="229">
        <v>-366</v>
      </c>
      <c r="W113" s="229">
        <v>-379</v>
      </c>
      <c r="X113" s="229"/>
      <c r="Y113" s="229">
        <v>-345</v>
      </c>
      <c r="Z113" s="229">
        <v>-552</v>
      </c>
      <c r="AA113" s="229">
        <v>-750</v>
      </c>
      <c r="AB113" s="229"/>
      <c r="AC113" s="229"/>
    </row>
    <row r="114" spans="1:29" s="165" customFormat="1" ht="13.8">
      <c r="A114" s="591" t="s">
        <v>1458</v>
      </c>
      <c r="B114" s="57" t="s">
        <v>2045</v>
      </c>
      <c r="C114" s="57"/>
      <c r="D114" s="229"/>
      <c r="E114" s="229"/>
      <c r="F114" s="229"/>
      <c r="G114" s="229"/>
      <c r="H114" s="229"/>
      <c r="I114" s="229"/>
      <c r="J114" s="229"/>
      <c r="K114" s="229"/>
      <c r="L114" s="229"/>
      <c r="M114" s="229"/>
      <c r="N114" s="229"/>
      <c r="O114" s="229"/>
      <c r="P114" s="229"/>
      <c r="Q114" s="229"/>
      <c r="R114" s="229"/>
      <c r="S114" s="229"/>
      <c r="T114" s="229"/>
      <c r="U114" s="229"/>
      <c r="V114" s="229"/>
      <c r="W114" s="229"/>
      <c r="X114" s="229"/>
      <c r="Y114" s="229"/>
      <c r="Z114" s="229">
        <v>30826</v>
      </c>
      <c r="AA114" s="229">
        <v>0</v>
      </c>
      <c r="AB114" s="229">
        <v>0</v>
      </c>
      <c r="AC114" s="229">
        <v>0</v>
      </c>
    </row>
    <row r="115" spans="1:29" s="165" customFormat="1" ht="13.8">
      <c r="A115" s="591" t="s">
        <v>1459</v>
      </c>
      <c r="B115" s="57" t="s">
        <v>2046</v>
      </c>
      <c r="C115" s="57"/>
      <c r="D115" s="229"/>
      <c r="E115" s="229"/>
      <c r="F115" s="229"/>
      <c r="G115" s="229"/>
      <c r="H115" s="229"/>
      <c r="I115" s="229"/>
      <c r="J115" s="229"/>
      <c r="K115" s="229"/>
      <c r="L115" s="229"/>
      <c r="M115" s="229"/>
      <c r="N115" s="229"/>
      <c r="O115" s="229"/>
      <c r="P115" s="229"/>
      <c r="Q115" s="229"/>
      <c r="R115" s="229"/>
      <c r="S115" s="229"/>
      <c r="T115" s="229"/>
      <c r="U115" s="229"/>
      <c r="V115" s="229"/>
      <c r="W115" s="229"/>
      <c r="X115" s="229"/>
      <c r="Y115" s="229"/>
      <c r="Z115" s="229"/>
      <c r="AA115" s="229"/>
      <c r="AB115" s="229"/>
      <c r="AC115" s="229"/>
    </row>
    <row r="116" spans="1:29" s="165" customFormat="1" ht="13.8">
      <c r="A116" s="591" t="s">
        <v>1460</v>
      </c>
      <c r="B116" s="57" t="s">
        <v>2047</v>
      </c>
      <c r="C116" s="57"/>
      <c r="D116" s="229"/>
      <c r="E116" s="229"/>
      <c r="F116" s="229"/>
      <c r="G116" s="229"/>
      <c r="H116" s="229"/>
      <c r="I116" s="229"/>
      <c r="J116" s="229"/>
      <c r="K116" s="229"/>
      <c r="L116" s="229"/>
      <c r="M116" s="229"/>
      <c r="N116" s="229"/>
      <c r="O116" s="229"/>
      <c r="P116" s="229"/>
      <c r="Q116" s="229"/>
      <c r="R116" s="229"/>
      <c r="S116" s="229"/>
      <c r="T116" s="229"/>
      <c r="U116" s="229"/>
      <c r="V116" s="229"/>
      <c r="W116" s="229"/>
      <c r="X116" s="229"/>
      <c r="Y116" s="229"/>
      <c r="Z116" s="229"/>
      <c r="AA116" s="229"/>
      <c r="AB116" s="229"/>
      <c r="AC116" s="229"/>
    </row>
    <row r="117" spans="1:29" s="165" customFormat="1" ht="13.8">
      <c r="A117" s="599" t="s">
        <v>1461</v>
      </c>
      <c r="B117" s="57" t="s">
        <v>2048</v>
      </c>
      <c r="C117" s="57"/>
      <c r="D117" s="229"/>
      <c r="E117" s="229"/>
      <c r="F117" s="229"/>
      <c r="G117" s="229"/>
      <c r="H117" s="229"/>
      <c r="I117" s="229"/>
      <c r="J117" s="229"/>
      <c r="K117" s="229"/>
      <c r="L117" s="229"/>
      <c r="M117" s="229"/>
      <c r="N117" s="229"/>
      <c r="O117" s="229"/>
      <c r="P117" s="229"/>
      <c r="Q117" s="229"/>
      <c r="R117" s="229"/>
      <c r="S117" s="229"/>
      <c r="T117" s="229"/>
      <c r="U117" s="229"/>
      <c r="V117" s="229"/>
      <c r="W117" s="229"/>
      <c r="X117" s="229"/>
      <c r="Y117" s="229"/>
      <c r="Z117" s="229"/>
      <c r="AA117" s="229"/>
      <c r="AB117" s="229"/>
      <c r="AC117" s="229"/>
    </row>
    <row r="118" spans="1:29" s="165" customFormat="1" ht="13.8">
      <c r="A118" s="591" t="s">
        <v>1462</v>
      </c>
      <c r="B118" s="57" t="s">
        <v>2049</v>
      </c>
      <c r="C118" s="57"/>
      <c r="D118" s="229"/>
      <c r="E118" s="229"/>
      <c r="F118" s="229"/>
      <c r="G118" s="229"/>
      <c r="H118" s="229"/>
      <c r="I118" s="57"/>
      <c r="J118" s="229"/>
      <c r="K118" s="229">
        <v>-63989</v>
      </c>
      <c r="L118" s="229">
        <v>-93</v>
      </c>
      <c r="M118" s="229">
        <v>-100</v>
      </c>
      <c r="N118" s="229">
        <v>-100</v>
      </c>
      <c r="O118" s="229">
        <v>-435791</v>
      </c>
      <c r="P118" s="229">
        <v>-133</v>
      </c>
      <c r="Q118" s="229">
        <v>-133</v>
      </c>
      <c r="R118" s="229">
        <v>-133</v>
      </c>
      <c r="S118" s="229">
        <v>-117992</v>
      </c>
      <c r="T118" s="229">
        <v>-6</v>
      </c>
      <c r="U118" s="229">
        <v>-6</v>
      </c>
      <c r="V118" s="229">
        <v>-14</v>
      </c>
      <c r="W118" s="229">
        <v>-278585</v>
      </c>
      <c r="X118" s="229">
        <v>-110</v>
      </c>
      <c r="Y118" s="229">
        <v>-231666</v>
      </c>
      <c r="Z118" s="229">
        <v>-231679</v>
      </c>
      <c r="AA118" s="229">
        <v>-231678</v>
      </c>
      <c r="AB118" s="229">
        <v>-5</v>
      </c>
      <c r="AC118" s="229">
        <v>-66432</v>
      </c>
    </row>
    <row r="119" spans="1:29" s="165" customFormat="1" ht="13.8">
      <c r="A119" s="591" t="s">
        <v>1463</v>
      </c>
      <c r="B119" s="57" t="s">
        <v>2050</v>
      </c>
      <c r="C119" s="57"/>
      <c r="D119" s="229"/>
      <c r="E119" s="229"/>
      <c r="F119" s="229"/>
      <c r="G119" s="229"/>
      <c r="H119" s="229"/>
      <c r="I119" s="229"/>
      <c r="J119" s="229"/>
      <c r="K119" s="229"/>
      <c r="L119" s="229"/>
      <c r="M119" s="229"/>
      <c r="N119" s="229"/>
      <c r="O119" s="229"/>
      <c r="P119" s="229"/>
      <c r="Q119" s="229"/>
      <c r="R119" s="229"/>
      <c r="S119" s="229"/>
      <c r="T119" s="229"/>
      <c r="U119" s="229"/>
      <c r="V119" s="229"/>
      <c r="W119" s="229"/>
      <c r="X119" s="229"/>
      <c r="Y119" s="229"/>
      <c r="Z119" s="229"/>
      <c r="AA119" s="229"/>
      <c r="AB119" s="229"/>
      <c r="AC119" s="229"/>
    </row>
    <row r="120" spans="1:29" s="165" customFormat="1" ht="13.8">
      <c r="A120" s="591" t="s">
        <v>1464</v>
      </c>
      <c r="B120" s="57" t="s">
        <v>2051</v>
      </c>
      <c r="C120" s="57"/>
      <c r="D120" s="229"/>
      <c r="E120" s="229"/>
      <c r="F120" s="229"/>
      <c r="G120" s="229"/>
      <c r="H120" s="229"/>
      <c r="I120" s="229"/>
      <c r="J120" s="229"/>
      <c r="K120" s="229"/>
      <c r="L120" s="229"/>
      <c r="M120" s="229"/>
      <c r="N120" s="229"/>
      <c r="O120" s="229"/>
      <c r="P120" s="229"/>
      <c r="Q120" s="229"/>
      <c r="R120" s="229"/>
      <c r="S120" s="229"/>
      <c r="T120" s="229"/>
      <c r="U120" s="229"/>
      <c r="V120" s="229"/>
      <c r="W120" s="229"/>
      <c r="X120" s="229"/>
      <c r="Y120" s="229"/>
      <c r="Z120" s="229"/>
      <c r="AA120" s="229"/>
      <c r="AB120" s="229"/>
      <c r="AC120" s="229"/>
    </row>
    <row r="121" spans="1:29" s="165" customFormat="1" ht="13.8">
      <c r="A121" s="591" t="s">
        <v>1465</v>
      </c>
      <c r="B121" s="57" t="s">
        <v>2052</v>
      </c>
      <c r="C121" s="57"/>
      <c r="D121" s="229"/>
      <c r="E121" s="229"/>
      <c r="F121" s="229"/>
      <c r="G121" s="229"/>
      <c r="H121" s="229"/>
      <c r="I121" s="229"/>
      <c r="J121" s="229"/>
      <c r="K121" s="229"/>
      <c r="L121" s="229"/>
      <c r="M121" s="229"/>
      <c r="N121" s="229"/>
      <c r="O121" s="229"/>
      <c r="P121" s="229"/>
      <c r="Q121" s="229"/>
      <c r="R121" s="229"/>
      <c r="S121" s="229"/>
      <c r="T121" s="229"/>
      <c r="U121" s="229"/>
      <c r="V121" s="229"/>
      <c r="W121" s="229"/>
      <c r="X121" s="229"/>
      <c r="Y121" s="229"/>
      <c r="Z121" s="229"/>
      <c r="AA121" s="229"/>
      <c r="AB121" s="229"/>
      <c r="AC121" s="229"/>
    </row>
    <row r="122" spans="1:29" s="578" customFormat="1" thickBot="1">
      <c r="A122" s="596" t="s">
        <v>1466</v>
      </c>
      <c r="B122" s="596"/>
      <c r="C122" s="596"/>
      <c r="D122" s="597">
        <f t="shared" ref="D122:Y122" si="12">SUM(D108:D120)</f>
        <v>0</v>
      </c>
      <c r="E122" s="597">
        <f t="shared" si="12"/>
        <v>0</v>
      </c>
      <c r="F122" s="597">
        <f t="shared" si="12"/>
        <v>0</v>
      </c>
      <c r="G122" s="597">
        <f t="shared" si="12"/>
        <v>0</v>
      </c>
      <c r="H122" s="597">
        <f t="shared" si="12"/>
        <v>5330</v>
      </c>
      <c r="I122" s="597">
        <f>SUM(I107:I120)</f>
        <v>-93092</v>
      </c>
      <c r="J122" s="597">
        <f t="shared" si="12"/>
        <v>-193059</v>
      </c>
      <c r="K122" s="597">
        <f t="shared" si="12"/>
        <v>-246049</v>
      </c>
      <c r="L122" s="597">
        <f t="shared" si="12"/>
        <v>17542</v>
      </c>
      <c r="M122" s="597">
        <f t="shared" si="12"/>
        <v>-80746</v>
      </c>
      <c r="N122" s="597">
        <f t="shared" si="12"/>
        <v>-175854</v>
      </c>
      <c r="O122" s="597">
        <f t="shared" si="12"/>
        <v>-507136</v>
      </c>
      <c r="P122" s="597">
        <f t="shared" si="12"/>
        <v>-179241</v>
      </c>
      <c r="Q122" s="597">
        <f t="shared" si="12"/>
        <v>-140462</v>
      </c>
      <c r="R122" s="597">
        <f t="shared" si="12"/>
        <v>-179241</v>
      </c>
      <c r="S122" s="597">
        <f t="shared" si="12"/>
        <v>-56247</v>
      </c>
      <c r="T122" s="597">
        <f t="shared" si="12"/>
        <v>-12313</v>
      </c>
      <c r="U122" s="597">
        <f t="shared" si="12"/>
        <v>-9328</v>
      </c>
      <c r="V122" s="597">
        <f t="shared" si="12"/>
        <v>-37554</v>
      </c>
      <c r="W122" s="597">
        <f t="shared" si="12"/>
        <v>293712</v>
      </c>
      <c r="X122" s="597">
        <f t="shared" si="12"/>
        <v>56892</v>
      </c>
      <c r="Y122" s="597">
        <f t="shared" si="12"/>
        <v>97906</v>
      </c>
      <c r="Z122" s="597">
        <f t="shared" ref="Z122" si="13">SUM(Z108:Z120)</f>
        <v>257346</v>
      </c>
      <c r="AA122" s="597">
        <f t="shared" ref="AA122:AC122" si="14">SUM(AA108:AA120)</f>
        <v>454819</v>
      </c>
      <c r="AB122" s="597">
        <f t="shared" si="14"/>
        <v>-15748</v>
      </c>
      <c r="AC122" s="597">
        <f t="shared" si="14"/>
        <v>-98156</v>
      </c>
    </row>
    <row r="123" spans="1:29" s="165" customFormat="1" ht="13.8">
      <c r="A123" s="57"/>
      <c r="B123" s="57"/>
      <c r="C123" s="57"/>
      <c r="D123" s="229"/>
      <c r="E123" s="229"/>
      <c r="F123" s="229"/>
      <c r="G123" s="229"/>
      <c r="H123" s="229"/>
      <c r="I123" s="229"/>
      <c r="J123" s="229"/>
      <c r="K123" s="229"/>
      <c r="L123" s="229"/>
      <c r="M123" s="229"/>
      <c r="N123" s="229"/>
      <c r="O123" s="229"/>
      <c r="P123" s="229"/>
      <c r="Q123" s="229"/>
      <c r="R123" s="229"/>
      <c r="S123" s="229"/>
      <c r="T123" s="229"/>
      <c r="U123" s="229"/>
      <c r="V123" s="229"/>
      <c r="W123" s="229"/>
      <c r="X123" s="229"/>
      <c r="Y123" s="229"/>
      <c r="Z123" s="229"/>
      <c r="AA123" s="229"/>
      <c r="AB123" s="229"/>
      <c r="AC123" s="229"/>
    </row>
    <row r="124" spans="1:29" s="578" customFormat="1" ht="13.8">
      <c r="A124" s="592" t="s">
        <v>1467</v>
      </c>
      <c r="B124" s="592" t="s">
        <v>2053</v>
      </c>
      <c r="C124" s="592"/>
      <c r="D124" s="593">
        <f t="shared" ref="D124:Y124" si="15">+D86+D105+D122</f>
        <v>0</v>
      </c>
      <c r="E124" s="593">
        <f t="shared" si="15"/>
        <v>0</v>
      </c>
      <c r="F124" s="593">
        <f t="shared" si="15"/>
        <v>0</v>
      </c>
      <c r="G124" s="593">
        <f t="shared" si="15"/>
        <v>0</v>
      </c>
      <c r="H124" s="593">
        <f t="shared" si="15"/>
        <v>14099</v>
      </c>
      <c r="I124" s="593">
        <f t="shared" si="15"/>
        <v>78172</v>
      </c>
      <c r="J124" s="593">
        <f t="shared" si="15"/>
        <v>7597</v>
      </c>
      <c r="K124" s="593">
        <f t="shared" si="15"/>
        <v>42069</v>
      </c>
      <c r="L124" s="593">
        <f t="shared" si="15"/>
        <v>-63090</v>
      </c>
      <c r="M124" s="593">
        <f t="shared" si="15"/>
        <v>69204</v>
      </c>
      <c r="N124" s="593">
        <f t="shared" si="15"/>
        <v>-32037</v>
      </c>
      <c r="O124" s="593">
        <f t="shared" si="15"/>
        <v>-270137</v>
      </c>
      <c r="P124" s="593">
        <f t="shared" si="15"/>
        <v>-95739</v>
      </c>
      <c r="Q124" s="593">
        <f t="shared" si="15"/>
        <v>-105273</v>
      </c>
      <c r="R124" s="593">
        <f t="shared" si="15"/>
        <v>-95739</v>
      </c>
      <c r="S124" s="593">
        <f t="shared" si="15"/>
        <v>-109990</v>
      </c>
      <c r="T124" s="593">
        <f t="shared" si="15"/>
        <v>-9965</v>
      </c>
      <c r="U124" s="593">
        <f t="shared" si="15"/>
        <v>953</v>
      </c>
      <c r="V124" s="593">
        <f t="shared" si="15"/>
        <v>-5530.0000000000582</v>
      </c>
      <c r="W124" s="593">
        <f t="shared" si="15"/>
        <v>20334</v>
      </c>
      <c r="X124" s="593">
        <f t="shared" si="15"/>
        <v>10780</v>
      </c>
      <c r="Y124" s="593">
        <f t="shared" si="15"/>
        <v>73037</v>
      </c>
      <c r="Z124" s="593">
        <f t="shared" ref="Z124:AC124" si="16">+Z86+Z105+Z122</f>
        <v>169179</v>
      </c>
      <c r="AA124" s="593">
        <f t="shared" si="16"/>
        <v>182481</v>
      </c>
      <c r="AB124" s="593">
        <f t="shared" si="16"/>
        <v>252348</v>
      </c>
      <c r="AC124" s="593">
        <f t="shared" si="16"/>
        <v>93246</v>
      </c>
    </row>
    <row r="125" spans="1:29" s="165" customFormat="1" ht="13.8">
      <c r="A125" s="57"/>
      <c r="B125" s="57"/>
      <c r="C125" s="57"/>
      <c r="D125" s="229"/>
      <c r="E125" s="229"/>
      <c r="F125" s="229"/>
      <c r="G125" s="229"/>
      <c r="H125" s="229"/>
      <c r="I125" s="229"/>
      <c r="J125" s="229"/>
      <c r="K125" s="229"/>
      <c r="L125" s="229"/>
      <c r="M125" s="229"/>
      <c r="N125" s="229"/>
      <c r="O125" s="229"/>
      <c r="P125" s="229"/>
      <c r="Q125" s="229"/>
      <c r="R125" s="229"/>
      <c r="S125" s="229"/>
      <c r="T125" s="229"/>
      <c r="U125" s="229"/>
      <c r="V125" s="229"/>
      <c r="W125" s="229"/>
      <c r="X125" s="229"/>
      <c r="Y125" s="229"/>
      <c r="Z125" s="229"/>
      <c r="AA125" s="229"/>
      <c r="AB125" s="229"/>
      <c r="AC125" s="229"/>
    </row>
    <row r="126" spans="1:29" s="165" customFormat="1" ht="13.8">
      <c r="A126" s="600" t="s">
        <v>1468</v>
      </c>
      <c r="B126" s="57" t="s">
        <v>2054</v>
      </c>
      <c r="C126" s="57"/>
      <c r="D126" s="229"/>
      <c r="E126" s="229"/>
      <c r="F126" s="229"/>
      <c r="G126" s="229"/>
      <c r="H126" s="229">
        <v>370430</v>
      </c>
      <c r="I126" s="229">
        <v>370430</v>
      </c>
      <c r="J126" s="229">
        <v>370430</v>
      </c>
      <c r="K126" s="229">
        <v>370430</v>
      </c>
      <c r="L126" s="229">
        <v>412499</v>
      </c>
      <c r="M126" s="229">
        <v>412499</v>
      </c>
      <c r="N126" s="229">
        <v>412499</v>
      </c>
      <c r="O126" s="229">
        <v>412499</v>
      </c>
      <c r="P126" s="229">
        <v>142362</v>
      </c>
      <c r="Q126" s="229">
        <v>142362</v>
      </c>
      <c r="R126" s="229">
        <v>142362</v>
      </c>
      <c r="S126" s="229">
        <v>142362</v>
      </c>
      <c r="T126" s="229">
        <v>32372</v>
      </c>
      <c r="U126" s="229">
        <v>32372</v>
      </c>
      <c r="V126" s="229">
        <v>32372</v>
      </c>
      <c r="W126" s="229">
        <v>32372</v>
      </c>
      <c r="X126" s="229">
        <v>52706</v>
      </c>
      <c r="Y126" s="229">
        <v>52706</v>
      </c>
      <c r="Z126" s="229">
        <v>52706</v>
      </c>
      <c r="AA126" s="229">
        <v>52706</v>
      </c>
      <c r="AB126" s="229">
        <v>235187</v>
      </c>
      <c r="AC126" s="229">
        <v>235187</v>
      </c>
    </row>
    <row r="127" spans="1:29" s="165" customFormat="1" ht="13.8">
      <c r="A127" s="600" t="s">
        <v>1469</v>
      </c>
      <c r="B127" s="57" t="s">
        <v>2055</v>
      </c>
      <c r="C127" s="57"/>
      <c r="D127" s="229"/>
      <c r="E127" s="229"/>
      <c r="F127" s="229"/>
      <c r="G127" s="229"/>
      <c r="H127" s="229">
        <v>384529</v>
      </c>
      <c r="I127" s="229">
        <v>448602</v>
      </c>
      <c r="J127" s="229">
        <v>378027</v>
      </c>
      <c r="K127" s="229">
        <v>412499</v>
      </c>
      <c r="L127" s="229">
        <v>349409</v>
      </c>
      <c r="M127" s="229">
        <v>481703</v>
      </c>
      <c r="N127" s="229">
        <v>380462</v>
      </c>
      <c r="O127" s="229">
        <v>142362</v>
      </c>
      <c r="P127" s="229">
        <v>46623</v>
      </c>
      <c r="Q127" s="229">
        <v>37089</v>
      </c>
      <c r="R127" s="229">
        <v>46623</v>
      </c>
      <c r="S127" s="229">
        <v>32372</v>
      </c>
      <c r="T127" s="229">
        <v>22407</v>
      </c>
      <c r="U127" s="229">
        <v>33325</v>
      </c>
      <c r="V127" s="229">
        <v>26842</v>
      </c>
      <c r="W127" s="229">
        <v>52706</v>
      </c>
      <c r="X127" s="229">
        <v>63486</v>
      </c>
      <c r="Y127" s="229">
        <v>125743</v>
      </c>
      <c r="Z127" s="229">
        <v>221885</v>
      </c>
      <c r="AA127" s="229">
        <v>235187</v>
      </c>
      <c r="AB127" s="229">
        <v>487535</v>
      </c>
      <c r="AC127" s="229">
        <v>328433</v>
      </c>
    </row>
    <row r="129" spans="1:29" s="578" customFormat="1" thickBot="1">
      <c r="A129" s="596" t="s">
        <v>1467</v>
      </c>
      <c r="B129" s="596" t="s">
        <v>2053</v>
      </c>
      <c r="C129" s="596"/>
      <c r="D129" s="597">
        <f t="shared" ref="D129:Y129" si="17">+D127-D126</f>
        <v>0</v>
      </c>
      <c r="E129" s="597">
        <f t="shared" si="17"/>
        <v>0</v>
      </c>
      <c r="F129" s="597">
        <f t="shared" si="17"/>
        <v>0</v>
      </c>
      <c r="G129" s="597">
        <f t="shared" si="17"/>
        <v>0</v>
      </c>
      <c r="H129" s="597">
        <f t="shared" si="17"/>
        <v>14099</v>
      </c>
      <c r="I129" s="597">
        <f t="shared" si="17"/>
        <v>78172</v>
      </c>
      <c r="J129" s="597">
        <f t="shared" si="17"/>
        <v>7597</v>
      </c>
      <c r="K129" s="597">
        <f t="shared" si="17"/>
        <v>42069</v>
      </c>
      <c r="L129" s="597">
        <f t="shared" si="17"/>
        <v>-63090</v>
      </c>
      <c r="M129" s="597">
        <f t="shared" si="17"/>
        <v>69204</v>
      </c>
      <c r="N129" s="597">
        <f t="shared" si="17"/>
        <v>-32037</v>
      </c>
      <c r="O129" s="597">
        <f t="shared" si="17"/>
        <v>-270137</v>
      </c>
      <c r="P129" s="597">
        <f t="shared" si="17"/>
        <v>-95739</v>
      </c>
      <c r="Q129" s="597">
        <f t="shared" si="17"/>
        <v>-105273</v>
      </c>
      <c r="R129" s="597">
        <f t="shared" si="17"/>
        <v>-95739</v>
      </c>
      <c r="S129" s="597">
        <f t="shared" si="17"/>
        <v>-109990</v>
      </c>
      <c r="T129" s="597">
        <f t="shared" si="17"/>
        <v>-9965</v>
      </c>
      <c r="U129" s="597">
        <f t="shared" si="17"/>
        <v>953</v>
      </c>
      <c r="V129" s="597">
        <f t="shared" si="17"/>
        <v>-5530</v>
      </c>
      <c r="W129" s="597">
        <f t="shared" si="17"/>
        <v>20334</v>
      </c>
      <c r="X129" s="597">
        <f t="shared" si="17"/>
        <v>10780</v>
      </c>
      <c r="Y129" s="597">
        <f t="shared" si="17"/>
        <v>73037</v>
      </c>
      <c r="Z129" s="597">
        <f t="shared" ref="Z129:AC129" si="18">+Z127-Z126</f>
        <v>169179</v>
      </c>
      <c r="AA129" s="597">
        <f t="shared" si="18"/>
        <v>182481</v>
      </c>
      <c r="AB129" s="597">
        <f t="shared" si="18"/>
        <v>252348</v>
      </c>
      <c r="AC129" s="597">
        <f t="shared" si="18"/>
        <v>93246</v>
      </c>
    </row>
  </sheetData>
  <phoneticPr fontId="30" type="noConversion"/>
  <hyperlinks>
    <hyperlink ref="B121" r:id="rId1" display="https://www.lawinsider.com/clause/advance-for-future-capital-increase-afac" xr:uid="{00000000-0004-0000-4A00-000000000000}"/>
  </hyperlinks>
  <pageMargins left="0.511811024" right="0.511811024" top="0.78740157499999996" bottom="0.78740157499999996" header="0.31496062000000002" footer="0.31496062000000002"/>
  <drawing r:id="rId2"/>
  <legacyDrawing r:id="rId3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tabColor theme="9" tint="0.79998168889431442"/>
  </sheetPr>
  <dimension ref="A6:AC129"/>
  <sheetViews>
    <sheetView showGridLines="0" zoomScale="70" zoomScaleNormal="70" workbookViewId="0">
      <pane xSplit="1" ySplit="7" topLeftCell="B52" activePane="bottomRight" state="frozen"/>
      <selection pane="topRight" activeCell="B1" sqref="B1"/>
      <selection pane="bottomLeft" activeCell="A8" sqref="A8"/>
      <selection pane="bottomRight" activeCell="AK124" sqref="AK124"/>
    </sheetView>
  </sheetViews>
  <sheetFormatPr defaultColWidth="9.21875" defaultRowHeight="14.4" outlineLevelCol="1"/>
  <cols>
    <col min="1" max="1" width="70.77734375" style="35" bestFit="1" customWidth="1"/>
    <col min="2" max="2" width="75.88671875" style="35" bestFit="1" customWidth="1"/>
    <col min="3" max="3" width="0.5546875" style="35" customWidth="1"/>
    <col min="4" max="5" width="10.5546875" style="35" hidden="1" customWidth="1" outlineLevel="1"/>
    <col min="6" max="7" width="11.44140625" style="35" hidden="1" customWidth="1" outlineLevel="1"/>
    <col min="8" max="8" width="11.44140625" style="35" customWidth="1" collapsed="1"/>
    <col min="9" max="10" width="11.44140625" style="35" customWidth="1"/>
    <col min="11" max="27" width="11.44140625" style="35" bestFit="1" customWidth="1"/>
    <col min="28" max="28" width="11.44140625" style="35" customWidth="1"/>
    <col min="29" max="29" width="11.44140625" style="35" bestFit="1" customWidth="1"/>
    <col min="30" max="16384" width="9.21875" style="35"/>
  </cols>
  <sheetData>
    <row r="6" spans="1:29">
      <c r="A6" s="38" t="s">
        <v>1477</v>
      </c>
      <c r="B6" s="38" t="s">
        <v>1477</v>
      </c>
      <c r="C6" s="348"/>
      <c r="D6" s="399"/>
      <c r="E6" s="399"/>
      <c r="F6" s="399"/>
      <c r="G6" s="399"/>
      <c r="H6" s="399"/>
      <c r="I6" s="399"/>
      <c r="J6" s="399"/>
      <c r="K6" s="601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399"/>
    </row>
    <row r="7" spans="1:29">
      <c r="A7" s="441" t="s">
        <v>1365</v>
      </c>
      <c r="B7" s="441" t="s">
        <v>1366</v>
      </c>
      <c r="C7" s="602"/>
      <c r="D7" s="603" t="s">
        <v>67</v>
      </c>
      <c r="E7" s="603" t="s">
        <v>68</v>
      </c>
      <c r="F7" s="603" t="s">
        <v>69</v>
      </c>
      <c r="G7" s="603" t="s">
        <v>70</v>
      </c>
      <c r="H7" s="603" t="s">
        <v>1367</v>
      </c>
      <c r="I7" s="603" t="s">
        <v>1368</v>
      </c>
      <c r="J7" s="603" t="s">
        <v>1369</v>
      </c>
      <c r="K7" s="604" t="s">
        <v>1370</v>
      </c>
      <c r="L7" s="603" t="s">
        <v>584</v>
      </c>
      <c r="M7" s="603" t="s">
        <v>585</v>
      </c>
      <c r="N7" s="603" t="s">
        <v>586</v>
      </c>
      <c r="O7" s="604" t="s">
        <v>1371</v>
      </c>
      <c r="P7" s="603" t="s">
        <v>587</v>
      </c>
      <c r="Q7" s="603" t="s">
        <v>588</v>
      </c>
      <c r="R7" s="603" t="s">
        <v>589</v>
      </c>
      <c r="S7" s="604" t="s">
        <v>1372</v>
      </c>
      <c r="T7" s="603" t="s">
        <v>590</v>
      </c>
      <c r="U7" s="603" t="s">
        <v>591</v>
      </c>
      <c r="V7" s="603" t="s">
        <v>592</v>
      </c>
      <c r="W7" s="604" t="s">
        <v>1373</v>
      </c>
      <c r="X7" s="603" t="s">
        <v>593</v>
      </c>
      <c r="Y7" s="603" t="s">
        <v>594</v>
      </c>
      <c r="Z7" s="603" t="s">
        <v>595</v>
      </c>
      <c r="AA7" s="604" t="s">
        <v>2151</v>
      </c>
      <c r="AB7" s="604" t="s">
        <v>2488</v>
      </c>
      <c r="AC7" s="604" t="s">
        <v>2497</v>
      </c>
    </row>
    <row r="8" spans="1:29" s="165" customFormat="1" ht="13.8">
      <c r="A8" s="134" t="s">
        <v>1374</v>
      </c>
      <c r="B8" s="134" t="s">
        <v>2034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229"/>
      <c r="U8" s="57"/>
      <c r="V8" s="57"/>
      <c r="W8" s="57"/>
      <c r="X8" s="57"/>
      <c r="Y8" s="57"/>
      <c r="Z8" s="57"/>
      <c r="AA8" s="57"/>
      <c r="AB8" s="57"/>
      <c r="AC8" s="57"/>
    </row>
    <row r="9" spans="1:29" s="578" customFormat="1" ht="13.8">
      <c r="A9" s="588" t="s">
        <v>776</v>
      </c>
      <c r="B9" s="589" t="s">
        <v>1375</v>
      </c>
      <c r="C9" s="589"/>
      <c r="D9" s="589"/>
      <c r="E9" s="589"/>
      <c r="F9" s="589"/>
      <c r="G9" s="589"/>
      <c r="H9" s="590">
        <v>-172348</v>
      </c>
      <c r="I9" s="590">
        <v>-332705</v>
      </c>
      <c r="J9" s="590">
        <v>-743097</v>
      </c>
      <c r="K9" s="590">
        <v>-394234</v>
      </c>
      <c r="L9" s="590">
        <v>16426</v>
      </c>
      <c r="M9" s="590">
        <v>-84607</v>
      </c>
      <c r="N9" s="590">
        <v>-93334</v>
      </c>
      <c r="O9" s="590">
        <v>-266172</v>
      </c>
      <c r="P9" s="590">
        <v>40987</v>
      </c>
      <c r="Q9" s="590">
        <v>-118461</v>
      </c>
      <c r="R9" s="590">
        <v>-220604</v>
      </c>
      <c r="S9" s="590">
        <v>-451559</v>
      </c>
      <c r="T9" s="590">
        <v>32993</v>
      </c>
      <c r="U9" s="590">
        <v>-182990</v>
      </c>
      <c r="V9" s="590">
        <v>-316331</v>
      </c>
      <c r="W9" s="590">
        <v>-438888</v>
      </c>
      <c r="X9" s="590">
        <v>-3382</v>
      </c>
      <c r="Y9" s="590">
        <v>-238710</v>
      </c>
      <c r="Z9" s="590">
        <v>-502086</v>
      </c>
      <c r="AA9" s="590">
        <v>-668244</v>
      </c>
      <c r="AB9" s="590">
        <v>-40807</v>
      </c>
      <c r="AC9" s="590">
        <v>32581</v>
      </c>
    </row>
    <row r="10" spans="1:29" s="165" customFormat="1" ht="13.8">
      <c r="A10" s="104" t="s">
        <v>1376</v>
      </c>
      <c r="B10" s="57" t="s">
        <v>1377</v>
      </c>
      <c r="C10" s="57"/>
      <c r="D10" s="57"/>
      <c r="E10" s="57"/>
      <c r="F10" s="57"/>
      <c r="G10" s="57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57"/>
      <c r="W10" s="57"/>
      <c r="X10" s="57"/>
      <c r="Y10" s="57"/>
      <c r="Z10" s="57"/>
      <c r="AA10" s="57"/>
      <c r="AB10" s="57"/>
      <c r="AC10" s="590"/>
    </row>
    <row r="11" spans="1:29" s="165" customFormat="1" ht="13.8">
      <c r="A11" s="591" t="s">
        <v>1378</v>
      </c>
      <c r="B11" s="57" t="s">
        <v>1379</v>
      </c>
      <c r="C11" s="57"/>
      <c r="D11" s="57"/>
      <c r="E11" s="57"/>
      <c r="F11" s="57"/>
      <c r="G11" s="57"/>
      <c r="H11" s="229">
        <v>37905</v>
      </c>
      <c r="I11" s="229">
        <v>71041</v>
      </c>
      <c r="J11" s="229">
        <v>114472</v>
      </c>
      <c r="K11" s="229">
        <v>154767</v>
      </c>
      <c r="L11" s="229">
        <v>41330</v>
      </c>
      <c r="M11" s="229">
        <v>82332</v>
      </c>
      <c r="N11" s="229">
        <v>123348</v>
      </c>
      <c r="O11" s="229">
        <v>164341</v>
      </c>
      <c r="P11" s="229">
        <v>40222</v>
      </c>
      <c r="Q11" s="229">
        <v>77225</v>
      </c>
      <c r="R11" s="229">
        <v>108381</v>
      </c>
      <c r="S11" s="229">
        <v>148866</v>
      </c>
      <c r="T11" s="229">
        <v>34688</v>
      </c>
      <c r="U11" s="229">
        <v>70084</v>
      </c>
      <c r="V11" s="229">
        <v>109993</v>
      </c>
      <c r="W11" s="229">
        <v>158280</v>
      </c>
      <c r="X11" s="229">
        <v>45710</v>
      </c>
      <c r="Y11" s="229">
        <v>112440</v>
      </c>
      <c r="Z11" s="229">
        <v>171148</v>
      </c>
      <c r="AA11" s="229">
        <v>272564</v>
      </c>
      <c r="AB11" s="229">
        <v>81650</v>
      </c>
      <c r="AC11" s="229">
        <v>199150</v>
      </c>
    </row>
    <row r="12" spans="1:29" s="165" customFormat="1" ht="13.8">
      <c r="A12" s="591" t="s">
        <v>710</v>
      </c>
      <c r="B12" s="57" t="s">
        <v>1380</v>
      </c>
      <c r="C12" s="57"/>
      <c r="D12" s="57"/>
      <c r="E12" s="57"/>
      <c r="F12" s="57"/>
      <c r="G12" s="57"/>
      <c r="H12" s="229">
        <v>0</v>
      </c>
      <c r="I12" s="229">
        <v>0</v>
      </c>
      <c r="J12" s="229">
        <v>0</v>
      </c>
      <c r="K12" s="229">
        <v>0</v>
      </c>
      <c r="L12" s="229">
        <v>0</v>
      </c>
      <c r="M12" s="229">
        <v>0</v>
      </c>
      <c r="N12" s="229">
        <v>0</v>
      </c>
      <c r="O12" s="229">
        <v>0</v>
      </c>
      <c r="P12" s="229">
        <v>0</v>
      </c>
      <c r="Q12" s="229">
        <v>0</v>
      </c>
      <c r="R12" s="229">
        <v>0</v>
      </c>
      <c r="S12" s="229">
        <v>0</v>
      </c>
      <c r="T12" s="229">
        <v>0</v>
      </c>
      <c r="U12" s="229">
        <v>0</v>
      </c>
      <c r="V12" s="229">
        <v>0</v>
      </c>
      <c r="W12" s="229">
        <v>0</v>
      </c>
      <c r="X12" s="229">
        <v>0</v>
      </c>
      <c r="Y12" s="229">
        <v>0</v>
      </c>
      <c r="Z12" s="229">
        <v>0</v>
      </c>
      <c r="AA12" s="229">
        <v>0</v>
      </c>
      <c r="AB12" s="229">
        <v>0</v>
      </c>
      <c r="AC12" s="229"/>
    </row>
    <row r="13" spans="1:29" s="165" customFormat="1" ht="13.8">
      <c r="A13" s="591" t="s">
        <v>1381</v>
      </c>
      <c r="B13" s="57" t="s">
        <v>1983</v>
      </c>
      <c r="C13" s="57"/>
      <c r="D13" s="57"/>
      <c r="E13" s="57"/>
      <c r="F13" s="57"/>
      <c r="G13" s="57"/>
      <c r="H13" s="229">
        <v>0</v>
      </c>
      <c r="I13" s="229">
        <v>0</v>
      </c>
      <c r="J13" s="229">
        <v>0</v>
      </c>
      <c r="K13" s="229">
        <v>0</v>
      </c>
      <c r="L13" s="229">
        <v>0</v>
      </c>
      <c r="M13" s="229">
        <v>0</v>
      </c>
      <c r="N13" s="229">
        <v>0</v>
      </c>
      <c r="O13" s="229">
        <v>0</v>
      </c>
      <c r="P13" s="229">
        <v>0</v>
      </c>
      <c r="Q13" s="229">
        <v>0</v>
      </c>
      <c r="R13" s="229">
        <v>0</v>
      </c>
      <c r="S13" s="229">
        <v>0</v>
      </c>
      <c r="T13" s="229">
        <v>0</v>
      </c>
      <c r="U13" s="229">
        <v>0</v>
      </c>
      <c r="V13" s="229">
        <v>0</v>
      </c>
      <c r="W13" s="229">
        <v>0</v>
      </c>
      <c r="X13" s="229">
        <v>0</v>
      </c>
      <c r="Y13" s="229">
        <v>0</v>
      </c>
      <c r="Z13" s="229">
        <v>0</v>
      </c>
      <c r="AA13" s="229">
        <v>0</v>
      </c>
      <c r="AB13" s="229">
        <v>0</v>
      </c>
      <c r="AC13" s="229"/>
    </row>
    <row r="14" spans="1:29" s="165" customFormat="1" ht="13.8">
      <c r="A14" s="591" t="s">
        <v>1382</v>
      </c>
      <c r="B14" s="57" t="s">
        <v>1383</v>
      </c>
      <c r="C14" s="57"/>
      <c r="D14" s="57"/>
      <c r="E14" s="57"/>
      <c r="F14" s="57"/>
      <c r="G14" s="57"/>
      <c r="H14" s="229">
        <v>5727</v>
      </c>
      <c r="I14" s="229">
        <v>7468</v>
      </c>
      <c r="J14" s="229">
        <v>7533</v>
      </c>
      <c r="K14" s="229">
        <v>10621</v>
      </c>
      <c r="L14" s="229">
        <v>0</v>
      </c>
      <c r="M14" s="229">
        <v>253</v>
      </c>
      <c r="N14" s="229">
        <v>291</v>
      </c>
      <c r="O14" s="229">
        <v>1626</v>
      </c>
      <c r="P14" s="229">
        <v>0</v>
      </c>
      <c r="Q14" s="229">
        <v>635</v>
      </c>
      <c r="R14" s="229">
        <v>835</v>
      </c>
      <c r="S14" s="229">
        <v>1219</v>
      </c>
      <c r="T14" s="229">
        <v>0</v>
      </c>
      <c r="U14" s="229">
        <v>9100</v>
      </c>
      <c r="V14" s="229">
        <v>21230</v>
      </c>
      <c r="W14" s="229">
        <v>26658</v>
      </c>
      <c r="X14" s="229">
        <v>168</v>
      </c>
      <c r="Y14" s="229">
        <v>8364</v>
      </c>
      <c r="Z14" s="229">
        <v>31996</v>
      </c>
      <c r="AA14" s="229">
        <v>35665</v>
      </c>
      <c r="AB14" s="229">
        <v>7930</v>
      </c>
      <c r="AC14" s="229">
        <v>28895</v>
      </c>
    </row>
    <row r="15" spans="1:29" s="165" customFormat="1" ht="13.8">
      <c r="A15" s="591" t="s">
        <v>1384</v>
      </c>
      <c r="B15" s="57" t="s">
        <v>1982</v>
      </c>
      <c r="C15" s="57"/>
      <c r="D15" s="57"/>
      <c r="E15" s="57"/>
      <c r="F15" s="57"/>
      <c r="G15" s="57"/>
      <c r="H15" s="229">
        <v>-6324</v>
      </c>
      <c r="I15" s="229">
        <v>-12906</v>
      </c>
      <c r="J15" s="229">
        <v>-21195</v>
      </c>
      <c r="K15" s="229">
        <v>-112612</v>
      </c>
      <c r="L15" s="229">
        <v>-7033</v>
      </c>
      <c r="M15" s="229">
        <v>-28521</v>
      </c>
      <c r="N15" s="229">
        <v>-26603</v>
      </c>
      <c r="O15" s="229">
        <v>-31724</v>
      </c>
      <c r="P15" s="229">
        <v>-14650</v>
      </c>
      <c r="Q15" s="229">
        <v>-10023</v>
      </c>
      <c r="R15" s="229">
        <v>-13966</v>
      </c>
      <c r="S15" s="229">
        <v>-24796</v>
      </c>
      <c r="T15" s="229">
        <v>-10266</v>
      </c>
      <c r="U15" s="229">
        <v>-14243</v>
      </c>
      <c r="V15" s="229">
        <v>-24733</v>
      </c>
      <c r="W15" s="229">
        <v>-29630</v>
      </c>
      <c r="X15" s="229">
        <v>-38097</v>
      </c>
      <c r="Y15" s="229">
        <v>-46863</v>
      </c>
      <c r="Z15" s="229">
        <v>-53404</v>
      </c>
      <c r="AA15" s="229">
        <v>-59004</v>
      </c>
      <c r="AB15" s="229">
        <v>-15736</v>
      </c>
      <c r="AC15" s="229">
        <v>-39283</v>
      </c>
    </row>
    <row r="16" spans="1:29" s="4" customFormat="1" ht="13.8">
      <c r="A16" s="591" t="s">
        <v>1385</v>
      </c>
      <c r="B16" s="57" t="s">
        <v>1386</v>
      </c>
      <c r="C16" s="104"/>
      <c r="D16" s="104"/>
      <c r="E16" s="104"/>
      <c r="F16" s="104"/>
      <c r="G16" s="104"/>
      <c r="H16" s="138">
        <v>0</v>
      </c>
      <c r="I16" s="138">
        <v>47290</v>
      </c>
      <c r="J16" s="138">
        <v>41269</v>
      </c>
      <c r="K16" s="138">
        <v>44754</v>
      </c>
      <c r="L16" s="138">
        <v>0</v>
      </c>
      <c r="M16" s="138">
        <v>0</v>
      </c>
      <c r="N16" s="138">
        <v>0</v>
      </c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229">
        <v>0</v>
      </c>
      <c r="Z16" s="229">
        <v>0</v>
      </c>
      <c r="AA16" s="229">
        <v>0</v>
      </c>
      <c r="AB16" s="229">
        <v>0</v>
      </c>
      <c r="AC16" s="229"/>
    </row>
    <row r="17" spans="1:29" s="4" customFormat="1" ht="13.8">
      <c r="A17" s="591" t="s">
        <v>1476</v>
      </c>
      <c r="B17" s="57" t="s">
        <v>1388</v>
      </c>
      <c r="C17" s="104"/>
      <c r="D17" s="104"/>
      <c r="E17" s="104"/>
      <c r="F17" s="104"/>
      <c r="G17" s="104"/>
      <c r="H17" s="138">
        <v>0</v>
      </c>
      <c r="I17" s="138">
        <v>0</v>
      </c>
      <c r="J17" s="138">
        <v>0</v>
      </c>
      <c r="K17" s="138">
        <v>0</v>
      </c>
      <c r="L17" s="138">
        <v>0</v>
      </c>
      <c r="M17" s="138">
        <v>0</v>
      </c>
      <c r="N17" s="138">
        <v>0</v>
      </c>
      <c r="O17" s="138">
        <v>0</v>
      </c>
      <c r="P17" s="138">
        <v>0</v>
      </c>
      <c r="Q17" s="138">
        <v>0</v>
      </c>
      <c r="R17" s="138">
        <v>0</v>
      </c>
      <c r="S17" s="138">
        <v>0</v>
      </c>
      <c r="T17" s="138">
        <v>0</v>
      </c>
      <c r="U17" s="138">
        <v>0</v>
      </c>
      <c r="V17" s="138">
        <v>0</v>
      </c>
      <c r="W17" s="138">
        <v>1085</v>
      </c>
      <c r="X17" s="138">
        <v>-122</v>
      </c>
      <c r="Y17" s="229">
        <v>-220</v>
      </c>
      <c r="Z17" s="229">
        <v>0</v>
      </c>
      <c r="AA17" s="229">
        <v>0</v>
      </c>
      <c r="AB17" s="229">
        <v>0</v>
      </c>
      <c r="AC17" s="229"/>
    </row>
    <row r="18" spans="1:29" s="4" customFormat="1" ht="13.8">
      <c r="A18" s="591" t="s">
        <v>1389</v>
      </c>
      <c r="B18" s="57" t="s">
        <v>1390</v>
      </c>
      <c r="C18" s="104"/>
      <c r="D18" s="104"/>
      <c r="E18" s="104"/>
      <c r="F18" s="104"/>
      <c r="G18" s="104"/>
      <c r="H18" s="138">
        <v>0</v>
      </c>
      <c r="I18" s="138">
        <v>0</v>
      </c>
      <c r="J18" s="138">
        <v>0</v>
      </c>
      <c r="K18" s="138">
        <v>0</v>
      </c>
      <c r="L18" s="138">
        <v>0</v>
      </c>
      <c r="M18" s="138">
        <v>0</v>
      </c>
      <c r="N18" s="138">
        <v>0</v>
      </c>
      <c r="O18" s="138">
        <v>0</v>
      </c>
      <c r="P18" s="138">
        <v>0</v>
      </c>
      <c r="Q18" s="138">
        <v>0</v>
      </c>
      <c r="R18" s="138">
        <v>0</v>
      </c>
      <c r="S18" s="138">
        <v>0</v>
      </c>
      <c r="T18" s="138">
        <v>0</v>
      </c>
      <c r="U18" s="138">
        <v>0</v>
      </c>
      <c r="V18" s="138">
        <v>0</v>
      </c>
      <c r="W18" s="138">
        <v>0</v>
      </c>
      <c r="X18" s="138">
        <v>0</v>
      </c>
      <c r="Y18" s="229">
        <v>0</v>
      </c>
      <c r="Z18" s="229">
        <v>0</v>
      </c>
      <c r="AA18" s="229">
        <v>0</v>
      </c>
      <c r="AB18" s="229">
        <v>0</v>
      </c>
      <c r="AC18" s="229"/>
    </row>
    <row r="19" spans="1:29" s="4" customFormat="1" ht="13.8">
      <c r="A19" s="591" t="s">
        <v>610</v>
      </c>
      <c r="B19" s="57" t="s">
        <v>1391</v>
      </c>
      <c r="C19" s="104"/>
      <c r="D19" s="104"/>
      <c r="E19" s="104"/>
      <c r="F19" s="104"/>
      <c r="G19" s="104"/>
      <c r="H19" s="138">
        <v>0</v>
      </c>
      <c r="I19" s="138">
        <v>0</v>
      </c>
      <c r="J19" s="138">
        <v>0</v>
      </c>
      <c r="K19" s="138">
        <v>0</v>
      </c>
      <c r="L19" s="138">
        <v>0</v>
      </c>
      <c r="M19" s="138">
        <v>0</v>
      </c>
      <c r="N19" s="138">
        <v>0</v>
      </c>
      <c r="O19" s="138">
        <v>0</v>
      </c>
      <c r="P19" s="138">
        <v>0</v>
      </c>
      <c r="Q19" s="138">
        <v>0</v>
      </c>
      <c r="R19" s="138">
        <v>0</v>
      </c>
      <c r="S19" s="138">
        <v>0</v>
      </c>
      <c r="T19" s="138">
        <v>0</v>
      </c>
      <c r="U19" s="138">
        <v>0</v>
      </c>
      <c r="V19" s="138">
        <v>0</v>
      </c>
      <c r="W19" s="138">
        <v>0</v>
      </c>
      <c r="X19" s="138">
        <v>0</v>
      </c>
      <c r="Y19" s="229">
        <v>0</v>
      </c>
      <c r="Z19" s="229">
        <v>0</v>
      </c>
      <c r="AA19" s="229">
        <v>0</v>
      </c>
      <c r="AB19" s="229">
        <v>0</v>
      </c>
      <c r="AC19" s="229"/>
    </row>
    <row r="20" spans="1:29" s="4" customFormat="1" ht="13.8">
      <c r="A20" s="591" t="s">
        <v>1392</v>
      </c>
      <c r="B20" s="57" t="s">
        <v>1393</v>
      </c>
      <c r="C20" s="104"/>
      <c r="D20" s="104"/>
      <c r="E20" s="104"/>
      <c r="F20" s="104"/>
      <c r="G20" s="104"/>
      <c r="H20" s="138">
        <v>98396</v>
      </c>
      <c r="I20" s="138">
        <v>-21325</v>
      </c>
      <c r="J20" s="138">
        <v>97159</v>
      </c>
      <c r="K20" s="138">
        <v>189233</v>
      </c>
      <c r="L20" s="138">
        <v>-66234</v>
      </c>
      <c r="M20" s="138">
        <v>58197</v>
      </c>
      <c r="N20" s="138">
        <v>146096</v>
      </c>
      <c r="O20" s="138">
        <v>221198</v>
      </c>
      <c r="P20" s="138">
        <v>95281</v>
      </c>
      <c r="Q20" s="138">
        <v>163331</v>
      </c>
      <c r="R20" s="138">
        <v>297183</v>
      </c>
      <c r="S20" s="138">
        <v>344162</v>
      </c>
      <c r="T20" s="138">
        <v>150659</v>
      </c>
      <c r="U20" s="138">
        <v>374840</v>
      </c>
      <c r="V20" s="138">
        <v>483050</v>
      </c>
      <c r="W20" s="138">
        <v>758915</v>
      </c>
      <c r="X20" s="138">
        <v>106619</v>
      </c>
      <c r="Y20" s="229">
        <v>185816</v>
      </c>
      <c r="Z20" s="229">
        <v>327234</v>
      </c>
      <c r="AA20" s="229">
        <v>641196</v>
      </c>
      <c r="AB20" s="229">
        <v>193274</v>
      </c>
      <c r="AC20" s="229">
        <v>493383</v>
      </c>
    </row>
    <row r="21" spans="1:29" s="4" customFormat="1" ht="13.8">
      <c r="A21" s="591" t="s">
        <v>1394</v>
      </c>
      <c r="B21" s="57" t="s">
        <v>1395</v>
      </c>
      <c r="C21" s="104"/>
      <c r="D21" s="104"/>
      <c r="E21" s="104"/>
      <c r="F21" s="104"/>
      <c r="G21" s="104"/>
      <c r="H21" s="138">
        <v>0</v>
      </c>
      <c r="I21" s="138">
        <v>0</v>
      </c>
      <c r="J21" s="138">
        <v>-49155</v>
      </c>
      <c r="K21" s="138">
        <v>-63032</v>
      </c>
      <c r="L21" s="138">
        <v>159999</v>
      </c>
      <c r="M21" s="138">
        <v>128383</v>
      </c>
      <c r="N21" s="138">
        <v>129657</v>
      </c>
      <c r="O21" s="138">
        <v>39400</v>
      </c>
      <c r="P21" s="138">
        <v>24980</v>
      </c>
      <c r="Q21" s="138">
        <v>69176</v>
      </c>
      <c r="R21" s="138">
        <v>67310</v>
      </c>
      <c r="S21" s="138">
        <v>129864</v>
      </c>
      <c r="T21" s="138">
        <v>-17569</v>
      </c>
      <c r="U21" s="138">
        <v>-116214</v>
      </c>
      <c r="V21" s="138">
        <v>-92790</v>
      </c>
      <c r="W21" s="138">
        <v>-215024</v>
      </c>
      <c r="X21" s="138">
        <v>78844</v>
      </c>
      <c r="Y21" s="229">
        <v>208350</v>
      </c>
      <c r="Z21" s="229">
        <v>318785</v>
      </c>
      <c r="AA21" s="229">
        <v>303655</v>
      </c>
      <c r="AB21" s="229">
        <v>80447.002479999996</v>
      </c>
      <c r="AC21" s="229">
        <v>153061</v>
      </c>
    </row>
    <row r="22" spans="1:29" s="4" customFormat="1" ht="13.8">
      <c r="A22" s="591" t="s">
        <v>1396</v>
      </c>
      <c r="B22" s="57" t="s">
        <v>1397</v>
      </c>
      <c r="C22" s="104"/>
      <c r="D22" s="104"/>
      <c r="E22" s="104"/>
      <c r="F22" s="104"/>
      <c r="G22" s="104"/>
      <c r="H22" s="138">
        <v>-284</v>
      </c>
      <c r="I22" s="138">
        <v>-1202</v>
      </c>
      <c r="J22" s="138">
        <v>-11643</v>
      </c>
      <c r="K22" s="138">
        <v>-33851</v>
      </c>
      <c r="L22" s="138">
        <v>-24154</v>
      </c>
      <c r="M22" s="138">
        <v>-47800</v>
      </c>
      <c r="N22" s="138">
        <v>-74118</v>
      </c>
      <c r="O22" s="138">
        <v>-99962</v>
      </c>
      <c r="P22" s="138">
        <v>-29266</v>
      </c>
      <c r="Q22" s="138">
        <v>-58179</v>
      </c>
      <c r="R22" s="138">
        <v>-103436</v>
      </c>
      <c r="S22" s="138">
        <v>-126425</v>
      </c>
      <c r="T22" s="138">
        <v>-32353</v>
      </c>
      <c r="U22" s="138">
        <v>-60127</v>
      </c>
      <c r="V22" s="138">
        <v>-84737</v>
      </c>
      <c r="W22" s="138">
        <v>-107126</v>
      </c>
      <c r="X22" s="138">
        <v>-24470</v>
      </c>
      <c r="Y22" s="229">
        <v>-60247</v>
      </c>
      <c r="Z22" s="229">
        <v>-91269</v>
      </c>
      <c r="AA22" s="229">
        <v>-135859</v>
      </c>
      <c r="AB22" s="229">
        <v>-15572</v>
      </c>
      <c r="AC22" s="229">
        <v>-25224</v>
      </c>
    </row>
    <row r="23" spans="1:29" s="4" customFormat="1" ht="13.8">
      <c r="A23" s="591" t="s">
        <v>1398</v>
      </c>
      <c r="B23" s="57" t="s">
        <v>1399</v>
      </c>
      <c r="C23" s="104"/>
      <c r="D23" s="104"/>
      <c r="E23" s="104"/>
      <c r="F23" s="104"/>
      <c r="G23" s="104"/>
      <c r="H23" s="138">
        <v>0</v>
      </c>
      <c r="I23" s="138">
        <v>0</v>
      </c>
      <c r="J23" s="138">
        <v>0</v>
      </c>
      <c r="K23" s="138">
        <v>0</v>
      </c>
      <c r="L23" s="138">
        <v>0</v>
      </c>
      <c r="M23" s="138">
        <v>0</v>
      </c>
      <c r="N23" s="138">
        <v>0</v>
      </c>
      <c r="O23" s="138">
        <v>0</v>
      </c>
      <c r="P23" s="138">
        <v>0</v>
      </c>
      <c r="Q23" s="138">
        <v>0</v>
      </c>
      <c r="R23" s="138">
        <v>0</v>
      </c>
      <c r="S23" s="138">
        <v>0</v>
      </c>
      <c r="T23" s="138">
        <v>0</v>
      </c>
      <c r="U23" s="138">
        <v>0</v>
      </c>
      <c r="V23" s="138">
        <v>0</v>
      </c>
      <c r="W23" s="138">
        <v>0</v>
      </c>
      <c r="X23" s="138">
        <v>0</v>
      </c>
      <c r="Y23" s="229">
        <v>0</v>
      </c>
      <c r="Z23" s="229">
        <v>0</v>
      </c>
      <c r="AA23" s="229">
        <v>0</v>
      </c>
      <c r="AB23" s="229">
        <v>0</v>
      </c>
      <c r="AC23" s="229"/>
    </row>
    <row r="24" spans="1:29" s="4" customFormat="1" ht="13.8">
      <c r="A24" s="591" t="s">
        <v>1400</v>
      </c>
      <c r="B24" s="57" t="s">
        <v>1978</v>
      </c>
      <c r="C24" s="104"/>
      <c r="D24" s="104"/>
      <c r="E24" s="104"/>
      <c r="F24" s="104"/>
      <c r="G24" s="104"/>
      <c r="H24" s="138">
        <v>0</v>
      </c>
      <c r="I24" s="138">
        <v>0</v>
      </c>
      <c r="J24" s="138">
        <v>0</v>
      </c>
      <c r="K24" s="138">
        <v>0</v>
      </c>
      <c r="L24" s="138">
        <v>0</v>
      </c>
      <c r="M24" s="138">
        <v>0</v>
      </c>
      <c r="N24" s="138">
        <v>0</v>
      </c>
      <c r="O24" s="138">
        <v>0</v>
      </c>
      <c r="P24" s="138">
        <v>0</v>
      </c>
      <c r="Q24" s="138">
        <v>0</v>
      </c>
      <c r="R24" s="138">
        <v>0</v>
      </c>
      <c r="S24" s="138">
        <v>0</v>
      </c>
      <c r="T24" s="138">
        <v>0</v>
      </c>
      <c r="U24" s="138">
        <v>0</v>
      </c>
      <c r="V24" s="138">
        <v>0</v>
      </c>
      <c r="W24" s="138">
        <v>0</v>
      </c>
      <c r="X24" s="138">
        <v>0</v>
      </c>
      <c r="Y24" s="229">
        <v>0</v>
      </c>
      <c r="Z24" s="229">
        <v>0</v>
      </c>
      <c r="AA24" s="229">
        <v>0</v>
      </c>
      <c r="AB24" s="229">
        <v>0</v>
      </c>
      <c r="AC24" s="229"/>
    </row>
    <row r="25" spans="1:29" s="4" customFormat="1" ht="13.8">
      <c r="A25" s="591" t="s">
        <v>1401</v>
      </c>
      <c r="B25" s="57" t="s">
        <v>1402</v>
      </c>
      <c r="C25" s="104"/>
      <c r="D25" s="104"/>
      <c r="E25" s="104"/>
      <c r="F25" s="104"/>
      <c r="G25" s="104"/>
      <c r="H25" s="138">
        <v>0</v>
      </c>
      <c r="I25" s="138">
        <v>7734</v>
      </c>
      <c r="J25" s="138">
        <v>68263</v>
      </c>
      <c r="K25" s="138">
        <v>56304</v>
      </c>
      <c r="L25" s="138">
        <v>-11031</v>
      </c>
      <c r="M25" s="138">
        <v>-14629</v>
      </c>
      <c r="N25" s="138">
        <v>-20445</v>
      </c>
      <c r="O25" s="138">
        <v>87605</v>
      </c>
      <c r="P25" s="138">
        <v>-8415</v>
      </c>
      <c r="Q25" s="138">
        <v>-18314</v>
      </c>
      <c r="R25" s="138">
        <v>-21032</v>
      </c>
      <c r="S25" s="138">
        <v>-30833</v>
      </c>
      <c r="T25" s="138">
        <v>-6396</v>
      </c>
      <c r="U25" s="138">
        <v>-7384</v>
      </c>
      <c r="V25" s="138">
        <v>-10027</v>
      </c>
      <c r="W25" s="138">
        <v>5857</v>
      </c>
      <c r="X25" s="138">
        <v>-3363</v>
      </c>
      <c r="Y25" s="229">
        <v>11367</v>
      </c>
      <c r="Z25" s="229">
        <v>7254</v>
      </c>
      <c r="AA25" s="229">
        <v>6832</v>
      </c>
      <c r="AB25" s="229">
        <v>-5141</v>
      </c>
      <c r="AC25" s="229">
        <v>-1383</v>
      </c>
    </row>
    <row r="26" spans="1:29" s="4" customFormat="1" ht="13.8">
      <c r="A26" s="591" t="s">
        <v>1403</v>
      </c>
      <c r="B26" s="57" t="s">
        <v>2015</v>
      </c>
      <c r="C26" s="104"/>
      <c r="D26" s="104"/>
      <c r="E26" s="104"/>
      <c r="F26" s="104"/>
      <c r="G26" s="104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138"/>
      <c r="X26" s="138"/>
      <c r="Y26" s="229">
        <v>0</v>
      </c>
      <c r="Z26" s="229">
        <v>0</v>
      </c>
      <c r="AA26" s="229">
        <v>0</v>
      </c>
      <c r="AB26" s="229">
        <v>0</v>
      </c>
      <c r="AC26" s="229"/>
    </row>
    <row r="27" spans="1:29" s="4" customFormat="1" ht="13.8">
      <c r="A27" s="591" t="s">
        <v>1470</v>
      </c>
      <c r="B27" s="57" t="s">
        <v>1980</v>
      </c>
      <c r="C27" s="104"/>
      <c r="D27" s="104"/>
      <c r="E27" s="104"/>
      <c r="F27" s="104"/>
      <c r="G27" s="104"/>
      <c r="H27" s="138">
        <v>27214</v>
      </c>
      <c r="I27" s="138">
        <v>57898</v>
      </c>
      <c r="J27" s="138">
        <v>57077</v>
      </c>
      <c r="K27" s="138">
        <v>66755</v>
      </c>
      <c r="L27" s="138">
        <v>37874</v>
      </c>
      <c r="M27" s="138">
        <v>55369</v>
      </c>
      <c r="N27" s="138">
        <v>48242</v>
      </c>
      <c r="O27" s="138">
        <v>53059</v>
      </c>
      <c r="P27" s="138">
        <v>27278</v>
      </c>
      <c r="Q27" s="138">
        <v>12544</v>
      </c>
      <c r="R27" s="138">
        <v>37130</v>
      </c>
      <c r="S27" s="138">
        <v>33779</v>
      </c>
      <c r="T27" s="138">
        <v>38703</v>
      </c>
      <c r="U27" s="138">
        <v>79045</v>
      </c>
      <c r="V27" s="138">
        <v>117936</v>
      </c>
      <c r="W27" s="138">
        <v>115756</v>
      </c>
      <c r="X27" s="138">
        <v>29730</v>
      </c>
      <c r="Y27" s="229">
        <v>36524</v>
      </c>
      <c r="Z27" s="229">
        <v>61056</v>
      </c>
      <c r="AA27" s="229">
        <v>31531</v>
      </c>
      <c r="AB27" s="229">
        <v>27121</v>
      </c>
      <c r="AC27" s="229">
        <v>24898</v>
      </c>
    </row>
    <row r="28" spans="1:29" s="4" customFormat="1" ht="13.8">
      <c r="A28" s="591" t="s">
        <v>1404</v>
      </c>
      <c r="B28" s="57" t="s">
        <v>1979</v>
      </c>
      <c r="C28" s="104"/>
      <c r="D28" s="104"/>
      <c r="E28" s="104"/>
      <c r="F28" s="104"/>
      <c r="G28" s="104"/>
      <c r="H28" s="138">
        <v>0</v>
      </c>
      <c r="I28" s="138">
        <v>0</v>
      </c>
      <c r="J28" s="138">
        <v>0</v>
      </c>
      <c r="K28" s="138">
        <v>0</v>
      </c>
      <c r="L28" s="138">
        <v>0</v>
      </c>
      <c r="M28" s="138">
        <v>0</v>
      </c>
      <c r="N28" s="138">
        <v>0</v>
      </c>
      <c r="O28" s="138">
        <v>0</v>
      </c>
      <c r="P28" s="138">
        <v>0</v>
      </c>
      <c r="Q28" s="138">
        <v>0</v>
      </c>
      <c r="R28" s="138">
        <v>0</v>
      </c>
      <c r="S28" s="138">
        <v>0</v>
      </c>
      <c r="T28" s="138">
        <v>0</v>
      </c>
      <c r="U28" s="138">
        <v>0</v>
      </c>
      <c r="V28" s="138">
        <v>0</v>
      </c>
      <c r="W28" s="138">
        <v>0</v>
      </c>
      <c r="X28" s="138">
        <v>0</v>
      </c>
      <c r="Y28" s="229">
        <v>0</v>
      </c>
      <c r="Z28" s="229">
        <v>0</v>
      </c>
      <c r="AA28" s="229">
        <v>0</v>
      </c>
      <c r="AB28" s="229">
        <v>0</v>
      </c>
      <c r="AC28" s="229"/>
    </row>
    <row r="29" spans="1:29" s="4" customFormat="1" ht="13.8">
      <c r="A29" s="591" t="s">
        <v>720</v>
      </c>
      <c r="B29" s="57" t="s">
        <v>1981</v>
      </c>
      <c r="C29" s="104"/>
      <c r="D29" s="104"/>
      <c r="E29" s="104"/>
      <c r="F29" s="104"/>
      <c r="G29" s="104"/>
      <c r="H29" s="138">
        <v>0</v>
      </c>
      <c r="I29" s="138">
        <v>0</v>
      </c>
      <c r="J29" s="138">
        <v>0</v>
      </c>
      <c r="K29" s="138">
        <v>0</v>
      </c>
      <c r="L29" s="138">
        <v>0</v>
      </c>
      <c r="M29" s="138">
        <v>0</v>
      </c>
      <c r="N29" s="138">
        <v>0</v>
      </c>
      <c r="O29" s="138">
        <v>0</v>
      </c>
      <c r="P29" s="138">
        <v>0</v>
      </c>
      <c r="Q29" s="138">
        <v>44614</v>
      </c>
      <c r="R29" s="138">
        <v>49139</v>
      </c>
      <c r="S29" s="138">
        <v>50208</v>
      </c>
      <c r="T29" s="138">
        <v>1214</v>
      </c>
      <c r="U29" s="138">
        <v>2603</v>
      </c>
      <c r="V29" s="138">
        <v>4419</v>
      </c>
      <c r="W29" s="138">
        <v>9377</v>
      </c>
      <c r="X29" s="138">
        <v>5167</v>
      </c>
      <c r="Y29" s="229">
        <v>1337</v>
      </c>
      <c r="Z29" s="229">
        <v>2437</v>
      </c>
      <c r="AA29" s="229">
        <v>2559</v>
      </c>
      <c r="AB29" s="229">
        <v>195</v>
      </c>
      <c r="AC29" s="229">
        <v>1332</v>
      </c>
    </row>
    <row r="30" spans="1:29" s="4" customFormat="1" ht="13.8">
      <c r="A30" s="591" t="s">
        <v>1405</v>
      </c>
      <c r="B30" s="57" t="s">
        <v>1985</v>
      </c>
      <c r="C30" s="104"/>
      <c r="D30" s="104"/>
      <c r="E30" s="104"/>
      <c r="F30" s="104"/>
      <c r="G30" s="104"/>
      <c r="H30" s="138">
        <v>5690</v>
      </c>
      <c r="I30" s="138">
        <v>8972</v>
      </c>
      <c r="J30" s="138">
        <v>13852</v>
      </c>
      <c r="K30" s="138">
        <v>19030</v>
      </c>
      <c r="L30" s="138">
        <v>4088</v>
      </c>
      <c r="M30" s="138">
        <v>7354</v>
      </c>
      <c r="N30" s="138">
        <v>11063</v>
      </c>
      <c r="O30" s="138">
        <v>15293</v>
      </c>
      <c r="P30" s="138">
        <v>3663</v>
      </c>
      <c r="Q30" s="138">
        <v>3663</v>
      </c>
      <c r="R30" s="138">
        <v>37347</v>
      </c>
      <c r="S30" s="138">
        <v>49684</v>
      </c>
      <c r="T30" s="138">
        <v>12016</v>
      </c>
      <c r="U30" s="138">
        <v>21967</v>
      </c>
      <c r="V30" s="138">
        <v>35138</v>
      </c>
      <c r="W30" s="138">
        <v>46798</v>
      </c>
      <c r="X30" s="138">
        <v>12847</v>
      </c>
      <c r="Y30" s="229">
        <v>24229</v>
      </c>
      <c r="Z30" s="229">
        <v>37225</v>
      </c>
      <c r="AA30" s="229">
        <v>50659</v>
      </c>
      <c r="AB30" s="229">
        <v>14952</v>
      </c>
      <c r="AC30" s="229">
        <v>28323</v>
      </c>
    </row>
    <row r="31" spans="1:29" s="4" customFormat="1" ht="13.8">
      <c r="A31" s="591" t="s">
        <v>1471</v>
      </c>
      <c r="B31" s="57" t="s">
        <v>1984</v>
      </c>
      <c r="C31" s="104"/>
      <c r="D31" s="104"/>
      <c r="E31" s="104"/>
      <c r="F31" s="104"/>
      <c r="G31" s="104"/>
      <c r="H31" s="138">
        <v>13722</v>
      </c>
      <c r="I31" s="138">
        <v>344707</v>
      </c>
      <c r="J31" s="138">
        <v>421012</v>
      </c>
      <c r="K31" s="138">
        <v>451609</v>
      </c>
      <c r="L31" s="138">
        <v>48676</v>
      </c>
      <c r="M31" s="138">
        <v>68327</v>
      </c>
      <c r="N31" s="138">
        <v>92886</v>
      </c>
      <c r="O31" s="138">
        <v>114692</v>
      </c>
      <c r="P31" s="138">
        <v>38173</v>
      </c>
      <c r="Q31" s="138">
        <v>57132</v>
      </c>
      <c r="R31" s="138">
        <v>121464</v>
      </c>
      <c r="S31" s="138">
        <v>214625</v>
      </c>
      <c r="T31" s="138">
        <v>59063</v>
      </c>
      <c r="U31" s="138">
        <v>96571</v>
      </c>
      <c r="V31" s="138">
        <v>138420</v>
      </c>
      <c r="W31" s="138">
        <v>183244</v>
      </c>
      <c r="X31" s="138">
        <v>42951</v>
      </c>
      <c r="Y31" s="229">
        <v>98926</v>
      </c>
      <c r="Z31" s="229">
        <v>135327</v>
      </c>
      <c r="AA31" s="229">
        <v>191849</v>
      </c>
      <c r="AB31" s="229">
        <v>52779</v>
      </c>
      <c r="AC31" s="229">
        <v>102599</v>
      </c>
    </row>
    <row r="32" spans="1:29" s="4" customFormat="1" ht="13.8">
      <c r="A32" s="591" t="s">
        <v>1407</v>
      </c>
      <c r="B32" s="57" t="s">
        <v>1986</v>
      </c>
      <c r="C32" s="104"/>
      <c r="D32" s="104"/>
      <c r="E32" s="104"/>
      <c r="F32" s="104"/>
      <c r="G32" s="104"/>
      <c r="H32" s="138">
        <v>-92844</v>
      </c>
      <c r="I32" s="138">
        <v>-127382</v>
      </c>
      <c r="J32" s="138">
        <v>-522500</v>
      </c>
      <c r="K32" s="138">
        <v>-442184</v>
      </c>
      <c r="L32" s="138">
        <v>319158</v>
      </c>
      <c r="M32" s="138">
        <v>347824</v>
      </c>
      <c r="N32" s="138">
        <v>294016</v>
      </c>
      <c r="O32" s="138">
        <v>226728</v>
      </c>
      <c r="P32" s="138">
        <v>173581</v>
      </c>
      <c r="Q32" s="138">
        <v>143068</v>
      </c>
      <c r="R32" s="138">
        <v>26577</v>
      </c>
      <c r="S32" s="138">
        <v>-87971</v>
      </c>
      <c r="T32" s="138">
        <v>3229</v>
      </c>
      <c r="U32" s="138">
        <v>-156570</v>
      </c>
      <c r="V32" s="138">
        <v>-379901</v>
      </c>
      <c r="W32" s="138">
        <v>-437819</v>
      </c>
      <c r="X32" s="138">
        <v>72506</v>
      </c>
      <c r="Y32" s="229">
        <v>-148103</v>
      </c>
      <c r="Z32" s="229">
        <v>-476636</v>
      </c>
      <c r="AA32" s="229">
        <v>-630696</v>
      </c>
      <c r="AB32" s="229">
        <v>7205</v>
      </c>
      <c r="AC32" s="229">
        <v>-215062</v>
      </c>
    </row>
    <row r="33" spans="1:29" s="4" customFormat="1" ht="13.8">
      <c r="A33" s="591" t="s">
        <v>1478</v>
      </c>
      <c r="B33" s="57" t="s">
        <v>1987</v>
      </c>
      <c r="C33" s="104"/>
      <c r="D33" s="104"/>
      <c r="E33" s="104"/>
      <c r="F33" s="104"/>
      <c r="G33" s="104"/>
      <c r="H33" s="138">
        <v>0</v>
      </c>
      <c r="I33" s="138">
        <v>0</v>
      </c>
      <c r="J33" s="138">
        <v>0</v>
      </c>
      <c r="K33" s="138">
        <v>0</v>
      </c>
      <c r="L33" s="138">
        <v>0</v>
      </c>
      <c r="M33" s="138">
        <v>0</v>
      </c>
      <c r="N33" s="138">
        <v>0</v>
      </c>
      <c r="O33" s="138">
        <v>0</v>
      </c>
      <c r="P33" s="138">
        <v>-2581</v>
      </c>
      <c r="Q33" s="138">
        <v>-4875</v>
      </c>
      <c r="R33" s="138">
        <v>-7104</v>
      </c>
      <c r="S33" s="138">
        <v>-4617</v>
      </c>
      <c r="T33" s="138">
        <v>-1516</v>
      </c>
      <c r="U33" s="138">
        <v>-14389</v>
      </c>
      <c r="V33" s="138">
        <v>-15626</v>
      </c>
      <c r="W33" s="138">
        <v>65911</v>
      </c>
      <c r="X33" s="138">
        <v>-2090</v>
      </c>
      <c r="Y33" s="229">
        <v>-3419</v>
      </c>
      <c r="Z33" s="229">
        <v>-4690</v>
      </c>
      <c r="AA33" s="229">
        <v>-18667</v>
      </c>
      <c r="AB33" s="229">
        <v>4917</v>
      </c>
      <c r="AC33" s="229">
        <v>-79860</v>
      </c>
    </row>
    <row r="34" spans="1:29" s="4" customFormat="1" ht="13.8">
      <c r="A34" s="591" t="s">
        <v>1472</v>
      </c>
      <c r="B34" s="57" t="s">
        <v>775</v>
      </c>
      <c r="C34" s="104"/>
      <c r="D34" s="104"/>
      <c r="E34" s="104"/>
      <c r="F34" s="104"/>
      <c r="G34" s="104"/>
      <c r="H34" s="138">
        <v>36333</v>
      </c>
      <c r="I34" s="138">
        <v>-30399</v>
      </c>
      <c r="J34" s="138">
        <v>-30399</v>
      </c>
      <c r="K34" s="138">
        <v>-30399</v>
      </c>
      <c r="L34" s="138">
        <v>0</v>
      </c>
      <c r="M34" s="138">
        <v>0</v>
      </c>
      <c r="N34" s="138">
        <v>0</v>
      </c>
      <c r="O34" s="138">
        <v>0</v>
      </c>
      <c r="P34" s="138">
        <v>0</v>
      </c>
      <c r="Q34" s="138">
        <v>0</v>
      </c>
      <c r="R34" s="138">
        <v>0</v>
      </c>
      <c r="S34" s="138">
        <v>0</v>
      </c>
      <c r="T34" s="138">
        <v>-48989</v>
      </c>
      <c r="U34" s="138">
        <v>-48989</v>
      </c>
      <c r="V34" s="138">
        <v>-48989</v>
      </c>
      <c r="W34" s="138">
        <v>-48989</v>
      </c>
      <c r="X34" s="138">
        <v>0</v>
      </c>
      <c r="Y34" s="229">
        <v>0</v>
      </c>
      <c r="Z34" s="229">
        <v>0</v>
      </c>
      <c r="AA34" s="229">
        <v>0</v>
      </c>
      <c r="AB34" s="229">
        <v>0</v>
      </c>
      <c r="AC34" s="229"/>
    </row>
    <row r="35" spans="1:29" s="4" customFormat="1" ht="13.8">
      <c r="A35" s="591" t="s">
        <v>1409</v>
      </c>
      <c r="B35" s="57" t="s">
        <v>1988</v>
      </c>
      <c r="C35" s="104"/>
      <c r="D35" s="104"/>
      <c r="E35" s="104"/>
      <c r="F35" s="104"/>
      <c r="G35" s="104"/>
      <c r="H35" s="138">
        <v>0</v>
      </c>
      <c r="I35" s="138">
        <v>0</v>
      </c>
      <c r="J35" s="138">
        <v>0</v>
      </c>
      <c r="K35" s="138">
        <v>0</v>
      </c>
      <c r="L35" s="138">
        <v>0</v>
      </c>
      <c r="M35" s="138">
        <v>0</v>
      </c>
      <c r="N35" s="138">
        <v>0</v>
      </c>
      <c r="O35" s="138">
        <v>0</v>
      </c>
      <c r="P35" s="138">
        <v>0</v>
      </c>
      <c r="Q35" s="138">
        <v>0</v>
      </c>
      <c r="R35" s="138">
        <v>0</v>
      </c>
      <c r="S35" s="138">
        <v>0</v>
      </c>
      <c r="T35" s="138">
        <v>0</v>
      </c>
      <c r="U35" s="138">
        <v>0</v>
      </c>
      <c r="V35" s="138">
        <v>0</v>
      </c>
      <c r="W35" s="138">
        <v>0</v>
      </c>
      <c r="X35" s="138">
        <v>0</v>
      </c>
      <c r="Y35" s="229">
        <v>0</v>
      </c>
      <c r="Z35" s="229">
        <v>0</v>
      </c>
      <c r="AA35" s="229">
        <v>0</v>
      </c>
      <c r="AB35" s="229">
        <v>0</v>
      </c>
      <c r="AC35" s="229"/>
    </row>
    <row r="36" spans="1:29" s="4" customFormat="1" ht="13.8">
      <c r="A36" s="591" t="s">
        <v>1410</v>
      </c>
      <c r="B36" s="57" t="s">
        <v>1989</v>
      </c>
      <c r="C36" s="104"/>
      <c r="D36" s="104"/>
      <c r="E36" s="104"/>
      <c r="F36" s="104"/>
      <c r="G36" s="104"/>
      <c r="H36" s="138">
        <v>0</v>
      </c>
      <c r="I36" s="138">
        <v>0</v>
      </c>
      <c r="J36" s="138">
        <v>0</v>
      </c>
      <c r="K36" s="138">
        <v>0</v>
      </c>
      <c r="L36" s="138">
        <v>51</v>
      </c>
      <c r="M36" s="138">
        <v>274</v>
      </c>
      <c r="N36" s="138">
        <v>498</v>
      </c>
      <c r="O36" s="138">
        <v>722</v>
      </c>
      <c r="P36" s="138">
        <v>1316</v>
      </c>
      <c r="Q36" s="138">
        <v>1951</v>
      </c>
      <c r="R36" s="138">
        <v>2437</v>
      </c>
      <c r="S36" s="138">
        <v>5010</v>
      </c>
      <c r="T36" s="138">
        <v>-746</v>
      </c>
      <c r="U36" s="138">
        <v>-359</v>
      </c>
      <c r="V36" s="138">
        <v>82</v>
      </c>
      <c r="W36" s="138">
        <v>281</v>
      </c>
      <c r="X36" s="138">
        <v>802</v>
      </c>
      <c r="Y36" s="229">
        <v>1839</v>
      </c>
      <c r="Z36" s="229">
        <v>3069</v>
      </c>
      <c r="AA36" s="229">
        <v>4880</v>
      </c>
      <c r="AB36" s="229">
        <v>-573</v>
      </c>
      <c r="AC36" s="229">
        <v>1094</v>
      </c>
    </row>
    <row r="37" spans="1:29" s="4" customFormat="1" ht="13.8">
      <c r="A37" s="591" t="s">
        <v>1411</v>
      </c>
      <c r="B37" s="57" t="s">
        <v>1990</v>
      </c>
      <c r="C37" s="104"/>
      <c r="D37" s="104"/>
      <c r="E37" s="104"/>
      <c r="F37" s="104"/>
      <c r="G37" s="104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229">
        <v>0</v>
      </c>
      <c r="Z37" s="229">
        <v>0</v>
      </c>
      <c r="AA37" s="229">
        <v>0</v>
      </c>
      <c r="AB37" s="229">
        <v>0</v>
      </c>
      <c r="AC37" s="229"/>
    </row>
    <row r="38" spans="1:29" s="4" customFormat="1" ht="13.8">
      <c r="A38" s="591" t="s">
        <v>1127</v>
      </c>
      <c r="B38" s="57" t="s">
        <v>1991</v>
      </c>
      <c r="C38" s="104"/>
      <c r="D38" s="104"/>
      <c r="E38" s="104"/>
      <c r="F38" s="104"/>
      <c r="G38" s="104"/>
      <c r="H38" s="138">
        <v>0</v>
      </c>
      <c r="I38" s="138">
        <v>-3308</v>
      </c>
      <c r="J38" s="138">
        <v>-1795</v>
      </c>
      <c r="K38" s="138">
        <v>-18183</v>
      </c>
      <c r="L38" s="138">
        <v>-2163</v>
      </c>
      <c r="M38" s="138">
        <v>-4661</v>
      </c>
      <c r="N38" s="138">
        <v>-7559</v>
      </c>
      <c r="O38" s="138">
        <v>-10313</v>
      </c>
      <c r="P38" s="138">
        <v>0</v>
      </c>
      <c r="Q38" s="138">
        <v>0</v>
      </c>
      <c r="R38" s="138">
        <v>0</v>
      </c>
      <c r="S38" s="138">
        <v>0</v>
      </c>
      <c r="T38" s="138">
        <v>0</v>
      </c>
      <c r="U38" s="138">
        <v>0</v>
      </c>
      <c r="V38" s="138">
        <v>0</v>
      </c>
      <c r="W38" s="138">
        <v>0</v>
      </c>
      <c r="X38" s="138">
        <v>0</v>
      </c>
      <c r="Y38" s="229">
        <v>0</v>
      </c>
      <c r="Z38" s="229">
        <v>0</v>
      </c>
      <c r="AA38" s="229">
        <v>0</v>
      </c>
      <c r="AB38" s="229">
        <v>0</v>
      </c>
      <c r="AC38" s="229"/>
    </row>
    <row r="39" spans="1:29" s="4" customFormat="1" ht="13.8">
      <c r="A39" s="591" t="s">
        <v>1412</v>
      </c>
      <c r="B39" s="57" t="s">
        <v>1992</v>
      </c>
      <c r="C39" s="104"/>
      <c r="D39" s="104"/>
      <c r="E39" s="104"/>
      <c r="F39" s="104"/>
      <c r="G39" s="104"/>
      <c r="H39" s="138">
        <v>0</v>
      </c>
      <c r="I39" s="138">
        <v>0</v>
      </c>
      <c r="J39" s="138">
        <v>0</v>
      </c>
      <c r="K39" s="138">
        <v>0</v>
      </c>
      <c r="L39" s="138">
        <v>0</v>
      </c>
      <c r="M39" s="138">
        <v>0</v>
      </c>
      <c r="N39" s="138">
        <v>0</v>
      </c>
      <c r="O39" s="138">
        <v>0</v>
      </c>
      <c r="P39" s="138">
        <v>0</v>
      </c>
      <c r="Q39" s="138">
        <v>0</v>
      </c>
      <c r="R39" s="138">
        <v>0</v>
      </c>
      <c r="S39" s="138">
        <v>0</v>
      </c>
      <c r="T39" s="138">
        <v>0</v>
      </c>
      <c r="U39" s="138">
        <v>0</v>
      </c>
      <c r="V39" s="138">
        <v>0</v>
      </c>
      <c r="W39" s="138">
        <v>0</v>
      </c>
      <c r="X39" s="138">
        <v>0</v>
      </c>
      <c r="Y39" s="229">
        <v>0</v>
      </c>
      <c r="Z39" s="229">
        <v>0</v>
      </c>
      <c r="AA39" s="229">
        <v>0</v>
      </c>
      <c r="AB39" s="229">
        <v>0</v>
      </c>
      <c r="AC39" s="229"/>
    </row>
    <row r="40" spans="1:29" s="4" customFormat="1" ht="13.8">
      <c r="A40" s="591" t="s">
        <v>1123</v>
      </c>
      <c r="B40" s="57" t="s">
        <v>1977</v>
      </c>
      <c r="C40" s="104"/>
      <c r="D40" s="104"/>
      <c r="E40" s="104"/>
      <c r="F40" s="104"/>
      <c r="G40" s="104"/>
      <c r="H40" s="138">
        <v>0</v>
      </c>
      <c r="I40" s="138">
        <v>0</v>
      </c>
      <c r="J40" s="138">
        <v>0</v>
      </c>
      <c r="K40" s="138">
        <v>0</v>
      </c>
      <c r="L40" s="138">
        <v>0</v>
      </c>
      <c r="M40" s="138">
        <v>0</v>
      </c>
      <c r="N40" s="138">
        <v>0</v>
      </c>
      <c r="O40" s="138">
        <v>0</v>
      </c>
      <c r="P40" s="138">
        <v>0</v>
      </c>
      <c r="Q40" s="138">
        <v>2663</v>
      </c>
      <c r="R40" s="138">
        <v>4194</v>
      </c>
      <c r="S40" s="138">
        <v>5549</v>
      </c>
      <c r="T40" s="138">
        <v>-97</v>
      </c>
      <c r="U40" s="138">
        <v>1563</v>
      </c>
      <c r="V40" s="138">
        <v>3519</v>
      </c>
      <c r="W40" s="138">
        <v>5525</v>
      </c>
      <c r="X40" s="138">
        <v>1544</v>
      </c>
      <c r="Y40" s="229">
        <v>3246</v>
      </c>
      <c r="Z40" s="229">
        <v>5424</v>
      </c>
      <c r="AA40" s="229">
        <v>8035</v>
      </c>
      <c r="AB40" s="229">
        <v>4374</v>
      </c>
      <c r="AC40" s="229">
        <v>9310</v>
      </c>
    </row>
    <row r="41" spans="1:29" s="4" customFormat="1" ht="13.8">
      <c r="A41" s="591" t="s">
        <v>1473</v>
      </c>
      <c r="B41" s="57" t="s">
        <v>1195</v>
      </c>
      <c r="C41" s="104"/>
      <c r="D41" s="104"/>
      <c r="E41" s="104"/>
      <c r="F41" s="104"/>
      <c r="G41" s="104"/>
      <c r="H41" s="138">
        <v>0</v>
      </c>
      <c r="I41" s="138">
        <v>67197</v>
      </c>
      <c r="J41" s="138">
        <v>67197</v>
      </c>
      <c r="K41" s="138">
        <v>76612</v>
      </c>
      <c r="L41" s="138">
        <v>0</v>
      </c>
      <c r="M41" s="138">
        <v>0</v>
      </c>
      <c r="N41" s="138">
        <v>0</v>
      </c>
      <c r="O41" s="138">
        <v>101883</v>
      </c>
      <c r="P41" s="138">
        <v>0</v>
      </c>
      <c r="Q41" s="138">
        <v>0</v>
      </c>
      <c r="R41" s="138">
        <v>0</v>
      </c>
      <c r="S41" s="138">
        <v>97090</v>
      </c>
      <c r="T41" s="138">
        <v>0</v>
      </c>
      <c r="U41" s="138">
        <v>0</v>
      </c>
      <c r="V41" s="138">
        <v>0</v>
      </c>
      <c r="W41" s="138">
        <v>98933</v>
      </c>
      <c r="X41" s="138">
        <v>0</v>
      </c>
      <c r="Y41" s="229">
        <v>0</v>
      </c>
      <c r="Z41" s="229">
        <v>0</v>
      </c>
      <c r="AA41" s="229">
        <v>0</v>
      </c>
      <c r="AB41" s="229">
        <v>0</v>
      </c>
      <c r="AC41" s="229">
        <v>-11631</v>
      </c>
    </row>
    <row r="42" spans="1:29" s="4" customFormat="1" ht="13.8">
      <c r="A42" s="591" t="s">
        <v>1413</v>
      </c>
      <c r="B42" s="57" t="s">
        <v>2014</v>
      </c>
      <c r="C42" s="104"/>
      <c r="D42" s="104"/>
      <c r="E42" s="104"/>
      <c r="F42" s="104"/>
      <c r="G42" s="104"/>
      <c r="H42" s="138">
        <v>0</v>
      </c>
      <c r="I42" s="138">
        <v>-44966</v>
      </c>
      <c r="J42" s="138">
        <v>-44966</v>
      </c>
      <c r="K42" s="138">
        <v>-108851</v>
      </c>
      <c r="L42" s="138">
        <v>0</v>
      </c>
      <c r="M42" s="138">
        <v>0</v>
      </c>
      <c r="N42" s="138">
        <v>0</v>
      </c>
      <c r="O42" s="138"/>
      <c r="P42" s="138"/>
      <c r="Q42" s="138"/>
      <c r="R42" s="138"/>
      <c r="S42" s="138"/>
      <c r="T42" s="138"/>
      <c r="U42" s="138"/>
      <c r="V42" s="138"/>
      <c r="W42" s="138"/>
      <c r="X42" s="138"/>
      <c r="Y42" s="229">
        <v>0</v>
      </c>
      <c r="Z42" s="229">
        <v>0</v>
      </c>
      <c r="AA42" s="229">
        <v>0</v>
      </c>
      <c r="AB42" s="229">
        <v>0</v>
      </c>
      <c r="AC42" s="229"/>
    </row>
    <row r="43" spans="1:29" s="4" customFormat="1" ht="13.8">
      <c r="A43" s="591" t="s">
        <v>1414</v>
      </c>
      <c r="B43" s="57" t="s">
        <v>1992</v>
      </c>
      <c r="C43" s="104"/>
      <c r="D43" s="104"/>
      <c r="E43" s="104"/>
      <c r="F43" s="104"/>
      <c r="G43" s="104"/>
      <c r="H43" s="138">
        <v>0</v>
      </c>
      <c r="I43" s="138">
        <v>-26987</v>
      </c>
      <c r="J43" s="138">
        <v>-26987</v>
      </c>
      <c r="K43" s="138">
        <v>-26987</v>
      </c>
      <c r="L43" s="138">
        <v>0</v>
      </c>
      <c r="M43" s="138">
        <v>0</v>
      </c>
      <c r="N43" s="138">
        <v>0</v>
      </c>
      <c r="O43" s="138"/>
      <c r="P43" s="138"/>
      <c r="Q43" s="138"/>
      <c r="R43" s="138"/>
      <c r="S43" s="138"/>
      <c r="T43" s="138"/>
      <c r="U43" s="138"/>
      <c r="V43" s="138"/>
      <c r="W43" s="138"/>
      <c r="X43" s="138"/>
      <c r="Y43" s="229">
        <v>0</v>
      </c>
      <c r="Z43" s="229">
        <v>0</v>
      </c>
      <c r="AA43" s="229">
        <v>0</v>
      </c>
      <c r="AB43" s="229">
        <v>0</v>
      </c>
      <c r="AC43" s="229"/>
    </row>
    <row r="44" spans="1:29" s="4" customFormat="1" ht="13.8">
      <c r="A44" s="591" t="s">
        <v>1415</v>
      </c>
      <c r="B44" s="57" t="s">
        <v>1993</v>
      </c>
      <c r="C44" s="104"/>
      <c r="D44" s="104"/>
      <c r="E44" s="104"/>
      <c r="F44" s="104"/>
      <c r="G44" s="104"/>
      <c r="H44" s="138">
        <v>0</v>
      </c>
      <c r="I44" s="138">
        <v>-38759</v>
      </c>
      <c r="J44" s="138">
        <v>-38759</v>
      </c>
      <c r="K44" s="138">
        <v>-38759</v>
      </c>
      <c r="L44" s="138">
        <v>0</v>
      </c>
      <c r="M44" s="138">
        <v>0</v>
      </c>
      <c r="N44" s="138">
        <v>0</v>
      </c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229">
        <v>0</v>
      </c>
      <c r="Z44" s="229">
        <v>0</v>
      </c>
      <c r="AA44" s="229">
        <v>0</v>
      </c>
      <c r="AB44" s="229">
        <v>0</v>
      </c>
      <c r="AC44" s="229"/>
    </row>
    <row r="45" spans="1:29" s="4" customFormat="1" ht="13.8">
      <c r="A45" s="591" t="s">
        <v>2523</v>
      </c>
      <c r="B45" s="57" t="s">
        <v>2528</v>
      </c>
      <c r="C45" s="104"/>
      <c r="D45" s="104"/>
      <c r="E45" s="104"/>
      <c r="F45" s="104"/>
      <c r="G45" s="104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229"/>
      <c r="Z45" s="229"/>
      <c r="AA45" s="229"/>
      <c r="AB45" s="229"/>
      <c r="AC45" s="229">
        <v>-69060</v>
      </c>
    </row>
    <row r="46" spans="1:29" s="165" customFormat="1" ht="13.8">
      <c r="A46" s="591" t="s">
        <v>1474</v>
      </c>
      <c r="B46" s="57" t="s">
        <v>1417</v>
      </c>
      <c r="C46" s="57"/>
      <c r="D46" s="57"/>
      <c r="E46" s="57"/>
      <c r="F46" s="57"/>
      <c r="G46" s="57"/>
      <c r="H46" s="229">
        <v>0</v>
      </c>
      <c r="I46" s="229">
        <v>0</v>
      </c>
      <c r="J46" s="229">
        <v>0</v>
      </c>
      <c r="K46" s="229">
        <v>0</v>
      </c>
      <c r="L46" s="229">
        <v>0</v>
      </c>
      <c r="M46" s="229">
        <v>0</v>
      </c>
      <c r="N46" s="229">
        <v>0</v>
      </c>
      <c r="O46" s="229">
        <v>0</v>
      </c>
      <c r="P46" s="229">
        <v>0</v>
      </c>
      <c r="Q46" s="229">
        <v>0</v>
      </c>
      <c r="R46" s="229">
        <v>1407</v>
      </c>
      <c r="S46" s="229">
        <v>65431</v>
      </c>
      <c r="T46" s="229">
        <v>24723</v>
      </c>
      <c r="U46" s="229">
        <v>64535</v>
      </c>
      <c r="V46" s="229">
        <v>70896</v>
      </c>
      <c r="W46" s="229">
        <v>-14646</v>
      </c>
      <c r="X46" s="229">
        <v>-19458</v>
      </c>
      <c r="Y46" s="229">
        <v>-41165</v>
      </c>
      <c r="Z46" s="229">
        <v>-36548</v>
      </c>
      <c r="AA46" s="229">
        <v>15625</v>
      </c>
      <c r="AB46" s="229">
        <v>-26354</v>
      </c>
      <c r="AC46" s="229">
        <v>-58807</v>
      </c>
    </row>
    <row r="47" spans="1:29" s="165" customFormat="1" ht="13.8">
      <c r="A47" s="591" t="s">
        <v>95</v>
      </c>
      <c r="B47" s="57" t="s">
        <v>96</v>
      </c>
      <c r="C47" s="57"/>
      <c r="D47" s="57"/>
      <c r="E47" s="57"/>
      <c r="F47" s="57"/>
      <c r="G47" s="57"/>
      <c r="H47" s="229">
        <v>0</v>
      </c>
      <c r="I47" s="229">
        <v>0</v>
      </c>
      <c r="J47" s="229">
        <v>-276989</v>
      </c>
      <c r="K47" s="229">
        <v>0</v>
      </c>
      <c r="L47" s="229">
        <v>0</v>
      </c>
      <c r="M47" s="229">
        <v>0</v>
      </c>
      <c r="N47" s="229">
        <v>0</v>
      </c>
      <c r="O47" s="229">
        <v>0</v>
      </c>
      <c r="P47" s="229">
        <v>0</v>
      </c>
      <c r="Q47" s="229">
        <v>0</v>
      </c>
      <c r="R47" s="229">
        <v>0</v>
      </c>
      <c r="S47" s="229">
        <v>0</v>
      </c>
      <c r="T47" s="229">
        <v>0</v>
      </c>
      <c r="U47" s="229">
        <v>0</v>
      </c>
      <c r="V47" s="229">
        <v>0</v>
      </c>
      <c r="W47" s="229">
        <v>0</v>
      </c>
      <c r="X47" s="229">
        <v>0</v>
      </c>
      <c r="Y47" s="229">
        <v>0</v>
      </c>
      <c r="Z47" s="229">
        <v>0</v>
      </c>
      <c r="AA47" s="229">
        <v>0</v>
      </c>
      <c r="AB47" s="229">
        <v>0</v>
      </c>
      <c r="AC47" s="229"/>
    </row>
    <row r="48" spans="1:29" s="578" customFormat="1" ht="13.8">
      <c r="A48" s="592"/>
      <c r="B48" s="592"/>
      <c r="C48" s="592"/>
      <c r="D48" s="592">
        <f t="shared" ref="D48:Y48" si="0">SUM(D9:D47)</f>
        <v>0</v>
      </c>
      <c r="E48" s="592">
        <f t="shared" si="0"/>
        <v>0</v>
      </c>
      <c r="F48" s="592">
        <f t="shared" si="0"/>
        <v>0</v>
      </c>
      <c r="G48" s="592">
        <f t="shared" si="0"/>
        <v>0</v>
      </c>
      <c r="H48" s="593">
        <f t="shared" si="0"/>
        <v>-46813</v>
      </c>
      <c r="I48" s="593">
        <f t="shared" si="0"/>
        <v>-27632</v>
      </c>
      <c r="J48" s="593">
        <f t="shared" si="0"/>
        <v>-879651</v>
      </c>
      <c r="K48" s="593">
        <f t="shared" si="0"/>
        <v>-199407</v>
      </c>
      <c r="L48" s="593">
        <f t="shared" si="0"/>
        <v>516987</v>
      </c>
      <c r="M48" s="593">
        <f t="shared" si="0"/>
        <v>568095</v>
      </c>
      <c r="N48" s="593">
        <f t="shared" si="0"/>
        <v>624038</v>
      </c>
      <c r="O48" s="593">
        <f t="shared" si="0"/>
        <v>618376</v>
      </c>
      <c r="P48" s="593">
        <f t="shared" si="0"/>
        <v>390569</v>
      </c>
      <c r="Q48" s="593">
        <f t="shared" si="0"/>
        <v>366150</v>
      </c>
      <c r="R48" s="593">
        <f t="shared" si="0"/>
        <v>387262</v>
      </c>
      <c r="S48" s="593">
        <f t="shared" si="0"/>
        <v>419286</v>
      </c>
      <c r="T48" s="593">
        <f t="shared" si="0"/>
        <v>239356</v>
      </c>
      <c r="U48" s="593">
        <f t="shared" si="0"/>
        <v>119043</v>
      </c>
      <c r="V48" s="593">
        <f t="shared" si="0"/>
        <v>11549</v>
      </c>
      <c r="W48" s="593">
        <f t="shared" si="0"/>
        <v>184498</v>
      </c>
      <c r="X48" s="593">
        <f t="shared" si="0"/>
        <v>305906</v>
      </c>
      <c r="Y48" s="593">
        <f t="shared" si="0"/>
        <v>153711</v>
      </c>
      <c r="Z48" s="593">
        <f t="shared" ref="Z48" si="1">SUM(Z9:Z47)</f>
        <v>-63678</v>
      </c>
      <c r="AA48" s="593">
        <f t="shared" ref="AA48:AC48" si="2">SUM(AA9:AA47)</f>
        <v>52580</v>
      </c>
      <c r="AB48" s="593">
        <f t="shared" si="2"/>
        <v>370661.00248000002</v>
      </c>
      <c r="AC48" s="593">
        <f t="shared" si="2"/>
        <v>574316</v>
      </c>
    </row>
    <row r="49" spans="1:29" s="165" customFormat="1" ht="13.8">
      <c r="A49" s="589" t="s">
        <v>1418</v>
      </c>
      <c r="B49" s="589" t="s">
        <v>2035</v>
      </c>
      <c r="C49" s="57"/>
      <c r="D49" s="57"/>
      <c r="E49" s="57"/>
      <c r="F49" s="57"/>
      <c r="G49" s="57"/>
      <c r="H49" s="229"/>
      <c r="I49" s="229"/>
      <c r="J49" s="229"/>
      <c r="K49" s="229"/>
      <c r="L49" s="229"/>
      <c r="M49" s="229"/>
      <c r="N49" s="229"/>
      <c r="O49" s="57"/>
      <c r="P49" s="57"/>
      <c r="Q49" s="57"/>
      <c r="R49" s="57"/>
      <c r="S49" s="229"/>
      <c r="T49" s="229"/>
      <c r="U49" s="229"/>
      <c r="V49" s="229"/>
      <c r="W49" s="229"/>
      <c r="X49" s="229"/>
      <c r="Y49" s="229"/>
      <c r="Z49" s="229"/>
      <c r="AA49" s="229"/>
      <c r="AB49" s="229"/>
      <c r="AC49" s="229"/>
    </row>
    <row r="50" spans="1:29" s="165" customFormat="1" ht="13.8">
      <c r="A50" s="591" t="s">
        <v>1057</v>
      </c>
      <c r="B50" s="57" t="s">
        <v>1994</v>
      </c>
      <c r="C50" s="57"/>
      <c r="D50" s="57"/>
      <c r="E50" s="57"/>
      <c r="F50" s="57"/>
      <c r="G50" s="57"/>
      <c r="H50" s="229">
        <v>-170233</v>
      </c>
      <c r="I50" s="229">
        <v>-108604</v>
      </c>
      <c r="J50" s="229">
        <v>9792</v>
      </c>
      <c r="K50" s="229">
        <v>-400436</v>
      </c>
      <c r="L50" s="229">
        <v>-232696</v>
      </c>
      <c r="M50" s="229">
        <v>-29012</v>
      </c>
      <c r="N50" s="229">
        <v>-57510</v>
      </c>
      <c r="O50" s="229">
        <v>-123667</v>
      </c>
      <c r="P50" s="229">
        <v>-201927</v>
      </c>
      <c r="Q50" s="229">
        <v>19936</v>
      </c>
      <c r="R50" s="229">
        <v>15283</v>
      </c>
      <c r="S50" s="229">
        <v>-81226</v>
      </c>
      <c r="T50" s="229">
        <v>-131015</v>
      </c>
      <c r="U50" s="229">
        <v>-22330</v>
      </c>
      <c r="V50" s="229">
        <v>-182876</v>
      </c>
      <c r="W50" s="229">
        <v>-178291</v>
      </c>
      <c r="X50" s="229">
        <v>-194337</v>
      </c>
      <c r="Y50" s="229">
        <v>-44754</v>
      </c>
      <c r="Z50" s="229">
        <v>-42777</v>
      </c>
      <c r="AA50" s="229">
        <v>-177172</v>
      </c>
      <c r="AB50" s="229">
        <v>-204131</v>
      </c>
      <c r="AC50" s="229">
        <v>-11913</v>
      </c>
    </row>
    <row r="51" spans="1:29" s="165" customFormat="1" ht="13.8">
      <c r="A51" s="591" t="s">
        <v>887</v>
      </c>
      <c r="B51" s="57" t="s">
        <v>1995</v>
      </c>
      <c r="C51" s="57"/>
      <c r="D51" s="57"/>
      <c r="E51" s="57"/>
      <c r="F51" s="57"/>
      <c r="G51" s="57"/>
      <c r="H51" s="229">
        <v>0</v>
      </c>
      <c r="I51" s="229">
        <v>0</v>
      </c>
      <c r="J51" s="229">
        <v>0</v>
      </c>
      <c r="K51" s="229">
        <v>0</v>
      </c>
      <c r="L51" s="229">
        <v>0</v>
      </c>
      <c r="M51" s="229">
        <v>0</v>
      </c>
      <c r="N51" s="229">
        <v>0</v>
      </c>
      <c r="O51" s="229">
        <v>0</v>
      </c>
      <c r="P51" s="229">
        <v>0</v>
      </c>
      <c r="Q51" s="229">
        <v>0</v>
      </c>
      <c r="R51" s="229">
        <v>0</v>
      </c>
      <c r="S51" s="229">
        <v>0</v>
      </c>
      <c r="T51" s="229">
        <v>0</v>
      </c>
      <c r="U51" s="229">
        <v>0</v>
      </c>
      <c r="V51" s="229">
        <v>0</v>
      </c>
      <c r="W51" s="229">
        <v>0</v>
      </c>
      <c r="X51" s="229">
        <v>0</v>
      </c>
      <c r="Y51" s="229">
        <v>0</v>
      </c>
      <c r="Z51" s="229">
        <v>0</v>
      </c>
      <c r="AA51" s="229">
        <v>0</v>
      </c>
      <c r="AB51" s="229">
        <v>0</v>
      </c>
      <c r="AC51" s="229"/>
    </row>
    <row r="52" spans="1:29" s="165" customFormat="1" ht="13.8">
      <c r="A52" s="591" t="s">
        <v>1063</v>
      </c>
      <c r="B52" s="57" t="s">
        <v>1996</v>
      </c>
      <c r="C52" s="57"/>
      <c r="D52" s="57"/>
      <c r="E52" s="57"/>
      <c r="F52" s="57"/>
      <c r="G52" s="57"/>
      <c r="H52" s="229">
        <v>-4553</v>
      </c>
      <c r="I52" s="229">
        <v>-7763</v>
      </c>
      <c r="J52" s="229">
        <v>6731</v>
      </c>
      <c r="K52" s="229">
        <v>4732</v>
      </c>
      <c r="L52" s="229">
        <v>-2107</v>
      </c>
      <c r="M52" s="229">
        <v>-4606</v>
      </c>
      <c r="N52" s="229">
        <v>-16473</v>
      </c>
      <c r="O52" s="229">
        <v>-27881</v>
      </c>
      <c r="P52" s="229">
        <v>2983</v>
      </c>
      <c r="Q52" s="229">
        <v>255</v>
      </c>
      <c r="R52" s="229">
        <v>-12733</v>
      </c>
      <c r="S52" s="229">
        <v>-75200</v>
      </c>
      <c r="T52" s="229">
        <v>-7051</v>
      </c>
      <c r="U52" s="229">
        <v>-19750</v>
      </c>
      <c r="V52" s="229">
        <v>-47987</v>
      </c>
      <c r="W52" s="229">
        <v>-40686</v>
      </c>
      <c r="X52" s="229">
        <v>-13882</v>
      </c>
      <c r="Y52" s="229">
        <v>-45891</v>
      </c>
      <c r="Z52" s="229">
        <v>-62754</v>
      </c>
      <c r="AA52" s="229">
        <v>-48950</v>
      </c>
      <c r="AB52" s="229">
        <v>-16037</v>
      </c>
      <c r="AC52" s="229">
        <v>55909</v>
      </c>
    </row>
    <row r="53" spans="1:29" s="165" customFormat="1" ht="13.8">
      <c r="A53" s="591" t="s">
        <v>1068</v>
      </c>
      <c r="B53" s="57" t="s">
        <v>1997</v>
      </c>
      <c r="C53" s="57"/>
      <c r="D53" s="57"/>
      <c r="E53" s="57"/>
      <c r="F53" s="57"/>
      <c r="G53" s="57"/>
      <c r="H53" s="229">
        <v>-2678</v>
      </c>
      <c r="I53" s="229">
        <v>-10479</v>
      </c>
      <c r="J53" s="229">
        <v>174</v>
      </c>
      <c r="K53" s="229">
        <v>-32575</v>
      </c>
      <c r="L53" s="229">
        <v>-3657</v>
      </c>
      <c r="M53" s="229">
        <v>8225</v>
      </c>
      <c r="N53" s="229">
        <v>-6279</v>
      </c>
      <c r="O53" s="229">
        <v>-8722</v>
      </c>
      <c r="P53" s="229">
        <v>-7251</v>
      </c>
      <c r="Q53" s="229">
        <v>-16460</v>
      </c>
      <c r="R53" s="229">
        <v>-21213</v>
      </c>
      <c r="S53" s="229">
        <v>-21687</v>
      </c>
      <c r="T53" s="229">
        <v>-675</v>
      </c>
      <c r="U53" s="229">
        <v>1110</v>
      </c>
      <c r="V53" s="229">
        <v>-2281</v>
      </c>
      <c r="W53" s="229">
        <v>2278</v>
      </c>
      <c r="X53" s="229">
        <v>-2416</v>
      </c>
      <c r="Y53" s="229">
        <v>-3561</v>
      </c>
      <c r="Z53" s="229">
        <v>-12463</v>
      </c>
      <c r="AA53" s="229">
        <v>13048</v>
      </c>
      <c r="AB53" s="229">
        <v>-7985</v>
      </c>
      <c r="AC53" s="229">
        <v>-7875</v>
      </c>
    </row>
    <row r="54" spans="1:29" s="165" customFormat="1" ht="13.8">
      <c r="A54" s="591" t="s">
        <v>1419</v>
      </c>
      <c r="B54" s="57" t="s">
        <v>1998</v>
      </c>
      <c r="C54" s="57"/>
      <c r="D54" s="57"/>
      <c r="E54" s="57"/>
      <c r="F54" s="57"/>
      <c r="G54" s="57"/>
      <c r="H54" s="229">
        <v>0</v>
      </c>
      <c r="I54" s="229">
        <v>0</v>
      </c>
      <c r="J54" s="229">
        <v>0</v>
      </c>
      <c r="K54" s="229">
        <v>0</v>
      </c>
      <c r="L54" s="229">
        <v>0</v>
      </c>
      <c r="M54" s="229">
        <v>0</v>
      </c>
      <c r="N54" s="229">
        <v>0</v>
      </c>
      <c r="O54" s="229">
        <v>0</v>
      </c>
      <c r="P54" s="229">
        <v>0</v>
      </c>
      <c r="Q54" s="229">
        <v>0</v>
      </c>
      <c r="R54" s="229">
        <v>0</v>
      </c>
      <c r="S54" s="229">
        <v>0</v>
      </c>
      <c r="T54" s="229">
        <v>0</v>
      </c>
      <c r="U54" s="229">
        <v>0</v>
      </c>
      <c r="V54" s="229">
        <v>0</v>
      </c>
      <c r="W54" s="229">
        <v>0</v>
      </c>
      <c r="X54" s="229">
        <v>0</v>
      </c>
      <c r="Y54" s="229">
        <v>0</v>
      </c>
      <c r="Z54" s="229">
        <v>0</v>
      </c>
      <c r="AA54" s="229">
        <v>0</v>
      </c>
      <c r="AB54" s="229">
        <v>0</v>
      </c>
      <c r="AC54" s="229"/>
    </row>
    <row r="55" spans="1:29" s="165" customFormat="1" ht="13.8">
      <c r="A55" s="591" t="s">
        <v>1074</v>
      </c>
      <c r="B55" s="57" t="s">
        <v>1075</v>
      </c>
      <c r="C55" s="57"/>
      <c r="D55" s="57"/>
      <c r="E55" s="57"/>
      <c r="F55" s="57"/>
      <c r="G55" s="57"/>
      <c r="H55" s="229">
        <v>-335</v>
      </c>
      <c r="I55" s="229">
        <v>988</v>
      </c>
      <c r="J55" s="229">
        <v>7346</v>
      </c>
      <c r="K55" s="229">
        <v>6616</v>
      </c>
      <c r="L55" s="229">
        <v>-126</v>
      </c>
      <c r="M55" s="229">
        <v>-3200</v>
      </c>
      <c r="N55" s="229">
        <v>-13233</v>
      </c>
      <c r="O55" s="229">
        <v>-29617</v>
      </c>
      <c r="P55" s="229">
        <v>14546</v>
      </c>
      <c r="Q55" s="229">
        <v>17217</v>
      </c>
      <c r="R55" s="229">
        <v>26573</v>
      </c>
      <c r="S55" s="229">
        <v>31707</v>
      </c>
      <c r="T55" s="229">
        <v>2858</v>
      </c>
      <c r="U55" s="229">
        <v>-2654</v>
      </c>
      <c r="V55" s="229">
        <v>-2439</v>
      </c>
      <c r="W55" s="229">
        <v>-3935</v>
      </c>
      <c r="X55" s="229">
        <v>-7412</v>
      </c>
      <c r="Y55" s="229">
        <v>-11472</v>
      </c>
      <c r="Z55" s="229">
        <v>-10799</v>
      </c>
      <c r="AA55" s="229">
        <v>-19338</v>
      </c>
      <c r="AB55" s="229">
        <v>176</v>
      </c>
      <c r="AC55" s="229">
        <v>7968</v>
      </c>
    </row>
    <row r="56" spans="1:29" s="165" customFormat="1" ht="13.8">
      <c r="A56" s="591" t="s">
        <v>1420</v>
      </c>
      <c r="B56" s="57" t="s">
        <v>1999</v>
      </c>
      <c r="C56" s="57"/>
      <c r="D56" s="57"/>
      <c r="E56" s="57"/>
      <c r="F56" s="57"/>
      <c r="G56" s="57"/>
      <c r="H56" s="229">
        <v>-10706</v>
      </c>
      <c r="I56" s="229">
        <v>-16628</v>
      </c>
      <c r="J56" s="229">
        <v>11320</v>
      </c>
      <c r="K56" s="229">
        <v>-14993</v>
      </c>
      <c r="L56" s="229">
        <v>51580</v>
      </c>
      <c r="M56" s="229">
        <v>103986</v>
      </c>
      <c r="N56" s="229">
        <v>149588</v>
      </c>
      <c r="O56" s="229">
        <v>208756</v>
      </c>
      <c r="P56" s="229">
        <v>82994</v>
      </c>
      <c r="Q56" s="229">
        <v>145858</v>
      </c>
      <c r="R56" s="229">
        <v>22398</v>
      </c>
      <c r="S56" s="229">
        <v>40088</v>
      </c>
      <c r="T56" s="229">
        <v>2170</v>
      </c>
      <c r="U56" s="229">
        <v>1899</v>
      </c>
      <c r="V56" s="229">
        <v>1207</v>
      </c>
      <c r="W56" s="229">
        <v>34090</v>
      </c>
      <c r="X56" s="229">
        <v>200</v>
      </c>
      <c r="Y56" s="229">
        <v>-11362</v>
      </c>
      <c r="Z56" s="229">
        <v>-24785</v>
      </c>
      <c r="AA56" s="229">
        <v>-10880</v>
      </c>
      <c r="AB56" s="229">
        <v>-15771</v>
      </c>
      <c r="AC56" s="229">
        <v>-20723</v>
      </c>
    </row>
    <row r="57" spans="1:29" s="165" customFormat="1" ht="13.8">
      <c r="A57" s="591" t="s">
        <v>1078</v>
      </c>
      <c r="B57" s="57" t="s">
        <v>2000</v>
      </c>
      <c r="C57" s="57"/>
      <c r="D57" s="57"/>
      <c r="E57" s="57"/>
      <c r="F57" s="57"/>
      <c r="G57" s="57"/>
      <c r="H57" s="229">
        <v>-950</v>
      </c>
      <c r="I57" s="229">
        <v>-1798</v>
      </c>
      <c r="J57" s="229">
        <v>-3537</v>
      </c>
      <c r="K57" s="229">
        <v>-2080</v>
      </c>
      <c r="L57" s="229">
        <v>-500</v>
      </c>
      <c r="M57" s="229">
        <v>-10879</v>
      </c>
      <c r="N57" s="229">
        <v>-17427</v>
      </c>
      <c r="O57" s="229">
        <v>-23489</v>
      </c>
      <c r="P57" s="229">
        <v>-12535</v>
      </c>
      <c r="Q57" s="229">
        <v>-27370</v>
      </c>
      <c r="R57" s="229">
        <v>-33745</v>
      </c>
      <c r="S57" s="229">
        <v>-36485</v>
      </c>
      <c r="T57" s="229">
        <v>3605</v>
      </c>
      <c r="U57" s="229">
        <v>-1658</v>
      </c>
      <c r="V57" s="229">
        <v>-1414</v>
      </c>
      <c r="W57" s="229">
        <v>16973</v>
      </c>
      <c r="X57" s="229">
        <v>3375</v>
      </c>
      <c r="Y57" s="229">
        <v>2213</v>
      </c>
      <c r="Z57" s="229">
        <v>1188</v>
      </c>
      <c r="AA57" s="229">
        <v>183</v>
      </c>
      <c r="AB57" s="229">
        <v>-8594</v>
      </c>
      <c r="AC57" s="229">
        <v>-19923</v>
      </c>
    </row>
    <row r="58" spans="1:29" s="165" customFormat="1" ht="13.8">
      <c r="A58" s="591" t="s">
        <v>1421</v>
      </c>
      <c r="B58" s="57" t="s">
        <v>2001</v>
      </c>
      <c r="C58" s="57"/>
      <c r="D58" s="57"/>
      <c r="E58" s="57"/>
      <c r="F58" s="57"/>
      <c r="G58" s="57"/>
      <c r="H58" s="229">
        <v>0</v>
      </c>
      <c r="I58" s="229">
        <v>0</v>
      </c>
      <c r="J58" s="229">
        <v>0</v>
      </c>
      <c r="K58" s="229">
        <v>0</v>
      </c>
      <c r="L58" s="229">
        <v>0</v>
      </c>
      <c r="M58" s="229">
        <v>0</v>
      </c>
      <c r="N58" s="229">
        <v>0</v>
      </c>
      <c r="O58" s="229">
        <v>0</v>
      </c>
      <c r="P58" s="229">
        <v>0</v>
      </c>
      <c r="Q58" s="229">
        <v>0</v>
      </c>
      <c r="R58" s="229">
        <v>0</v>
      </c>
      <c r="S58" s="229">
        <v>0</v>
      </c>
      <c r="T58" s="229">
        <v>0</v>
      </c>
      <c r="U58" s="229">
        <v>0</v>
      </c>
      <c r="V58" s="229">
        <v>0</v>
      </c>
      <c r="W58" s="229">
        <v>0</v>
      </c>
      <c r="X58" s="229">
        <v>0</v>
      </c>
      <c r="Y58" s="229">
        <v>0</v>
      </c>
      <c r="Z58" s="229">
        <v>0</v>
      </c>
      <c r="AA58" s="229">
        <v>0</v>
      </c>
      <c r="AB58" s="229">
        <v>0</v>
      </c>
      <c r="AC58" s="229"/>
    </row>
    <row r="59" spans="1:29" s="165" customFormat="1" ht="13.8">
      <c r="A59" s="591" t="s">
        <v>1422</v>
      </c>
      <c r="B59" s="57" t="s">
        <v>2002</v>
      </c>
      <c r="C59" s="57"/>
      <c r="D59" s="57"/>
      <c r="E59" s="57"/>
      <c r="F59" s="57"/>
      <c r="G59" s="57"/>
      <c r="H59" s="229">
        <v>-8204</v>
      </c>
      <c r="I59" s="229">
        <v>9895</v>
      </c>
      <c r="J59" s="229">
        <v>236226</v>
      </c>
      <c r="K59" s="229">
        <v>0</v>
      </c>
      <c r="L59" s="229">
        <v>0</v>
      </c>
      <c r="M59" s="229">
        <v>60915</v>
      </c>
      <c r="N59" s="229">
        <v>180338</v>
      </c>
      <c r="O59" s="229">
        <v>169760</v>
      </c>
      <c r="P59" s="229">
        <v>0</v>
      </c>
      <c r="Q59" s="229">
        <v>12994</v>
      </c>
      <c r="R59" s="229">
        <v>0</v>
      </c>
      <c r="S59" s="229">
        <v>0</v>
      </c>
      <c r="T59" s="229">
        <v>0</v>
      </c>
      <c r="U59" s="229">
        <v>28574</v>
      </c>
      <c r="V59" s="229">
        <v>0</v>
      </c>
      <c r="W59" s="229">
        <v>0</v>
      </c>
      <c r="X59" s="229">
        <v>0</v>
      </c>
      <c r="Y59" s="229">
        <v>0</v>
      </c>
      <c r="Z59" s="229">
        <v>0</v>
      </c>
      <c r="AA59" s="229">
        <v>0</v>
      </c>
      <c r="AB59" s="229">
        <v>0</v>
      </c>
      <c r="AC59" s="229"/>
    </row>
    <row r="60" spans="1:29" s="165" customFormat="1" ht="13.8">
      <c r="A60" s="591" t="s">
        <v>1352</v>
      </c>
      <c r="B60" s="57" t="s">
        <v>2003</v>
      </c>
      <c r="C60" s="57"/>
      <c r="D60" s="57"/>
      <c r="E60" s="57"/>
      <c r="F60" s="57"/>
      <c r="G60" s="57"/>
      <c r="H60" s="229">
        <v>0</v>
      </c>
      <c r="I60" s="229">
        <v>0</v>
      </c>
      <c r="J60" s="229">
        <v>0</v>
      </c>
      <c r="K60" s="229">
        <v>0</v>
      </c>
      <c r="L60" s="229">
        <v>0</v>
      </c>
      <c r="M60" s="229">
        <v>0</v>
      </c>
      <c r="N60" s="229">
        <v>0</v>
      </c>
      <c r="O60" s="229">
        <v>0</v>
      </c>
      <c r="P60" s="229">
        <v>0</v>
      </c>
      <c r="Q60" s="229">
        <v>0</v>
      </c>
      <c r="R60" s="229">
        <v>13518</v>
      </c>
      <c r="S60" s="229">
        <v>14565</v>
      </c>
      <c r="T60" s="229">
        <v>787</v>
      </c>
      <c r="U60" s="229">
        <v>0</v>
      </c>
      <c r="V60" s="229">
        <v>28574</v>
      </c>
      <c r="W60" s="229">
        <v>28573</v>
      </c>
      <c r="X60" s="229">
        <v>882</v>
      </c>
      <c r="Y60" s="229">
        <v>5129</v>
      </c>
      <c r="Z60" s="229">
        <v>5130</v>
      </c>
      <c r="AA60" s="229">
        <v>5128</v>
      </c>
      <c r="AB60" s="229">
        <v>0</v>
      </c>
      <c r="AC60" s="229">
        <v>4534</v>
      </c>
    </row>
    <row r="61" spans="1:29" s="165" customFormat="1" ht="13.8">
      <c r="A61" s="591" t="s">
        <v>1423</v>
      </c>
      <c r="B61" s="57" t="s">
        <v>1187</v>
      </c>
      <c r="C61" s="57"/>
      <c r="D61" s="57"/>
      <c r="E61" s="57"/>
      <c r="F61" s="57"/>
      <c r="G61" s="57"/>
      <c r="H61" s="229">
        <v>0</v>
      </c>
      <c r="I61" s="229">
        <v>0</v>
      </c>
      <c r="J61" s="229">
        <v>0</v>
      </c>
      <c r="K61" s="229">
        <v>0</v>
      </c>
      <c r="L61" s="229">
        <v>0</v>
      </c>
      <c r="M61" s="229">
        <v>0</v>
      </c>
      <c r="N61" s="229">
        <v>0</v>
      </c>
      <c r="O61" s="229">
        <v>0</v>
      </c>
      <c r="P61" s="229">
        <v>0</v>
      </c>
      <c r="Q61" s="229">
        <v>0</v>
      </c>
      <c r="R61" s="229">
        <v>0</v>
      </c>
      <c r="S61" s="229">
        <v>0</v>
      </c>
      <c r="T61" s="229">
        <v>0</v>
      </c>
      <c r="U61" s="229">
        <v>0</v>
      </c>
      <c r="V61" s="229">
        <v>0</v>
      </c>
      <c r="W61" s="229">
        <v>0</v>
      </c>
      <c r="X61" s="229">
        <v>0</v>
      </c>
      <c r="Y61" s="229">
        <v>0</v>
      </c>
      <c r="Z61" s="229">
        <v>0</v>
      </c>
      <c r="AA61" s="229">
        <v>0</v>
      </c>
      <c r="AB61" s="229">
        <v>0</v>
      </c>
      <c r="AC61" s="229"/>
    </row>
    <row r="62" spans="1:29" s="165" customFormat="1" ht="13.8">
      <c r="A62" s="591" t="s">
        <v>1080</v>
      </c>
      <c r="B62" s="57" t="s">
        <v>2004</v>
      </c>
      <c r="C62" s="57"/>
      <c r="D62" s="57"/>
      <c r="E62" s="57"/>
      <c r="F62" s="57"/>
      <c r="G62" s="57"/>
      <c r="H62" s="229">
        <v>48291</v>
      </c>
      <c r="I62" s="229">
        <v>73972</v>
      </c>
      <c r="J62" s="229">
        <v>125865</v>
      </c>
      <c r="K62" s="229">
        <v>67318</v>
      </c>
      <c r="L62" s="229">
        <v>-29970</v>
      </c>
      <c r="M62" s="229">
        <v>8994</v>
      </c>
      <c r="N62" s="229">
        <v>13799</v>
      </c>
      <c r="O62" s="229">
        <v>-14220</v>
      </c>
      <c r="P62" s="229">
        <v>-20831</v>
      </c>
      <c r="Q62" s="229">
        <v>-17928</v>
      </c>
      <c r="R62" s="229">
        <v>-12104</v>
      </c>
      <c r="S62" s="229">
        <v>-77498</v>
      </c>
      <c r="T62" s="229">
        <v>-23736</v>
      </c>
      <c r="U62" s="229">
        <v>31743</v>
      </c>
      <c r="V62" s="229">
        <v>31107</v>
      </c>
      <c r="W62" s="229">
        <v>11026</v>
      </c>
      <c r="X62" s="229">
        <v>49183</v>
      </c>
      <c r="Y62" s="229">
        <v>56600</v>
      </c>
      <c r="Z62" s="229">
        <v>51681</v>
      </c>
      <c r="AA62" s="229">
        <v>-39949</v>
      </c>
      <c r="AB62" s="229">
        <v>-18323</v>
      </c>
      <c r="AC62" s="229">
        <v>-14641</v>
      </c>
    </row>
    <row r="63" spans="1:29" s="165" customFormat="1" ht="13.8">
      <c r="A63" s="591" t="s">
        <v>1102</v>
      </c>
      <c r="B63" s="57" t="s">
        <v>1103</v>
      </c>
      <c r="C63" s="57"/>
      <c r="D63" s="57"/>
      <c r="E63" s="57"/>
      <c r="F63" s="57"/>
      <c r="G63" s="57"/>
      <c r="H63" s="229">
        <v>-7010</v>
      </c>
      <c r="I63" s="229">
        <v>-143852</v>
      </c>
      <c r="J63" s="229">
        <v>-479044</v>
      </c>
      <c r="K63" s="229">
        <v>-394629</v>
      </c>
      <c r="L63" s="229">
        <v>-184915</v>
      </c>
      <c r="M63" s="229">
        <v>-121842</v>
      </c>
      <c r="N63" s="229">
        <v>-71151.480605690856</v>
      </c>
      <c r="O63" s="229">
        <v>-18854.285541431374</v>
      </c>
      <c r="P63" s="229">
        <v>-121831</v>
      </c>
      <c r="Q63" s="229">
        <v>-127990</v>
      </c>
      <c r="R63" s="229">
        <v>-128829</v>
      </c>
      <c r="S63" s="229">
        <v>-81548</v>
      </c>
      <c r="T63" s="229">
        <v>-37156</v>
      </c>
      <c r="U63" s="229">
        <v>13958</v>
      </c>
      <c r="V63" s="229">
        <v>72051</v>
      </c>
      <c r="W63" s="229">
        <v>-200931</v>
      </c>
      <c r="X63" s="229">
        <v>44561</v>
      </c>
      <c r="Y63" s="229">
        <v>32887</v>
      </c>
      <c r="Z63" s="229">
        <v>81047</v>
      </c>
      <c r="AA63" s="229">
        <v>154537</v>
      </c>
      <c r="AB63" s="229">
        <v>-19479</v>
      </c>
      <c r="AC63" s="229">
        <v>-164244</v>
      </c>
    </row>
    <row r="64" spans="1:29" s="4" customFormat="1" ht="13.8">
      <c r="A64" s="591" t="s">
        <v>1424</v>
      </c>
      <c r="B64" s="57" t="s">
        <v>1351</v>
      </c>
      <c r="C64" s="104"/>
      <c r="D64" s="104"/>
      <c r="E64" s="104"/>
      <c r="F64" s="104"/>
      <c r="G64" s="104"/>
      <c r="H64" s="229">
        <v>0</v>
      </c>
      <c r="I64" s="229">
        <v>0</v>
      </c>
      <c r="J64" s="229">
        <v>0</v>
      </c>
      <c r="K64" s="229">
        <v>0</v>
      </c>
      <c r="L64" s="229">
        <v>0</v>
      </c>
      <c r="M64" s="229">
        <v>0</v>
      </c>
      <c r="N64" s="229">
        <v>0</v>
      </c>
      <c r="O64" s="229">
        <v>0</v>
      </c>
      <c r="P64" s="229">
        <v>0</v>
      </c>
      <c r="Q64" s="229">
        <v>0</v>
      </c>
      <c r="R64" s="229">
        <v>10930</v>
      </c>
      <c r="S64" s="229">
        <v>21642</v>
      </c>
      <c r="T64" s="229">
        <v>-3482</v>
      </c>
      <c r="U64" s="229">
        <v>-17217</v>
      </c>
      <c r="V64" s="229">
        <v>-7792</v>
      </c>
      <c r="W64" s="229">
        <v>8063</v>
      </c>
      <c r="X64" s="229">
        <v>1523</v>
      </c>
      <c r="Y64" s="229">
        <v>11347</v>
      </c>
      <c r="Z64" s="229">
        <v>24101</v>
      </c>
      <c r="AA64" s="229">
        <v>19841</v>
      </c>
      <c r="AB64" s="229">
        <v>2171</v>
      </c>
      <c r="AC64" s="229">
        <v>177</v>
      </c>
    </row>
    <row r="65" spans="1:29" s="165" customFormat="1" ht="13.8">
      <c r="A65" s="591" t="s">
        <v>1104</v>
      </c>
      <c r="B65" s="57" t="s">
        <v>2005</v>
      </c>
      <c r="C65" s="57"/>
      <c r="D65" s="57"/>
      <c r="E65" s="57"/>
      <c r="F65" s="57"/>
      <c r="G65" s="57"/>
      <c r="H65" s="229">
        <v>-11639</v>
      </c>
      <c r="I65" s="229">
        <v>30298</v>
      </c>
      <c r="J65" s="229">
        <v>171100</v>
      </c>
      <c r="K65" s="229">
        <v>44884</v>
      </c>
      <c r="L65" s="229">
        <v>-13005</v>
      </c>
      <c r="M65" s="229">
        <v>-18067</v>
      </c>
      <c r="N65" s="229">
        <v>-60850.0117229729</v>
      </c>
      <c r="O65" s="229">
        <v>-89108.559580416884</v>
      </c>
      <c r="P65" s="229">
        <v>-60482</v>
      </c>
      <c r="Q65" s="229">
        <v>-84705</v>
      </c>
      <c r="R65" s="229">
        <v>-95081</v>
      </c>
      <c r="S65" s="229">
        <v>-117183</v>
      </c>
      <c r="T65" s="229">
        <v>-15416</v>
      </c>
      <c r="U65" s="229">
        <v>-37672</v>
      </c>
      <c r="V65" s="229">
        <v>-54842</v>
      </c>
      <c r="W65" s="229">
        <v>-75025</v>
      </c>
      <c r="X65" s="229">
        <v>-13117</v>
      </c>
      <c r="Y65" s="229">
        <v>-26948</v>
      </c>
      <c r="Z65" s="229">
        <v>-41649</v>
      </c>
      <c r="AA65" s="229">
        <v>-63853</v>
      </c>
      <c r="AB65" s="229">
        <v>-18303</v>
      </c>
      <c r="AC65" s="229">
        <v>-33822</v>
      </c>
    </row>
    <row r="66" spans="1:29" s="165" customFormat="1" ht="13.8">
      <c r="A66" s="591" t="s">
        <v>1111</v>
      </c>
      <c r="B66" s="57" t="s">
        <v>2006</v>
      </c>
      <c r="C66" s="57"/>
      <c r="D66" s="57"/>
      <c r="E66" s="57"/>
      <c r="F66" s="57"/>
      <c r="G66" s="57"/>
      <c r="H66" s="229">
        <v>437655</v>
      </c>
      <c r="I66" s="229">
        <v>810057</v>
      </c>
      <c r="J66" s="229">
        <v>954259</v>
      </c>
      <c r="K66" s="229">
        <v>922376</v>
      </c>
      <c r="L66" s="229">
        <v>12565</v>
      </c>
      <c r="M66" s="229">
        <v>36396</v>
      </c>
      <c r="N66" s="229">
        <v>73483</v>
      </c>
      <c r="O66" s="229">
        <v>96095</v>
      </c>
      <c r="P66" s="229">
        <v>74995</v>
      </c>
      <c r="Q66" s="229">
        <v>79435</v>
      </c>
      <c r="R66" s="229">
        <v>304138</v>
      </c>
      <c r="S66" s="229">
        <v>394960</v>
      </c>
      <c r="T66" s="229">
        <v>56581</v>
      </c>
      <c r="U66" s="229">
        <v>144693</v>
      </c>
      <c r="V66" s="229">
        <v>189213</v>
      </c>
      <c r="W66" s="229">
        <v>222647</v>
      </c>
      <c r="X66" s="229">
        <v>92837</v>
      </c>
      <c r="Y66" s="229">
        <v>153070</v>
      </c>
      <c r="Z66" s="229">
        <v>232501</v>
      </c>
      <c r="AA66" s="229">
        <v>229790</v>
      </c>
      <c r="AB66" s="229">
        <v>57365</v>
      </c>
      <c r="AC66" s="229">
        <v>-406469</v>
      </c>
    </row>
    <row r="67" spans="1:29" s="165" customFormat="1" ht="13.8">
      <c r="A67" s="591" t="s">
        <v>1113</v>
      </c>
      <c r="B67" s="57" t="s">
        <v>2007</v>
      </c>
      <c r="C67" s="57"/>
      <c r="D67" s="57"/>
      <c r="E67" s="57"/>
      <c r="F67" s="57"/>
      <c r="G67" s="57"/>
      <c r="H67" s="229">
        <v>85</v>
      </c>
      <c r="I67" s="229">
        <v>377</v>
      </c>
      <c r="J67" s="229">
        <v>292</v>
      </c>
      <c r="K67" s="229">
        <v>270</v>
      </c>
      <c r="L67" s="229">
        <v>479</v>
      </c>
      <c r="M67" s="229">
        <v>2223</v>
      </c>
      <c r="N67" s="229">
        <v>157</v>
      </c>
      <c r="O67" s="229">
        <v>236</v>
      </c>
      <c r="P67" s="229">
        <v>-150</v>
      </c>
      <c r="Q67" s="229">
        <v>-608</v>
      </c>
      <c r="R67" s="229">
        <v>-842</v>
      </c>
      <c r="S67" s="229">
        <v>-575</v>
      </c>
      <c r="T67" s="229">
        <v>-199</v>
      </c>
      <c r="U67" s="229">
        <v>0</v>
      </c>
      <c r="V67" s="229">
        <v>0</v>
      </c>
      <c r="W67" s="229">
        <v>0</v>
      </c>
      <c r="X67" s="229">
        <v>0</v>
      </c>
      <c r="Y67" s="229">
        <v>-730</v>
      </c>
      <c r="Z67" s="229">
        <v>2397</v>
      </c>
      <c r="AA67" s="229">
        <v>2406</v>
      </c>
      <c r="AB67" s="229">
        <v>876</v>
      </c>
      <c r="AC67" s="229">
        <v>860</v>
      </c>
    </row>
    <row r="68" spans="1:29" s="165" customFormat="1" ht="13.8">
      <c r="A68" s="591" t="s">
        <v>1425</v>
      </c>
      <c r="B68" s="57" t="s">
        <v>775</v>
      </c>
      <c r="C68" s="57"/>
      <c r="D68" s="57"/>
      <c r="E68" s="57"/>
      <c r="F68" s="57"/>
      <c r="G68" s="57"/>
      <c r="H68" s="229">
        <v>0</v>
      </c>
      <c r="I68" s="229">
        <v>0</v>
      </c>
      <c r="J68" s="229">
        <v>0</v>
      </c>
      <c r="K68" s="229">
        <v>0</v>
      </c>
      <c r="L68" s="229">
        <v>0</v>
      </c>
      <c r="M68" s="229">
        <v>0</v>
      </c>
      <c r="N68" s="229">
        <v>0</v>
      </c>
      <c r="O68" s="229">
        <v>0</v>
      </c>
      <c r="P68" s="229">
        <v>0</v>
      </c>
      <c r="Q68" s="229">
        <v>0</v>
      </c>
      <c r="R68" s="229">
        <v>0</v>
      </c>
      <c r="S68" s="229">
        <v>0</v>
      </c>
      <c r="T68" s="229">
        <v>0</v>
      </c>
      <c r="U68" s="229">
        <v>0</v>
      </c>
      <c r="V68" s="229">
        <v>0</v>
      </c>
      <c r="W68" s="229">
        <v>0</v>
      </c>
      <c r="X68" s="229">
        <v>0</v>
      </c>
      <c r="Y68" s="229">
        <v>0</v>
      </c>
      <c r="Z68" s="229">
        <v>0</v>
      </c>
      <c r="AA68" s="229">
        <v>0</v>
      </c>
      <c r="AB68" s="229">
        <v>0</v>
      </c>
      <c r="AC68" s="229"/>
    </row>
    <row r="69" spans="1:29" s="165" customFormat="1" ht="13.8">
      <c r="A69" s="591" t="s">
        <v>1119</v>
      </c>
      <c r="B69" s="57" t="s">
        <v>1120</v>
      </c>
      <c r="C69" s="57"/>
      <c r="D69" s="57"/>
      <c r="E69" s="57"/>
      <c r="F69" s="57"/>
      <c r="G69" s="57"/>
      <c r="H69" s="229">
        <v>0</v>
      </c>
      <c r="I69" s="229">
        <v>0</v>
      </c>
      <c r="J69" s="229">
        <v>0</v>
      </c>
      <c r="K69" s="229">
        <v>0</v>
      </c>
      <c r="L69" s="229">
        <v>0</v>
      </c>
      <c r="M69" s="229">
        <v>0</v>
      </c>
      <c r="N69" s="229">
        <v>0</v>
      </c>
      <c r="O69" s="229">
        <v>0</v>
      </c>
      <c r="P69" s="229">
        <v>0</v>
      </c>
      <c r="Q69" s="229">
        <v>19984</v>
      </c>
      <c r="R69" s="229">
        <v>29479</v>
      </c>
      <c r="S69" s="229">
        <v>40540</v>
      </c>
      <c r="T69" s="229">
        <v>10368</v>
      </c>
      <c r="U69" s="229">
        <v>-28350</v>
      </c>
      <c r="V69" s="229">
        <v>-32330</v>
      </c>
      <c r="W69" s="229">
        <v>-22504</v>
      </c>
      <c r="X69" s="229">
        <v>782</v>
      </c>
      <c r="Y69" s="229">
        <v>-633</v>
      </c>
      <c r="Z69" s="229">
        <v>2363</v>
      </c>
      <c r="AA69" s="229">
        <v>2365</v>
      </c>
      <c r="AB69" s="229">
        <v>-3415</v>
      </c>
      <c r="AC69" s="229">
        <v>-877</v>
      </c>
    </row>
    <row r="70" spans="1:29" s="165" customFormat="1" ht="13.8">
      <c r="A70" s="591" t="s">
        <v>1117</v>
      </c>
      <c r="B70" s="57" t="s">
        <v>1118</v>
      </c>
      <c r="C70" s="57"/>
      <c r="D70" s="57"/>
      <c r="E70" s="57"/>
      <c r="F70" s="57"/>
      <c r="G70" s="57"/>
      <c r="H70" s="229">
        <v>4479</v>
      </c>
      <c r="I70" s="229">
        <v>41497</v>
      </c>
      <c r="J70" s="229">
        <v>-72863</v>
      </c>
      <c r="K70" s="229">
        <v>-260446</v>
      </c>
      <c r="L70" s="229">
        <v>9612</v>
      </c>
      <c r="M70" s="229">
        <v>7074</v>
      </c>
      <c r="N70" s="229">
        <v>9261</v>
      </c>
      <c r="O70" s="229">
        <v>13761</v>
      </c>
      <c r="P70" s="229">
        <v>4124</v>
      </c>
      <c r="Q70" s="229">
        <v>2275</v>
      </c>
      <c r="R70" s="229">
        <v>-24189</v>
      </c>
      <c r="S70" s="229">
        <v>-91246</v>
      </c>
      <c r="T70" s="229">
        <v>-14115</v>
      </c>
      <c r="U70" s="229">
        <v>-21805</v>
      </c>
      <c r="V70" s="229">
        <v>-27614</v>
      </c>
      <c r="W70" s="229">
        <v>-41413</v>
      </c>
      <c r="X70" s="229">
        <v>-8325</v>
      </c>
      <c r="Y70" s="229">
        <v>-18291</v>
      </c>
      <c r="Z70" s="229">
        <v>-16522</v>
      </c>
      <c r="AA70" s="229">
        <v>-22237</v>
      </c>
      <c r="AB70" s="229">
        <v>13815</v>
      </c>
      <c r="AC70" s="229">
        <v>-11593</v>
      </c>
    </row>
    <row r="71" spans="1:29" s="165" customFormat="1" ht="13.8">
      <c r="A71" s="591" t="s">
        <v>1123</v>
      </c>
      <c r="B71" s="57" t="s">
        <v>2008</v>
      </c>
      <c r="C71" s="57"/>
      <c r="D71" s="57"/>
      <c r="E71" s="57"/>
      <c r="F71" s="57"/>
      <c r="G71" s="57"/>
      <c r="H71" s="229">
        <v>0</v>
      </c>
      <c r="I71" s="229">
        <v>0</v>
      </c>
      <c r="J71" s="229">
        <v>0</v>
      </c>
      <c r="K71" s="229">
        <v>0</v>
      </c>
      <c r="L71" s="229">
        <v>0</v>
      </c>
      <c r="M71" s="229">
        <v>0</v>
      </c>
      <c r="N71" s="229">
        <v>0</v>
      </c>
      <c r="O71" s="229">
        <v>0</v>
      </c>
      <c r="P71" s="229">
        <v>0</v>
      </c>
      <c r="Q71" s="229">
        <v>906</v>
      </c>
      <c r="R71" s="229">
        <v>-259</v>
      </c>
      <c r="S71" s="229">
        <v>-278</v>
      </c>
      <c r="T71" s="229">
        <v>-3156</v>
      </c>
      <c r="U71" s="229">
        <v>-5401</v>
      </c>
      <c r="V71" s="229">
        <v>-5786</v>
      </c>
      <c r="W71" s="229">
        <v>-5829</v>
      </c>
      <c r="X71" s="229">
        <v>-5640</v>
      </c>
      <c r="Y71" s="229">
        <v>-7869</v>
      </c>
      <c r="Z71" s="229">
        <v>-7891</v>
      </c>
      <c r="AA71" s="229">
        <v>-7918</v>
      </c>
      <c r="AB71" s="229">
        <v>-21</v>
      </c>
      <c r="AC71" s="229">
        <v>-13590</v>
      </c>
    </row>
    <row r="72" spans="1:29" s="165" customFormat="1" ht="13.8">
      <c r="A72" s="591" t="s">
        <v>1426</v>
      </c>
      <c r="B72" s="57" t="s">
        <v>2009</v>
      </c>
      <c r="C72" s="57"/>
      <c r="D72" s="57"/>
      <c r="E72" s="57"/>
      <c r="F72" s="57"/>
      <c r="G72" s="57"/>
      <c r="H72" s="229"/>
      <c r="I72" s="229"/>
      <c r="J72" s="229"/>
      <c r="K72" s="229"/>
      <c r="L72" s="229"/>
      <c r="M72" s="229"/>
      <c r="N72" s="229"/>
      <c r="O72" s="229"/>
      <c r="P72" s="229"/>
      <c r="Q72" s="229"/>
      <c r="R72" s="229"/>
      <c r="S72" s="229"/>
      <c r="T72" s="229"/>
      <c r="U72" s="229"/>
      <c r="V72" s="229"/>
      <c r="W72" s="229"/>
      <c r="X72" s="229"/>
      <c r="Y72" s="229">
        <v>0</v>
      </c>
      <c r="Z72" s="229">
        <v>0</v>
      </c>
      <c r="AA72" s="229">
        <v>0</v>
      </c>
      <c r="AB72" s="229">
        <v>0</v>
      </c>
      <c r="AC72" s="229"/>
    </row>
    <row r="73" spans="1:29" s="165" customFormat="1" ht="13.8">
      <c r="A73" s="591" t="s">
        <v>1194</v>
      </c>
      <c r="B73" s="57" t="s">
        <v>2010</v>
      </c>
      <c r="C73" s="57"/>
      <c r="D73" s="57"/>
      <c r="E73" s="57"/>
      <c r="F73" s="57"/>
      <c r="G73" s="57"/>
      <c r="H73" s="229">
        <v>848</v>
      </c>
      <c r="I73" s="229">
        <v>-77801</v>
      </c>
      <c r="J73" s="229">
        <v>-91549</v>
      </c>
      <c r="K73" s="229">
        <v>-109390</v>
      </c>
      <c r="L73" s="229">
        <v>10912</v>
      </c>
      <c r="M73" s="229">
        <v>16737</v>
      </c>
      <c r="N73" s="229">
        <v>23993</v>
      </c>
      <c r="O73" s="229">
        <v>-58219</v>
      </c>
      <c r="P73" s="229">
        <v>5903</v>
      </c>
      <c r="Q73" s="229">
        <v>11588</v>
      </c>
      <c r="R73" s="229">
        <v>15505</v>
      </c>
      <c r="S73" s="229">
        <v>-80799</v>
      </c>
      <c r="T73" s="229">
        <v>3342</v>
      </c>
      <c r="U73" s="229">
        <v>8275</v>
      </c>
      <c r="V73" s="229">
        <v>12487</v>
      </c>
      <c r="W73" s="229">
        <v>-81992</v>
      </c>
      <c r="X73" s="229">
        <v>-3386</v>
      </c>
      <c r="Y73" s="229">
        <v>-815</v>
      </c>
      <c r="Z73" s="229">
        <v>-3097</v>
      </c>
      <c r="AA73" s="229">
        <v>-5673</v>
      </c>
      <c r="AB73" s="229">
        <v>-7659</v>
      </c>
      <c r="AC73" s="229">
        <v>0</v>
      </c>
    </row>
    <row r="74" spans="1:29" s="165" customFormat="1" ht="13.8">
      <c r="A74" s="591" t="s">
        <v>1479</v>
      </c>
      <c r="B74" s="57" t="s">
        <v>1126</v>
      </c>
      <c r="C74" s="57"/>
      <c r="D74" s="57"/>
      <c r="E74" s="57"/>
      <c r="F74" s="57"/>
      <c r="G74" s="57"/>
      <c r="H74" s="229">
        <v>-10213</v>
      </c>
      <c r="I74" s="229">
        <v>-20746</v>
      </c>
      <c r="J74" s="229">
        <v>-37573</v>
      </c>
      <c r="K74" s="229">
        <v>-60536</v>
      </c>
      <c r="L74" s="229">
        <v>-23469</v>
      </c>
      <c r="M74" s="229">
        <v>-41018</v>
      </c>
      <c r="N74" s="229">
        <v>-64164</v>
      </c>
      <c r="O74" s="229">
        <v>-82858</v>
      </c>
      <c r="P74" s="229">
        <v>-20358</v>
      </c>
      <c r="Q74" s="229">
        <v>-24035</v>
      </c>
      <c r="R74" s="229">
        <v>-93311</v>
      </c>
      <c r="S74" s="229">
        <v>-121977</v>
      </c>
      <c r="T74" s="229">
        <v>-24643</v>
      </c>
      <c r="U74" s="229">
        <v>-60198</v>
      </c>
      <c r="V74" s="229">
        <v>-100302</v>
      </c>
      <c r="W74" s="229">
        <v>-132101</v>
      </c>
      <c r="X74" s="229">
        <v>-27112</v>
      </c>
      <c r="Y74" s="229">
        <v>-48241</v>
      </c>
      <c r="Z74" s="229">
        <v>-74013</v>
      </c>
      <c r="AA74" s="229">
        <v>-133827</v>
      </c>
      <c r="AB74" s="229">
        <v>-27511</v>
      </c>
      <c r="AC74" s="229">
        <v>-64497</v>
      </c>
    </row>
    <row r="75" spans="1:29" s="165" customFormat="1" ht="13.8">
      <c r="A75" s="591" t="s">
        <v>1265</v>
      </c>
      <c r="B75" s="57" t="s">
        <v>1266</v>
      </c>
      <c r="C75" s="57"/>
      <c r="D75" s="57"/>
      <c r="E75" s="57"/>
      <c r="F75" s="57"/>
      <c r="G75" s="57"/>
      <c r="H75" s="229">
        <v>0</v>
      </c>
      <c r="I75" s="229">
        <v>0</v>
      </c>
      <c r="J75" s="229">
        <v>0</v>
      </c>
      <c r="K75" s="229">
        <v>0</v>
      </c>
      <c r="L75" s="229">
        <v>0</v>
      </c>
      <c r="M75" s="229">
        <v>0</v>
      </c>
      <c r="N75" s="229">
        <v>0</v>
      </c>
      <c r="O75" s="229">
        <v>0</v>
      </c>
      <c r="P75" s="229">
        <v>0</v>
      </c>
      <c r="Q75" s="229">
        <v>0</v>
      </c>
      <c r="R75" s="229">
        <v>0</v>
      </c>
      <c r="S75" s="229">
        <v>0</v>
      </c>
      <c r="T75" s="229">
        <v>0</v>
      </c>
      <c r="U75" s="229">
        <v>0</v>
      </c>
      <c r="V75" s="229">
        <v>0</v>
      </c>
      <c r="W75" s="229">
        <v>0</v>
      </c>
      <c r="X75" s="229">
        <v>0</v>
      </c>
      <c r="Y75" s="229">
        <v>0</v>
      </c>
      <c r="Z75" s="229">
        <v>0</v>
      </c>
      <c r="AA75" s="229">
        <v>0</v>
      </c>
      <c r="AB75" s="229">
        <v>0</v>
      </c>
      <c r="AC75" s="229"/>
    </row>
    <row r="76" spans="1:29" s="165" customFormat="1" ht="13.8">
      <c r="A76" s="591" t="s">
        <v>1129</v>
      </c>
      <c r="B76" s="57" t="s">
        <v>2011</v>
      </c>
      <c r="C76" s="57"/>
      <c r="D76" s="57"/>
      <c r="E76" s="57"/>
      <c r="F76" s="57"/>
      <c r="G76" s="57"/>
      <c r="H76" s="229">
        <v>-53214</v>
      </c>
      <c r="I76" s="229">
        <v>-68610</v>
      </c>
      <c r="J76" s="229">
        <v>-36113</v>
      </c>
      <c r="K76" s="229">
        <v>12091</v>
      </c>
      <c r="L76" s="229">
        <v>71115</v>
      </c>
      <c r="M76" s="229">
        <v>-28712</v>
      </c>
      <c r="N76" s="229">
        <v>-48226</v>
      </c>
      <c r="O76" s="229">
        <v>-49256</v>
      </c>
      <c r="P76" s="229">
        <v>50961</v>
      </c>
      <c r="Q76" s="229">
        <v>38607</v>
      </c>
      <c r="R76" s="229">
        <v>23234</v>
      </c>
      <c r="S76" s="229">
        <v>37288</v>
      </c>
      <c r="T76" s="229">
        <v>-77</v>
      </c>
      <c r="U76" s="229">
        <v>-2822</v>
      </c>
      <c r="V76" s="229">
        <v>-10529</v>
      </c>
      <c r="W76" s="229">
        <v>96903</v>
      </c>
      <c r="X76" s="229">
        <v>-40038</v>
      </c>
      <c r="Y76" s="229">
        <v>-4132</v>
      </c>
      <c r="Z76" s="229">
        <v>1223</v>
      </c>
      <c r="AA76" s="229">
        <v>26128</v>
      </c>
      <c r="AB76" s="229">
        <v>-12488</v>
      </c>
      <c r="AC76" s="229">
        <v>-57040</v>
      </c>
    </row>
    <row r="77" spans="1:29" s="165" customFormat="1" ht="13.8">
      <c r="A77" s="591" t="s">
        <v>1127</v>
      </c>
      <c r="B77" s="57" t="s">
        <v>1991</v>
      </c>
      <c r="C77" s="57"/>
      <c r="D77" s="57"/>
      <c r="E77" s="57"/>
      <c r="F77" s="57"/>
      <c r="G77" s="57"/>
      <c r="H77" s="229">
        <v>0</v>
      </c>
      <c r="I77" s="229">
        <v>0</v>
      </c>
      <c r="J77" s="229">
        <v>0</v>
      </c>
      <c r="K77" s="229">
        <v>0</v>
      </c>
      <c r="L77" s="229">
        <v>0</v>
      </c>
      <c r="M77" s="229">
        <v>0</v>
      </c>
      <c r="N77" s="229">
        <v>0</v>
      </c>
      <c r="O77" s="229">
        <v>0</v>
      </c>
      <c r="P77" s="229">
        <v>0</v>
      </c>
      <c r="Q77" s="229">
        <v>0</v>
      </c>
      <c r="R77" s="229">
        <v>0</v>
      </c>
      <c r="S77" s="229">
        <v>0</v>
      </c>
      <c r="T77" s="229">
        <v>0</v>
      </c>
      <c r="U77" s="229">
        <v>0</v>
      </c>
      <c r="V77" s="229">
        <v>0</v>
      </c>
      <c r="W77" s="229">
        <v>0</v>
      </c>
      <c r="X77" s="229">
        <v>0</v>
      </c>
      <c r="Y77" s="229">
        <v>0</v>
      </c>
      <c r="Z77" s="229">
        <v>0</v>
      </c>
      <c r="AA77" s="229">
        <v>0</v>
      </c>
      <c r="AB77" s="229">
        <v>0</v>
      </c>
      <c r="AC77" s="229"/>
    </row>
    <row r="78" spans="1:29" s="165" customFormat="1" ht="13.8">
      <c r="A78" s="591" t="s">
        <v>1234</v>
      </c>
      <c r="B78" s="57" t="s">
        <v>2012</v>
      </c>
      <c r="C78" s="57"/>
      <c r="D78" s="57"/>
      <c r="E78" s="57"/>
      <c r="F78" s="57"/>
      <c r="G78" s="57"/>
      <c r="H78" s="229">
        <v>0</v>
      </c>
      <c r="I78" s="229">
        <v>0</v>
      </c>
      <c r="J78" s="229">
        <v>0</v>
      </c>
      <c r="K78" s="229">
        <v>0</v>
      </c>
      <c r="L78" s="229">
        <v>0</v>
      </c>
      <c r="M78" s="229">
        <v>0</v>
      </c>
      <c r="N78" s="229">
        <v>0</v>
      </c>
      <c r="O78" s="229">
        <v>0</v>
      </c>
      <c r="P78" s="229">
        <v>0</v>
      </c>
      <c r="Q78" s="229">
        <v>0</v>
      </c>
      <c r="R78" s="229">
        <v>0</v>
      </c>
      <c r="S78" s="229">
        <v>0</v>
      </c>
      <c r="T78" s="229">
        <v>0</v>
      </c>
      <c r="U78" s="229">
        <v>0</v>
      </c>
      <c r="V78" s="229">
        <v>0</v>
      </c>
      <c r="W78" s="229">
        <v>0</v>
      </c>
      <c r="X78" s="229">
        <v>0</v>
      </c>
      <c r="Y78" s="229">
        <v>0</v>
      </c>
      <c r="Z78" s="229">
        <v>0</v>
      </c>
      <c r="AA78" s="229">
        <v>0</v>
      </c>
      <c r="AB78" s="229">
        <v>0</v>
      </c>
      <c r="AC78" s="229"/>
    </row>
    <row r="79" spans="1:29" s="165" customFormat="1" ht="13.8">
      <c r="A79" s="591" t="s">
        <v>1428</v>
      </c>
      <c r="B79" s="57" t="s">
        <v>2013</v>
      </c>
      <c r="C79" s="57"/>
      <c r="D79" s="57"/>
      <c r="E79" s="57"/>
      <c r="F79" s="57"/>
      <c r="G79" s="57"/>
      <c r="H79" s="229">
        <v>0</v>
      </c>
      <c r="I79" s="229">
        <v>0</v>
      </c>
      <c r="J79" s="229">
        <v>0</v>
      </c>
      <c r="K79" s="229">
        <v>0</v>
      </c>
      <c r="L79" s="229">
        <v>0</v>
      </c>
      <c r="M79" s="229">
        <v>0</v>
      </c>
      <c r="N79" s="229">
        <v>0</v>
      </c>
      <c r="O79" s="229">
        <v>0</v>
      </c>
      <c r="P79" s="229">
        <v>0</v>
      </c>
      <c r="Q79" s="229">
        <v>0</v>
      </c>
      <c r="R79" s="229">
        <v>0</v>
      </c>
      <c r="S79" s="229">
        <v>0</v>
      </c>
      <c r="T79" s="229">
        <v>0</v>
      </c>
      <c r="U79" s="229">
        <v>0</v>
      </c>
      <c r="V79" s="229">
        <v>0</v>
      </c>
      <c r="W79" s="229">
        <v>0</v>
      </c>
      <c r="X79" s="229">
        <v>0</v>
      </c>
      <c r="Y79" s="229">
        <v>0</v>
      </c>
      <c r="Z79" s="229">
        <v>0</v>
      </c>
      <c r="AA79" s="229">
        <v>0</v>
      </c>
      <c r="AB79" s="229">
        <v>0</v>
      </c>
      <c r="AC79" s="229"/>
    </row>
    <row r="80" spans="1:29" s="578" customFormat="1" ht="13.8">
      <c r="A80" s="592" t="s">
        <v>1429</v>
      </c>
      <c r="B80" s="592" t="s">
        <v>2034</v>
      </c>
      <c r="C80" s="592"/>
      <c r="D80" s="592">
        <f t="shared" ref="D80:Y80" si="3">SUM(D48:D79)</f>
        <v>0</v>
      </c>
      <c r="E80" s="592">
        <f t="shared" si="3"/>
        <v>0</v>
      </c>
      <c r="F80" s="592">
        <f t="shared" si="3"/>
        <v>0</v>
      </c>
      <c r="G80" s="592">
        <f t="shared" si="3"/>
        <v>0</v>
      </c>
      <c r="H80" s="593">
        <f t="shared" si="3"/>
        <v>164810</v>
      </c>
      <c r="I80" s="593">
        <f t="shared" si="3"/>
        <v>483171</v>
      </c>
      <c r="J80" s="593">
        <f t="shared" si="3"/>
        <v>-77225</v>
      </c>
      <c r="K80" s="593">
        <f t="shared" si="3"/>
        <v>-416205</v>
      </c>
      <c r="L80" s="593">
        <f t="shared" si="3"/>
        <v>182805</v>
      </c>
      <c r="M80" s="593">
        <f t="shared" si="3"/>
        <v>555309</v>
      </c>
      <c r="N80" s="593">
        <f t="shared" si="3"/>
        <v>719343.50767133629</v>
      </c>
      <c r="O80" s="593">
        <f t="shared" si="3"/>
        <v>581092.15487815172</v>
      </c>
      <c r="P80" s="593">
        <f t="shared" si="3"/>
        <v>181710</v>
      </c>
      <c r="Q80" s="593">
        <f t="shared" si="3"/>
        <v>416109</v>
      </c>
      <c r="R80" s="593">
        <f t="shared" si="3"/>
        <v>426014</v>
      </c>
      <c r="S80" s="593">
        <f t="shared" si="3"/>
        <v>214374</v>
      </c>
      <c r="T80" s="593">
        <f t="shared" si="3"/>
        <v>58346</v>
      </c>
      <c r="U80" s="593">
        <f t="shared" si="3"/>
        <v>129438</v>
      </c>
      <c r="V80" s="593">
        <f t="shared" si="3"/>
        <v>-130004</v>
      </c>
      <c r="W80" s="593">
        <f t="shared" si="3"/>
        <v>-177656</v>
      </c>
      <c r="X80" s="593">
        <f t="shared" si="3"/>
        <v>183584</v>
      </c>
      <c r="Y80" s="593">
        <f t="shared" si="3"/>
        <v>190258</v>
      </c>
      <c r="Z80" s="593">
        <f t="shared" ref="Z80" si="4">SUM(Z48:Z79)</f>
        <v>41203</v>
      </c>
      <c r="AA80" s="593">
        <f t="shared" ref="AA80" si="5">SUM(AA48:AA79)</f>
        <v>-23791</v>
      </c>
      <c r="AB80" s="593">
        <f>SUM(AB48:AB79)</f>
        <v>85347.002480000025</v>
      </c>
      <c r="AC80" s="593">
        <f>SUM(AC48:AC79)</f>
        <v>-183443</v>
      </c>
    </row>
    <row r="82" spans="1:29" s="165" customFormat="1" ht="13.8">
      <c r="A82" s="594" t="s">
        <v>1396</v>
      </c>
      <c r="B82" s="57" t="s">
        <v>1397</v>
      </c>
      <c r="C82" s="57"/>
      <c r="D82" s="57"/>
      <c r="E82" s="57"/>
      <c r="F82" s="57"/>
      <c r="G82" s="57"/>
      <c r="H82" s="57"/>
      <c r="I82" s="57"/>
      <c r="J82" s="57"/>
      <c r="K82" s="229"/>
      <c r="L82" s="229"/>
      <c r="M82" s="229"/>
      <c r="N82" s="229"/>
      <c r="O82" s="229"/>
      <c r="P82" s="229"/>
      <c r="Q82" s="229"/>
      <c r="R82" s="229">
        <v>103436</v>
      </c>
      <c r="S82" s="229">
        <v>126425</v>
      </c>
      <c r="T82" s="229">
        <v>32353</v>
      </c>
      <c r="U82" s="229"/>
      <c r="V82" s="229">
        <v>84737</v>
      </c>
      <c r="W82" s="229">
        <v>107126</v>
      </c>
      <c r="X82" s="229">
        <v>24470</v>
      </c>
      <c r="Y82" s="229">
        <v>6221</v>
      </c>
      <c r="Z82" s="229">
        <v>78617</v>
      </c>
      <c r="AA82" s="229">
        <v>78617</v>
      </c>
      <c r="AB82" s="229">
        <v>118484.985</v>
      </c>
      <c r="AC82" s="229">
        <v>38926.85</v>
      </c>
    </row>
    <row r="83" spans="1:29" s="165" customFormat="1" ht="13.8">
      <c r="A83" s="594" t="s">
        <v>1430</v>
      </c>
      <c r="B83" s="57" t="s">
        <v>2016</v>
      </c>
      <c r="C83" s="57"/>
      <c r="D83" s="57"/>
      <c r="E83" s="57"/>
      <c r="F83" s="57"/>
      <c r="G83" s="57"/>
      <c r="H83" s="57"/>
      <c r="I83" s="57"/>
      <c r="J83" s="57"/>
      <c r="K83" s="229"/>
      <c r="L83" s="229"/>
      <c r="M83" s="229"/>
      <c r="N83" s="229"/>
      <c r="O83" s="229"/>
      <c r="P83" s="229"/>
      <c r="Q83" s="229"/>
      <c r="R83" s="229">
        <v>-7550</v>
      </c>
      <c r="S83" s="229">
        <v>-7550</v>
      </c>
      <c r="T83" s="229"/>
      <c r="U83" s="229"/>
      <c r="V83" s="229"/>
      <c r="W83" s="229"/>
      <c r="X83" s="229"/>
      <c r="Y83" s="229"/>
      <c r="Z83" s="229">
        <v>-3127</v>
      </c>
      <c r="AA83" s="229">
        <v>-3127</v>
      </c>
      <c r="AB83" s="229">
        <v>-873</v>
      </c>
      <c r="AC83" s="229">
        <v>-873</v>
      </c>
    </row>
    <row r="84" spans="1:29" s="165" customFormat="1" ht="13.8">
      <c r="A84" s="594" t="s">
        <v>1431</v>
      </c>
      <c r="B84" s="57" t="s">
        <v>2017</v>
      </c>
      <c r="C84" s="57"/>
      <c r="D84" s="57"/>
      <c r="E84" s="57"/>
      <c r="F84" s="57"/>
      <c r="G84" s="57"/>
      <c r="H84" s="229">
        <v>-14890</v>
      </c>
      <c r="I84" s="229">
        <v>-17667</v>
      </c>
      <c r="J84" s="229">
        <v>-1631</v>
      </c>
      <c r="K84" s="229">
        <v>-459</v>
      </c>
      <c r="L84" s="229">
        <v>-157624</v>
      </c>
      <c r="M84" s="229">
        <v>-169571</v>
      </c>
      <c r="N84" s="229">
        <v>-286016</v>
      </c>
      <c r="O84" s="229">
        <v>-177001</v>
      </c>
      <c r="P84" s="229">
        <v>-126630</v>
      </c>
      <c r="Q84" s="229">
        <v>-181566</v>
      </c>
      <c r="R84" s="229">
        <v>-326913</v>
      </c>
      <c r="S84" s="229">
        <v>-530554</v>
      </c>
      <c r="T84" s="229">
        <v>-138069</v>
      </c>
      <c r="U84" s="229">
        <v>-239238</v>
      </c>
      <c r="V84" s="229">
        <v>-384203</v>
      </c>
      <c r="W84" s="229">
        <v>-531457</v>
      </c>
      <c r="X84" s="229">
        <v>-99702</v>
      </c>
      <c r="Y84" s="229">
        <v>-297335</v>
      </c>
      <c r="Z84" s="229">
        <v>-500081</v>
      </c>
      <c r="AA84" s="229">
        <v>-764093</v>
      </c>
      <c r="AB84" s="229">
        <v>-135520.00248</v>
      </c>
      <c r="AC84" s="229">
        <v>-438390</v>
      </c>
    </row>
    <row r="85" spans="1:29" s="165" customFormat="1" ht="13.8">
      <c r="A85" s="595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</row>
    <row r="86" spans="1:29" s="578" customFormat="1" thickBot="1">
      <c r="A86" s="596" t="s">
        <v>1432</v>
      </c>
      <c r="B86" s="596" t="s">
        <v>2036</v>
      </c>
      <c r="C86" s="596"/>
      <c r="D86" s="596">
        <f t="shared" ref="D86:Y86" si="6">SUM(D80:D85)</f>
        <v>0</v>
      </c>
      <c r="E86" s="596">
        <f t="shared" si="6"/>
        <v>0</v>
      </c>
      <c r="F86" s="596">
        <f t="shared" si="6"/>
        <v>0</v>
      </c>
      <c r="G86" s="596">
        <f t="shared" si="6"/>
        <v>0</v>
      </c>
      <c r="H86" s="597">
        <f t="shared" si="6"/>
        <v>149920</v>
      </c>
      <c r="I86" s="597">
        <f t="shared" si="6"/>
        <v>465504</v>
      </c>
      <c r="J86" s="597">
        <f t="shared" si="6"/>
        <v>-78856</v>
      </c>
      <c r="K86" s="597">
        <f t="shared" si="6"/>
        <v>-416664</v>
      </c>
      <c r="L86" s="597">
        <f t="shared" si="6"/>
        <v>25181</v>
      </c>
      <c r="M86" s="597">
        <f t="shared" si="6"/>
        <v>385738</v>
      </c>
      <c r="N86" s="597">
        <f t="shared" si="6"/>
        <v>433327.50767133629</v>
      </c>
      <c r="O86" s="597">
        <f t="shared" si="6"/>
        <v>404091.15487815172</v>
      </c>
      <c r="P86" s="597">
        <f t="shared" si="6"/>
        <v>55080</v>
      </c>
      <c r="Q86" s="597">
        <f t="shared" si="6"/>
        <v>234543</v>
      </c>
      <c r="R86" s="597">
        <f t="shared" si="6"/>
        <v>194987</v>
      </c>
      <c r="S86" s="597">
        <f t="shared" si="6"/>
        <v>-197305</v>
      </c>
      <c r="T86" s="597">
        <f t="shared" si="6"/>
        <v>-47370</v>
      </c>
      <c r="U86" s="597">
        <f t="shared" si="6"/>
        <v>-109800</v>
      </c>
      <c r="V86" s="597">
        <f t="shared" si="6"/>
        <v>-429470</v>
      </c>
      <c r="W86" s="597">
        <f t="shared" si="6"/>
        <v>-601987</v>
      </c>
      <c r="X86" s="597">
        <f t="shared" si="6"/>
        <v>108352</v>
      </c>
      <c r="Y86" s="597">
        <f t="shared" si="6"/>
        <v>-100856</v>
      </c>
      <c r="Z86" s="597">
        <f t="shared" ref="Z86" si="7">SUM(Z80:Z85)</f>
        <v>-383388</v>
      </c>
      <c r="AA86" s="597">
        <f t="shared" ref="AA86:AC86" si="8">SUM(AA80:AA85)</f>
        <v>-712394</v>
      </c>
      <c r="AB86" s="597">
        <f t="shared" si="8"/>
        <v>67438.985000000015</v>
      </c>
      <c r="AC86" s="597">
        <f t="shared" si="8"/>
        <v>-583779.15</v>
      </c>
    </row>
    <row r="87" spans="1:29" s="165" customFormat="1" ht="13.8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229"/>
      <c r="L87" s="229"/>
      <c r="M87" s="229"/>
      <c r="N87" s="229"/>
      <c r="O87" s="229"/>
      <c r="P87" s="229"/>
      <c r="Q87" s="229"/>
      <c r="R87" s="229"/>
      <c r="S87" s="229"/>
      <c r="T87" s="229"/>
      <c r="U87" s="229"/>
      <c r="V87" s="229"/>
      <c r="W87" s="229"/>
      <c r="X87" s="229"/>
      <c r="Y87" s="229"/>
      <c r="Z87" s="229"/>
      <c r="AA87" s="229"/>
      <c r="AB87" s="229"/>
      <c r="AC87" s="229"/>
    </row>
    <row r="88" spans="1:29" s="165" customFormat="1" ht="13.8">
      <c r="A88" s="134" t="s">
        <v>1433</v>
      </c>
      <c r="B88" s="589" t="s">
        <v>2037</v>
      </c>
      <c r="C88" s="57"/>
      <c r="D88" s="57"/>
      <c r="E88" s="57"/>
      <c r="F88" s="57"/>
      <c r="G88" s="57"/>
      <c r="H88" s="57"/>
      <c r="I88" s="57"/>
      <c r="J88" s="57"/>
      <c r="K88" s="229"/>
      <c r="L88" s="229"/>
      <c r="M88" s="229"/>
      <c r="N88" s="229"/>
      <c r="O88" s="229"/>
      <c r="P88" s="229"/>
      <c r="Q88" s="229"/>
      <c r="R88" s="229"/>
      <c r="S88" s="229"/>
      <c r="T88" s="229"/>
      <c r="U88" s="229"/>
      <c r="V88" s="229"/>
      <c r="W88" s="229"/>
      <c r="X88" s="229"/>
      <c r="Y88" s="229"/>
      <c r="Z88" s="229"/>
      <c r="AA88" s="229"/>
      <c r="AB88" s="229"/>
      <c r="AC88" s="229"/>
    </row>
    <row r="89" spans="1:29" s="165" customFormat="1" ht="13.8">
      <c r="A89" s="591" t="s">
        <v>1434</v>
      </c>
      <c r="B89" s="57" t="s">
        <v>2018</v>
      </c>
      <c r="C89" s="57"/>
      <c r="D89" s="57"/>
      <c r="E89" s="57"/>
      <c r="F89" s="57"/>
      <c r="G89" s="57"/>
      <c r="H89" s="57">
        <v>-108</v>
      </c>
      <c r="I89" s="57">
        <v>-132</v>
      </c>
      <c r="J89" s="229">
        <v>-50121</v>
      </c>
      <c r="K89" s="229">
        <v>-4820</v>
      </c>
      <c r="L89" s="229">
        <v>-1148</v>
      </c>
      <c r="M89" s="229">
        <v>-3311</v>
      </c>
      <c r="N89" s="229">
        <v>-6196</v>
      </c>
      <c r="O89" s="229">
        <v>-12701</v>
      </c>
      <c r="P89" s="229">
        <v>-14180</v>
      </c>
      <c r="Q89" s="229">
        <v>-27473</v>
      </c>
      <c r="R89" s="229">
        <v>-24584</v>
      </c>
      <c r="S89" s="229">
        <v>-27271</v>
      </c>
      <c r="T89" s="229"/>
      <c r="U89" s="229"/>
      <c r="V89" s="229"/>
      <c r="W89" s="229"/>
      <c r="X89" s="229"/>
      <c r="Y89" s="229"/>
      <c r="Z89" s="229"/>
      <c r="AA89" s="229"/>
      <c r="AB89" s="229"/>
      <c r="AC89" s="229"/>
    </row>
    <row r="90" spans="1:29" s="165" customFormat="1" ht="13.8">
      <c r="A90" s="598" t="s">
        <v>1435</v>
      </c>
      <c r="B90" s="57" t="s">
        <v>2019</v>
      </c>
      <c r="C90" s="57"/>
      <c r="D90" s="229"/>
      <c r="E90" s="229"/>
      <c r="F90" s="229"/>
      <c r="G90" s="229"/>
      <c r="H90" s="229"/>
      <c r="I90" s="229"/>
      <c r="J90" s="229"/>
      <c r="K90" s="229"/>
      <c r="L90" s="229"/>
      <c r="M90" s="229"/>
      <c r="N90" s="229"/>
      <c r="O90" s="229"/>
      <c r="P90" s="229"/>
      <c r="Q90" s="229"/>
      <c r="R90" s="229"/>
      <c r="S90" s="229"/>
      <c r="T90" s="229"/>
      <c r="U90" s="229"/>
      <c r="V90" s="229"/>
      <c r="W90" s="229"/>
      <c r="X90" s="229"/>
      <c r="Y90" s="229"/>
      <c r="Z90" s="229"/>
      <c r="AA90" s="229"/>
      <c r="AB90" s="229"/>
      <c r="AC90" s="229"/>
    </row>
    <row r="91" spans="1:29" s="165" customFormat="1" ht="13.8">
      <c r="A91" s="591" t="s">
        <v>1436</v>
      </c>
      <c r="B91" s="57" t="s">
        <v>2020</v>
      </c>
      <c r="C91" s="57"/>
      <c r="D91" s="229"/>
      <c r="E91" s="229"/>
      <c r="F91" s="229"/>
      <c r="G91" s="229"/>
      <c r="H91" s="229">
        <v>-987</v>
      </c>
      <c r="I91" s="229">
        <v>9872</v>
      </c>
      <c r="J91" s="229">
        <v>14587</v>
      </c>
      <c r="K91" s="229">
        <v>-11885</v>
      </c>
      <c r="L91" s="229">
        <v>-496</v>
      </c>
      <c r="M91" s="229">
        <v>-496</v>
      </c>
      <c r="N91" s="229">
        <v>-496</v>
      </c>
      <c r="O91" s="229">
        <v>-496</v>
      </c>
      <c r="P91" s="229"/>
      <c r="Q91" s="229"/>
      <c r="R91" s="229"/>
      <c r="S91" s="229"/>
      <c r="T91" s="229"/>
      <c r="U91" s="229"/>
      <c r="V91" s="229"/>
      <c r="W91" s="229"/>
      <c r="X91" s="229"/>
      <c r="Y91" s="229"/>
      <c r="Z91" s="229"/>
      <c r="AA91" s="229"/>
      <c r="AB91" s="229"/>
      <c r="AC91" s="229"/>
    </row>
    <row r="92" spans="1:29" s="165" customFormat="1" ht="13.8">
      <c r="A92" s="591" t="s">
        <v>1437</v>
      </c>
      <c r="B92" s="57" t="s">
        <v>2021</v>
      </c>
      <c r="C92" s="57"/>
      <c r="D92" s="229"/>
      <c r="E92" s="229"/>
      <c r="F92" s="229"/>
      <c r="G92" s="229"/>
      <c r="H92" s="229">
        <v>-36018</v>
      </c>
      <c r="I92" s="229">
        <v>-263749</v>
      </c>
      <c r="J92" s="229">
        <v>-373222</v>
      </c>
      <c r="K92" s="229">
        <v>-429119</v>
      </c>
      <c r="L92" s="229">
        <v>-69296</v>
      </c>
      <c r="M92" s="229">
        <v>-198479</v>
      </c>
      <c r="N92" s="229">
        <v>-398524.50767133624</v>
      </c>
      <c r="O92" s="229">
        <v>-633561.15487815172</v>
      </c>
      <c r="P92" s="229">
        <v>-187640</v>
      </c>
      <c r="Q92" s="229">
        <v>-378801</v>
      </c>
      <c r="R92" s="229">
        <v>-528477</v>
      </c>
      <c r="S92" s="229">
        <v>-606156</v>
      </c>
      <c r="T92" s="229">
        <v>-124831</v>
      </c>
      <c r="U92" s="229">
        <v>-352652</v>
      </c>
      <c r="V92" s="229">
        <v>-556386</v>
      </c>
      <c r="W92" s="229">
        <v>-788782</v>
      </c>
      <c r="X92" s="229">
        <v>-261977</v>
      </c>
      <c r="Y92" s="229">
        <v>-518336</v>
      </c>
      <c r="Z92" s="229">
        <v>-871851</v>
      </c>
      <c r="AA92" s="229">
        <v>-1250016</v>
      </c>
      <c r="AB92" s="229">
        <v>-241301</v>
      </c>
      <c r="AC92" s="229">
        <v>-464188</v>
      </c>
    </row>
    <row r="93" spans="1:29" s="165" customFormat="1" ht="13.8">
      <c r="A93" s="591" t="s">
        <v>1438</v>
      </c>
      <c r="B93" s="57" t="s">
        <v>2022</v>
      </c>
      <c r="C93" s="57"/>
      <c r="D93" s="229"/>
      <c r="E93" s="229"/>
      <c r="F93" s="229"/>
      <c r="G93" s="229"/>
      <c r="H93" s="229"/>
      <c r="I93" s="229">
        <v>1202</v>
      </c>
      <c r="J93" s="229">
        <v>51820</v>
      </c>
      <c r="K93" s="229">
        <v>46183</v>
      </c>
      <c r="L93" s="229">
        <v>773</v>
      </c>
      <c r="M93" s="229"/>
      <c r="N93" s="229"/>
      <c r="O93" s="229"/>
      <c r="P93" s="229"/>
      <c r="Q93" s="229"/>
      <c r="R93" s="229"/>
      <c r="S93" s="229"/>
      <c r="T93" s="229"/>
      <c r="U93" s="229"/>
      <c r="V93" s="229"/>
      <c r="W93" s="229"/>
      <c r="X93" s="229"/>
      <c r="Y93" s="229"/>
      <c r="Z93" s="229"/>
      <c r="AA93" s="229"/>
      <c r="AB93" s="229"/>
      <c r="AC93" s="229"/>
    </row>
    <row r="94" spans="1:29" s="165" customFormat="1" ht="13.8">
      <c r="A94" s="591" t="s">
        <v>1439</v>
      </c>
      <c r="B94" s="57" t="s">
        <v>2023</v>
      </c>
      <c r="C94" s="57"/>
      <c r="D94" s="229"/>
      <c r="E94" s="229"/>
      <c r="F94" s="229"/>
      <c r="G94" s="229"/>
      <c r="H94" s="229"/>
      <c r="I94" s="229"/>
      <c r="J94" s="229"/>
      <c r="K94" s="229"/>
      <c r="L94" s="229"/>
      <c r="M94" s="229"/>
      <c r="N94" s="229"/>
      <c r="O94" s="229"/>
      <c r="P94" s="229"/>
      <c r="Q94" s="229"/>
      <c r="R94" s="229"/>
      <c r="S94" s="229"/>
      <c r="T94" s="229"/>
      <c r="U94" s="229"/>
      <c r="V94" s="229"/>
      <c r="W94" s="229"/>
      <c r="X94" s="229"/>
      <c r="Y94" s="229"/>
      <c r="Z94" s="229"/>
      <c r="AA94" s="229"/>
      <c r="AB94" s="229"/>
      <c r="AC94" s="229"/>
    </row>
    <row r="95" spans="1:29" s="165" customFormat="1" ht="13.8">
      <c r="A95" s="591" t="s">
        <v>1440</v>
      </c>
      <c r="B95" s="57" t="s">
        <v>2024</v>
      </c>
      <c r="C95" s="57"/>
      <c r="D95" s="229"/>
      <c r="E95" s="229"/>
      <c r="F95" s="229"/>
      <c r="G95" s="229"/>
      <c r="H95" s="229"/>
      <c r="I95" s="229"/>
      <c r="J95" s="229"/>
      <c r="K95" s="229"/>
      <c r="L95" s="229"/>
      <c r="M95" s="229"/>
      <c r="N95" s="229"/>
      <c r="O95" s="229"/>
      <c r="P95" s="229"/>
      <c r="Q95" s="229"/>
      <c r="R95" s="229"/>
      <c r="S95" s="229"/>
      <c r="T95" s="229"/>
      <c r="U95" s="229"/>
      <c r="V95" s="229"/>
      <c r="W95" s="229"/>
      <c r="X95" s="229"/>
      <c r="Y95" s="229"/>
      <c r="Z95" s="229"/>
      <c r="AA95" s="229"/>
      <c r="AB95" s="229"/>
      <c r="AC95" s="229"/>
    </row>
    <row r="96" spans="1:29" s="165" customFormat="1" ht="13.8">
      <c r="A96" s="591" t="s">
        <v>1441</v>
      </c>
      <c r="B96" s="57" t="s">
        <v>2025</v>
      </c>
      <c r="C96" s="57"/>
      <c r="D96" s="229"/>
      <c r="E96" s="229"/>
      <c r="F96" s="229"/>
      <c r="G96" s="229"/>
      <c r="H96" s="229"/>
      <c r="I96" s="229"/>
      <c r="J96" s="229"/>
      <c r="K96" s="229"/>
      <c r="L96" s="229"/>
      <c r="M96" s="229"/>
      <c r="N96" s="229"/>
      <c r="O96" s="229"/>
      <c r="P96" s="229"/>
      <c r="Q96" s="229"/>
      <c r="R96" s="229"/>
      <c r="S96" s="229"/>
      <c r="T96" s="229"/>
      <c r="U96" s="229"/>
      <c r="V96" s="229"/>
      <c r="W96" s="229"/>
      <c r="X96" s="229"/>
      <c r="Y96" s="229"/>
      <c r="Z96" s="229"/>
      <c r="AA96" s="229"/>
      <c r="AB96" s="229"/>
      <c r="AC96" s="229"/>
    </row>
    <row r="97" spans="1:29" s="165" customFormat="1" ht="13.8">
      <c r="A97" s="591" t="s">
        <v>1442</v>
      </c>
      <c r="B97" s="57" t="s">
        <v>2026</v>
      </c>
      <c r="C97" s="57"/>
      <c r="D97" s="229"/>
      <c r="E97" s="229"/>
      <c r="F97" s="229"/>
      <c r="G97" s="229"/>
      <c r="H97" s="229"/>
      <c r="I97" s="229"/>
      <c r="J97" s="229"/>
      <c r="K97" s="229"/>
      <c r="L97" s="229"/>
      <c r="M97" s="229"/>
      <c r="N97" s="229"/>
      <c r="O97" s="229"/>
      <c r="P97" s="229"/>
      <c r="Q97" s="229"/>
      <c r="R97" s="229"/>
      <c r="S97" s="229"/>
      <c r="T97" s="229"/>
      <c r="U97" s="229"/>
      <c r="V97" s="229"/>
      <c r="W97" s="229"/>
      <c r="X97" s="229"/>
      <c r="Y97" s="229"/>
      <c r="Z97" s="229"/>
      <c r="AA97" s="229"/>
      <c r="AB97" s="229"/>
      <c r="AC97" s="229"/>
    </row>
    <row r="98" spans="1:29" s="165" customFormat="1" ht="13.8">
      <c r="A98" s="591" t="s">
        <v>1443</v>
      </c>
      <c r="B98" s="57" t="s">
        <v>2028</v>
      </c>
      <c r="C98" s="57"/>
      <c r="D98" s="229"/>
      <c r="E98" s="229"/>
      <c r="F98" s="229"/>
      <c r="G98" s="229"/>
      <c r="H98" s="229"/>
      <c r="I98" s="229"/>
      <c r="J98" s="229"/>
      <c r="K98" s="229"/>
      <c r="L98" s="229"/>
      <c r="M98" s="229"/>
      <c r="N98" s="229"/>
      <c r="O98" s="229"/>
      <c r="P98" s="229"/>
      <c r="Q98" s="229"/>
      <c r="R98" s="229"/>
      <c r="S98" s="229"/>
      <c r="T98" s="229"/>
      <c r="U98" s="229"/>
      <c r="V98" s="229"/>
      <c r="W98" s="229"/>
      <c r="X98" s="229"/>
      <c r="Y98" s="229"/>
      <c r="Z98" s="229"/>
      <c r="AA98" s="229"/>
      <c r="AB98" s="229"/>
      <c r="AC98" s="229"/>
    </row>
    <row r="99" spans="1:29" s="165" customFormat="1" ht="13.8">
      <c r="A99" s="591" t="s">
        <v>1444</v>
      </c>
      <c r="B99" s="57" t="s">
        <v>2029</v>
      </c>
      <c r="C99" s="57"/>
      <c r="D99" s="229"/>
      <c r="E99" s="229"/>
      <c r="F99" s="229"/>
      <c r="G99" s="229"/>
      <c r="H99" s="229"/>
      <c r="I99" s="229"/>
      <c r="J99" s="229"/>
      <c r="K99" s="229"/>
      <c r="L99" s="229"/>
      <c r="M99" s="229"/>
      <c r="N99" s="229"/>
      <c r="O99" s="229"/>
      <c r="P99" s="229"/>
      <c r="Q99" s="229"/>
      <c r="R99" s="229"/>
      <c r="S99" s="229"/>
      <c r="T99" s="229"/>
      <c r="U99" s="229"/>
      <c r="V99" s="229"/>
      <c r="W99" s="229"/>
      <c r="X99" s="229"/>
      <c r="Y99" s="229"/>
      <c r="Z99" s="229"/>
      <c r="AA99" s="229"/>
      <c r="AB99" s="229"/>
      <c r="AC99" s="229"/>
    </row>
    <row r="100" spans="1:29" s="165" customFormat="1" ht="13.8">
      <c r="A100" s="591" t="s">
        <v>1445</v>
      </c>
      <c r="B100" s="57" t="s">
        <v>2027</v>
      </c>
      <c r="C100" s="57"/>
      <c r="D100" s="229"/>
      <c r="E100" s="229"/>
      <c r="F100" s="229"/>
      <c r="G100" s="229"/>
      <c r="H100" s="229"/>
      <c r="I100" s="229"/>
      <c r="J100" s="229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 s="229"/>
      <c r="W100" s="229"/>
      <c r="X100" s="229"/>
      <c r="Y100" s="229"/>
      <c r="Z100" s="229"/>
      <c r="AA100" s="229"/>
      <c r="AB100" s="229"/>
      <c r="AC100" s="229"/>
    </row>
    <row r="101" spans="1:29" s="165" customFormat="1" ht="13.8">
      <c r="A101" s="591" t="s">
        <v>1446</v>
      </c>
      <c r="B101" s="57" t="s">
        <v>2030</v>
      </c>
      <c r="C101" s="57"/>
      <c r="D101" s="229"/>
      <c r="E101" s="229"/>
      <c r="F101" s="229"/>
      <c r="G101" s="229"/>
      <c r="H101" s="229"/>
      <c r="I101" s="229"/>
      <c r="J101" s="229"/>
      <c r="K101" s="229"/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W101" s="229"/>
      <c r="X101" s="229"/>
      <c r="Y101" s="229"/>
      <c r="Z101" s="229"/>
      <c r="AA101" s="229"/>
      <c r="AB101" s="229"/>
      <c r="AC101" s="229"/>
    </row>
    <row r="102" spans="1:29" s="165" customFormat="1" ht="13.8">
      <c r="A102" s="591" t="s">
        <v>1447</v>
      </c>
      <c r="B102" s="57" t="s">
        <v>2031</v>
      </c>
      <c r="C102" s="57"/>
      <c r="D102" s="229"/>
      <c r="E102" s="229"/>
      <c r="F102" s="229"/>
      <c r="G102" s="229"/>
      <c r="H102" s="229"/>
      <c r="I102" s="229"/>
      <c r="J102" s="229"/>
      <c r="K102" s="229"/>
      <c r="L102" s="229"/>
      <c r="M102" s="229"/>
      <c r="N102" s="229"/>
      <c r="O102" s="229"/>
      <c r="P102" s="229"/>
      <c r="Q102" s="229"/>
      <c r="R102" s="229"/>
      <c r="S102" s="229"/>
      <c r="T102" s="229"/>
      <c r="U102" s="229"/>
      <c r="V102" s="229"/>
      <c r="W102" s="229"/>
      <c r="X102" s="229"/>
      <c r="Y102" s="229"/>
      <c r="Z102" s="229"/>
      <c r="AA102" s="229"/>
      <c r="AB102" s="229"/>
      <c r="AC102" s="229"/>
    </row>
    <row r="103" spans="1:29" s="165" customFormat="1" ht="13.8">
      <c r="A103" s="591" t="s">
        <v>1448</v>
      </c>
      <c r="B103" s="57" t="s">
        <v>2032</v>
      </c>
      <c r="C103" s="57"/>
      <c r="D103" s="229"/>
      <c r="E103" s="229"/>
      <c r="F103" s="229"/>
      <c r="G103" s="229"/>
      <c r="H103" s="229"/>
      <c r="I103" s="229"/>
      <c r="J103" s="229"/>
      <c r="K103" s="229"/>
      <c r="L103" s="229"/>
      <c r="M103" s="229"/>
      <c r="N103" s="229"/>
      <c r="O103" s="229"/>
      <c r="P103" s="229"/>
      <c r="Q103" s="229"/>
      <c r="R103" s="229"/>
      <c r="S103" s="229"/>
      <c r="T103" s="229"/>
      <c r="U103" s="229"/>
      <c r="V103" s="229"/>
      <c r="W103" s="229"/>
      <c r="X103" s="229"/>
      <c r="Y103" s="229"/>
      <c r="Z103" s="229"/>
      <c r="AA103" s="229"/>
      <c r="AB103" s="229"/>
      <c r="AC103" s="229"/>
    </row>
    <row r="104" spans="1:29" s="165" customFormat="1" ht="13.8">
      <c r="A104" s="591" t="s">
        <v>1449</v>
      </c>
      <c r="B104" s="57" t="s">
        <v>2033</v>
      </c>
      <c r="C104" s="57"/>
      <c r="D104" s="229"/>
      <c r="E104" s="229"/>
      <c r="F104" s="229"/>
      <c r="G104" s="229"/>
      <c r="H104" s="229">
        <v>284</v>
      </c>
      <c r="I104" s="229"/>
      <c r="J104" s="229">
        <v>-1242172</v>
      </c>
      <c r="K104" s="229">
        <v>-461861</v>
      </c>
      <c r="L104" s="229">
        <v>52868</v>
      </c>
      <c r="M104" s="229">
        <v>-85485</v>
      </c>
      <c r="N104" s="229">
        <v>300897</v>
      </c>
      <c r="O104" s="229">
        <v>19470</v>
      </c>
      <c r="P104" s="229">
        <v>153743</v>
      </c>
      <c r="Q104" s="229">
        <v>153489</v>
      </c>
      <c r="R104" s="229">
        <v>154578</v>
      </c>
      <c r="S104" s="229">
        <v>-279000</v>
      </c>
      <c r="T104" s="229">
        <v>224034</v>
      </c>
      <c r="U104" s="229">
        <v>245490</v>
      </c>
      <c r="V104" s="229">
        <v>651871</v>
      </c>
      <c r="W104" s="229">
        <v>53288</v>
      </c>
      <c r="X104" s="229">
        <v>141121</v>
      </c>
      <c r="Y104" s="229">
        <v>63462</v>
      </c>
      <c r="Z104" s="229">
        <v>408752</v>
      </c>
      <c r="AA104" s="229">
        <v>-31539</v>
      </c>
      <c r="AB104" s="229">
        <v>619218.01500000001</v>
      </c>
      <c r="AC104" s="229">
        <v>753526.15</v>
      </c>
    </row>
    <row r="105" spans="1:29" s="578" customFormat="1" thickBot="1">
      <c r="A105" s="596" t="s">
        <v>1450</v>
      </c>
      <c r="B105" s="596" t="s">
        <v>2038</v>
      </c>
      <c r="C105" s="596"/>
      <c r="D105" s="597">
        <f t="shared" ref="D105:Y105" si="9">SUM(D88:D104)</f>
        <v>0</v>
      </c>
      <c r="E105" s="597">
        <f t="shared" si="9"/>
        <v>0</v>
      </c>
      <c r="F105" s="597">
        <f t="shared" si="9"/>
        <v>0</v>
      </c>
      <c r="G105" s="597">
        <f t="shared" si="9"/>
        <v>0</v>
      </c>
      <c r="H105" s="597">
        <f t="shared" si="9"/>
        <v>-36829</v>
      </c>
      <c r="I105" s="597">
        <f t="shared" si="9"/>
        <v>-252807</v>
      </c>
      <c r="J105" s="597">
        <f t="shared" si="9"/>
        <v>-1599108</v>
      </c>
      <c r="K105" s="597">
        <f t="shared" si="9"/>
        <v>-861502</v>
      </c>
      <c r="L105" s="597">
        <f t="shared" si="9"/>
        <v>-17299</v>
      </c>
      <c r="M105" s="597">
        <f t="shared" si="9"/>
        <v>-287771</v>
      </c>
      <c r="N105" s="597">
        <f t="shared" si="9"/>
        <v>-104319.50767133624</v>
      </c>
      <c r="O105" s="597">
        <f t="shared" si="9"/>
        <v>-627288.15487815172</v>
      </c>
      <c r="P105" s="597">
        <f t="shared" si="9"/>
        <v>-48077</v>
      </c>
      <c r="Q105" s="597">
        <f t="shared" si="9"/>
        <v>-252785</v>
      </c>
      <c r="R105" s="597">
        <f t="shared" si="9"/>
        <v>-398483</v>
      </c>
      <c r="S105" s="597">
        <f t="shared" si="9"/>
        <v>-912427</v>
      </c>
      <c r="T105" s="597">
        <f t="shared" si="9"/>
        <v>99203</v>
      </c>
      <c r="U105" s="597">
        <f t="shared" si="9"/>
        <v>-107162</v>
      </c>
      <c r="V105" s="597">
        <f t="shared" si="9"/>
        <v>95485</v>
      </c>
      <c r="W105" s="597">
        <f t="shared" si="9"/>
        <v>-735494</v>
      </c>
      <c r="X105" s="597">
        <f t="shared" si="9"/>
        <v>-120856</v>
      </c>
      <c r="Y105" s="597">
        <f t="shared" si="9"/>
        <v>-454874</v>
      </c>
      <c r="Z105" s="597">
        <f t="shared" ref="Z105" si="10">SUM(Z88:Z104)</f>
        <v>-463099</v>
      </c>
      <c r="AA105" s="597">
        <f t="shared" ref="AA105:AC105" si="11">SUM(AA88:AA104)</f>
        <v>-1281555</v>
      </c>
      <c r="AB105" s="597">
        <f t="shared" si="11"/>
        <v>377917.01500000001</v>
      </c>
      <c r="AC105" s="597">
        <f t="shared" si="11"/>
        <v>289338.15000000002</v>
      </c>
    </row>
    <row r="106" spans="1:29" s="165" customFormat="1" ht="13.8">
      <c r="A106" s="57"/>
      <c r="B106" s="57"/>
      <c r="C106" s="57"/>
      <c r="D106" s="229"/>
      <c r="E106" s="229"/>
      <c r="F106" s="229"/>
      <c r="G106" s="229"/>
      <c r="H106" s="229"/>
      <c r="I106" s="229"/>
      <c r="J106" s="229"/>
      <c r="K106" s="229"/>
      <c r="L106" s="229"/>
      <c r="M106" s="229"/>
      <c r="N106" s="229"/>
      <c r="O106" s="229"/>
      <c r="P106" s="229"/>
      <c r="Q106" s="229"/>
      <c r="R106" s="229"/>
      <c r="S106" s="229"/>
      <c r="T106" s="229"/>
      <c r="U106" s="229"/>
      <c r="V106" s="229"/>
      <c r="W106" s="229"/>
      <c r="X106" s="229"/>
      <c r="Y106" s="229"/>
      <c r="Z106" s="229"/>
      <c r="AA106" s="229"/>
      <c r="AB106" s="229"/>
      <c r="AC106" s="229"/>
    </row>
    <row r="107" spans="1:29" s="165" customFormat="1" ht="13.8">
      <c r="A107" s="134" t="s">
        <v>1451</v>
      </c>
      <c r="B107" s="589" t="s">
        <v>2039</v>
      </c>
      <c r="C107" s="57"/>
      <c r="D107" s="229"/>
      <c r="E107" s="229"/>
      <c r="F107" s="229"/>
      <c r="G107" s="229"/>
      <c r="H107" s="229"/>
      <c r="I107" s="229"/>
      <c r="J107" s="229"/>
      <c r="K107" s="229"/>
      <c r="L107" s="229"/>
      <c r="M107" s="229"/>
      <c r="N107" s="229"/>
      <c r="O107" s="229"/>
      <c r="P107" s="229"/>
      <c r="Q107" s="229"/>
      <c r="R107" s="229"/>
      <c r="S107" s="229"/>
      <c r="T107" s="229"/>
      <c r="U107" s="229"/>
      <c r="V107" s="229"/>
      <c r="W107" s="229"/>
      <c r="X107" s="229"/>
      <c r="Y107" s="229"/>
      <c r="Z107" s="229"/>
      <c r="AA107" s="229"/>
      <c r="AB107" s="229"/>
      <c r="AC107" s="229"/>
    </row>
    <row r="108" spans="1:29" s="165" customFormat="1" ht="13.8">
      <c r="A108" s="591" t="s">
        <v>1452</v>
      </c>
      <c r="B108" s="57" t="s">
        <v>2040</v>
      </c>
      <c r="C108" s="57"/>
      <c r="D108" s="229"/>
      <c r="E108" s="229"/>
      <c r="F108" s="229"/>
      <c r="G108" s="229"/>
      <c r="H108" s="229">
        <v>-100459</v>
      </c>
      <c r="I108" s="229">
        <v>-121090</v>
      </c>
      <c r="J108" s="229">
        <v>-711432</v>
      </c>
      <c r="K108" s="229">
        <v>-729977</v>
      </c>
      <c r="L108" s="229">
        <v>-336839</v>
      </c>
      <c r="M108" s="229">
        <v>-354023</v>
      </c>
      <c r="N108" s="229">
        <v>-505899</v>
      </c>
      <c r="O108" s="229">
        <v>-505899</v>
      </c>
      <c r="P108" s="229"/>
      <c r="Q108" s="229"/>
      <c r="R108" s="229">
        <v>-226532</v>
      </c>
      <c r="S108" s="229">
        <v>-726531</v>
      </c>
      <c r="T108" s="229">
        <v>-3902</v>
      </c>
      <c r="U108" s="229">
        <v>-7863</v>
      </c>
      <c r="V108" s="229">
        <v>-275102</v>
      </c>
      <c r="W108" s="229">
        <v>-279136</v>
      </c>
      <c r="X108" s="229">
        <v>-4087</v>
      </c>
      <c r="Y108" s="229">
        <v>-8261</v>
      </c>
      <c r="Z108" s="229">
        <v>-16451</v>
      </c>
      <c r="AA108" s="229">
        <v>-426672</v>
      </c>
      <c r="AB108" s="229">
        <v>-10296</v>
      </c>
      <c r="AC108" s="229">
        <v>-82842</v>
      </c>
    </row>
    <row r="109" spans="1:29" s="165" customFormat="1" ht="13.8">
      <c r="A109" s="591" t="s">
        <v>1453</v>
      </c>
      <c r="B109" s="57" t="s">
        <v>2041</v>
      </c>
      <c r="C109" s="57"/>
      <c r="D109" s="229"/>
      <c r="E109" s="229"/>
      <c r="F109" s="229"/>
      <c r="G109" s="229"/>
      <c r="H109" s="229"/>
      <c r="I109" s="229"/>
      <c r="J109" s="229">
        <v>998783</v>
      </c>
      <c r="K109" s="229">
        <v>998783</v>
      </c>
      <c r="L109" s="229"/>
      <c r="M109" s="229">
        <v>-11372</v>
      </c>
      <c r="N109" s="229"/>
      <c r="O109" s="229">
        <v>400000</v>
      </c>
      <c r="P109" s="229"/>
      <c r="Q109" s="229">
        <v>583800</v>
      </c>
      <c r="R109" s="229">
        <v>1012870</v>
      </c>
      <c r="S109" s="229">
        <v>1012871</v>
      </c>
      <c r="T109" s="229"/>
      <c r="U109" s="229"/>
      <c r="V109" s="229"/>
      <c r="W109" s="229">
        <v>399953</v>
      </c>
      <c r="X109" s="229"/>
      <c r="Y109" s="229">
        <v>700000</v>
      </c>
      <c r="Z109" s="229">
        <v>521070</v>
      </c>
      <c r="AA109" s="229">
        <v>723762</v>
      </c>
      <c r="AB109" s="229">
        <v>0</v>
      </c>
      <c r="AC109" s="229">
        <v>495500</v>
      </c>
    </row>
    <row r="110" spans="1:29" s="165" customFormat="1" ht="13.8">
      <c r="A110" s="591" t="s">
        <v>1454</v>
      </c>
      <c r="B110" s="57" t="s">
        <v>2042</v>
      </c>
      <c r="C110" s="57"/>
      <c r="D110" s="229"/>
      <c r="E110" s="229"/>
      <c r="F110" s="229"/>
      <c r="G110" s="229"/>
      <c r="H110" s="229"/>
      <c r="I110" s="229"/>
      <c r="J110" s="229">
        <v>1489735</v>
      </c>
      <c r="K110" s="229">
        <v>1490015</v>
      </c>
      <c r="L110" s="229"/>
      <c r="M110" s="229"/>
      <c r="N110" s="229"/>
      <c r="O110" s="229">
        <v>250000</v>
      </c>
      <c r="P110" s="229"/>
      <c r="Q110" s="229"/>
      <c r="R110" s="229">
        <v>180000</v>
      </c>
      <c r="S110" s="229">
        <v>1176319</v>
      </c>
      <c r="T110" s="229"/>
      <c r="U110" s="229">
        <v>240283</v>
      </c>
      <c r="V110" s="229">
        <v>750000</v>
      </c>
      <c r="W110" s="229">
        <v>1136891</v>
      </c>
      <c r="X110" s="229"/>
      <c r="Y110" s="229"/>
      <c r="Z110" s="229">
        <v>986746</v>
      </c>
      <c r="AA110" s="229">
        <v>3680362</v>
      </c>
      <c r="AB110" s="229">
        <v>0</v>
      </c>
      <c r="AC110" s="229">
        <v>750000</v>
      </c>
    </row>
    <row r="111" spans="1:29" s="165" customFormat="1" ht="13.8">
      <c r="A111" s="591" t="s">
        <v>1455</v>
      </c>
      <c r="B111" s="57" t="s">
        <v>2043</v>
      </c>
      <c r="C111" s="57"/>
      <c r="D111" s="229"/>
      <c r="E111" s="229"/>
      <c r="F111" s="229"/>
      <c r="G111" s="229"/>
      <c r="H111" s="229"/>
      <c r="I111" s="229"/>
      <c r="J111" s="229"/>
      <c r="K111" s="229"/>
      <c r="L111" s="229"/>
      <c r="M111" s="229"/>
      <c r="N111" s="229"/>
      <c r="O111" s="229"/>
      <c r="P111" s="229"/>
      <c r="Q111" s="229"/>
      <c r="R111" s="229">
        <v>-300000</v>
      </c>
      <c r="S111" s="229">
        <v>-300000</v>
      </c>
      <c r="T111" s="229"/>
      <c r="U111" s="229"/>
      <c r="V111" s="229">
        <v>-311679</v>
      </c>
      <c r="W111" s="229">
        <v>-300000</v>
      </c>
      <c r="X111" s="229"/>
      <c r="Y111" s="229"/>
      <c r="Z111" s="229">
        <v>-300000</v>
      </c>
      <c r="AA111" s="229">
        <v>-1600000</v>
      </c>
      <c r="AB111" s="229">
        <v>0</v>
      </c>
      <c r="AC111" s="229">
        <v>0</v>
      </c>
    </row>
    <row r="112" spans="1:29" s="165" customFormat="1" ht="13.8">
      <c r="A112" s="591" t="s">
        <v>1456</v>
      </c>
      <c r="B112" s="57" t="s">
        <v>2045</v>
      </c>
      <c r="C112" s="57"/>
      <c r="D112" s="229"/>
      <c r="E112" s="229"/>
      <c r="F112" s="229"/>
      <c r="G112" s="229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/>
      <c r="T112" s="229"/>
      <c r="U112" s="229"/>
      <c r="V112" s="229"/>
      <c r="W112" s="229"/>
      <c r="X112" s="229"/>
      <c r="Y112" s="229"/>
      <c r="Z112" s="229"/>
      <c r="AA112" s="229"/>
      <c r="AB112" s="229"/>
      <c r="AC112" s="229"/>
    </row>
    <row r="113" spans="1:29" s="165" customFormat="1" ht="13.8">
      <c r="A113" s="591" t="s">
        <v>1457</v>
      </c>
      <c r="B113" s="57" t="s">
        <v>2044</v>
      </c>
      <c r="C113" s="57"/>
      <c r="D113" s="229"/>
      <c r="E113" s="229"/>
      <c r="F113" s="229"/>
      <c r="G113" s="229"/>
      <c r="H113" s="229">
        <v>-3869</v>
      </c>
      <c r="I113" s="229">
        <v>-8809</v>
      </c>
      <c r="J113" s="229">
        <v>-13786</v>
      </c>
      <c r="K113" s="229">
        <v>-18763</v>
      </c>
      <c r="L113" s="229">
        <v>-5761</v>
      </c>
      <c r="M113" s="229"/>
      <c r="N113" s="229">
        <v>-16955</v>
      </c>
      <c r="O113" s="229">
        <v>-22537</v>
      </c>
      <c r="P113" s="229">
        <v>-3567</v>
      </c>
      <c r="Q113" s="229">
        <v>-5237</v>
      </c>
      <c r="R113" s="229">
        <v>-2678</v>
      </c>
      <c r="S113" s="229">
        <v>-3050</v>
      </c>
      <c r="T113" s="229">
        <v>-580</v>
      </c>
      <c r="U113" s="229">
        <v>-1131</v>
      </c>
      <c r="V113" s="229">
        <v>-1003</v>
      </c>
      <c r="W113" s="229">
        <v>-1283</v>
      </c>
      <c r="X113" s="229">
        <v>-290</v>
      </c>
      <c r="Y113" s="229">
        <v>-598</v>
      </c>
      <c r="Z113" s="229">
        <v>-958</v>
      </c>
      <c r="AA113" s="229">
        <v>-1367</v>
      </c>
      <c r="AB113" s="229">
        <v>-355</v>
      </c>
      <c r="AC113" s="229">
        <v>-716</v>
      </c>
    </row>
    <row r="114" spans="1:29" s="165" customFormat="1" ht="13.8">
      <c r="A114" s="591" t="s">
        <v>1458</v>
      </c>
      <c r="B114" s="57" t="s">
        <v>2045</v>
      </c>
      <c r="C114" s="57"/>
      <c r="D114" s="229"/>
      <c r="E114" s="229"/>
      <c r="F114" s="229"/>
      <c r="G114" s="229"/>
      <c r="H114" s="229"/>
      <c r="I114" s="229"/>
      <c r="J114" s="229"/>
      <c r="K114" s="229"/>
      <c r="L114" s="229"/>
      <c r="M114" s="229"/>
      <c r="N114" s="229"/>
      <c r="O114" s="229"/>
      <c r="P114" s="229"/>
      <c r="Q114" s="229"/>
      <c r="R114" s="229"/>
      <c r="S114" s="229"/>
      <c r="T114" s="229"/>
      <c r="U114" s="229"/>
      <c r="V114" s="229"/>
      <c r="W114" s="229"/>
      <c r="X114" s="229"/>
      <c r="Y114" s="229"/>
      <c r="Z114" s="229"/>
      <c r="AA114" s="229"/>
      <c r="AB114" s="229"/>
      <c r="AC114" s="229"/>
    </row>
    <row r="115" spans="1:29" s="165" customFormat="1" ht="13.8">
      <c r="A115" s="591" t="s">
        <v>1459</v>
      </c>
      <c r="B115" s="57" t="s">
        <v>2046</v>
      </c>
      <c r="C115" s="57"/>
      <c r="D115" s="229"/>
      <c r="E115" s="229"/>
      <c r="F115" s="229"/>
      <c r="G115" s="229"/>
      <c r="H115" s="229"/>
      <c r="I115" s="229"/>
      <c r="J115" s="229"/>
      <c r="K115" s="229"/>
      <c r="L115" s="229"/>
      <c r="M115" s="229"/>
      <c r="N115" s="229"/>
      <c r="O115" s="229"/>
      <c r="P115" s="229"/>
      <c r="Q115" s="229"/>
      <c r="R115" s="229"/>
      <c r="S115" s="229"/>
      <c r="T115" s="229"/>
      <c r="U115" s="229"/>
      <c r="V115" s="229"/>
      <c r="W115" s="229"/>
      <c r="X115" s="229"/>
      <c r="Y115" s="229"/>
      <c r="Z115" s="229"/>
      <c r="AA115" s="229"/>
      <c r="AB115" s="229"/>
      <c r="AC115" s="229"/>
    </row>
    <row r="116" spans="1:29" s="165" customFormat="1" ht="13.8">
      <c r="A116" s="591" t="s">
        <v>1460</v>
      </c>
      <c r="B116" s="57" t="s">
        <v>2047</v>
      </c>
      <c r="C116" s="57"/>
      <c r="D116" s="229"/>
      <c r="E116" s="229"/>
      <c r="F116" s="229"/>
      <c r="G116" s="229"/>
      <c r="H116" s="229"/>
      <c r="I116" s="229"/>
      <c r="J116" s="229"/>
      <c r="K116" s="229"/>
      <c r="L116" s="229"/>
      <c r="M116" s="229"/>
      <c r="N116" s="229"/>
      <c r="O116" s="229"/>
      <c r="P116" s="229"/>
      <c r="Q116" s="229"/>
      <c r="R116" s="229"/>
      <c r="S116" s="229"/>
      <c r="T116" s="229"/>
      <c r="U116" s="229"/>
      <c r="V116" s="229"/>
      <c r="W116" s="229"/>
      <c r="X116" s="229"/>
      <c r="Y116" s="229"/>
      <c r="Z116" s="229"/>
      <c r="AA116" s="229"/>
      <c r="AB116" s="229"/>
      <c r="AC116" s="229"/>
    </row>
    <row r="117" spans="1:29" s="165" customFormat="1" ht="13.8">
      <c r="A117" s="599" t="s">
        <v>1461</v>
      </c>
      <c r="B117" s="57" t="s">
        <v>2048</v>
      </c>
      <c r="C117" s="57"/>
      <c r="D117" s="229"/>
      <c r="E117" s="229"/>
      <c r="F117" s="229"/>
      <c r="G117" s="229"/>
      <c r="H117" s="229"/>
      <c r="I117" s="229"/>
      <c r="J117" s="229"/>
      <c r="K117" s="229"/>
      <c r="L117" s="229"/>
      <c r="M117" s="229"/>
      <c r="N117" s="229"/>
      <c r="O117" s="229"/>
      <c r="P117" s="229"/>
      <c r="Q117" s="229"/>
      <c r="R117" s="229"/>
      <c r="S117" s="229"/>
      <c r="T117" s="229"/>
      <c r="U117" s="229"/>
      <c r="V117" s="229"/>
      <c r="W117" s="229"/>
      <c r="X117" s="229"/>
      <c r="Y117" s="229"/>
      <c r="Z117" s="229"/>
      <c r="AA117" s="229"/>
      <c r="AB117" s="229"/>
      <c r="AC117" s="229"/>
    </row>
    <row r="118" spans="1:29" s="165" customFormat="1" ht="13.8">
      <c r="A118" s="591" t="s">
        <v>1462</v>
      </c>
      <c r="B118" s="57" t="s">
        <v>2049</v>
      </c>
      <c r="C118" s="57"/>
      <c r="D118" s="229"/>
      <c r="E118" s="229"/>
      <c r="F118" s="229"/>
      <c r="G118" s="229"/>
      <c r="H118" s="229"/>
      <c r="I118" s="57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29"/>
      <c r="U118" s="229"/>
      <c r="V118" s="229"/>
      <c r="W118" s="229"/>
      <c r="X118" s="229"/>
      <c r="Y118" s="229"/>
      <c r="Z118" s="229"/>
      <c r="AA118" s="229"/>
      <c r="AB118" s="229"/>
      <c r="AC118" s="229"/>
    </row>
    <row r="119" spans="1:29" s="165" customFormat="1" ht="13.8">
      <c r="A119" s="591" t="s">
        <v>1463</v>
      </c>
      <c r="B119" s="57" t="s">
        <v>2050</v>
      </c>
      <c r="C119" s="57"/>
      <c r="D119" s="229"/>
      <c r="E119" s="229"/>
      <c r="F119" s="229"/>
      <c r="G119" s="229"/>
      <c r="H119" s="229"/>
      <c r="I119" s="229"/>
      <c r="J119" s="229"/>
      <c r="K119" s="229"/>
      <c r="L119" s="229"/>
      <c r="M119" s="229"/>
      <c r="N119" s="229"/>
      <c r="O119" s="229"/>
      <c r="P119" s="229"/>
      <c r="Q119" s="229"/>
      <c r="R119" s="229"/>
      <c r="S119" s="229"/>
      <c r="T119" s="229"/>
      <c r="U119" s="229"/>
      <c r="V119" s="229"/>
      <c r="W119" s="229"/>
      <c r="X119" s="229"/>
      <c r="Y119" s="229"/>
      <c r="Z119" s="229"/>
      <c r="AA119" s="229"/>
      <c r="AB119" s="229"/>
      <c r="AC119" s="229"/>
    </row>
    <row r="120" spans="1:29" s="165" customFormat="1" ht="13.8">
      <c r="A120" s="591" t="s">
        <v>1464</v>
      </c>
      <c r="B120" s="57" t="s">
        <v>2051</v>
      </c>
      <c r="C120" s="57"/>
      <c r="D120" s="229"/>
      <c r="E120" s="229"/>
      <c r="F120" s="229"/>
      <c r="G120" s="229"/>
      <c r="H120" s="229"/>
      <c r="I120" s="229"/>
      <c r="J120" s="229"/>
      <c r="K120" s="229"/>
      <c r="L120" s="229"/>
      <c r="M120" s="229"/>
      <c r="N120" s="229"/>
      <c r="O120" s="229"/>
      <c r="P120" s="229"/>
      <c r="Q120" s="229"/>
      <c r="R120" s="229"/>
      <c r="S120" s="229"/>
      <c r="T120" s="229"/>
      <c r="U120" s="229"/>
      <c r="V120" s="229"/>
      <c r="W120" s="229"/>
      <c r="X120" s="229"/>
      <c r="Y120" s="229"/>
      <c r="Z120" s="229"/>
      <c r="AA120" s="229"/>
      <c r="AB120" s="229"/>
      <c r="AC120" s="229"/>
    </row>
    <row r="121" spans="1:29" s="165" customFormat="1" ht="13.8">
      <c r="A121" s="591" t="s">
        <v>1465</v>
      </c>
      <c r="B121" s="57" t="s">
        <v>2052</v>
      </c>
      <c r="C121" s="57"/>
      <c r="D121" s="229"/>
      <c r="E121" s="229"/>
      <c r="F121" s="229"/>
      <c r="G121" s="229"/>
      <c r="H121" s="229"/>
      <c r="I121" s="229"/>
      <c r="J121" s="229"/>
      <c r="K121" s="229"/>
      <c r="L121" s="229"/>
      <c r="M121" s="229"/>
      <c r="N121" s="229"/>
      <c r="O121" s="229"/>
      <c r="P121" s="229"/>
      <c r="Q121" s="229"/>
      <c r="R121" s="229"/>
      <c r="S121" s="229"/>
      <c r="T121" s="229"/>
      <c r="U121" s="229"/>
      <c r="V121" s="229"/>
      <c r="W121" s="229"/>
      <c r="X121" s="229"/>
      <c r="Y121" s="229"/>
      <c r="Z121" s="229"/>
      <c r="AA121" s="229"/>
      <c r="AB121" s="229"/>
      <c r="AC121" s="229"/>
    </row>
    <row r="122" spans="1:29" s="578" customFormat="1" thickBot="1">
      <c r="A122" s="596" t="s">
        <v>1466</v>
      </c>
      <c r="B122" s="596"/>
      <c r="C122" s="596"/>
      <c r="D122" s="597">
        <f t="shared" ref="D122:Y122" si="12">SUM(D108:D120)</f>
        <v>0</v>
      </c>
      <c r="E122" s="597">
        <f t="shared" si="12"/>
        <v>0</v>
      </c>
      <c r="F122" s="597">
        <f t="shared" si="12"/>
        <v>0</v>
      </c>
      <c r="G122" s="597">
        <f t="shared" si="12"/>
        <v>0</v>
      </c>
      <c r="H122" s="597">
        <f t="shared" si="12"/>
        <v>-104328</v>
      </c>
      <c r="I122" s="597">
        <f>SUM(I107:I120)</f>
        <v>-129899</v>
      </c>
      <c r="J122" s="597">
        <f t="shared" si="12"/>
        <v>1763300</v>
      </c>
      <c r="K122" s="597">
        <f t="shared" si="12"/>
        <v>1740058</v>
      </c>
      <c r="L122" s="597">
        <f t="shared" si="12"/>
        <v>-342600</v>
      </c>
      <c r="M122" s="597">
        <f t="shared" si="12"/>
        <v>-365395</v>
      </c>
      <c r="N122" s="597">
        <f t="shared" si="12"/>
        <v>-522854</v>
      </c>
      <c r="O122" s="597">
        <f t="shared" si="12"/>
        <v>121564</v>
      </c>
      <c r="P122" s="597">
        <f t="shared" si="12"/>
        <v>-3567</v>
      </c>
      <c r="Q122" s="597">
        <f t="shared" si="12"/>
        <v>578563</v>
      </c>
      <c r="R122" s="597">
        <f t="shared" si="12"/>
        <v>663660</v>
      </c>
      <c r="S122" s="597">
        <f t="shared" si="12"/>
        <v>1159609</v>
      </c>
      <c r="T122" s="597">
        <f t="shared" si="12"/>
        <v>-4482</v>
      </c>
      <c r="U122" s="597">
        <f t="shared" si="12"/>
        <v>231289</v>
      </c>
      <c r="V122" s="597">
        <f t="shared" si="12"/>
        <v>162216</v>
      </c>
      <c r="W122" s="597">
        <f t="shared" si="12"/>
        <v>956425</v>
      </c>
      <c r="X122" s="597">
        <f t="shared" si="12"/>
        <v>-4377</v>
      </c>
      <c r="Y122" s="597">
        <f t="shared" si="12"/>
        <v>691141</v>
      </c>
      <c r="Z122" s="597">
        <f t="shared" ref="Z122" si="13">SUM(Z108:Z120)</f>
        <v>1190407</v>
      </c>
      <c r="AA122" s="597">
        <f t="shared" ref="AA122:AC122" si="14">SUM(AA108:AA120)</f>
        <v>2376085</v>
      </c>
      <c r="AB122" s="597">
        <f t="shared" si="14"/>
        <v>-10651</v>
      </c>
      <c r="AC122" s="597">
        <f t="shared" si="14"/>
        <v>1161942</v>
      </c>
    </row>
    <row r="123" spans="1:29" s="165" customFormat="1" ht="13.8">
      <c r="A123" s="57"/>
      <c r="B123" s="57"/>
      <c r="C123" s="57"/>
      <c r="D123" s="229"/>
      <c r="E123" s="229"/>
      <c r="F123" s="229"/>
      <c r="G123" s="229"/>
      <c r="H123" s="229"/>
      <c r="I123" s="229"/>
      <c r="J123" s="229"/>
      <c r="K123" s="229"/>
      <c r="L123" s="229"/>
      <c r="M123" s="229"/>
      <c r="N123" s="229"/>
      <c r="O123" s="229"/>
      <c r="P123" s="229"/>
      <c r="Q123" s="229"/>
      <c r="R123" s="229"/>
      <c r="S123" s="229"/>
      <c r="T123" s="229"/>
      <c r="U123" s="229"/>
      <c r="V123" s="229"/>
      <c r="W123" s="229"/>
      <c r="X123" s="229"/>
      <c r="Y123" s="229"/>
      <c r="Z123" s="229"/>
      <c r="AA123" s="229"/>
      <c r="AB123" s="229"/>
      <c r="AC123" s="229"/>
    </row>
    <row r="124" spans="1:29" s="578" customFormat="1" ht="13.8">
      <c r="A124" s="592" t="s">
        <v>1467</v>
      </c>
      <c r="B124" s="592" t="s">
        <v>2053</v>
      </c>
      <c r="C124" s="592"/>
      <c r="D124" s="593">
        <f t="shared" ref="D124:Y124" si="15">+D86+D105+D122</f>
        <v>0</v>
      </c>
      <c r="E124" s="593">
        <f t="shared" si="15"/>
        <v>0</v>
      </c>
      <c r="F124" s="593">
        <f t="shared" si="15"/>
        <v>0</v>
      </c>
      <c r="G124" s="593">
        <f t="shared" si="15"/>
        <v>0</v>
      </c>
      <c r="H124" s="593">
        <f t="shared" si="15"/>
        <v>8763</v>
      </c>
      <c r="I124" s="593">
        <f t="shared" si="15"/>
        <v>82798</v>
      </c>
      <c r="J124" s="593">
        <f t="shared" si="15"/>
        <v>85336</v>
      </c>
      <c r="K124" s="593">
        <f t="shared" si="15"/>
        <v>461892</v>
      </c>
      <c r="L124" s="593">
        <f t="shared" si="15"/>
        <v>-334718</v>
      </c>
      <c r="M124" s="593">
        <f t="shared" si="15"/>
        <v>-267428</v>
      </c>
      <c r="N124" s="593">
        <f t="shared" si="15"/>
        <v>-193845.99999999994</v>
      </c>
      <c r="O124" s="593">
        <f t="shared" si="15"/>
        <v>-101633</v>
      </c>
      <c r="P124" s="593">
        <f t="shared" si="15"/>
        <v>3436</v>
      </c>
      <c r="Q124" s="593">
        <f t="shared" si="15"/>
        <v>560321</v>
      </c>
      <c r="R124" s="593">
        <f t="shared" si="15"/>
        <v>460164</v>
      </c>
      <c r="S124" s="593">
        <f t="shared" si="15"/>
        <v>49877</v>
      </c>
      <c r="T124" s="593">
        <f t="shared" si="15"/>
        <v>47351</v>
      </c>
      <c r="U124" s="593">
        <f t="shared" si="15"/>
        <v>14327</v>
      </c>
      <c r="V124" s="593">
        <f t="shared" si="15"/>
        <v>-171769</v>
      </c>
      <c r="W124" s="593">
        <f>+W86+W105+W122</f>
        <v>-381056</v>
      </c>
      <c r="X124" s="593">
        <f t="shared" si="15"/>
        <v>-16881</v>
      </c>
      <c r="Y124" s="593">
        <f t="shared" si="15"/>
        <v>135411</v>
      </c>
      <c r="Z124" s="593">
        <f t="shared" ref="Z124:AC124" si="16">+Z86+Z105+Z122</f>
        <v>343920</v>
      </c>
      <c r="AA124" s="593">
        <f t="shared" si="16"/>
        <v>382136</v>
      </c>
      <c r="AB124" s="593">
        <f t="shared" si="16"/>
        <v>434705</v>
      </c>
      <c r="AC124" s="593">
        <f t="shared" si="16"/>
        <v>867501</v>
      </c>
    </row>
    <row r="125" spans="1:29" s="165" customFormat="1" ht="13.8">
      <c r="A125" s="57"/>
      <c r="B125" s="57"/>
      <c r="C125" s="57"/>
      <c r="D125" s="229"/>
      <c r="E125" s="229"/>
      <c r="F125" s="229"/>
      <c r="G125" s="229"/>
      <c r="H125" s="229"/>
      <c r="I125" s="229"/>
      <c r="J125" s="229"/>
      <c r="K125" s="229"/>
      <c r="L125" s="229"/>
      <c r="M125" s="229"/>
      <c r="N125" s="229"/>
      <c r="O125" s="229"/>
      <c r="P125" s="229"/>
      <c r="Q125" s="229"/>
      <c r="R125" s="229"/>
      <c r="S125" s="229"/>
      <c r="T125" s="229"/>
      <c r="U125" s="229"/>
      <c r="V125" s="229"/>
      <c r="W125" s="229"/>
      <c r="X125" s="229"/>
      <c r="Y125" s="229"/>
      <c r="Z125" s="229"/>
      <c r="AA125" s="229"/>
      <c r="AB125" s="229"/>
      <c r="AC125" s="229"/>
    </row>
    <row r="126" spans="1:29" s="165" customFormat="1" ht="13.8">
      <c r="A126" s="600" t="s">
        <v>1468</v>
      </c>
      <c r="B126" s="57" t="s">
        <v>2054</v>
      </c>
      <c r="C126" s="57"/>
      <c r="D126" s="229"/>
      <c r="E126" s="229"/>
      <c r="F126" s="229"/>
      <c r="G126" s="229"/>
      <c r="H126" s="229">
        <v>54849</v>
      </c>
      <c r="I126" s="229">
        <v>54849</v>
      </c>
      <c r="J126" s="229">
        <v>54849</v>
      </c>
      <c r="K126" s="229">
        <v>54849</v>
      </c>
      <c r="L126" s="229">
        <v>516741</v>
      </c>
      <c r="M126" s="229">
        <v>516741</v>
      </c>
      <c r="N126" s="229">
        <v>516741</v>
      </c>
      <c r="O126" s="229">
        <v>516741</v>
      </c>
      <c r="P126" s="229">
        <v>415108</v>
      </c>
      <c r="Q126" s="229">
        <v>415108</v>
      </c>
      <c r="R126" s="229">
        <v>415108</v>
      </c>
      <c r="S126" s="229">
        <v>415108</v>
      </c>
      <c r="T126" s="229">
        <v>464985</v>
      </c>
      <c r="U126" s="229">
        <v>464985</v>
      </c>
      <c r="V126" s="229">
        <v>464985</v>
      </c>
      <c r="W126" s="229">
        <v>464985</v>
      </c>
      <c r="X126" s="229">
        <v>83929</v>
      </c>
      <c r="Y126" s="229">
        <v>83929</v>
      </c>
      <c r="Z126" s="229">
        <v>83929</v>
      </c>
      <c r="AA126" s="229">
        <v>83929</v>
      </c>
      <c r="AB126" s="229">
        <v>466065</v>
      </c>
      <c r="AC126" s="229">
        <v>466065</v>
      </c>
    </row>
    <row r="127" spans="1:29" s="165" customFormat="1" ht="13.8">
      <c r="A127" s="600" t="s">
        <v>1469</v>
      </c>
      <c r="B127" s="57" t="s">
        <v>2055</v>
      </c>
      <c r="C127" s="57"/>
      <c r="D127" s="229"/>
      <c r="E127" s="229"/>
      <c r="F127" s="229"/>
      <c r="G127" s="229"/>
      <c r="H127" s="229">
        <v>63612</v>
      </c>
      <c r="I127" s="229">
        <v>137647</v>
      </c>
      <c r="J127" s="229">
        <v>140185</v>
      </c>
      <c r="K127" s="229">
        <v>516741</v>
      </c>
      <c r="L127" s="229">
        <v>182023</v>
      </c>
      <c r="M127" s="229">
        <v>249313</v>
      </c>
      <c r="N127" s="229">
        <v>322895</v>
      </c>
      <c r="O127" s="229">
        <v>415108</v>
      </c>
      <c r="P127" s="229">
        <v>418544</v>
      </c>
      <c r="Q127" s="229">
        <v>975429</v>
      </c>
      <c r="R127" s="229">
        <v>875272</v>
      </c>
      <c r="S127" s="229">
        <v>464985</v>
      </c>
      <c r="T127" s="229">
        <v>512336</v>
      </c>
      <c r="U127" s="229">
        <v>479312</v>
      </c>
      <c r="V127" s="229">
        <v>293216</v>
      </c>
      <c r="W127" s="229">
        <v>83929</v>
      </c>
      <c r="X127" s="229">
        <v>67048</v>
      </c>
      <c r="Y127" s="229">
        <v>219340</v>
      </c>
      <c r="Z127" s="229">
        <v>427849</v>
      </c>
      <c r="AA127" s="229">
        <v>466065</v>
      </c>
      <c r="AB127" s="229">
        <v>900770</v>
      </c>
      <c r="AC127" s="229">
        <v>1333566</v>
      </c>
    </row>
    <row r="129" spans="1:29" s="578" customFormat="1" thickBot="1">
      <c r="A129" s="596" t="s">
        <v>1467</v>
      </c>
      <c r="B129" s="596" t="s">
        <v>2053</v>
      </c>
      <c r="C129" s="596"/>
      <c r="D129" s="597">
        <f t="shared" ref="D129:Y129" si="17">+D127-D126</f>
        <v>0</v>
      </c>
      <c r="E129" s="597">
        <f t="shared" si="17"/>
        <v>0</v>
      </c>
      <c r="F129" s="597">
        <f t="shared" si="17"/>
        <v>0</v>
      </c>
      <c r="G129" s="597">
        <f t="shared" si="17"/>
        <v>0</v>
      </c>
      <c r="H129" s="597">
        <f t="shared" si="17"/>
        <v>8763</v>
      </c>
      <c r="I129" s="597">
        <f t="shared" si="17"/>
        <v>82798</v>
      </c>
      <c r="J129" s="597">
        <f t="shared" si="17"/>
        <v>85336</v>
      </c>
      <c r="K129" s="597">
        <f t="shared" si="17"/>
        <v>461892</v>
      </c>
      <c r="L129" s="597">
        <f t="shared" si="17"/>
        <v>-334718</v>
      </c>
      <c r="M129" s="597">
        <f t="shared" si="17"/>
        <v>-267428</v>
      </c>
      <c r="N129" s="597">
        <f t="shared" si="17"/>
        <v>-193846</v>
      </c>
      <c r="O129" s="597">
        <f t="shared" si="17"/>
        <v>-101633</v>
      </c>
      <c r="P129" s="597">
        <f t="shared" si="17"/>
        <v>3436</v>
      </c>
      <c r="Q129" s="597">
        <f t="shared" si="17"/>
        <v>560321</v>
      </c>
      <c r="R129" s="597">
        <f t="shared" si="17"/>
        <v>460164</v>
      </c>
      <c r="S129" s="597">
        <f t="shared" si="17"/>
        <v>49877</v>
      </c>
      <c r="T129" s="597">
        <f t="shared" si="17"/>
        <v>47351</v>
      </c>
      <c r="U129" s="597">
        <f t="shared" si="17"/>
        <v>14327</v>
      </c>
      <c r="V129" s="597">
        <f t="shared" si="17"/>
        <v>-171769</v>
      </c>
      <c r="W129" s="597">
        <f t="shared" si="17"/>
        <v>-381056</v>
      </c>
      <c r="X129" s="597">
        <f t="shared" si="17"/>
        <v>-16881</v>
      </c>
      <c r="Y129" s="597">
        <f t="shared" si="17"/>
        <v>135411</v>
      </c>
      <c r="Z129" s="597">
        <f t="shared" ref="Z129:AC129" si="18">+Z127-Z126</f>
        <v>343920</v>
      </c>
      <c r="AA129" s="597">
        <f t="shared" si="18"/>
        <v>382136</v>
      </c>
      <c r="AB129" s="597">
        <f t="shared" si="18"/>
        <v>434705</v>
      </c>
      <c r="AC129" s="597">
        <f t="shared" si="18"/>
        <v>867501</v>
      </c>
    </row>
  </sheetData>
  <phoneticPr fontId="30" type="noConversion"/>
  <hyperlinks>
    <hyperlink ref="B121" r:id="rId1" display="https://www.lawinsider.com/clause/advance-for-future-capital-increase-afac" xr:uid="{00000000-0004-0000-4B00-000000000000}"/>
  </hyperlinks>
  <pageMargins left="0.511811024" right="0.511811024" top="0.78740157499999996" bottom="0.78740157499999996" header="0.31496062000000002" footer="0.31496062000000002"/>
  <drawing r:id="rId2"/>
  <legacyDrawing r:id="rId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tabColor theme="9" tint="0.79998168889431442"/>
  </sheetPr>
  <dimension ref="A6:AC128"/>
  <sheetViews>
    <sheetView showGridLines="0" zoomScale="55" zoomScaleNormal="55" workbookViewId="0">
      <pane xSplit="1" ySplit="7" topLeftCell="Y8" activePane="bottomRight" state="frozen"/>
      <selection pane="topRight" activeCell="B1" sqref="B1"/>
      <selection pane="bottomLeft" activeCell="A8" sqref="A8"/>
      <selection pane="bottomRight" activeCell="AD128" sqref="AD128"/>
    </sheetView>
  </sheetViews>
  <sheetFormatPr defaultColWidth="9.21875" defaultRowHeight="14.4" outlineLevelCol="1"/>
  <cols>
    <col min="1" max="1" width="70.77734375" style="35" bestFit="1" customWidth="1"/>
    <col min="2" max="2" width="75.88671875" style="35" bestFit="1" customWidth="1"/>
    <col min="3" max="3" width="0.5546875" style="35" customWidth="1"/>
    <col min="4" max="5" width="10.5546875" style="35" hidden="1" customWidth="1" outlineLevel="1"/>
    <col min="6" max="7" width="11.44140625" style="35" hidden="1" customWidth="1" outlineLevel="1"/>
    <col min="8" max="8" width="11.44140625" style="35" customWidth="1" collapsed="1"/>
    <col min="9" max="10" width="11.44140625" style="35" customWidth="1"/>
    <col min="11" max="29" width="11.44140625" style="35" bestFit="1" customWidth="1"/>
    <col min="30" max="16384" width="9.21875" style="35"/>
  </cols>
  <sheetData>
    <row r="6" spans="1:29">
      <c r="A6" s="38" t="s">
        <v>1480</v>
      </c>
      <c r="B6" s="38" t="s">
        <v>1480</v>
      </c>
      <c r="C6" s="348"/>
      <c r="D6" s="399"/>
      <c r="E6" s="399"/>
      <c r="F6" s="399"/>
      <c r="G6" s="399"/>
      <c r="H6" s="399"/>
      <c r="I6" s="399"/>
      <c r="J6" s="399"/>
      <c r="K6" s="601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399"/>
    </row>
    <row r="7" spans="1:29">
      <c r="A7" s="441" t="s">
        <v>1365</v>
      </c>
      <c r="B7" s="441" t="s">
        <v>1366</v>
      </c>
      <c r="C7" s="602"/>
      <c r="D7" s="603" t="s">
        <v>67</v>
      </c>
      <c r="E7" s="603" t="s">
        <v>68</v>
      </c>
      <c r="F7" s="603" t="s">
        <v>69</v>
      </c>
      <c r="G7" s="603" t="s">
        <v>70</v>
      </c>
      <c r="H7" s="603" t="s">
        <v>1367</v>
      </c>
      <c r="I7" s="603" t="s">
        <v>1368</v>
      </c>
      <c r="J7" s="603" t="s">
        <v>1369</v>
      </c>
      <c r="K7" s="604" t="s">
        <v>1370</v>
      </c>
      <c r="L7" s="603" t="s">
        <v>584</v>
      </c>
      <c r="M7" s="603" t="s">
        <v>585</v>
      </c>
      <c r="N7" s="603" t="s">
        <v>586</v>
      </c>
      <c r="O7" s="604" t="s">
        <v>1371</v>
      </c>
      <c r="P7" s="603" t="s">
        <v>587</v>
      </c>
      <c r="Q7" s="603" t="s">
        <v>588</v>
      </c>
      <c r="R7" s="603" t="s">
        <v>589</v>
      </c>
      <c r="S7" s="604" t="s">
        <v>1372</v>
      </c>
      <c r="T7" s="603" t="s">
        <v>590</v>
      </c>
      <c r="U7" s="603" t="s">
        <v>591</v>
      </c>
      <c r="V7" s="603" t="s">
        <v>592</v>
      </c>
      <c r="W7" s="604" t="s">
        <v>1373</v>
      </c>
      <c r="X7" s="603" t="s">
        <v>593</v>
      </c>
      <c r="Y7" s="603" t="s">
        <v>594</v>
      </c>
      <c r="Z7" s="603" t="s">
        <v>595</v>
      </c>
      <c r="AA7" s="604" t="s">
        <v>2151</v>
      </c>
      <c r="AB7" s="604" t="s">
        <v>2488</v>
      </c>
      <c r="AC7" s="604" t="s">
        <v>2497</v>
      </c>
    </row>
    <row r="8" spans="1:29" s="165" customFormat="1" ht="13.8">
      <c r="A8" s="134" t="s">
        <v>1374</v>
      </c>
      <c r="B8" s="134" t="s">
        <v>2034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229"/>
      <c r="U8" s="57"/>
      <c r="V8" s="57"/>
      <c r="W8" s="57"/>
      <c r="X8" s="57"/>
      <c r="Y8" s="57"/>
      <c r="Z8" s="57"/>
      <c r="AA8" s="57"/>
      <c r="AB8" s="57"/>
      <c r="AC8" s="57"/>
    </row>
    <row r="9" spans="1:29" s="578" customFormat="1" ht="13.8">
      <c r="A9" s="588" t="s">
        <v>776</v>
      </c>
      <c r="B9" s="589" t="s">
        <v>1375</v>
      </c>
      <c r="C9" s="589"/>
      <c r="D9" s="589"/>
      <c r="E9" s="589"/>
      <c r="F9" s="589"/>
      <c r="G9" s="589"/>
      <c r="H9" s="590"/>
      <c r="I9" s="590"/>
      <c r="J9" s="590"/>
      <c r="K9" s="590">
        <v>129559</v>
      </c>
      <c r="L9" s="590">
        <v>128193</v>
      </c>
      <c r="M9" s="590">
        <v>218315</v>
      </c>
      <c r="N9" s="590">
        <v>389295</v>
      </c>
      <c r="O9" s="590">
        <v>389069</v>
      </c>
      <c r="P9" s="590">
        <v>-6255</v>
      </c>
      <c r="Q9" s="590">
        <v>-17010</v>
      </c>
      <c r="R9" s="590">
        <v>-9676</v>
      </c>
      <c r="S9" s="590">
        <v>76982</v>
      </c>
      <c r="T9" s="590">
        <v>-21751</v>
      </c>
      <c r="U9" s="590">
        <v>74491</v>
      </c>
      <c r="V9" s="590">
        <v>121741</v>
      </c>
      <c r="W9" s="590">
        <v>200979</v>
      </c>
      <c r="X9" s="590">
        <v>7683</v>
      </c>
      <c r="Y9" s="590">
        <v>19630</v>
      </c>
      <c r="Z9" s="590">
        <v>-11479</v>
      </c>
      <c r="AA9" s="590">
        <v>-12036</v>
      </c>
      <c r="AB9" s="590">
        <v>-4797</v>
      </c>
      <c r="AC9" s="590">
        <v>-10421</v>
      </c>
    </row>
    <row r="10" spans="1:29" s="165" customFormat="1" ht="13.8">
      <c r="A10" s="104" t="s">
        <v>1376</v>
      </c>
      <c r="B10" s="57" t="s">
        <v>1377</v>
      </c>
      <c r="C10" s="57"/>
      <c r="D10" s="57"/>
      <c r="E10" s="57"/>
      <c r="F10" s="57"/>
      <c r="G10" s="57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590"/>
    </row>
    <row r="11" spans="1:29" s="165" customFormat="1" ht="13.8">
      <c r="A11" s="591" t="s">
        <v>1378</v>
      </c>
      <c r="B11" s="57" t="s">
        <v>1379</v>
      </c>
      <c r="C11" s="57"/>
      <c r="D11" s="57"/>
      <c r="E11" s="57"/>
      <c r="F11" s="57"/>
      <c r="G11" s="57"/>
      <c r="H11" s="229"/>
      <c r="I11" s="229"/>
      <c r="J11" s="229"/>
      <c r="K11" s="229">
        <v>26783</v>
      </c>
      <c r="L11" s="229">
        <v>4792</v>
      </c>
      <c r="M11" s="229">
        <v>9666</v>
      </c>
      <c r="N11" s="229">
        <v>14747</v>
      </c>
      <c r="O11" s="229">
        <v>23707</v>
      </c>
      <c r="P11" s="229">
        <v>5718</v>
      </c>
      <c r="Q11" s="229">
        <v>16251</v>
      </c>
      <c r="R11" s="229">
        <v>25489</v>
      </c>
      <c r="S11" s="229">
        <v>33454</v>
      </c>
      <c r="T11" s="229">
        <v>10132</v>
      </c>
      <c r="U11" s="229">
        <v>8247</v>
      </c>
      <c r="V11" s="229">
        <v>19770</v>
      </c>
      <c r="W11" s="229">
        <v>33820</v>
      </c>
      <c r="X11" s="229">
        <v>15073</v>
      </c>
      <c r="Y11" s="229">
        <v>30767</v>
      </c>
      <c r="Z11" s="229">
        <v>50441</v>
      </c>
      <c r="AA11" s="229">
        <v>71339</v>
      </c>
      <c r="AB11" s="229">
        <v>21064</v>
      </c>
      <c r="AC11" s="229">
        <v>54120</v>
      </c>
    </row>
    <row r="12" spans="1:29" s="165" customFormat="1" ht="13.8">
      <c r="A12" s="591" t="s">
        <v>710</v>
      </c>
      <c r="B12" s="57" t="s">
        <v>1380</v>
      </c>
      <c r="C12" s="57"/>
      <c r="D12" s="57"/>
      <c r="E12" s="57"/>
      <c r="F12" s="57"/>
      <c r="G12" s="57"/>
      <c r="H12" s="229"/>
      <c r="I12" s="229"/>
      <c r="J12" s="229"/>
      <c r="K12" s="229">
        <v>0</v>
      </c>
      <c r="L12" s="229">
        <v>0</v>
      </c>
      <c r="M12" s="229">
        <v>0</v>
      </c>
      <c r="N12" s="229">
        <v>0</v>
      </c>
      <c r="O12" s="229">
        <v>0</v>
      </c>
      <c r="P12" s="229">
        <v>0</v>
      </c>
      <c r="Q12" s="229">
        <v>0</v>
      </c>
      <c r="R12" s="229">
        <v>0</v>
      </c>
      <c r="S12" s="229">
        <v>0</v>
      </c>
      <c r="T12" s="229">
        <v>0</v>
      </c>
      <c r="U12" s="229">
        <v>0</v>
      </c>
      <c r="V12" s="229">
        <v>0</v>
      </c>
      <c r="W12" s="229">
        <v>0</v>
      </c>
      <c r="X12" s="229">
        <v>0</v>
      </c>
      <c r="Y12" s="229">
        <v>0</v>
      </c>
      <c r="Z12" s="229">
        <v>0</v>
      </c>
      <c r="AA12" s="229">
        <v>0</v>
      </c>
      <c r="AB12" s="229">
        <v>0</v>
      </c>
      <c r="AC12" s="229">
        <v>0</v>
      </c>
    </row>
    <row r="13" spans="1:29" s="165" customFormat="1" ht="13.8">
      <c r="A13" s="591" t="s">
        <v>1381</v>
      </c>
      <c r="B13" s="57" t="s">
        <v>1983</v>
      </c>
      <c r="C13" s="57"/>
      <c r="D13" s="57"/>
      <c r="E13" s="57"/>
      <c r="F13" s="57"/>
      <c r="G13" s="57"/>
      <c r="H13" s="229"/>
      <c r="I13" s="229"/>
      <c r="J13" s="229"/>
      <c r="K13" s="229">
        <v>0</v>
      </c>
      <c r="L13" s="229">
        <v>0</v>
      </c>
      <c r="M13" s="229">
        <v>0</v>
      </c>
      <c r="N13" s="229">
        <v>0</v>
      </c>
      <c r="O13" s="229">
        <v>0</v>
      </c>
      <c r="P13" s="229">
        <v>0</v>
      </c>
      <c r="Q13" s="229">
        <v>0</v>
      </c>
      <c r="R13" s="229">
        <v>0</v>
      </c>
      <c r="S13" s="229">
        <v>0</v>
      </c>
      <c r="T13" s="229">
        <v>0</v>
      </c>
      <c r="U13" s="229">
        <v>0</v>
      </c>
      <c r="V13" s="229">
        <v>0</v>
      </c>
      <c r="W13" s="229">
        <v>0</v>
      </c>
      <c r="X13" s="229">
        <v>0</v>
      </c>
      <c r="Y13" s="229">
        <v>0</v>
      </c>
      <c r="Z13" s="229">
        <v>0</v>
      </c>
      <c r="AA13" s="229">
        <v>0</v>
      </c>
      <c r="AB13" s="229">
        <v>0</v>
      </c>
      <c r="AC13" s="229">
        <v>0</v>
      </c>
    </row>
    <row r="14" spans="1:29" s="165" customFormat="1" ht="13.8">
      <c r="A14" s="591" t="s">
        <v>1382</v>
      </c>
      <c r="B14" s="57" t="s">
        <v>1383</v>
      </c>
      <c r="C14" s="57"/>
      <c r="D14" s="57"/>
      <c r="E14" s="57"/>
      <c r="F14" s="57"/>
      <c r="G14" s="57"/>
      <c r="H14" s="229"/>
      <c r="I14" s="229"/>
      <c r="J14" s="229"/>
      <c r="K14" s="229">
        <v>0</v>
      </c>
      <c r="L14" s="229">
        <v>0</v>
      </c>
      <c r="M14" s="229">
        <v>0</v>
      </c>
      <c r="N14" s="229">
        <v>529</v>
      </c>
      <c r="O14" s="229">
        <v>890</v>
      </c>
      <c r="P14" s="229">
        <v>0</v>
      </c>
      <c r="Q14" s="229">
        <v>0</v>
      </c>
      <c r="R14" s="229">
        <v>0</v>
      </c>
      <c r="S14" s="229">
        <v>0</v>
      </c>
      <c r="T14" s="229">
        <v>0</v>
      </c>
      <c r="U14" s="229">
        <v>10</v>
      </c>
      <c r="V14" s="229">
        <v>53</v>
      </c>
      <c r="W14" s="229">
        <v>1828</v>
      </c>
      <c r="X14" s="229">
        <v>471</v>
      </c>
      <c r="Y14" s="229">
        <v>4102</v>
      </c>
      <c r="Z14" s="229">
        <v>17008</v>
      </c>
      <c r="AA14" s="229">
        <v>19265</v>
      </c>
      <c r="AB14" s="229">
        <v>2614</v>
      </c>
      <c r="AC14" s="229">
        <v>10594</v>
      </c>
    </row>
    <row r="15" spans="1:29" s="165" customFormat="1" ht="13.8">
      <c r="A15" s="591" t="s">
        <v>1384</v>
      </c>
      <c r="B15" s="57" t="s">
        <v>1982</v>
      </c>
      <c r="C15" s="57"/>
      <c r="D15" s="57"/>
      <c r="E15" s="57"/>
      <c r="F15" s="57"/>
      <c r="G15" s="57"/>
      <c r="H15" s="229"/>
      <c r="I15" s="229"/>
      <c r="J15" s="229"/>
      <c r="K15" s="229">
        <v>-977</v>
      </c>
      <c r="L15" s="229">
        <v>-341</v>
      </c>
      <c r="M15" s="229">
        <v>-558</v>
      </c>
      <c r="N15" s="229">
        <v>-419</v>
      </c>
      <c r="O15" s="229">
        <v>-244</v>
      </c>
      <c r="P15" s="229">
        <v>-530</v>
      </c>
      <c r="Q15" s="229">
        <v>-1064</v>
      </c>
      <c r="R15" s="229">
        <v>-1201</v>
      </c>
      <c r="S15" s="229">
        <v>-849</v>
      </c>
      <c r="T15" s="229">
        <v>-477</v>
      </c>
      <c r="U15" s="229">
        <v>-16882</v>
      </c>
      <c r="V15" s="229">
        <v>-17481</v>
      </c>
      <c r="W15" s="229">
        <v>-18882</v>
      </c>
      <c r="X15" s="229">
        <v>-2686</v>
      </c>
      <c r="Y15" s="229">
        <v>-3863</v>
      </c>
      <c r="Z15" s="229">
        <v>-4456</v>
      </c>
      <c r="AA15" s="229">
        <v>-4698</v>
      </c>
      <c r="AB15" s="229">
        <v>-1047</v>
      </c>
      <c r="AC15" s="229">
        <v>-2759</v>
      </c>
    </row>
    <row r="16" spans="1:29" s="4" customFormat="1" ht="13.8">
      <c r="A16" s="591" t="s">
        <v>1385</v>
      </c>
      <c r="B16" s="57" t="s">
        <v>1386</v>
      </c>
      <c r="C16" s="104"/>
      <c r="D16" s="104"/>
      <c r="E16" s="104"/>
      <c r="F16" s="104"/>
      <c r="G16" s="104"/>
      <c r="H16" s="138"/>
      <c r="I16" s="138"/>
      <c r="J16" s="138"/>
      <c r="K16" s="229">
        <v>0</v>
      </c>
      <c r="L16" s="229">
        <v>0</v>
      </c>
      <c r="M16" s="229">
        <v>0</v>
      </c>
      <c r="N16" s="229">
        <v>0</v>
      </c>
      <c r="O16" s="229">
        <v>0</v>
      </c>
      <c r="P16" s="229">
        <v>0</v>
      </c>
      <c r="Q16" s="229">
        <v>0</v>
      </c>
      <c r="R16" s="229">
        <v>0</v>
      </c>
      <c r="S16" s="229">
        <v>0</v>
      </c>
      <c r="T16" s="229">
        <v>0</v>
      </c>
      <c r="U16" s="229">
        <v>0</v>
      </c>
      <c r="V16" s="229">
        <v>0</v>
      </c>
      <c r="W16" s="229">
        <v>0</v>
      </c>
      <c r="X16" s="229">
        <v>0</v>
      </c>
      <c r="Y16" s="229">
        <v>0</v>
      </c>
      <c r="Z16" s="229">
        <v>0</v>
      </c>
      <c r="AA16" s="229">
        <v>0</v>
      </c>
      <c r="AB16" s="229">
        <v>0</v>
      </c>
      <c r="AC16" s="229">
        <v>0</v>
      </c>
    </row>
    <row r="17" spans="1:29" s="4" customFormat="1" ht="13.8">
      <c r="A17" s="591" t="s">
        <v>1476</v>
      </c>
      <c r="B17" s="57" t="s">
        <v>1388</v>
      </c>
      <c r="C17" s="104"/>
      <c r="D17" s="104"/>
      <c r="E17" s="104"/>
      <c r="F17" s="104"/>
      <c r="G17" s="104"/>
      <c r="H17" s="138"/>
      <c r="I17" s="138"/>
      <c r="J17" s="138"/>
      <c r="K17" s="229">
        <v>0</v>
      </c>
      <c r="L17" s="229">
        <v>0</v>
      </c>
      <c r="M17" s="229">
        <v>0</v>
      </c>
      <c r="N17" s="229">
        <v>0</v>
      </c>
      <c r="O17" s="229">
        <v>0</v>
      </c>
      <c r="P17" s="229">
        <v>0</v>
      </c>
      <c r="Q17" s="229">
        <v>0</v>
      </c>
      <c r="R17" s="229">
        <v>0</v>
      </c>
      <c r="S17" s="229">
        <v>0</v>
      </c>
      <c r="T17" s="229">
        <v>0</v>
      </c>
      <c r="U17" s="229">
        <v>0</v>
      </c>
      <c r="V17" s="229">
        <v>0</v>
      </c>
      <c r="W17" s="229">
        <v>173</v>
      </c>
      <c r="X17" s="229">
        <v>28</v>
      </c>
      <c r="Y17" s="229">
        <v>12</v>
      </c>
      <c r="Z17" s="229">
        <v>0</v>
      </c>
      <c r="AA17" s="229">
        <v>0</v>
      </c>
      <c r="AB17" s="229">
        <v>0</v>
      </c>
      <c r="AC17" s="229">
        <v>0</v>
      </c>
    </row>
    <row r="18" spans="1:29" s="4" customFormat="1" ht="13.8">
      <c r="A18" s="591" t="s">
        <v>1389</v>
      </c>
      <c r="B18" s="57" t="s">
        <v>1390</v>
      </c>
      <c r="C18" s="104"/>
      <c r="D18" s="104"/>
      <c r="E18" s="104"/>
      <c r="F18" s="104"/>
      <c r="G18" s="104"/>
      <c r="H18" s="138"/>
      <c r="I18" s="138"/>
      <c r="J18" s="138"/>
      <c r="K18" s="229">
        <v>0</v>
      </c>
      <c r="L18" s="229">
        <v>0</v>
      </c>
      <c r="M18" s="229">
        <v>0</v>
      </c>
      <c r="N18" s="229">
        <v>0</v>
      </c>
      <c r="O18" s="229">
        <v>0</v>
      </c>
      <c r="P18" s="229">
        <v>0</v>
      </c>
      <c r="Q18" s="229">
        <v>0</v>
      </c>
      <c r="R18" s="229">
        <v>0</v>
      </c>
      <c r="S18" s="229">
        <v>0</v>
      </c>
      <c r="T18" s="229">
        <v>0</v>
      </c>
      <c r="U18" s="229">
        <v>0</v>
      </c>
      <c r="V18" s="229">
        <v>0</v>
      </c>
      <c r="W18" s="229">
        <v>0</v>
      </c>
      <c r="X18" s="229">
        <v>0</v>
      </c>
      <c r="Y18" s="229">
        <v>0</v>
      </c>
      <c r="Z18" s="229">
        <v>0</v>
      </c>
      <c r="AA18" s="229">
        <v>0</v>
      </c>
      <c r="AB18" s="229">
        <v>0</v>
      </c>
      <c r="AC18" s="229">
        <v>0</v>
      </c>
    </row>
    <row r="19" spans="1:29" s="4" customFormat="1" ht="13.8">
      <c r="A19" s="591" t="s">
        <v>610</v>
      </c>
      <c r="B19" s="57" t="s">
        <v>1391</v>
      </c>
      <c r="C19" s="104"/>
      <c r="D19" s="104"/>
      <c r="E19" s="104"/>
      <c r="F19" s="104"/>
      <c r="G19" s="104"/>
      <c r="H19" s="138"/>
      <c r="I19" s="138"/>
      <c r="J19" s="138"/>
      <c r="K19" s="229">
        <v>0</v>
      </c>
      <c r="L19" s="229">
        <v>0</v>
      </c>
      <c r="M19" s="229">
        <v>0</v>
      </c>
      <c r="N19" s="229">
        <v>0</v>
      </c>
      <c r="O19" s="229">
        <v>0</v>
      </c>
      <c r="P19" s="229">
        <v>0</v>
      </c>
      <c r="Q19" s="229">
        <v>0</v>
      </c>
      <c r="R19" s="229">
        <v>0</v>
      </c>
      <c r="S19" s="229">
        <v>0</v>
      </c>
      <c r="T19" s="229">
        <v>0</v>
      </c>
      <c r="U19" s="229">
        <v>0</v>
      </c>
      <c r="V19" s="229">
        <v>0</v>
      </c>
      <c r="W19" s="229">
        <v>0</v>
      </c>
      <c r="X19" s="229">
        <v>0</v>
      </c>
      <c r="Y19" s="229">
        <v>0</v>
      </c>
      <c r="Z19" s="229">
        <v>0</v>
      </c>
      <c r="AA19" s="229">
        <v>0</v>
      </c>
      <c r="AB19" s="229">
        <v>0</v>
      </c>
      <c r="AC19" s="229">
        <v>0</v>
      </c>
    </row>
    <row r="20" spans="1:29" s="4" customFormat="1" ht="13.8">
      <c r="A20" s="591" t="s">
        <v>1392</v>
      </c>
      <c r="B20" s="57" t="s">
        <v>1393</v>
      </c>
      <c r="C20" s="104"/>
      <c r="D20" s="104"/>
      <c r="E20" s="104"/>
      <c r="F20" s="104"/>
      <c r="G20" s="104"/>
      <c r="H20" s="138"/>
      <c r="I20" s="138"/>
      <c r="J20" s="138"/>
      <c r="K20" s="229">
        <v>-73333</v>
      </c>
      <c r="L20" s="229">
        <v>-241627</v>
      </c>
      <c r="M20" s="229">
        <v>-203336</v>
      </c>
      <c r="N20" s="229">
        <v>-378721</v>
      </c>
      <c r="O20" s="229">
        <v>494868</v>
      </c>
      <c r="P20" s="229">
        <v>26904</v>
      </c>
      <c r="Q20" s="229">
        <v>14891</v>
      </c>
      <c r="R20" s="229">
        <v>76546</v>
      </c>
      <c r="S20" s="229">
        <v>82065</v>
      </c>
      <c r="T20" s="229">
        <v>68454</v>
      </c>
      <c r="U20" s="229">
        <v>192693</v>
      </c>
      <c r="V20" s="229">
        <v>234173</v>
      </c>
      <c r="W20" s="229">
        <v>413817</v>
      </c>
      <c r="X20" s="229">
        <v>16702</v>
      </c>
      <c r="Y20" s="229">
        <v>61147</v>
      </c>
      <c r="Z20" s="229">
        <v>93235</v>
      </c>
      <c r="AA20" s="229">
        <v>219349</v>
      </c>
      <c r="AB20" s="229">
        <v>-12896</v>
      </c>
      <c r="AC20" s="229">
        <v>22367</v>
      </c>
    </row>
    <row r="21" spans="1:29" s="4" customFormat="1" ht="13.8">
      <c r="A21" s="591" t="s">
        <v>1394</v>
      </c>
      <c r="B21" s="57" t="s">
        <v>1395</v>
      </c>
      <c r="C21" s="104"/>
      <c r="D21" s="104"/>
      <c r="E21" s="104"/>
      <c r="F21" s="104"/>
      <c r="G21" s="104"/>
      <c r="H21" s="138"/>
      <c r="I21" s="138"/>
      <c r="J21" s="138"/>
      <c r="K21" s="229">
        <v>5374</v>
      </c>
      <c r="L21" s="229">
        <v>72021</v>
      </c>
      <c r="M21" s="229">
        <v>29000</v>
      </c>
      <c r="N21" s="229">
        <v>16670</v>
      </c>
      <c r="O21" s="229">
        <v>31774</v>
      </c>
      <c r="P21" s="229">
        <v>3463</v>
      </c>
      <c r="Q21" s="229">
        <v>48946</v>
      </c>
      <c r="R21" s="229">
        <v>14809</v>
      </c>
      <c r="S21" s="229">
        <v>121028</v>
      </c>
      <c r="T21" s="229">
        <v>-6567</v>
      </c>
      <c r="U21" s="229">
        <v>-74255</v>
      </c>
      <c r="V21" s="229">
        <v>-48072</v>
      </c>
      <c r="W21" s="229">
        <v>-147323</v>
      </c>
      <c r="X21" s="229">
        <v>77195</v>
      </c>
      <c r="Y21" s="229">
        <v>121963</v>
      </c>
      <c r="Z21" s="229">
        <v>217011</v>
      </c>
      <c r="AA21" s="229">
        <v>209472</v>
      </c>
      <c r="AB21" s="229">
        <v>107262</v>
      </c>
      <c r="AC21" s="229">
        <v>180673</v>
      </c>
    </row>
    <row r="22" spans="1:29" s="4" customFormat="1" ht="13.8">
      <c r="A22" s="591" t="s">
        <v>1396</v>
      </c>
      <c r="B22" s="57" t="s">
        <v>1397</v>
      </c>
      <c r="C22" s="104"/>
      <c r="D22" s="104"/>
      <c r="E22" s="104"/>
      <c r="F22" s="104"/>
      <c r="G22" s="104"/>
      <c r="H22" s="138"/>
      <c r="I22" s="138"/>
      <c r="J22" s="138"/>
      <c r="K22" s="229">
        <v>-5303</v>
      </c>
      <c r="L22" s="229">
        <v>-19174</v>
      </c>
      <c r="M22" s="229">
        <v>-43617</v>
      </c>
      <c r="N22" s="229">
        <v>-62206</v>
      </c>
      <c r="O22" s="229">
        <v>-70223</v>
      </c>
      <c r="P22" s="229">
        <v>-6892</v>
      </c>
      <c r="Q22" s="229">
        <v>-13843</v>
      </c>
      <c r="R22" s="229">
        <v>-18541</v>
      </c>
      <c r="S22" s="229">
        <v>-26175</v>
      </c>
      <c r="T22" s="229">
        <v>-9958</v>
      </c>
      <c r="U22" s="229">
        <v>-17661</v>
      </c>
      <c r="V22" s="229">
        <v>-34263</v>
      </c>
      <c r="W22" s="229">
        <v>-55813</v>
      </c>
      <c r="X22" s="229">
        <v>-22630</v>
      </c>
      <c r="Y22" s="229">
        <v>-40592</v>
      </c>
      <c r="Z22" s="229">
        <v>-83682</v>
      </c>
      <c r="AA22" s="229">
        <v>-111860</v>
      </c>
      <c r="AB22" s="229">
        <v>-14332</v>
      </c>
      <c r="AC22" s="229">
        <v>-22776</v>
      </c>
    </row>
    <row r="23" spans="1:29" s="4" customFormat="1" ht="13.8">
      <c r="A23" s="591" t="s">
        <v>1398</v>
      </c>
      <c r="B23" s="57" t="s">
        <v>1399</v>
      </c>
      <c r="C23" s="104"/>
      <c r="D23" s="104"/>
      <c r="E23" s="104"/>
      <c r="F23" s="104"/>
      <c r="G23" s="104"/>
      <c r="H23" s="138"/>
      <c r="I23" s="138"/>
      <c r="J23" s="138"/>
      <c r="K23" s="229">
        <v>0</v>
      </c>
      <c r="L23" s="229">
        <v>0</v>
      </c>
      <c r="M23" s="229">
        <v>0</v>
      </c>
      <c r="N23" s="229">
        <v>0</v>
      </c>
      <c r="O23" s="229">
        <v>0</v>
      </c>
      <c r="P23" s="229">
        <v>0</v>
      </c>
      <c r="Q23" s="229">
        <v>0</v>
      </c>
      <c r="R23" s="229">
        <v>0</v>
      </c>
      <c r="S23" s="229">
        <v>0</v>
      </c>
      <c r="T23" s="229">
        <v>0</v>
      </c>
      <c r="U23" s="229">
        <v>0</v>
      </c>
      <c r="V23" s="229">
        <v>0</v>
      </c>
      <c r="W23" s="229">
        <v>0</v>
      </c>
      <c r="X23" s="229">
        <v>0</v>
      </c>
      <c r="Y23" s="229">
        <v>0</v>
      </c>
      <c r="Z23" s="229">
        <v>0</v>
      </c>
      <c r="AA23" s="229">
        <v>0</v>
      </c>
      <c r="AB23" s="229">
        <v>0</v>
      </c>
      <c r="AC23" s="229">
        <v>0</v>
      </c>
    </row>
    <row r="24" spans="1:29" s="4" customFormat="1" ht="13.8">
      <c r="A24" s="591" t="s">
        <v>1400</v>
      </c>
      <c r="B24" s="57" t="s">
        <v>1978</v>
      </c>
      <c r="C24" s="104"/>
      <c r="D24" s="104"/>
      <c r="E24" s="104"/>
      <c r="F24" s="104"/>
      <c r="G24" s="104"/>
      <c r="H24" s="138"/>
      <c r="I24" s="138"/>
      <c r="J24" s="138"/>
      <c r="K24" s="229">
        <v>0</v>
      </c>
      <c r="L24" s="229">
        <v>0</v>
      </c>
      <c r="M24" s="229">
        <v>0</v>
      </c>
      <c r="N24" s="229">
        <v>0</v>
      </c>
      <c r="O24" s="229">
        <v>0</v>
      </c>
      <c r="P24" s="229">
        <v>0</v>
      </c>
      <c r="Q24" s="229">
        <v>0</v>
      </c>
      <c r="R24" s="229">
        <v>0</v>
      </c>
      <c r="S24" s="229">
        <v>0</v>
      </c>
      <c r="T24" s="229">
        <v>0</v>
      </c>
      <c r="U24" s="229">
        <v>0</v>
      </c>
      <c r="V24" s="229">
        <v>0</v>
      </c>
      <c r="W24" s="229">
        <v>0</v>
      </c>
      <c r="X24" s="229">
        <v>0</v>
      </c>
      <c r="Y24" s="229">
        <v>0</v>
      </c>
      <c r="Z24" s="229">
        <v>0</v>
      </c>
      <c r="AA24" s="229">
        <v>0</v>
      </c>
      <c r="AB24" s="229">
        <v>0</v>
      </c>
      <c r="AC24" s="229">
        <v>0</v>
      </c>
    </row>
    <row r="25" spans="1:29" s="4" customFormat="1" ht="13.8">
      <c r="A25" s="591" t="s">
        <v>1401</v>
      </c>
      <c r="B25" s="57" t="s">
        <v>1402</v>
      </c>
      <c r="C25" s="104"/>
      <c r="D25" s="104"/>
      <c r="E25" s="104"/>
      <c r="F25" s="104"/>
      <c r="G25" s="104"/>
      <c r="H25" s="138"/>
      <c r="I25" s="138"/>
      <c r="J25" s="138"/>
      <c r="K25" s="229">
        <v>0</v>
      </c>
      <c r="L25" s="229">
        <v>0</v>
      </c>
      <c r="M25" s="229">
        <v>0</v>
      </c>
      <c r="N25" s="229">
        <v>0</v>
      </c>
      <c r="O25" s="229">
        <v>0</v>
      </c>
      <c r="P25" s="229">
        <v>0</v>
      </c>
      <c r="Q25" s="229">
        <v>-504</v>
      </c>
      <c r="R25" s="229">
        <v>2293</v>
      </c>
      <c r="S25" s="229">
        <v>999</v>
      </c>
      <c r="T25" s="229">
        <v>-3268</v>
      </c>
      <c r="U25" s="229">
        <v>695</v>
      </c>
      <c r="V25" s="229">
        <v>534</v>
      </c>
      <c r="W25" s="229">
        <v>250</v>
      </c>
      <c r="X25" s="229">
        <v>-6030</v>
      </c>
      <c r="Y25" s="229">
        <v>-6030</v>
      </c>
      <c r="Z25" s="229">
        <v>14935</v>
      </c>
      <c r="AA25" s="229">
        <v>11475</v>
      </c>
      <c r="AB25" s="229">
        <v>-988</v>
      </c>
      <c r="AC25" s="229">
        <v>-2737</v>
      </c>
    </row>
    <row r="26" spans="1:29" s="4" customFormat="1" ht="13.8">
      <c r="A26" s="591" t="s">
        <v>1403</v>
      </c>
      <c r="B26" s="57" t="s">
        <v>2015</v>
      </c>
      <c r="C26" s="104"/>
      <c r="D26" s="104"/>
      <c r="E26" s="104"/>
      <c r="F26" s="104"/>
      <c r="G26" s="104"/>
      <c r="H26" s="138"/>
      <c r="I26" s="138"/>
      <c r="J26" s="138"/>
      <c r="K26" s="229">
        <v>0</v>
      </c>
      <c r="L26" s="229">
        <v>0</v>
      </c>
      <c r="M26" s="229">
        <v>0</v>
      </c>
      <c r="N26" s="229">
        <v>0</v>
      </c>
      <c r="O26" s="229">
        <v>0</v>
      </c>
      <c r="P26" s="229">
        <v>0</v>
      </c>
      <c r="Q26" s="229">
        <v>0</v>
      </c>
      <c r="R26" s="229">
        <v>0</v>
      </c>
      <c r="S26" s="229">
        <v>0</v>
      </c>
      <c r="T26" s="229">
        <v>0</v>
      </c>
      <c r="U26" s="229">
        <v>0</v>
      </c>
      <c r="V26" s="229">
        <v>0</v>
      </c>
      <c r="W26" s="229">
        <v>0</v>
      </c>
      <c r="X26" s="229">
        <v>0</v>
      </c>
      <c r="Y26" s="229">
        <v>0</v>
      </c>
      <c r="Z26" s="229">
        <v>0</v>
      </c>
      <c r="AA26" s="229">
        <v>0</v>
      </c>
      <c r="AB26" s="229">
        <v>0</v>
      </c>
      <c r="AC26" s="229">
        <v>0</v>
      </c>
    </row>
    <row r="27" spans="1:29" s="4" customFormat="1" ht="13.8">
      <c r="A27" s="591" t="s">
        <v>1470</v>
      </c>
      <c r="B27" s="57" t="s">
        <v>1980</v>
      </c>
      <c r="C27" s="104"/>
      <c r="D27" s="104"/>
      <c r="E27" s="104"/>
      <c r="F27" s="104"/>
      <c r="G27" s="104"/>
      <c r="H27" s="138"/>
      <c r="I27" s="138"/>
      <c r="J27" s="138"/>
      <c r="K27" s="229">
        <v>18123</v>
      </c>
      <c r="L27" s="229">
        <v>-8274</v>
      </c>
      <c r="M27" s="229">
        <v>-15065</v>
      </c>
      <c r="N27" s="229">
        <v>-22983</v>
      </c>
      <c r="O27" s="229">
        <v>-45447</v>
      </c>
      <c r="P27" s="229">
        <v>-3307</v>
      </c>
      <c r="Q27" s="229">
        <v>17537</v>
      </c>
      <c r="R27" s="229">
        <v>26440</v>
      </c>
      <c r="S27" s="229">
        <v>259462</v>
      </c>
      <c r="T27" s="229">
        <v>6340</v>
      </c>
      <c r="U27" s="229">
        <v>10276</v>
      </c>
      <c r="V27" s="229">
        <v>17725</v>
      </c>
      <c r="W27" s="229">
        <v>-1284</v>
      </c>
      <c r="X27" s="229">
        <v>6918</v>
      </c>
      <c r="Y27" s="229">
        <v>8986</v>
      </c>
      <c r="Z27" s="229">
        <v>1370</v>
      </c>
      <c r="AA27" s="229">
        <v>-21799</v>
      </c>
      <c r="AB27" s="229">
        <v>2646</v>
      </c>
      <c r="AC27" s="229">
        <v>2970</v>
      </c>
    </row>
    <row r="28" spans="1:29" s="4" customFormat="1" ht="13.8">
      <c r="A28" s="591" t="s">
        <v>1404</v>
      </c>
      <c r="B28" s="57" t="s">
        <v>1979</v>
      </c>
      <c r="C28" s="104"/>
      <c r="D28" s="104"/>
      <c r="E28" s="104"/>
      <c r="F28" s="104"/>
      <c r="G28" s="104"/>
      <c r="H28" s="138"/>
      <c r="I28" s="138"/>
      <c r="J28" s="138"/>
      <c r="K28" s="229">
        <v>0</v>
      </c>
      <c r="L28" s="229">
        <v>0</v>
      </c>
      <c r="M28" s="229">
        <v>0</v>
      </c>
      <c r="N28" s="229">
        <v>0</v>
      </c>
      <c r="O28" s="229">
        <v>0</v>
      </c>
      <c r="P28" s="229">
        <v>0</v>
      </c>
      <c r="Q28" s="229">
        <v>0</v>
      </c>
      <c r="R28" s="229">
        <v>0</v>
      </c>
      <c r="S28" s="229">
        <v>0</v>
      </c>
      <c r="T28" s="229">
        <v>0</v>
      </c>
      <c r="U28" s="229">
        <v>0</v>
      </c>
      <c r="V28" s="229">
        <v>0</v>
      </c>
      <c r="W28" s="229">
        <v>0</v>
      </c>
      <c r="X28" s="229">
        <v>0</v>
      </c>
      <c r="Y28" s="229">
        <v>0</v>
      </c>
      <c r="Z28" s="229">
        <v>2121</v>
      </c>
      <c r="AA28" s="229">
        <v>1769</v>
      </c>
      <c r="AB28" s="229">
        <v>0</v>
      </c>
      <c r="AC28" s="229">
        <v>0</v>
      </c>
    </row>
    <row r="29" spans="1:29" s="4" customFormat="1" ht="13.8">
      <c r="A29" s="591" t="s">
        <v>720</v>
      </c>
      <c r="B29" s="57" t="s">
        <v>1981</v>
      </c>
      <c r="C29" s="104"/>
      <c r="D29" s="104"/>
      <c r="E29" s="104"/>
      <c r="F29" s="104"/>
      <c r="G29" s="104"/>
      <c r="H29" s="138"/>
      <c r="I29" s="138"/>
      <c r="J29" s="138"/>
      <c r="K29" s="229">
        <v>0</v>
      </c>
      <c r="L29" s="229">
        <v>0</v>
      </c>
      <c r="M29" s="229">
        <v>0</v>
      </c>
      <c r="N29" s="229">
        <v>0</v>
      </c>
      <c r="O29" s="229">
        <v>0</v>
      </c>
      <c r="P29" s="229">
        <v>0</v>
      </c>
      <c r="Q29" s="229">
        <v>-22663</v>
      </c>
      <c r="R29" s="229">
        <v>-34439</v>
      </c>
      <c r="S29" s="229">
        <v>-256688</v>
      </c>
      <c r="T29" s="229">
        <v>0</v>
      </c>
      <c r="U29" s="229">
        <v>3718</v>
      </c>
      <c r="V29" s="229">
        <v>7387</v>
      </c>
      <c r="W29" s="229">
        <v>16946</v>
      </c>
      <c r="X29" s="229">
        <v>4980</v>
      </c>
      <c r="Y29" s="229">
        <v>8125</v>
      </c>
      <c r="Z29" s="229">
        <v>9427</v>
      </c>
      <c r="AA29" s="229">
        <v>10878</v>
      </c>
      <c r="AB29" s="229">
        <v>2021</v>
      </c>
      <c r="AC29" s="229">
        <v>4543</v>
      </c>
    </row>
    <row r="30" spans="1:29" s="4" customFormat="1" ht="13.8">
      <c r="A30" s="591" t="s">
        <v>1405</v>
      </c>
      <c r="B30" s="57" t="s">
        <v>1985</v>
      </c>
      <c r="C30" s="104"/>
      <c r="D30" s="104"/>
      <c r="E30" s="104"/>
      <c r="F30" s="104"/>
      <c r="G30" s="104"/>
      <c r="H30" s="138"/>
      <c r="I30" s="138"/>
      <c r="J30" s="138"/>
      <c r="K30" s="229">
        <v>6922</v>
      </c>
      <c r="L30" s="229">
        <v>10104</v>
      </c>
      <c r="M30" s="229">
        <v>13211</v>
      </c>
      <c r="N30" s="229">
        <v>5472</v>
      </c>
      <c r="O30" s="229">
        <v>33784</v>
      </c>
      <c r="P30" s="229">
        <v>3385</v>
      </c>
      <c r="Q30" s="229">
        <v>6960</v>
      </c>
      <c r="R30" s="229">
        <v>10859</v>
      </c>
      <c r="S30" s="229">
        <v>15212</v>
      </c>
      <c r="T30" s="229">
        <v>3732</v>
      </c>
      <c r="U30" s="229">
        <v>8303</v>
      </c>
      <c r="V30" s="229">
        <v>13133</v>
      </c>
      <c r="W30" s="229">
        <v>17690</v>
      </c>
      <c r="X30" s="229">
        <v>3132</v>
      </c>
      <c r="Y30" s="229">
        <v>6414</v>
      </c>
      <c r="Z30" s="229">
        <v>10621</v>
      </c>
      <c r="AA30" s="229">
        <v>-66043</v>
      </c>
      <c r="AB30" s="229">
        <v>3248</v>
      </c>
      <c r="AC30" s="229">
        <v>42828</v>
      </c>
    </row>
    <row r="31" spans="1:29" s="4" customFormat="1" ht="13.8">
      <c r="A31" s="591" t="s">
        <v>1471</v>
      </c>
      <c r="B31" s="57" t="s">
        <v>1984</v>
      </c>
      <c r="C31" s="104"/>
      <c r="D31" s="104"/>
      <c r="E31" s="104"/>
      <c r="F31" s="104"/>
      <c r="G31" s="104"/>
      <c r="H31" s="138"/>
      <c r="I31" s="138"/>
      <c r="J31" s="138"/>
      <c r="K31" s="229">
        <v>59848</v>
      </c>
      <c r="L31" s="229">
        <v>-8195</v>
      </c>
      <c r="M31" s="229">
        <v>-21240</v>
      </c>
      <c r="N31" s="229">
        <v>-18062</v>
      </c>
      <c r="O31" s="229">
        <v>24928</v>
      </c>
      <c r="P31" s="229">
        <v>7968</v>
      </c>
      <c r="Q31" s="229">
        <v>-2869</v>
      </c>
      <c r="R31" s="229">
        <v>3814</v>
      </c>
      <c r="S31" s="229">
        <v>6253</v>
      </c>
      <c r="T31" s="229">
        <v>4833</v>
      </c>
      <c r="U31" s="229">
        <v>8989</v>
      </c>
      <c r="V31" s="229">
        <v>7086</v>
      </c>
      <c r="W31" s="229">
        <v>5242</v>
      </c>
      <c r="X31" s="229">
        <v>2727</v>
      </c>
      <c r="Y31" s="229">
        <v>5583</v>
      </c>
      <c r="Z31" s="229">
        <v>8143</v>
      </c>
      <c r="AA31" s="229">
        <v>-759</v>
      </c>
      <c r="AB31" s="229">
        <v>3115</v>
      </c>
      <c r="AC31" s="229">
        <v>7674</v>
      </c>
    </row>
    <row r="32" spans="1:29" s="4" customFormat="1" ht="13.8">
      <c r="A32" s="591" t="s">
        <v>1407</v>
      </c>
      <c r="B32" s="57" t="s">
        <v>1986</v>
      </c>
      <c r="C32" s="104"/>
      <c r="D32" s="104"/>
      <c r="E32" s="104"/>
      <c r="F32" s="104"/>
      <c r="G32" s="104"/>
      <c r="H32" s="138"/>
      <c r="I32" s="138"/>
      <c r="J32" s="138"/>
      <c r="K32" s="229">
        <v>-533876</v>
      </c>
      <c r="L32" s="229">
        <v>12383</v>
      </c>
      <c r="M32" s="229">
        <v>-86222</v>
      </c>
      <c r="N32" s="229">
        <v>-89081</v>
      </c>
      <c r="O32" s="229">
        <v>-197819</v>
      </c>
      <c r="P32" s="229">
        <v>-26268</v>
      </c>
      <c r="Q32" s="229">
        <v>-53376</v>
      </c>
      <c r="R32" s="229">
        <v>-74434</v>
      </c>
      <c r="S32" s="229">
        <v>-92291</v>
      </c>
      <c r="T32" s="229">
        <v>-52024</v>
      </c>
      <c r="U32" s="229">
        <v>-156936</v>
      </c>
      <c r="V32" s="229">
        <v>-241663</v>
      </c>
      <c r="W32" s="229">
        <v>-258662</v>
      </c>
      <c r="X32" s="229">
        <v>-58415</v>
      </c>
      <c r="Y32" s="229">
        <v>-100284</v>
      </c>
      <c r="Z32" s="229">
        <v>-161534</v>
      </c>
      <c r="AA32" s="229">
        <v>-205416</v>
      </c>
      <c r="AB32" s="229">
        <v>-29547</v>
      </c>
      <c r="AC32" s="229">
        <v>-171811</v>
      </c>
    </row>
    <row r="33" spans="1:29" s="4" customFormat="1" ht="13.8">
      <c r="A33" s="591" t="s">
        <v>1478</v>
      </c>
      <c r="B33" s="57" t="s">
        <v>1987</v>
      </c>
      <c r="C33" s="104"/>
      <c r="D33" s="104"/>
      <c r="E33" s="104"/>
      <c r="F33" s="104"/>
      <c r="G33" s="104"/>
      <c r="H33" s="138"/>
      <c r="I33" s="138"/>
      <c r="J33" s="138"/>
      <c r="K33" s="229">
        <v>0</v>
      </c>
      <c r="L33" s="229">
        <v>0</v>
      </c>
      <c r="M33" s="229">
        <v>0</v>
      </c>
      <c r="N33" s="229">
        <v>0</v>
      </c>
      <c r="O33" s="229">
        <v>0</v>
      </c>
      <c r="P33" s="229">
        <v>0</v>
      </c>
      <c r="Q33" s="229">
        <v>0</v>
      </c>
      <c r="R33" s="229">
        <v>0</v>
      </c>
      <c r="S33" s="229">
        <v>0</v>
      </c>
      <c r="T33" s="229">
        <v>0</v>
      </c>
      <c r="U33" s="229">
        <v>0</v>
      </c>
      <c r="V33" s="229">
        <v>0</v>
      </c>
      <c r="W33" s="229">
        <v>0</v>
      </c>
      <c r="X33" s="229">
        <v>0</v>
      </c>
      <c r="Y33" s="229">
        <v>0</v>
      </c>
      <c r="Z33" s="229">
        <v>0</v>
      </c>
      <c r="AA33" s="229">
        <v>0</v>
      </c>
      <c r="AB33" s="229">
        <v>0</v>
      </c>
      <c r="AC33" s="229">
        <v>0</v>
      </c>
    </row>
    <row r="34" spans="1:29" s="4" customFormat="1" ht="13.8">
      <c r="A34" s="591" t="s">
        <v>1472</v>
      </c>
      <c r="B34" s="57" t="s">
        <v>775</v>
      </c>
      <c r="C34" s="104"/>
      <c r="D34" s="104"/>
      <c r="E34" s="104"/>
      <c r="F34" s="104"/>
      <c r="G34" s="104"/>
      <c r="H34" s="138"/>
      <c r="I34" s="138"/>
      <c r="J34" s="138"/>
      <c r="K34" s="229">
        <v>0</v>
      </c>
      <c r="L34" s="229">
        <v>0</v>
      </c>
      <c r="M34" s="229">
        <v>0</v>
      </c>
      <c r="N34" s="229">
        <v>0</v>
      </c>
      <c r="O34" s="229">
        <v>0</v>
      </c>
      <c r="P34" s="229">
        <v>0</v>
      </c>
      <c r="Q34" s="229">
        <v>0</v>
      </c>
      <c r="R34" s="229">
        <v>0</v>
      </c>
      <c r="S34" s="229">
        <v>0</v>
      </c>
      <c r="T34" s="229">
        <v>-296</v>
      </c>
      <c r="U34" s="229">
        <v>-296</v>
      </c>
      <c r="V34" s="229">
        <v>-296</v>
      </c>
      <c r="W34" s="229">
        <v>-296</v>
      </c>
      <c r="X34" s="229">
        <v>0</v>
      </c>
      <c r="Y34" s="229">
        <v>0</v>
      </c>
      <c r="Z34" s="229">
        <v>0</v>
      </c>
      <c r="AA34" s="229">
        <v>0</v>
      </c>
      <c r="AB34" s="229">
        <v>0</v>
      </c>
      <c r="AC34" s="229">
        <v>0</v>
      </c>
    </row>
    <row r="35" spans="1:29" s="4" customFormat="1" ht="13.8">
      <c r="A35" s="591" t="s">
        <v>1409</v>
      </c>
      <c r="B35" s="57" t="s">
        <v>1988</v>
      </c>
      <c r="C35" s="104"/>
      <c r="D35" s="104"/>
      <c r="E35" s="104"/>
      <c r="F35" s="104"/>
      <c r="G35" s="104"/>
      <c r="H35" s="138"/>
      <c r="I35" s="138"/>
      <c r="J35" s="138"/>
      <c r="K35" s="229">
        <v>55580</v>
      </c>
      <c r="L35" s="229">
        <v>42746</v>
      </c>
      <c r="M35" s="229">
        <v>68204</v>
      </c>
      <c r="N35" s="229">
        <v>111560</v>
      </c>
      <c r="O35" s="229">
        <v>111023</v>
      </c>
      <c r="P35" s="229">
        <v>1939</v>
      </c>
      <c r="Q35" s="229">
        <v>6231</v>
      </c>
      <c r="R35" s="229">
        <v>1911</v>
      </c>
      <c r="S35" s="229">
        <v>-21897</v>
      </c>
      <c r="T35" s="229">
        <v>0</v>
      </c>
      <c r="U35" s="229">
        <v>0</v>
      </c>
      <c r="V35" s="229">
        <v>0</v>
      </c>
      <c r="W35" s="229">
        <v>0</v>
      </c>
      <c r="X35" s="229">
        <v>2170</v>
      </c>
      <c r="Y35" s="229">
        <v>9779</v>
      </c>
      <c r="Z35" s="229">
        <v>14295</v>
      </c>
      <c r="AA35" s="229">
        <v>22607</v>
      </c>
      <c r="AB35" s="229">
        <v>5053</v>
      </c>
      <c r="AC35" s="229">
        <v>16748</v>
      </c>
    </row>
    <row r="36" spans="1:29" s="4" customFormat="1" ht="13.8">
      <c r="A36" s="591" t="s">
        <v>1410</v>
      </c>
      <c r="B36" s="57" t="s">
        <v>1989</v>
      </c>
      <c r="C36" s="104"/>
      <c r="D36" s="104"/>
      <c r="E36" s="104"/>
      <c r="F36" s="104"/>
      <c r="G36" s="104"/>
      <c r="H36" s="138"/>
      <c r="I36" s="138"/>
      <c r="J36" s="138"/>
      <c r="K36" s="229">
        <v>0</v>
      </c>
      <c r="L36" s="229">
        <v>0</v>
      </c>
      <c r="M36" s="229">
        <v>0</v>
      </c>
      <c r="N36" s="229">
        <v>0</v>
      </c>
      <c r="O36" s="229">
        <v>0</v>
      </c>
      <c r="P36" s="229">
        <v>0</v>
      </c>
      <c r="Q36" s="229">
        <v>0</v>
      </c>
      <c r="R36" s="229">
        <v>0</v>
      </c>
      <c r="S36" s="229">
        <v>546</v>
      </c>
      <c r="T36" s="229">
        <v>1895</v>
      </c>
      <c r="U36" s="229">
        <v>1858</v>
      </c>
      <c r="V36" s="229">
        <v>2196</v>
      </c>
      <c r="W36" s="229">
        <v>2274</v>
      </c>
      <c r="X36" s="229">
        <v>186</v>
      </c>
      <c r="Y36" s="229">
        <v>656</v>
      </c>
      <c r="Z36" s="229">
        <v>1126</v>
      </c>
      <c r="AA36" s="229">
        <v>2426</v>
      </c>
      <c r="AB36" s="229">
        <v>1078</v>
      </c>
      <c r="AC36" s="229">
        <v>1153</v>
      </c>
    </row>
    <row r="37" spans="1:29" s="4" customFormat="1" ht="13.8">
      <c r="A37" s="591" t="s">
        <v>1411</v>
      </c>
      <c r="B37" s="57" t="s">
        <v>1990</v>
      </c>
      <c r="C37" s="104"/>
      <c r="D37" s="104"/>
      <c r="E37" s="104"/>
      <c r="F37" s="104"/>
      <c r="G37" s="104"/>
      <c r="H37" s="138"/>
      <c r="I37" s="138"/>
      <c r="J37" s="138"/>
      <c r="K37" s="229">
        <v>0</v>
      </c>
      <c r="L37" s="229">
        <v>0</v>
      </c>
      <c r="M37" s="229">
        <v>0</v>
      </c>
      <c r="N37" s="229">
        <v>0</v>
      </c>
      <c r="O37" s="229">
        <v>0</v>
      </c>
      <c r="P37" s="229">
        <v>0</v>
      </c>
      <c r="Q37" s="229">
        <v>0</v>
      </c>
      <c r="R37" s="229">
        <v>0</v>
      </c>
      <c r="S37" s="229">
        <v>0</v>
      </c>
      <c r="T37" s="229">
        <v>0</v>
      </c>
      <c r="U37" s="229">
        <v>0</v>
      </c>
      <c r="V37" s="229">
        <v>0</v>
      </c>
      <c r="W37" s="229">
        <v>0</v>
      </c>
      <c r="X37" s="229">
        <v>0</v>
      </c>
      <c r="Y37" s="229">
        <v>0</v>
      </c>
      <c r="Z37" s="229">
        <v>0</v>
      </c>
      <c r="AA37" s="229">
        <v>0</v>
      </c>
      <c r="AB37" s="229">
        <v>0</v>
      </c>
      <c r="AC37" s="229">
        <v>0</v>
      </c>
    </row>
    <row r="38" spans="1:29" s="4" customFormat="1" ht="13.8">
      <c r="A38" s="591" t="s">
        <v>1127</v>
      </c>
      <c r="B38" s="57" t="s">
        <v>1991</v>
      </c>
      <c r="C38" s="104"/>
      <c r="D38" s="104"/>
      <c r="E38" s="104"/>
      <c r="F38" s="104"/>
      <c r="G38" s="104"/>
      <c r="H38" s="138"/>
      <c r="I38" s="138"/>
      <c r="J38" s="138"/>
      <c r="K38" s="229">
        <v>0</v>
      </c>
      <c r="L38" s="229">
        <v>0</v>
      </c>
      <c r="M38" s="229">
        <v>0</v>
      </c>
      <c r="N38" s="229">
        <v>0</v>
      </c>
      <c r="O38" s="229">
        <v>0</v>
      </c>
      <c r="P38" s="229">
        <v>0</v>
      </c>
      <c r="Q38" s="229">
        <v>0</v>
      </c>
      <c r="R38" s="229">
        <v>0</v>
      </c>
      <c r="S38" s="229">
        <v>0</v>
      </c>
      <c r="T38" s="229">
        <v>0</v>
      </c>
      <c r="U38" s="229">
        <v>0</v>
      </c>
      <c r="V38" s="229">
        <v>0</v>
      </c>
      <c r="W38" s="229">
        <v>0</v>
      </c>
      <c r="X38" s="229">
        <v>0</v>
      </c>
      <c r="Y38" s="229">
        <v>0</v>
      </c>
      <c r="Z38" s="229">
        <v>0</v>
      </c>
      <c r="AA38" s="229">
        <v>0</v>
      </c>
      <c r="AB38" s="229">
        <v>0</v>
      </c>
      <c r="AC38" s="229">
        <v>0</v>
      </c>
    </row>
    <row r="39" spans="1:29" s="4" customFormat="1" ht="13.8">
      <c r="A39" s="591" t="s">
        <v>1412</v>
      </c>
      <c r="B39" s="57" t="s">
        <v>1992</v>
      </c>
      <c r="C39" s="104"/>
      <c r="D39" s="104"/>
      <c r="E39" s="104"/>
      <c r="F39" s="104"/>
      <c r="G39" s="104"/>
      <c r="H39" s="138"/>
      <c r="I39" s="138"/>
      <c r="J39" s="138"/>
      <c r="K39" s="229">
        <v>0</v>
      </c>
      <c r="L39" s="229">
        <v>0</v>
      </c>
      <c r="M39" s="229">
        <v>0</v>
      </c>
      <c r="N39" s="229">
        <v>0</v>
      </c>
      <c r="O39" s="229">
        <v>0</v>
      </c>
      <c r="P39" s="229">
        <v>0</v>
      </c>
      <c r="Q39" s="229">
        <v>0</v>
      </c>
      <c r="R39" s="229">
        <v>0</v>
      </c>
      <c r="S39" s="229">
        <v>0</v>
      </c>
      <c r="T39" s="229">
        <v>0</v>
      </c>
      <c r="U39" s="229">
        <v>0</v>
      </c>
      <c r="V39" s="229">
        <v>0</v>
      </c>
      <c r="W39" s="229">
        <v>0</v>
      </c>
      <c r="X39" s="229">
        <v>0</v>
      </c>
      <c r="Y39" s="229">
        <v>0</v>
      </c>
      <c r="Z39" s="229">
        <v>0</v>
      </c>
      <c r="AA39" s="229">
        <v>0</v>
      </c>
      <c r="AB39" s="229">
        <v>0</v>
      </c>
      <c r="AC39" s="229">
        <v>0</v>
      </c>
    </row>
    <row r="40" spans="1:29" s="4" customFormat="1" ht="13.8">
      <c r="A40" s="591" t="s">
        <v>1123</v>
      </c>
      <c r="B40" s="57" t="s">
        <v>1977</v>
      </c>
      <c r="C40" s="104"/>
      <c r="D40" s="104"/>
      <c r="E40" s="104"/>
      <c r="F40" s="104"/>
      <c r="G40" s="104"/>
      <c r="H40" s="138"/>
      <c r="I40" s="138"/>
      <c r="J40" s="138"/>
      <c r="K40" s="229">
        <v>0</v>
      </c>
      <c r="L40" s="229">
        <v>0</v>
      </c>
      <c r="M40" s="229">
        <v>0</v>
      </c>
      <c r="N40" s="229">
        <v>0</v>
      </c>
      <c r="O40" s="229">
        <v>2477</v>
      </c>
      <c r="P40" s="229">
        <v>-33</v>
      </c>
      <c r="Q40" s="229">
        <v>3637</v>
      </c>
      <c r="R40" s="229">
        <v>5124</v>
      </c>
      <c r="S40" s="229">
        <v>6612</v>
      </c>
      <c r="T40" s="229">
        <v>-64</v>
      </c>
      <c r="U40" s="229">
        <v>1264</v>
      </c>
      <c r="V40" s="229">
        <v>3400</v>
      </c>
      <c r="W40" s="229">
        <v>5361</v>
      </c>
      <c r="X40" s="229">
        <v>152</v>
      </c>
      <c r="Y40" s="229">
        <v>2261</v>
      </c>
      <c r="Z40" s="229">
        <v>4435</v>
      </c>
      <c r="AA40" s="229">
        <v>6610</v>
      </c>
      <c r="AB40" s="229">
        <v>1768</v>
      </c>
      <c r="AC40" s="229">
        <v>3295</v>
      </c>
    </row>
    <row r="41" spans="1:29" s="4" customFormat="1" ht="13.8">
      <c r="A41" s="591" t="s">
        <v>1473</v>
      </c>
      <c r="B41" s="57" t="s">
        <v>1195</v>
      </c>
      <c r="C41" s="104"/>
      <c r="D41" s="104"/>
      <c r="E41" s="104"/>
      <c r="F41" s="104"/>
      <c r="G41" s="104"/>
      <c r="H41" s="138"/>
      <c r="I41" s="138"/>
      <c r="J41" s="138"/>
      <c r="K41" s="229">
        <v>0</v>
      </c>
      <c r="L41" s="229">
        <v>0</v>
      </c>
      <c r="M41" s="229">
        <v>0</v>
      </c>
      <c r="N41" s="229">
        <v>0</v>
      </c>
      <c r="O41" s="229">
        <v>0</v>
      </c>
      <c r="P41" s="229">
        <v>0</v>
      </c>
      <c r="Q41" s="229">
        <v>0</v>
      </c>
      <c r="R41" s="229">
        <v>0</v>
      </c>
      <c r="S41" s="229">
        <v>0</v>
      </c>
      <c r="T41" s="229">
        <v>0</v>
      </c>
      <c r="U41" s="229">
        <v>0</v>
      </c>
      <c r="V41" s="229">
        <v>0</v>
      </c>
      <c r="W41" s="229">
        <v>0</v>
      </c>
      <c r="X41" s="229">
        <v>0</v>
      </c>
      <c r="Y41" s="229">
        <v>0</v>
      </c>
      <c r="Z41" s="229">
        <v>0</v>
      </c>
      <c r="AA41" s="229">
        <v>0</v>
      </c>
      <c r="AB41" s="229">
        <v>0</v>
      </c>
      <c r="AC41" s="229">
        <v>0</v>
      </c>
    </row>
    <row r="42" spans="1:29" s="4" customFormat="1" ht="13.8">
      <c r="A42" s="591" t="s">
        <v>1413</v>
      </c>
      <c r="B42" s="57" t="s">
        <v>2014</v>
      </c>
      <c r="C42" s="104"/>
      <c r="D42" s="104"/>
      <c r="E42" s="104"/>
      <c r="F42" s="104"/>
      <c r="G42" s="104"/>
      <c r="H42" s="138"/>
      <c r="I42" s="138"/>
      <c r="J42" s="138"/>
      <c r="K42" s="229">
        <v>16747</v>
      </c>
      <c r="L42" s="229">
        <v>0</v>
      </c>
      <c r="M42" s="229">
        <v>0</v>
      </c>
      <c r="N42" s="229">
        <v>-47819</v>
      </c>
      <c r="O42" s="229">
        <v>-45674</v>
      </c>
      <c r="P42" s="229">
        <v>0</v>
      </c>
      <c r="Q42" s="229">
        <v>0</v>
      </c>
      <c r="R42" s="229">
        <v>0</v>
      </c>
      <c r="S42" s="229">
        <v>0</v>
      </c>
      <c r="T42" s="229">
        <v>0</v>
      </c>
      <c r="U42" s="229">
        <v>0</v>
      </c>
      <c r="V42" s="229">
        <v>0</v>
      </c>
      <c r="W42" s="229">
        <v>0</v>
      </c>
      <c r="X42" s="229">
        <v>0</v>
      </c>
      <c r="Y42" s="229">
        <v>0</v>
      </c>
      <c r="Z42" s="229">
        <v>0</v>
      </c>
      <c r="AA42" s="229">
        <v>0</v>
      </c>
      <c r="AB42" s="229">
        <v>0</v>
      </c>
      <c r="AC42" s="229">
        <v>0</v>
      </c>
    </row>
    <row r="43" spans="1:29" s="4" customFormat="1" ht="13.8">
      <c r="A43" s="591" t="s">
        <v>1414</v>
      </c>
      <c r="B43" s="57" t="s">
        <v>1992</v>
      </c>
      <c r="C43" s="104"/>
      <c r="D43" s="104"/>
      <c r="E43" s="104"/>
      <c r="F43" s="104"/>
      <c r="G43" s="104"/>
      <c r="H43" s="138"/>
      <c r="I43" s="138"/>
      <c r="J43" s="138"/>
      <c r="K43" s="229">
        <v>0</v>
      </c>
      <c r="L43" s="229">
        <v>0</v>
      </c>
      <c r="M43" s="229">
        <v>0</v>
      </c>
      <c r="N43" s="229">
        <v>0</v>
      </c>
      <c r="O43" s="229">
        <v>0</v>
      </c>
      <c r="P43" s="229">
        <v>0</v>
      </c>
      <c r="Q43" s="229">
        <v>0</v>
      </c>
      <c r="R43" s="229">
        <v>0</v>
      </c>
      <c r="S43" s="229">
        <v>0</v>
      </c>
      <c r="T43" s="229">
        <v>0</v>
      </c>
      <c r="U43" s="229">
        <v>0</v>
      </c>
      <c r="V43" s="229">
        <v>0</v>
      </c>
      <c r="W43" s="229">
        <v>0</v>
      </c>
      <c r="X43" s="229">
        <v>0</v>
      </c>
      <c r="Y43" s="229">
        <v>0</v>
      </c>
      <c r="Z43" s="229">
        <v>0</v>
      </c>
      <c r="AA43" s="229">
        <v>0</v>
      </c>
      <c r="AB43" s="229">
        <v>0</v>
      </c>
      <c r="AC43" s="229">
        <v>0</v>
      </c>
    </row>
    <row r="44" spans="1:29" s="4" customFormat="1" ht="13.8">
      <c r="A44" s="591" t="s">
        <v>1415</v>
      </c>
      <c r="B44" s="57" t="s">
        <v>1993</v>
      </c>
      <c r="C44" s="104"/>
      <c r="D44" s="104"/>
      <c r="E44" s="104"/>
      <c r="F44" s="104"/>
      <c r="G44" s="104"/>
      <c r="H44" s="138"/>
      <c r="I44" s="138"/>
      <c r="J44" s="138"/>
      <c r="K44" s="229">
        <v>0</v>
      </c>
      <c r="L44" s="229">
        <v>0</v>
      </c>
      <c r="M44" s="229">
        <v>0</v>
      </c>
      <c r="N44" s="229">
        <v>0</v>
      </c>
      <c r="O44" s="229">
        <v>0</v>
      </c>
      <c r="P44" s="229">
        <v>0</v>
      </c>
      <c r="Q44" s="229">
        <v>0</v>
      </c>
      <c r="R44" s="229">
        <v>0</v>
      </c>
      <c r="S44" s="229">
        <v>0</v>
      </c>
      <c r="T44" s="229">
        <v>0</v>
      </c>
      <c r="U44" s="229">
        <v>0</v>
      </c>
      <c r="V44" s="229">
        <v>0</v>
      </c>
      <c r="W44" s="229">
        <v>0</v>
      </c>
      <c r="X44" s="229">
        <v>0</v>
      </c>
      <c r="Y44" s="229">
        <v>0</v>
      </c>
      <c r="Z44" s="229">
        <v>0</v>
      </c>
      <c r="AA44" s="229">
        <v>0</v>
      </c>
      <c r="AB44" s="229">
        <v>0</v>
      </c>
      <c r="AC44" s="229">
        <v>0</v>
      </c>
    </row>
    <row r="45" spans="1:29" s="165" customFormat="1" ht="13.8">
      <c r="A45" s="591" t="s">
        <v>1474</v>
      </c>
      <c r="B45" s="57" t="s">
        <v>1417</v>
      </c>
      <c r="C45" s="57"/>
      <c r="D45" s="57"/>
      <c r="E45" s="57"/>
      <c r="F45" s="57"/>
      <c r="G45" s="57"/>
      <c r="H45" s="229"/>
      <c r="I45" s="229"/>
      <c r="J45" s="229"/>
      <c r="K45" s="229">
        <v>0</v>
      </c>
      <c r="L45" s="229">
        <v>0</v>
      </c>
      <c r="M45" s="229">
        <v>0</v>
      </c>
      <c r="N45" s="229">
        <v>0</v>
      </c>
      <c r="O45" s="229">
        <v>0</v>
      </c>
      <c r="P45" s="229">
        <v>0</v>
      </c>
      <c r="Q45" s="229">
        <v>13453</v>
      </c>
      <c r="R45" s="229">
        <v>13508</v>
      </c>
      <c r="S45" s="229">
        <v>28500</v>
      </c>
      <c r="T45" s="229">
        <v>-3217</v>
      </c>
      <c r="U45" s="229">
        <v>-34</v>
      </c>
      <c r="V45" s="229">
        <v>2301</v>
      </c>
      <c r="W45" s="229">
        <v>9562</v>
      </c>
      <c r="X45" s="229">
        <v>1903</v>
      </c>
      <c r="Y45" s="229">
        <v>-2453</v>
      </c>
      <c r="Z45" s="229">
        <v>-7524</v>
      </c>
      <c r="AA45" s="229">
        <v>18230</v>
      </c>
      <c r="AB45" s="229">
        <v>-6347</v>
      </c>
      <c r="AC45" s="229">
        <v>-13295</v>
      </c>
    </row>
    <row r="46" spans="1:29" s="165" customFormat="1" ht="13.8">
      <c r="A46" s="591" t="s">
        <v>95</v>
      </c>
      <c r="B46" s="57" t="s">
        <v>96</v>
      </c>
      <c r="C46" s="57"/>
      <c r="D46" s="57"/>
      <c r="E46" s="57"/>
      <c r="F46" s="57"/>
      <c r="G46" s="57"/>
      <c r="H46" s="229"/>
      <c r="I46" s="229"/>
      <c r="J46" s="229"/>
      <c r="K46" s="229">
        <v>0</v>
      </c>
      <c r="L46" s="229">
        <v>0</v>
      </c>
      <c r="M46" s="229">
        <v>0</v>
      </c>
      <c r="N46" s="229">
        <v>0</v>
      </c>
      <c r="O46" s="229">
        <v>0</v>
      </c>
      <c r="P46" s="229">
        <v>0</v>
      </c>
      <c r="Q46" s="229">
        <v>0</v>
      </c>
      <c r="R46" s="229">
        <v>0</v>
      </c>
      <c r="S46" s="229">
        <v>0</v>
      </c>
      <c r="T46" s="229">
        <v>0</v>
      </c>
      <c r="U46" s="229">
        <v>0</v>
      </c>
      <c r="V46" s="229">
        <v>0</v>
      </c>
      <c r="W46" s="229">
        <v>0</v>
      </c>
      <c r="X46" s="229">
        <v>0</v>
      </c>
      <c r="Y46" s="229">
        <v>0</v>
      </c>
      <c r="Z46" s="229">
        <v>0</v>
      </c>
      <c r="AA46" s="229">
        <v>0</v>
      </c>
      <c r="AB46" s="229">
        <v>0</v>
      </c>
      <c r="AC46" s="229">
        <v>0</v>
      </c>
    </row>
    <row r="47" spans="1:29" s="578" customFormat="1" ht="13.8">
      <c r="A47" s="592"/>
      <c r="B47" s="592"/>
      <c r="C47" s="592"/>
      <c r="D47" s="592">
        <f t="shared" ref="D47:Y47" si="0">SUM(D9:D46)</f>
        <v>0</v>
      </c>
      <c r="E47" s="592">
        <f t="shared" si="0"/>
        <v>0</v>
      </c>
      <c r="F47" s="592">
        <f t="shared" si="0"/>
        <v>0</v>
      </c>
      <c r="G47" s="592">
        <f t="shared" si="0"/>
        <v>0</v>
      </c>
      <c r="H47" s="593">
        <f t="shared" si="0"/>
        <v>0</v>
      </c>
      <c r="I47" s="593">
        <f t="shared" si="0"/>
        <v>0</v>
      </c>
      <c r="J47" s="593">
        <f t="shared" si="0"/>
        <v>0</v>
      </c>
      <c r="K47" s="593">
        <f t="shared" si="0"/>
        <v>-294553</v>
      </c>
      <c r="L47" s="593">
        <f t="shared" si="0"/>
        <v>-7372</v>
      </c>
      <c r="M47" s="593">
        <f t="shared" si="0"/>
        <v>-31642</v>
      </c>
      <c r="N47" s="593">
        <f t="shared" si="0"/>
        <v>-81018</v>
      </c>
      <c r="O47" s="593">
        <f t="shared" si="0"/>
        <v>753113</v>
      </c>
      <c r="P47" s="593">
        <f t="shared" si="0"/>
        <v>6092</v>
      </c>
      <c r="Q47" s="593">
        <f t="shared" si="0"/>
        <v>16577</v>
      </c>
      <c r="R47" s="593">
        <f t="shared" si="0"/>
        <v>42502</v>
      </c>
      <c r="S47" s="593">
        <f t="shared" si="0"/>
        <v>233213</v>
      </c>
      <c r="T47" s="593">
        <f t="shared" si="0"/>
        <v>-2236</v>
      </c>
      <c r="U47" s="593">
        <f t="shared" si="0"/>
        <v>44480</v>
      </c>
      <c r="V47" s="593">
        <f t="shared" si="0"/>
        <v>87724</v>
      </c>
      <c r="W47" s="593">
        <f t="shared" si="0"/>
        <v>225682</v>
      </c>
      <c r="X47" s="593">
        <f t="shared" si="0"/>
        <v>49559</v>
      </c>
      <c r="Y47" s="593">
        <f t="shared" si="0"/>
        <v>126203</v>
      </c>
      <c r="Z47" s="593">
        <f t="shared" ref="Z47" si="1">SUM(Z9:Z46)</f>
        <v>175493</v>
      </c>
      <c r="AA47" s="593">
        <f t="shared" ref="AA47:AC47" si="2">SUM(AA9:AA46)</f>
        <v>170809</v>
      </c>
      <c r="AB47" s="593">
        <f t="shared" si="2"/>
        <v>79915</v>
      </c>
      <c r="AC47" s="593">
        <f t="shared" si="2"/>
        <v>123166</v>
      </c>
    </row>
    <row r="48" spans="1:29" s="165" customFormat="1" ht="13.8">
      <c r="A48" s="589" t="s">
        <v>1418</v>
      </c>
      <c r="B48" s="589" t="s">
        <v>2035</v>
      </c>
      <c r="C48" s="57"/>
      <c r="D48" s="57"/>
      <c r="E48" s="57"/>
      <c r="F48" s="57"/>
      <c r="G48" s="57"/>
      <c r="H48" s="229"/>
      <c r="I48" s="229"/>
      <c r="J48" s="229"/>
      <c r="K48" s="229"/>
      <c r="L48" s="229"/>
      <c r="M48" s="229"/>
      <c r="N48" s="229"/>
      <c r="O48" s="229"/>
      <c r="P48" s="229"/>
      <c r="Q48" s="229"/>
      <c r="R48" s="229"/>
      <c r="S48" s="229"/>
      <c r="T48" s="229"/>
      <c r="U48" s="229"/>
      <c r="V48" s="229"/>
      <c r="W48" s="229"/>
      <c r="X48" s="229"/>
      <c r="Y48" s="229"/>
      <c r="Z48" s="229"/>
      <c r="AA48" s="229"/>
      <c r="AB48" s="229"/>
      <c r="AC48" s="229"/>
    </row>
    <row r="49" spans="1:29" s="165" customFormat="1" ht="13.8">
      <c r="A49" s="591" t="s">
        <v>1057</v>
      </c>
      <c r="B49" s="57" t="s">
        <v>1994</v>
      </c>
      <c r="C49" s="57"/>
      <c r="D49" s="57"/>
      <c r="E49" s="57"/>
      <c r="F49" s="57"/>
      <c r="G49" s="57"/>
      <c r="H49" s="229"/>
      <c r="I49" s="229"/>
      <c r="J49" s="229"/>
      <c r="K49" s="229">
        <v>-94153</v>
      </c>
      <c r="L49" s="229">
        <v>16349</v>
      </c>
      <c r="M49" s="229">
        <v>20455</v>
      </c>
      <c r="N49" s="229">
        <v>26117</v>
      </c>
      <c r="O49" s="229">
        <v>2311</v>
      </c>
      <c r="P49" s="229">
        <v>-18601</v>
      </c>
      <c r="Q49" s="229">
        <v>-49143</v>
      </c>
      <c r="R49" s="229">
        <v>-63195</v>
      </c>
      <c r="S49" s="229">
        <v>-99051</v>
      </c>
      <c r="T49" s="229">
        <v>5753</v>
      </c>
      <c r="U49" s="229">
        <v>-14985</v>
      </c>
      <c r="V49" s="229">
        <v>-45262</v>
      </c>
      <c r="W49" s="229">
        <v>-42356</v>
      </c>
      <c r="X49" s="229">
        <v>28241</v>
      </c>
      <c r="Y49" s="229">
        <v>-38547</v>
      </c>
      <c r="Z49" s="229">
        <v>-57343</v>
      </c>
      <c r="AA49" s="229">
        <v>-30202</v>
      </c>
      <c r="AB49" s="229">
        <v>28931</v>
      </c>
      <c r="AC49" s="229">
        <v>7060</v>
      </c>
    </row>
    <row r="50" spans="1:29" s="165" customFormat="1" ht="13.8">
      <c r="A50" s="591" t="s">
        <v>887</v>
      </c>
      <c r="B50" s="57" t="s">
        <v>1995</v>
      </c>
      <c r="C50" s="57"/>
      <c r="D50" s="57"/>
      <c r="E50" s="57"/>
      <c r="F50" s="57"/>
      <c r="G50" s="57"/>
      <c r="H50" s="229"/>
      <c r="I50" s="229"/>
      <c r="J50" s="229"/>
      <c r="K50" s="229">
        <v>0</v>
      </c>
      <c r="L50" s="229">
        <v>0</v>
      </c>
      <c r="M50" s="229">
        <v>0</v>
      </c>
      <c r="N50" s="229">
        <v>0</v>
      </c>
      <c r="O50" s="229">
        <v>0</v>
      </c>
      <c r="P50" s="229">
        <v>0</v>
      </c>
      <c r="Q50" s="229">
        <v>0</v>
      </c>
      <c r="R50" s="229">
        <v>0</v>
      </c>
      <c r="S50" s="229">
        <v>990</v>
      </c>
      <c r="T50" s="229">
        <v>-346</v>
      </c>
      <c r="U50" s="229">
        <v>62</v>
      </c>
      <c r="V50" s="229">
        <v>0</v>
      </c>
      <c r="W50" s="229">
        <v>-983</v>
      </c>
      <c r="X50" s="229">
        <v>1209</v>
      </c>
      <c r="Y50" s="229">
        <v>-421</v>
      </c>
      <c r="Z50" s="229">
        <v>-1103</v>
      </c>
      <c r="AA50" s="229">
        <v>2557</v>
      </c>
      <c r="AB50" s="229">
        <v>5212</v>
      </c>
      <c r="AC50" s="229">
        <v>-2457</v>
      </c>
    </row>
    <row r="51" spans="1:29" s="165" customFormat="1" ht="13.8">
      <c r="A51" s="591" t="s">
        <v>1063</v>
      </c>
      <c r="B51" s="57" t="s">
        <v>1996</v>
      </c>
      <c r="C51" s="57"/>
      <c r="D51" s="57"/>
      <c r="E51" s="57"/>
      <c r="F51" s="57"/>
      <c r="G51" s="57"/>
      <c r="H51" s="229"/>
      <c r="I51" s="229"/>
      <c r="J51" s="229"/>
      <c r="K51" s="229">
        <v>-178</v>
      </c>
      <c r="L51" s="229">
        <v>-1084</v>
      </c>
      <c r="M51" s="229">
        <v>-2013</v>
      </c>
      <c r="N51" s="229">
        <v>-4974</v>
      </c>
      <c r="O51" s="229">
        <v>-8374</v>
      </c>
      <c r="P51" s="229">
        <v>-49</v>
      </c>
      <c r="Q51" s="229">
        <v>1615</v>
      </c>
      <c r="R51" s="229">
        <v>-2725</v>
      </c>
      <c r="S51" s="229">
        <v>-22400</v>
      </c>
      <c r="T51" s="229">
        <v>6154</v>
      </c>
      <c r="U51" s="229">
        <v>855</v>
      </c>
      <c r="V51" s="229">
        <v>-2854</v>
      </c>
      <c r="W51" s="229">
        <v>-8429</v>
      </c>
      <c r="X51" s="229">
        <v>-3252</v>
      </c>
      <c r="Y51" s="229">
        <v>-551</v>
      </c>
      <c r="Z51" s="229">
        <v>738</v>
      </c>
      <c r="AA51" s="229">
        <v>1194</v>
      </c>
      <c r="AB51" s="229">
        <v>6036</v>
      </c>
      <c r="AC51" s="229">
        <v>6754</v>
      </c>
    </row>
    <row r="52" spans="1:29" s="165" customFormat="1" ht="13.8">
      <c r="A52" s="591" t="s">
        <v>1068</v>
      </c>
      <c r="B52" s="57" t="s">
        <v>1997</v>
      </c>
      <c r="C52" s="57"/>
      <c r="D52" s="57"/>
      <c r="E52" s="57"/>
      <c r="F52" s="57"/>
      <c r="G52" s="57"/>
      <c r="H52" s="229"/>
      <c r="I52" s="229"/>
      <c r="J52" s="229"/>
      <c r="K52" s="229">
        <v>-23292</v>
      </c>
      <c r="L52" s="229">
        <v>21972</v>
      </c>
      <c r="M52" s="229">
        <v>21229</v>
      </c>
      <c r="N52" s="229">
        <v>21013</v>
      </c>
      <c r="O52" s="229">
        <v>20938</v>
      </c>
      <c r="P52" s="229">
        <v>-118</v>
      </c>
      <c r="Q52" s="229">
        <v>325</v>
      </c>
      <c r="R52" s="229">
        <v>109</v>
      </c>
      <c r="S52" s="229">
        <v>568</v>
      </c>
      <c r="T52" s="229">
        <v>-2155</v>
      </c>
      <c r="U52" s="229">
        <v>-4299</v>
      </c>
      <c r="V52" s="229">
        <v>139</v>
      </c>
      <c r="W52" s="229">
        <v>-5402</v>
      </c>
      <c r="X52" s="229">
        <v>-75</v>
      </c>
      <c r="Y52" s="229">
        <v>110</v>
      </c>
      <c r="Z52" s="229">
        <v>-288</v>
      </c>
      <c r="AA52" s="229">
        <v>1226</v>
      </c>
      <c r="AB52" s="229">
        <v>-92</v>
      </c>
      <c r="AC52" s="229">
        <v>-489</v>
      </c>
    </row>
    <row r="53" spans="1:29" s="165" customFormat="1" ht="13.8">
      <c r="A53" s="591" t="s">
        <v>1419</v>
      </c>
      <c r="B53" s="57" t="s">
        <v>1998</v>
      </c>
      <c r="C53" s="57"/>
      <c r="D53" s="57"/>
      <c r="E53" s="57"/>
      <c r="F53" s="57"/>
      <c r="G53" s="57"/>
      <c r="H53" s="229"/>
      <c r="I53" s="229"/>
      <c r="J53" s="229"/>
      <c r="K53" s="229">
        <v>0</v>
      </c>
      <c r="L53" s="229">
        <v>0</v>
      </c>
      <c r="M53" s="229">
        <v>0</v>
      </c>
      <c r="N53" s="229">
        <v>0</v>
      </c>
      <c r="O53" s="229">
        <v>0</v>
      </c>
      <c r="P53" s="229">
        <v>0</v>
      </c>
      <c r="Q53" s="229">
        <v>0</v>
      </c>
      <c r="R53" s="229">
        <v>0</v>
      </c>
      <c r="S53" s="229">
        <v>0</v>
      </c>
      <c r="T53" s="229">
        <v>0</v>
      </c>
      <c r="U53" s="229">
        <v>0</v>
      </c>
      <c r="V53" s="229">
        <v>0</v>
      </c>
      <c r="W53" s="229">
        <v>0</v>
      </c>
      <c r="X53" s="229">
        <v>0</v>
      </c>
      <c r="Y53" s="229">
        <v>0</v>
      </c>
      <c r="Z53" s="229" t="s">
        <v>2100</v>
      </c>
      <c r="AA53" s="229" t="s">
        <v>2100</v>
      </c>
      <c r="AB53" s="229" t="s">
        <v>2100</v>
      </c>
      <c r="AC53" s="229"/>
    </row>
    <row r="54" spans="1:29" s="165" customFormat="1" ht="13.8">
      <c r="A54" s="591" t="s">
        <v>1074</v>
      </c>
      <c r="B54" s="57" t="s">
        <v>1075</v>
      </c>
      <c r="C54" s="57"/>
      <c r="D54" s="57"/>
      <c r="E54" s="57"/>
      <c r="F54" s="57"/>
      <c r="G54" s="57"/>
      <c r="H54" s="229"/>
      <c r="I54" s="229"/>
      <c r="J54" s="229"/>
      <c r="K54" s="229">
        <v>509</v>
      </c>
      <c r="L54" s="229">
        <v>-2258</v>
      </c>
      <c r="M54" s="229">
        <v>-1536</v>
      </c>
      <c r="N54" s="229">
        <v>-3743</v>
      </c>
      <c r="O54" s="229">
        <v>-4537</v>
      </c>
      <c r="P54" s="229">
        <v>-504</v>
      </c>
      <c r="Q54" s="229">
        <v>-144</v>
      </c>
      <c r="R54" s="229">
        <v>-1628</v>
      </c>
      <c r="S54" s="229">
        <v>-464</v>
      </c>
      <c r="T54" s="229">
        <v>-561</v>
      </c>
      <c r="U54" s="229">
        <v>-811</v>
      </c>
      <c r="V54" s="229">
        <v>-1447</v>
      </c>
      <c r="W54" s="229">
        <v>-2183</v>
      </c>
      <c r="X54" s="229">
        <v>-37</v>
      </c>
      <c r="Y54" s="229">
        <v>-643</v>
      </c>
      <c r="Z54" s="229">
        <v>-2288</v>
      </c>
      <c r="AA54" s="229">
        <v>-1669</v>
      </c>
      <c r="AB54" s="229">
        <v>-327</v>
      </c>
      <c r="AC54" s="229">
        <v>-4748</v>
      </c>
    </row>
    <row r="55" spans="1:29" s="165" customFormat="1" ht="13.8">
      <c r="A55" s="591" t="s">
        <v>1420</v>
      </c>
      <c r="B55" s="57" t="s">
        <v>1999</v>
      </c>
      <c r="C55" s="57"/>
      <c r="D55" s="57"/>
      <c r="E55" s="57"/>
      <c r="F55" s="57"/>
      <c r="G55" s="57"/>
      <c r="H55" s="229"/>
      <c r="I55" s="229"/>
      <c r="J55" s="229"/>
      <c r="K55" s="229">
        <v>-41084</v>
      </c>
      <c r="L55" s="229">
        <v>-12610</v>
      </c>
      <c r="M55" s="229">
        <v>-30701</v>
      </c>
      <c r="N55" s="229">
        <v>-44672</v>
      </c>
      <c r="O55" s="229">
        <v>-42223</v>
      </c>
      <c r="P55" s="229">
        <v>-5684</v>
      </c>
      <c r="Q55" s="229">
        <v>-14569</v>
      </c>
      <c r="R55" s="229">
        <v>-17016</v>
      </c>
      <c r="S55" s="229">
        <v>-17426</v>
      </c>
      <c r="T55" s="229">
        <v>-159</v>
      </c>
      <c r="U55" s="229">
        <v>-11219</v>
      </c>
      <c r="V55" s="229">
        <v>-16508</v>
      </c>
      <c r="W55" s="229">
        <v>-14741</v>
      </c>
      <c r="X55" s="229">
        <v>3372</v>
      </c>
      <c r="Y55" s="229">
        <v>7950</v>
      </c>
      <c r="Z55" s="229">
        <v>8310</v>
      </c>
      <c r="AA55" s="229">
        <v>16272</v>
      </c>
      <c r="AB55" s="229">
        <v>3119</v>
      </c>
      <c r="AC55" s="229">
        <v>65218</v>
      </c>
    </row>
    <row r="56" spans="1:29" s="165" customFormat="1" ht="13.8">
      <c r="A56" s="591" t="s">
        <v>1078</v>
      </c>
      <c r="B56" s="57" t="s">
        <v>2000</v>
      </c>
      <c r="C56" s="57"/>
      <c r="D56" s="57"/>
      <c r="E56" s="57"/>
      <c r="F56" s="57"/>
      <c r="G56" s="57"/>
      <c r="H56" s="229"/>
      <c r="I56" s="229"/>
      <c r="J56" s="229"/>
      <c r="K56" s="229">
        <v>618</v>
      </c>
      <c r="L56" s="229">
        <v>-4334</v>
      </c>
      <c r="M56" s="229">
        <v>-9787</v>
      </c>
      <c r="N56" s="229">
        <v>-13851</v>
      </c>
      <c r="O56" s="229">
        <v>-28823</v>
      </c>
      <c r="P56" s="229">
        <v>20308</v>
      </c>
      <c r="Q56" s="229">
        <v>20204</v>
      </c>
      <c r="R56" s="229">
        <v>11488</v>
      </c>
      <c r="S56" s="229">
        <v>11286</v>
      </c>
      <c r="T56" s="229">
        <v>-2944</v>
      </c>
      <c r="U56" s="229">
        <v>-4854</v>
      </c>
      <c r="V56" s="229">
        <v>3227</v>
      </c>
      <c r="W56" s="229">
        <v>-980</v>
      </c>
      <c r="X56" s="229">
        <v>-11653</v>
      </c>
      <c r="Y56" s="229">
        <v>-18817</v>
      </c>
      <c r="Z56" s="229">
        <v>-21473</v>
      </c>
      <c r="AA56" s="229">
        <v>-6803</v>
      </c>
      <c r="AB56" s="229">
        <v>-12849</v>
      </c>
      <c r="AC56" s="229">
        <v>-29517</v>
      </c>
    </row>
    <row r="57" spans="1:29" s="165" customFormat="1" ht="13.8">
      <c r="A57" s="591" t="s">
        <v>1421</v>
      </c>
      <c r="B57" s="57" t="s">
        <v>2001</v>
      </c>
      <c r="C57" s="57"/>
      <c r="D57" s="57"/>
      <c r="E57" s="57"/>
      <c r="F57" s="57"/>
      <c r="G57" s="57"/>
      <c r="H57" s="229"/>
      <c r="I57" s="229"/>
      <c r="J57" s="229"/>
      <c r="K57" s="229">
        <v>0</v>
      </c>
      <c r="L57" s="229">
        <v>0</v>
      </c>
      <c r="M57" s="229">
        <v>0</v>
      </c>
      <c r="N57" s="229">
        <v>0</v>
      </c>
      <c r="O57" s="229">
        <v>0</v>
      </c>
      <c r="P57" s="229">
        <v>0</v>
      </c>
      <c r="Q57" s="229">
        <v>0</v>
      </c>
      <c r="R57" s="229">
        <v>0</v>
      </c>
      <c r="S57" s="229">
        <v>0</v>
      </c>
      <c r="T57" s="229">
        <v>0</v>
      </c>
      <c r="U57" s="229">
        <v>0</v>
      </c>
      <c r="V57" s="229">
        <v>0</v>
      </c>
      <c r="W57" s="229">
        <v>0</v>
      </c>
      <c r="X57" s="229">
        <v>0</v>
      </c>
      <c r="Y57" s="229">
        <v>0</v>
      </c>
      <c r="Z57" s="229">
        <v>0</v>
      </c>
      <c r="AA57" s="229">
        <v>0</v>
      </c>
      <c r="AB57" s="229">
        <v>0</v>
      </c>
      <c r="AC57" s="229"/>
    </row>
    <row r="58" spans="1:29" s="165" customFormat="1" ht="13.8">
      <c r="A58" s="591" t="s">
        <v>1422</v>
      </c>
      <c r="B58" s="57" t="s">
        <v>2002</v>
      </c>
      <c r="C58" s="57"/>
      <c r="D58" s="57"/>
      <c r="E58" s="57"/>
      <c r="F58" s="57"/>
      <c r="G58" s="57"/>
      <c r="H58" s="229"/>
      <c r="I58" s="229"/>
      <c r="J58" s="229"/>
      <c r="K58" s="229">
        <v>0</v>
      </c>
      <c r="L58" s="229">
        <v>0</v>
      </c>
      <c r="M58" s="229">
        <v>0</v>
      </c>
      <c r="N58" s="229">
        <v>0</v>
      </c>
      <c r="O58" s="229">
        <v>0</v>
      </c>
      <c r="P58" s="229">
        <v>0</v>
      </c>
      <c r="Q58" s="229">
        <v>0</v>
      </c>
      <c r="R58" s="229">
        <v>0</v>
      </c>
      <c r="S58" s="229">
        <v>0</v>
      </c>
      <c r="T58" s="229">
        <v>0</v>
      </c>
      <c r="U58" s="229">
        <v>0</v>
      </c>
      <c r="V58" s="229">
        <v>0</v>
      </c>
      <c r="W58" s="229">
        <v>0</v>
      </c>
      <c r="X58" s="229">
        <v>0</v>
      </c>
      <c r="Y58" s="229">
        <v>0</v>
      </c>
      <c r="Z58" s="229">
        <v>0</v>
      </c>
      <c r="AA58" s="229">
        <v>0</v>
      </c>
      <c r="AB58" s="229">
        <v>0</v>
      </c>
      <c r="AC58" s="229"/>
    </row>
    <row r="59" spans="1:29" s="165" customFormat="1" ht="13.8">
      <c r="A59" s="591" t="s">
        <v>1352</v>
      </c>
      <c r="B59" s="57" t="s">
        <v>2003</v>
      </c>
      <c r="C59" s="57"/>
      <c r="D59" s="57"/>
      <c r="E59" s="57"/>
      <c r="F59" s="57"/>
      <c r="G59" s="57"/>
      <c r="H59" s="229"/>
      <c r="I59" s="229"/>
      <c r="J59" s="229"/>
      <c r="K59" s="229">
        <v>137080</v>
      </c>
      <c r="L59" s="229">
        <v>2475</v>
      </c>
      <c r="M59" s="229">
        <v>188009</v>
      </c>
      <c r="N59" s="229">
        <v>204367</v>
      </c>
      <c r="O59" s="229">
        <v>204367</v>
      </c>
      <c r="P59" s="229">
        <v>4988</v>
      </c>
      <c r="Q59" s="229">
        <v>12103</v>
      </c>
      <c r="R59" s="229">
        <v>17090</v>
      </c>
      <c r="S59" s="229">
        <v>22077</v>
      </c>
      <c r="T59" s="229">
        <v>0</v>
      </c>
      <c r="U59" s="229">
        <v>18443</v>
      </c>
      <c r="V59" s="229">
        <v>248143</v>
      </c>
      <c r="W59" s="229">
        <v>313811</v>
      </c>
      <c r="X59" s="229">
        <v>7186</v>
      </c>
      <c r="Y59" s="229">
        <v>12767</v>
      </c>
      <c r="Z59" s="229">
        <v>22350</v>
      </c>
      <c r="AA59" s="229">
        <v>29535</v>
      </c>
      <c r="AB59" s="229">
        <v>118799</v>
      </c>
      <c r="AC59" s="229">
        <v>120525</v>
      </c>
    </row>
    <row r="60" spans="1:29" s="165" customFormat="1" ht="13.8">
      <c r="A60" s="591" t="s">
        <v>1423</v>
      </c>
      <c r="B60" s="57" t="s">
        <v>1187</v>
      </c>
      <c r="C60" s="57"/>
      <c r="D60" s="57"/>
      <c r="E60" s="57"/>
      <c r="F60" s="57"/>
      <c r="G60" s="57"/>
      <c r="H60" s="229"/>
      <c r="I60" s="229"/>
      <c r="J60" s="229"/>
      <c r="K60" s="229">
        <v>0</v>
      </c>
      <c r="L60" s="229">
        <v>0</v>
      </c>
      <c r="M60" s="229">
        <v>0</v>
      </c>
      <c r="N60" s="229">
        <v>0</v>
      </c>
      <c r="O60" s="229">
        <v>0</v>
      </c>
      <c r="P60" s="229">
        <v>0</v>
      </c>
      <c r="Q60" s="229">
        <v>0</v>
      </c>
      <c r="R60" s="229">
        <v>0</v>
      </c>
      <c r="S60" s="229">
        <v>0</v>
      </c>
      <c r="T60" s="229">
        <v>0</v>
      </c>
      <c r="U60" s="229">
        <v>0</v>
      </c>
      <c r="V60" s="229">
        <v>0</v>
      </c>
      <c r="W60" s="229">
        <v>0</v>
      </c>
      <c r="X60" s="229">
        <v>0</v>
      </c>
      <c r="Y60" s="229">
        <v>0</v>
      </c>
      <c r="Z60" s="229">
        <v>0</v>
      </c>
      <c r="AA60" s="229">
        <v>0</v>
      </c>
      <c r="AB60" s="229">
        <v>0</v>
      </c>
      <c r="AC60" s="229"/>
    </row>
    <row r="61" spans="1:29" s="165" customFormat="1" ht="13.8">
      <c r="A61" s="591" t="s">
        <v>1080</v>
      </c>
      <c r="B61" s="57" t="s">
        <v>2004</v>
      </c>
      <c r="C61" s="57"/>
      <c r="D61" s="57"/>
      <c r="E61" s="57"/>
      <c r="F61" s="57"/>
      <c r="G61" s="57"/>
      <c r="H61" s="229"/>
      <c r="I61" s="229"/>
      <c r="J61" s="229"/>
      <c r="K61" s="229">
        <v>-13913</v>
      </c>
      <c r="L61" s="229">
        <v>3326</v>
      </c>
      <c r="M61" s="229">
        <v>5012</v>
      </c>
      <c r="N61" s="229">
        <v>8839</v>
      </c>
      <c r="O61" s="229">
        <v>-15196</v>
      </c>
      <c r="P61" s="229">
        <v>61</v>
      </c>
      <c r="Q61" s="229">
        <v>-1188</v>
      </c>
      <c r="R61" s="229">
        <v>-26300</v>
      </c>
      <c r="S61" s="229">
        <v>10105</v>
      </c>
      <c r="T61" s="229">
        <v>-3183</v>
      </c>
      <c r="U61" s="229">
        <v>-30639</v>
      </c>
      <c r="V61" s="229">
        <v>-34242</v>
      </c>
      <c r="W61" s="229">
        <v>-95758</v>
      </c>
      <c r="X61" s="229">
        <v>47</v>
      </c>
      <c r="Y61" s="229">
        <v>32801</v>
      </c>
      <c r="Z61" s="229">
        <v>47520</v>
      </c>
      <c r="AA61" s="229">
        <v>59155</v>
      </c>
      <c r="AB61" s="229">
        <v>-39506</v>
      </c>
      <c r="AC61" s="229">
        <v>-73224</v>
      </c>
    </row>
    <row r="62" spans="1:29" s="165" customFormat="1" ht="13.8">
      <c r="A62" s="591" t="s">
        <v>1102</v>
      </c>
      <c r="B62" s="57" t="s">
        <v>1103</v>
      </c>
      <c r="C62" s="57"/>
      <c r="D62" s="57"/>
      <c r="E62" s="57"/>
      <c r="F62" s="57"/>
      <c r="G62" s="57"/>
      <c r="H62" s="229"/>
      <c r="I62" s="229"/>
      <c r="J62" s="229"/>
      <c r="K62" s="229">
        <v>-5008</v>
      </c>
      <c r="L62" s="229">
        <v>-567442</v>
      </c>
      <c r="M62" s="229">
        <v>-592402</v>
      </c>
      <c r="N62" s="229">
        <v>-854520</v>
      </c>
      <c r="O62" s="229">
        <v>-1666960</v>
      </c>
      <c r="P62" s="229">
        <v>-57556</v>
      </c>
      <c r="Q62" s="229">
        <v>-42426</v>
      </c>
      <c r="R62" s="229">
        <v>-69331</v>
      </c>
      <c r="S62" s="229">
        <v>-53005</v>
      </c>
      <c r="T62" s="229">
        <v>-40948</v>
      </c>
      <c r="U62" s="229">
        <v>-41818</v>
      </c>
      <c r="V62" s="229">
        <v>-41796</v>
      </c>
      <c r="W62" s="229">
        <v>-26794</v>
      </c>
      <c r="X62" s="229">
        <v>-21253</v>
      </c>
      <c r="Y62" s="229">
        <v>-3043</v>
      </c>
      <c r="Z62" s="229">
        <v>43215</v>
      </c>
      <c r="AA62" s="229">
        <v>16512</v>
      </c>
      <c r="AB62" s="229">
        <v>3243</v>
      </c>
      <c r="AC62" s="229">
        <v>12704</v>
      </c>
    </row>
    <row r="63" spans="1:29" s="4" customFormat="1" ht="13.8">
      <c r="A63" s="591" t="s">
        <v>1424</v>
      </c>
      <c r="B63" s="57" t="s">
        <v>1351</v>
      </c>
      <c r="C63" s="104"/>
      <c r="D63" s="104"/>
      <c r="E63" s="104"/>
      <c r="F63" s="104"/>
      <c r="G63" s="104"/>
      <c r="H63" s="229"/>
      <c r="I63" s="229"/>
      <c r="J63" s="229"/>
      <c r="K63" s="229">
        <v>0</v>
      </c>
      <c r="L63" s="229">
        <v>0</v>
      </c>
      <c r="M63" s="229">
        <v>0</v>
      </c>
      <c r="N63" s="229">
        <v>0</v>
      </c>
      <c r="O63" s="229">
        <v>0</v>
      </c>
      <c r="P63" s="229">
        <v>0</v>
      </c>
      <c r="Q63" s="229">
        <v>0</v>
      </c>
      <c r="R63" s="229">
        <v>0</v>
      </c>
      <c r="S63" s="229">
        <v>0</v>
      </c>
      <c r="T63" s="229">
        <v>0</v>
      </c>
      <c r="U63" s="229">
        <v>0</v>
      </c>
      <c r="V63" s="229">
        <v>0</v>
      </c>
      <c r="W63" s="229">
        <v>0</v>
      </c>
      <c r="X63" s="229">
        <v>0</v>
      </c>
      <c r="Y63" s="229">
        <v>0</v>
      </c>
      <c r="Z63" s="229">
        <v>0</v>
      </c>
      <c r="AA63" s="229">
        <v>0</v>
      </c>
      <c r="AB63" s="229">
        <v>0</v>
      </c>
      <c r="AC63" s="229"/>
    </row>
    <row r="64" spans="1:29" s="165" customFormat="1" ht="13.8">
      <c r="A64" s="591" t="s">
        <v>1104</v>
      </c>
      <c r="B64" s="57" t="s">
        <v>2005</v>
      </c>
      <c r="C64" s="57"/>
      <c r="D64" s="57"/>
      <c r="E64" s="57"/>
      <c r="F64" s="57"/>
      <c r="G64" s="57"/>
      <c r="H64" s="229"/>
      <c r="I64" s="229"/>
      <c r="J64" s="229"/>
      <c r="K64" s="229">
        <v>3842</v>
      </c>
      <c r="L64" s="229">
        <v>299</v>
      </c>
      <c r="M64" s="229">
        <v>-10125</v>
      </c>
      <c r="N64" s="229">
        <v>-34955</v>
      </c>
      <c r="O64" s="229">
        <v>-40416.677110000004</v>
      </c>
      <c r="P64" s="229">
        <v>-765</v>
      </c>
      <c r="Q64" s="229">
        <v>-3559</v>
      </c>
      <c r="R64" s="229">
        <v>-5758</v>
      </c>
      <c r="S64" s="229">
        <v>-10752</v>
      </c>
      <c r="T64" s="229">
        <v>-934</v>
      </c>
      <c r="U64" s="229">
        <v>-4927</v>
      </c>
      <c r="V64" s="229">
        <v>-11222</v>
      </c>
      <c r="W64" s="229">
        <v>-16113</v>
      </c>
      <c r="X64" s="229">
        <v>-2339</v>
      </c>
      <c r="Y64" s="229">
        <v>-7133</v>
      </c>
      <c r="Z64" s="229">
        <v>-12551</v>
      </c>
      <c r="AA64" s="229">
        <v>-20754</v>
      </c>
      <c r="AB64" s="229">
        <v>-5495</v>
      </c>
      <c r="AC64" s="229">
        <v>-12806</v>
      </c>
    </row>
    <row r="65" spans="1:29" s="165" customFormat="1" ht="13.8">
      <c r="A65" s="591" t="s">
        <v>1111</v>
      </c>
      <c r="B65" s="57" t="s">
        <v>2006</v>
      </c>
      <c r="C65" s="57"/>
      <c r="D65" s="57"/>
      <c r="E65" s="57"/>
      <c r="F65" s="57"/>
      <c r="G65" s="57"/>
      <c r="H65" s="229"/>
      <c r="I65" s="229"/>
      <c r="J65" s="229"/>
      <c r="K65" s="229">
        <v>78759</v>
      </c>
      <c r="L65" s="229">
        <v>24816</v>
      </c>
      <c r="M65" s="229">
        <v>42654</v>
      </c>
      <c r="N65" s="229">
        <v>19605</v>
      </c>
      <c r="O65" s="229">
        <v>113601</v>
      </c>
      <c r="P65" s="229">
        <v>-21935</v>
      </c>
      <c r="Q65" s="229">
        <v>-23625</v>
      </c>
      <c r="R65" s="229">
        <v>-32835</v>
      </c>
      <c r="S65" s="229">
        <v>-134607</v>
      </c>
      <c r="T65" s="229">
        <v>-12590</v>
      </c>
      <c r="U65" s="229">
        <v>-20887</v>
      </c>
      <c r="V65" s="229">
        <v>-38608</v>
      </c>
      <c r="W65" s="229">
        <v>-59557</v>
      </c>
      <c r="X65" s="229">
        <v>-19914</v>
      </c>
      <c r="Y65" s="229">
        <v>-31857</v>
      </c>
      <c r="Z65" s="229">
        <v>-39870</v>
      </c>
      <c r="AA65" s="229">
        <v>-64483</v>
      </c>
      <c r="AB65" s="229">
        <v>-24700</v>
      </c>
      <c r="AC65" s="229">
        <v>-37593</v>
      </c>
    </row>
    <row r="66" spans="1:29" s="165" customFormat="1" ht="13.8">
      <c r="A66" s="591" t="s">
        <v>1113</v>
      </c>
      <c r="B66" s="57" t="s">
        <v>2007</v>
      </c>
      <c r="C66" s="57"/>
      <c r="D66" s="57"/>
      <c r="E66" s="57"/>
      <c r="F66" s="57"/>
      <c r="G66" s="57"/>
      <c r="H66" s="229"/>
      <c r="I66" s="229"/>
      <c r="J66" s="229"/>
      <c r="K66" s="229">
        <v>-1540</v>
      </c>
      <c r="L66" s="229">
        <v>12143</v>
      </c>
      <c r="M66" s="229">
        <v>-46384</v>
      </c>
      <c r="N66" s="229">
        <v>-60520</v>
      </c>
      <c r="O66" s="229">
        <v>-181634</v>
      </c>
      <c r="P66" s="229">
        <v>-6170</v>
      </c>
      <c r="Q66" s="229">
        <v>-8014</v>
      </c>
      <c r="R66" s="229">
        <v>3727</v>
      </c>
      <c r="S66" s="229">
        <v>1723</v>
      </c>
      <c r="T66" s="229">
        <v>-55</v>
      </c>
      <c r="U66" s="229">
        <v>-70</v>
      </c>
      <c r="V66" s="229">
        <v>-30</v>
      </c>
      <c r="W66" s="229">
        <v>-230</v>
      </c>
      <c r="X66" s="229">
        <v>-136</v>
      </c>
      <c r="Y66" s="229">
        <v>7674</v>
      </c>
      <c r="Z66" s="229">
        <v>-6634</v>
      </c>
      <c r="AA66" s="229">
        <v>-29242</v>
      </c>
      <c r="AB66" s="229">
        <v>8300</v>
      </c>
      <c r="AC66" s="229">
        <v>19553</v>
      </c>
    </row>
    <row r="67" spans="1:29" s="165" customFormat="1" ht="13.8">
      <c r="A67" s="591" t="s">
        <v>1425</v>
      </c>
      <c r="B67" s="57" t="s">
        <v>775</v>
      </c>
      <c r="C67" s="57"/>
      <c r="D67" s="57"/>
      <c r="E67" s="57"/>
      <c r="F67" s="57"/>
      <c r="G67" s="57"/>
      <c r="H67" s="229"/>
      <c r="I67" s="229"/>
      <c r="J67" s="229"/>
      <c r="K67" s="229">
        <v>0</v>
      </c>
      <c r="L67" s="229">
        <v>0</v>
      </c>
      <c r="M67" s="229">
        <v>0</v>
      </c>
      <c r="N67" s="229">
        <v>0</v>
      </c>
      <c r="O67" s="229">
        <v>0</v>
      </c>
      <c r="P67" s="229">
        <v>0</v>
      </c>
      <c r="Q67" s="229">
        <v>0</v>
      </c>
      <c r="R67" s="229">
        <v>0</v>
      </c>
      <c r="S67" s="229">
        <v>0</v>
      </c>
      <c r="T67" s="229">
        <v>0</v>
      </c>
      <c r="U67" s="229">
        <v>0</v>
      </c>
      <c r="V67" s="229">
        <v>0</v>
      </c>
      <c r="W67" s="229">
        <v>0</v>
      </c>
      <c r="X67" s="229">
        <v>0</v>
      </c>
      <c r="Y67" s="229">
        <v>0</v>
      </c>
      <c r="Z67" s="229">
        <v>0</v>
      </c>
      <c r="AA67" s="229">
        <v>0</v>
      </c>
      <c r="AB67" s="229">
        <v>0</v>
      </c>
      <c r="AC67" s="229"/>
    </row>
    <row r="68" spans="1:29" s="165" customFormat="1" ht="13.8">
      <c r="A68" s="591" t="s">
        <v>1119</v>
      </c>
      <c r="B68" s="57" t="s">
        <v>1120</v>
      </c>
      <c r="C68" s="57"/>
      <c r="D68" s="57"/>
      <c r="E68" s="57"/>
      <c r="F68" s="57"/>
      <c r="G68" s="57"/>
      <c r="H68" s="229"/>
      <c r="I68" s="229"/>
      <c r="J68" s="229"/>
      <c r="K68" s="229">
        <v>0</v>
      </c>
      <c r="L68" s="229">
        <v>0</v>
      </c>
      <c r="M68" s="229">
        <v>4997</v>
      </c>
      <c r="N68" s="229">
        <v>3058</v>
      </c>
      <c r="O68" s="229">
        <v>3309</v>
      </c>
      <c r="P68" s="229">
        <v>-138</v>
      </c>
      <c r="Q68" s="229">
        <v>-64</v>
      </c>
      <c r="R68" s="229">
        <v>-149</v>
      </c>
      <c r="S68" s="229">
        <v>1892</v>
      </c>
      <c r="T68" s="229">
        <v>-819</v>
      </c>
      <c r="U68" s="229">
        <v>1298</v>
      </c>
      <c r="V68" s="229">
        <v>-890</v>
      </c>
      <c r="W68" s="229">
        <v>-931</v>
      </c>
      <c r="X68" s="229">
        <v>-61</v>
      </c>
      <c r="Y68" s="229">
        <v>-2837</v>
      </c>
      <c r="Z68" s="229">
        <v>1604</v>
      </c>
      <c r="AA68" s="229">
        <v>536</v>
      </c>
      <c r="AB68" s="229">
        <v>-464</v>
      </c>
      <c r="AC68" s="229">
        <v>371</v>
      </c>
    </row>
    <row r="69" spans="1:29" s="165" customFormat="1" ht="13.8">
      <c r="A69" s="591" t="s">
        <v>1117</v>
      </c>
      <c r="B69" s="57" t="s">
        <v>1118</v>
      </c>
      <c r="C69" s="57"/>
      <c r="D69" s="57"/>
      <c r="E69" s="57"/>
      <c r="F69" s="57"/>
      <c r="G69" s="57"/>
      <c r="H69" s="229"/>
      <c r="I69" s="229"/>
      <c r="J69" s="229"/>
      <c r="K69" s="229">
        <v>-2574</v>
      </c>
      <c r="L69" s="229">
        <v>-8557</v>
      </c>
      <c r="M69" s="229">
        <v>-13763</v>
      </c>
      <c r="N69" s="229">
        <v>-6461</v>
      </c>
      <c r="O69" s="229">
        <v>-7044</v>
      </c>
      <c r="P69" s="229">
        <v>-1031</v>
      </c>
      <c r="Q69" s="229">
        <v>-2114</v>
      </c>
      <c r="R69" s="229">
        <v>-3352</v>
      </c>
      <c r="S69" s="229">
        <v>-3625</v>
      </c>
      <c r="T69" s="229">
        <v>-2139</v>
      </c>
      <c r="U69" s="229">
        <v>-3353</v>
      </c>
      <c r="V69" s="229">
        <v>-4837</v>
      </c>
      <c r="W69" s="229">
        <v>-67287</v>
      </c>
      <c r="X69" s="229">
        <v>-1711</v>
      </c>
      <c r="Y69" s="229">
        <v>-3100</v>
      </c>
      <c r="Z69" s="229">
        <v>-4769</v>
      </c>
      <c r="AA69" s="229">
        <v>74096</v>
      </c>
      <c r="AB69" s="229">
        <v>-2108</v>
      </c>
      <c r="AC69" s="229">
        <v>-38763</v>
      </c>
    </row>
    <row r="70" spans="1:29" s="165" customFormat="1" ht="13.8">
      <c r="A70" s="591" t="s">
        <v>1123</v>
      </c>
      <c r="B70" s="57" t="s">
        <v>2008</v>
      </c>
      <c r="C70" s="57"/>
      <c r="D70" s="57"/>
      <c r="E70" s="57"/>
      <c r="F70" s="57"/>
      <c r="G70" s="57"/>
      <c r="H70" s="229"/>
      <c r="I70" s="229"/>
      <c r="J70" s="229"/>
      <c r="K70" s="229">
        <v>0</v>
      </c>
      <c r="L70" s="229">
        <v>0</v>
      </c>
      <c r="M70" s="229">
        <v>0</v>
      </c>
      <c r="N70" s="229">
        <v>0</v>
      </c>
      <c r="O70" s="229">
        <v>0</v>
      </c>
      <c r="P70" s="229">
        <v>0</v>
      </c>
      <c r="Q70" s="229">
        <v>-3139</v>
      </c>
      <c r="R70" s="229">
        <v>-3139</v>
      </c>
      <c r="S70" s="229">
        <v>-3140</v>
      </c>
      <c r="T70" s="229">
        <v>-1739</v>
      </c>
      <c r="U70" s="229">
        <v>-3515</v>
      </c>
      <c r="V70" s="229">
        <v>-3516</v>
      </c>
      <c r="W70" s="229">
        <v>-3518</v>
      </c>
      <c r="X70" s="229">
        <v>-3352</v>
      </c>
      <c r="Y70" s="229">
        <v>-3679</v>
      </c>
      <c r="Z70" s="229">
        <v>-3680</v>
      </c>
      <c r="AA70" s="229">
        <v>-3682</v>
      </c>
      <c r="AB70" s="229">
        <v>-2</v>
      </c>
      <c r="AC70" s="229">
        <v>-5062</v>
      </c>
    </row>
    <row r="71" spans="1:29" s="165" customFormat="1" ht="13.8">
      <c r="A71" s="591" t="s">
        <v>1426</v>
      </c>
      <c r="B71" s="57" t="s">
        <v>2009</v>
      </c>
      <c r="C71" s="57"/>
      <c r="D71" s="57"/>
      <c r="E71" s="57"/>
      <c r="F71" s="57"/>
      <c r="G71" s="57"/>
      <c r="H71" s="229"/>
      <c r="I71" s="229"/>
      <c r="J71" s="229"/>
      <c r="K71" s="229">
        <v>0</v>
      </c>
      <c r="L71" s="229">
        <v>0</v>
      </c>
      <c r="M71" s="229">
        <v>0</v>
      </c>
      <c r="N71" s="229">
        <v>0</v>
      </c>
      <c r="O71" s="229">
        <v>0</v>
      </c>
      <c r="P71" s="229">
        <v>0</v>
      </c>
      <c r="Q71" s="229">
        <v>0</v>
      </c>
      <c r="R71" s="229">
        <v>0</v>
      </c>
      <c r="S71" s="229">
        <v>0</v>
      </c>
      <c r="T71" s="229">
        <v>0</v>
      </c>
      <c r="U71" s="229">
        <v>0</v>
      </c>
      <c r="V71" s="229">
        <v>0</v>
      </c>
      <c r="W71" s="229">
        <v>0</v>
      </c>
      <c r="X71" s="229">
        <v>0</v>
      </c>
      <c r="Y71" s="229">
        <v>0</v>
      </c>
      <c r="Z71" s="229">
        <v>0</v>
      </c>
      <c r="AA71" s="229">
        <v>0</v>
      </c>
      <c r="AB71" s="229">
        <v>0</v>
      </c>
      <c r="AC71" s="229"/>
    </row>
    <row r="72" spans="1:29" s="165" customFormat="1" ht="13.8">
      <c r="A72" s="591" t="s">
        <v>1194</v>
      </c>
      <c r="B72" s="57" t="s">
        <v>2010</v>
      </c>
      <c r="C72" s="57"/>
      <c r="D72" s="57"/>
      <c r="E72" s="57"/>
      <c r="F72" s="57"/>
      <c r="G72" s="57"/>
      <c r="H72" s="229"/>
      <c r="I72" s="229"/>
      <c r="J72" s="229"/>
      <c r="K72" s="229">
        <v>0</v>
      </c>
      <c r="L72" s="229">
        <v>0</v>
      </c>
      <c r="M72" s="229">
        <v>0</v>
      </c>
      <c r="N72" s="229">
        <v>0</v>
      </c>
      <c r="O72" s="229">
        <v>0</v>
      </c>
      <c r="P72" s="229">
        <v>0</v>
      </c>
      <c r="Q72" s="229">
        <v>0</v>
      </c>
      <c r="R72" s="229">
        <v>0</v>
      </c>
      <c r="S72" s="229">
        <v>0</v>
      </c>
      <c r="T72" s="229">
        <v>0</v>
      </c>
      <c r="U72" s="229">
        <v>0</v>
      </c>
      <c r="V72" s="229">
        <v>0</v>
      </c>
      <c r="W72" s="229">
        <v>0</v>
      </c>
      <c r="X72" s="229">
        <v>0</v>
      </c>
      <c r="Y72" s="229">
        <v>0</v>
      </c>
      <c r="Z72" s="229">
        <v>0</v>
      </c>
      <c r="AA72" s="229">
        <v>0</v>
      </c>
      <c r="AB72" s="229">
        <v>0</v>
      </c>
      <c r="AC72" s="229"/>
    </row>
    <row r="73" spans="1:29" s="165" customFormat="1" ht="13.8">
      <c r="A73" s="591" t="s">
        <v>1479</v>
      </c>
      <c r="B73" s="57" t="s">
        <v>1126</v>
      </c>
      <c r="C73" s="57"/>
      <c r="D73" s="57"/>
      <c r="E73" s="57"/>
      <c r="F73" s="57"/>
      <c r="G73" s="57"/>
      <c r="H73" s="229"/>
      <c r="I73" s="229"/>
      <c r="J73" s="229"/>
      <c r="K73" s="229">
        <v>-5175</v>
      </c>
      <c r="L73" s="229">
        <v>-582</v>
      </c>
      <c r="M73" s="229">
        <v>12182</v>
      </c>
      <c r="N73" s="229">
        <v>8017</v>
      </c>
      <c r="O73" s="229">
        <v>4844</v>
      </c>
      <c r="P73" s="229">
        <v>-4498</v>
      </c>
      <c r="Q73" s="229">
        <v>-14288</v>
      </c>
      <c r="R73" s="229">
        <v>-17704</v>
      </c>
      <c r="S73" s="229">
        <v>-22880</v>
      </c>
      <c r="T73" s="229">
        <v>-34781</v>
      </c>
      <c r="U73" s="229">
        <v>-41786</v>
      </c>
      <c r="V73" s="229">
        <v>-47732</v>
      </c>
      <c r="W73" s="229">
        <v>-53572</v>
      </c>
      <c r="X73" s="229">
        <v>-5416</v>
      </c>
      <c r="Y73" s="229">
        <v>-10779</v>
      </c>
      <c r="Z73" s="229">
        <v>-15060</v>
      </c>
      <c r="AA73" s="229">
        <v>-23057</v>
      </c>
      <c r="AB73" s="229">
        <v>-4482</v>
      </c>
      <c r="AC73" s="229">
        <v>-9907</v>
      </c>
    </row>
    <row r="74" spans="1:29" s="165" customFormat="1" ht="13.8">
      <c r="A74" s="591" t="s">
        <v>1265</v>
      </c>
      <c r="B74" s="57" t="s">
        <v>1266</v>
      </c>
      <c r="C74" s="57"/>
      <c r="D74" s="57"/>
      <c r="E74" s="57"/>
      <c r="F74" s="57"/>
      <c r="G74" s="57"/>
      <c r="H74" s="229"/>
      <c r="I74" s="229"/>
      <c r="J74" s="229"/>
      <c r="K74" s="229">
        <v>0</v>
      </c>
      <c r="L74" s="229">
        <v>0</v>
      </c>
      <c r="M74" s="229">
        <v>0</v>
      </c>
      <c r="N74" s="229">
        <v>0</v>
      </c>
      <c r="O74" s="229">
        <v>0</v>
      </c>
      <c r="P74" s="229">
        <v>0</v>
      </c>
      <c r="Q74" s="229">
        <v>0</v>
      </c>
      <c r="R74" s="229">
        <v>0</v>
      </c>
      <c r="S74" s="229">
        <v>0</v>
      </c>
      <c r="T74" s="229">
        <v>0</v>
      </c>
      <c r="U74" s="229">
        <v>0</v>
      </c>
      <c r="V74" s="229">
        <v>0</v>
      </c>
      <c r="W74" s="229">
        <v>0</v>
      </c>
      <c r="X74" s="229">
        <v>0</v>
      </c>
      <c r="Y74" s="229">
        <v>0</v>
      </c>
      <c r="Z74" s="229">
        <v>0</v>
      </c>
      <c r="AA74" s="229">
        <v>0</v>
      </c>
      <c r="AB74" s="229">
        <v>0</v>
      </c>
      <c r="AC74" s="229"/>
    </row>
    <row r="75" spans="1:29" s="165" customFormat="1" ht="13.8">
      <c r="A75" s="591" t="s">
        <v>1129</v>
      </c>
      <c r="B75" s="57" t="s">
        <v>2011</v>
      </c>
      <c r="C75" s="57"/>
      <c r="D75" s="57"/>
      <c r="E75" s="57"/>
      <c r="F75" s="57"/>
      <c r="G75" s="57"/>
      <c r="H75" s="229"/>
      <c r="I75" s="229"/>
      <c r="J75" s="229"/>
      <c r="K75" s="229">
        <v>201208</v>
      </c>
      <c r="L75" s="229">
        <v>-4512</v>
      </c>
      <c r="M75" s="229">
        <v>-22284</v>
      </c>
      <c r="N75" s="229">
        <v>-21674</v>
      </c>
      <c r="O75" s="229">
        <v>-35208</v>
      </c>
      <c r="P75" s="229">
        <v>5298</v>
      </c>
      <c r="Q75" s="229">
        <v>10097</v>
      </c>
      <c r="R75" s="229">
        <v>11413</v>
      </c>
      <c r="S75" s="229">
        <v>9781</v>
      </c>
      <c r="T75" s="229">
        <v>6030</v>
      </c>
      <c r="U75" s="229">
        <v>26495</v>
      </c>
      <c r="V75" s="229">
        <v>3353</v>
      </c>
      <c r="W75" s="229">
        <v>12124</v>
      </c>
      <c r="X75" s="229">
        <v>-7571</v>
      </c>
      <c r="Y75" s="229">
        <v>-2595</v>
      </c>
      <c r="Z75" s="229">
        <v>-6158</v>
      </c>
      <c r="AA75" s="229">
        <v>-10445</v>
      </c>
      <c r="AB75" s="229">
        <v>1706</v>
      </c>
      <c r="AC75" s="229">
        <v>3682</v>
      </c>
    </row>
    <row r="76" spans="1:29" s="165" customFormat="1" ht="13.8">
      <c r="A76" s="591" t="s">
        <v>1127</v>
      </c>
      <c r="B76" s="57" t="s">
        <v>1991</v>
      </c>
      <c r="C76" s="57"/>
      <c r="D76" s="57"/>
      <c r="E76" s="57"/>
      <c r="F76" s="57"/>
      <c r="G76" s="57"/>
      <c r="H76" s="229"/>
      <c r="I76" s="229"/>
      <c r="J76" s="229"/>
      <c r="K76" s="229">
        <v>0</v>
      </c>
      <c r="L76" s="229">
        <v>0</v>
      </c>
      <c r="M76" s="229">
        <v>0</v>
      </c>
      <c r="N76" s="229">
        <v>0</v>
      </c>
      <c r="O76" s="229">
        <v>0</v>
      </c>
      <c r="P76" s="229">
        <v>0</v>
      </c>
      <c r="Q76" s="229">
        <v>0</v>
      </c>
      <c r="R76" s="229">
        <v>0</v>
      </c>
      <c r="S76" s="229">
        <v>0</v>
      </c>
      <c r="T76" s="229">
        <v>0</v>
      </c>
      <c r="U76" s="229">
        <v>0</v>
      </c>
      <c r="V76" s="229">
        <v>0</v>
      </c>
      <c r="W76" s="229">
        <v>0</v>
      </c>
      <c r="X76" s="229">
        <v>0</v>
      </c>
      <c r="Y76" s="229">
        <v>0</v>
      </c>
      <c r="Z76" s="229">
        <v>0</v>
      </c>
      <c r="AA76" s="229">
        <v>0</v>
      </c>
      <c r="AB76" s="229">
        <v>0</v>
      </c>
      <c r="AC76" s="229"/>
    </row>
    <row r="77" spans="1:29" s="165" customFormat="1" ht="13.8">
      <c r="A77" s="591" t="s">
        <v>1234</v>
      </c>
      <c r="B77" s="57" t="s">
        <v>2012</v>
      </c>
      <c r="C77" s="57"/>
      <c r="D77" s="57"/>
      <c r="E77" s="57"/>
      <c r="F77" s="57"/>
      <c r="G77" s="57"/>
      <c r="H77" s="229"/>
      <c r="I77" s="229"/>
      <c r="J77" s="229"/>
      <c r="K77" s="229">
        <v>0</v>
      </c>
      <c r="L77" s="229">
        <v>0</v>
      </c>
      <c r="M77" s="229">
        <v>0</v>
      </c>
      <c r="N77" s="229">
        <v>0</v>
      </c>
      <c r="O77" s="229">
        <v>0</v>
      </c>
      <c r="P77" s="229">
        <v>0</v>
      </c>
      <c r="Q77" s="229">
        <v>0</v>
      </c>
      <c r="R77" s="229">
        <v>0</v>
      </c>
      <c r="S77" s="229">
        <v>0</v>
      </c>
      <c r="T77" s="229">
        <v>0</v>
      </c>
      <c r="U77" s="229">
        <v>0</v>
      </c>
      <c r="V77" s="229">
        <v>0</v>
      </c>
      <c r="W77" s="229">
        <v>0</v>
      </c>
      <c r="X77" s="229">
        <v>0</v>
      </c>
      <c r="Y77" s="229">
        <v>0</v>
      </c>
      <c r="Z77" s="229">
        <v>0</v>
      </c>
      <c r="AA77" s="229">
        <v>0</v>
      </c>
      <c r="AB77" s="229">
        <v>0</v>
      </c>
      <c r="AC77" s="229"/>
    </row>
    <row r="78" spans="1:29" s="165" customFormat="1" ht="13.8">
      <c r="A78" s="591" t="s">
        <v>1428</v>
      </c>
      <c r="B78" s="57" t="s">
        <v>2013</v>
      </c>
      <c r="C78" s="57"/>
      <c r="D78" s="57"/>
      <c r="E78" s="57"/>
      <c r="F78" s="57"/>
      <c r="G78" s="57"/>
      <c r="H78" s="229"/>
      <c r="I78" s="229"/>
      <c r="J78" s="229"/>
      <c r="K78" s="229">
        <v>0</v>
      </c>
      <c r="L78" s="229">
        <v>0</v>
      </c>
      <c r="M78" s="229">
        <v>0</v>
      </c>
      <c r="N78" s="229">
        <v>0</v>
      </c>
      <c r="O78" s="229">
        <v>0</v>
      </c>
      <c r="P78" s="229">
        <v>0</v>
      </c>
      <c r="Q78" s="229">
        <v>0</v>
      </c>
      <c r="R78" s="229">
        <v>0</v>
      </c>
      <c r="S78" s="229">
        <v>0</v>
      </c>
      <c r="T78" s="229">
        <v>0</v>
      </c>
      <c r="U78" s="229">
        <v>0</v>
      </c>
      <c r="V78" s="229">
        <v>0</v>
      </c>
      <c r="W78" s="229">
        <v>0</v>
      </c>
      <c r="X78" s="229">
        <v>0</v>
      </c>
      <c r="Y78" s="229">
        <v>0</v>
      </c>
      <c r="Z78" s="229">
        <v>0</v>
      </c>
      <c r="AA78" s="229">
        <v>0</v>
      </c>
      <c r="AB78" s="229">
        <v>0</v>
      </c>
      <c r="AC78" s="229"/>
    </row>
    <row r="79" spans="1:29" s="578" customFormat="1" ht="13.8">
      <c r="A79" s="592" t="s">
        <v>1429</v>
      </c>
      <c r="B79" s="592" t="s">
        <v>2034</v>
      </c>
      <c r="C79" s="592"/>
      <c r="D79" s="592">
        <f t="shared" ref="D79:Y79" si="3">SUM(D47:D78)</f>
        <v>0</v>
      </c>
      <c r="E79" s="592">
        <f t="shared" si="3"/>
        <v>0</v>
      </c>
      <c r="F79" s="592">
        <f t="shared" si="3"/>
        <v>0</v>
      </c>
      <c r="G79" s="592">
        <f t="shared" si="3"/>
        <v>0</v>
      </c>
      <c r="H79" s="593">
        <f t="shared" si="3"/>
        <v>0</v>
      </c>
      <c r="I79" s="593">
        <f t="shared" si="3"/>
        <v>0</v>
      </c>
      <c r="J79" s="593">
        <f t="shared" si="3"/>
        <v>0</v>
      </c>
      <c r="K79" s="593">
        <f t="shared" si="3"/>
        <v>-59454</v>
      </c>
      <c r="L79" s="593">
        <f t="shared" si="3"/>
        <v>-527371</v>
      </c>
      <c r="M79" s="593">
        <f t="shared" si="3"/>
        <v>-466099</v>
      </c>
      <c r="N79" s="593">
        <f t="shared" si="3"/>
        <v>-835372</v>
      </c>
      <c r="O79" s="593">
        <f t="shared" si="3"/>
        <v>-927932.67711000005</v>
      </c>
      <c r="P79" s="593">
        <f t="shared" si="3"/>
        <v>-80302</v>
      </c>
      <c r="Q79" s="593">
        <f t="shared" si="3"/>
        <v>-101352</v>
      </c>
      <c r="R79" s="593">
        <f t="shared" si="3"/>
        <v>-156803</v>
      </c>
      <c r="S79" s="593">
        <f t="shared" si="3"/>
        <v>-75715</v>
      </c>
      <c r="T79" s="593">
        <f t="shared" si="3"/>
        <v>-87652</v>
      </c>
      <c r="U79" s="593">
        <f t="shared" si="3"/>
        <v>-91530</v>
      </c>
      <c r="V79" s="593">
        <f t="shared" si="3"/>
        <v>93642</v>
      </c>
      <c r="W79" s="593">
        <f t="shared" si="3"/>
        <v>152783</v>
      </c>
      <c r="X79" s="593">
        <f t="shared" si="3"/>
        <v>12844</v>
      </c>
      <c r="Y79" s="593">
        <f t="shared" si="3"/>
        <v>63503</v>
      </c>
      <c r="Z79" s="593">
        <f t="shared" ref="Z79" si="4">SUM(Z47:Z78)</f>
        <v>128013</v>
      </c>
      <c r="AA79" s="593">
        <f t="shared" ref="AA79:AC79" si="5">SUM(AA47:AA78)</f>
        <v>181555</v>
      </c>
      <c r="AB79" s="593">
        <f t="shared" si="5"/>
        <v>165236</v>
      </c>
      <c r="AC79" s="593">
        <f t="shared" si="5"/>
        <v>144467</v>
      </c>
    </row>
    <row r="81" spans="1:29" s="165" customFormat="1" ht="13.8">
      <c r="A81" s="594" t="s">
        <v>1396</v>
      </c>
      <c r="B81" s="57" t="s">
        <v>1397</v>
      </c>
      <c r="C81" s="57"/>
      <c r="D81" s="57"/>
      <c r="E81" s="57"/>
      <c r="F81" s="57"/>
      <c r="G81" s="57"/>
      <c r="H81" s="229"/>
      <c r="I81" s="229"/>
      <c r="J81" s="229"/>
      <c r="K81" s="229"/>
      <c r="L81" s="229"/>
      <c r="M81" s="229"/>
      <c r="N81" s="229"/>
      <c r="O81" s="229"/>
      <c r="P81" s="229"/>
      <c r="Q81" s="229"/>
      <c r="R81" s="229">
        <v>18541</v>
      </c>
      <c r="S81" s="229">
        <v>26175</v>
      </c>
      <c r="T81" s="229">
        <v>9958</v>
      </c>
      <c r="U81" s="229">
        <v>17661</v>
      </c>
      <c r="V81" s="229">
        <v>34263</v>
      </c>
      <c r="W81" s="229">
        <v>55813</v>
      </c>
      <c r="X81" s="229">
        <v>22630</v>
      </c>
      <c r="Y81" s="229">
        <v>670</v>
      </c>
      <c r="Z81" s="229">
        <v>75229</v>
      </c>
      <c r="AA81" s="229">
        <v>108039</v>
      </c>
      <c r="AB81" s="229">
        <v>28313</v>
      </c>
      <c r="AC81" s="229">
        <v>28325</v>
      </c>
    </row>
    <row r="82" spans="1:29" s="165" customFormat="1" ht="13.8">
      <c r="A82" s="594" t="s">
        <v>1430</v>
      </c>
      <c r="B82" s="57" t="s">
        <v>2016</v>
      </c>
      <c r="C82" s="57"/>
      <c r="D82" s="57"/>
      <c r="E82" s="57"/>
      <c r="F82" s="57"/>
      <c r="G82" s="57"/>
      <c r="H82" s="229"/>
      <c r="I82" s="229"/>
      <c r="J82" s="229"/>
      <c r="K82" s="229"/>
      <c r="L82" s="229"/>
      <c r="M82" s="229"/>
      <c r="N82" s="229"/>
      <c r="O82" s="229"/>
      <c r="P82" s="229"/>
      <c r="Q82" s="229"/>
      <c r="R82" s="229">
        <v>-9907</v>
      </c>
      <c r="S82" s="229">
        <v>-9907</v>
      </c>
      <c r="T82" s="229"/>
      <c r="U82" s="229">
        <v>0</v>
      </c>
      <c r="V82" s="229"/>
      <c r="W82" s="229">
        <v>0</v>
      </c>
      <c r="X82" s="229">
        <v>10838</v>
      </c>
      <c r="Y82" s="229">
        <v>-7962</v>
      </c>
      <c r="Z82" s="229">
        <v>6347</v>
      </c>
      <c r="AA82" s="229">
        <v>6347</v>
      </c>
      <c r="AB82" s="229">
        <v>-8300</v>
      </c>
      <c r="AC82" s="229">
        <v>-19552</v>
      </c>
    </row>
    <row r="83" spans="1:29" s="165" customFormat="1" ht="13.8">
      <c r="A83" s="594" t="s">
        <v>1431</v>
      </c>
      <c r="B83" s="57" t="s">
        <v>2017</v>
      </c>
      <c r="C83" s="57"/>
      <c r="D83" s="57"/>
      <c r="E83" s="57"/>
      <c r="F83" s="57"/>
      <c r="G83" s="57"/>
      <c r="H83" s="229"/>
      <c r="I83" s="229"/>
      <c r="J83" s="229"/>
      <c r="K83" s="229">
        <v>-20</v>
      </c>
      <c r="L83" s="229"/>
      <c r="M83" s="229">
        <v>-2926</v>
      </c>
      <c r="N83" s="229">
        <v>-6713</v>
      </c>
      <c r="O83" s="229">
        <v>-9676</v>
      </c>
      <c r="P83" s="229">
        <v>-3782</v>
      </c>
      <c r="Q83" s="229">
        <v>-6496</v>
      </c>
      <c r="R83" s="229">
        <v>-20039</v>
      </c>
      <c r="S83" s="229">
        <v>-76961</v>
      </c>
      <c r="T83" s="229">
        <v>-103003</v>
      </c>
      <c r="U83" s="229">
        <v>-120478</v>
      </c>
      <c r="V83" s="229">
        <v>-224595</v>
      </c>
      <c r="W83" s="229">
        <v>-261073</v>
      </c>
      <c r="X83" s="229">
        <v>-98966</v>
      </c>
      <c r="Y83" s="229">
        <v>-151592</v>
      </c>
      <c r="Z83" s="229">
        <v>-276908</v>
      </c>
      <c r="AA83" s="229">
        <v>-350192</v>
      </c>
      <c r="AB83" s="229">
        <v>-60216</v>
      </c>
      <c r="AC83" s="229">
        <v>-117252</v>
      </c>
    </row>
    <row r="84" spans="1:29" s="165" customFormat="1" ht="13.8">
      <c r="A84" s="595"/>
      <c r="B84" s="57"/>
      <c r="C84" s="57"/>
      <c r="D84" s="57"/>
      <c r="E84" s="57"/>
      <c r="F84" s="57"/>
      <c r="G84" s="57"/>
      <c r="H84" s="229"/>
      <c r="I84" s="229"/>
      <c r="J84" s="229"/>
      <c r="K84" s="229"/>
      <c r="L84" s="229"/>
      <c r="M84" s="229"/>
      <c r="N84" s="229"/>
      <c r="O84" s="229"/>
      <c r="P84" s="229"/>
      <c r="Q84" s="229"/>
      <c r="R84" s="229"/>
      <c r="S84" s="229"/>
      <c r="T84" s="229"/>
      <c r="U84" s="229"/>
      <c r="V84" s="229"/>
      <c r="W84" s="229"/>
      <c r="X84" s="229"/>
      <c r="Y84" s="229"/>
      <c r="Z84" s="229"/>
      <c r="AA84" s="229"/>
      <c r="AB84" s="229"/>
      <c r="AC84" s="229"/>
    </row>
    <row r="85" spans="1:29" s="578" customFormat="1" thickBot="1">
      <c r="A85" s="596" t="s">
        <v>1432</v>
      </c>
      <c r="B85" s="596" t="s">
        <v>2036</v>
      </c>
      <c r="C85" s="596"/>
      <c r="D85" s="596">
        <f t="shared" ref="D85:Y85" si="6">SUM(D79:D84)</f>
        <v>0</v>
      </c>
      <c r="E85" s="596">
        <f t="shared" si="6"/>
        <v>0</v>
      </c>
      <c r="F85" s="596">
        <f t="shared" si="6"/>
        <v>0</v>
      </c>
      <c r="G85" s="596">
        <f t="shared" si="6"/>
        <v>0</v>
      </c>
      <c r="H85" s="597">
        <f t="shared" si="6"/>
        <v>0</v>
      </c>
      <c r="I85" s="597">
        <f t="shared" si="6"/>
        <v>0</v>
      </c>
      <c r="J85" s="597">
        <f t="shared" si="6"/>
        <v>0</v>
      </c>
      <c r="K85" s="597">
        <f t="shared" si="6"/>
        <v>-59474</v>
      </c>
      <c r="L85" s="597">
        <f t="shared" si="6"/>
        <v>-527371</v>
      </c>
      <c r="M85" s="597">
        <f t="shared" si="6"/>
        <v>-469025</v>
      </c>
      <c r="N85" s="597">
        <f t="shared" si="6"/>
        <v>-842085</v>
      </c>
      <c r="O85" s="597">
        <f t="shared" si="6"/>
        <v>-937608.67711000005</v>
      </c>
      <c r="P85" s="597">
        <f t="shared" si="6"/>
        <v>-84084</v>
      </c>
      <c r="Q85" s="597">
        <f t="shared" si="6"/>
        <v>-107848</v>
      </c>
      <c r="R85" s="597">
        <f t="shared" si="6"/>
        <v>-168208</v>
      </c>
      <c r="S85" s="597">
        <f t="shared" si="6"/>
        <v>-136408</v>
      </c>
      <c r="T85" s="597">
        <f t="shared" si="6"/>
        <v>-180697</v>
      </c>
      <c r="U85" s="597">
        <f t="shared" si="6"/>
        <v>-194347</v>
      </c>
      <c r="V85" s="597">
        <f t="shared" si="6"/>
        <v>-96690</v>
      </c>
      <c r="W85" s="597">
        <f t="shared" si="6"/>
        <v>-52477</v>
      </c>
      <c r="X85" s="597">
        <f t="shared" si="6"/>
        <v>-52654</v>
      </c>
      <c r="Y85" s="597">
        <f t="shared" si="6"/>
        <v>-95381</v>
      </c>
      <c r="Z85" s="597">
        <f t="shared" ref="Z85" si="7">SUM(Z79:Z84)</f>
        <v>-67319</v>
      </c>
      <c r="AA85" s="597">
        <f t="shared" ref="AA85:AC85" si="8">SUM(AA79:AA84)</f>
        <v>-54251</v>
      </c>
      <c r="AB85" s="597">
        <f t="shared" si="8"/>
        <v>125033</v>
      </c>
      <c r="AC85" s="597">
        <f t="shared" si="8"/>
        <v>35988</v>
      </c>
    </row>
    <row r="86" spans="1:29" s="165" customFormat="1" ht="13.8">
      <c r="A86" s="57"/>
      <c r="B86" s="57"/>
      <c r="C86" s="57"/>
      <c r="D86" s="57"/>
      <c r="E86" s="57"/>
      <c r="F86" s="57"/>
      <c r="G86" s="57"/>
      <c r="H86" s="229"/>
      <c r="I86" s="229"/>
      <c r="J86" s="229"/>
      <c r="K86" s="229"/>
      <c r="L86" s="229"/>
      <c r="M86" s="229"/>
      <c r="N86" s="229"/>
      <c r="O86" s="229"/>
      <c r="P86" s="229"/>
      <c r="Q86" s="229"/>
      <c r="R86" s="229"/>
      <c r="S86" s="229"/>
      <c r="T86" s="229"/>
      <c r="U86" s="229"/>
      <c r="V86" s="229"/>
      <c r="W86" s="229"/>
      <c r="X86" s="229"/>
      <c r="Y86" s="229"/>
      <c r="Z86" s="229"/>
      <c r="AA86" s="229"/>
      <c r="AB86" s="229"/>
      <c r="AC86" s="229"/>
    </row>
    <row r="87" spans="1:29" s="165" customFormat="1" ht="13.8">
      <c r="A87" s="134" t="s">
        <v>1433</v>
      </c>
      <c r="B87" s="589" t="s">
        <v>2037</v>
      </c>
      <c r="C87" s="57"/>
      <c r="D87" s="57"/>
      <c r="E87" s="57"/>
      <c r="F87" s="57"/>
      <c r="G87" s="57"/>
      <c r="H87" s="229"/>
      <c r="I87" s="229"/>
      <c r="J87" s="229"/>
      <c r="K87" s="229"/>
      <c r="L87" s="229"/>
      <c r="M87" s="229"/>
      <c r="N87" s="229"/>
      <c r="O87" s="229"/>
      <c r="P87" s="229"/>
      <c r="Q87" s="229"/>
      <c r="R87" s="229"/>
      <c r="S87" s="229"/>
      <c r="T87" s="229"/>
      <c r="U87" s="229"/>
      <c r="V87" s="229"/>
      <c r="W87" s="229"/>
      <c r="X87" s="229"/>
      <c r="Y87" s="229"/>
      <c r="Z87" s="229"/>
      <c r="AA87" s="229"/>
      <c r="AB87" s="229"/>
      <c r="AC87" s="229"/>
    </row>
    <row r="88" spans="1:29" s="165" customFormat="1" ht="13.8">
      <c r="A88" s="591" t="s">
        <v>1434</v>
      </c>
      <c r="B88" s="57" t="s">
        <v>2018</v>
      </c>
      <c r="C88" s="57"/>
      <c r="D88" s="57"/>
      <c r="E88" s="57"/>
      <c r="F88" s="57"/>
      <c r="G88" s="57"/>
      <c r="H88" s="229"/>
      <c r="I88" s="229"/>
      <c r="J88" s="229"/>
      <c r="K88" s="229"/>
      <c r="L88" s="229"/>
      <c r="M88" s="229"/>
      <c r="N88" s="229"/>
      <c r="O88" s="229"/>
      <c r="P88" s="229"/>
      <c r="Q88" s="229"/>
      <c r="R88" s="229"/>
      <c r="S88" s="229"/>
      <c r="T88" s="229"/>
      <c r="U88" s="229"/>
      <c r="V88" s="229"/>
      <c r="W88" s="229"/>
      <c r="X88" s="229"/>
      <c r="Y88" s="229"/>
      <c r="Z88" s="229"/>
      <c r="AA88" s="229"/>
      <c r="AB88" s="229"/>
      <c r="AC88" s="229"/>
    </row>
    <row r="89" spans="1:29" s="165" customFormat="1" ht="13.8">
      <c r="A89" s="598" t="s">
        <v>1435</v>
      </c>
      <c r="B89" s="57" t="s">
        <v>2019</v>
      </c>
      <c r="C89" s="57"/>
      <c r="D89" s="229"/>
      <c r="E89" s="229"/>
      <c r="F89" s="229"/>
      <c r="G89" s="229"/>
      <c r="H89" s="229"/>
      <c r="I89" s="229"/>
      <c r="J89" s="229"/>
      <c r="K89" s="229"/>
      <c r="L89" s="229"/>
      <c r="M89" s="229"/>
      <c r="N89" s="229"/>
      <c r="O89" s="229"/>
      <c r="P89" s="229"/>
      <c r="Q89" s="229"/>
      <c r="R89" s="229"/>
      <c r="S89" s="229"/>
      <c r="T89" s="229"/>
      <c r="U89" s="229"/>
      <c r="V89" s="229"/>
      <c r="W89" s="229"/>
      <c r="X89" s="229"/>
      <c r="Y89" s="229"/>
      <c r="Z89" s="229"/>
      <c r="AA89" s="229"/>
      <c r="AB89" s="229"/>
      <c r="AC89" s="229"/>
    </row>
    <row r="90" spans="1:29" s="165" customFormat="1" ht="13.8">
      <c r="A90" s="591" t="s">
        <v>1436</v>
      </c>
      <c r="B90" s="57" t="s">
        <v>2020</v>
      </c>
      <c r="C90" s="57"/>
      <c r="D90" s="229"/>
      <c r="E90" s="229"/>
      <c r="F90" s="229"/>
      <c r="G90" s="229"/>
      <c r="H90" s="229"/>
      <c r="I90" s="229"/>
      <c r="J90" s="229"/>
      <c r="K90" s="229"/>
      <c r="L90" s="229"/>
      <c r="M90" s="229"/>
      <c r="N90" s="229"/>
      <c r="O90" s="229"/>
      <c r="P90" s="229"/>
      <c r="Q90" s="229"/>
      <c r="R90" s="229"/>
      <c r="S90" s="229"/>
      <c r="T90" s="229"/>
      <c r="U90" s="229"/>
      <c r="V90" s="229"/>
      <c r="W90" s="229"/>
      <c r="X90" s="229"/>
      <c r="Y90" s="229"/>
      <c r="Z90" s="229"/>
      <c r="AA90" s="229"/>
      <c r="AB90" s="229"/>
      <c r="AC90" s="229"/>
    </row>
    <row r="91" spans="1:29" s="165" customFormat="1" ht="13.8">
      <c r="A91" s="591" t="s">
        <v>1437</v>
      </c>
      <c r="B91" s="57" t="s">
        <v>2021</v>
      </c>
      <c r="C91" s="57"/>
      <c r="D91" s="229"/>
      <c r="E91" s="229"/>
      <c r="F91" s="229"/>
      <c r="G91" s="229"/>
      <c r="H91" s="229"/>
      <c r="I91" s="229"/>
      <c r="J91" s="229"/>
      <c r="K91" s="229">
        <v>-33760</v>
      </c>
      <c r="L91" s="229">
        <v>-17244</v>
      </c>
      <c r="M91" s="229">
        <v>-84555</v>
      </c>
      <c r="N91" s="229">
        <v>-190414</v>
      </c>
      <c r="O91" s="229">
        <v>-318496.32289000001</v>
      </c>
      <c r="P91" s="229">
        <v>-95947</v>
      </c>
      <c r="Q91" s="229">
        <v>-256808</v>
      </c>
      <c r="R91" s="229">
        <v>-311096</v>
      </c>
      <c r="S91" s="229">
        <v>-392833</v>
      </c>
      <c r="T91" s="229">
        <v>-32910</v>
      </c>
      <c r="U91" s="229">
        <v>-94297</v>
      </c>
      <c r="V91" s="229">
        <v>-148538</v>
      </c>
      <c r="W91" s="229">
        <v>-255957</v>
      </c>
      <c r="X91" s="229">
        <v>-68477</v>
      </c>
      <c r="Y91" s="229">
        <v>-147971</v>
      </c>
      <c r="Z91" s="229">
        <v>-198551</v>
      </c>
      <c r="AA91" s="229">
        <v>-233004</v>
      </c>
      <c r="AB91" s="229">
        <v>-83401</v>
      </c>
      <c r="AC91" s="229">
        <v>-151868</v>
      </c>
    </row>
    <row r="92" spans="1:29" s="165" customFormat="1" ht="13.8">
      <c r="A92" s="591" t="s">
        <v>1438</v>
      </c>
      <c r="B92" s="57" t="s">
        <v>2022</v>
      </c>
      <c r="C92" s="57"/>
      <c r="D92" s="229"/>
      <c r="E92" s="229"/>
      <c r="F92" s="229"/>
      <c r="G92" s="229"/>
      <c r="H92" s="229"/>
      <c r="I92" s="229"/>
      <c r="J92" s="229"/>
      <c r="K92" s="229"/>
      <c r="L92" s="229"/>
      <c r="M92" s="229"/>
      <c r="N92" s="229"/>
      <c r="O92" s="229"/>
      <c r="P92" s="229"/>
      <c r="Q92" s="229">
        <v>36993</v>
      </c>
      <c r="R92" s="229"/>
      <c r="S92" s="229"/>
      <c r="T92" s="229"/>
      <c r="U92" s="229"/>
      <c r="V92" s="229"/>
      <c r="W92" s="229"/>
      <c r="X92" s="229"/>
      <c r="Y92" s="229"/>
      <c r="Z92" s="229"/>
      <c r="AA92" s="229"/>
      <c r="AB92" s="229"/>
      <c r="AC92" s="229"/>
    </row>
    <row r="93" spans="1:29" s="165" customFormat="1" ht="13.8">
      <c r="A93" s="591" t="s">
        <v>1439</v>
      </c>
      <c r="B93" s="57" t="s">
        <v>2023</v>
      </c>
      <c r="C93" s="57"/>
      <c r="D93" s="229"/>
      <c r="E93" s="229"/>
      <c r="F93" s="229"/>
      <c r="G93" s="229"/>
      <c r="H93" s="229"/>
      <c r="I93" s="229"/>
      <c r="J93" s="229"/>
      <c r="K93" s="229"/>
      <c r="L93" s="229"/>
      <c r="M93" s="229"/>
      <c r="N93" s="229"/>
      <c r="O93" s="229"/>
      <c r="P93" s="229"/>
      <c r="Q93" s="229"/>
      <c r="R93" s="229"/>
      <c r="S93" s="229"/>
      <c r="T93" s="229"/>
      <c r="U93" s="229"/>
      <c r="V93" s="229"/>
      <c r="W93" s="229"/>
      <c r="X93" s="229"/>
      <c r="Y93" s="229"/>
      <c r="Z93" s="229"/>
      <c r="AA93" s="229"/>
      <c r="AB93" s="229"/>
      <c r="AC93" s="229"/>
    </row>
    <row r="94" spans="1:29" s="165" customFormat="1" ht="13.8">
      <c r="A94" s="591" t="s">
        <v>1440</v>
      </c>
      <c r="B94" s="57" t="s">
        <v>2024</v>
      </c>
      <c r="C94" s="57"/>
      <c r="D94" s="229"/>
      <c r="E94" s="229"/>
      <c r="F94" s="229"/>
      <c r="G94" s="229"/>
      <c r="H94" s="229"/>
      <c r="I94" s="229"/>
      <c r="J94" s="229"/>
      <c r="K94" s="229"/>
      <c r="L94" s="229"/>
      <c r="M94" s="229"/>
      <c r="N94" s="229"/>
      <c r="O94" s="229"/>
      <c r="P94" s="229"/>
      <c r="Q94" s="229"/>
      <c r="R94" s="229"/>
      <c r="S94" s="229"/>
      <c r="T94" s="229"/>
      <c r="U94" s="229"/>
      <c r="V94" s="229"/>
      <c r="W94" s="229"/>
      <c r="X94" s="229"/>
      <c r="Y94" s="229"/>
      <c r="Z94" s="229"/>
      <c r="AA94" s="229"/>
      <c r="AB94" s="229"/>
      <c r="AC94" s="229"/>
    </row>
    <row r="95" spans="1:29" s="165" customFormat="1" ht="13.8">
      <c r="A95" s="591" t="s">
        <v>1441</v>
      </c>
      <c r="B95" s="57" t="s">
        <v>2025</v>
      </c>
      <c r="C95" s="57"/>
      <c r="D95" s="229"/>
      <c r="E95" s="229"/>
      <c r="F95" s="229"/>
      <c r="G95" s="229"/>
      <c r="H95" s="229"/>
      <c r="I95" s="229"/>
      <c r="J95" s="229"/>
      <c r="K95" s="229"/>
      <c r="L95" s="229"/>
      <c r="M95" s="229"/>
      <c r="N95" s="229"/>
      <c r="O95" s="229"/>
      <c r="P95" s="229"/>
      <c r="Q95" s="229"/>
      <c r="R95" s="229"/>
      <c r="S95" s="229"/>
      <c r="T95" s="229"/>
      <c r="U95" s="229"/>
      <c r="V95" s="229"/>
      <c r="W95" s="229"/>
      <c r="X95" s="229"/>
      <c r="Y95" s="229"/>
      <c r="Z95" s="229"/>
      <c r="AA95" s="229"/>
      <c r="AB95" s="229"/>
      <c r="AC95" s="229"/>
    </row>
    <row r="96" spans="1:29" s="165" customFormat="1" ht="13.8">
      <c r="A96" s="591" t="s">
        <v>1442</v>
      </c>
      <c r="B96" s="57" t="s">
        <v>2026</v>
      </c>
      <c r="C96" s="57"/>
      <c r="D96" s="229"/>
      <c r="E96" s="229"/>
      <c r="F96" s="229"/>
      <c r="G96" s="229"/>
      <c r="H96" s="229"/>
      <c r="I96" s="229"/>
      <c r="J96" s="229"/>
      <c r="K96" s="229"/>
      <c r="L96" s="229"/>
      <c r="M96" s="229"/>
      <c r="N96" s="229"/>
      <c r="O96" s="229"/>
      <c r="P96" s="229"/>
      <c r="Q96" s="229"/>
      <c r="R96" s="229"/>
      <c r="S96" s="229"/>
      <c r="T96" s="229"/>
      <c r="U96" s="229"/>
      <c r="V96" s="229"/>
      <c r="W96" s="229"/>
      <c r="X96" s="229"/>
      <c r="Y96" s="229"/>
      <c r="Z96" s="229"/>
      <c r="AA96" s="229"/>
      <c r="AB96" s="229"/>
      <c r="AC96" s="229"/>
    </row>
    <row r="97" spans="1:29" s="165" customFormat="1" ht="13.8">
      <c r="A97" s="591" t="s">
        <v>1443</v>
      </c>
      <c r="B97" s="57" t="s">
        <v>2028</v>
      </c>
      <c r="C97" s="57"/>
      <c r="D97" s="229"/>
      <c r="E97" s="229"/>
      <c r="F97" s="229"/>
      <c r="G97" s="229"/>
      <c r="H97" s="229"/>
      <c r="I97" s="229"/>
      <c r="J97" s="229"/>
      <c r="K97" s="229"/>
      <c r="L97" s="229"/>
      <c r="M97" s="229"/>
      <c r="N97" s="229"/>
      <c r="O97" s="229"/>
      <c r="P97" s="229"/>
      <c r="Q97" s="229"/>
      <c r="R97" s="229"/>
      <c r="S97" s="229"/>
      <c r="T97" s="229"/>
      <c r="U97" s="229"/>
      <c r="V97" s="229"/>
      <c r="W97" s="229"/>
      <c r="X97" s="229"/>
      <c r="Y97" s="229"/>
      <c r="Z97" s="229"/>
      <c r="AA97" s="229"/>
      <c r="AB97" s="229"/>
      <c r="AC97" s="229"/>
    </row>
    <row r="98" spans="1:29" s="165" customFormat="1" ht="13.8">
      <c r="A98" s="591" t="s">
        <v>1444</v>
      </c>
      <c r="B98" s="57" t="s">
        <v>2029</v>
      </c>
      <c r="C98" s="57"/>
      <c r="D98" s="229"/>
      <c r="E98" s="229"/>
      <c r="F98" s="229"/>
      <c r="G98" s="229"/>
      <c r="H98" s="229"/>
      <c r="I98" s="229"/>
      <c r="J98" s="229"/>
      <c r="K98" s="229"/>
      <c r="L98" s="229"/>
      <c r="M98" s="229"/>
      <c r="N98" s="229"/>
      <c r="O98" s="229"/>
      <c r="P98" s="229"/>
      <c r="Q98" s="229"/>
      <c r="R98" s="229"/>
      <c r="S98" s="229"/>
      <c r="T98" s="229"/>
      <c r="U98" s="229"/>
      <c r="V98" s="229"/>
      <c r="W98" s="229"/>
      <c r="X98" s="229"/>
      <c r="Y98" s="229"/>
      <c r="Z98" s="229"/>
      <c r="AA98" s="229"/>
      <c r="AB98" s="229"/>
      <c r="AC98" s="229"/>
    </row>
    <row r="99" spans="1:29" s="165" customFormat="1" ht="13.8">
      <c r="A99" s="591" t="s">
        <v>1445</v>
      </c>
      <c r="B99" s="57" t="s">
        <v>2027</v>
      </c>
      <c r="C99" s="57"/>
      <c r="D99" s="229"/>
      <c r="E99" s="229"/>
      <c r="F99" s="229"/>
      <c r="G99" s="229"/>
      <c r="H99" s="229"/>
      <c r="I99" s="229"/>
      <c r="J99" s="229"/>
      <c r="K99" s="229"/>
      <c r="L99" s="229"/>
      <c r="M99" s="229"/>
      <c r="N99" s="229"/>
      <c r="O99" s="229"/>
      <c r="P99" s="229"/>
      <c r="Q99" s="229"/>
      <c r="R99" s="229"/>
      <c r="S99" s="229"/>
      <c r="T99" s="229"/>
      <c r="U99" s="229"/>
      <c r="V99" s="229"/>
      <c r="W99" s="229"/>
      <c r="X99" s="229"/>
      <c r="Y99" s="229"/>
      <c r="Z99" s="229"/>
      <c r="AA99" s="229"/>
      <c r="AB99" s="229"/>
      <c r="AC99" s="229"/>
    </row>
    <row r="100" spans="1:29" s="165" customFormat="1" ht="13.8">
      <c r="A100" s="591" t="s">
        <v>1446</v>
      </c>
      <c r="B100" s="57" t="s">
        <v>2030</v>
      </c>
      <c r="C100" s="57"/>
      <c r="D100" s="229"/>
      <c r="E100" s="229"/>
      <c r="F100" s="229"/>
      <c r="G100" s="229"/>
      <c r="H100" s="229"/>
      <c r="I100" s="229"/>
      <c r="J100" s="229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 s="229"/>
      <c r="W100" s="229"/>
      <c r="X100" s="229"/>
      <c r="Y100" s="229"/>
      <c r="Z100" s="229"/>
      <c r="AA100" s="229"/>
      <c r="AB100" s="229"/>
      <c r="AC100" s="229"/>
    </row>
    <row r="101" spans="1:29" s="165" customFormat="1" ht="13.8">
      <c r="A101" s="591" t="s">
        <v>1447</v>
      </c>
      <c r="B101" s="57" t="s">
        <v>2031</v>
      </c>
      <c r="C101" s="57"/>
      <c r="D101" s="229"/>
      <c r="E101" s="229"/>
      <c r="F101" s="229"/>
      <c r="G101" s="229"/>
      <c r="H101" s="229"/>
      <c r="I101" s="229"/>
      <c r="J101" s="229"/>
      <c r="K101" s="229"/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W101" s="229"/>
      <c r="X101" s="229"/>
      <c r="Y101" s="229"/>
      <c r="Z101" s="229"/>
      <c r="AA101" s="229"/>
      <c r="AB101" s="229"/>
      <c r="AC101" s="229"/>
    </row>
    <row r="102" spans="1:29" s="165" customFormat="1" ht="13.8">
      <c r="A102" s="591" t="s">
        <v>1448</v>
      </c>
      <c r="B102" s="57" t="s">
        <v>2032</v>
      </c>
      <c r="C102" s="57"/>
      <c r="D102" s="229"/>
      <c r="E102" s="229"/>
      <c r="F102" s="229"/>
      <c r="G102" s="229"/>
      <c r="H102" s="229"/>
      <c r="I102" s="229"/>
      <c r="J102" s="229"/>
      <c r="K102" s="229"/>
      <c r="L102" s="229"/>
      <c r="M102" s="229"/>
      <c r="N102" s="229"/>
      <c r="O102" s="229"/>
      <c r="P102" s="229"/>
      <c r="Q102" s="229"/>
      <c r="R102" s="229"/>
      <c r="S102" s="229"/>
      <c r="T102" s="229"/>
      <c r="U102" s="229"/>
      <c r="V102" s="229"/>
      <c r="W102" s="229"/>
      <c r="X102" s="229"/>
      <c r="Y102" s="229"/>
      <c r="Z102" s="229"/>
      <c r="AA102" s="229"/>
      <c r="AB102" s="229"/>
      <c r="AC102" s="229"/>
    </row>
    <row r="103" spans="1:29" s="165" customFormat="1" ht="13.8">
      <c r="A103" s="591" t="s">
        <v>1449</v>
      </c>
      <c r="B103" s="57" t="s">
        <v>2033</v>
      </c>
      <c r="C103" s="57"/>
      <c r="D103" s="229"/>
      <c r="E103" s="229"/>
      <c r="F103" s="229"/>
      <c r="G103" s="229"/>
      <c r="H103" s="229"/>
      <c r="I103" s="229"/>
      <c r="J103" s="229"/>
      <c r="K103" s="229">
        <v>-452254</v>
      </c>
      <c r="L103" s="229">
        <v>-305439</v>
      </c>
      <c r="M103" s="229">
        <v>-266195</v>
      </c>
      <c r="N103" s="229">
        <v>193128</v>
      </c>
      <c r="O103" s="229">
        <v>415689</v>
      </c>
      <c r="P103" s="229">
        <v>-12101</v>
      </c>
      <c r="Q103" s="229">
        <v>18780</v>
      </c>
      <c r="R103" s="229">
        <v>12494</v>
      </c>
      <c r="S103" s="229">
        <v>-357531</v>
      </c>
      <c r="T103" s="229">
        <v>271038</v>
      </c>
      <c r="U103" s="229">
        <v>10763</v>
      </c>
      <c r="V103" s="229">
        <v>-263613</v>
      </c>
      <c r="W103" s="229">
        <v>-408916</v>
      </c>
      <c r="X103" s="229">
        <v>349025</v>
      </c>
      <c r="Y103" s="229">
        <v>479381</v>
      </c>
      <c r="Z103" s="229">
        <v>102937</v>
      </c>
      <c r="AA103" s="229">
        <v>262592</v>
      </c>
      <c r="AB103" s="229">
        <v>369655</v>
      </c>
      <c r="AC103" s="229">
        <v>397100</v>
      </c>
    </row>
    <row r="104" spans="1:29" s="578" customFormat="1" thickBot="1">
      <c r="A104" s="596" t="s">
        <v>1450</v>
      </c>
      <c r="B104" s="596" t="s">
        <v>2038</v>
      </c>
      <c r="C104" s="596"/>
      <c r="D104" s="597">
        <f t="shared" ref="D104:Y104" si="9">SUM(D87:D103)</f>
        <v>0</v>
      </c>
      <c r="E104" s="597">
        <f t="shared" si="9"/>
        <v>0</v>
      </c>
      <c r="F104" s="597">
        <f t="shared" si="9"/>
        <v>0</v>
      </c>
      <c r="G104" s="597">
        <f t="shared" si="9"/>
        <v>0</v>
      </c>
      <c r="H104" s="597">
        <f t="shared" si="9"/>
        <v>0</v>
      </c>
      <c r="I104" s="597">
        <f t="shared" si="9"/>
        <v>0</v>
      </c>
      <c r="J104" s="597">
        <f t="shared" si="9"/>
        <v>0</v>
      </c>
      <c r="K104" s="597">
        <f t="shared" si="9"/>
        <v>-486014</v>
      </c>
      <c r="L104" s="597">
        <f t="shared" si="9"/>
        <v>-322683</v>
      </c>
      <c r="M104" s="597">
        <f t="shared" si="9"/>
        <v>-350750</v>
      </c>
      <c r="N104" s="597">
        <f t="shared" si="9"/>
        <v>2714</v>
      </c>
      <c r="O104" s="597">
        <f t="shared" si="9"/>
        <v>97192.67710999999</v>
      </c>
      <c r="P104" s="597">
        <f t="shared" si="9"/>
        <v>-108048</v>
      </c>
      <c r="Q104" s="597">
        <f t="shared" si="9"/>
        <v>-201035</v>
      </c>
      <c r="R104" s="597">
        <f t="shared" si="9"/>
        <v>-298602</v>
      </c>
      <c r="S104" s="597">
        <f t="shared" si="9"/>
        <v>-750364</v>
      </c>
      <c r="T104" s="597">
        <f t="shared" si="9"/>
        <v>238128</v>
      </c>
      <c r="U104" s="597">
        <f t="shared" si="9"/>
        <v>-83534</v>
      </c>
      <c r="V104" s="597">
        <f t="shared" si="9"/>
        <v>-412151</v>
      </c>
      <c r="W104" s="597">
        <f t="shared" si="9"/>
        <v>-664873</v>
      </c>
      <c r="X104" s="597">
        <f t="shared" si="9"/>
        <v>280548</v>
      </c>
      <c r="Y104" s="597">
        <f t="shared" si="9"/>
        <v>331410</v>
      </c>
      <c r="Z104" s="597">
        <f t="shared" ref="Z104" si="10">SUM(Z87:Z103)</f>
        <v>-95614</v>
      </c>
      <c r="AA104" s="597">
        <f t="shared" ref="AA104:AC104" si="11">SUM(AA87:AA103)</f>
        <v>29588</v>
      </c>
      <c r="AB104" s="597">
        <f t="shared" si="11"/>
        <v>286254</v>
      </c>
      <c r="AC104" s="597">
        <f t="shared" si="11"/>
        <v>245232</v>
      </c>
    </row>
    <row r="105" spans="1:29" s="165" customFormat="1" ht="13.8">
      <c r="A105" s="57"/>
      <c r="B105" s="57"/>
      <c r="C105" s="57"/>
      <c r="D105" s="229"/>
      <c r="E105" s="229"/>
      <c r="F105" s="229"/>
      <c r="G105" s="229"/>
      <c r="H105" s="229"/>
      <c r="I105" s="229"/>
      <c r="J105" s="229"/>
      <c r="K105" s="229"/>
      <c r="L105" s="229"/>
      <c r="M105" s="229"/>
      <c r="N105" s="229"/>
      <c r="O105" s="229"/>
      <c r="P105" s="229"/>
      <c r="Q105" s="229"/>
      <c r="R105" s="229"/>
      <c r="S105" s="229"/>
      <c r="T105" s="229"/>
      <c r="U105" s="229"/>
      <c r="V105" s="229"/>
      <c r="W105" s="229"/>
      <c r="X105" s="229"/>
      <c r="Y105" s="229"/>
      <c r="Z105" s="229"/>
      <c r="AA105" s="229"/>
      <c r="AB105" s="229"/>
      <c r="AC105" s="229"/>
    </row>
    <row r="106" spans="1:29" s="165" customFormat="1" ht="13.8">
      <c r="A106" s="134" t="s">
        <v>1451</v>
      </c>
      <c r="B106" s="589" t="s">
        <v>2039</v>
      </c>
      <c r="C106" s="57"/>
      <c r="D106" s="229"/>
      <c r="E106" s="229"/>
      <c r="F106" s="229"/>
      <c r="G106" s="229"/>
      <c r="H106" s="229"/>
      <c r="I106" s="229"/>
      <c r="J106" s="229"/>
      <c r="K106" s="229"/>
      <c r="L106" s="229"/>
      <c r="M106" s="229"/>
      <c r="N106" s="229"/>
      <c r="O106" s="229"/>
      <c r="P106" s="229"/>
      <c r="Q106" s="229"/>
      <c r="R106" s="229"/>
      <c r="S106" s="229"/>
      <c r="T106" s="229"/>
      <c r="U106" s="229"/>
      <c r="V106" s="229"/>
      <c r="W106" s="229"/>
      <c r="X106" s="229"/>
      <c r="Y106" s="229"/>
      <c r="Z106" s="229"/>
      <c r="AA106" s="229"/>
      <c r="AB106" s="229"/>
      <c r="AC106" s="229"/>
    </row>
    <row r="107" spans="1:29" s="165" customFormat="1" ht="13.8">
      <c r="A107" s="591" t="s">
        <v>1452</v>
      </c>
      <c r="B107" s="57" t="s">
        <v>2040</v>
      </c>
      <c r="C107" s="57"/>
      <c r="D107" s="229"/>
      <c r="E107" s="229"/>
      <c r="F107" s="229"/>
      <c r="G107" s="229"/>
      <c r="H107" s="229"/>
      <c r="I107" s="229"/>
      <c r="J107" s="229"/>
      <c r="K107" s="229"/>
      <c r="L107" s="229"/>
      <c r="M107" s="229"/>
      <c r="N107" s="229"/>
      <c r="O107" s="229"/>
      <c r="P107" s="229"/>
      <c r="Q107" s="229"/>
      <c r="R107" s="229"/>
      <c r="S107" s="229"/>
      <c r="T107" s="229"/>
      <c r="U107" s="229"/>
      <c r="V107" s="229"/>
      <c r="W107" s="229"/>
      <c r="X107" s="229">
        <v>-272392</v>
      </c>
      <c r="Y107" s="229">
        <v>-272392</v>
      </c>
      <c r="Z107" s="229">
        <v>-274402</v>
      </c>
      <c r="AA107" s="229">
        <v>-398969</v>
      </c>
      <c r="AB107" s="229">
        <v>-319795</v>
      </c>
      <c r="AC107" s="229">
        <v>-322901</v>
      </c>
    </row>
    <row r="108" spans="1:29" s="165" customFormat="1" ht="13.8">
      <c r="A108" s="591" t="s">
        <v>1453</v>
      </c>
      <c r="B108" s="57" t="s">
        <v>2041</v>
      </c>
      <c r="C108" s="57"/>
      <c r="D108" s="229"/>
      <c r="E108" s="229"/>
      <c r="F108" s="229"/>
      <c r="G108" s="229"/>
      <c r="H108" s="229"/>
      <c r="I108" s="229"/>
      <c r="J108" s="229"/>
      <c r="K108" s="229">
        <v>250000</v>
      </c>
      <c r="L108" s="229">
        <v>250000</v>
      </c>
      <c r="M108" s="229">
        <v>250000</v>
      </c>
      <c r="N108" s="229">
        <v>250000</v>
      </c>
      <c r="O108" s="229">
        <v>250000</v>
      </c>
      <c r="P108" s="229">
        <v>300000</v>
      </c>
      <c r="Q108" s="229">
        <v>300000</v>
      </c>
      <c r="R108" s="229">
        <v>300000</v>
      </c>
      <c r="S108" s="229">
        <v>300000</v>
      </c>
      <c r="T108" s="229"/>
      <c r="U108" s="229"/>
      <c r="V108" s="229"/>
      <c r="W108" s="229"/>
      <c r="X108" s="229"/>
      <c r="Y108" s="229"/>
      <c r="Z108" s="229">
        <v>475252</v>
      </c>
      <c r="AA108" s="229">
        <v>475457</v>
      </c>
      <c r="AC108" s="229"/>
    </row>
    <row r="109" spans="1:29" s="165" customFormat="1" ht="13.8">
      <c r="A109" s="591" t="s">
        <v>1454</v>
      </c>
      <c r="B109" s="57" t="s">
        <v>2042</v>
      </c>
      <c r="C109" s="57"/>
      <c r="D109" s="229"/>
      <c r="E109" s="229"/>
      <c r="F109" s="229"/>
      <c r="G109" s="229"/>
      <c r="H109" s="229"/>
      <c r="I109" s="229"/>
      <c r="J109" s="229"/>
      <c r="K109" s="229">
        <v>500000</v>
      </c>
      <c r="L109" s="229"/>
      <c r="M109" s="229"/>
      <c r="N109" s="229"/>
      <c r="O109" s="229"/>
      <c r="P109" s="229"/>
      <c r="Q109" s="229"/>
      <c r="R109" s="229">
        <v>195000</v>
      </c>
      <c r="S109" s="229">
        <v>579134</v>
      </c>
      <c r="T109" s="229"/>
      <c r="U109" s="229">
        <v>270000</v>
      </c>
      <c r="V109" s="229">
        <v>545000</v>
      </c>
      <c r="W109" s="229">
        <v>782715</v>
      </c>
      <c r="X109" s="229">
        <v>146</v>
      </c>
      <c r="Y109" s="229"/>
      <c r="Z109" s="229">
        <v>744373</v>
      </c>
      <c r="AA109" s="229">
        <v>744002</v>
      </c>
      <c r="AB109" s="229">
        <v>0</v>
      </c>
      <c r="AC109" s="229">
        <v>500000</v>
      </c>
    </row>
    <row r="110" spans="1:29" s="165" customFormat="1" ht="13.8">
      <c r="A110" s="591" t="s">
        <v>1455</v>
      </c>
      <c r="B110" s="57" t="s">
        <v>2043</v>
      </c>
      <c r="C110" s="57"/>
      <c r="D110" s="229"/>
      <c r="E110" s="229"/>
      <c r="F110" s="229"/>
      <c r="G110" s="229"/>
      <c r="H110" s="229"/>
      <c r="I110" s="229"/>
      <c r="J110" s="229"/>
      <c r="K110" s="229"/>
      <c r="L110" s="229"/>
      <c r="M110" s="229"/>
      <c r="N110" s="229"/>
      <c r="O110" s="229"/>
      <c r="P110" s="229"/>
      <c r="Q110" s="229"/>
      <c r="R110" s="229"/>
      <c r="S110" s="229"/>
      <c r="T110" s="229"/>
      <c r="U110" s="229"/>
      <c r="V110" s="229">
        <v>-2567</v>
      </c>
      <c r="W110" s="229"/>
      <c r="X110" s="229"/>
      <c r="Y110" s="229"/>
      <c r="Z110" s="229">
        <v>-817247</v>
      </c>
      <c r="AA110" s="229">
        <v>-817246</v>
      </c>
      <c r="AB110" s="229">
        <v>0</v>
      </c>
      <c r="AC110" s="229"/>
    </row>
    <row r="111" spans="1:29" s="165" customFormat="1" ht="13.8">
      <c r="A111" s="591" t="s">
        <v>1456</v>
      </c>
      <c r="B111" s="57" t="s">
        <v>2045</v>
      </c>
      <c r="C111" s="57"/>
      <c r="D111" s="229"/>
      <c r="E111" s="229"/>
      <c r="F111" s="229"/>
      <c r="G111" s="229"/>
      <c r="H111" s="229"/>
      <c r="I111" s="229"/>
      <c r="J111" s="229"/>
      <c r="K111" s="229">
        <v>400000</v>
      </c>
      <c r="L111" s="229"/>
      <c r="M111" s="229"/>
      <c r="N111" s="229"/>
      <c r="O111" s="229"/>
      <c r="P111" s="229"/>
      <c r="Q111" s="229"/>
      <c r="R111" s="229"/>
      <c r="S111" s="229"/>
      <c r="T111" s="229"/>
      <c r="U111" s="229"/>
      <c r="V111" s="229"/>
      <c r="W111" s="229"/>
      <c r="X111" s="229"/>
      <c r="Y111" s="229"/>
      <c r="Z111" s="229"/>
      <c r="AA111" s="229"/>
      <c r="AB111" s="229"/>
      <c r="AC111" s="229"/>
    </row>
    <row r="112" spans="1:29" s="165" customFormat="1" ht="13.8">
      <c r="A112" s="591" t="s">
        <v>1457</v>
      </c>
      <c r="B112" s="57" t="s">
        <v>2044</v>
      </c>
      <c r="C112" s="57"/>
      <c r="D112" s="229"/>
      <c r="E112" s="229"/>
      <c r="F112" s="229"/>
      <c r="G112" s="229"/>
      <c r="H112" s="229"/>
      <c r="I112" s="229"/>
      <c r="J112" s="229"/>
      <c r="K112" s="229">
        <v>-238</v>
      </c>
      <c r="L112" s="229">
        <v>-477</v>
      </c>
      <c r="M112" s="229">
        <v>-953</v>
      </c>
      <c r="N112" s="229">
        <v>-1428</v>
      </c>
      <c r="O112" s="229">
        <v>-1428</v>
      </c>
      <c r="P112" s="229"/>
      <c r="Q112" s="229"/>
      <c r="R112" s="229"/>
      <c r="S112" s="229"/>
      <c r="T112" s="229"/>
      <c r="U112" s="229"/>
      <c r="V112" s="229"/>
      <c r="W112" s="229"/>
      <c r="X112" s="229"/>
      <c r="Y112" s="229"/>
      <c r="Z112" s="229"/>
      <c r="AA112" s="229"/>
      <c r="AB112" s="229">
        <v>-12</v>
      </c>
      <c r="AC112" s="229">
        <v>-25</v>
      </c>
    </row>
    <row r="113" spans="1:29" s="165" customFormat="1" ht="13.8">
      <c r="A113" s="591" t="s">
        <v>1458</v>
      </c>
      <c r="B113" s="57" t="s">
        <v>2045</v>
      </c>
      <c r="C113" s="57"/>
      <c r="D113" s="229"/>
      <c r="E113" s="229"/>
      <c r="F113" s="229"/>
      <c r="G113" s="229"/>
      <c r="H113" s="229"/>
      <c r="I113" s="229"/>
      <c r="J113" s="229"/>
      <c r="K113" s="229"/>
      <c r="L113" s="229"/>
      <c r="M113" s="229"/>
      <c r="N113" s="229"/>
      <c r="O113" s="229"/>
      <c r="P113" s="229"/>
      <c r="Q113" s="229"/>
      <c r="R113" s="229"/>
      <c r="S113" s="229"/>
      <c r="T113" s="229"/>
      <c r="U113" s="229"/>
      <c r="V113" s="229"/>
      <c r="W113" s="229"/>
      <c r="X113" s="229"/>
      <c r="Y113" s="229">
        <v>10838</v>
      </c>
      <c r="Z113" s="229">
        <v>10838</v>
      </c>
      <c r="AA113" s="229">
        <v>10838</v>
      </c>
      <c r="AC113" s="229"/>
    </row>
    <row r="114" spans="1:29" s="165" customFormat="1" ht="13.8">
      <c r="A114" s="591" t="s">
        <v>1459</v>
      </c>
      <c r="B114" s="57" t="s">
        <v>2046</v>
      </c>
      <c r="C114" s="57"/>
      <c r="D114" s="229"/>
      <c r="E114" s="229"/>
      <c r="F114" s="229"/>
      <c r="G114" s="229"/>
      <c r="H114" s="229"/>
      <c r="I114" s="229"/>
      <c r="J114" s="229"/>
      <c r="K114" s="229"/>
      <c r="L114" s="229"/>
      <c r="M114" s="229"/>
      <c r="N114" s="229"/>
      <c r="O114" s="229"/>
      <c r="P114" s="229"/>
      <c r="Q114" s="229"/>
      <c r="R114" s="229"/>
      <c r="S114" s="229"/>
      <c r="T114" s="229"/>
      <c r="U114" s="229"/>
      <c r="V114" s="229"/>
      <c r="W114" s="229"/>
      <c r="X114" s="229"/>
      <c r="Y114" s="229"/>
      <c r="Z114" s="229"/>
      <c r="AA114" s="229"/>
      <c r="AB114" s="229"/>
      <c r="AC114" s="229"/>
    </row>
    <row r="115" spans="1:29" s="165" customFormat="1" ht="13.8">
      <c r="A115" s="591" t="s">
        <v>1460</v>
      </c>
      <c r="B115" s="57" t="s">
        <v>2047</v>
      </c>
      <c r="C115" s="57"/>
      <c r="D115" s="229"/>
      <c r="E115" s="229"/>
      <c r="F115" s="229"/>
      <c r="G115" s="229"/>
      <c r="H115" s="229"/>
      <c r="I115" s="229"/>
      <c r="J115" s="229"/>
      <c r="K115" s="229"/>
      <c r="L115" s="229"/>
      <c r="M115" s="229"/>
      <c r="N115" s="229"/>
      <c r="O115" s="229"/>
      <c r="P115" s="229"/>
      <c r="Q115" s="229"/>
      <c r="R115" s="229"/>
      <c r="S115" s="229"/>
      <c r="T115" s="229"/>
      <c r="U115" s="229"/>
      <c r="V115" s="229"/>
      <c r="W115" s="229"/>
      <c r="X115" s="229"/>
      <c r="Y115" s="229"/>
      <c r="Z115" s="229"/>
      <c r="AA115" s="229"/>
      <c r="AB115" s="229"/>
      <c r="AC115" s="229"/>
    </row>
    <row r="116" spans="1:29" s="165" customFormat="1" ht="13.8">
      <c r="A116" s="599" t="s">
        <v>1461</v>
      </c>
      <c r="B116" s="57" t="s">
        <v>2048</v>
      </c>
      <c r="C116" s="57"/>
      <c r="D116" s="229"/>
      <c r="E116" s="229"/>
      <c r="F116" s="229"/>
      <c r="G116" s="229"/>
      <c r="H116" s="229"/>
      <c r="I116" s="229"/>
      <c r="J116" s="229"/>
      <c r="K116" s="229"/>
      <c r="L116" s="229"/>
      <c r="M116" s="229"/>
      <c r="N116" s="229"/>
      <c r="O116" s="229"/>
      <c r="P116" s="229"/>
      <c r="Q116" s="229"/>
      <c r="R116" s="229"/>
      <c r="S116" s="229"/>
      <c r="T116" s="229"/>
      <c r="U116" s="229"/>
      <c r="V116" s="229"/>
      <c r="W116" s="229"/>
      <c r="X116" s="229"/>
      <c r="Y116" s="229"/>
      <c r="Z116" s="229"/>
      <c r="AA116" s="229"/>
      <c r="AB116" s="229"/>
      <c r="AC116" s="229"/>
    </row>
    <row r="117" spans="1:29" s="165" customFormat="1" ht="13.8">
      <c r="A117" s="591" t="s">
        <v>1462</v>
      </c>
      <c r="B117" s="57" t="s">
        <v>2049</v>
      </c>
      <c r="C117" s="57"/>
      <c r="D117" s="229"/>
      <c r="E117" s="229"/>
      <c r="F117" s="229"/>
      <c r="G117" s="229"/>
      <c r="H117" s="229"/>
      <c r="I117" s="229"/>
      <c r="J117" s="229"/>
      <c r="K117" s="229"/>
      <c r="L117" s="229"/>
      <c r="M117" s="229"/>
      <c r="N117" s="229"/>
      <c r="O117" s="229"/>
      <c r="P117" s="229"/>
      <c r="Q117" s="229"/>
      <c r="R117" s="229"/>
      <c r="S117" s="229"/>
      <c r="T117" s="229"/>
      <c r="U117" s="229"/>
      <c r="V117" s="229"/>
      <c r="W117" s="229"/>
      <c r="X117" s="229"/>
      <c r="Y117" s="229"/>
      <c r="Z117" s="229"/>
      <c r="AA117" s="229"/>
      <c r="AB117" s="229"/>
      <c r="AC117" s="229"/>
    </row>
    <row r="118" spans="1:29" s="165" customFormat="1" ht="13.8">
      <c r="A118" s="591" t="s">
        <v>1463</v>
      </c>
      <c r="B118" s="57" t="s">
        <v>2050</v>
      </c>
      <c r="C118" s="57"/>
      <c r="D118" s="229"/>
      <c r="E118" s="229"/>
      <c r="F118" s="229"/>
      <c r="G118" s="229"/>
      <c r="H118" s="229"/>
      <c r="I118" s="229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29"/>
      <c r="U118" s="229"/>
      <c r="V118" s="229"/>
      <c r="W118" s="229"/>
      <c r="X118" s="229"/>
      <c r="Y118" s="229"/>
      <c r="Z118" s="229"/>
      <c r="AA118" s="229"/>
      <c r="AB118" s="229"/>
      <c r="AC118" s="229"/>
    </row>
    <row r="119" spans="1:29" s="165" customFormat="1" ht="13.8">
      <c r="A119" s="591" t="s">
        <v>1464</v>
      </c>
      <c r="B119" s="57" t="s">
        <v>2051</v>
      </c>
      <c r="C119" s="57"/>
      <c r="D119" s="229"/>
      <c r="E119" s="229"/>
      <c r="F119" s="229"/>
      <c r="G119" s="229"/>
      <c r="H119" s="229"/>
      <c r="I119" s="229"/>
      <c r="J119" s="229"/>
      <c r="K119" s="229"/>
      <c r="L119" s="229"/>
      <c r="M119" s="229"/>
      <c r="N119" s="229"/>
      <c r="O119" s="229"/>
      <c r="P119" s="229"/>
      <c r="Q119" s="229"/>
      <c r="R119" s="229"/>
      <c r="S119" s="229"/>
      <c r="T119" s="229"/>
      <c r="U119" s="229"/>
      <c r="V119" s="229"/>
      <c r="W119" s="229"/>
      <c r="X119" s="229"/>
      <c r="Y119" s="229"/>
      <c r="Z119" s="229"/>
      <c r="AA119" s="229"/>
      <c r="AB119" s="229"/>
      <c r="AC119" s="229"/>
    </row>
    <row r="120" spans="1:29" s="165" customFormat="1" ht="13.8">
      <c r="A120" s="591" t="s">
        <v>1465</v>
      </c>
      <c r="B120" s="57" t="s">
        <v>2052</v>
      </c>
      <c r="C120" s="57"/>
      <c r="D120" s="229"/>
      <c r="E120" s="229"/>
      <c r="F120" s="229"/>
      <c r="G120" s="229"/>
      <c r="H120" s="229"/>
      <c r="I120" s="229"/>
      <c r="J120" s="229"/>
      <c r="K120" s="229"/>
      <c r="L120" s="229"/>
      <c r="M120" s="229"/>
      <c r="N120" s="229"/>
      <c r="O120" s="229"/>
      <c r="P120" s="229"/>
      <c r="Q120" s="229"/>
      <c r="R120" s="229"/>
      <c r="S120" s="229"/>
      <c r="T120" s="229"/>
      <c r="U120" s="229"/>
      <c r="V120" s="229"/>
      <c r="W120" s="229"/>
      <c r="X120" s="229"/>
      <c r="Y120" s="229"/>
      <c r="Z120" s="229"/>
      <c r="AA120" s="229"/>
      <c r="AB120" s="229"/>
      <c r="AC120" s="229"/>
    </row>
    <row r="121" spans="1:29" s="578" customFormat="1" thickBot="1">
      <c r="A121" s="596" t="s">
        <v>1466</v>
      </c>
      <c r="B121" s="596"/>
      <c r="C121" s="596"/>
      <c r="D121" s="597">
        <f t="shared" ref="D121:Y121" si="12">SUM(D107:D119)</f>
        <v>0</v>
      </c>
      <c r="E121" s="597">
        <f t="shared" si="12"/>
        <v>0</v>
      </c>
      <c r="F121" s="597">
        <f t="shared" si="12"/>
        <v>0</v>
      </c>
      <c r="G121" s="597">
        <f t="shared" si="12"/>
        <v>0</v>
      </c>
      <c r="H121" s="597">
        <f t="shared" si="12"/>
        <v>0</v>
      </c>
      <c r="I121" s="597">
        <f>SUM(I106:I119)</f>
        <v>0</v>
      </c>
      <c r="J121" s="597">
        <f t="shared" si="12"/>
        <v>0</v>
      </c>
      <c r="K121" s="597">
        <f t="shared" si="12"/>
        <v>1149762</v>
      </c>
      <c r="L121" s="597">
        <f t="shared" si="12"/>
        <v>249523</v>
      </c>
      <c r="M121" s="597">
        <f t="shared" si="12"/>
        <v>249047</v>
      </c>
      <c r="N121" s="597">
        <f t="shared" si="12"/>
        <v>248572</v>
      </c>
      <c r="O121" s="597">
        <f t="shared" si="12"/>
        <v>248572</v>
      </c>
      <c r="P121" s="597">
        <f t="shared" si="12"/>
        <v>300000</v>
      </c>
      <c r="Q121" s="597">
        <f t="shared" si="12"/>
        <v>300000</v>
      </c>
      <c r="R121" s="597">
        <f t="shared" si="12"/>
        <v>495000</v>
      </c>
      <c r="S121" s="597">
        <f t="shared" si="12"/>
        <v>879134</v>
      </c>
      <c r="T121" s="597">
        <f t="shared" si="12"/>
        <v>0</v>
      </c>
      <c r="U121" s="597">
        <f t="shared" si="12"/>
        <v>270000</v>
      </c>
      <c r="V121" s="597">
        <f t="shared" si="12"/>
        <v>542433</v>
      </c>
      <c r="W121" s="597">
        <f t="shared" si="12"/>
        <v>782715</v>
      </c>
      <c r="X121" s="597">
        <f t="shared" si="12"/>
        <v>-272246</v>
      </c>
      <c r="Y121" s="597">
        <f t="shared" si="12"/>
        <v>-261554</v>
      </c>
      <c r="Z121" s="597">
        <f t="shared" ref="Z121" si="13">SUM(Z107:Z119)</f>
        <v>138814</v>
      </c>
      <c r="AA121" s="597">
        <f t="shared" ref="AA121:AC121" si="14">SUM(AA107:AA119)</f>
        <v>14082</v>
      </c>
      <c r="AB121" s="597">
        <f t="shared" si="14"/>
        <v>-319807</v>
      </c>
      <c r="AC121" s="597">
        <f t="shared" si="14"/>
        <v>177074</v>
      </c>
    </row>
    <row r="122" spans="1:29" s="165" customFormat="1" ht="13.8">
      <c r="A122" s="57"/>
      <c r="B122" s="57"/>
      <c r="C122" s="57"/>
      <c r="D122" s="229"/>
      <c r="E122" s="229"/>
      <c r="F122" s="229"/>
      <c r="G122" s="229"/>
      <c r="H122" s="229"/>
      <c r="I122" s="229"/>
      <c r="J122" s="229"/>
      <c r="K122" s="229"/>
      <c r="L122" s="229"/>
      <c r="M122" s="229"/>
      <c r="N122" s="229"/>
      <c r="O122" s="229"/>
      <c r="P122" s="229"/>
      <c r="Q122" s="229"/>
      <c r="R122" s="229"/>
      <c r="S122" s="229"/>
      <c r="T122" s="229"/>
      <c r="U122" s="229"/>
      <c r="V122" s="229"/>
      <c r="W122" s="229"/>
      <c r="X122" s="229"/>
      <c r="Y122" s="229"/>
      <c r="Z122" s="229"/>
      <c r="AA122" s="229"/>
      <c r="AB122" s="229"/>
      <c r="AC122" s="229"/>
    </row>
    <row r="123" spans="1:29" s="578" customFormat="1" ht="13.8">
      <c r="A123" s="592" t="s">
        <v>1467</v>
      </c>
      <c r="B123" s="592" t="s">
        <v>2053</v>
      </c>
      <c r="C123" s="592"/>
      <c r="D123" s="593">
        <f t="shared" ref="D123:Y123" si="15">+D85+D104+D121</f>
        <v>0</v>
      </c>
      <c r="E123" s="593">
        <f t="shared" si="15"/>
        <v>0</v>
      </c>
      <c r="F123" s="593">
        <f t="shared" si="15"/>
        <v>0</v>
      </c>
      <c r="G123" s="593">
        <f t="shared" si="15"/>
        <v>0</v>
      </c>
      <c r="H123" s="593">
        <f t="shared" si="15"/>
        <v>0</v>
      </c>
      <c r="I123" s="593">
        <f t="shared" si="15"/>
        <v>0</v>
      </c>
      <c r="J123" s="593">
        <f t="shared" si="15"/>
        <v>0</v>
      </c>
      <c r="K123" s="593">
        <f t="shared" si="15"/>
        <v>604274</v>
      </c>
      <c r="L123" s="593">
        <f t="shared" si="15"/>
        <v>-600531</v>
      </c>
      <c r="M123" s="593">
        <f t="shared" si="15"/>
        <v>-570728</v>
      </c>
      <c r="N123" s="593">
        <f t="shared" si="15"/>
        <v>-590799</v>
      </c>
      <c r="O123" s="593">
        <f t="shared" si="15"/>
        <v>-591844</v>
      </c>
      <c r="P123" s="593">
        <f t="shared" si="15"/>
        <v>107868</v>
      </c>
      <c r="Q123" s="593">
        <f t="shared" si="15"/>
        <v>-8883</v>
      </c>
      <c r="R123" s="593">
        <f t="shared" si="15"/>
        <v>28190</v>
      </c>
      <c r="S123" s="593">
        <f t="shared" si="15"/>
        <v>-7638</v>
      </c>
      <c r="T123" s="593">
        <f t="shared" si="15"/>
        <v>57431</v>
      </c>
      <c r="U123" s="593">
        <f t="shared" si="15"/>
        <v>-7881</v>
      </c>
      <c r="V123" s="593">
        <f t="shared" si="15"/>
        <v>33592</v>
      </c>
      <c r="W123" s="593">
        <f>+W85+W104+W121</f>
        <v>65365</v>
      </c>
      <c r="X123" s="593">
        <f t="shared" si="15"/>
        <v>-44352</v>
      </c>
      <c r="Y123" s="593">
        <f t="shared" si="15"/>
        <v>-25525</v>
      </c>
      <c r="Z123" s="593">
        <f t="shared" ref="Z123:AC123" si="16">+Z85+Z104+Z121</f>
        <v>-24119</v>
      </c>
      <c r="AA123" s="593">
        <f t="shared" si="16"/>
        <v>-10581</v>
      </c>
      <c r="AB123" s="593">
        <f t="shared" si="16"/>
        <v>91480</v>
      </c>
      <c r="AC123" s="593">
        <f t="shared" si="16"/>
        <v>458294</v>
      </c>
    </row>
    <row r="124" spans="1:29" s="165" customFormat="1" ht="13.8">
      <c r="A124" s="57"/>
      <c r="B124" s="57"/>
      <c r="C124" s="57"/>
      <c r="D124" s="229"/>
      <c r="E124" s="229"/>
      <c r="F124" s="229"/>
      <c r="G124" s="229"/>
      <c r="H124" s="229"/>
      <c r="I124" s="229"/>
      <c r="J124" s="229"/>
      <c r="K124" s="229"/>
      <c r="L124" s="229"/>
      <c r="M124" s="229"/>
      <c r="N124" s="229"/>
      <c r="O124" s="229"/>
      <c r="P124" s="229"/>
      <c r="Q124" s="229"/>
      <c r="R124" s="229"/>
      <c r="S124" s="229"/>
      <c r="T124" s="229"/>
      <c r="U124" s="229"/>
      <c r="V124" s="229"/>
      <c r="W124" s="229"/>
      <c r="X124" s="229"/>
      <c r="Y124" s="229"/>
      <c r="Z124" s="229"/>
      <c r="AA124" s="229"/>
      <c r="AB124" s="229"/>
      <c r="AC124" s="229"/>
    </row>
    <row r="125" spans="1:29" s="165" customFormat="1" ht="13.8">
      <c r="A125" s="600" t="s">
        <v>1468</v>
      </c>
      <c r="B125" s="57" t="s">
        <v>2054</v>
      </c>
      <c r="C125" s="57"/>
      <c r="D125" s="229"/>
      <c r="E125" s="229"/>
      <c r="F125" s="229"/>
      <c r="G125" s="229"/>
      <c r="H125" s="229"/>
      <c r="I125" s="229"/>
      <c r="J125" s="229"/>
      <c r="K125" s="229">
        <v>13190</v>
      </c>
      <c r="L125" s="229">
        <v>617464</v>
      </c>
      <c r="M125" s="229">
        <v>617464</v>
      </c>
      <c r="N125" s="229">
        <v>617464</v>
      </c>
      <c r="O125" s="229">
        <v>617464</v>
      </c>
      <c r="P125" s="229">
        <v>25620</v>
      </c>
      <c r="Q125" s="229">
        <v>25620</v>
      </c>
      <c r="R125" s="229">
        <v>25620</v>
      </c>
      <c r="S125" s="229">
        <v>25620</v>
      </c>
      <c r="T125" s="229">
        <v>17982</v>
      </c>
      <c r="U125" s="229">
        <v>17982</v>
      </c>
      <c r="V125" s="229">
        <v>17982</v>
      </c>
      <c r="W125" s="229">
        <v>17982</v>
      </c>
      <c r="X125" s="229">
        <v>83347</v>
      </c>
      <c r="Y125" s="229">
        <v>83347</v>
      </c>
      <c r="Z125" s="229">
        <v>83347</v>
      </c>
      <c r="AA125" s="229">
        <v>83347</v>
      </c>
      <c r="AB125" s="229">
        <v>72766</v>
      </c>
      <c r="AC125" s="229">
        <v>72766</v>
      </c>
    </row>
    <row r="126" spans="1:29" s="165" customFormat="1" ht="13.8">
      <c r="A126" s="600" t="s">
        <v>1469</v>
      </c>
      <c r="B126" s="57" t="s">
        <v>2055</v>
      </c>
      <c r="C126" s="57"/>
      <c r="D126" s="229"/>
      <c r="E126" s="229"/>
      <c r="F126" s="229"/>
      <c r="G126" s="229"/>
      <c r="H126" s="229"/>
      <c r="I126" s="229"/>
      <c r="J126" s="229"/>
      <c r="K126" s="229">
        <v>617464</v>
      </c>
      <c r="L126" s="229">
        <v>16933</v>
      </c>
      <c r="M126" s="229">
        <v>46736</v>
      </c>
      <c r="N126" s="229">
        <v>26665</v>
      </c>
      <c r="O126" s="229">
        <v>25620</v>
      </c>
      <c r="P126" s="229">
        <v>133488</v>
      </c>
      <c r="Q126" s="229">
        <v>16737</v>
      </c>
      <c r="R126" s="229">
        <v>53810</v>
      </c>
      <c r="S126" s="229">
        <v>17982</v>
      </c>
      <c r="T126" s="229">
        <v>75413</v>
      </c>
      <c r="U126" s="229">
        <v>10101</v>
      </c>
      <c r="V126" s="229">
        <v>51574</v>
      </c>
      <c r="W126" s="229">
        <v>83347</v>
      </c>
      <c r="X126" s="229">
        <v>38995</v>
      </c>
      <c r="Y126" s="229">
        <v>57822</v>
      </c>
      <c r="Z126" s="229">
        <v>59228</v>
      </c>
      <c r="AA126" s="229">
        <v>72766</v>
      </c>
      <c r="AB126" s="229">
        <v>164246</v>
      </c>
      <c r="AC126" s="229">
        <v>531060</v>
      </c>
    </row>
    <row r="127" spans="1:29" s="165" customFormat="1" ht="13.8">
      <c r="A127" s="57"/>
      <c r="B127" s="57"/>
      <c r="C127" s="57"/>
      <c r="D127" s="229"/>
      <c r="E127" s="229"/>
      <c r="F127" s="229"/>
      <c r="G127" s="229"/>
      <c r="H127" s="229"/>
      <c r="I127" s="229"/>
      <c r="J127" s="229"/>
      <c r="K127" s="229"/>
      <c r="L127" s="229"/>
      <c r="M127" s="229"/>
      <c r="N127" s="229"/>
      <c r="O127" s="229"/>
      <c r="P127" s="229"/>
      <c r="Q127" s="229"/>
      <c r="R127" s="229"/>
      <c r="S127" s="229"/>
      <c r="T127" s="229"/>
      <c r="U127" s="229"/>
      <c r="V127" s="229"/>
      <c r="W127" s="229"/>
      <c r="X127" s="229"/>
      <c r="Y127" s="229"/>
      <c r="Z127" s="229"/>
      <c r="AA127" s="229"/>
      <c r="AB127" s="229"/>
      <c r="AC127" s="229"/>
    </row>
    <row r="128" spans="1:29" s="578" customFormat="1" thickBot="1">
      <c r="A128" s="596" t="s">
        <v>1467</v>
      </c>
      <c r="B128" s="596" t="s">
        <v>2053</v>
      </c>
      <c r="C128" s="596"/>
      <c r="D128" s="597">
        <f t="shared" ref="D128:Y128" si="17">+D126-D125</f>
        <v>0</v>
      </c>
      <c r="E128" s="597">
        <f t="shared" si="17"/>
        <v>0</v>
      </c>
      <c r="F128" s="597">
        <f t="shared" si="17"/>
        <v>0</v>
      </c>
      <c r="G128" s="597">
        <f t="shared" si="17"/>
        <v>0</v>
      </c>
      <c r="H128" s="597">
        <f t="shared" si="17"/>
        <v>0</v>
      </c>
      <c r="I128" s="597">
        <f t="shared" si="17"/>
        <v>0</v>
      </c>
      <c r="J128" s="597">
        <f t="shared" si="17"/>
        <v>0</v>
      </c>
      <c r="K128" s="597">
        <f t="shared" si="17"/>
        <v>604274</v>
      </c>
      <c r="L128" s="597">
        <f t="shared" si="17"/>
        <v>-600531</v>
      </c>
      <c r="M128" s="597">
        <f t="shared" si="17"/>
        <v>-570728</v>
      </c>
      <c r="N128" s="597">
        <f t="shared" si="17"/>
        <v>-590799</v>
      </c>
      <c r="O128" s="597">
        <f t="shared" si="17"/>
        <v>-591844</v>
      </c>
      <c r="P128" s="597">
        <f t="shared" si="17"/>
        <v>107868</v>
      </c>
      <c r="Q128" s="597">
        <f t="shared" si="17"/>
        <v>-8883</v>
      </c>
      <c r="R128" s="597">
        <f t="shared" si="17"/>
        <v>28190</v>
      </c>
      <c r="S128" s="597">
        <f t="shared" si="17"/>
        <v>-7638</v>
      </c>
      <c r="T128" s="597">
        <f t="shared" si="17"/>
        <v>57431</v>
      </c>
      <c r="U128" s="597">
        <f t="shared" si="17"/>
        <v>-7881</v>
      </c>
      <c r="V128" s="597">
        <f t="shared" si="17"/>
        <v>33592</v>
      </c>
      <c r="W128" s="597">
        <f t="shared" si="17"/>
        <v>65365</v>
      </c>
      <c r="X128" s="597">
        <f t="shared" si="17"/>
        <v>-44352</v>
      </c>
      <c r="Y128" s="597">
        <f t="shared" si="17"/>
        <v>-25525</v>
      </c>
      <c r="Z128" s="597">
        <f t="shared" ref="Z128:AC128" si="18">+Z126-Z125</f>
        <v>-24119</v>
      </c>
      <c r="AA128" s="597">
        <f t="shared" si="18"/>
        <v>-10581</v>
      </c>
      <c r="AB128" s="597">
        <f t="shared" si="18"/>
        <v>91480</v>
      </c>
      <c r="AC128" s="597">
        <f t="shared" si="18"/>
        <v>458294</v>
      </c>
    </row>
  </sheetData>
  <phoneticPr fontId="30" type="noConversion"/>
  <hyperlinks>
    <hyperlink ref="B120" r:id="rId1" display="https://www.lawinsider.com/clause/advance-for-future-capital-increase-afac" xr:uid="{00000000-0004-0000-4C00-000000000000}"/>
  </hyperlinks>
  <pageMargins left="0.511811024" right="0.511811024" top="0.78740157499999996" bottom="0.78740157499999996" header="0.31496062000000002" footer="0.31496062000000002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tabColor theme="9" tint="0.79998168889431442"/>
  </sheetPr>
  <dimension ref="A6:AC130"/>
  <sheetViews>
    <sheetView showGridLines="0" zoomScale="85" zoomScaleNormal="85" workbookViewId="0">
      <pane xSplit="1" ySplit="7" topLeftCell="Y137" activePane="bottomRight" state="frozen"/>
      <selection pane="topRight" activeCell="B1" sqref="B1"/>
      <selection pane="bottomLeft" activeCell="A8" sqref="A8"/>
      <selection pane="bottomRight" activeCell="AC9" sqref="AC9"/>
    </sheetView>
  </sheetViews>
  <sheetFormatPr defaultColWidth="9.21875" defaultRowHeight="14.4" outlineLevelCol="1"/>
  <cols>
    <col min="1" max="1" width="70.77734375" style="35" bestFit="1" customWidth="1"/>
    <col min="2" max="2" width="75.88671875" style="35" bestFit="1" customWidth="1"/>
    <col min="3" max="3" width="0.5546875" style="35" customWidth="1"/>
    <col min="4" max="5" width="10.5546875" style="35" hidden="1" customWidth="1" outlineLevel="1"/>
    <col min="6" max="7" width="11.44140625" style="35" hidden="1" customWidth="1" outlineLevel="1"/>
    <col min="8" max="8" width="11.44140625" style="35" customWidth="1" collapsed="1"/>
    <col min="9" max="10" width="11.44140625" style="35" customWidth="1"/>
    <col min="11" max="29" width="11.44140625" style="35" bestFit="1" customWidth="1"/>
    <col min="30" max="16384" width="9.21875" style="35"/>
  </cols>
  <sheetData>
    <row r="6" spans="1:29">
      <c r="A6" s="38" t="s">
        <v>125</v>
      </c>
      <c r="B6" s="38" t="s">
        <v>125</v>
      </c>
      <c r="C6" s="348"/>
      <c r="D6" s="399"/>
      <c r="E6" s="399"/>
      <c r="F6" s="399"/>
      <c r="G6" s="399"/>
      <c r="H6" s="399"/>
      <c r="I6" s="399"/>
      <c r="J6" s="399"/>
      <c r="K6" s="601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399"/>
    </row>
    <row r="7" spans="1:29">
      <c r="A7" s="441" t="s">
        <v>1365</v>
      </c>
      <c r="B7" s="441" t="s">
        <v>1366</v>
      </c>
      <c r="C7" s="602"/>
      <c r="D7" s="603" t="s">
        <v>67</v>
      </c>
      <c r="E7" s="603" t="s">
        <v>68</v>
      </c>
      <c r="F7" s="603" t="s">
        <v>69</v>
      </c>
      <c r="G7" s="603" t="s">
        <v>70</v>
      </c>
      <c r="H7" s="603" t="s">
        <v>1367</v>
      </c>
      <c r="I7" s="603" t="s">
        <v>1368</v>
      </c>
      <c r="J7" s="603" t="s">
        <v>1369</v>
      </c>
      <c r="K7" s="604" t="s">
        <v>1370</v>
      </c>
      <c r="L7" s="603" t="s">
        <v>584</v>
      </c>
      <c r="M7" s="603" t="s">
        <v>585</v>
      </c>
      <c r="N7" s="603" t="s">
        <v>586</v>
      </c>
      <c r="O7" s="604" t="s">
        <v>1371</v>
      </c>
      <c r="P7" s="603" t="s">
        <v>587</v>
      </c>
      <c r="Q7" s="603" t="s">
        <v>588</v>
      </c>
      <c r="R7" s="603" t="s">
        <v>589</v>
      </c>
      <c r="S7" s="604" t="s">
        <v>1372</v>
      </c>
      <c r="T7" s="603" t="s">
        <v>590</v>
      </c>
      <c r="U7" s="603" t="s">
        <v>591</v>
      </c>
      <c r="V7" s="603" t="s">
        <v>592</v>
      </c>
      <c r="W7" s="604" t="s">
        <v>1373</v>
      </c>
      <c r="X7" s="603" t="s">
        <v>593</v>
      </c>
      <c r="Y7" s="603" t="s">
        <v>594</v>
      </c>
      <c r="Z7" s="603" t="s">
        <v>595</v>
      </c>
      <c r="AA7" s="604" t="s">
        <v>2151</v>
      </c>
      <c r="AB7" s="604" t="s">
        <v>2488</v>
      </c>
      <c r="AC7" s="604" t="s">
        <v>2497</v>
      </c>
    </row>
    <row r="8" spans="1:29" s="165" customFormat="1" ht="13.8">
      <c r="A8" s="134" t="s">
        <v>1374</v>
      </c>
      <c r="B8" s="134" t="s">
        <v>2034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229"/>
      <c r="U8" s="57"/>
      <c r="V8" s="57"/>
      <c r="W8" s="57"/>
      <c r="X8" s="57"/>
      <c r="Y8" s="57"/>
      <c r="Z8" s="57"/>
      <c r="AA8" s="57"/>
      <c r="AB8" s="57"/>
      <c r="AC8" s="57"/>
    </row>
    <row r="9" spans="1:29" s="578" customFormat="1" ht="13.8">
      <c r="A9" s="588" t="s">
        <v>776</v>
      </c>
      <c r="B9" s="589" t="s">
        <v>1375</v>
      </c>
      <c r="C9" s="589"/>
      <c r="D9" s="589"/>
      <c r="E9" s="589"/>
      <c r="F9" s="589"/>
      <c r="G9" s="589"/>
      <c r="H9" s="590"/>
      <c r="I9" s="590"/>
      <c r="J9" s="590"/>
      <c r="K9" s="590">
        <v>-118284</v>
      </c>
      <c r="L9" s="590">
        <v>-51633</v>
      </c>
      <c r="M9" s="590">
        <v>-171025</v>
      </c>
      <c r="N9" s="590">
        <v>-316972</v>
      </c>
      <c r="O9" s="590">
        <v>-808417</v>
      </c>
      <c r="P9" s="590">
        <v>-60124</v>
      </c>
      <c r="Q9" s="590">
        <v>-482796</v>
      </c>
      <c r="R9" s="590">
        <v>-561492</v>
      </c>
      <c r="S9" s="590">
        <v>-613947</v>
      </c>
      <c r="T9" s="590">
        <v>-58811</v>
      </c>
      <c r="U9" s="590">
        <v>-152423</v>
      </c>
      <c r="V9" s="590">
        <v>-82895</v>
      </c>
      <c r="W9" s="590">
        <v>356892</v>
      </c>
      <c r="X9" s="590">
        <v>2362</v>
      </c>
      <c r="Y9" s="590">
        <v>7309</v>
      </c>
      <c r="Z9" s="590">
        <v>10591</v>
      </c>
      <c r="AA9" s="590">
        <v>-352952</v>
      </c>
      <c r="AB9" s="590">
        <v>-87722</v>
      </c>
      <c r="AC9" s="590">
        <v>-171611</v>
      </c>
    </row>
    <row r="10" spans="1:29" s="165" customFormat="1" ht="13.8">
      <c r="A10" s="104" t="s">
        <v>1376</v>
      </c>
      <c r="B10" s="57" t="s">
        <v>1377</v>
      </c>
      <c r="C10" s="57"/>
      <c r="D10" s="57"/>
      <c r="E10" s="57"/>
      <c r="F10" s="57"/>
      <c r="G10" s="57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590"/>
    </row>
    <row r="11" spans="1:29" s="165" customFormat="1" ht="13.8">
      <c r="A11" s="591" t="s">
        <v>1378</v>
      </c>
      <c r="B11" s="57" t="s">
        <v>1379</v>
      </c>
      <c r="C11" s="57"/>
      <c r="D11" s="57"/>
      <c r="E11" s="57"/>
      <c r="F11" s="57"/>
      <c r="G11" s="57"/>
      <c r="H11" s="229"/>
      <c r="I11" s="229"/>
      <c r="J11" s="229"/>
      <c r="K11" s="229">
        <v>422669</v>
      </c>
      <c r="L11" s="229">
        <v>112042</v>
      </c>
      <c r="M11" s="229">
        <v>210797</v>
      </c>
      <c r="N11" s="229">
        <v>313201</v>
      </c>
      <c r="O11" s="229">
        <v>428392</v>
      </c>
      <c r="P11" s="229">
        <v>119028</v>
      </c>
      <c r="Q11" s="229">
        <v>214994</v>
      </c>
      <c r="R11" s="229">
        <v>368260</v>
      </c>
      <c r="S11" s="229">
        <v>522760</v>
      </c>
      <c r="T11" s="229">
        <v>153921</v>
      </c>
      <c r="U11" s="229">
        <v>311118</v>
      </c>
      <c r="V11" s="229">
        <v>506714</v>
      </c>
      <c r="W11" s="229">
        <v>682216</v>
      </c>
      <c r="X11" s="229">
        <v>182343</v>
      </c>
      <c r="Y11" s="229">
        <v>367471</v>
      </c>
      <c r="Z11" s="229">
        <v>516832</v>
      </c>
      <c r="AA11" s="229">
        <v>708253</v>
      </c>
      <c r="AB11" s="229">
        <v>197628</v>
      </c>
      <c r="AC11" s="229">
        <v>409993</v>
      </c>
    </row>
    <row r="12" spans="1:29" s="165" customFormat="1" ht="13.8">
      <c r="A12" s="591" t="s">
        <v>710</v>
      </c>
      <c r="B12" s="57" t="s">
        <v>1380</v>
      </c>
      <c r="C12" s="57"/>
      <c r="D12" s="57"/>
      <c r="E12" s="57"/>
      <c r="F12" s="57"/>
      <c r="G12" s="57"/>
      <c r="H12" s="229"/>
      <c r="I12" s="229"/>
      <c r="J12" s="229"/>
      <c r="K12" s="229">
        <v>0</v>
      </c>
      <c r="L12" s="229">
        <v>0</v>
      </c>
      <c r="M12" s="229">
        <v>0</v>
      </c>
      <c r="N12" s="229">
        <v>0</v>
      </c>
      <c r="O12" s="229">
        <v>0</v>
      </c>
      <c r="P12" s="229">
        <v>0</v>
      </c>
      <c r="Q12" s="229">
        <v>0</v>
      </c>
      <c r="R12" s="229">
        <v>0</v>
      </c>
      <c r="S12" s="229">
        <v>0</v>
      </c>
      <c r="T12" s="229">
        <v>0</v>
      </c>
      <c r="U12" s="229">
        <v>0</v>
      </c>
      <c r="V12" s="229">
        <v>0</v>
      </c>
      <c r="W12" s="229">
        <v>0</v>
      </c>
      <c r="X12" s="229">
        <v>0</v>
      </c>
      <c r="Y12" s="229">
        <v>0</v>
      </c>
      <c r="Z12" s="229">
        <v>0</v>
      </c>
      <c r="AA12" s="229">
        <v>0</v>
      </c>
      <c r="AB12" s="229">
        <v>0</v>
      </c>
      <c r="AC12" s="229"/>
    </row>
    <row r="13" spans="1:29" s="165" customFormat="1" ht="13.8">
      <c r="A13" s="591" t="s">
        <v>1381</v>
      </c>
      <c r="B13" s="57" t="s">
        <v>1983</v>
      </c>
      <c r="C13" s="57"/>
      <c r="D13" s="57"/>
      <c r="E13" s="57"/>
      <c r="F13" s="57"/>
      <c r="G13" s="57"/>
      <c r="H13" s="229"/>
      <c r="I13" s="229"/>
      <c r="J13" s="229"/>
      <c r="K13" s="229">
        <v>0</v>
      </c>
      <c r="L13" s="229">
        <v>0</v>
      </c>
      <c r="M13" s="229">
        <v>0</v>
      </c>
      <c r="N13" s="229">
        <v>0</v>
      </c>
      <c r="O13" s="229">
        <v>0</v>
      </c>
      <c r="P13" s="229">
        <v>0</v>
      </c>
      <c r="Q13" s="229">
        <v>0</v>
      </c>
      <c r="R13" s="229">
        <v>0</v>
      </c>
      <c r="S13" s="229">
        <v>0</v>
      </c>
      <c r="T13" s="229">
        <v>0</v>
      </c>
      <c r="U13" s="229">
        <v>0</v>
      </c>
      <c r="V13" s="229">
        <v>0</v>
      </c>
      <c r="W13" s="229">
        <v>0</v>
      </c>
      <c r="X13" s="229">
        <v>0</v>
      </c>
      <c r="Y13" s="229">
        <v>0</v>
      </c>
      <c r="Z13" s="229">
        <v>0</v>
      </c>
      <c r="AA13" s="229">
        <v>0</v>
      </c>
      <c r="AB13" s="229">
        <v>0</v>
      </c>
      <c r="AC13" s="229"/>
    </row>
    <row r="14" spans="1:29" s="165" customFormat="1" ht="13.8">
      <c r="A14" s="591" t="s">
        <v>1382</v>
      </c>
      <c r="B14" s="57" t="s">
        <v>1383</v>
      </c>
      <c r="C14" s="57"/>
      <c r="D14" s="57"/>
      <c r="E14" s="57"/>
      <c r="F14" s="57"/>
      <c r="G14" s="57"/>
      <c r="H14" s="229"/>
      <c r="I14" s="229"/>
      <c r="J14" s="229"/>
      <c r="K14" s="229">
        <v>4314</v>
      </c>
      <c r="L14" s="229">
        <v>0</v>
      </c>
      <c r="M14" s="229">
        <v>0</v>
      </c>
      <c r="N14" s="229">
        <v>8301</v>
      </c>
      <c r="O14" s="229">
        <v>9941</v>
      </c>
      <c r="P14" s="229">
        <v>427971</v>
      </c>
      <c r="Q14" s="229">
        <v>78140</v>
      </c>
      <c r="R14" s="229">
        <v>78416</v>
      </c>
      <c r="S14" s="229">
        <v>81774</v>
      </c>
      <c r="T14" s="229">
        <v>1101</v>
      </c>
      <c r="U14" s="229">
        <v>4616</v>
      </c>
      <c r="V14" s="229">
        <v>9029</v>
      </c>
      <c r="W14" s="229">
        <v>31901</v>
      </c>
      <c r="X14" s="229">
        <v>7284</v>
      </c>
      <c r="Y14" s="229">
        <v>13435</v>
      </c>
      <c r="Z14" s="229">
        <v>19060</v>
      </c>
      <c r="AA14" s="229">
        <v>19465</v>
      </c>
      <c r="AB14" s="229">
        <v>5336</v>
      </c>
      <c r="AC14" s="229">
        <v>8880</v>
      </c>
    </row>
    <row r="15" spans="1:29" s="165" customFormat="1" ht="13.8">
      <c r="A15" s="591" t="s">
        <v>1384</v>
      </c>
      <c r="B15" s="57" t="s">
        <v>1982</v>
      </c>
      <c r="C15" s="57"/>
      <c r="D15" s="57"/>
      <c r="E15" s="57"/>
      <c r="F15" s="57"/>
      <c r="G15" s="57"/>
      <c r="H15" s="229"/>
      <c r="I15" s="229"/>
      <c r="J15" s="229"/>
      <c r="K15" s="229">
        <v>-27934</v>
      </c>
      <c r="L15" s="229">
        <v>-10652</v>
      </c>
      <c r="M15" s="229">
        <v>-24833</v>
      </c>
      <c r="N15" s="229">
        <v>-19739</v>
      </c>
      <c r="O15" s="229">
        <v>-29553</v>
      </c>
      <c r="P15" s="229">
        <v>-16792</v>
      </c>
      <c r="Q15" s="229">
        <v>-22052</v>
      </c>
      <c r="R15" s="229">
        <v>-32952</v>
      </c>
      <c r="S15" s="229">
        <v>-28226</v>
      </c>
      <c r="T15" s="229">
        <v>-22331</v>
      </c>
      <c r="U15" s="229">
        <v>-38569</v>
      </c>
      <c r="V15" s="229">
        <v>-49713</v>
      </c>
      <c r="W15" s="229">
        <v>-75084</v>
      </c>
      <c r="X15" s="229">
        <v>-39500</v>
      </c>
      <c r="Y15" s="229">
        <v>-60051</v>
      </c>
      <c r="Z15" s="229">
        <v>-76982</v>
      </c>
      <c r="AA15" s="229">
        <v>-90440</v>
      </c>
      <c r="AB15" s="229">
        <v>-35250</v>
      </c>
      <c r="AC15" s="229">
        <v>-86344</v>
      </c>
    </row>
    <row r="16" spans="1:29" s="4" customFormat="1" ht="13.8">
      <c r="A16" s="591" t="s">
        <v>1385</v>
      </c>
      <c r="B16" s="57" t="s">
        <v>1386</v>
      </c>
      <c r="C16" s="104"/>
      <c r="D16" s="104"/>
      <c r="E16" s="104"/>
      <c r="F16" s="104"/>
      <c r="G16" s="104"/>
      <c r="H16" s="138"/>
      <c r="I16" s="138"/>
      <c r="J16" s="138"/>
      <c r="K16" s="138">
        <v>0</v>
      </c>
      <c r="L16" s="138">
        <v>0</v>
      </c>
      <c r="M16" s="138">
        <v>0</v>
      </c>
      <c r="N16" s="138">
        <v>0</v>
      </c>
      <c r="O16" s="138">
        <v>0</v>
      </c>
      <c r="P16" s="138">
        <v>0</v>
      </c>
      <c r="Q16" s="138">
        <v>0</v>
      </c>
      <c r="R16" s="138">
        <v>0</v>
      </c>
      <c r="S16" s="138">
        <v>0</v>
      </c>
      <c r="T16" s="138">
        <v>0</v>
      </c>
      <c r="U16" s="138">
        <v>0</v>
      </c>
      <c r="V16" s="138">
        <v>0</v>
      </c>
      <c r="W16" s="138">
        <v>0</v>
      </c>
      <c r="X16" s="138">
        <v>0</v>
      </c>
      <c r="Y16" s="229">
        <v>0</v>
      </c>
      <c r="Z16" s="229">
        <v>0</v>
      </c>
      <c r="AA16" s="229">
        <v>0</v>
      </c>
      <c r="AB16" s="229">
        <v>0</v>
      </c>
      <c r="AC16" s="229"/>
    </row>
    <row r="17" spans="1:29" s="165" customFormat="1" ht="13.8">
      <c r="A17" s="591" t="s">
        <v>1476</v>
      </c>
      <c r="B17" s="57" t="s">
        <v>1388</v>
      </c>
      <c r="C17" s="57"/>
      <c r="D17" s="57"/>
      <c r="E17" s="57"/>
      <c r="F17" s="57"/>
      <c r="G17" s="57"/>
      <c r="H17" s="229"/>
      <c r="I17" s="229"/>
      <c r="J17" s="229"/>
      <c r="K17" s="229">
        <v>0</v>
      </c>
      <c r="L17" s="229">
        <v>0</v>
      </c>
      <c r="M17" s="229">
        <v>0</v>
      </c>
      <c r="N17" s="229">
        <v>0</v>
      </c>
      <c r="O17" s="229">
        <v>0</v>
      </c>
      <c r="P17" s="229">
        <v>0</v>
      </c>
      <c r="Q17" s="229">
        <v>0</v>
      </c>
      <c r="R17" s="229">
        <v>0</v>
      </c>
      <c r="S17" s="229">
        <v>0</v>
      </c>
      <c r="T17" s="229">
        <v>0</v>
      </c>
      <c r="U17" s="229">
        <v>0</v>
      </c>
      <c r="V17" s="229">
        <v>0</v>
      </c>
      <c r="W17" s="229">
        <v>4976</v>
      </c>
      <c r="X17" s="229">
        <v>-510</v>
      </c>
      <c r="Y17" s="229">
        <v>-665</v>
      </c>
      <c r="Z17" s="229">
        <v>0</v>
      </c>
      <c r="AA17" s="229">
        <v>0</v>
      </c>
      <c r="AB17" s="229">
        <v>0</v>
      </c>
      <c r="AC17" s="229">
        <v>0</v>
      </c>
    </row>
    <row r="18" spans="1:29" s="165" customFormat="1" ht="13.8">
      <c r="A18" s="591" t="s">
        <v>1389</v>
      </c>
      <c r="B18" s="57" t="s">
        <v>1390</v>
      </c>
      <c r="C18" s="57"/>
      <c r="D18" s="57"/>
      <c r="E18" s="57"/>
      <c r="F18" s="57"/>
      <c r="G18" s="57"/>
      <c r="H18" s="229"/>
      <c r="I18" s="229"/>
      <c r="J18" s="229"/>
      <c r="K18" s="229">
        <v>0</v>
      </c>
      <c r="L18" s="229">
        <v>0</v>
      </c>
      <c r="M18" s="229">
        <v>0</v>
      </c>
      <c r="N18" s="229">
        <v>0</v>
      </c>
      <c r="O18" s="229">
        <v>0</v>
      </c>
      <c r="P18" s="229">
        <v>0</v>
      </c>
      <c r="Q18" s="229">
        <v>0</v>
      </c>
      <c r="R18" s="229">
        <v>0</v>
      </c>
      <c r="S18" s="229">
        <v>0</v>
      </c>
      <c r="T18" s="229">
        <v>0</v>
      </c>
      <c r="U18" s="229">
        <v>0</v>
      </c>
      <c r="V18" s="229">
        <v>0</v>
      </c>
      <c r="W18" s="229">
        <v>0</v>
      </c>
      <c r="X18" s="229">
        <v>0</v>
      </c>
      <c r="Y18" s="229">
        <v>0</v>
      </c>
      <c r="Z18" s="229">
        <v>0</v>
      </c>
      <c r="AA18" s="229">
        <v>0</v>
      </c>
      <c r="AB18" s="229">
        <v>0</v>
      </c>
      <c r="AC18" s="229"/>
    </row>
    <row r="19" spans="1:29" s="165" customFormat="1" ht="13.8">
      <c r="A19" s="591" t="s">
        <v>610</v>
      </c>
      <c r="B19" s="57" t="s">
        <v>1391</v>
      </c>
      <c r="C19" s="57"/>
      <c r="D19" s="57"/>
      <c r="E19" s="57"/>
      <c r="F19" s="57"/>
      <c r="G19" s="57"/>
      <c r="H19" s="229"/>
      <c r="I19" s="229"/>
      <c r="J19" s="229"/>
      <c r="K19" s="229">
        <v>0</v>
      </c>
      <c r="L19" s="229">
        <v>0</v>
      </c>
      <c r="M19" s="229">
        <v>0</v>
      </c>
      <c r="N19" s="229">
        <v>0</v>
      </c>
      <c r="O19" s="229">
        <v>0</v>
      </c>
      <c r="P19" s="229">
        <v>0</v>
      </c>
      <c r="Q19" s="229">
        <v>0</v>
      </c>
      <c r="R19" s="229">
        <v>0</v>
      </c>
      <c r="S19" s="229">
        <v>0</v>
      </c>
      <c r="T19" s="229">
        <v>0</v>
      </c>
      <c r="U19" s="229">
        <v>0</v>
      </c>
      <c r="V19" s="229">
        <v>0</v>
      </c>
      <c r="W19" s="229">
        <v>0</v>
      </c>
      <c r="X19" s="229">
        <v>0</v>
      </c>
      <c r="Y19" s="229">
        <v>0</v>
      </c>
      <c r="Z19" s="229">
        <v>0</v>
      </c>
      <c r="AA19" s="229">
        <v>0</v>
      </c>
      <c r="AB19" s="229">
        <v>0</v>
      </c>
      <c r="AC19" s="229"/>
    </row>
    <row r="20" spans="1:29" s="165" customFormat="1" ht="13.8">
      <c r="A20" s="591" t="s">
        <v>1392</v>
      </c>
      <c r="B20" s="57" t="s">
        <v>1393</v>
      </c>
      <c r="C20" s="57"/>
      <c r="D20" s="57"/>
      <c r="E20" s="57"/>
      <c r="F20" s="57"/>
      <c r="G20" s="57"/>
      <c r="H20" s="229"/>
      <c r="I20" s="229"/>
      <c r="J20" s="229"/>
      <c r="K20" s="229">
        <v>327140</v>
      </c>
      <c r="L20" s="229">
        <v>-143327</v>
      </c>
      <c r="M20" s="229">
        <v>111385</v>
      </c>
      <c r="N20" s="229">
        <v>228537</v>
      </c>
      <c r="O20" s="229">
        <v>455724</v>
      </c>
      <c r="P20" s="229">
        <v>299883</v>
      </c>
      <c r="Q20" s="229">
        <v>600521</v>
      </c>
      <c r="R20" s="229">
        <v>909966</v>
      </c>
      <c r="S20" s="229">
        <v>1210570</v>
      </c>
      <c r="T20" s="229">
        <v>323588</v>
      </c>
      <c r="U20" s="229">
        <v>638572</v>
      </c>
      <c r="V20" s="229">
        <v>988448</v>
      </c>
      <c r="W20" s="229">
        <v>1445497</v>
      </c>
      <c r="X20" s="229">
        <v>384825</v>
      </c>
      <c r="Y20" s="229">
        <v>658295</v>
      </c>
      <c r="Z20" s="229">
        <v>1006020</v>
      </c>
      <c r="AA20" s="229">
        <v>1564206</v>
      </c>
      <c r="AB20" s="229">
        <v>471102</v>
      </c>
      <c r="AC20" s="229">
        <v>1078191</v>
      </c>
    </row>
    <row r="21" spans="1:29" s="165" customFormat="1" ht="13.8">
      <c r="A21" s="591" t="s">
        <v>1394</v>
      </c>
      <c r="B21" s="57" t="s">
        <v>1395</v>
      </c>
      <c r="C21" s="57"/>
      <c r="D21" s="57"/>
      <c r="E21" s="57"/>
      <c r="F21" s="57"/>
      <c r="G21" s="57"/>
      <c r="H21" s="229"/>
      <c r="I21" s="229"/>
      <c r="J21" s="229"/>
      <c r="K21" s="229">
        <v>-37543</v>
      </c>
      <c r="L21" s="229">
        <v>345538</v>
      </c>
      <c r="M21" s="229">
        <v>334837</v>
      </c>
      <c r="N21" s="229">
        <v>483420</v>
      </c>
      <c r="O21" s="229">
        <v>538463</v>
      </c>
      <c r="P21" s="229">
        <v>0</v>
      </c>
      <c r="Q21" s="229">
        <v>0</v>
      </c>
      <c r="R21" s="229">
        <v>0</v>
      </c>
      <c r="S21" s="229">
        <v>13166</v>
      </c>
      <c r="T21" s="229">
        <v>0</v>
      </c>
      <c r="U21" s="229">
        <v>281</v>
      </c>
      <c r="V21" s="229">
        <v>8095</v>
      </c>
      <c r="W21" s="229">
        <v>-41516</v>
      </c>
      <c r="X21" s="229">
        <v>16626</v>
      </c>
      <c r="Y21" s="229">
        <v>140057</v>
      </c>
      <c r="Z21" s="229">
        <v>266801</v>
      </c>
      <c r="AA21" s="229">
        <v>212543</v>
      </c>
      <c r="AB21" s="229">
        <v>84166</v>
      </c>
      <c r="AC21" s="229">
        <v>256459</v>
      </c>
    </row>
    <row r="22" spans="1:29" s="165" customFormat="1" ht="13.8">
      <c r="A22" s="591" t="s">
        <v>1396</v>
      </c>
      <c r="B22" s="57" t="s">
        <v>1397</v>
      </c>
      <c r="C22" s="57"/>
      <c r="D22" s="57"/>
      <c r="E22" s="57"/>
      <c r="F22" s="57"/>
      <c r="G22" s="57"/>
      <c r="H22" s="229"/>
      <c r="I22" s="229"/>
      <c r="J22" s="229"/>
      <c r="K22" s="229">
        <v>-7522</v>
      </c>
      <c r="L22" s="229">
        <v>0</v>
      </c>
      <c r="M22" s="229">
        <v>0</v>
      </c>
      <c r="N22" s="229">
        <v>0</v>
      </c>
      <c r="O22" s="229">
        <v>-32748</v>
      </c>
      <c r="P22" s="229">
        <v>-38434</v>
      </c>
      <c r="Q22" s="229">
        <v>-63867</v>
      </c>
      <c r="R22" s="229">
        <v>-84109</v>
      </c>
      <c r="S22" s="229">
        <v>-110767</v>
      </c>
      <c r="T22" s="229">
        <v>-23335</v>
      </c>
      <c r="U22" s="229">
        <v>-58024</v>
      </c>
      <c r="V22" s="229">
        <v>-105829</v>
      </c>
      <c r="W22" s="229">
        <v>-146389</v>
      </c>
      <c r="X22" s="229">
        <v>-31942</v>
      </c>
      <c r="Y22" s="229">
        <v>-50910</v>
      </c>
      <c r="Z22" s="229">
        <v>-72376</v>
      </c>
      <c r="AA22" s="229">
        <v>-95794</v>
      </c>
      <c r="AB22" s="229">
        <v>-37349</v>
      </c>
      <c r="AC22" s="229">
        <v>61894</v>
      </c>
    </row>
    <row r="23" spans="1:29" s="165" customFormat="1" ht="13.8">
      <c r="A23" s="591" t="s">
        <v>1398</v>
      </c>
      <c r="B23" s="57" t="s">
        <v>1399</v>
      </c>
      <c r="C23" s="57"/>
      <c r="D23" s="57"/>
      <c r="E23" s="57"/>
      <c r="F23" s="57"/>
      <c r="G23" s="57"/>
      <c r="H23" s="229"/>
      <c r="I23" s="229"/>
      <c r="J23" s="229"/>
      <c r="K23" s="229">
        <v>0</v>
      </c>
      <c r="L23" s="229">
        <v>0</v>
      </c>
      <c r="M23" s="229">
        <v>0</v>
      </c>
      <c r="N23" s="229">
        <v>0</v>
      </c>
      <c r="O23" s="229">
        <v>0</v>
      </c>
      <c r="P23" s="229">
        <v>0</v>
      </c>
      <c r="Q23" s="229">
        <v>0</v>
      </c>
      <c r="R23" s="229">
        <v>0</v>
      </c>
      <c r="S23" s="229">
        <v>0</v>
      </c>
      <c r="T23" s="229">
        <v>0</v>
      </c>
      <c r="U23" s="229">
        <v>0</v>
      </c>
      <c r="V23" s="229">
        <v>0</v>
      </c>
      <c r="W23" s="229">
        <v>0</v>
      </c>
      <c r="X23" s="229">
        <v>0</v>
      </c>
      <c r="Y23" s="229">
        <v>0</v>
      </c>
      <c r="Z23" s="229">
        <v>0</v>
      </c>
      <c r="AA23" s="229">
        <v>0</v>
      </c>
      <c r="AB23" s="229">
        <v>0</v>
      </c>
      <c r="AC23" s="229"/>
    </row>
    <row r="24" spans="1:29" s="165" customFormat="1" ht="13.8">
      <c r="A24" s="591" t="s">
        <v>1400</v>
      </c>
      <c r="B24" s="57" t="s">
        <v>1978</v>
      </c>
      <c r="C24" s="57"/>
      <c r="D24" s="57"/>
      <c r="E24" s="57"/>
      <c r="F24" s="57"/>
      <c r="G24" s="57"/>
      <c r="H24" s="229"/>
      <c r="I24" s="229"/>
      <c r="J24" s="229"/>
      <c r="K24" s="229">
        <v>0</v>
      </c>
      <c r="L24" s="229">
        <v>0</v>
      </c>
      <c r="M24" s="229">
        <v>0</v>
      </c>
      <c r="N24" s="229">
        <v>0</v>
      </c>
      <c r="O24" s="229">
        <v>0</v>
      </c>
      <c r="P24" s="229">
        <v>0</v>
      </c>
      <c r="Q24" s="229">
        <v>0</v>
      </c>
      <c r="R24" s="229">
        <v>0</v>
      </c>
      <c r="S24" s="229">
        <v>0</v>
      </c>
      <c r="T24" s="229">
        <v>0</v>
      </c>
      <c r="U24" s="229">
        <v>0</v>
      </c>
      <c r="V24" s="229">
        <v>0</v>
      </c>
      <c r="W24" s="229">
        <v>0</v>
      </c>
      <c r="X24" s="229">
        <v>0</v>
      </c>
      <c r="Y24" s="229">
        <v>0</v>
      </c>
      <c r="Z24" s="229">
        <v>0</v>
      </c>
      <c r="AA24" s="229">
        <v>0</v>
      </c>
      <c r="AB24" s="229">
        <v>0</v>
      </c>
      <c r="AC24" s="229"/>
    </row>
    <row r="25" spans="1:29" s="165" customFormat="1" ht="13.8">
      <c r="A25" s="591" t="s">
        <v>1401</v>
      </c>
      <c r="B25" s="57" t="s">
        <v>1402</v>
      </c>
      <c r="C25" s="57"/>
      <c r="D25" s="57"/>
      <c r="E25" s="57"/>
      <c r="F25" s="57"/>
      <c r="G25" s="57"/>
      <c r="H25" s="229"/>
      <c r="I25" s="229"/>
      <c r="J25" s="229"/>
      <c r="K25" s="229">
        <v>0</v>
      </c>
      <c r="L25" s="229">
        <v>0</v>
      </c>
      <c r="M25" s="229">
        <v>0</v>
      </c>
      <c r="N25" s="229">
        <v>0</v>
      </c>
      <c r="O25" s="229">
        <v>0</v>
      </c>
      <c r="P25" s="229">
        <v>0</v>
      </c>
      <c r="Q25" s="229">
        <v>0</v>
      </c>
      <c r="R25" s="229">
        <v>0</v>
      </c>
      <c r="S25" s="229">
        <v>24675</v>
      </c>
      <c r="T25" s="229">
        <v>-552</v>
      </c>
      <c r="U25" s="229">
        <v>2077</v>
      </c>
      <c r="V25" s="229">
        <v>4420</v>
      </c>
      <c r="W25" s="229">
        <v>11239</v>
      </c>
      <c r="X25" s="229">
        <v>2914</v>
      </c>
      <c r="Y25" s="229">
        <v>4397</v>
      </c>
      <c r="Z25" s="229">
        <v>4599</v>
      </c>
      <c r="AA25" s="229">
        <v>5117</v>
      </c>
      <c r="AB25" s="229">
        <v>-991</v>
      </c>
      <c r="AC25" s="229">
        <v>-173</v>
      </c>
    </row>
    <row r="26" spans="1:29" s="4" customFormat="1" ht="13.8">
      <c r="A26" s="591" t="s">
        <v>1403</v>
      </c>
      <c r="B26" s="57" t="s">
        <v>2015</v>
      </c>
      <c r="C26" s="104"/>
      <c r="D26" s="104"/>
      <c r="E26" s="104"/>
      <c r="F26" s="104"/>
      <c r="G26" s="104"/>
      <c r="H26" s="138"/>
      <c r="I26" s="138"/>
      <c r="J26" s="138"/>
      <c r="K26" s="138">
        <v>63572</v>
      </c>
      <c r="L26" s="138">
        <v>12628</v>
      </c>
      <c r="M26" s="138">
        <v>103789</v>
      </c>
      <c r="N26" s="138">
        <v>136444</v>
      </c>
      <c r="O26" s="138">
        <v>114912</v>
      </c>
      <c r="P26" s="138">
        <v>17972</v>
      </c>
      <c r="Q26" s="138">
        <v>290824</v>
      </c>
      <c r="R26" s="138">
        <v>331738</v>
      </c>
      <c r="S26" s="138">
        <v>366557</v>
      </c>
      <c r="T26" s="138">
        <v>29071</v>
      </c>
      <c r="U26" s="138">
        <v>64474</v>
      </c>
      <c r="V26" s="138">
        <v>77400</v>
      </c>
      <c r="W26" s="138">
        <v>20088</v>
      </c>
      <c r="X26" s="138">
        <v>18941</v>
      </c>
      <c r="Y26" s="229">
        <v>16457</v>
      </c>
      <c r="Z26" s="229">
        <v>31375</v>
      </c>
      <c r="AA26" s="229">
        <v>-195130</v>
      </c>
      <c r="AB26" s="229">
        <v>30913</v>
      </c>
      <c r="AC26" s="229">
        <v>92323</v>
      </c>
    </row>
    <row r="27" spans="1:29" s="165" customFormat="1" ht="13.8">
      <c r="A27" s="591" t="s">
        <v>1470</v>
      </c>
      <c r="B27" s="57" t="s">
        <v>1980</v>
      </c>
      <c r="C27" s="57"/>
      <c r="D27" s="57"/>
      <c r="E27" s="57"/>
      <c r="F27" s="57"/>
      <c r="G27" s="57"/>
      <c r="H27" s="229"/>
      <c r="I27" s="229"/>
      <c r="J27" s="229"/>
      <c r="K27" s="229">
        <v>100269</v>
      </c>
      <c r="L27" s="229">
        <v>20808</v>
      </c>
      <c r="M27" s="229">
        <v>30958</v>
      </c>
      <c r="N27" s="229">
        <v>-19327</v>
      </c>
      <c r="O27" s="229">
        <v>300658</v>
      </c>
      <c r="P27" s="229">
        <v>1828.5814300000002</v>
      </c>
      <c r="Q27" s="229">
        <v>-123506</v>
      </c>
      <c r="R27" s="229">
        <v>-120212</v>
      </c>
      <c r="S27" s="229">
        <v>-45619</v>
      </c>
      <c r="T27" s="229">
        <v>-2632</v>
      </c>
      <c r="U27" s="229">
        <v>-1185</v>
      </c>
      <c r="V27" s="229">
        <v>7114</v>
      </c>
      <c r="W27" s="229">
        <v>64249</v>
      </c>
      <c r="X27" s="229">
        <v>38320</v>
      </c>
      <c r="Y27" s="229">
        <v>117097</v>
      </c>
      <c r="Z27" s="229">
        <v>105793</v>
      </c>
      <c r="AA27" s="229">
        <v>180578</v>
      </c>
      <c r="AB27" s="229">
        <v>56727</v>
      </c>
      <c r="AC27" s="229">
        <v>92857</v>
      </c>
    </row>
    <row r="28" spans="1:29" s="165" customFormat="1" ht="13.8">
      <c r="A28" s="591" t="s">
        <v>1404</v>
      </c>
      <c r="B28" s="57" t="s">
        <v>1979</v>
      </c>
      <c r="C28" s="57"/>
      <c r="D28" s="57"/>
      <c r="E28" s="57"/>
      <c r="F28" s="57"/>
      <c r="G28" s="57"/>
      <c r="H28" s="229"/>
      <c r="I28" s="229"/>
      <c r="J28" s="229"/>
      <c r="K28" s="229">
        <v>0</v>
      </c>
      <c r="L28" s="229">
        <v>0</v>
      </c>
      <c r="M28" s="229">
        <v>0</v>
      </c>
      <c r="N28" s="229">
        <v>0</v>
      </c>
      <c r="O28" s="229">
        <v>0</v>
      </c>
      <c r="P28" s="229">
        <v>0</v>
      </c>
      <c r="Q28" s="229">
        <v>0</v>
      </c>
      <c r="R28" s="229">
        <v>0</v>
      </c>
      <c r="S28" s="229">
        <v>0</v>
      </c>
      <c r="T28" s="229">
        <v>0</v>
      </c>
      <c r="U28" s="229">
        <v>0</v>
      </c>
      <c r="V28" s="229">
        <v>0</v>
      </c>
      <c r="W28" s="229">
        <v>0</v>
      </c>
      <c r="X28" s="229">
        <v>0</v>
      </c>
      <c r="Y28" s="229">
        <v>0</v>
      </c>
      <c r="Z28" s="229">
        <v>39650</v>
      </c>
      <c r="AA28" s="229">
        <v>61510</v>
      </c>
      <c r="AB28" s="229">
        <v>9327</v>
      </c>
      <c r="AC28" s="229">
        <v>13729</v>
      </c>
    </row>
    <row r="29" spans="1:29" s="165" customFormat="1" ht="13.8">
      <c r="A29" s="591" t="s">
        <v>720</v>
      </c>
      <c r="B29" s="57" t="s">
        <v>1981</v>
      </c>
      <c r="C29" s="57"/>
      <c r="D29" s="57"/>
      <c r="E29" s="57"/>
      <c r="F29" s="57"/>
      <c r="G29" s="57"/>
      <c r="H29" s="229"/>
      <c r="I29" s="229"/>
      <c r="J29" s="229"/>
      <c r="K29" s="229">
        <v>0</v>
      </c>
      <c r="L29" s="229">
        <v>0</v>
      </c>
      <c r="M29" s="229">
        <v>0</v>
      </c>
      <c r="N29" s="229">
        <v>52145</v>
      </c>
      <c r="O29" s="229">
        <v>0</v>
      </c>
      <c r="P29" s="229">
        <v>8483.4185699999998</v>
      </c>
      <c r="Q29" s="229">
        <v>15654</v>
      </c>
      <c r="R29" s="229">
        <v>23908</v>
      </c>
      <c r="S29" s="229">
        <v>35122</v>
      </c>
      <c r="T29" s="229">
        <v>24489</v>
      </c>
      <c r="U29" s="229">
        <v>50831</v>
      </c>
      <c r="V29" s="229">
        <v>68385</v>
      </c>
      <c r="W29" s="229">
        <v>5759</v>
      </c>
      <c r="X29" s="229">
        <v>0</v>
      </c>
      <c r="Y29" s="229">
        <v>0</v>
      </c>
      <c r="Z29" s="229">
        <v>0</v>
      </c>
      <c r="AA29" s="229">
        <v>59991</v>
      </c>
      <c r="AB29" s="229">
        <v>1437</v>
      </c>
      <c r="AC29" s="229">
        <v>2600</v>
      </c>
    </row>
    <row r="30" spans="1:29" s="165" customFormat="1" ht="13.8">
      <c r="A30" s="591" t="s">
        <v>1405</v>
      </c>
      <c r="B30" s="57" t="s">
        <v>1985</v>
      </c>
      <c r="C30" s="57"/>
      <c r="D30" s="57"/>
      <c r="E30" s="57"/>
      <c r="F30" s="57"/>
      <c r="G30" s="57"/>
      <c r="H30" s="229"/>
      <c r="I30" s="229"/>
      <c r="J30" s="229"/>
      <c r="K30" s="229">
        <v>5903</v>
      </c>
      <c r="L30" s="229">
        <v>0</v>
      </c>
      <c r="M30" s="229">
        <v>0</v>
      </c>
      <c r="N30" s="229">
        <v>0</v>
      </c>
      <c r="O30" s="229">
        <v>6486</v>
      </c>
      <c r="P30" s="229">
        <v>19862</v>
      </c>
      <c r="Q30" s="229">
        <v>39965</v>
      </c>
      <c r="R30" s="229">
        <v>61585</v>
      </c>
      <c r="S30" s="229">
        <v>87270</v>
      </c>
      <c r="T30" s="229">
        <v>23733</v>
      </c>
      <c r="U30" s="229">
        <v>42680</v>
      </c>
      <c r="V30" s="229">
        <v>68213</v>
      </c>
      <c r="W30" s="229">
        <v>93129</v>
      </c>
      <c r="X30" s="229">
        <v>22794</v>
      </c>
      <c r="Y30" s="229">
        <v>47247</v>
      </c>
      <c r="Z30" s="229">
        <v>75017</v>
      </c>
      <c r="AA30" s="229">
        <v>103000</v>
      </c>
      <c r="AB30" s="229">
        <v>22927</v>
      </c>
      <c r="AC30" s="229">
        <v>49384</v>
      </c>
    </row>
    <row r="31" spans="1:29" s="165" customFormat="1" ht="13.8">
      <c r="A31" s="591" t="s">
        <v>1471</v>
      </c>
      <c r="B31" s="57" t="s">
        <v>1984</v>
      </c>
      <c r="C31" s="57"/>
      <c r="D31" s="57"/>
      <c r="E31" s="57"/>
      <c r="F31" s="57"/>
      <c r="G31" s="57"/>
      <c r="H31" s="229"/>
      <c r="I31" s="229"/>
      <c r="J31" s="229"/>
      <c r="K31" s="229">
        <v>146073</v>
      </c>
      <c r="L31" s="229">
        <v>9209</v>
      </c>
      <c r="M31" s="229">
        <v>36871</v>
      </c>
      <c r="N31" s="229">
        <v>55333</v>
      </c>
      <c r="O31" s="229">
        <v>175040</v>
      </c>
      <c r="P31" s="229">
        <v>35543</v>
      </c>
      <c r="Q31" s="229">
        <v>382348</v>
      </c>
      <c r="R31" s="229">
        <v>422561</v>
      </c>
      <c r="S31" s="229">
        <v>481858</v>
      </c>
      <c r="T31" s="229">
        <v>28580</v>
      </c>
      <c r="U31" s="229">
        <v>56656</v>
      </c>
      <c r="V31" s="229">
        <v>96614</v>
      </c>
      <c r="W31" s="229">
        <v>53876</v>
      </c>
      <c r="X31" s="229">
        <v>35243</v>
      </c>
      <c r="Y31" s="229">
        <v>64993</v>
      </c>
      <c r="Z31" s="229">
        <v>92212</v>
      </c>
      <c r="AA31" s="229">
        <v>909865</v>
      </c>
      <c r="AB31" s="229">
        <v>29070</v>
      </c>
      <c r="AC31" s="229">
        <v>82176</v>
      </c>
    </row>
    <row r="32" spans="1:29" s="165" customFormat="1" ht="13.8">
      <c r="A32" s="591" t="s">
        <v>1407</v>
      </c>
      <c r="B32" s="57" t="s">
        <v>1986</v>
      </c>
      <c r="C32" s="57"/>
      <c r="D32" s="57"/>
      <c r="E32" s="57"/>
      <c r="F32" s="57"/>
      <c r="G32" s="57"/>
      <c r="H32" s="229"/>
      <c r="I32" s="229"/>
      <c r="J32" s="229"/>
      <c r="K32" s="229">
        <v>-1628939</v>
      </c>
      <c r="L32" s="229">
        <v>-39874</v>
      </c>
      <c r="M32" s="229">
        <v>-90843</v>
      </c>
      <c r="N32" s="229">
        <v>-49020</v>
      </c>
      <c r="O32" s="229">
        <v>-386235</v>
      </c>
      <c r="P32" s="229">
        <v>-51014</v>
      </c>
      <c r="Q32" s="229">
        <v>-70794</v>
      </c>
      <c r="R32" s="229">
        <v>-87498</v>
      </c>
      <c r="S32" s="229">
        <v>-257475</v>
      </c>
      <c r="T32" s="229">
        <v>-165511</v>
      </c>
      <c r="U32" s="229">
        <v>-390862</v>
      </c>
      <c r="V32" s="229">
        <v>-806076</v>
      </c>
      <c r="W32" s="229">
        <v>-896282</v>
      </c>
      <c r="X32" s="229">
        <v>-225195</v>
      </c>
      <c r="Y32" s="229">
        <v>-678492</v>
      </c>
      <c r="Z32" s="229">
        <v>-1247337</v>
      </c>
      <c r="AA32" s="229">
        <v>-1442210</v>
      </c>
      <c r="AB32" s="229">
        <v>-103073</v>
      </c>
      <c r="AC32" s="229">
        <v>-269936</v>
      </c>
    </row>
    <row r="33" spans="1:29" s="165" customFormat="1" ht="13.8">
      <c r="A33" s="591" t="s">
        <v>1478</v>
      </c>
      <c r="B33" s="57" t="s">
        <v>1987</v>
      </c>
      <c r="C33" s="57"/>
      <c r="D33" s="57"/>
      <c r="E33" s="57"/>
      <c r="F33" s="57"/>
      <c r="G33" s="57"/>
      <c r="H33" s="229"/>
      <c r="I33" s="229"/>
      <c r="J33" s="229"/>
      <c r="K33" s="229">
        <v>0</v>
      </c>
      <c r="L33" s="229">
        <v>0</v>
      </c>
      <c r="M33" s="229">
        <v>0</v>
      </c>
      <c r="N33" s="229">
        <v>0</v>
      </c>
      <c r="O33" s="229">
        <v>0</v>
      </c>
      <c r="P33" s="229">
        <v>0</v>
      </c>
      <c r="Q33" s="229">
        <v>0</v>
      </c>
      <c r="R33" s="229">
        <v>0</v>
      </c>
      <c r="S33" s="229">
        <v>0</v>
      </c>
      <c r="T33" s="229">
        <v>0</v>
      </c>
      <c r="U33" s="229">
        <v>0</v>
      </c>
      <c r="V33" s="229">
        <v>0</v>
      </c>
      <c r="W33" s="229">
        <v>0</v>
      </c>
      <c r="X33" s="229">
        <v>0</v>
      </c>
      <c r="Y33" s="229">
        <v>0</v>
      </c>
      <c r="Z33" s="229">
        <v>0</v>
      </c>
      <c r="AA33" s="229">
        <v>0</v>
      </c>
      <c r="AB33" s="229">
        <v>0</v>
      </c>
      <c r="AC33" s="229"/>
    </row>
    <row r="34" spans="1:29" s="165" customFormat="1" ht="13.8">
      <c r="A34" s="591" t="s">
        <v>1472</v>
      </c>
      <c r="B34" s="57" t="s">
        <v>775</v>
      </c>
      <c r="C34" s="57"/>
      <c r="D34" s="57"/>
      <c r="E34" s="57"/>
      <c r="F34" s="57"/>
      <c r="G34" s="57"/>
      <c r="H34" s="229"/>
      <c r="I34" s="229"/>
      <c r="J34" s="229"/>
      <c r="K34" s="229">
        <v>-86859</v>
      </c>
      <c r="L34" s="229">
        <v>-19842</v>
      </c>
      <c r="M34" s="229">
        <v>-85514</v>
      </c>
      <c r="N34" s="229">
        <v>-146667</v>
      </c>
      <c r="O34" s="229">
        <v>-331702</v>
      </c>
      <c r="P34" s="229">
        <v>-11034</v>
      </c>
      <c r="Q34" s="229">
        <v>-195996</v>
      </c>
      <c r="R34" s="229">
        <v>-235950</v>
      </c>
      <c r="S34" s="229">
        <v>-436345</v>
      </c>
      <c r="T34" s="229">
        <v>-18544</v>
      </c>
      <c r="U34" s="229">
        <v>-62960</v>
      </c>
      <c r="V34" s="229">
        <v>-65528</v>
      </c>
      <c r="W34" s="229">
        <v>-434042</v>
      </c>
      <c r="X34" s="229">
        <v>-32530</v>
      </c>
      <c r="Y34" s="229">
        <v>-73594</v>
      </c>
      <c r="Z34" s="229">
        <v>-107846</v>
      </c>
      <c r="AA34" s="229">
        <v>-338101</v>
      </c>
      <c r="AB34" s="229">
        <v>-72757</v>
      </c>
      <c r="AC34" s="229">
        <v>-129189</v>
      </c>
    </row>
    <row r="35" spans="1:29" s="165" customFormat="1" ht="13.8">
      <c r="A35" s="591" t="s">
        <v>1409</v>
      </c>
      <c r="B35" s="57" t="s">
        <v>1988</v>
      </c>
      <c r="C35" s="57"/>
      <c r="D35" s="57"/>
      <c r="E35" s="57"/>
      <c r="F35" s="57"/>
      <c r="G35" s="57"/>
      <c r="H35" s="229"/>
      <c r="I35" s="229"/>
      <c r="J35" s="229"/>
      <c r="K35" s="229">
        <v>54366</v>
      </c>
      <c r="L35" s="229">
        <v>0</v>
      </c>
      <c r="M35" s="229">
        <v>0</v>
      </c>
      <c r="N35" s="229">
        <v>0</v>
      </c>
      <c r="O35" s="229">
        <v>36314</v>
      </c>
      <c r="P35" s="229">
        <v>41273</v>
      </c>
      <c r="Q35" s="229">
        <v>21893</v>
      </c>
      <c r="R35" s="229">
        <v>21893</v>
      </c>
      <c r="S35" s="229">
        <v>-16628</v>
      </c>
      <c r="T35" s="229">
        <v>0</v>
      </c>
      <c r="U35" s="229">
        <v>0</v>
      </c>
      <c r="V35" s="229">
        <v>89769</v>
      </c>
      <c r="W35" s="229">
        <v>6054</v>
      </c>
      <c r="X35" s="229">
        <v>7290</v>
      </c>
      <c r="Y35" s="229">
        <v>39429</v>
      </c>
      <c r="Z35" s="229">
        <v>50480</v>
      </c>
      <c r="AA35" s="229">
        <v>52344</v>
      </c>
      <c r="AB35" s="229">
        <v>6623</v>
      </c>
      <c r="AC35" s="229">
        <v>6622</v>
      </c>
    </row>
    <row r="36" spans="1:29" s="165" customFormat="1" ht="13.8">
      <c r="A36" s="591" t="s">
        <v>1410</v>
      </c>
      <c r="B36" s="57" t="s">
        <v>1989</v>
      </c>
      <c r="C36" s="57"/>
      <c r="D36" s="57"/>
      <c r="E36" s="57"/>
      <c r="F36" s="57"/>
      <c r="G36" s="57"/>
      <c r="H36" s="229"/>
      <c r="I36" s="229"/>
      <c r="J36" s="229"/>
      <c r="K36" s="229">
        <v>0</v>
      </c>
      <c r="L36" s="229">
        <v>0</v>
      </c>
      <c r="M36" s="229">
        <v>0</v>
      </c>
      <c r="N36" s="229">
        <v>0</v>
      </c>
      <c r="O36" s="229">
        <v>0</v>
      </c>
      <c r="P36" s="229">
        <v>0</v>
      </c>
      <c r="Q36" s="229">
        <v>433</v>
      </c>
      <c r="R36" s="229">
        <v>1069</v>
      </c>
      <c r="S36" s="229">
        <v>2588</v>
      </c>
      <c r="T36" s="229">
        <v>2719</v>
      </c>
      <c r="U36" s="229">
        <v>4307</v>
      </c>
      <c r="V36" s="229">
        <v>5143</v>
      </c>
      <c r="W36" s="229">
        <v>5330</v>
      </c>
      <c r="X36" s="229">
        <v>1291</v>
      </c>
      <c r="Y36" s="229">
        <v>2636</v>
      </c>
      <c r="Z36" s="229">
        <v>5165</v>
      </c>
      <c r="AA36" s="229">
        <v>6544</v>
      </c>
      <c r="AB36" s="229">
        <v>6099</v>
      </c>
      <c r="AC36" s="229">
        <v>11628</v>
      </c>
    </row>
    <row r="37" spans="1:29" s="165" customFormat="1" ht="13.8">
      <c r="A37" s="591" t="s">
        <v>1411</v>
      </c>
      <c r="B37" s="57" t="s">
        <v>1990</v>
      </c>
      <c r="C37" s="57"/>
      <c r="D37" s="57"/>
      <c r="E37" s="57"/>
      <c r="F37" s="57"/>
      <c r="G37" s="57"/>
      <c r="H37" s="229"/>
      <c r="I37" s="229"/>
      <c r="J37" s="229"/>
      <c r="K37" s="229"/>
      <c r="L37" s="229"/>
      <c r="M37" s="229"/>
      <c r="N37" s="229"/>
      <c r="O37" s="229"/>
      <c r="P37" s="229"/>
      <c r="Q37" s="229"/>
      <c r="R37" s="229"/>
      <c r="S37" s="229"/>
      <c r="T37" s="229"/>
      <c r="U37" s="229"/>
      <c r="V37" s="229"/>
      <c r="W37" s="229"/>
      <c r="X37" s="229"/>
      <c r="Y37" s="229">
        <v>0</v>
      </c>
      <c r="Z37" s="229">
        <v>0</v>
      </c>
      <c r="AA37" s="229">
        <v>0</v>
      </c>
      <c r="AB37" s="229">
        <v>0</v>
      </c>
      <c r="AC37" s="229"/>
    </row>
    <row r="38" spans="1:29" s="165" customFormat="1" ht="13.8">
      <c r="A38" s="591" t="s">
        <v>1127</v>
      </c>
      <c r="B38" s="57" t="s">
        <v>1991</v>
      </c>
      <c r="C38" s="57"/>
      <c r="D38" s="57"/>
      <c r="E38" s="57"/>
      <c r="F38" s="57"/>
      <c r="G38" s="57"/>
      <c r="H38" s="229"/>
      <c r="I38" s="229"/>
      <c r="J38" s="229"/>
      <c r="K38" s="229">
        <v>0</v>
      </c>
      <c r="L38" s="229">
        <v>0</v>
      </c>
      <c r="M38" s="229">
        <v>0</v>
      </c>
      <c r="N38" s="229">
        <v>0</v>
      </c>
      <c r="O38" s="229">
        <v>0</v>
      </c>
      <c r="P38" s="229">
        <v>0</v>
      </c>
      <c r="Q38" s="229">
        <v>-77548</v>
      </c>
      <c r="R38" s="229">
        <v>-79359</v>
      </c>
      <c r="S38" s="229">
        <v>-35855</v>
      </c>
      <c r="T38" s="229">
        <v>-793</v>
      </c>
      <c r="U38" s="229">
        <v>-66942.297999999995</v>
      </c>
      <c r="V38" s="229">
        <v>-2148.2354999999998</v>
      </c>
      <c r="W38" s="229">
        <v>-201248.5705</v>
      </c>
      <c r="X38" s="229">
        <v>-33453</v>
      </c>
      <c r="Y38" s="229">
        <v>-5383</v>
      </c>
      <c r="Z38" s="229">
        <v>-7914</v>
      </c>
      <c r="AA38" s="229">
        <v>-24555</v>
      </c>
      <c r="AB38" s="229">
        <v>-2306</v>
      </c>
      <c r="AC38" s="229">
        <v>-4571</v>
      </c>
    </row>
    <row r="39" spans="1:29" s="165" customFormat="1" ht="13.8">
      <c r="A39" s="591" t="s">
        <v>1412</v>
      </c>
      <c r="B39" s="57" t="s">
        <v>1992</v>
      </c>
      <c r="C39" s="57"/>
      <c r="D39" s="57"/>
      <c r="E39" s="57"/>
      <c r="F39" s="57"/>
      <c r="G39" s="57"/>
      <c r="H39" s="229"/>
      <c r="I39" s="229"/>
      <c r="J39" s="229"/>
      <c r="K39" s="229">
        <v>0</v>
      </c>
      <c r="L39" s="229">
        <v>0</v>
      </c>
      <c r="M39" s="229">
        <v>0</v>
      </c>
      <c r="N39" s="229">
        <v>0</v>
      </c>
      <c r="O39" s="229">
        <v>0</v>
      </c>
      <c r="P39" s="229">
        <v>0</v>
      </c>
      <c r="Q39" s="229">
        <v>0</v>
      </c>
      <c r="R39" s="229">
        <v>0</v>
      </c>
      <c r="S39" s="229">
        <v>0</v>
      </c>
      <c r="T39" s="229">
        <v>0</v>
      </c>
      <c r="U39" s="229">
        <v>0</v>
      </c>
      <c r="V39" s="229">
        <v>0</v>
      </c>
      <c r="W39" s="229">
        <v>0</v>
      </c>
      <c r="X39" s="229">
        <v>0</v>
      </c>
      <c r="Y39" s="229">
        <v>0</v>
      </c>
      <c r="Z39" s="229">
        <v>0</v>
      </c>
      <c r="AA39" s="229">
        <v>0</v>
      </c>
      <c r="AB39" s="229">
        <v>0</v>
      </c>
      <c r="AC39" s="229"/>
    </row>
    <row r="40" spans="1:29" s="165" customFormat="1" ht="13.8">
      <c r="A40" s="591" t="s">
        <v>1123</v>
      </c>
      <c r="B40" s="57" t="s">
        <v>1977</v>
      </c>
      <c r="C40" s="57"/>
      <c r="D40" s="57"/>
      <c r="E40" s="57"/>
      <c r="F40" s="57"/>
      <c r="G40" s="57"/>
      <c r="H40" s="229"/>
      <c r="I40" s="229"/>
      <c r="J40" s="229"/>
      <c r="K40" s="229">
        <v>0</v>
      </c>
      <c r="L40" s="229">
        <v>0</v>
      </c>
      <c r="M40" s="229">
        <v>0</v>
      </c>
      <c r="N40" s="229">
        <v>0</v>
      </c>
      <c r="O40" s="229">
        <v>0</v>
      </c>
      <c r="P40" s="229">
        <v>0</v>
      </c>
      <c r="Q40" s="229">
        <v>0</v>
      </c>
      <c r="R40" s="229">
        <v>0</v>
      </c>
      <c r="S40" s="229">
        <v>0</v>
      </c>
      <c r="T40" s="229">
        <v>0</v>
      </c>
      <c r="U40" s="229">
        <v>0</v>
      </c>
      <c r="V40" s="229">
        <v>0</v>
      </c>
      <c r="W40" s="229">
        <v>0</v>
      </c>
      <c r="X40" s="229">
        <v>0</v>
      </c>
      <c r="Y40" s="229">
        <v>0</v>
      </c>
      <c r="Z40" s="229">
        <v>0</v>
      </c>
      <c r="AA40" s="229">
        <v>0</v>
      </c>
      <c r="AB40" s="229">
        <v>0</v>
      </c>
      <c r="AC40" s="229"/>
    </row>
    <row r="41" spans="1:29" s="165" customFormat="1" ht="13.8">
      <c r="A41" s="591" t="s">
        <v>1473</v>
      </c>
      <c r="B41" s="57" t="s">
        <v>1195</v>
      </c>
      <c r="C41" s="57"/>
      <c r="D41" s="57"/>
      <c r="E41" s="57"/>
      <c r="F41" s="57"/>
      <c r="G41" s="57"/>
      <c r="H41" s="229"/>
      <c r="I41" s="229"/>
      <c r="J41" s="229"/>
      <c r="K41" s="229">
        <v>22992</v>
      </c>
      <c r="L41" s="229">
        <v>5034</v>
      </c>
      <c r="M41" s="229">
        <v>10067</v>
      </c>
      <c r="N41" s="229">
        <v>15101</v>
      </c>
      <c r="O41" s="229">
        <v>20131</v>
      </c>
      <c r="P41" s="229">
        <v>0</v>
      </c>
      <c r="Q41" s="229">
        <v>0</v>
      </c>
      <c r="R41" s="229">
        <v>7293</v>
      </c>
      <c r="S41" s="229">
        <v>17600</v>
      </c>
      <c r="T41" s="229">
        <v>1982</v>
      </c>
      <c r="U41" s="229">
        <v>1982.3958299999999</v>
      </c>
      <c r="V41" s="229">
        <v>1982.3958299999999</v>
      </c>
      <c r="W41" s="229">
        <v>17937</v>
      </c>
      <c r="X41" s="229">
        <v>0</v>
      </c>
      <c r="Y41" s="229">
        <v>1275</v>
      </c>
      <c r="Z41" s="229">
        <v>1546</v>
      </c>
      <c r="AA41" s="229">
        <v>34579</v>
      </c>
      <c r="AB41" s="229">
        <v>16318</v>
      </c>
      <c r="AC41" s="229">
        <v>32163</v>
      </c>
    </row>
    <row r="42" spans="1:29" s="4" customFormat="1" ht="13.8">
      <c r="A42" s="591" t="s">
        <v>1413</v>
      </c>
      <c r="B42" s="57" t="s">
        <v>2014</v>
      </c>
      <c r="C42" s="104"/>
      <c r="D42" s="104"/>
      <c r="E42" s="104"/>
      <c r="F42" s="104"/>
      <c r="G42" s="104"/>
      <c r="H42" s="138"/>
      <c r="I42" s="138"/>
      <c r="J42" s="138"/>
      <c r="K42" s="138">
        <v>0</v>
      </c>
      <c r="L42" s="138">
        <v>0</v>
      </c>
      <c r="M42" s="138">
        <v>0</v>
      </c>
      <c r="N42" s="138">
        <v>0</v>
      </c>
      <c r="O42" s="138">
        <v>0</v>
      </c>
      <c r="P42" s="138">
        <v>0</v>
      </c>
      <c r="Q42" s="138">
        <v>0</v>
      </c>
      <c r="R42" s="138">
        <v>0</v>
      </c>
      <c r="S42" s="138">
        <v>0</v>
      </c>
      <c r="T42" s="138">
        <v>0</v>
      </c>
      <c r="U42" s="138">
        <v>0</v>
      </c>
      <c r="V42" s="138">
        <v>0</v>
      </c>
      <c r="W42" s="138">
        <v>0</v>
      </c>
      <c r="X42" s="138">
        <v>0</v>
      </c>
      <c r="Y42" s="229">
        <v>0</v>
      </c>
      <c r="Z42" s="229">
        <v>0</v>
      </c>
      <c r="AA42" s="229">
        <v>0</v>
      </c>
      <c r="AB42" s="229">
        <v>0</v>
      </c>
      <c r="AC42" s="229"/>
    </row>
    <row r="43" spans="1:29" s="4" customFormat="1" ht="13.8">
      <c r="A43" s="591" t="s">
        <v>1414</v>
      </c>
      <c r="B43" s="57" t="s">
        <v>1992</v>
      </c>
      <c r="C43" s="104"/>
      <c r="D43" s="104"/>
      <c r="E43" s="104"/>
      <c r="F43" s="104"/>
      <c r="G43" s="104"/>
      <c r="H43" s="138"/>
      <c r="I43" s="138"/>
      <c r="J43" s="138"/>
      <c r="K43" s="138">
        <v>0</v>
      </c>
      <c r="L43" s="138">
        <v>0</v>
      </c>
      <c r="M43" s="138">
        <v>0</v>
      </c>
      <c r="N43" s="138">
        <v>0</v>
      </c>
      <c r="O43" s="138">
        <v>0</v>
      </c>
      <c r="P43" s="138">
        <v>0</v>
      </c>
      <c r="Q43" s="138">
        <v>0</v>
      </c>
      <c r="R43" s="138">
        <v>0</v>
      </c>
      <c r="S43" s="138">
        <v>0</v>
      </c>
      <c r="T43" s="138">
        <v>0</v>
      </c>
      <c r="U43" s="138">
        <v>0</v>
      </c>
      <c r="V43" s="138">
        <v>0</v>
      </c>
      <c r="W43" s="138">
        <v>0</v>
      </c>
      <c r="X43" s="138">
        <v>0</v>
      </c>
      <c r="Y43" s="229">
        <v>0</v>
      </c>
      <c r="Z43" s="229">
        <v>0</v>
      </c>
      <c r="AA43" s="229">
        <v>0</v>
      </c>
      <c r="AB43" s="229">
        <v>0</v>
      </c>
      <c r="AC43" s="229"/>
    </row>
    <row r="44" spans="1:29" s="4" customFormat="1" ht="13.8">
      <c r="A44" s="591" t="s">
        <v>1415</v>
      </c>
      <c r="B44" s="57" t="s">
        <v>1993</v>
      </c>
      <c r="C44" s="104"/>
      <c r="D44" s="104"/>
      <c r="E44" s="104"/>
      <c r="F44" s="104"/>
      <c r="G44" s="104"/>
      <c r="H44" s="138"/>
      <c r="I44" s="138"/>
      <c r="J44" s="138"/>
      <c r="K44" s="138">
        <v>0</v>
      </c>
      <c r="L44" s="138">
        <v>0</v>
      </c>
      <c r="M44" s="138">
        <v>0</v>
      </c>
      <c r="N44" s="138">
        <v>0</v>
      </c>
      <c r="O44" s="138">
        <v>0</v>
      </c>
      <c r="P44" s="138">
        <v>0</v>
      </c>
      <c r="Q44" s="138">
        <v>0</v>
      </c>
      <c r="R44" s="138">
        <v>0</v>
      </c>
      <c r="S44" s="138">
        <v>0</v>
      </c>
      <c r="T44" s="138">
        <v>0</v>
      </c>
      <c r="U44" s="138">
        <v>0</v>
      </c>
      <c r="V44" s="138">
        <v>0</v>
      </c>
      <c r="W44" s="138">
        <v>0</v>
      </c>
      <c r="X44" s="138">
        <v>0</v>
      </c>
      <c r="Y44" s="229">
        <v>0</v>
      </c>
      <c r="Z44" s="229">
        <v>0</v>
      </c>
      <c r="AA44" s="229">
        <v>0</v>
      </c>
      <c r="AB44" s="229">
        <v>0</v>
      </c>
      <c r="AC44" s="229"/>
    </row>
    <row r="45" spans="1:29" s="165" customFormat="1" ht="13.8">
      <c r="A45" s="591" t="s">
        <v>1474</v>
      </c>
      <c r="B45" s="57" t="s">
        <v>1417</v>
      </c>
      <c r="C45" s="57"/>
      <c r="D45" s="57"/>
      <c r="E45" s="57"/>
      <c r="F45" s="57"/>
      <c r="G45" s="57"/>
      <c r="H45" s="229"/>
      <c r="I45" s="229"/>
      <c r="J45" s="229"/>
      <c r="K45" s="229">
        <v>0</v>
      </c>
      <c r="L45" s="229">
        <v>0</v>
      </c>
      <c r="M45" s="229">
        <v>0</v>
      </c>
      <c r="N45" s="229">
        <v>0</v>
      </c>
      <c r="O45" s="229">
        <v>0</v>
      </c>
      <c r="P45" s="229">
        <v>0</v>
      </c>
      <c r="Q45" s="229">
        <v>0</v>
      </c>
      <c r="R45" s="229">
        <v>0</v>
      </c>
      <c r="S45" s="229">
        <v>0</v>
      </c>
      <c r="T45" s="229">
        <v>0</v>
      </c>
      <c r="U45" s="229">
        <v>0</v>
      </c>
      <c r="V45" s="229">
        <v>0</v>
      </c>
      <c r="W45" s="229">
        <v>0</v>
      </c>
      <c r="X45" s="229">
        <v>0</v>
      </c>
      <c r="Y45" s="229">
        <v>32597</v>
      </c>
      <c r="Z45" s="229">
        <v>46496</v>
      </c>
      <c r="AA45" s="229">
        <v>57043</v>
      </c>
      <c r="AB45" s="229">
        <v>1261</v>
      </c>
      <c r="AC45" s="229">
        <v>4644</v>
      </c>
    </row>
    <row r="46" spans="1:29" s="165" customFormat="1" ht="13.8">
      <c r="A46" s="591" t="s">
        <v>2523</v>
      </c>
      <c r="B46" s="57" t="s">
        <v>2528</v>
      </c>
      <c r="C46" s="57"/>
      <c r="D46" s="57"/>
      <c r="E46" s="57"/>
      <c r="F46" s="57"/>
      <c r="G46" s="57"/>
      <c r="H46" s="229"/>
      <c r="I46" s="229"/>
      <c r="J46" s="229"/>
      <c r="K46" s="229"/>
      <c r="L46" s="229"/>
      <c r="M46" s="229"/>
      <c r="N46" s="229"/>
      <c r="O46" s="229"/>
      <c r="P46" s="229"/>
      <c r="Q46" s="229"/>
      <c r="R46" s="229"/>
      <c r="S46" s="229"/>
      <c r="T46" s="229"/>
      <c r="U46" s="229"/>
      <c r="V46" s="229"/>
      <c r="W46" s="229"/>
      <c r="X46" s="229"/>
      <c r="Y46" s="229"/>
      <c r="Z46" s="229"/>
      <c r="AA46" s="229"/>
      <c r="AB46" s="229"/>
      <c r="AC46" s="229">
        <v>-193515</v>
      </c>
    </row>
    <row r="47" spans="1:29" s="165" customFormat="1" ht="13.8">
      <c r="A47" s="591" t="s">
        <v>95</v>
      </c>
      <c r="B47" s="57" t="s">
        <v>96</v>
      </c>
      <c r="C47" s="57"/>
      <c r="D47" s="57"/>
      <c r="E47" s="57"/>
      <c r="F47" s="57"/>
      <c r="G47" s="57"/>
      <c r="H47" s="229"/>
      <c r="I47" s="229"/>
      <c r="J47" s="229"/>
      <c r="K47" s="229">
        <v>0</v>
      </c>
      <c r="L47" s="229">
        <v>0</v>
      </c>
      <c r="M47" s="229">
        <v>0</v>
      </c>
      <c r="N47" s="229">
        <v>0</v>
      </c>
      <c r="O47" s="229">
        <v>0</v>
      </c>
      <c r="P47" s="229">
        <v>0</v>
      </c>
      <c r="Q47" s="229">
        <v>0</v>
      </c>
      <c r="R47" s="229">
        <v>0</v>
      </c>
      <c r="S47" s="229">
        <v>0</v>
      </c>
      <c r="T47" s="229">
        <v>0</v>
      </c>
      <c r="U47" s="229">
        <v>0</v>
      </c>
      <c r="V47" s="229">
        <v>0</v>
      </c>
      <c r="W47" s="229">
        <v>0</v>
      </c>
      <c r="X47" s="229">
        <v>0</v>
      </c>
      <c r="Y47" s="229">
        <v>0</v>
      </c>
      <c r="Z47" s="229">
        <v>0</v>
      </c>
      <c r="AA47" s="229">
        <v>0</v>
      </c>
      <c r="AB47" s="229">
        <v>0</v>
      </c>
      <c r="AC47" s="229"/>
    </row>
    <row r="48" spans="1:29" s="578" customFormat="1" ht="13.8">
      <c r="A48" s="592"/>
      <c r="B48" s="592"/>
      <c r="C48" s="592"/>
      <c r="D48" s="592">
        <f t="shared" ref="D48:Y48" si="0">SUM(D9:D47)</f>
        <v>0</v>
      </c>
      <c r="E48" s="592">
        <f t="shared" si="0"/>
        <v>0</v>
      </c>
      <c r="F48" s="592">
        <f t="shared" si="0"/>
        <v>0</v>
      </c>
      <c r="G48" s="592">
        <f t="shared" si="0"/>
        <v>0</v>
      </c>
      <c r="H48" s="593">
        <f t="shared" si="0"/>
        <v>0</v>
      </c>
      <c r="I48" s="593">
        <f t="shared" si="0"/>
        <v>0</v>
      </c>
      <c r="J48" s="593">
        <f t="shared" si="0"/>
        <v>0</v>
      </c>
      <c r="K48" s="593">
        <f t="shared" si="0"/>
        <v>-759783</v>
      </c>
      <c r="L48" s="593">
        <f t="shared" si="0"/>
        <v>239931</v>
      </c>
      <c r="M48" s="593">
        <f t="shared" si="0"/>
        <v>466489</v>
      </c>
      <c r="N48" s="593">
        <f t="shared" si="0"/>
        <v>740757</v>
      </c>
      <c r="O48" s="593">
        <f t="shared" si="0"/>
        <v>497406</v>
      </c>
      <c r="P48" s="593">
        <f t="shared" si="0"/>
        <v>794446</v>
      </c>
      <c r="Q48" s="593">
        <f t="shared" si="0"/>
        <v>608213</v>
      </c>
      <c r="R48" s="593">
        <f t="shared" si="0"/>
        <v>1025117</v>
      </c>
      <c r="S48" s="593">
        <f t="shared" si="0"/>
        <v>1299078</v>
      </c>
      <c r="T48" s="593">
        <f t="shared" si="0"/>
        <v>296675</v>
      </c>
      <c r="U48" s="593">
        <f t="shared" si="0"/>
        <v>406629.09782999998</v>
      </c>
      <c r="V48" s="593">
        <f t="shared" si="0"/>
        <v>819137.1603300001</v>
      </c>
      <c r="W48" s="593">
        <f t="shared" si="0"/>
        <v>1004581.4295</v>
      </c>
      <c r="X48" s="593">
        <f t="shared" si="0"/>
        <v>357103</v>
      </c>
      <c r="Y48" s="593">
        <f t="shared" si="0"/>
        <v>643600</v>
      </c>
      <c r="Z48" s="593">
        <f t="shared" ref="Z48:AC48" si="1">SUM(Z9:Z47)</f>
        <v>759182</v>
      </c>
      <c r="AA48" s="593">
        <f t="shared" si="1"/>
        <v>1435856</v>
      </c>
      <c r="AB48" s="593">
        <f t="shared" si="1"/>
        <v>599486</v>
      </c>
      <c r="AC48" s="593">
        <f t="shared" si="1"/>
        <v>1348204</v>
      </c>
    </row>
    <row r="49" spans="1:29" s="165" customFormat="1" ht="13.8">
      <c r="A49" s="589" t="s">
        <v>1418</v>
      </c>
      <c r="B49" s="589" t="s">
        <v>2035</v>
      </c>
      <c r="C49" s="57"/>
      <c r="D49" s="57"/>
      <c r="E49" s="57"/>
      <c r="F49" s="57"/>
      <c r="G49" s="57"/>
      <c r="H49" s="229"/>
      <c r="I49" s="229"/>
      <c r="J49" s="229"/>
      <c r="K49" s="229"/>
      <c r="L49" s="229"/>
      <c r="M49" s="229"/>
      <c r="N49" s="229"/>
      <c r="O49" s="57"/>
      <c r="P49" s="57"/>
      <c r="Q49" s="57"/>
      <c r="R49" s="57"/>
      <c r="S49" s="229"/>
      <c r="T49" s="229"/>
      <c r="U49" s="229"/>
      <c r="V49" s="229"/>
      <c r="W49" s="229"/>
      <c r="X49" s="229"/>
      <c r="Y49" s="229"/>
      <c r="Z49" s="229"/>
      <c r="AA49" s="229"/>
      <c r="AB49" s="229"/>
      <c r="AC49" s="229"/>
    </row>
    <row r="50" spans="1:29" s="165" customFormat="1" ht="13.8">
      <c r="A50" s="591" t="s">
        <v>1057</v>
      </c>
      <c r="B50" s="57" t="s">
        <v>1994</v>
      </c>
      <c r="C50" s="57"/>
      <c r="D50" s="57"/>
      <c r="E50" s="57"/>
      <c r="F50" s="57"/>
      <c r="G50" s="57"/>
      <c r="H50" s="229"/>
      <c r="I50" s="229"/>
      <c r="J50" s="229"/>
      <c r="K50" s="229">
        <v>-310456</v>
      </c>
      <c r="L50" s="229">
        <v>-114855</v>
      </c>
      <c r="M50" s="229">
        <v>120755</v>
      </c>
      <c r="N50" s="229">
        <v>99210</v>
      </c>
      <c r="O50" s="229">
        <v>65281</v>
      </c>
      <c r="P50" s="229">
        <v>59336</v>
      </c>
      <c r="Q50" s="229">
        <v>139277</v>
      </c>
      <c r="R50" s="229">
        <v>-44659</v>
      </c>
      <c r="S50" s="229">
        <v>-130515</v>
      </c>
      <c r="T50" s="229">
        <v>-33669</v>
      </c>
      <c r="U50" s="229">
        <v>12182</v>
      </c>
      <c r="V50" s="229">
        <v>-81128</v>
      </c>
      <c r="W50" s="229">
        <v>-30269</v>
      </c>
      <c r="X50" s="229">
        <v>-24510</v>
      </c>
      <c r="Y50" s="229">
        <v>-8652</v>
      </c>
      <c r="Z50" s="229">
        <v>-127179</v>
      </c>
      <c r="AA50" s="229">
        <v>-392424</v>
      </c>
      <c r="AB50" s="229">
        <v>164984</v>
      </c>
      <c r="AC50" s="229">
        <v>79809</v>
      </c>
    </row>
    <row r="51" spans="1:29" s="165" customFormat="1" ht="13.8">
      <c r="A51" s="591" t="s">
        <v>887</v>
      </c>
      <c r="B51" s="57" t="s">
        <v>1995</v>
      </c>
      <c r="C51" s="57"/>
      <c r="D51" s="57"/>
      <c r="E51" s="57"/>
      <c r="F51" s="57"/>
      <c r="G51" s="57"/>
      <c r="H51" s="229"/>
      <c r="I51" s="229"/>
      <c r="J51" s="229"/>
      <c r="K51" s="229">
        <v>0</v>
      </c>
      <c r="L51" s="229">
        <v>0</v>
      </c>
      <c r="M51" s="229">
        <v>0</v>
      </c>
      <c r="N51" s="229">
        <v>0</v>
      </c>
      <c r="O51" s="229">
        <v>0</v>
      </c>
      <c r="P51" s="229">
        <v>0</v>
      </c>
      <c r="Q51" s="229">
        <v>0</v>
      </c>
      <c r="R51" s="229">
        <v>0</v>
      </c>
      <c r="S51" s="229">
        <v>0</v>
      </c>
      <c r="T51" s="229">
        <v>0</v>
      </c>
      <c r="U51" s="229">
        <v>0</v>
      </c>
      <c r="V51" s="229">
        <v>0</v>
      </c>
      <c r="W51" s="229">
        <v>0</v>
      </c>
      <c r="X51" s="229">
        <v>0</v>
      </c>
      <c r="Y51" s="229">
        <v>0</v>
      </c>
      <c r="Z51" s="229">
        <v>0</v>
      </c>
      <c r="AA51" s="229">
        <v>0</v>
      </c>
      <c r="AB51" s="229"/>
      <c r="AC51" s="229"/>
    </row>
    <row r="52" spans="1:29" s="165" customFormat="1" ht="13.8">
      <c r="A52" s="591" t="s">
        <v>1063</v>
      </c>
      <c r="B52" s="57" t="s">
        <v>1996</v>
      </c>
      <c r="C52" s="57"/>
      <c r="D52" s="57"/>
      <c r="E52" s="57"/>
      <c r="F52" s="57"/>
      <c r="G52" s="57"/>
      <c r="H52" s="229"/>
      <c r="I52" s="229"/>
      <c r="J52" s="229"/>
      <c r="K52" s="229">
        <v>51931</v>
      </c>
      <c r="L52" s="229">
        <v>11789</v>
      </c>
      <c r="M52" s="229">
        <v>22629</v>
      </c>
      <c r="N52" s="229">
        <v>35137</v>
      </c>
      <c r="O52" s="229">
        <v>30419</v>
      </c>
      <c r="P52" s="229">
        <v>-5008</v>
      </c>
      <c r="Q52" s="229">
        <v>-29815</v>
      </c>
      <c r="R52" s="229">
        <v>-19405</v>
      </c>
      <c r="S52" s="229">
        <v>-77808</v>
      </c>
      <c r="T52" s="229">
        <v>-9027</v>
      </c>
      <c r="U52" s="229">
        <v>-19941</v>
      </c>
      <c r="V52" s="229">
        <v>-32787</v>
      </c>
      <c r="W52" s="229">
        <v>-17793</v>
      </c>
      <c r="X52" s="229">
        <v>-11181</v>
      </c>
      <c r="Y52" s="229">
        <v>-2597</v>
      </c>
      <c r="Z52" s="229">
        <v>-224</v>
      </c>
      <c r="AA52" s="229">
        <v>-23655</v>
      </c>
      <c r="AB52" s="229">
        <v>-28110</v>
      </c>
      <c r="AC52" s="229">
        <v>-42632</v>
      </c>
    </row>
    <row r="53" spans="1:29" s="165" customFormat="1" ht="13.8">
      <c r="A53" s="591" t="s">
        <v>1068</v>
      </c>
      <c r="B53" s="57" t="s">
        <v>1997</v>
      </c>
      <c r="C53" s="57"/>
      <c r="D53" s="57"/>
      <c r="E53" s="57"/>
      <c r="F53" s="57"/>
      <c r="G53" s="57"/>
      <c r="H53" s="229"/>
      <c r="I53" s="229"/>
      <c r="J53" s="229"/>
      <c r="K53" s="229">
        <v>24953</v>
      </c>
      <c r="L53" s="229">
        <v>-13655</v>
      </c>
      <c r="M53" s="229">
        <v>-8368</v>
      </c>
      <c r="N53" s="229">
        <v>-5178</v>
      </c>
      <c r="O53" s="229">
        <v>-16951</v>
      </c>
      <c r="P53" s="229">
        <v>-4434</v>
      </c>
      <c r="Q53" s="229">
        <v>-23950</v>
      </c>
      <c r="R53" s="229">
        <v>-20295</v>
      </c>
      <c r="S53" s="229">
        <v>-11771</v>
      </c>
      <c r="T53" s="229">
        <v>-7595</v>
      </c>
      <c r="U53" s="229">
        <v>-15395</v>
      </c>
      <c r="V53" s="229">
        <v>-18187</v>
      </c>
      <c r="W53" s="229">
        <v>-6757</v>
      </c>
      <c r="X53" s="229">
        <v>-4787</v>
      </c>
      <c r="Y53" s="229">
        <v>-3050</v>
      </c>
      <c r="Z53" s="229">
        <v>-2170</v>
      </c>
      <c r="AA53" s="229">
        <v>2339</v>
      </c>
      <c r="AB53" s="229">
        <v>-1526</v>
      </c>
      <c r="AC53" s="229">
        <v>-13690</v>
      </c>
    </row>
    <row r="54" spans="1:29" s="165" customFormat="1" ht="13.8">
      <c r="A54" s="591" t="s">
        <v>1419</v>
      </c>
      <c r="B54" s="57" t="s">
        <v>1998</v>
      </c>
      <c r="C54" s="57"/>
      <c r="D54" s="57"/>
      <c r="E54" s="57"/>
      <c r="F54" s="57"/>
      <c r="G54" s="57"/>
      <c r="H54" s="229"/>
      <c r="I54" s="229"/>
      <c r="J54" s="229"/>
      <c r="K54" s="229">
        <v>0</v>
      </c>
      <c r="L54" s="229">
        <v>0</v>
      </c>
      <c r="M54" s="229">
        <v>0</v>
      </c>
      <c r="N54" s="229">
        <v>0</v>
      </c>
      <c r="O54" s="229">
        <v>0</v>
      </c>
      <c r="P54" s="229">
        <v>0</v>
      </c>
      <c r="Q54" s="229">
        <v>0</v>
      </c>
      <c r="R54" s="229">
        <v>0</v>
      </c>
      <c r="S54" s="229">
        <v>0</v>
      </c>
      <c r="T54" s="229">
        <v>0</v>
      </c>
      <c r="U54" s="229">
        <v>0</v>
      </c>
      <c r="V54" s="229">
        <v>0</v>
      </c>
      <c r="W54" s="229">
        <v>0</v>
      </c>
      <c r="X54" s="229">
        <v>0</v>
      </c>
      <c r="Y54" s="229">
        <v>0</v>
      </c>
      <c r="Z54" s="229">
        <v>0</v>
      </c>
      <c r="AA54" s="229">
        <v>0</v>
      </c>
      <c r="AB54" s="229"/>
      <c r="AC54" s="229"/>
    </row>
    <row r="55" spans="1:29" s="165" customFormat="1" ht="13.8">
      <c r="A55" s="591" t="s">
        <v>1074</v>
      </c>
      <c r="B55" s="57" t="s">
        <v>1075</v>
      </c>
      <c r="C55" s="57"/>
      <c r="D55" s="57"/>
      <c r="E55" s="57"/>
      <c r="F55" s="57"/>
      <c r="G55" s="57"/>
      <c r="H55" s="229"/>
      <c r="I55" s="229"/>
      <c r="J55" s="229"/>
      <c r="K55" s="229">
        <v>0</v>
      </c>
      <c r="L55" s="229">
        <v>0</v>
      </c>
      <c r="M55" s="229">
        <v>0</v>
      </c>
      <c r="N55" s="229">
        <v>0</v>
      </c>
      <c r="O55" s="229">
        <v>-17774</v>
      </c>
      <c r="P55" s="229">
        <v>-4474</v>
      </c>
      <c r="Q55" s="229">
        <v>-12138</v>
      </c>
      <c r="R55" s="229">
        <v>-5693</v>
      </c>
      <c r="S55" s="229">
        <v>-2914</v>
      </c>
      <c r="T55" s="229">
        <v>-4480</v>
      </c>
      <c r="U55" s="229">
        <v>-1770</v>
      </c>
      <c r="V55" s="229">
        <v>5441</v>
      </c>
      <c r="W55" s="229">
        <v>9432</v>
      </c>
      <c r="X55" s="229">
        <v>-1566</v>
      </c>
      <c r="Y55" s="229">
        <v>-2967</v>
      </c>
      <c r="Z55" s="229">
        <v>-10916</v>
      </c>
      <c r="AA55" s="229">
        <v>-51897</v>
      </c>
      <c r="AB55" s="229">
        <v>12077</v>
      </c>
      <c r="AC55" s="229">
        <v>13870</v>
      </c>
    </row>
    <row r="56" spans="1:29" s="165" customFormat="1" ht="13.8">
      <c r="A56" s="591" t="s">
        <v>1420</v>
      </c>
      <c r="B56" s="57" t="s">
        <v>1999</v>
      </c>
      <c r="C56" s="57"/>
      <c r="D56" s="57"/>
      <c r="E56" s="57"/>
      <c r="F56" s="57"/>
      <c r="G56" s="57"/>
      <c r="H56" s="229"/>
      <c r="I56" s="229"/>
      <c r="J56" s="229"/>
      <c r="K56" s="229">
        <v>-59881</v>
      </c>
      <c r="L56" s="229">
        <v>21413</v>
      </c>
      <c r="M56" s="229">
        <v>94097</v>
      </c>
      <c r="N56" s="229">
        <v>203114</v>
      </c>
      <c r="O56" s="229">
        <v>130344</v>
      </c>
      <c r="P56" s="229">
        <v>18188</v>
      </c>
      <c r="Q56" s="229">
        <v>54103</v>
      </c>
      <c r="R56" s="229">
        <v>53036</v>
      </c>
      <c r="S56" s="229">
        <v>84544</v>
      </c>
      <c r="T56" s="229">
        <v>15767</v>
      </c>
      <c r="U56" s="229">
        <v>4944.0000000000009</v>
      </c>
      <c r="V56" s="229">
        <v>-98436</v>
      </c>
      <c r="W56" s="229">
        <v>-56994</v>
      </c>
      <c r="X56" s="229">
        <v>-12714</v>
      </c>
      <c r="Y56" s="229">
        <v>-22462</v>
      </c>
      <c r="Z56" s="229">
        <v>-60874</v>
      </c>
      <c r="AA56" s="229">
        <v>-33245</v>
      </c>
      <c r="AB56" s="229">
        <v>-47947</v>
      </c>
      <c r="AC56" s="229">
        <v>-62885</v>
      </c>
    </row>
    <row r="57" spans="1:29" s="165" customFormat="1" ht="13.8">
      <c r="A57" s="591" t="s">
        <v>1078</v>
      </c>
      <c r="B57" s="57" t="s">
        <v>2000</v>
      </c>
      <c r="C57" s="57"/>
      <c r="D57" s="57"/>
      <c r="E57" s="57"/>
      <c r="F57" s="57"/>
      <c r="G57" s="57"/>
      <c r="H57" s="229"/>
      <c r="I57" s="229"/>
      <c r="J57" s="229"/>
      <c r="K57" s="229">
        <v>49833</v>
      </c>
      <c r="L57" s="229">
        <v>-6727</v>
      </c>
      <c r="M57" s="229">
        <v>-9329</v>
      </c>
      <c r="N57" s="229">
        <v>-17167</v>
      </c>
      <c r="O57" s="229">
        <v>36559</v>
      </c>
      <c r="P57" s="229">
        <v>-31099</v>
      </c>
      <c r="Q57" s="229">
        <v>-29159</v>
      </c>
      <c r="R57" s="229">
        <v>-33832</v>
      </c>
      <c r="S57" s="229">
        <v>-40453</v>
      </c>
      <c r="T57" s="229">
        <v>-7009</v>
      </c>
      <c r="U57" s="229">
        <v>-16535</v>
      </c>
      <c r="V57" s="229">
        <v>-28422</v>
      </c>
      <c r="W57" s="229">
        <v>-54656</v>
      </c>
      <c r="X57" s="229">
        <v>-11174</v>
      </c>
      <c r="Y57" s="229">
        <v>1596</v>
      </c>
      <c r="Z57" s="229">
        <v>-921</v>
      </c>
      <c r="AA57" s="229">
        <v>-25520</v>
      </c>
      <c r="AB57" s="229">
        <v>-14554</v>
      </c>
      <c r="AC57" s="229">
        <v>-16757</v>
      </c>
    </row>
    <row r="58" spans="1:29" s="165" customFormat="1" ht="13.8">
      <c r="A58" s="591" t="s">
        <v>1421</v>
      </c>
      <c r="B58" s="57" t="s">
        <v>2001</v>
      </c>
      <c r="C58" s="57"/>
      <c r="D58" s="57"/>
      <c r="E58" s="57"/>
      <c r="F58" s="57"/>
      <c r="G58" s="57"/>
      <c r="H58" s="229"/>
      <c r="I58" s="229"/>
      <c r="J58" s="229"/>
      <c r="K58" s="229">
        <v>0</v>
      </c>
      <c r="L58" s="229">
        <v>0</v>
      </c>
      <c r="M58" s="229">
        <v>0</v>
      </c>
      <c r="N58" s="229">
        <v>0</v>
      </c>
      <c r="O58" s="229">
        <v>0</v>
      </c>
      <c r="P58" s="229">
        <v>0</v>
      </c>
      <c r="Q58" s="229">
        <v>0</v>
      </c>
      <c r="R58" s="229">
        <v>0</v>
      </c>
      <c r="S58" s="229">
        <v>0</v>
      </c>
      <c r="T58" s="229">
        <v>0</v>
      </c>
      <c r="U58" s="229">
        <v>0</v>
      </c>
      <c r="V58" s="229">
        <v>0</v>
      </c>
      <c r="W58" s="229">
        <v>0</v>
      </c>
      <c r="X58" s="229">
        <v>0</v>
      </c>
      <c r="Y58" s="229">
        <v>0</v>
      </c>
      <c r="Z58" s="229">
        <v>0</v>
      </c>
      <c r="AA58" s="229">
        <v>0</v>
      </c>
      <c r="AB58" s="229"/>
      <c r="AC58" s="229"/>
    </row>
    <row r="59" spans="1:29" s="165" customFormat="1" ht="13.8">
      <c r="A59" s="591" t="s">
        <v>1422</v>
      </c>
      <c r="B59" s="57" t="s">
        <v>2002</v>
      </c>
      <c r="C59" s="57"/>
      <c r="D59" s="57"/>
      <c r="E59" s="57"/>
      <c r="F59" s="57"/>
      <c r="G59" s="57"/>
      <c r="H59" s="229"/>
      <c r="I59" s="229"/>
      <c r="J59" s="229"/>
      <c r="K59" s="229">
        <v>0</v>
      </c>
      <c r="L59" s="229">
        <v>233893</v>
      </c>
      <c r="M59" s="229">
        <v>440538</v>
      </c>
      <c r="N59" s="229">
        <v>611527</v>
      </c>
      <c r="O59" s="229">
        <v>0</v>
      </c>
      <c r="P59" s="229">
        <v>0</v>
      </c>
      <c r="Q59" s="229">
        <v>0</v>
      </c>
      <c r="R59" s="229">
        <v>0</v>
      </c>
      <c r="S59" s="229">
        <v>0</v>
      </c>
      <c r="T59" s="229">
        <v>0</v>
      </c>
      <c r="U59" s="229">
        <v>0</v>
      </c>
      <c r="V59" s="229">
        <v>0</v>
      </c>
      <c r="W59" s="229">
        <v>0</v>
      </c>
      <c r="X59" s="229">
        <v>0</v>
      </c>
      <c r="Y59" s="229">
        <v>0</v>
      </c>
      <c r="Z59" s="229">
        <v>0</v>
      </c>
      <c r="AA59" s="229">
        <v>0</v>
      </c>
      <c r="AB59" s="229"/>
      <c r="AC59" s="229"/>
    </row>
    <row r="60" spans="1:29" s="165" customFormat="1" ht="13.8">
      <c r="A60" s="591" t="s">
        <v>1352</v>
      </c>
      <c r="B60" s="57" t="s">
        <v>2003</v>
      </c>
      <c r="C60" s="57"/>
      <c r="D60" s="57"/>
      <c r="E60" s="57"/>
      <c r="F60" s="57"/>
      <c r="G60" s="57"/>
      <c r="H60" s="229"/>
      <c r="I60" s="229"/>
      <c r="J60" s="229"/>
      <c r="K60" s="229">
        <v>1023294</v>
      </c>
      <c r="L60" s="229">
        <v>-7910</v>
      </c>
      <c r="M60" s="229">
        <v>-32437</v>
      </c>
      <c r="N60" s="229">
        <v>-160007</v>
      </c>
      <c r="O60" s="229">
        <v>780026</v>
      </c>
      <c r="P60" s="229">
        <v>2576</v>
      </c>
      <c r="Q60" s="229">
        <v>24951</v>
      </c>
      <c r="R60" s="229">
        <v>22998</v>
      </c>
      <c r="S60" s="229">
        <v>23622</v>
      </c>
      <c r="T60" s="229">
        <v>622</v>
      </c>
      <c r="U60" s="229">
        <v>48928</v>
      </c>
      <c r="V60" s="229">
        <v>48928</v>
      </c>
      <c r="W60" s="229">
        <v>3212</v>
      </c>
      <c r="X60" s="229">
        <v>995</v>
      </c>
      <c r="Y60" s="229">
        <v>8747</v>
      </c>
      <c r="Z60" s="229">
        <v>8747</v>
      </c>
      <c r="AA60" s="229">
        <v>8783</v>
      </c>
      <c r="AB60" s="229">
        <v>11</v>
      </c>
      <c r="AC60" s="229">
        <v>8173</v>
      </c>
    </row>
    <row r="61" spans="1:29" s="165" customFormat="1" ht="13.8">
      <c r="A61" s="591" t="s">
        <v>1423</v>
      </c>
      <c r="B61" s="57" t="s">
        <v>1187</v>
      </c>
      <c r="C61" s="57"/>
      <c r="D61" s="57"/>
      <c r="E61" s="57"/>
      <c r="F61" s="57"/>
      <c r="G61" s="57"/>
      <c r="H61" s="229"/>
      <c r="I61" s="229"/>
      <c r="J61" s="229"/>
      <c r="K61" s="229">
        <v>0</v>
      </c>
      <c r="L61" s="229">
        <v>0</v>
      </c>
      <c r="M61" s="229">
        <v>0</v>
      </c>
      <c r="N61" s="229">
        <v>0</v>
      </c>
      <c r="O61" s="229">
        <v>0</v>
      </c>
      <c r="P61" s="229">
        <v>0</v>
      </c>
      <c r="Q61" s="229">
        <v>0</v>
      </c>
      <c r="R61" s="229">
        <v>0</v>
      </c>
      <c r="S61" s="229">
        <v>0</v>
      </c>
      <c r="T61" s="229">
        <v>0</v>
      </c>
      <c r="U61" s="229">
        <v>0</v>
      </c>
      <c r="V61" s="229">
        <v>0</v>
      </c>
      <c r="W61" s="229">
        <v>0</v>
      </c>
      <c r="X61" s="229">
        <v>0</v>
      </c>
      <c r="Y61" s="229">
        <v>0</v>
      </c>
      <c r="Z61" s="229">
        <v>0</v>
      </c>
      <c r="AA61" s="229">
        <v>0</v>
      </c>
      <c r="AB61" s="229"/>
      <c r="AC61" s="229"/>
    </row>
    <row r="62" spans="1:29" s="165" customFormat="1" ht="13.8">
      <c r="A62" s="591" t="s">
        <v>1080</v>
      </c>
      <c r="B62" s="57" t="s">
        <v>2004</v>
      </c>
      <c r="C62" s="57"/>
      <c r="D62" s="57"/>
      <c r="E62" s="57"/>
      <c r="F62" s="57"/>
      <c r="G62" s="57"/>
      <c r="H62" s="229"/>
      <c r="I62" s="229"/>
      <c r="J62" s="229"/>
      <c r="K62" s="229">
        <v>-77413</v>
      </c>
      <c r="L62" s="229">
        <v>-18695</v>
      </c>
      <c r="M62" s="229">
        <v>41041</v>
      </c>
      <c r="N62" s="229">
        <v>83453</v>
      </c>
      <c r="O62" s="229">
        <v>155870</v>
      </c>
      <c r="P62" s="229">
        <v>-70343</v>
      </c>
      <c r="Q62" s="229">
        <v>8996</v>
      </c>
      <c r="R62" s="229">
        <v>-83958</v>
      </c>
      <c r="S62" s="229">
        <v>-213081</v>
      </c>
      <c r="T62" s="229">
        <v>39923</v>
      </c>
      <c r="U62" s="229">
        <v>26272</v>
      </c>
      <c r="V62" s="229">
        <v>-22695</v>
      </c>
      <c r="W62" s="229">
        <v>79339</v>
      </c>
      <c r="X62" s="229">
        <v>-13375</v>
      </c>
      <c r="Y62" s="229">
        <v>-4278</v>
      </c>
      <c r="Z62" s="229">
        <v>-42518</v>
      </c>
      <c r="AA62" s="229">
        <v>-142406</v>
      </c>
      <c r="AB62" s="229">
        <v>-35871</v>
      </c>
      <c r="AC62" s="229">
        <v>-100242</v>
      </c>
    </row>
    <row r="63" spans="1:29" s="165" customFormat="1" ht="13.8">
      <c r="A63" s="591" t="s">
        <v>1102</v>
      </c>
      <c r="B63" s="57" t="s">
        <v>1103</v>
      </c>
      <c r="C63" s="57"/>
      <c r="D63" s="57"/>
      <c r="E63" s="57"/>
      <c r="F63" s="57"/>
      <c r="G63" s="57"/>
      <c r="H63" s="229"/>
      <c r="I63" s="229"/>
      <c r="J63" s="229"/>
      <c r="K63" s="229">
        <v>240662</v>
      </c>
      <c r="L63" s="229">
        <v>-212187</v>
      </c>
      <c r="M63" s="229">
        <v>-195548</v>
      </c>
      <c r="N63" s="229">
        <v>-214721</v>
      </c>
      <c r="O63" s="229">
        <v>-426319</v>
      </c>
      <c r="P63" s="229">
        <v>-120375</v>
      </c>
      <c r="Q63" s="229">
        <v>-126078</v>
      </c>
      <c r="R63" s="229">
        <v>-163327</v>
      </c>
      <c r="S63" s="229">
        <v>-19483</v>
      </c>
      <c r="T63" s="229">
        <v>-289428</v>
      </c>
      <c r="U63" s="229">
        <v>-281001</v>
      </c>
      <c r="V63" s="229">
        <v>-412150</v>
      </c>
      <c r="W63" s="229">
        <v>-414330</v>
      </c>
      <c r="X63" s="229">
        <v>-222773</v>
      </c>
      <c r="Y63" s="229">
        <v>-145540</v>
      </c>
      <c r="Z63" s="229">
        <v>-238994</v>
      </c>
      <c r="AA63" s="229">
        <v>-278646</v>
      </c>
      <c r="AB63" s="229">
        <v>-16395</v>
      </c>
      <c r="AC63" s="229">
        <v>-95370</v>
      </c>
    </row>
    <row r="64" spans="1:29" s="4" customFormat="1" ht="13.8">
      <c r="A64" s="591" t="s">
        <v>1424</v>
      </c>
      <c r="B64" s="57" t="s">
        <v>1351</v>
      </c>
      <c r="C64" s="104"/>
      <c r="D64" s="104"/>
      <c r="E64" s="104"/>
      <c r="F64" s="104"/>
      <c r="G64" s="104"/>
      <c r="H64" s="229"/>
      <c r="I64" s="229"/>
      <c r="J64" s="229"/>
      <c r="K64" s="229">
        <v>0</v>
      </c>
      <c r="L64" s="229">
        <v>0</v>
      </c>
      <c r="M64" s="229">
        <v>0</v>
      </c>
      <c r="N64" s="229">
        <v>0</v>
      </c>
      <c r="O64" s="229">
        <v>0</v>
      </c>
      <c r="P64" s="229">
        <v>0</v>
      </c>
      <c r="Q64" s="229">
        <v>0</v>
      </c>
      <c r="R64" s="229">
        <v>0</v>
      </c>
      <c r="S64" s="229">
        <v>0</v>
      </c>
      <c r="T64" s="229">
        <v>0</v>
      </c>
      <c r="U64" s="229">
        <v>0</v>
      </c>
      <c r="V64" s="229">
        <v>0</v>
      </c>
      <c r="W64" s="229">
        <v>0</v>
      </c>
      <c r="X64" s="229">
        <v>0</v>
      </c>
      <c r="Y64" s="229">
        <v>47542</v>
      </c>
      <c r="Z64" s="229">
        <v>45200</v>
      </c>
      <c r="AA64" s="229">
        <v>15616</v>
      </c>
      <c r="AB64" s="229">
        <v>6901</v>
      </c>
      <c r="AC64" s="229">
        <v>37091</v>
      </c>
    </row>
    <row r="65" spans="1:29" s="165" customFormat="1" ht="13.8">
      <c r="A65" s="591" t="s">
        <v>1104</v>
      </c>
      <c r="B65" s="57" t="s">
        <v>2005</v>
      </c>
      <c r="C65" s="57"/>
      <c r="D65" s="57"/>
      <c r="E65" s="57"/>
      <c r="F65" s="57"/>
      <c r="G65" s="57"/>
      <c r="H65" s="229"/>
      <c r="I65" s="229"/>
      <c r="J65" s="229"/>
      <c r="K65" s="229">
        <v>8178</v>
      </c>
      <c r="L65" s="229">
        <v>2486</v>
      </c>
      <c r="M65" s="229">
        <v>8666</v>
      </c>
      <c r="N65" s="229">
        <v>4037</v>
      </c>
      <c r="O65" s="229">
        <v>-141596</v>
      </c>
      <c r="P65" s="229">
        <v>-15529</v>
      </c>
      <c r="Q65" s="229">
        <v>-38745</v>
      </c>
      <c r="R65" s="229">
        <v>-74271</v>
      </c>
      <c r="S65" s="229">
        <v>-106440</v>
      </c>
      <c r="T65" s="229">
        <v>-37730</v>
      </c>
      <c r="U65" s="229">
        <v>-73852</v>
      </c>
      <c r="V65" s="229">
        <v>-90472</v>
      </c>
      <c r="W65" s="229">
        <v>-117321</v>
      </c>
      <c r="X65" s="229">
        <v>-74236</v>
      </c>
      <c r="Y65" s="229">
        <v>-107882</v>
      </c>
      <c r="Z65" s="229">
        <v>-127294</v>
      </c>
      <c r="AA65" s="229">
        <v>-211523</v>
      </c>
      <c r="AB65" s="229">
        <v>-36164</v>
      </c>
      <c r="AC65" s="229">
        <v>-111323</v>
      </c>
    </row>
    <row r="66" spans="1:29" s="165" customFormat="1" ht="13.8">
      <c r="A66" s="591" t="s">
        <v>1111</v>
      </c>
      <c r="B66" s="57" t="s">
        <v>2006</v>
      </c>
      <c r="C66" s="57"/>
      <c r="D66" s="57"/>
      <c r="E66" s="57"/>
      <c r="F66" s="57"/>
      <c r="G66" s="57"/>
      <c r="H66" s="229"/>
      <c r="I66" s="229"/>
      <c r="J66" s="229"/>
      <c r="K66" s="229">
        <v>-3797</v>
      </c>
      <c r="L66" s="229">
        <v>39596</v>
      </c>
      <c r="M66" s="229">
        <v>3030</v>
      </c>
      <c r="N66" s="229">
        <v>-59387</v>
      </c>
      <c r="O66" s="229">
        <v>316404</v>
      </c>
      <c r="P66" s="229">
        <v>219009</v>
      </c>
      <c r="Q66" s="229">
        <v>303176</v>
      </c>
      <c r="R66" s="229">
        <v>465450</v>
      </c>
      <c r="S66" s="229">
        <v>565930</v>
      </c>
      <c r="T66" s="229">
        <v>158601</v>
      </c>
      <c r="U66" s="229">
        <v>416103.29800000001</v>
      </c>
      <c r="V66" s="229">
        <v>567750.23549999995</v>
      </c>
      <c r="W66" s="229">
        <v>697770.57050000003</v>
      </c>
      <c r="X66" s="229">
        <v>209265</v>
      </c>
      <c r="Y66" s="229">
        <v>320257</v>
      </c>
      <c r="Z66" s="229">
        <v>493682</v>
      </c>
      <c r="AA66" s="229">
        <v>705157</v>
      </c>
      <c r="AB66" s="229">
        <v>70181</v>
      </c>
      <c r="AC66" s="229">
        <v>198986</v>
      </c>
    </row>
    <row r="67" spans="1:29" s="165" customFormat="1" ht="13.8">
      <c r="A67" s="591" t="s">
        <v>1113</v>
      </c>
      <c r="B67" s="57" t="s">
        <v>2007</v>
      </c>
      <c r="C67" s="57"/>
      <c r="D67" s="57"/>
      <c r="E67" s="57"/>
      <c r="F67" s="57"/>
      <c r="G67" s="57"/>
      <c r="H67" s="229"/>
      <c r="I67" s="229"/>
      <c r="J67" s="229"/>
      <c r="K67" s="229">
        <v>-67296</v>
      </c>
      <c r="L67" s="229">
        <v>3319</v>
      </c>
      <c r="M67" s="229">
        <v>10519</v>
      </c>
      <c r="N67" s="229">
        <v>10519</v>
      </c>
      <c r="O67" s="229">
        <v>-35669</v>
      </c>
      <c r="P67" s="229">
        <v>9943</v>
      </c>
      <c r="Q67" s="229">
        <v>-3426</v>
      </c>
      <c r="R67" s="229">
        <v>-14492</v>
      </c>
      <c r="S67" s="229">
        <v>-38383</v>
      </c>
      <c r="T67" s="229">
        <v>0</v>
      </c>
      <c r="U67" s="229">
        <v>0</v>
      </c>
      <c r="V67" s="229">
        <v>-56830</v>
      </c>
      <c r="W67" s="229">
        <v>-6054</v>
      </c>
      <c r="X67" s="229">
        <v>0</v>
      </c>
      <c r="Y67" s="229">
        <v>11584</v>
      </c>
      <c r="Z67" s="229">
        <v>23818</v>
      </c>
      <c r="AA67" s="229">
        <v>-4588</v>
      </c>
      <c r="AB67" s="229">
        <v>23</v>
      </c>
      <c r="AC67" s="229">
        <v>2</v>
      </c>
    </row>
    <row r="68" spans="1:29" s="165" customFormat="1" ht="13.8">
      <c r="A68" s="591" t="s">
        <v>1425</v>
      </c>
      <c r="B68" s="57" t="s">
        <v>775</v>
      </c>
      <c r="C68" s="57"/>
      <c r="D68" s="57"/>
      <c r="E68" s="57"/>
      <c r="F68" s="57"/>
      <c r="G68" s="57"/>
      <c r="H68" s="229"/>
      <c r="I68" s="229"/>
      <c r="J68" s="229"/>
      <c r="K68" s="229">
        <v>0</v>
      </c>
      <c r="L68" s="229">
        <v>0</v>
      </c>
      <c r="M68" s="229">
        <v>0</v>
      </c>
      <c r="N68" s="229">
        <v>0</v>
      </c>
      <c r="O68" s="229">
        <v>0</v>
      </c>
      <c r="P68" s="229">
        <v>0</v>
      </c>
      <c r="Q68" s="229">
        <v>0</v>
      </c>
      <c r="R68" s="229">
        <v>0</v>
      </c>
      <c r="S68" s="229">
        <v>0</v>
      </c>
      <c r="T68" s="229">
        <v>0</v>
      </c>
      <c r="U68" s="229">
        <v>0</v>
      </c>
      <c r="V68" s="229">
        <v>0</v>
      </c>
      <c r="W68" s="229">
        <v>0</v>
      </c>
      <c r="X68" s="229">
        <v>0</v>
      </c>
      <c r="Y68" s="229">
        <v>0</v>
      </c>
      <c r="Z68" s="229">
        <v>0</v>
      </c>
      <c r="AA68" s="229">
        <v>0</v>
      </c>
      <c r="AB68" s="229"/>
      <c r="AC68" s="229"/>
    </row>
    <row r="69" spans="1:29" s="165" customFormat="1" ht="13.8">
      <c r="A69" s="591" t="s">
        <v>1119</v>
      </c>
      <c r="B69" s="57" t="s">
        <v>1120</v>
      </c>
      <c r="C69" s="57"/>
      <c r="D69" s="57"/>
      <c r="E69" s="57"/>
      <c r="F69" s="57"/>
      <c r="G69" s="57"/>
      <c r="H69" s="229"/>
      <c r="I69" s="229"/>
      <c r="J69" s="229"/>
      <c r="K69" s="229">
        <v>0</v>
      </c>
      <c r="L69" s="229">
        <v>0</v>
      </c>
      <c r="M69" s="229">
        <v>0</v>
      </c>
      <c r="N69" s="229">
        <v>0</v>
      </c>
      <c r="O69" s="229">
        <v>-4319</v>
      </c>
      <c r="P69" s="229">
        <v>812</v>
      </c>
      <c r="Q69" s="229">
        <v>-236</v>
      </c>
      <c r="R69" s="229">
        <v>-261</v>
      </c>
      <c r="S69" s="229">
        <v>-5997</v>
      </c>
      <c r="T69" s="229">
        <v>1256</v>
      </c>
      <c r="U69" s="229">
        <v>524</v>
      </c>
      <c r="V69" s="229">
        <v>2015</v>
      </c>
      <c r="W69" s="229">
        <v>4967</v>
      </c>
      <c r="X69" s="229">
        <v>1878</v>
      </c>
      <c r="Y69" s="229">
        <v>2937</v>
      </c>
      <c r="Z69" s="229">
        <v>6258</v>
      </c>
      <c r="AA69" s="229">
        <v>17232</v>
      </c>
      <c r="AB69" s="229">
        <v>2413</v>
      </c>
      <c r="AC69" s="229">
        <v>5704</v>
      </c>
    </row>
    <row r="70" spans="1:29" s="165" customFormat="1" ht="13.8">
      <c r="A70" s="591" t="s">
        <v>1117</v>
      </c>
      <c r="B70" s="57" t="s">
        <v>1118</v>
      </c>
      <c r="C70" s="57"/>
      <c r="D70" s="57"/>
      <c r="E70" s="57"/>
      <c r="F70" s="57"/>
      <c r="G70" s="57"/>
      <c r="H70" s="229"/>
      <c r="I70" s="229"/>
      <c r="J70" s="229"/>
      <c r="K70" s="229">
        <v>-134373</v>
      </c>
      <c r="L70" s="229">
        <v>-6517</v>
      </c>
      <c r="M70" s="229">
        <v>-26070</v>
      </c>
      <c r="N70" s="229">
        <v>-36696</v>
      </c>
      <c r="O70" s="229">
        <v>-41567</v>
      </c>
      <c r="P70" s="229">
        <v>-27820</v>
      </c>
      <c r="Q70" s="229">
        <v>-20828</v>
      </c>
      <c r="R70" s="229">
        <v>-51576</v>
      </c>
      <c r="S70" s="229">
        <v>-50780</v>
      </c>
      <c r="T70" s="229">
        <v>-14707</v>
      </c>
      <c r="U70" s="229">
        <v>-28354</v>
      </c>
      <c r="V70" s="229">
        <v>12665</v>
      </c>
      <c r="W70" s="229">
        <v>-98686</v>
      </c>
      <c r="X70" s="229">
        <v>-10746</v>
      </c>
      <c r="Y70" s="229">
        <v>-5345</v>
      </c>
      <c r="Z70" s="229">
        <v>-13992</v>
      </c>
      <c r="AA70" s="229">
        <v>-80226</v>
      </c>
      <c r="AB70" s="229">
        <v>-13975</v>
      </c>
      <c r="AC70" s="229">
        <v>-21712</v>
      </c>
    </row>
    <row r="71" spans="1:29" s="165" customFormat="1" ht="13.8">
      <c r="A71" s="591" t="s">
        <v>1123</v>
      </c>
      <c r="B71" s="57" t="s">
        <v>2008</v>
      </c>
      <c r="C71" s="57"/>
      <c r="D71" s="57"/>
      <c r="E71" s="57"/>
      <c r="F71" s="57"/>
      <c r="G71" s="57"/>
      <c r="H71" s="229"/>
      <c r="I71" s="229"/>
      <c r="J71" s="229"/>
      <c r="K71" s="229">
        <v>0</v>
      </c>
      <c r="L71" s="229">
        <v>0</v>
      </c>
      <c r="M71" s="229">
        <v>0</v>
      </c>
      <c r="N71" s="229">
        <v>0</v>
      </c>
      <c r="O71" s="229">
        <v>0</v>
      </c>
      <c r="P71" s="229">
        <v>0</v>
      </c>
      <c r="Q71" s="229">
        <v>0</v>
      </c>
      <c r="R71" s="229">
        <v>0</v>
      </c>
      <c r="S71" s="229">
        <v>0</v>
      </c>
      <c r="T71" s="229">
        <v>0</v>
      </c>
      <c r="U71" s="229">
        <v>0</v>
      </c>
      <c r="V71" s="229">
        <v>0</v>
      </c>
      <c r="W71" s="229">
        <v>0</v>
      </c>
      <c r="X71" s="229">
        <v>0</v>
      </c>
      <c r="Y71" s="229">
        <v>0</v>
      </c>
      <c r="Z71" s="229">
        <v>0</v>
      </c>
      <c r="AA71" s="229">
        <v>0</v>
      </c>
      <c r="AB71" s="229"/>
      <c r="AC71" s="229"/>
    </row>
    <row r="72" spans="1:29" s="165" customFormat="1" ht="13.8">
      <c r="A72" s="591" t="s">
        <v>1426</v>
      </c>
      <c r="B72" s="57" t="s">
        <v>2009</v>
      </c>
      <c r="C72" s="57"/>
      <c r="D72" s="57"/>
      <c r="E72" s="57"/>
      <c r="F72" s="57"/>
      <c r="G72" s="57"/>
      <c r="H72" s="229"/>
      <c r="I72" s="229"/>
      <c r="J72" s="229"/>
      <c r="K72" s="229"/>
      <c r="L72" s="229"/>
      <c r="M72" s="229"/>
      <c r="N72" s="229"/>
      <c r="O72" s="229"/>
      <c r="P72" s="229"/>
      <c r="Q72" s="229"/>
      <c r="R72" s="229"/>
      <c r="S72" s="229"/>
      <c r="T72" s="229"/>
      <c r="U72" s="229"/>
      <c r="V72" s="229"/>
      <c r="W72" s="229"/>
      <c r="X72" s="229"/>
      <c r="Y72" s="229">
        <v>0</v>
      </c>
      <c r="Z72" s="229">
        <v>0</v>
      </c>
      <c r="AA72" s="229">
        <v>0</v>
      </c>
      <c r="AB72" s="229"/>
      <c r="AC72" s="229"/>
    </row>
    <row r="73" spans="1:29" s="165" customFormat="1" ht="13.8">
      <c r="A73" s="591" t="s">
        <v>1194</v>
      </c>
      <c r="B73" s="57" t="s">
        <v>2010</v>
      </c>
      <c r="C73" s="57"/>
      <c r="D73" s="57"/>
      <c r="E73" s="57"/>
      <c r="F73" s="57"/>
      <c r="G73" s="57"/>
      <c r="H73" s="229"/>
      <c r="I73" s="229"/>
      <c r="J73" s="229"/>
      <c r="K73" s="229">
        <v>-25414</v>
      </c>
      <c r="L73" s="229">
        <v>-1108</v>
      </c>
      <c r="M73" s="229">
        <v>-2959</v>
      </c>
      <c r="N73" s="229">
        <v>-3889</v>
      </c>
      <c r="O73" s="229">
        <v>-4915</v>
      </c>
      <c r="P73" s="229">
        <v>1659</v>
      </c>
      <c r="Q73" s="229">
        <v>3949</v>
      </c>
      <c r="R73" s="229">
        <v>-1330</v>
      </c>
      <c r="S73" s="229">
        <v>-15777</v>
      </c>
      <c r="T73" s="229">
        <v>-672</v>
      </c>
      <c r="U73" s="229">
        <v>637.60417000000007</v>
      </c>
      <c r="V73" s="229">
        <v>1947.6041700000001</v>
      </c>
      <c r="W73" s="229">
        <v>-16919</v>
      </c>
      <c r="X73" s="229">
        <v>720</v>
      </c>
      <c r="Y73" s="229">
        <v>0</v>
      </c>
      <c r="Z73" s="229">
        <v>0</v>
      </c>
      <c r="AA73" s="229">
        <v>-31604</v>
      </c>
      <c r="AB73" s="229">
        <v>1018</v>
      </c>
      <c r="AC73" s="229">
        <v>2311</v>
      </c>
    </row>
    <row r="74" spans="1:29" s="165" customFormat="1" ht="13.8">
      <c r="A74" s="591" t="s">
        <v>1479</v>
      </c>
      <c r="B74" s="57" t="s">
        <v>1126</v>
      </c>
      <c r="C74" s="57"/>
      <c r="D74" s="57"/>
      <c r="E74" s="57"/>
      <c r="F74" s="57"/>
      <c r="G74" s="57"/>
      <c r="H74" s="229"/>
      <c r="I74" s="229"/>
      <c r="J74" s="229"/>
      <c r="K74" s="229">
        <v>-79396</v>
      </c>
      <c r="L74" s="229">
        <v>-23621</v>
      </c>
      <c r="M74" s="229">
        <v>-76274</v>
      </c>
      <c r="N74" s="229">
        <v>-108122</v>
      </c>
      <c r="O74" s="229">
        <v>-146447</v>
      </c>
      <c r="P74" s="229">
        <v>-24286</v>
      </c>
      <c r="Q74" s="229">
        <v>-83105</v>
      </c>
      <c r="R74" s="229">
        <v>-160600</v>
      </c>
      <c r="S74" s="229">
        <v>-239980</v>
      </c>
      <c r="T74" s="229">
        <v>-50062</v>
      </c>
      <c r="U74" s="229">
        <v>-126383</v>
      </c>
      <c r="V74" s="229">
        <v>-198105</v>
      </c>
      <c r="W74" s="229">
        <v>-419634</v>
      </c>
      <c r="X74" s="229">
        <v>-40570</v>
      </c>
      <c r="Y74" s="229">
        <v>-194720</v>
      </c>
      <c r="Z74" s="229">
        <v>-281421</v>
      </c>
      <c r="AA74" s="229">
        <v>-447686</v>
      </c>
      <c r="AB74" s="229">
        <v>-108896</v>
      </c>
      <c r="AC74" s="229">
        <v>-267455</v>
      </c>
    </row>
    <row r="75" spans="1:29" s="165" customFormat="1" ht="13.8">
      <c r="A75" s="591" t="s">
        <v>1265</v>
      </c>
      <c r="B75" s="57" t="s">
        <v>1266</v>
      </c>
      <c r="C75" s="57"/>
      <c r="D75" s="57"/>
      <c r="E75" s="57"/>
      <c r="F75" s="57"/>
      <c r="G75" s="57"/>
      <c r="H75" s="229"/>
      <c r="I75" s="229"/>
      <c r="J75" s="229"/>
      <c r="K75" s="229">
        <v>0</v>
      </c>
      <c r="L75" s="229">
        <v>0</v>
      </c>
      <c r="M75" s="229">
        <v>0</v>
      </c>
      <c r="N75" s="229">
        <v>0</v>
      </c>
      <c r="O75" s="229">
        <v>0</v>
      </c>
      <c r="P75" s="229">
        <v>0</v>
      </c>
      <c r="Q75" s="229">
        <v>0</v>
      </c>
      <c r="R75" s="229">
        <v>0</v>
      </c>
      <c r="S75" s="229">
        <v>0</v>
      </c>
      <c r="T75" s="229">
        <v>0</v>
      </c>
      <c r="U75" s="229">
        <v>0</v>
      </c>
      <c r="V75" s="229">
        <v>0</v>
      </c>
      <c r="W75" s="229">
        <v>0</v>
      </c>
      <c r="X75" s="229">
        <v>0</v>
      </c>
      <c r="Y75" s="229">
        <v>0</v>
      </c>
      <c r="Z75" s="229">
        <v>0</v>
      </c>
      <c r="AA75" s="229">
        <v>0</v>
      </c>
      <c r="AB75" s="229"/>
      <c r="AC75" s="229"/>
    </row>
    <row r="76" spans="1:29" s="165" customFormat="1" ht="13.8">
      <c r="A76" s="591" t="s">
        <v>1129</v>
      </c>
      <c r="B76" s="57" t="s">
        <v>2011</v>
      </c>
      <c r="C76" s="57"/>
      <c r="D76" s="57"/>
      <c r="E76" s="57"/>
      <c r="F76" s="57"/>
      <c r="G76" s="57"/>
      <c r="H76" s="229"/>
      <c r="I76" s="229"/>
      <c r="J76" s="229"/>
      <c r="K76" s="229">
        <v>176426</v>
      </c>
      <c r="L76" s="229">
        <v>-49438</v>
      </c>
      <c r="M76" s="229">
        <v>23497</v>
      </c>
      <c r="N76" s="229">
        <v>78935</v>
      </c>
      <c r="O76" s="229">
        <v>-55693</v>
      </c>
      <c r="P76" s="229">
        <v>-41964</v>
      </c>
      <c r="Q76" s="229">
        <v>-4150</v>
      </c>
      <c r="R76" s="229">
        <v>3611</v>
      </c>
      <c r="S76" s="229">
        <v>94950</v>
      </c>
      <c r="T76" s="229">
        <v>38997</v>
      </c>
      <c r="U76" s="229">
        <v>81705</v>
      </c>
      <c r="V76" s="229">
        <v>113659</v>
      </c>
      <c r="W76" s="229">
        <v>294926</v>
      </c>
      <c r="X76" s="229">
        <v>-26151</v>
      </c>
      <c r="Y76" s="229">
        <v>44524</v>
      </c>
      <c r="Z76" s="229">
        <v>107809</v>
      </c>
      <c r="AA76" s="229">
        <v>220756</v>
      </c>
      <c r="AB76" s="229">
        <v>-41281</v>
      </c>
      <c r="AC76" s="229">
        <v>-55834</v>
      </c>
    </row>
    <row r="77" spans="1:29" s="165" customFormat="1" ht="13.8">
      <c r="A77" s="591" t="s">
        <v>1127</v>
      </c>
      <c r="B77" s="57" t="s">
        <v>1991</v>
      </c>
      <c r="C77" s="57"/>
      <c r="D77" s="57"/>
      <c r="E77" s="57"/>
      <c r="F77" s="57"/>
      <c r="G77" s="57"/>
      <c r="H77" s="229"/>
      <c r="I77" s="229"/>
      <c r="J77" s="229"/>
      <c r="K77" s="229">
        <v>0</v>
      </c>
      <c r="L77" s="229">
        <v>0</v>
      </c>
      <c r="M77" s="229">
        <v>0</v>
      </c>
      <c r="N77" s="229">
        <v>0</v>
      </c>
      <c r="O77" s="229">
        <v>0</v>
      </c>
      <c r="P77" s="229">
        <v>0</v>
      </c>
      <c r="Q77" s="229">
        <v>0</v>
      </c>
      <c r="R77" s="229">
        <v>0</v>
      </c>
      <c r="S77" s="229">
        <v>0</v>
      </c>
      <c r="T77" s="229">
        <v>0</v>
      </c>
      <c r="U77" s="229">
        <v>0</v>
      </c>
      <c r="V77" s="229">
        <v>0</v>
      </c>
      <c r="W77" s="229">
        <v>0</v>
      </c>
      <c r="X77" s="229">
        <v>0</v>
      </c>
      <c r="Y77" s="229">
        <v>0</v>
      </c>
      <c r="Z77" s="229">
        <v>0</v>
      </c>
      <c r="AA77" s="229">
        <v>0</v>
      </c>
      <c r="AB77" s="229"/>
      <c r="AC77" s="229"/>
    </row>
    <row r="78" spans="1:29" s="165" customFormat="1" ht="13.8">
      <c r="A78" s="591" t="s">
        <v>1234</v>
      </c>
      <c r="B78" s="57" t="s">
        <v>2012</v>
      </c>
      <c r="C78" s="57"/>
      <c r="D78" s="57"/>
      <c r="E78" s="57"/>
      <c r="F78" s="57"/>
      <c r="G78" s="57"/>
      <c r="H78" s="229"/>
      <c r="I78" s="229"/>
      <c r="J78" s="229"/>
      <c r="K78" s="229">
        <v>0</v>
      </c>
      <c r="L78" s="229">
        <v>0</v>
      </c>
      <c r="M78" s="229">
        <v>0</v>
      </c>
      <c r="N78" s="229">
        <v>0</v>
      </c>
      <c r="O78" s="229">
        <v>0</v>
      </c>
      <c r="P78" s="229">
        <v>0</v>
      </c>
      <c r="Q78" s="229">
        <v>0</v>
      </c>
      <c r="R78" s="229">
        <v>0</v>
      </c>
      <c r="S78" s="229">
        <v>0</v>
      </c>
      <c r="T78" s="229">
        <v>0</v>
      </c>
      <c r="U78" s="229">
        <v>0</v>
      </c>
      <c r="V78" s="229">
        <v>0</v>
      </c>
      <c r="W78" s="229">
        <v>0</v>
      </c>
      <c r="X78" s="229">
        <v>0</v>
      </c>
      <c r="Y78" s="229">
        <v>0</v>
      </c>
      <c r="Z78" s="229">
        <v>0</v>
      </c>
      <c r="AA78" s="229">
        <v>0</v>
      </c>
      <c r="AB78" s="229"/>
      <c r="AC78" s="229"/>
    </row>
    <row r="79" spans="1:29" s="165" customFormat="1" ht="13.8">
      <c r="A79" s="591" t="s">
        <v>1428</v>
      </c>
      <c r="B79" s="57" t="s">
        <v>2013</v>
      </c>
      <c r="C79" s="57"/>
      <c r="D79" s="57"/>
      <c r="E79" s="57"/>
      <c r="F79" s="57"/>
      <c r="G79" s="57"/>
      <c r="H79" s="229"/>
      <c r="I79" s="229"/>
      <c r="J79" s="229"/>
      <c r="K79" s="229">
        <v>0</v>
      </c>
      <c r="L79" s="229">
        <v>0</v>
      </c>
      <c r="M79" s="229">
        <v>0</v>
      </c>
      <c r="N79" s="229">
        <v>0</v>
      </c>
      <c r="O79" s="229">
        <v>0</v>
      </c>
      <c r="P79" s="229">
        <v>0</v>
      </c>
      <c r="Q79" s="229">
        <v>0</v>
      </c>
      <c r="R79" s="229">
        <v>0</v>
      </c>
      <c r="S79" s="229">
        <v>0</v>
      </c>
      <c r="T79" s="229">
        <v>0</v>
      </c>
      <c r="U79" s="229">
        <v>0</v>
      </c>
      <c r="V79" s="229">
        <v>0</v>
      </c>
      <c r="W79" s="229">
        <v>0</v>
      </c>
      <c r="X79" s="229">
        <v>0</v>
      </c>
      <c r="Y79" s="229">
        <v>0</v>
      </c>
      <c r="Z79" s="229">
        <v>0</v>
      </c>
      <c r="AA79" s="229">
        <v>0</v>
      </c>
      <c r="AB79" s="229"/>
      <c r="AC79" s="229"/>
    </row>
    <row r="80" spans="1:29" s="578" customFormat="1" ht="13.8">
      <c r="A80" s="592" t="s">
        <v>1429</v>
      </c>
      <c r="B80" s="592" t="s">
        <v>2034</v>
      </c>
      <c r="C80" s="592"/>
      <c r="D80" s="592">
        <f t="shared" ref="D80:Y80" si="2">SUM(D48:D79)</f>
        <v>0</v>
      </c>
      <c r="E80" s="592">
        <f t="shared" si="2"/>
        <v>0</v>
      </c>
      <c r="F80" s="592">
        <f t="shared" si="2"/>
        <v>0</v>
      </c>
      <c r="G80" s="592">
        <f t="shared" si="2"/>
        <v>0</v>
      </c>
      <c r="H80" s="593">
        <f t="shared" si="2"/>
        <v>0</v>
      </c>
      <c r="I80" s="593">
        <f t="shared" si="2"/>
        <v>0</v>
      </c>
      <c r="J80" s="593">
        <f t="shared" si="2"/>
        <v>0</v>
      </c>
      <c r="K80" s="593">
        <f t="shared" si="2"/>
        <v>57468</v>
      </c>
      <c r="L80" s="593">
        <f t="shared" si="2"/>
        <v>97714</v>
      </c>
      <c r="M80" s="593">
        <f t="shared" si="2"/>
        <v>880276</v>
      </c>
      <c r="N80" s="593">
        <f t="shared" si="2"/>
        <v>1261522</v>
      </c>
      <c r="O80" s="593">
        <f t="shared" si="2"/>
        <v>1121059</v>
      </c>
      <c r="P80" s="593">
        <f t="shared" si="2"/>
        <v>760637</v>
      </c>
      <c r="Q80" s="593">
        <f t="shared" si="2"/>
        <v>771035</v>
      </c>
      <c r="R80" s="593">
        <f t="shared" si="2"/>
        <v>896513</v>
      </c>
      <c r="S80" s="593">
        <f t="shared" si="2"/>
        <v>1114742</v>
      </c>
      <c r="T80" s="593">
        <f t="shared" si="2"/>
        <v>97462</v>
      </c>
      <c r="U80" s="593">
        <f t="shared" si="2"/>
        <v>434694</v>
      </c>
      <c r="V80" s="593">
        <f t="shared" si="2"/>
        <v>532331</v>
      </c>
      <c r="W80" s="593">
        <f t="shared" si="2"/>
        <v>854815</v>
      </c>
      <c r="X80" s="593">
        <f t="shared" si="2"/>
        <v>116178</v>
      </c>
      <c r="Y80" s="593">
        <f t="shared" si="2"/>
        <v>583294</v>
      </c>
      <c r="Z80" s="593">
        <f t="shared" ref="Z80:AB80" si="3">SUM(Z48:Z79)</f>
        <v>538193</v>
      </c>
      <c r="AA80" s="593">
        <f t="shared" si="3"/>
        <v>682319</v>
      </c>
      <c r="AB80" s="593">
        <f t="shared" si="3"/>
        <v>512375</v>
      </c>
      <c r="AC80" s="593">
        <f>SUM(AC48:AC79)</f>
        <v>906250</v>
      </c>
    </row>
    <row r="82" spans="1:29" s="165" customFormat="1" ht="13.8">
      <c r="A82" s="594" t="s">
        <v>1396</v>
      </c>
      <c r="B82" s="57" t="s">
        <v>1397</v>
      </c>
      <c r="C82" s="57"/>
      <c r="D82" s="57"/>
      <c r="E82" s="57"/>
      <c r="F82" s="57"/>
      <c r="G82" s="57"/>
      <c r="H82" s="57"/>
      <c r="I82" s="57"/>
      <c r="J82" s="57"/>
      <c r="K82" s="229"/>
      <c r="L82" s="229"/>
      <c r="M82" s="229"/>
      <c r="N82" s="229"/>
      <c r="O82" s="229"/>
      <c r="P82" s="229"/>
      <c r="Q82" s="229"/>
      <c r="R82" s="229">
        <v>84109</v>
      </c>
      <c r="S82" s="229">
        <v>110767</v>
      </c>
      <c r="T82" s="229">
        <v>23335</v>
      </c>
      <c r="U82" s="229"/>
      <c r="V82" s="229">
        <v>105829</v>
      </c>
      <c r="W82" s="229">
        <v>146389</v>
      </c>
      <c r="X82" s="229">
        <v>31942</v>
      </c>
      <c r="Y82" s="229">
        <v>-15086</v>
      </c>
      <c r="Z82" s="229">
        <v>-27288</v>
      </c>
      <c r="AA82" s="229">
        <v>-47184</v>
      </c>
      <c r="AB82" s="229">
        <v>30602</v>
      </c>
      <c r="AC82" s="229">
        <v>0</v>
      </c>
    </row>
    <row r="83" spans="1:29" s="165" customFormat="1" ht="13.8">
      <c r="A83" s="594" t="s">
        <v>1430</v>
      </c>
      <c r="B83" s="57" t="s">
        <v>2016</v>
      </c>
      <c r="C83" s="57"/>
      <c r="D83" s="57"/>
      <c r="E83" s="57"/>
      <c r="F83" s="57"/>
      <c r="G83" s="57"/>
      <c r="H83" s="57"/>
      <c r="I83" s="57"/>
      <c r="J83" s="57"/>
      <c r="K83" s="229"/>
      <c r="L83" s="229">
        <v>-3319</v>
      </c>
      <c r="M83" s="229">
        <v>-10519</v>
      </c>
      <c r="N83" s="229">
        <v>-10519</v>
      </c>
      <c r="O83" s="229"/>
      <c r="P83" s="229"/>
      <c r="Q83" s="229"/>
      <c r="R83" s="229"/>
      <c r="S83" s="229"/>
      <c r="T83" s="229"/>
      <c r="U83" s="229"/>
      <c r="V83" s="229"/>
      <c r="W83" s="229"/>
      <c r="X83" s="229"/>
      <c r="Y83" s="229">
        <v>3078</v>
      </c>
      <c r="Z83" s="229">
        <v>72923</v>
      </c>
      <c r="AA83" s="229">
        <v>105051</v>
      </c>
      <c r="AB83" s="229"/>
      <c r="AC83" s="229">
        <v>64309</v>
      </c>
    </row>
    <row r="84" spans="1:29" s="165" customFormat="1" ht="13.8">
      <c r="A84" s="594" t="s">
        <v>1431</v>
      </c>
      <c r="B84" s="57" t="s">
        <v>2017</v>
      </c>
      <c r="C84" s="57"/>
      <c r="D84" s="57"/>
      <c r="E84" s="57"/>
      <c r="F84" s="57"/>
      <c r="G84" s="57"/>
      <c r="H84" s="229"/>
      <c r="I84" s="229"/>
      <c r="J84" s="229"/>
      <c r="K84" s="229">
        <v>-186629</v>
      </c>
      <c r="L84" s="229">
        <v>-83926</v>
      </c>
      <c r="M84" s="229">
        <v>-226410</v>
      </c>
      <c r="N84" s="229">
        <v>-463429</v>
      </c>
      <c r="O84" s="229">
        <v>-962219</v>
      </c>
      <c r="P84" s="229">
        <v>-349683</v>
      </c>
      <c r="Q84" s="229">
        <v>-351226</v>
      </c>
      <c r="R84" s="229">
        <v>-840541</v>
      </c>
      <c r="S84" s="229">
        <v>-995025</v>
      </c>
      <c r="T84" s="229">
        <v>-385853</v>
      </c>
      <c r="U84" s="229">
        <v>-596055</v>
      </c>
      <c r="V84" s="229">
        <v>-969962</v>
      </c>
      <c r="W84" s="229">
        <v>-1284376</v>
      </c>
      <c r="X84" s="229">
        <v>-294122</v>
      </c>
      <c r="Y84" s="229">
        <v>-618441</v>
      </c>
      <c r="Z84" s="229">
        <v>-1016678</v>
      </c>
      <c r="AA84" s="229">
        <v>-1406122</v>
      </c>
      <c r="AB84" s="229">
        <v>-479246</v>
      </c>
      <c r="AC84" s="229">
        <v>-829732</v>
      </c>
    </row>
    <row r="85" spans="1:29" s="165" customFormat="1" ht="13.8">
      <c r="A85" s="595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</row>
    <row r="86" spans="1:29" s="578" customFormat="1" thickBot="1">
      <c r="A86" s="596" t="s">
        <v>1432</v>
      </c>
      <c r="B86" s="596" t="s">
        <v>2036</v>
      </c>
      <c r="C86" s="596"/>
      <c r="D86" s="596">
        <f t="shared" ref="D86:Y86" si="4">SUM(D80:D85)</f>
        <v>0</v>
      </c>
      <c r="E86" s="596">
        <f t="shared" si="4"/>
        <v>0</v>
      </c>
      <c r="F86" s="596">
        <f t="shared" si="4"/>
        <v>0</v>
      </c>
      <c r="G86" s="596">
        <f t="shared" si="4"/>
        <v>0</v>
      </c>
      <c r="H86" s="597">
        <f t="shared" si="4"/>
        <v>0</v>
      </c>
      <c r="I86" s="597">
        <f t="shared" si="4"/>
        <v>0</v>
      </c>
      <c r="J86" s="597">
        <f t="shared" si="4"/>
        <v>0</v>
      </c>
      <c r="K86" s="597">
        <f t="shared" si="4"/>
        <v>-129161</v>
      </c>
      <c r="L86" s="597">
        <f t="shared" si="4"/>
        <v>10469</v>
      </c>
      <c r="M86" s="597">
        <f t="shared" si="4"/>
        <v>643347</v>
      </c>
      <c r="N86" s="597">
        <f t="shared" si="4"/>
        <v>787574</v>
      </c>
      <c r="O86" s="597">
        <f t="shared" si="4"/>
        <v>158840</v>
      </c>
      <c r="P86" s="597">
        <f t="shared" si="4"/>
        <v>410954</v>
      </c>
      <c r="Q86" s="597">
        <f t="shared" si="4"/>
        <v>419809</v>
      </c>
      <c r="R86" s="597">
        <f t="shared" si="4"/>
        <v>140081</v>
      </c>
      <c r="S86" s="597">
        <f t="shared" si="4"/>
        <v>230484</v>
      </c>
      <c r="T86" s="597">
        <f t="shared" si="4"/>
        <v>-265056</v>
      </c>
      <c r="U86" s="597">
        <f t="shared" si="4"/>
        <v>-161361</v>
      </c>
      <c r="V86" s="597">
        <f t="shared" si="4"/>
        <v>-331802</v>
      </c>
      <c r="W86" s="597">
        <f t="shared" si="4"/>
        <v>-283172</v>
      </c>
      <c r="X86" s="597">
        <f t="shared" si="4"/>
        <v>-146002</v>
      </c>
      <c r="Y86" s="597">
        <f t="shared" si="4"/>
        <v>-47155</v>
      </c>
      <c r="Z86" s="597">
        <f t="shared" ref="Z86:AC86" si="5">SUM(Z80:Z85)</f>
        <v>-432850</v>
      </c>
      <c r="AA86" s="597">
        <f t="shared" si="5"/>
        <v>-665936</v>
      </c>
      <c r="AB86" s="597">
        <f t="shared" si="5"/>
        <v>63731</v>
      </c>
      <c r="AC86" s="597">
        <f t="shared" si="5"/>
        <v>140827</v>
      </c>
    </row>
    <row r="87" spans="1:29" s="165" customFormat="1" ht="13.8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229"/>
      <c r="L87" s="229"/>
      <c r="M87" s="229"/>
      <c r="N87" s="229"/>
      <c r="O87" s="229"/>
      <c r="P87" s="229"/>
      <c r="Q87" s="229"/>
      <c r="R87" s="229"/>
      <c r="S87" s="229"/>
      <c r="T87" s="229"/>
      <c r="U87" s="229"/>
      <c r="V87" s="229"/>
      <c r="W87" s="229"/>
      <c r="X87" s="229"/>
      <c r="Y87" s="229"/>
      <c r="Z87" s="229"/>
      <c r="AA87" s="229"/>
      <c r="AB87" s="229"/>
      <c r="AC87" s="229"/>
    </row>
    <row r="88" spans="1:29" s="165" customFormat="1" ht="13.8">
      <c r="A88" s="134" t="s">
        <v>1433</v>
      </c>
      <c r="B88" s="589" t="s">
        <v>2037</v>
      </c>
      <c r="C88" s="57"/>
      <c r="D88" s="57"/>
      <c r="E88" s="57"/>
      <c r="F88" s="57"/>
      <c r="G88" s="57"/>
      <c r="H88" s="57"/>
      <c r="I88" s="57"/>
      <c r="J88" s="57"/>
      <c r="K88" s="229"/>
      <c r="L88" s="229"/>
      <c r="M88" s="229"/>
      <c r="N88" s="229"/>
      <c r="O88" s="229"/>
      <c r="P88" s="229"/>
      <c r="Q88" s="229"/>
      <c r="R88" s="229"/>
      <c r="S88" s="229"/>
      <c r="T88" s="229"/>
      <c r="U88" s="229"/>
      <c r="V88" s="229"/>
      <c r="W88" s="229"/>
      <c r="X88" s="229"/>
      <c r="Y88" s="229"/>
      <c r="Z88" s="229"/>
      <c r="AA88" s="229"/>
      <c r="AB88" s="229"/>
      <c r="AC88" s="229"/>
    </row>
    <row r="89" spans="1:29" s="165" customFormat="1" ht="13.8">
      <c r="A89" s="591" t="s">
        <v>1434</v>
      </c>
      <c r="B89" s="57" t="s">
        <v>2018</v>
      </c>
      <c r="C89" s="57"/>
      <c r="D89" s="57"/>
      <c r="E89" s="57"/>
      <c r="F89" s="57"/>
      <c r="G89" s="57"/>
      <c r="H89" s="57"/>
      <c r="I89" s="57"/>
      <c r="J89" s="229"/>
      <c r="K89" s="229"/>
      <c r="L89" s="229"/>
      <c r="M89" s="229"/>
      <c r="N89" s="229"/>
      <c r="O89" s="229">
        <v>-6045</v>
      </c>
      <c r="P89" s="229"/>
      <c r="Q89" s="229"/>
      <c r="R89" s="229"/>
      <c r="S89" s="229"/>
      <c r="T89" s="229"/>
      <c r="U89" s="229"/>
      <c r="V89" s="229"/>
      <c r="W89" s="229"/>
      <c r="X89" s="229"/>
      <c r="Y89" s="229"/>
      <c r="Z89" s="229"/>
      <c r="AA89" s="229"/>
      <c r="AB89" s="229"/>
      <c r="AC89" s="229"/>
    </row>
    <row r="90" spans="1:29" s="165" customFormat="1" ht="13.8">
      <c r="A90" s="598" t="s">
        <v>1435</v>
      </c>
      <c r="B90" s="57" t="s">
        <v>2019</v>
      </c>
      <c r="C90" s="57"/>
      <c r="D90" s="229"/>
      <c r="E90" s="229"/>
      <c r="F90" s="229"/>
      <c r="G90" s="229"/>
      <c r="H90" s="229"/>
      <c r="I90" s="229"/>
      <c r="J90" s="229"/>
      <c r="K90" s="229"/>
      <c r="L90" s="229"/>
      <c r="M90" s="229"/>
      <c r="N90" s="229"/>
      <c r="O90" s="229"/>
      <c r="P90" s="229"/>
      <c r="Q90" s="229"/>
      <c r="R90" s="229"/>
      <c r="S90" s="229"/>
      <c r="T90" s="229"/>
      <c r="U90" s="229"/>
      <c r="V90" s="229"/>
      <c r="W90" s="229"/>
      <c r="X90" s="229"/>
      <c r="Y90" s="229"/>
      <c r="Z90" s="229"/>
      <c r="AA90" s="229"/>
      <c r="AB90" s="229"/>
      <c r="AC90" s="229"/>
    </row>
    <row r="91" spans="1:29" s="165" customFormat="1" ht="13.8">
      <c r="A91" s="591" t="s">
        <v>1436</v>
      </c>
      <c r="B91" s="57" t="s">
        <v>2020</v>
      </c>
      <c r="C91" s="57"/>
      <c r="D91" s="229"/>
      <c r="E91" s="229"/>
      <c r="F91" s="229"/>
      <c r="G91" s="229"/>
      <c r="H91" s="229"/>
      <c r="I91" s="229"/>
      <c r="J91" s="229"/>
      <c r="K91" s="229"/>
      <c r="L91" s="229"/>
      <c r="M91" s="229"/>
      <c r="N91" s="229"/>
      <c r="O91" s="229"/>
      <c r="P91" s="229"/>
      <c r="Q91" s="229"/>
      <c r="R91" s="229"/>
      <c r="S91" s="229"/>
      <c r="T91" s="229"/>
      <c r="U91" s="229"/>
      <c r="V91" s="229"/>
      <c r="W91" s="229"/>
      <c r="X91" s="229"/>
      <c r="Y91" s="229"/>
      <c r="Z91" s="229"/>
      <c r="AA91" s="229"/>
      <c r="AB91" s="229"/>
      <c r="AC91" s="229"/>
    </row>
    <row r="92" spans="1:29" s="165" customFormat="1" ht="13.8">
      <c r="A92" s="591" t="s">
        <v>1437</v>
      </c>
      <c r="B92" s="57" t="s">
        <v>2021</v>
      </c>
      <c r="C92" s="57"/>
      <c r="D92" s="229"/>
      <c r="E92" s="229"/>
      <c r="F92" s="229"/>
      <c r="G92" s="229"/>
      <c r="H92" s="229"/>
      <c r="I92" s="229"/>
      <c r="J92" s="229"/>
      <c r="K92" s="229">
        <v>-2264161</v>
      </c>
      <c r="L92" s="229">
        <v>-565491</v>
      </c>
      <c r="M92" s="229">
        <v>-1035891</v>
      </c>
      <c r="N92" s="229">
        <v>-1562942</v>
      </c>
      <c r="O92" s="229">
        <v>-1927520</v>
      </c>
      <c r="P92" s="229">
        <v>-825529</v>
      </c>
      <c r="Q92" s="229">
        <v>-1074847</v>
      </c>
      <c r="R92" s="229">
        <v>-1419892</v>
      </c>
      <c r="S92" s="229">
        <v>-1637565</v>
      </c>
      <c r="T92" s="229">
        <v>-281141</v>
      </c>
      <c r="U92" s="229">
        <v>-666095</v>
      </c>
      <c r="V92" s="229">
        <v>-1232181</v>
      </c>
      <c r="W92" s="229">
        <v>-1788614</v>
      </c>
      <c r="X92" s="229">
        <v>-400223</v>
      </c>
      <c r="Y92" s="229">
        <v>-1048867</v>
      </c>
      <c r="Z92" s="229">
        <v>-1702199</v>
      </c>
      <c r="AA92" s="229">
        <v>-2317019</v>
      </c>
      <c r="AB92" s="229">
        <v>-548233</v>
      </c>
      <c r="AC92" s="229">
        <v>-1146141</v>
      </c>
    </row>
    <row r="93" spans="1:29" s="165" customFormat="1" ht="13.8">
      <c r="A93" s="591" t="s">
        <v>1438</v>
      </c>
      <c r="B93" s="57" t="s">
        <v>2022</v>
      </c>
      <c r="C93" s="57"/>
      <c r="D93" s="229"/>
      <c r="E93" s="229"/>
      <c r="F93" s="229"/>
      <c r="G93" s="229"/>
      <c r="H93" s="229"/>
      <c r="I93" s="229"/>
      <c r="J93" s="229"/>
      <c r="K93" s="229"/>
      <c r="L93" s="229"/>
      <c r="M93" s="229"/>
      <c r="N93" s="229"/>
      <c r="O93" s="229"/>
      <c r="P93" s="229"/>
      <c r="Q93" s="229">
        <v>71120</v>
      </c>
      <c r="R93" s="229">
        <v>75183</v>
      </c>
      <c r="S93" s="229"/>
      <c r="T93" s="229"/>
      <c r="U93" s="229"/>
      <c r="V93" s="229"/>
      <c r="W93" s="229"/>
      <c r="X93" s="229"/>
      <c r="Y93" s="229"/>
      <c r="Z93" s="229"/>
      <c r="AA93" s="229"/>
      <c r="AB93" s="229"/>
      <c r="AC93" s="229"/>
    </row>
    <row r="94" spans="1:29" s="165" customFormat="1" ht="13.8">
      <c r="A94" s="591" t="s">
        <v>1439</v>
      </c>
      <c r="B94" s="57" t="s">
        <v>2023</v>
      </c>
      <c r="C94" s="57"/>
      <c r="D94" s="229"/>
      <c r="E94" s="229"/>
      <c r="F94" s="229"/>
      <c r="G94" s="229"/>
      <c r="H94" s="229"/>
      <c r="I94" s="229"/>
      <c r="J94" s="229"/>
      <c r="K94" s="229"/>
      <c r="L94" s="229"/>
      <c r="M94" s="229"/>
      <c r="N94" s="229"/>
      <c r="O94" s="229"/>
      <c r="P94" s="229"/>
      <c r="Q94" s="229"/>
      <c r="R94" s="229"/>
      <c r="S94" s="229"/>
      <c r="T94" s="229"/>
      <c r="U94" s="229"/>
      <c r="V94" s="229"/>
      <c r="W94" s="229"/>
      <c r="X94" s="229"/>
      <c r="Y94" s="229"/>
      <c r="Z94" s="229"/>
      <c r="AA94" s="229"/>
      <c r="AB94" s="229"/>
      <c r="AC94" s="229"/>
    </row>
    <row r="95" spans="1:29" s="165" customFormat="1" ht="13.8">
      <c r="A95" s="591" t="s">
        <v>1440</v>
      </c>
      <c r="B95" s="57" t="s">
        <v>2024</v>
      </c>
      <c r="C95" s="57"/>
      <c r="D95" s="229"/>
      <c r="E95" s="229"/>
      <c r="F95" s="229"/>
      <c r="G95" s="229"/>
      <c r="H95" s="229"/>
      <c r="I95" s="229"/>
      <c r="J95" s="229"/>
      <c r="K95" s="229"/>
      <c r="L95" s="229"/>
      <c r="M95" s="229"/>
      <c r="N95" s="229"/>
      <c r="O95" s="229"/>
      <c r="P95" s="229"/>
      <c r="Q95" s="229"/>
      <c r="R95" s="229"/>
      <c r="S95" s="229"/>
      <c r="T95" s="229"/>
      <c r="U95" s="229"/>
      <c r="V95" s="229"/>
      <c r="W95" s="229"/>
      <c r="X95" s="229"/>
      <c r="Y95" s="229"/>
      <c r="Z95" s="229"/>
      <c r="AA95" s="229"/>
      <c r="AB95" s="229"/>
      <c r="AC95" s="229"/>
    </row>
    <row r="96" spans="1:29" s="165" customFormat="1" ht="13.8">
      <c r="A96" s="591" t="s">
        <v>1441</v>
      </c>
      <c r="B96" s="57" t="s">
        <v>2025</v>
      </c>
      <c r="C96" s="57"/>
      <c r="D96" s="229"/>
      <c r="E96" s="229"/>
      <c r="F96" s="229"/>
      <c r="G96" s="229"/>
      <c r="H96" s="229"/>
      <c r="I96" s="229"/>
      <c r="J96" s="229"/>
      <c r="K96" s="229"/>
      <c r="L96" s="229"/>
      <c r="M96" s="229"/>
      <c r="N96" s="229"/>
      <c r="O96" s="229"/>
      <c r="P96" s="229"/>
      <c r="Q96" s="229"/>
      <c r="R96" s="229"/>
      <c r="S96" s="229"/>
      <c r="T96" s="229"/>
      <c r="U96" s="229"/>
      <c r="V96" s="229"/>
      <c r="W96" s="229"/>
      <c r="X96" s="229"/>
      <c r="Y96" s="229"/>
      <c r="Z96" s="229"/>
      <c r="AA96" s="229"/>
      <c r="AB96" s="229"/>
      <c r="AC96" s="229"/>
    </row>
    <row r="97" spans="1:29" s="165" customFormat="1" ht="13.8">
      <c r="A97" s="591" t="s">
        <v>1442</v>
      </c>
      <c r="B97" s="57" t="s">
        <v>2026</v>
      </c>
      <c r="C97" s="57"/>
      <c r="D97" s="229"/>
      <c r="E97" s="229"/>
      <c r="F97" s="229"/>
      <c r="G97" s="229"/>
      <c r="H97" s="229"/>
      <c r="I97" s="229"/>
      <c r="J97" s="229"/>
      <c r="K97" s="229"/>
      <c r="L97" s="229"/>
      <c r="M97" s="229"/>
      <c r="N97" s="229"/>
      <c r="O97" s="229"/>
      <c r="P97" s="229"/>
      <c r="Q97" s="229"/>
      <c r="R97" s="229"/>
      <c r="S97" s="229"/>
      <c r="T97" s="229"/>
      <c r="U97" s="229"/>
      <c r="V97" s="229"/>
      <c r="W97" s="229"/>
      <c r="X97" s="229"/>
      <c r="Y97" s="229"/>
      <c r="Z97" s="229"/>
      <c r="AA97" s="229"/>
      <c r="AB97" s="229"/>
      <c r="AC97" s="229"/>
    </row>
    <row r="98" spans="1:29" s="165" customFormat="1" ht="13.8">
      <c r="A98" s="591" t="s">
        <v>1443</v>
      </c>
      <c r="B98" s="57" t="s">
        <v>2028</v>
      </c>
      <c r="C98" s="57"/>
      <c r="D98" s="229"/>
      <c r="E98" s="229"/>
      <c r="F98" s="229"/>
      <c r="G98" s="229"/>
      <c r="H98" s="229"/>
      <c r="I98" s="229"/>
      <c r="J98" s="229"/>
      <c r="K98" s="229"/>
      <c r="L98" s="229"/>
      <c r="M98" s="229"/>
      <c r="N98" s="229"/>
      <c r="O98" s="229"/>
      <c r="P98" s="229"/>
      <c r="Q98" s="229"/>
      <c r="R98" s="229"/>
      <c r="S98" s="229"/>
      <c r="T98" s="229"/>
      <c r="U98" s="229"/>
      <c r="V98" s="229"/>
      <c r="W98" s="229"/>
      <c r="X98" s="229"/>
      <c r="Y98" s="229"/>
      <c r="Z98" s="229"/>
      <c r="AA98" s="229"/>
      <c r="AB98" s="229"/>
      <c r="AC98" s="229"/>
    </row>
    <row r="99" spans="1:29" s="165" customFormat="1" ht="13.8">
      <c r="A99" s="591" t="s">
        <v>1444</v>
      </c>
      <c r="B99" s="57" t="s">
        <v>2029</v>
      </c>
      <c r="C99" s="57"/>
      <c r="D99" s="229"/>
      <c r="E99" s="229"/>
      <c r="F99" s="229"/>
      <c r="G99" s="229"/>
      <c r="H99" s="229"/>
      <c r="I99" s="229"/>
      <c r="J99" s="229"/>
      <c r="K99" s="229"/>
      <c r="L99" s="229"/>
      <c r="M99" s="229"/>
      <c r="N99" s="229"/>
      <c r="O99" s="229"/>
      <c r="P99" s="229"/>
      <c r="Q99" s="229"/>
      <c r="R99" s="229"/>
      <c r="S99" s="229"/>
      <c r="T99" s="229"/>
      <c r="U99" s="229"/>
      <c r="V99" s="229"/>
      <c r="W99" s="229"/>
      <c r="X99" s="229"/>
      <c r="Y99" s="229"/>
      <c r="Z99" s="229"/>
      <c r="AA99" s="229"/>
      <c r="AB99" s="229"/>
      <c r="AC99" s="229"/>
    </row>
    <row r="100" spans="1:29" s="165" customFormat="1" ht="13.8">
      <c r="A100" s="591" t="s">
        <v>1445</v>
      </c>
      <c r="B100" s="57" t="s">
        <v>2027</v>
      </c>
      <c r="C100" s="57"/>
      <c r="D100" s="229"/>
      <c r="E100" s="229"/>
      <c r="F100" s="229"/>
      <c r="G100" s="229"/>
      <c r="H100" s="229"/>
      <c r="I100" s="229"/>
      <c r="J100" s="229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 s="229"/>
      <c r="W100" s="229"/>
      <c r="X100" s="229"/>
      <c r="Y100" s="229"/>
      <c r="Z100" s="229"/>
      <c r="AA100" s="229"/>
      <c r="AB100" s="229"/>
      <c r="AC100" s="229"/>
    </row>
    <row r="101" spans="1:29" s="165" customFormat="1" ht="13.8">
      <c r="A101" s="591" t="s">
        <v>1446</v>
      </c>
      <c r="B101" s="57" t="s">
        <v>2030</v>
      </c>
      <c r="C101" s="57"/>
      <c r="D101" s="229"/>
      <c r="E101" s="229"/>
      <c r="F101" s="229"/>
      <c r="G101" s="229"/>
      <c r="H101" s="229"/>
      <c r="I101" s="229"/>
      <c r="J101" s="229"/>
      <c r="K101" s="229"/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W101" s="229"/>
      <c r="X101" s="229"/>
      <c r="Y101" s="229"/>
      <c r="Z101" s="229"/>
      <c r="AA101" s="229"/>
      <c r="AB101" s="229"/>
      <c r="AC101" s="229"/>
    </row>
    <row r="102" spans="1:29" s="165" customFormat="1" ht="13.8">
      <c r="A102" s="591" t="s">
        <v>1447</v>
      </c>
      <c r="B102" s="57" t="s">
        <v>2031</v>
      </c>
      <c r="C102" s="57"/>
      <c r="D102" s="229"/>
      <c r="E102" s="229"/>
      <c r="F102" s="229"/>
      <c r="G102" s="229"/>
      <c r="H102" s="229"/>
      <c r="I102" s="229"/>
      <c r="J102" s="229"/>
      <c r="K102" s="229"/>
      <c r="L102" s="229"/>
      <c r="M102" s="229"/>
      <c r="N102" s="229"/>
      <c r="O102" s="229"/>
      <c r="P102" s="229"/>
      <c r="Q102" s="229"/>
      <c r="R102" s="229"/>
      <c r="S102" s="229"/>
      <c r="T102" s="229"/>
      <c r="U102" s="229"/>
      <c r="V102" s="229"/>
      <c r="W102" s="229"/>
      <c r="X102" s="229"/>
      <c r="Y102" s="229"/>
      <c r="Z102" s="229"/>
      <c r="AA102" s="229"/>
      <c r="AB102" s="229"/>
      <c r="AC102" s="229"/>
    </row>
    <row r="103" spans="1:29" s="165" customFormat="1" ht="13.8">
      <c r="A103" s="591" t="s">
        <v>1448</v>
      </c>
      <c r="B103" s="57" t="s">
        <v>2032</v>
      </c>
      <c r="C103" s="57"/>
      <c r="D103" s="229"/>
      <c r="E103" s="229"/>
      <c r="F103" s="229"/>
      <c r="G103" s="229"/>
      <c r="H103" s="229"/>
      <c r="I103" s="229"/>
      <c r="J103" s="229"/>
      <c r="K103" s="229"/>
      <c r="L103" s="229"/>
      <c r="M103" s="229"/>
      <c r="N103" s="229"/>
      <c r="O103" s="229"/>
      <c r="P103" s="229"/>
      <c r="Q103" s="229"/>
      <c r="R103" s="229"/>
      <c r="S103" s="229"/>
      <c r="T103" s="229"/>
      <c r="U103" s="229"/>
      <c r="V103" s="229"/>
      <c r="W103" s="229"/>
      <c r="X103" s="229"/>
      <c r="Y103" s="229"/>
      <c r="Z103" s="229"/>
      <c r="AA103" s="229"/>
      <c r="AB103" s="229"/>
      <c r="AC103" s="229"/>
    </row>
    <row r="104" spans="1:29" s="165" customFormat="1" ht="13.8">
      <c r="A104" s="591" t="s">
        <v>1396</v>
      </c>
      <c r="B104" s="57" t="s">
        <v>2522</v>
      </c>
      <c r="C104" s="57"/>
      <c r="D104" s="229"/>
      <c r="E104" s="229"/>
      <c r="F104" s="229"/>
      <c r="G104" s="229"/>
      <c r="H104" s="229"/>
      <c r="I104" s="229"/>
      <c r="J104" s="229"/>
      <c r="K104" s="229"/>
      <c r="L104" s="229"/>
      <c r="M104" s="229"/>
      <c r="N104" s="229"/>
      <c r="O104" s="229"/>
      <c r="P104" s="229"/>
      <c r="Q104" s="229"/>
      <c r="R104" s="229"/>
      <c r="S104" s="229"/>
      <c r="T104" s="229"/>
      <c r="U104" s="229"/>
      <c r="V104" s="229"/>
      <c r="W104" s="229"/>
      <c r="X104" s="229"/>
      <c r="Y104" s="229"/>
      <c r="Z104" s="229"/>
      <c r="AA104" s="229"/>
      <c r="AB104" s="229"/>
      <c r="AC104" s="229">
        <v>27437</v>
      </c>
    </row>
    <row r="105" spans="1:29" s="165" customFormat="1" ht="13.8">
      <c r="A105" s="591" t="s">
        <v>1449</v>
      </c>
      <c r="B105" s="57" t="s">
        <v>2033</v>
      </c>
      <c r="C105" s="57"/>
      <c r="D105" s="229"/>
      <c r="E105" s="229"/>
      <c r="F105" s="229"/>
      <c r="G105" s="229"/>
      <c r="H105" s="229"/>
      <c r="I105" s="229"/>
      <c r="J105" s="229"/>
      <c r="K105" s="229">
        <v>-1548</v>
      </c>
      <c r="L105" s="229">
        <v>-38754</v>
      </c>
      <c r="M105" s="229">
        <v>-166884</v>
      </c>
      <c r="N105" s="229">
        <v>10175</v>
      </c>
      <c r="O105" s="229">
        <v>32401</v>
      </c>
      <c r="P105" s="229">
        <v>-159262</v>
      </c>
      <c r="Q105" s="229">
        <v>-278533</v>
      </c>
      <c r="R105" s="229">
        <v>-103735</v>
      </c>
      <c r="S105" s="229">
        <v>-847828</v>
      </c>
      <c r="T105" s="229">
        <v>186579</v>
      </c>
      <c r="U105" s="229">
        <v>-1049252</v>
      </c>
      <c r="V105" s="229">
        <v>-144261</v>
      </c>
      <c r="W105" s="229">
        <v>-301052</v>
      </c>
      <c r="X105" s="229">
        <v>564814</v>
      </c>
      <c r="Y105" s="229">
        <v>867199</v>
      </c>
      <c r="Z105" s="229">
        <v>-411199</v>
      </c>
      <c r="AA105" s="229">
        <v>400872</v>
      </c>
      <c r="AB105" s="229">
        <v>-230762</v>
      </c>
      <c r="AC105" s="229">
        <v>248584</v>
      </c>
    </row>
    <row r="106" spans="1:29" s="578" customFormat="1" thickBot="1">
      <c r="A106" s="596" t="s">
        <v>1450</v>
      </c>
      <c r="B106" s="596" t="s">
        <v>2038</v>
      </c>
      <c r="C106" s="596"/>
      <c r="D106" s="597">
        <f t="shared" ref="D106:Y106" si="6">SUM(D88:D105)</f>
        <v>0</v>
      </c>
      <c r="E106" s="597">
        <f t="shared" si="6"/>
        <v>0</v>
      </c>
      <c r="F106" s="597">
        <f t="shared" si="6"/>
        <v>0</v>
      </c>
      <c r="G106" s="597">
        <f t="shared" si="6"/>
        <v>0</v>
      </c>
      <c r="H106" s="597">
        <f t="shared" si="6"/>
        <v>0</v>
      </c>
      <c r="I106" s="597">
        <f t="shared" si="6"/>
        <v>0</v>
      </c>
      <c r="J106" s="597">
        <f t="shared" si="6"/>
        <v>0</v>
      </c>
      <c r="K106" s="597">
        <f t="shared" si="6"/>
        <v>-2265709</v>
      </c>
      <c r="L106" s="597">
        <f t="shared" si="6"/>
        <v>-604245</v>
      </c>
      <c r="M106" s="597">
        <f t="shared" si="6"/>
        <v>-1202775</v>
      </c>
      <c r="N106" s="597">
        <f t="shared" si="6"/>
        <v>-1552767</v>
      </c>
      <c r="O106" s="597">
        <f t="shared" si="6"/>
        <v>-1901164</v>
      </c>
      <c r="P106" s="597">
        <f t="shared" si="6"/>
        <v>-984791</v>
      </c>
      <c r="Q106" s="597">
        <f t="shared" si="6"/>
        <v>-1282260</v>
      </c>
      <c r="R106" s="597">
        <f t="shared" si="6"/>
        <v>-1448444</v>
      </c>
      <c r="S106" s="597">
        <f t="shared" si="6"/>
        <v>-2485393</v>
      </c>
      <c r="T106" s="597">
        <f t="shared" si="6"/>
        <v>-94562</v>
      </c>
      <c r="U106" s="597">
        <f t="shared" si="6"/>
        <v>-1715347</v>
      </c>
      <c r="V106" s="597">
        <f t="shared" si="6"/>
        <v>-1376442</v>
      </c>
      <c r="W106" s="597">
        <f t="shared" si="6"/>
        <v>-2089666</v>
      </c>
      <c r="X106" s="597">
        <f t="shared" si="6"/>
        <v>164591</v>
      </c>
      <c r="Y106" s="597">
        <f t="shared" si="6"/>
        <v>-181668</v>
      </c>
      <c r="Z106" s="597">
        <f t="shared" ref="Z106:AC106" si="7">SUM(Z88:Z105)</f>
        <v>-2113398</v>
      </c>
      <c r="AA106" s="597">
        <f t="shared" si="7"/>
        <v>-1916147</v>
      </c>
      <c r="AB106" s="597">
        <f t="shared" si="7"/>
        <v>-778995</v>
      </c>
      <c r="AC106" s="597">
        <f t="shared" si="7"/>
        <v>-870120</v>
      </c>
    </row>
    <row r="107" spans="1:29" s="165" customFormat="1" ht="13.8">
      <c r="A107" s="57"/>
      <c r="B107" s="57"/>
      <c r="C107" s="57"/>
      <c r="D107" s="229"/>
      <c r="E107" s="229"/>
      <c r="F107" s="229"/>
      <c r="G107" s="229"/>
      <c r="H107" s="229"/>
      <c r="I107" s="229"/>
      <c r="J107" s="229"/>
      <c r="K107" s="229"/>
      <c r="L107" s="229"/>
      <c r="M107" s="229"/>
      <c r="N107" s="229"/>
      <c r="O107" s="229"/>
      <c r="P107" s="229"/>
      <c r="Q107" s="229"/>
      <c r="R107" s="229"/>
      <c r="S107" s="229"/>
      <c r="T107" s="229"/>
      <c r="U107" s="229"/>
      <c r="V107" s="229"/>
      <c r="W107" s="229"/>
      <c r="X107" s="229"/>
      <c r="Y107" s="229"/>
      <c r="Z107" s="229"/>
      <c r="AA107" s="229"/>
      <c r="AB107" s="229"/>
      <c r="AC107" s="229"/>
    </row>
    <row r="108" spans="1:29" s="165" customFormat="1" ht="13.8">
      <c r="A108" s="134" t="s">
        <v>1451</v>
      </c>
      <c r="B108" s="589" t="s">
        <v>2039</v>
      </c>
      <c r="C108" s="57"/>
      <c r="D108" s="229"/>
      <c r="E108" s="229"/>
      <c r="F108" s="229"/>
      <c r="G108" s="229"/>
      <c r="H108" s="229"/>
      <c r="I108" s="229"/>
      <c r="J108" s="229"/>
      <c r="K108" s="229"/>
      <c r="L108" s="229"/>
      <c r="M108" s="229"/>
      <c r="N108" s="229"/>
      <c r="O108" s="229"/>
      <c r="P108" s="229"/>
      <c r="Q108" s="229"/>
      <c r="R108" s="229"/>
      <c r="S108" s="229"/>
      <c r="T108" s="229"/>
      <c r="U108" s="229"/>
      <c r="V108" s="229"/>
      <c r="W108" s="229"/>
      <c r="X108" s="229"/>
      <c r="Y108" s="229"/>
      <c r="Z108" s="229"/>
      <c r="AA108" s="229"/>
      <c r="AB108" s="229"/>
      <c r="AC108" s="229"/>
    </row>
    <row r="109" spans="1:29" s="165" customFormat="1" ht="13.8">
      <c r="A109" s="591" t="s">
        <v>1452</v>
      </c>
      <c r="B109" s="57" t="s">
        <v>2040</v>
      </c>
      <c r="C109" s="57"/>
      <c r="D109" s="229"/>
      <c r="E109" s="229"/>
      <c r="F109" s="229"/>
      <c r="G109" s="229"/>
      <c r="H109" s="229"/>
      <c r="I109" s="229"/>
      <c r="J109" s="229"/>
      <c r="K109" s="229">
        <v>-541414</v>
      </c>
      <c r="L109" s="229">
        <v>-264112</v>
      </c>
      <c r="M109" s="229">
        <v>-302251</v>
      </c>
      <c r="N109" s="229">
        <v>-585987</v>
      </c>
      <c r="O109" s="229">
        <v>-7302709</v>
      </c>
      <c r="P109" s="229">
        <v>-6497944</v>
      </c>
      <c r="Q109" s="229">
        <v>-6501322</v>
      </c>
      <c r="R109" s="229">
        <v>-6496726</v>
      </c>
      <c r="S109" s="229">
        <v>-7084053</v>
      </c>
      <c r="T109" s="229">
        <v>-3544</v>
      </c>
      <c r="U109" s="229">
        <v>-7145</v>
      </c>
      <c r="V109" s="229">
        <v>-10807</v>
      </c>
      <c r="W109" s="229">
        <v>-14530</v>
      </c>
      <c r="X109" s="229">
        <v>-3784</v>
      </c>
      <c r="Y109" s="229">
        <v>-10373</v>
      </c>
      <c r="Z109" s="229">
        <v>-21256</v>
      </c>
      <c r="AA109" s="229">
        <v>-37902</v>
      </c>
      <c r="AB109" s="229">
        <v>-16805</v>
      </c>
      <c r="AC109" s="229">
        <v>-633913</v>
      </c>
    </row>
    <row r="110" spans="1:29" s="165" customFormat="1" ht="13.8">
      <c r="A110" s="591" t="s">
        <v>1453</v>
      </c>
      <c r="B110" s="57" t="s">
        <v>2041</v>
      </c>
      <c r="C110" s="57"/>
      <c r="D110" s="229"/>
      <c r="E110" s="229"/>
      <c r="F110" s="229"/>
      <c r="G110" s="229"/>
      <c r="H110" s="229"/>
      <c r="I110" s="229"/>
      <c r="J110" s="229"/>
      <c r="K110" s="229">
        <v>3134112</v>
      </c>
      <c r="L110" s="229">
        <v>933060</v>
      </c>
      <c r="M110" s="229">
        <v>1082783</v>
      </c>
      <c r="N110" s="229">
        <v>1082783</v>
      </c>
      <c r="O110" s="229">
        <v>8747229</v>
      </c>
      <c r="P110" s="229">
        <v>260142</v>
      </c>
      <c r="Q110" s="229">
        <v>260000</v>
      </c>
      <c r="R110" s="229">
        <v>260000</v>
      </c>
      <c r="S110" s="229">
        <v>260000</v>
      </c>
      <c r="T110" s="229"/>
      <c r="U110" s="229"/>
      <c r="V110" s="229">
        <v>383600.00000000006</v>
      </c>
      <c r="W110" s="229">
        <v>563600</v>
      </c>
      <c r="X110" s="229"/>
      <c r="Y110" s="229">
        <v>300000</v>
      </c>
      <c r="Z110" s="229">
        <v>1091375</v>
      </c>
      <c r="AA110" s="229">
        <v>1691041</v>
      </c>
      <c r="AB110" s="229">
        <v>0</v>
      </c>
      <c r="AC110" s="229">
        <v>778380</v>
      </c>
    </row>
    <row r="111" spans="1:29" s="165" customFormat="1" ht="13.8">
      <c r="A111" s="591" t="s">
        <v>1454</v>
      </c>
      <c r="B111" s="57" t="s">
        <v>2042</v>
      </c>
      <c r="C111" s="57"/>
      <c r="D111" s="229"/>
      <c r="E111" s="229"/>
      <c r="F111" s="229"/>
      <c r="G111" s="229"/>
      <c r="H111" s="229"/>
      <c r="I111" s="229"/>
      <c r="J111" s="229"/>
      <c r="K111" s="229"/>
      <c r="L111" s="229"/>
      <c r="M111" s="229"/>
      <c r="N111" s="229"/>
      <c r="O111" s="229"/>
      <c r="P111" s="229">
        <v>6887581</v>
      </c>
      <c r="Q111" s="229">
        <v>7847299</v>
      </c>
      <c r="R111" s="229">
        <v>7847299</v>
      </c>
      <c r="S111" s="229">
        <v>10848826</v>
      </c>
      <c r="T111" s="229"/>
      <c r="U111" s="229">
        <v>2912152</v>
      </c>
      <c r="V111" s="229">
        <v>3908182</v>
      </c>
      <c r="W111" s="229">
        <v>7076938</v>
      </c>
      <c r="X111" s="229"/>
      <c r="Y111" s="229"/>
      <c r="Z111" s="229">
        <v>1443477</v>
      </c>
      <c r="AA111" s="229">
        <v>2740269</v>
      </c>
      <c r="AB111" s="229">
        <v>1543771</v>
      </c>
      <c r="AC111" s="229">
        <v>1543770</v>
      </c>
    </row>
    <row r="112" spans="1:29" s="165" customFormat="1" ht="13.8">
      <c r="A112" s="591" t="s">
        <v>1455</v>
      </c>
      <c r="B112" s="57" t="s">
        <v>2043</v>
      </c>
      <c r="C112" s="57"/>
      <c r="D112" s="229"/>
      <c r="E112" s="229"/>
      <c r="F112" s="229"/>
      <c r="G112" s="229"/>
      <c r="H112" s="229"/>
      <c r="I112" s="229"/>
      <c r="J112" s="229"/>
      <c r="K112" s="229"/>
      <c r="L112" s="229"/>
      <c r="M112" s="229"/>
      <c r="N112" s="229"/>
      <c r="O112" s="229"/>
      <c r="P112" s="229"/>
      <c r="Q112" s="229"/>
      <c r="R112" s="229"/>
      <c r="S112" s="229">
        <v>-1406342</v>
      </c>
      <c r="T112" s="229">
        <v>-240</v>
      </c>
      <c r="U112" s="229">
        <v>-1364986</v>
      </c>
      <c r="V112" s="229">
        <v>-2845441</v>
      </c>
      <c r="W112" s="229">
        <v>-5593658</v>
      </c>
      <c r="X112" s="229"/>
      <c r="Y112" s="229"/>
      <c r="Z112" s="229"/>
      <c r="AA112" s="229">
        <v>-1852910</v>
      </c>
      <c r="AB112" s="229"/>
      <c r="AC112" s="229"/>
    </row>
    <row r="113" spans="1:29" s="165" customFormat="1" ht="13.8">
      <c r="A113" s="591" t="s">
        <v>1456</v>
      </c>
      <c r="B113" s="57" t="s">
        <v>2045</v>
      </c>
      <c r="C113" s="57"/>
      <c r="D113" s="229"/>
      <c r="E113" s="229"/>
      <c r="F113" s="229"/>
      <c r="G113" s="229"/>
      <c r="H113" s="229"/>
      <c r="I113" s="229"/>
      <c r="J113" s="229"/>
      <c r="K113" s="229"/>
      <c r="L113" s="229"/>
      <c r="M113" s="229"/>
      <c r="N113" s="229"/>
      <c r="O113" s="229"/>
      <c r="P113" s="229"/>
      <c r="Q113" s="229"/>
      <c r="R113" s="229"/>
      <c r="S113" s="229"/>
      <c r="T113" s="229"/>
      <c r="U113" s="229"/>
      <c r="V113" s="229"/>
      <c r="W113" s="229"/>
      <c r="X113" s="229"/>
      <c r="Y113" s="229"/>
      <c r="Z113" s="229"/>
      <c r="AA113" s="229"/>
      <c r="AB113" s="229"/>
      <c r="AC113" s="229"/>
    </row>
    <row r="114" spans="1:29" s="165" customFormat="1" ht="13.8">
      <c r="A114" s="591" t="s">
        <v>1457</v>
      </c>
      <c r="B114" s="57" t="s">
        <v>2044</v>
      </c>
      <c r="C114" s="57"/>
      <c r="D114" s="229"/>
      <c r="E114" s="229"/>
      <c r="F114" s="229"/>
      <c r="G114" s="229"/>
      <c r="H114" s="229"/>
      <c r="I114" s="229"/>
      <c r="J114" s="229"/>
      <c r="K114" s="229">
        <v>-17342</v>
      </c>
      <c r="L114" s="229">
        <v>-3019</v>
      </c>
      <c r="M114" s="229">
        <v>-1614</v>
      </c>
      <c r="N114" s="229"/>
      <c r="O114" s="229">
        <v>-16801</v>
      </c>
      <c r="P114" s="229">
        <v>-3827</v>
      </c>
      <c r="Q114" s="229">
        <v>-7444</v>
      </c>
      <c r="R114" s="229">
        <v>-11118</v>
      </c>
      <c r="S114" s="229">
        <v>-14995</v>
      </c>
      <c r="T114" s="229">
        <v>-3727</v>
      </c>
      <c r="U114" s="229">
        <v>-6402</v>
      </c>
      <c r="V114" s="229">
        <v>-6190</v>
      </c>
      <c r="W114" s="229">
        <v>-6464</v>
      </c>
      <c r="X114" s="229">
        <v>-251</v>
      </c>
      <c r="Y114" s="229">
        <v>-561</v>
      </c>
      <c r="Z114" s="229">
        <v>-905</v>
      </c>
      <c r="AA114" s="229">
        <v>-1230</v>
      </c>
      <c r="AB114" s="229">
        <v>-328</v>
      </c>
      <c r="AC114" s="229">
        <v>-656</v>
      </c>
    </row>
    <row r="115" spans="1:29" s="165" customFormat="1" ht="13.8">
      <c r="A115" s="591" t="s">
        <v>1458</v>
      </c>
      <c r="B115" s="57" t="s">
        <v>2045</v>
      </c>
      <c r="C115" s="57"/>
      <c r="D115" s="229"/>
      <c r="E115" s="229"/>
      <c r="F115" s="229"/>
      <c r="G115" s="229"/>
      <c r="H115" s="229"/>
      <c r="I115" s="229"/>
      <c r="J115" s="229"/>
      <c r="K115" s="229">
        <v>37196</v>
      </c>
      <c r="L115" s="229"/>
      <c r="M115" s="229"/>
      <c r="N115" s="229">
        <v>46778</v>
      </c>
      <c r="O115" s="229">
        <v>46779</v>
      </c>
      <c r="P115" s="229"/>
      <c r="Q115" s="229"/>
      <c r="R115" s="229"/>
      <c r="S115" s="229"/>
      <c r="T115" s="229"/>
      <c r="U115" s="229"/>
      <c r="V115" s="229"/>
      <c r="W115" s="229"/>
      <c r="X115" s="229"/>
      <c r="Y115" s="229"/>
      <c r="Z115" s="229"/>
      <c r="AA115" s="229"/>
      <c r="AB115" s="229"/>
      <c r="AC115" s="229"/>
    </row>
    <row r="116" spans="1:29" s="165" customFormat="1" ht="13.8">
      <c r="A116" s="591" t="s">
        <v>1459</v>
      </c>
      <c r="B116" s="57" t="s">
        <v>2046</v>
      </c>
      <c r="C116" s="57"/>
      <c r="D116" s="229"/>
      <c r="E116" s="229"/>
      <c r="F116" s="229"/>
      <c r="G116" s="229"/>
      <c r="H116" s="229"/>
      <c r="I116" s="229"/>
      <c r="J116" s="229"/>
      <c r="K116" s="229"/>
      <c r="L116" s="229"/>
      <c r="M116" s="229"/>
      <c r="N116" s="229"/>
      <c r="O116" s="229"/>
      <c r="P116" s="229"/>
      <c r="Q116" s="229"/>
      <c r="R116" s="229"/>
      <c r="S116" s="229"/>
      <c r="T116" s="229"/>
      <c r="U116" s="229"/>
      <c r="V116" s="229"/>
      <c r="W116" s="229"/>
      <c r="X116" s="229"/>
      <c r="Y116" s="229"/>
      <c r="Z116" s="229"/>
      <c r="AA116" s="229"/>
      <c r="AB116" s="229"/>
      <c r="AC116" s="229"/>
    </row>
    <row r="117" spans="1:29" s="165" customFormat="1" ht="13.8">
      <c r="A117" s="591" t="s">
        <v>1460</v>
      </c>
      <c r="B117" s="57" t="s">
        <v>2047</v>
      </c>
      <c r="C117" s="57"/>
      <c r="D117" s="229"/>
      <c r="E117" s="229"/>
      <c r="F117" s="229"/>
      <c r="G117" s="229"/>
      <c r="H117" s="229"/>
      <c r="I117" s="229"/>
      <c r="J117" s="229"/>
      <c r="K117" s="229"/>
      <c r="L117" s="229"/>
      <c r="M117" s="229"/>
      <c r="N117" s="229"/>
      <c r="O117" s="229"/>
      <c r="P117" s="229"/>
      <c r="Q117" s="229"/>
      <c r="R117" s="229"/>
      <c r="S117" s="229"/>
      <c r="T117" s="229"/>
      <c r="U117" s="229"/>
      <c r="V117" s="229"/>
      <c r="W117" s="229"/>
      <c r="X117" s="229"/>
      <c r="Y117" s="229"/>
      <c r="Z117" s="229"/>
      <c r="AA117" s="229"/>
      <c r="AB117" s="229"/>
      <c r="AC117" s="229"/>
    </row>
    <row r="118" spans="1:29" s="165" customFormat="1" ht="13.8">
      <c r="A118" s="599" t="s">
        <v>1461</v>
      </c>
      <c r="B118" s="57" t="s">
        <v>2048</v>
      </c>
      <c r="C118" s="57"/>
      <c r="D118" s="229"/>
      <c r="E118" s="229"/>
      <c r="F118" s="229"/>
      <c r="G118" s="229"/>
      <c r="H118" s="229"/>
      <c r="I118" s="229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29"/>
      <c r="U118" s="229"/>
      <c r="V118" s="229"/>
      <c r="W118" s="229"/>
      <c r="X118" s="229"/>
      <c r="Y118" s="229"/>
      <c r="Z118" s="229"/>
      <c r="AA118" s="229"/>
      <c r="AB118" s="229"/>
      <c r="AC118" s="229"/>
    </row>
    <row r="119" spans="1:29" s="165" customFormat="1" ht="13.8">
      <c r="A119" s="591" t="s">
        <v>1462</v>
      </c>
      <c r="B119" s="57" t="s">
        <v>2049</v>
      </c>
      <c r="C119" s="57"/>
      <c r="D119" s="229"/>
      <c r="E119" s="229"/>
      <c r="F119" s="229"/>
      <c r="G119" s="229"/>
      <c r="H119" s="229"/>
      <c r="I119" s="57"/>
      <c r="J119" s="229"/>
      <c r="K119" s="229"/>
      <c r="L119" s="229"/>
      <c r="M119" s="229"/>
      <c r="N119" s="229"/>
      <c r="O119" s="229"/>
      <c r="P119" s="229"/>
      <c r="Q119" s="229"/>
      <c r="R119" s="229"/>
      <c r="S119" s="229"/>
      <c r="T119" s="229"/>
      <c r="U119" s="229"/>
      <c r="V119" s="229"/>
      <c r="W119" s="229"/>
      <c r="X119" s="229"/>
      <c r="Y119" s="229"/>
      <c r="Z119" s="229"/>
      <c r="AA119" s="229"/>
      <c r="AB119" s="229"/>
      <c r="AC119" s="229"/>
    </row>
    <row r="120" spans="1:29" s="165" customFormat="1" ht="13.8">
      <c r="A120" s="591" t="s">
        <v>1463</v>
      </c>
      <c r="B120" s="57" t="s">
        <v>2050</v>
      </c>
      <c r="C120" s="57"/>
      <c r="D120" s="229"/>
      <c r="E120" s="229"/>
      <c r="F120" s="229"/>
      <c r="G120" s="229"/>
      <c r="H120" s="229"/>
      <c r="I120" s="229"/>
      <c r="J120" s="229"/>
      <c r="K120" s="229"/>
      <c r="L120" s="229"/>
      <c r="M120" s="229"/>
      <c r="N120" s="229"/>
      <c r="O120" s="229"/>
      <c r="P120" s="229"/>
      <c r="Q120" s="229"/>
      <c r="R120" s="229"/>
      <c r="S120" s="229"/>
      <c r="T120" s="229"/>
      <c r="U120" s="229"/>
      <c r="V120" s="229"/>
      <c r="W120" s="229"/>
      <c r="X120" s="229"/>
      <c r="Y120" s="229"/>
      <c r="Z120" s="229"/>
      <c r="AA120" s="229"/>
      <c r="AB120" s="229"/>
      <c r="AC120" s="229"/>
    </row>
    <row r="121" spans="1:29" s="165" customFormat="1" ht="13.8">
      <c r="A121" s="591" t="s">
        <v>1464</v>
      </c>
      <c r="B121" s="57" t="s">
        <v>2051</v>
      </c>
      <c r="C121" s="57"/>
      <c r="D121" s="229"/>
      <c r="E121" s="229"/>
      <c r="F121" s="229"/>
      <c r="G121" s="229"/>
      <c r="H121" s="229"/>
      <c r="I121" s="229"/>
      <c r="J121" s="229"/>
      <c r="K121" s="229"/>
      <c r="L121" s="229"/>
      <c r="M121" s="229"/>
      <c r="N121" s="229"/>
      <c r="O121" s="229"/>
      <c r="P121" s="229"/>
      <c r="Q121" s="229"/>
      <c r="R121" s="229"/>
      <c r="S121" s="229"/>
      <c r="T121" s="229"/>
      <c r="U121" s="229"/>
      <c r="V121" s="229"/>
      <c r="W121" s="229"/>
      <c r="X121" s="229"/>
      <c r="Y121" s="229"/>
      <c r="Z121" s="229"/>
      <c r="AA121" s="229"/>
      <c r="AB121" s="229"/>
      <c r="AC121" s="229"/>
    </row>
    <row r="122" spans="1:29" s="165" customFormat="1" ht="13.8">
      <c r="A122" s="591" t="s">
        <v>1465</v>
      </c>
      <c r="B122" s="57" t="s">
        <v>2052</v>
      </c>
      <c r="C122" s="57"/>
      <c r="D122" s="229"/>
      <c r="E122" s="229"/>
      <c r="F122" s="229"/>
      <c r="G122" s="229"/>
      <c r="H122" s="229"/>
      <c r="I122" s="229"/>
      <c r="J122" s="229"/>
      <c r="K122" s="229"/>
      <c r="L122" s="229"/>
      <c r="M122" s="229"/>
      <c r="N122" s="229"/>
      <c r="O122" s="229"/>
      <c r="P122" s="229"/>
      <c r="Q122" s="229"/>
      <c r="R122" s="229"/>
      <c r="S122" s="229"/>
      <c r="T122" s="229"/>
      <c r="U122" s="229"/>
      <c r="V122" s="229"/>
      <c r="W122" s="229"/>
      <c r="X122" s="229"/>
      <c r="Y122" s="229"/>
      <c r="Z122" s="229"/>
      <c r="AA122" s="229"/>
      <c r="AB122" s="229"/>
      <c r="AC122" s="229"/>
    </row>
    <row r="123" spans="1:29" s="578" customFormat="1" thickBot="1">
      <c r="A123" s="596" t="s">
        <v>1466</v>
      </c>
      <c r="B123" s="596"/>
      <c r="C123" s="596"/>
      <c r="D123" s="597">
        <f t="shared" ref="D123:X123" si="8">SUM(D109:D121)</f>
        <v>0</v>
      </c>
      <c r="E123" s="597">
        <f t="shared" si="8"/>
        <v>0</v>
      </c>
      <c r="F123" s="597">
        <f t="shared" si="8"/>
        <v>0</v>
      </c>
      <c r="G123" s="597">
        <f t="shared" si="8"/>
        <v>0</v>
      </c>
      <c r="H123" s="597">
        <f t="shared" si="8"/>
        <v>0</v>
      </c>
      <c r="I123" s="597">
        <f>SUM(I108:I121)</f>
        <v>0</v>
      </c>
      <c r="J123" s="597">
        <f t="shared" si="8"/>
        <v>0</v>
      </c>
      <c r="K123" s="597">
        <f t="shared" si="8"/>
        <v>2612552</v>
      </c>
      <c r="L123" s="597">
        <f t="shared" si="8"/>
        <v>665929</v>
      </c>
      <c r="M123" s="597">
        <f t="shared" si="8"/>
        <v>778918</v>
      </c>
      <c r="N123" s="597">
        <f t="shared" si="8"/>
        <v>543574</v>
      </c>
      <c r="O123" s="597">
        <f t="shared" si="8"/>
        <v>1474498</v>
      </c>
      <c r="P123" s="597">
        <f t="shared" si="8"/>
        <v>645952</v>
      </c>
      <c r="Q123" s="597">
        <f t="shared" si="8"/>
        <v>1598533</v>
      </c>
      <c r="R123" s="597">
        <f t="shared" si="8"/>
        <v>1599455</v>
      </c>
      <c r="S123" s="597">
        <f t="shared" si="8"/>
        <v>2603436</v>
      </c>
      <c r="T123" s="597">
        <f t="shared" si="8"/>
        <v>-7511</v>
      </c>
      <c r="U123" s="597">
        <f t="shared" si="8"/>
        <v>1533619</v>
      </c>
      <c r="V123" s="597">
        <f t="shared" si="8"/>
        <v>1429344</v>
      </c>
      <c r="W123" s="597">
        <f t="shared" si="8"/>
        <v>2025886</v>
      </c>
      <c r="X123" s="597">
        <f t="shared" si="8"/>
        <v>-4035</v>
      </c>
      <c r="Y123" s="597">
        <f>SUM(Y109:Y121)</f>
        <v>289066</v>
      </c>
      <c r="Z123" s="597">
        <f>SUM(Z109:Z121)</f>
        <v>2512691</v>
      </c>
      <c r="AA123" s="597">
        <f>SUM(AA109:AA121)</f>
        <v>2539268</v>
      </c>
      <c r="AB123" s="597">
        <f>SUM(AB109:AB121)</f>
        <v>1526638</v>
      </c>
      <c r="AC123" s="597">
        <f>SUM(AC109:AC121)</f>
        <v>1687581</v>
      </c>
    </row>
    <row r="124" spans="1:29" s="165" customFormat="1" ht="13.8">
      <c r="A124" s="57"/>
      <c r="B124" s="57"/>
      <c r="C124" s="57"/>
      <c r="D124" s="229"/>
      <c r="E124" s="229"/>
      <c r="F124" s="229"/>
      <c r="G124" s="229"/>
      <c r="H124" s="229"/>
      <c r="I124" s="229"/>
      <c r="J124" s="229"/>
      <c r="K124" s="229"/>
      <c r="L124" s="229"/>
      <c r="M124" s="229"/>
      <c r="N124" s="229"/>
      <c r="O124" s="229"/>
      <c r="P124" s="229"/>
      <c r="Q124" s="229"/>
      <c r="R124" s="229"/>
      <c r="S124" s="229"/>
      <c r="T124" s="229"/>
      <c r="U124" s="229"/>
      <c r="V124" s="229"/>
      <c r="W124" s="229"/>
      <c r="X124" s="229"/>
      <c r="Y124" s="229"/>
      <c r="Z124" s="229"/>
      <c r="AA124" s="229"/>
      <c r="AB124" s="229"/>
      <c r="AC124" s="229"/>
    </row>
    <row r="125" spans="1:29" s="578" customFormat="1" ht="13.8">
      <c r="A125" s="592" t="s">
        <v>1467</v>
      </c>
      <c r="B125" s="592" t="s">
        <v>2053</v>
      </c>
      <c r="C125" s="592"/>
      <c r="D125" s="593">
        <f t="shared" ref="D125:X125" si="9">+D86+D106+D123</f>
        <v>0</v>
      </c>
      <c r="E125" s="593">
        <f t="shared" si="9"/>
        <v>0</v>
      </c>
      <c r="F125" s="593">
        <f t="shared" si="9"/>
        <v>0</v>
      </c>
      <c r="G125" s="593">
        <f t="shared" si="9"/>
        <v>0</v>
      </c>
      <c r="H125" s="593">
        <f t="shared" si="9"/>
        <v>0</v>
      </c>
      <c r="I125" s="593">
        <f t="shared" si="9"/>
        <v>0</v>
      </c>
      <c r="J125" s="593">
        <f t="shared" si="9"/>
        <v>0</v>
      </c>
      <c r="K125" s="593">
        <f t="shared" si="9"/>
        <v>217682</v>
      </c>
      <c r="L125" s="593">
        <f t="shared" si="9"/>
        <v>72153</v>
      </c>
      <c r="M125" s="593">
        <f t="shared" si="9"/>
        <v>219490</v>
      </c>
      <c r="N125" s="593">
        <f t="shared" si="9"/>
        <v>-221619</v>
      </c>
      <c r="O125" s="593">
        <f t="shared" si="9"/>
        <v>-267826</v>
      </c>
      <c r="P125" s="593">
        <f t="shared" si="9"/>
        <v>72115</v>
      </c>
      <c r="Q125" s="593">
        <f t="shared" si="9"/>
        <v>736082</v>
      </c>
      <c r="R125" s="593">
        <f t="shared" si="9"/>
        <v>291092</v>
      </c>
      <c r="S125" s="593">
        <f t="shared" si="9"/>
        <v>348527</v>
      </c>
      <c r="T125" s="593">
        <f t="shared" si="9"/>
        <v>-367129</v>
      </c>
      <c r="U125" s="593">
        <f t="shared" si="9"/>
        <v>-343089</v>
      </c>
      <c r="V125" s="593">
        <f t="shared" si="9"/>
        <v>-278900</v>
      </c>
      <c r="W125" s="593">
        <f>+W86+W106+W123</f>
        <v>-346952</v>
      </c>
      <c r="X125" s="593">
        <f t="shared" si="9"/>
        <v>14554</v>
      </c>
      <c r="Y125" s="593">
        <f>+Y86+Y106+Y123</f>
        <v>60243</v>
      </c>
      <c r="Z125" s="593">
        <f>+Z86+Z106+Z123</f>
        <v>-33557</v>
      </c>
      <c r="AA125" s="593">
        <f>+AA86+AA106+AA123</f>
        <v>-42815</v>
      </c>
      <c r="AB125" s="593">
        <f>+AB86+AB106+AB123</f>
        <v>811374</v>
      </c>
      <c r="AC125" s="593">
        <f>+AC86+AC106+AC123</f>
        <v>958288</v>
      </c>
    </row>
    <row r="126" spans="1:29" s="165" customFormat="1" ht="13.8">
      <c r="A126" s="57"/>
      <c r="B126" s="57"/>
      <c r="C126" s="57"/>
      <c r="D126" s="229"/>
      <c r="E126" s="229"/>
      <c r="F126" s="229"/>
      <c r="G126" s="229"/>
      <c r="H126" s="229"/>
      <c r="I126" s="229"/>
      <c r="J126" s="229"/>
      <c r="K126" s="229"/>
      <c r="L126" s="229"/>
      <c r="M126" s="229"/>
      <c r="N126" s="229"/>
      <c r="O126" s="229"/>
      <c r="P126" s="229"/>
      <c r="Q126" s="229"/>
      <c r="R126" s="229"/>
      <c r="S126" s="229"/>
      <c r="T126" s="229"/>
      <c r="U126" s="229"/>
      <c r="V126" s="229"/>
      <c r="W126" s="229"/>
      <c r="X126" s="229"/>
      <c r="Y126" s="229"/>
      <c r="Z126" s="229"/>
      <c r="AA126" s="229"/>
      <c r="AB126" s="229"/>
      <c r="AC126" s="229"/>
    </row>
    <row r="127" spans="1:29" s="165" customFormat="1" ht="13.8">
      <c r="A127" s="600" t="s">
        <v>1468</v>
      </c>
      <c r="B127" s="57" t="s">
        <v>2054</v>
      </c>
      <c r="C127" s="57"/>
      <c r="D127" s="229"/>
      <c r="E127" s="229"/>
      <c r="F127" s="229"/>
      <c r="G127" s="229"/>
      <c r="H127" s="229"/>
      <c r="I127" s="229"/>
      <c r="J127" s="229"/>
      <c r="K127" s="229">
        <v>133598</v>
      </c>
      <c r="L127" s="229">
        <v>302147</v>
      </c>
      <c r="M127" s="229">
        <v>302147</v>
      </c>
      <c r="N127" s="229">
        <v>302147</v>
      </c>
      <c r="O127" s="229">
        <v>351280</v>
      </c>
      <c r="P127" s="229">
        <v>83454</v>
      </c>
      <c r="Q127" s="229">
        <v>83454</v>
      </c>
      <c r="R127" s="229">
        <v>83454</v>
      </c>
      <c r="S127" s="229">
        <v>83454</v>
      </c>
      <c r="T127" s="229">
        <v>431981</v>
      </c>
      <c r="U127" s="229">
        <v>431981</v>
      </c>
      <c r="V127" s="229">
        <v>431981</v>
      </c>
      <c r="W127" s="229">
        <v>431981</v>
      </c>
      <c r="X127" s="229">
        <v>85029</v>
      </c>
      <c r="Y127" s="229">
        <v>85029</v>
      </c>
      <c r="Z127" s="229">
        <v>85029</v>
      </c>
      <c r="AA127" s="229">
        <v>85029</v>
      </c>
      <c r="AB127" s="229">
        <v>42214</v>
      </c>
      <c r="AC127" s="229">
        <v>42214</v>
      </c>
    </row>
    <row r="128" spans="1:29" s="165" customFormat="1" ht="13.8">
      <c r="A128" s="600" t="s">
        <v>1469</v>
      </c>
      <c r="B128" s="57" t="s">
        <v>2055</v>
      </c>
      <c r="C128" s="57"/>
      <c r="D128" s="229"/>
      <c r="E128" s="229"/>
      <c r="F128" s="229"/>
      <c r="G128" s="229"/>
      <c r="H128" s="229"/>
      <c r="I128" s="229"/>
      <c r="J128" s="229"/>
      <c r="K128" s="229">
        <v>351280</v>
      </c>
      <c r="L128" s="229">
        <v>374300</v>
      </c>
      <c r="M128" s="229">
        <v>521637</v>
      </c>
      <c r="N128" s="229">
        <v>80528</v>
      </c>
      <c r="O128" s="229">
        <v>83454</v>
      </c>
      <c r="P128" s="229">
        <v>155569</v>
      </c>
      <c r="Q128" s="229">
        <v>819536</v>
      </c>
      <c r="R128" s="229">
        <v>374546</v>
      </c>
      <c r="S128" s="229">
        <v>431981</v>
      </c>
      <c r="T128" s="229">
        <v>64852</v>
      </c>
      <c r="U128" s="229">
        <v>88892</v>
      </c>
      <c r="V128" s="229">
        <v>153081</v>
      </c>
      <c r="W128" s="229">
        <v>85029</v>
      </c>
      <c r="X128" s="229">
        <v>99583</v>
      </c>
      <c r="Y128" s="229">
        <v>145272</v>
      </c>
      <c r="Z128" s="229">
        <v>51472</v>
      </c>
      <c r="AA128" s="229">
        <v>42214</v>
      </c>
      <c r="AB128" s="229">
        <v>853588</v>
      </c>
      <c r="AC128" s="229">
        <v>1000502</v>
      </c>
    </row>
    <row r="130" spans="1:29" s="578" customFormat="1" thickBot="1">
      <c r="A130" s="596" t="s">
        <v>1467</v>
      </c>
      <c r="B130" s="596" t="s">
        <v>2053</v>
      </c>
      <c r="C130" s="596"/>
      <c r="D130" s="597">
        <f t="shared" ref="D130:Y130" si="10">+D128-D127</f>
        <v>0</v>
      </c>
      <c r="E130" s="597">
        <f t="shared" si="10"/>
        <v>0</v>
      </c>
      <c r="F130" s="597">
        <f t="shared" si="10"/>
        <v>0</v>
      </c>
      <c r="G130" s="597">
        <f t="shared" si="10"/>
        <v>0</v>
      </c>
      <c r="H130" s="597">
        <f t="shared" si="10"/>
        <v>0</v>
      </c>
      <c r="I130" s="597">
        <f t="shared" si="10"/>
        <v>0</v>
      </c>
      <c r="J130" s="597">
        <f t="shared" si="10"/>
        <v>0</v>
      </c>
      <c r="K130" s="597">
        <f t="shared" si="10"/>
        <v>217682</v>
      </c>
      <c r="L130" s="597">
        <f t="shared" si="10"/>
        <v>72153</v>
      </c>
      <c r="M130" s="597">
        <f t="shared" si="10"/>
        <v>219490</v>
      </c>
      <c r="N130" s="597">
        <f t="shared" si="10"/>
        <v>-221619</v>
      </c>
      <c r="O130" s="597">
        <f t="shared" si="10"/>
        <v>-267826</v>
      </c>
      <c r="P130" s="597">
        <f t="shared" si="10"/>
        <v>72115</v>
      </c>
      <c r="Q130" s="597">
        <f t="shared" si="10"/>
        <v>736082</v>
      </c>
      <c r="R130" s="597">
        <f t="shared" si="10"/>
        <v>291092</v>
      </c>
      <c r="S130" s="597">
        <f t="shared" si="10"/>
        <v>348527</v>
      </c>
      <c r="T130" s="597">
        <f t="shared" si="10"/>
        <v>-367129</v>
      </c>
      <c r="U130" s="597">
        <f t="shared" si="10"/>
        <v>-343089</v>
      </c>
      <c r="V130" s="597">
        <f t="shared" si="10"/>
        <v>-278900</v>
      </c>
      <c r="W130" s="597">
        <f t="shared" si="10"/>
        <v>-346952</v>
      </c>
      <c r="X130" s="597">
        <f t="shared" si="10"/>
        <v>14554</v>
      </c>
      <c r="Y130" s="597">
        <f t="shared" si="10"/>
        <v>60243</v>
      </c>
      <c r="Z130" s="597">
        <f t="shared" ref="Z130:AC130" si="11">+Z128-Z127</f>
        <v>-33557</v>
      </c>
      <c r="AA130" s="597">
        <f t="shared" si="11"/>
        <v>-42815</v>
      </c>
      <c r="AB130" s="597">
        <f t="shared" si="11"/>
        <v>811374</v>
      </c>
      <c r="AC130" s="597">
        <f t="shared" si="11"/>
        <v>958288</v>
      </c>
    </row>
  </sheetData>
  <phoneticPr fontId="30" type="noConversion"/>
  <hyperlinks>
    <hyperlink ref="B122" r:id="rId1" display="https://www.lawinsider.com/clause/advance-for-future-capital-increase-afac" xr:uid="{00000000-0004-0000-4D00-000000000000}"/>
  </hyperlinks>
  <pageMargins left="0.511811024" right="0.511811024" top="0.78740157499999996" bottom="0.78740157499999996" header="0.31496062000000002" footer="0.31496062000000002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tabColor theme="9" tint="0.79998168889431442"/>
  </sheetPr>
  <dimension ref="A6:AC129"/>
  <sheetViews>
    <sheetView showGridLines="0" zoomScale="85" zoomScaleNormal="85" workbookViewId="0">
      <pane xSplit="1" ySplit="7" topLeftCell="X188" activePane="bottomRight" state="frozen"/>
      <selection pane="topRight" activeCell="B1" sqref="B1"/>
      <selection pane="bottomLeft" activeCell="A8" sqref="A8"/>
      <selection pane="bottomRight" activeCell="AC37" sqref="AC37"/>
    </sheetView>
  </sheetViews>
  <sheetFormatPr defaultColWidth="9.21875" defaultRowHeight="14.4" outlineLevelCol="1"/>
  <cols>
    <col min="1" max="1" width="70.77734375" style="35" bestFit="1" customWidth="1"/>
    <col min="2" max="2" width="75.88671875" style="35" bestFit="1" customWidth="1"/>
    <col min="3" max="3" width="0.5546875" style="35" customWidth="1"/>
    <col min="4" max="5" width="10.5546875" style="35" hidden="1" customWidth="1" outlineLevel="1"/>
    <col min="6" max="7" width="11.44140625" style="35" hidden="1" customWidth="1" outlineLevel="1"/>
    <col min="8" max="8" width="11.44140625" style="35" customWidth="1" collapsed="1"/>
    <col min="9" max="10" width="11.44140625" style="35" customWidth="1"/>
    <col min="11" max="29" width="11.44140625" style="35" bestFit="1" customWidth="1"/>
    <col min="30" max="16384" width="9.21875" style="35"/>
  </cols>
  <sheetData>
    <row r="6" spans="1:29">
      <c r="A6" s="38" t="s">
        <v>1481</v>
      </c>
      <c r="B6" s="38" t="s">
        <v>1481</v>
      </c>
      <c r="C6" s="348"/>
      <c r="D6" s="399"/>
      <c r="E6" s="399"/>
      <c r="F6" s="399"/>
      <c r="G6" s="399"/>
      <c r="H6" s="399"/>
      <c r="I6" s="399"/>
      <c r="J6" s="399"/>
      <c r="K6" s="601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399"/>
    </row>
    <row r="7" spans="1:29">
      <c r="A7" s="441" t="s">
        <v>1365</v>
      </c>
      <c r="B7" s="441" t="s">
        <v>1366</v>
      </c>
      <c r="C7" s="602"/>
      <c r="D7" s="603" t="s">
        <v>67</v>
      </c>
      <c r="E7" s="603" t="s">
        <v>68</v>
      </c>
      <c r="F7" s="603" t="s">
        <v>69</v>
      </c>
      <c r="G7" s="603" t="s">
        <v>70</v>
      </c>
      <c r="H7" s="603" t="s">
        <v>1367</v>
      </c>
      <c r="I7" s="603" t="s">
        <v>1368</v>
      </c>
      <c r="J7" s="603" t="s">
        <v>1369</v>
      </c>
      <c r="K7" s="604" t="s">
        <v>1370</v>
      </c>
      <c r="L7" s="603" t="s">
        <v>584</v>
      </c>
      <c r="M7" s="603" t="s">
        <v>585</v>
      </c>
      <c r="N7" s="603" t="s">
        <v>586</v>
      </c>
      <c r="O7" s="604" t="s">
        <v>1371</v>
      </c>
      <c r="P7" s="603" t="s">
        <v>587</v>
      </c>
      <c r="Q7" s="603" t="s">
        <v>588</v>
      </c>
      <c r="R7" s="603" t="s">
        <v>589</v>
      </c>
      <c r="S7" s="604" t="s">
        <v>1372</v>
      </c>
      <c r="T7" s="603" t="s">
        <v>590</v>
      </c>
      <c r="U7" s="603" t="s">
        <v>591</v>
      </c>
      <c r="V7" s="603" t="s">
        <v>592</v>
      </c>
      <c r="W7" s="604" t="s">
        <v>1373</v>
      </c>
      <c r="X7" s="603" t="s">
        <v>593</v>
      </c>
      <c r="Y7" s="603" t="s">
        <v>594</v>
      </c>
      <c r="Z7" s="603" t="s">
        <v>595</v>
      </c>
      <c r="AA7" s="604" t="s">
        <v>2151</v>
      </c>
      <c r="AB7" s="604" t="s">
        <v>2488</v>
      </c>
      <c r="AC7" s="604" t="s">
        <v>2497</v>
      </c>
    </row>
    <row r="8" spans="1:29" s="57" customFormat="1" ht="13.8">
      <c r="A8" s="134" t="s">
        <v>1374</v>
      </c>
      <c r="B8" s="134" t="s">
        <v>2034</v>
      </c>
      <c r="T8" s="229"/>
    </row>
    <row r="9" spans="1:29" s="589" customFormat="1" ht="13.8">
      <c r="A9" s="588" t="s">
        <v>776</v>
      </c>
      <c r="B9" s="589" t="s">
        <v>1375</v>
      </c>
      <c r="H9" s="590"/>
      <c r="I9" s="590"/>
      <c r="J9" s="590"/>
      <c r="K9" s="590"/>
      <c r="L9" s="590">
        <v>-28397</v>
      </c>
      <c r="M9" s="590">
        <v>-63628</v>
      </c>
      <c r="N9" s="590">
        <v>-108534</v>
      </c>
      <c r="O9" s="590">
        <v>-146155</v>
      </c>
      <c r="P9" s="590">
        <v>-47456</v>
      </c>
      <c r="Q9" s="590">
        <v>-104402</v>
      </c>
      <c r="R9" s="590">
        <v>-171121</v>
      </c>
      <c r="S9" s="590">
        <v>-234079</v>
      </c>
      <c r="T9" s="590">
        <v>-56929</v>
      </c>
      <c r="U9" s="590">
        <v>-106010</v>
      </c>
      <c r="V9" s="590">
        <v>-149975</v>
      </c>
      <c r="W9" s="590">
        <v>-201921</v>
      </c>
      <c r="X9" s="590">
        <v>-58858</v>
      </c>
      <c r="Y9" s="590">
        <v>-105949</v>
      </c>
      <c r="Z9" s="590">
        <v>-151232</v>
      </c>
      <c r="AA9" s="590">
        <v>-486060</v>
      </c>
      <c r="AB9" s="590">
        <v>-39706</v>
      </c>
      <c r="AC9" s="590">
        <v>-93745</v>
      </c>
    </row>
    <row r="10" spans="1:29" s="57" customFormat="1" ht="13.8">
      <c r="A10" s="104" t="s">
        <v>1376</v>
      </c>
      <c r="B10" s="57" t="s">
        <v>1377</v>
      </c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590"/>
    </row>
    <row r="11" spans="1:29" s="57" customFormat="1" ht="13.8">
      <c r="A11" s="591" t="s">
        <v>1378</v>
      </c>
      <c r="B11" s="57" t="s">
        <v>1379</v>
      </c>
      <c r="H11" s="229"/>
      <c r="I11" s="229"/>
      <c r="J11" s="229"/>
      <c r="K11" s="229"/>
      <c r="L11" s="229">
        <v>0</v>
      </c>
      <c r="M11" s="229">
        <v>0</v>
      </c>
      <c r="N11" s="229">
        <v>3112</v>
      </c>
      <c r="O11" s="229">
        <v>73</v>
      </c>
      <c r="P11" s="229">
        <v>6806</v>
      </c>
      <c r="Q11" s="229">
        <v>13710</v>
      </c>
      <c r="R11" s="229">
        <v>404</v>
      </c>
      <c r="S11" s="229">
        <v>2061</v>
      </c>
      <c r="T11" s="229">
        <v>499</v>
      </c>
      <c r="U11" s="229">
        <v>1125</v>
      </c>
      <c r="V11" s="229">
        <v>1822</v>
      </c>
      <c r="W11" s="229">
        <v>2473</v>
      </c>
      <c r="X11" s="229">
        <v>789</v>
      </c>
      <c r="Y11" s="229">
        <v>1672</v>
      </c>
      <c r="Z11" s="229">
        <v>3402</v>
      </c>
      <c r="AA11" s="229">
        <v>5270</v>
      </c>
      <c r="AB11" s="229">
        <v>2085</v>
      </c>
      <c r="AC11" s="229">
        <v>4966</v>
      </c>
    </row>
    <row r="12" spans="1:29" s="57" customFormat="1" ht="13.8">
      <c r="A12" s="591" t="s">
        <v>710</v>
      </c>
      <c r="B12" s="57" t="s">
        <v>1380</v>
      </c>
      <c r="H12" s="229"/>
      <c r="I12" s="229"/>
      <c r="J12" s="229"/>
      <c r="K12" s="229"/>
      <c r="L12" s="229">
        <v>0</v>
      </c>
      <c r="M12" s="229">
        <v>0</v>
      </c>
      <c r="N12" s="229">
        <v>0</v>
      </c>
      <c r="O12" s="229">
        <v>12500</v>
      </c>
      <c r="P12" s="229">
        <v>0</v>
      </c>
      <c r="Q12" s="229">
        <v>0</v>
      </c>
      <c r="R12" s="229">
        <v>20209</v>
      </c>
      <c r="S12" s="229">
        <v>26946</v>
      </c>
      <c r="T12" s="229">
        <v>6737</v>
      </c>
      <c r="U12" s="229">
        <v>13473</v>
      </c>
      <c r="V12" s="229">
        <v>20209</v>
      </c>
      <c r="W12" s="229">
        <v>26946</v>
      </c>
      <c r="X12" s="229">
        <v>6736</v>
      </c>
      <c r="Y12" s="229">
        <v>13473</v>
      </c>
      <c r="Z12" s="229">
        <v>20209</v>
      </c>
      <c r="AA12" s="229">
        <v>26946</v>
      </c>
      <c r="AB12" s="229">
        <v>6736</v>
      </c>
      <c r="AC12" s="229">
        <v>13473</v>
      </c>
    </row>
    <row r="13" spans="1:29" s="57" customFormat="1" ht="13.8">
      <c r="A13" s="591" t="s">
        <v>1381</v>
      </c>
      <c r="B13" s="57" t="s">
        <v>1983</v>
      </c>
      <c r="H13" s="229"/>
      <c r="I13" s="229"/>
      <c r="J13" s="229"/>
      <c r="K13" s="229"/>
      <c r="L13" s="229">
        <v>0</v>
      </c>
      <c r="M13" s="229">
        <v>0</v>
      </c>
      <c r="N13" s="229">
        <v>0</v>
      </c>
      <c r="O13" s="229">
        <v>0</v>
      </c>
      <c r="P13" s="229">
        <v>0</v>
      </c>
      <c r="Q13" s="229">
        <v>0</v>
      </c>
      <c r="R13" s="229">
        <v>0</v>
      </c>
      <c r="S13" s="229">
        <v>0</v>
      </c>
      <c r="T13" s="229">
        <v>0</v>
      </c>
      <c r="U13" s="229">
        <v>0</v>
      </c>
      <c r="V13" s="229">
        <v>0</v>
      </c>
      <c r="W13" s="229">
        <v>0</v>
      </c>
      <c r="X13" s="229">
        <v>0</v>
      </c>
      <c r="Y13" s="229">
        <v>0</v>
      </c>
      <c r="Z13" s="229">
        <v>0</v>
      </c>
      <c r="AA13" s="229">
        <v>0</v>
      </c>
      <c r="AB13" s="229">
        <v>0</v>
      </c>
      <c r="AC13" s="229">
        <v>0</v>
      </c>
    </row>
    <row r="14" spans="1:29" s="57" customFormat="1" ht="13.8">
      <c r="A14" s="591" t="s">
        <v>1382</v>
      </c>
      <c r="B14" s="57" t="s">
        <v>1383</v>
      </c>
      <c r="H14" s="229"/>
      <c r="I14" s="229"/>
      <c r="J14" s="229"/>
      <c r="K14" s="229"/>
      <c r="L14" s="229">
        <v>0</v>
      </c>
      <c r="M14" s="229">
        <v>0</v>
      </c>
      <c r="N14" s="229">
        <v>0</v>
      </c>
      <c r="O14" s="229">
        <v>0</v>
      </c>
      <c r="P14" s="229">
        <v>0</v>
      </c>
      <c r="Q14" s="229">
        <v>0</v>
      </c>
      <c r="R14" s="229">
        <v>0</v>
      </c>
      <c r="S14" s="229">
        <v>0</v>
      </c>
      <c r="T14" s="229">
        <v>73</v>
      </c>
      <c r="U14" s="229">
        <v>0</v>
      </c>
      <c r="V14" s="229">
        <v>75</v>
      </c>
      <c r="W14" s="229">
        <v>229</v>
      </c>
      <c r="X14" s="229">
        <v>0</v>
      </c>
      <c r="Y14" s="229">
        <v>136</v>
      </c>
      <c r="Z14" s="229">
        <v>0</v>
      </c>
      <c r="AA14" s="229">
        <v>0</v>
      </c>
      <c r="AB14" s="229">
        <v>0</v>
      </c>
      <c r="AC14" s="229">
        <v>13268</v>
      </c>
    </row>
    <row r="15" spans="1:29" s="57" customFormat="1" ht="13.8">
      <c r="A15" s="591" t="s">
        <v>1384</v>
      </c>
      <c r="B15" s="57" t="s">
        <v>1982</v>
      </c>
      <c r="H15" s="229"/>
      <c r="I15" s="229"/>
      <c r="J15" s="229"/>
      <c r="K15" s="229"/>
      <c r="L15" s="229">
        <v>0</v>
      </c>
      <c r="M15" s="229">
        <v>0</v>
      </c>
      <c r="N15" s="229">
        <v>0</v>
      </c>
      <c r="O15" s="229">
        <v>0</v>
      </c>
      <c r="P15" s="229">
        <v>0</v>
      </c>
      <c r="Q15" s="229">
        <v>0</v>
      </c>
      <c r="R15" s="229">
        <v>0</v>
      </c>
      <c r="S15" s="229">
        <v>0</v>
      </c>
      <c r="T15" s="229">
        <v>0</v>
      </c>
      <c r="U15" s="229">
        <v>0</v>
      </c>
      <c r="V15" s="229">
        <v>0</v>
      </c>
      <c r="W15" s="229">
        <v>0</v>
      </c>
      <c r="X15" s="229">
        <v>0</v>
      </c>
      <c r="Y15" s="229">
        <v>0</v>
      </c>
      <c r="Z15" s="229">
        <v>0</v>
      </c>
      <c r="AA15" s="229">
        <v>0</v>
      </c>
      <c r="AB15" s="229">
        <v>0</v>
      </c>
      <c r="AC15" s="229">
        <v>0</v>
      </c>
    </row>
    <row r="16" spans="1:29" s="104" customFormat="1" ht="13.8">
      <c r="A16" s="591" t="s">
        <v>1385</v>
      </c>
      <c r="B16" s="57" t="s">
        <v>1386</v>
      </c>
      <c r="H16" s="138"/>
      <c r="I16" s="138"/>
      <c r="J16" s="138"/>
      <c r="K16" s="138"/>
      <c r="L16" s="229">
        <v>0</v>
      </c>
      <c r="M16" s="229">
        <v>0</v>
      </c>
      <c r="N16" s="229">
        <v>0</v>
      </c>
      <c r="O16" s="229">
        <v>0</v>
      </c>
      <c r="P16" s="229">
        <v>0</v>
      </c>
      <c r="Q16" s="229">
        <v>0</v>
      </c>
      <c r="R16" s="229">
        <v>0</v>
      </c>
      <c r="S16" s="229">
        <v>0</v>
      </c>
      <c r="T16" s="229">
        <v>0</v>
      </c>
      <c r="U16" s="229">
        <v>0</v>
      </c>
      <c r="V16" s="229">
        <v>0</v>
      </c>
      <c r="W16" s="138">
        <v>0</v>
      </c>
      <c r="X16" s="138">
        <v>0</v>
      </c>
      <c r="Y16" s="229">
        <v>0</v>
      </c>
      <c r="Z16" s="229">
        <v>0</v>
      </c>
      <c r="AA16" s="229">
        <v>0</v>
      </c>
      <c r="AB16" s="229">
        <v>0</v>
      </c>
      <c r="AC16" s="229">
        <v>0</v>
      </c>
    </row>
    <row r="17" spans="1:29" s="104" customFormat="1" ht="13.8">
      <c r="A17" s="591" t="s">
        <v>2153</v>
      </c>
      <c r="B17" s="57"/>
      <c r="H17" s="138"/>
      <c r="I17" s="138"/>
      <c r="J17" s="138"/>
      <c r="K17" s="138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138"/>
      <c r="X17" s="138"/>
      <c r="Y17" s="229"/>
      <c r="Z17" s="229"/>
      <c r="AA17" s="229">
        <v>308806</v>
      </c>
      <c r="AB17" s="229">
        <v>0</v>
      </c>
      <c r="AC17" s="229">
        <v>0</v>
      </c>
    </row>
    <row r="18" spans="1:29" s="57" customFormat="1" ht="13.8">
      <c r="A18" s="591" t="s">
        <v>1476</v>
      </c>
      <c r="B18" s="57" t="s">
        <v>1388</v>
      </c>
      <c r="H18" s="229"/>
      <c r="I18" s="229"/>
      <c r="J18" s="229"/>
      <c r="K18" s="229"/>
      <c r="L18" s="229">
        <v>0</v>
      </c>
      <c r="M18" s="229">
        <v>0</v>
      </c>
      <c r="N18" s="229">
        <v>0</v>
      </c>
      <c r="O18" s="229">
        <v>0</v>
      </c>
      <c r="P18" s="229">
        <v>0</v>
      </c>
      <c r="Q18" s="229">
        <v>0</v>
      </c>
      <c r="R18" s="229">
        <v>0</v>
      </c>
      <c r="S18" s="229">
        <v>0</v>
      </c>
      <c r="T18" s="229">
        <v>0</v>
      </c>
      <c r="U18" s="229">
        <v>0</v>
      </c>
      <c r="V18" s="229">
        <v>0</v>
      </c>
      <c r="W18" s="229">
        <v>0</v>
      </c>
      <c r="X18" s="229">
        <v>0</v>
      </c>
      <c r="Y18" s="229">
        <v>0</v>
      </c>
      <c r="Z18" s="229">
        <v>0</v>
      </c>
      <c r="AA18" s="229">
        <v>0</v>
      </c>
      <c r="AB18" s="229">
        <v>0</v>
      </c>
      <c r="AC18" s="229">
        <v>0</v>
      </c>
    </row>
    <row r="19" spans="1:29" s="57" customFormat="1" ht="13.8">
      <c r="A19" s="591" t="s">
        <v>1389</v>
      </c>
      <c r="B19" s="57" t="s">
        <v>1390</v>
      </c>
      <c r="H19" s="229"/>
      <c r="I19" s="229"/>
      <c r="J19" s="229"/>
      <c r="K19" s="229"/>
      <c r="L19" s="229">
        <v>0</v>
      </c>
      <c r="M19" s="229">
        <v>0</v>
      </c>
      <c r="N19" s="229">
        <v>0</v>
      </c>
      <c r="O19" s="229">
        <v>0</v>
      </c>
      <c r="P19" s="229">
        <v>0</v>
      </c>
      <c r="Q19" s="229">
        <v>0</v>
      </c>
      <c r="R19" s="229">
        <v>0</v>
      </c>
      <c r="S19" s="229">
        <v>0</v>
      </c>
      <c r="T19" s="229">
        <v>0</v>
      </c>
      <c r="U19" s="229">
        <v>0</v>
      </c>
      <c r="V19" s="229">
        <v>0</v>
      </c>
      <c r="W19" s="229">
        <v>0</v>
      </c>
      <c r="X19" s="229">
        <v>0</v>
      </c>
      <c r="Y19" s="229">
        <v>0</v>
      </c>
      <c r="Z19" s="229">
        <v>0</v>
      </c>
      <c r="AA19" s="229">
        <v>0</v>
      </c>
      <c r="AB19" s="229">
        <v>0</v>
      </c>
      <c r="AC19" s="229">
        <v>0</v>
      </c>
    </row>
    <row r="20" spans="1:29" s="57" customFormat="1" ht="13.8">
      <c r="A20" s="591" t="s">
        <v>610</v>
      </c>
      <c r="B20" s="57" t="s">
        <v>1391</v>
      </c>
      <c r="H20" s="229"/>
      <c r="I20" s="229"/>
      <c r="J20" s="229"/>
      <c r="K20" s="229"/>
      <c r="L20" s="229">
        <v>0</v>
      </c>
      <c r="M20" s="229">
        <v>0</v>
      </c>
      <c r="N20" s="229">
        <v>0</v>
      </c>
      <c r="O20" s="229">
        <v>0</v>
      </c>
      <c r="P20" s="229">
        <v>0</v>
      </c>
      <c r="Q20" s="229">
        <v>0</v>
      </c>
      <c r="R20" s="229">
        <v>0</v>
      </c>
      <c r="S20" s="229">
        <v>0</v>
      </c>
      <c r="T20" s="229">
        <v>0</v>
      </c>
      <c r="U20" s="229">
        <v>0</v>
      </c>
      <c r="V20" s="229">
        <v>0</v>
      </c>
      <c r="W20" s="229">
        <v>0</v>
      </c>
      <c r="X20" s="229">
        <v>0</v>
      </c>
      <c r="Y20" s="229">
        <v>0</v>
      </c>
      <c r="Z20" s="229">
        <v>0</v>
      </c>
      <c r="AA20" s="229">
        <v>0</v>
      </c>
      <c r="AB20" s="229">
        <v>0</v>
      </c>
      <c r="AC20" s="229">
        <v>0</v>
      </c>
    </row>
    <row r="21" spans="1:29" s="57" customFormat="1" ht="13.8">
      <c r="A21" s="591" t="s">
        <v>1392</v>
      </c>
      <c r="B21" s="57" t="s">
        <v>1393</v>
      </c>
      <c r="H21" s="229"/>
      <c r="I21" s="229"/>
      <c r="J21" s="229"/>
      <c r="K21" s="229"/>
      <c r="L21" s="229">
        <v>28489</v>
      </c>
      <c r="M21" s="229">
        <v>62884</v>
      </c>
      <c r="N21" s="229">
        <v>102939</v>
      </c>
      <c r="O21" s="229">
        <v>143023</v>
      </c>
      <c r="P21" s="229">
        <v>42424</v>
      </c>
      <c r="Q21" s="229">
        <v>84609</v>
      </c>
      <c r="R21" s="229">
        <v>129388</v>
      </c>
      <c r="S21" s="229">
        <v>170553</v>
      </c>
      <c r="T21" s="229">
        <v>46228</v>
      </c>
      <c r="U21" s="229">
        <v>85953</v>
      </c>
      <c r="V21" s="229">
        <v>125789</v>
      </c>
      <c r="W21" s="229">
        <v>172966</v>
      </c>
      <c r="X21" s="229">
        <v>55301</v>
      </c>
      <c r="Y21" s="229">
        <v>102719</v>
      </c>
      <c r="Z21" s="229">
        <v>142150</v>
      </c>
      <c r="AA21" s="229">
        <v>177379</v>
      </c>
      <c r="AB21" s="229">
        <v>37336</v>
      </c>
      <c r="AC21" s="229">
        <v>88475</v>
      </c>
    </row>
    <row r="22" spans="1:29" s="57" customFormat="1" ht="13.8">
      <c r="A22" s="591" t="s">
        <v>1394</v>
      </c>
      <c r="B22" s="57" t="s">
        <v>1395</v>
      </c>
      <c r="H22" s="229"/>
      <c r="I22" s="229"/>
      <c r="J22" s="229"/>
      <c r="K22" s="229"/>
      <c r="L22" s="229">
        <v>0</v>
      </c>
      <c r="M22" s="229">
        <v>0</v>
      </c>
      <c r="N22" s="229">
        <v>0</v>
      </c>
      <c r="O22" s="229">
        <v>0</v>
      </c>
      <c r="P22" s="229">
        <v>0</v>
      </c>
      <c r="Q22" s="229">
        <v>0</v>
      </c>
      <c r="R22" s="229">
        <v>0</v>
      </c>
      <c r="S22" s="229">
        <v>0</v>
      </c>
      <c r="T22" s="229">
        <v>0</v>
      </c>
      <c r="U22" s="229">
        <v>0</v>
      </c>
      <c r="V22" s="229">
        <v>0</v>
      </c>
      <c r="W22" s="229">
        <v>0</v>
      </c>
      <c r="X22" s="229">
        <v>0</v>
      </c>
      <c r="Y22" s="229">
        <v>0</v>
      </c>
      <c r="Z22" s="229">
        <v>0</v>
      </c>
      <c r="AA22" s="229">
        <v>0</v>
      </c>
      <c r="AB22" s="229">
        <v>0</v>
      </c>
      <c r="AC22" s="229">
        <v>0</v>
      </c>
    </row>
    <row r="23" spans="1:29" s="57" customFormat="1" ht="13.8">
      <c r="A23" s="591" t="s">
        <v>1396</v>
      </c>
      <c r="B23" s="57" t="s">
        <v>1397</v>
      </c>
      <c r="H23" s="229"/>
      <c r="I23" s="229"/>
      <c r="J23" s="229"/>
      <c r="K23" s="229"/>
      <c r="L23" s="229">
        <v>-1030</v>
      </c>
      <c r="M23" s="229">
        <v>-5688</v>
      </c>
      <c r="N23" s="229">
        <v>-8563</v>
      </c>
      <c r="O23" s="229">
        <v>-10304</v>
      </c>
      <c r="P23" s="229">
        <v>-1030</v>
      </c>
      <c r="Q23" s="229">
        <v>-1728</v>
      </c>
      <c r="R23" s="229">
        <v>-4080</v>
      </c>
      <c r="S23" s="229">
        <v>-11940</v>
      </c>
      <c r="T23" s="229">
        <v>-3096</v>
      </c>
      <c r="U23" s="229">
        <v>-6699</v>
      </c>
      <c r="V23" s="229">
        <v>-7504</v>
      </c>
      <c r="W23" s="229">
        <v>-6428</v>
      </c>
      <c r="X23" s="229">
        <v>-375</v>
      </c>
      <c r="Y23" s="229">
        <v>501</v>
      </c>
      <c r="Z23" s="229">
        <v>-734</v>
      </c>
      <c r="AA23" s="229">
        <v>-824</v>
      </c>
      <c r="AB23" s="229">
        <v>-100</v>
      </c>
      <c r="AC23" s="229">
        <v>-182</v>
      </c>
    </row>
    <row r="24" spans="1:29" s="57" customFormat="1" ht="13.8">
      <c r="A24" s="591" t="s">
        <v>1398</v>
      </c>
      <c r="B24" s="57" t="s">
        <v>1399</v>
      </c>
      <c r="H24" s="229"/>
      <c r="I24" s="229"/>
      <c r="J24" s="229"/>
      <c r="K24" s="229"/>
      <c r="L24" s="229">
        <v>0</v>
      </c>
      <c r="M24" s="229">
        <v>0</v>
      </c>
      <c r="N24" s="229">
        <v>0</v>
      </c>
      <c r="O24" s="229">
        <v>0</v>
      </c>
      <c r="P24" s="229">
        <v>0</v>
      </c>
      <c r="Q24" s="229">
        <v>0</v>
      </c>
      <c r="R24" s="229">
        <v>0</v>
      </c>
      <c r="S24" s="229">
        <v>0</v>
      </c>
      <c r="T24" s="229">
        <v>0</v>
      </c>
      <c r="U24" s="229">
        <v>0</v>
      </c>
      <c r="V24" s="229">
        <v>0</v>
      </c>
      <c r="W24" s="229">
        <v>0</v>
      </c>
      <c r="X24" s="229">
        <v>0</v>
      </c>
      <c r="Y24" s="229">
        <v>0</v>
      </c>
      <c r="Z24" s="229">
        <v>0</v>
      </c>
      <c r="AA24" s="229">
        <v>0</v>
      </c>
      <c r="AB24" s="229">
        <v>0</v>
      </c>
      <c r="AC24" s="229">
        <v>0</v>
      </c>
    </row>
    <row r="25" spans="1:29" s="57" customFormat="1" ht="13.8">
      <c r="A25" s="591" t="s">
        <v>1400</v>
      </c>
      <c r="B25" s="57" t="s">
        <v>1978</v>
      </c>
      <c r="H25" s="229"/>
      <c r="I25" s="229"/>
      <c r="J25" s="229"/>
      <c r="K25" s="229"/>
      <c r="L25" s="229">
        <v>0</v>
      </c>
      <c r="M25" s="229">
        <v>0</v>
      </c>
      <c r="N25" s="229">
        <v>0</v>
      </c>
      <c r="O25" s="229">
        <v>0</v>
      </c>
      <c r="P25" s="229">
        <v>0</v>
      </c>
      <c r="Q25" s="229">
        <v>0</v>
      </c>
      <c r="R25" s="229">
        <v>0</v>
      </c>
      <c r="S25" s="229">
        <v>0</v>
      </c>
      <c r="T25" s="229">
        <v>0</v>
      </c>
      <c r="U25" s="229">
        <v>0</v>
      </c>
      <c r="V25" s="229">
        <v>0</v>
      </c>
      <c r="W25" s="229">
        <v>0</v>
      </c>
      <c r="X25" s="229">
        <v>0</v>
      </c>
      <c r="Y25" s="229">
        <v>0</v>
      </c>
      <c r="Z25" s="229">
        <v>0</v>
      </c>
      <c r="AA25" s="229">
        <v>0</v>
      </c>
      <c r="AB25" s="229">
        <v>0</v>
      </c>
      <c r="AC25" s="229">
        <v>0</v>
      </c>
    </row>
    <row r="26" spans="1:29" s="57" customFormat="1" ht="13.8">
      <c r="A26" s="591" t="s">
        <v>1401</v>
      </c>
      <c r="B26" s="57" t="s">
        <v>1402</v>
      </c>
      <c r="H26" s="229"/>
      <c r="I26" s="229"/>
      <c r="J26" s="229"/>
      <c r="K26" s="229"/>
      <c r="L26" s="229">
        <v>0</v>
      </c>
      <c r="M26" s="229">
        <v>0</v>
      </c>
      <c r="N26" s="229">
        <v>0</v>
      </c>
      <c r="O26" s="229">
        <v>0</v>
      </c>
      <c r="P26" s="229">
        <v>0</v>
      </c>
      <c r="Q26" s="229">
        <v>0</v>
      </c>
      <c r="R26" s="229">
        <v>0</v>
      </c>
      <c r="S26" s="229">
        <v>0</v>
      </c>
      <c r="T26" s="229">
        <v>0</v>
      </c>
      <c r="U26" s="229">
        <v>0</v>
      </c>
      <c r="V26" s="229">
        <v>0</v>
      </c>
      <c r="W26" s="229">
        <v>0</v>
      </c>
      <c r="X26" s="229">
        <v>0</v>
      </c>
      <c r="Y26" s="229">
        <v>0</v>
      </c>
      <c r="Z26" s="229">
        <v>0</v>
      </c>
      <c r="AA26" s="229">
        <v>0</v>
      </c>
      <c r="AB26" s="229">
        <v>0</v>
      </c>
      <c r="AC26" s="229">
        <v>0</v>
      </c>
    </row>
    <row r="27" spans="1:29" s="104" customFormat="1" ht="13.8">
      <c r="A27" s="591" t="s">
        <v>1403</v>
      </c>
      <c r="B27" s="57" t="s">
        <v>2015</v>
      </c>
      <c r="H27" s="138"/>
      <c r="I27" s="138"/>
      <c r="J27" s="138"/>
      <c r="K27" s="138"/>
      <c r="L27" s="229">
        <v>0</v>
      </c>
      <c r="M27" s="229">
        <v>0</v>
      </c>
      <c r="N27" s="229">
        <v>0</v>
      </c>
      <c r="O27" s="229">
        <v>0</v>
      </c>
      <c r="P27" s="229">
        <v>0</v>
      </c>
      <c r="Q27" s="229">
        <v>0</v>
      </c>
      <c r="R27" s="229">
        <v>0</v>
      </c>
      <c r="S27" s="229">
        <v>0</v>
      </c>
      <c r="T27" s="229">
        <v>0</v>
      </c>
      <c r="U27" s="229">
        <v>0</v>
      </c>
      <c r="V27" s="229">
        <v>0</v>
      </c>
      <c r="W27" s="138">
        <v>0</v>
      </c>
      <c r="X27" s="138">
        <v>0</v>
      </c>
      <c r="Y27" s="229">
        <v>0</v>
      </c>
      <c r="Z27" s="229">
        <v>0</v>
      </c>
      <c r="AA27" s="229">
        <v>0</v>
      </c>
      <c r="AB27" s="229">
        <v>0</v>
      </c>
      <c r="AC27" s="229">
        <v>0</v>
      </c>
    </row>
    <row r="28" spans="1:29" s="57" customFormat="1" ht="13.8">
      <c r="A28" s="591" t="s">
        <v>1470</v>
      </c>
      <c r="B28" s="57" t="s">
        <v>1980</v>
      </c>
      <c r="H28" s="229"/>
      <c r="I28" s="229"/>
      <c r="J28" s="229"/>
      <c r="K28" s="229"/>
      <c r="L28" s="229">
        <v>0</v>
      </c>
      <c r="M28" s="229">
        <v>0</v>
      </c>
      <c r="N28" s="229">
        <v>0</v>
      </c>
      <c r="O28" s="229">
        <v>0</v>
      </c>
      <c r="P28" s="229">
        <v>0</v>
      </c>
      <c r="Q28" s="229">
        <v>15808</v>
      </c>
      <c r="R28" s="229">
        <v>31228</v>
      </c>
      <c r="S28" s="229">
        <v>34994</v>
      </c>
      <c r="T28" s="229">
        <v>8026</v>
      </c>
      <c r="U28" s="229">
        <v>17137</v>
      </c>
      <c r="V28" s="229">
        <v>25932</v>
      </c>
      <c r="W28" s="229">
        <v>31049</v>
      </c>
      <c r="X28" s="229">
        <v>5997</v>
      </c>
      <c r="Y28" s="229">
        <v>10908</v>
      </c>
      <c r="Z28" s="229">
        <v>15503</v>
      </c>
      <c r="AA28" s="229">
        <v>3018</v>
      </c>
      <c r="AB28" s="229">
        <v>6011</v>
      </c>
      <c r="AC28" s="229">
        <v>11342</v>
      </c>
    </row>
    <row r="29" spans="1:29" s="57" customFormat="1" ht="13.8">
      <c r="A29" s="591" t="s">
        <v>1404</v>
      </c>
      <c r="B29" s="57" t="s">
        <v>1979</v>
      </c>
      <c r="H29" s="229"/>
      <c r="I29" s="229"/>
      <c r="J29" s="229"/>
      <c r="K29" s="229"/>
      <c r="L29" s="229">
        <v>0</v>
      </c>
      <c r="M29" s="229">
        <v>0</v>
      </c>
      <c r="N29" s="229">
        <v>0</v>
      </c>
      <c r="O29" s="229">
        <v>0</v>
      </c>
      <c r="P29" s="229">
        <v>0</v>
      </c>
      <c r="Q29" s="229">
        <v>0</v>
      </c>
      <c r="R29" s="229">
        <v>0</v>
      </c>
      <c r="S29" s="229">
        <v>0</v>
      </c>
      <c r="T29" s="229">
        <v>0</v>
      </c>
      <c r="U29" s="229">
        <v>0</v>
      </c>
      <c r="V29" s="229">
        <v>0</v>
      </c>
      <c r="W29" s="229">
        <v>0</v>
      </c>
      <c r="X29" s="229">
        <v>0</v>
      </c>
      <c r="Y29" s="229">
        <v>0</v>
      </c>
      <c r="Z29" s="229">
        <v>0</v>
      </c>
      <c r="AA29" s="229">
        <v>0</v>
      </c>
      <c r="AB29" s="229">
        <v>0</v>
      </c>
      <c r="AC29" s="229">
        <v>0</v>
      </c>
    </row>
    <row r="30" spans="1:29" s="57" customFormat="1" ht="13.8">
      <c r="A30" s="591" t="s">
        <v>720</v>
      </c>
      <c r="B30" s="57" t="s">
        <v>1981</v>
      </c>
      <c r="H30" s="229"/>
      <c r="I30" s="229"/>
      <c r="J30" s="229"/>
      <c r="K30" s="229"/>
      <c r="L30" s="229">
        <v>0</v>
      </c>
      <c r="M30" s="229">
        <v>0</v>
      </c>
      <c r="N30" s="229">
        <v>0</v>
      </c>
      <c r="O30" s="229">
        <v>0</v>
      </c>
      <c r="P30" s="229">
        <v>0</v>
      </c>
      <c r="Q30" s="229">
        <v>0</v>
      </c>
      <c r="R30" s="229">
        <v>0</v>
      </c>
      <c r="S30" s="229">
        <v>0</v>
      </c>
      <c r="T30" s="229">
        <v>0</v>
      </c>
      <c r="U30" s="229">
        <v>0</v>
      </c>
      <c r="V30" s="229">
        <v>0</v>
      </c>
      <c r="W30" s="229">
        <v>0</v>
      </c>
      <c r="X30" s="229">
        <v>0</v>
      </c>
      <c r="Y30" s="229">
        <v>0</v>
      </c>
      <c r="Z30" s="229">
        <v>0</v>
      </c>
      <c r="AA30" s="229">
        <v>0</v>
      </c>
      <c r="AB30" s="229">
        <v>0</v>
      </c>
      <c r="AC30" s="229">
        <v>0</v>
      </c>
    </row>
    <row r="31" spans="1:29" s="57" customFormat="1" ht="13.8">
      <c r="A31" s="591" t="s">
        <v>1405</v>
      </c>
      <c r="B31" s="57" t="s">
        <v>1985</v>
      </c>
      <c r="H31" s="229"/>
      <c r="I31" s="229"/>
      <c r="J31" s="229"/>
      <c r="K31" s="229"/>
      <c r="L31" s="229">
        <v>0</v>
      </c>
      <c r="M31" s="229">
        <v>0</v>
      </c>
      <c r="N31" s="229">
        <v>0</v>
      </c>
      <c r="O31" s="229">
        <v>0</v>
      </c>
      <c r="P31" s="229">
        <v>0</v>
      </c>
      <c r="Q31" s="229">
        <v>0</v>
      </c>
      <c r="R31" s="229">
        <v>0</v>
      </c>
      <c r="S31" s="229">
        <v>0</v>
      </c>
      <c r="T31" s="229">
        <v>0</v>
      </c>
      <c r="U31" s="229">
        <v>0</v>
      </c>
      <c r="V31" s="229">
        <v>0</v>
      </c>
      <c r="W31" s="229">
        <v>0</v>
      </c>
      <c r="X31" s="229">
        <v>0</v>
      </c>
      <c r="Y31" s="229">
        <v>0</v>
      </c>
      <c r="Z31" s="229">
        <v>0</v>
      </c>
      <c r="AA31" s="229">
        <v>0</v>
      </c>
      <c r="AB31" s="229">
        <v>0</v>
      </c>
      <c r="AC31" s="229">
        <v>0</v>
      </c>
    </row>
    <row r="32" spans="1:29" s="57" customFormat="1" ht="13.8">
      <c r="A32" s="591" t="s">
        <v>1471</v>
      </c>
      <c r="B32" s="57" t="s">
        <v>1984</v>
      </c>
      <c r="H32" s="229"/>
      <c r="I32" s="229"/>
      <c r="J32" s="229"/>
      <c r="K32" s="229"/>
      <c r="L32" s="229">
        <v>0</v>
      </c>
      <c r="M32" s="229">
        <v>0</v>
      </c>
      <c r="N32" s="229">
        <v>14</v>
      </c>
      <c r="O32" s="229">
        <v>0</v>
      </c>
      <c r="P32" s="229">
        <v>0</v>
      </c>
      <c r="Q32" s="229">
        <v>278</v>
      </c>
      <c r="R32" s="229">
        <v>308</v>
      </c>
      <c r="S32" s="229">
        <v>398</v>
      </c>
      <c r="T32" s="229">
        <v>39</v>
      </c>
      <c r="U32" s="229">
        <v>192</v>
      </c>
      <c r="V32" s="229">
        <v>324</v>
      </c>
      <c r="W32" s="229">
        <v>507</v>
      </c>
      <c r="X32" s="229">
        <v>34</v>
      </c>
      <c r="Y32" s="229">
        <v>146</v>
      </c>
      <c r="Z32" s="229">
        <v>367</v>
      </c>
      <c r="AA32" s="229">
        <v>637</v>
      </c>
      <c r="AB32" s="229">
        <v>263</v>
      </c>
      <c r="AC32" s="229">
        <v>631</v>
      </c>
    </row>
    <row r="33" spans="1:29" s="57" customFormat="1" ht="13.8">
      <c r="A33" s="591" t="s">
        <v>1407</v>
      </c>
      <c r="B33" s="57" t="s">
        <v>1986</v>
      </c>
      <c r="H33" s="229"/>
      <c r="I33" s="229"/>
      <c r="J33" s="229"/>
      <c r="K33" s="229"/>
      <c r="L33" s="229">
        <v>0</v>
      </c>
      <c r="M33" s="229">
        <v>0</v>
      </c>
      <c r="N33" s="229">
        <v>0</v>
      </c>
      <c r="O33" s="229">
        <v>0</v>
      </c>
      <c r="P33" s="229">
        <v>0</v>
      </c>
      <c r="Q33" s="229">
        <v>0</v>
      </c>
      <c r="R33" s="229">
        <v>0</v>
      </c>
      <c r="S33" s="229">
        <v>0</v>
      </c>
      <c r="T33" s="229">
        <v>0</v>
      </c>
      <c r="U33" s="229">
        <v>0</v>
      </c>
      <c r="V33" s="229">
        <v>0</v>
      </c>
      <c r="W33" s="229">
        <v>0</v>
      </c>
      <c r="X33" s="229">
        <v>0</v>
      </c>
      <c r="Y33" s="229">
        <v>0</v>
      </c>
      <c r="Z33" s="229">
        <v>0</v>
      </c>
      <c r="AA33" s="229">
        <v>0</v>
      </c>
      <c r="AB33" s="229">
        <v>0</v>
      </c>
      <c r="AC33" s="229">
        <v>0</v>
      </c>
    </row>
    <row r="34" spans="1:29" s="57" customFormat="1" ht="13.8">
      <c r="A34" s="591" t="s">
        <v>1478</v>
      </c>
      <c r="B34" s="57" t="s">
        <v>1987</v>
      </c>
      <c r="H34" s="229"/>
      <c r="I34" s="229"/>
      <c r="J34" s="229"/>
      <c r="K34" s="229"/>
      <c r="L34" s="229">
        <v>0</v>
      </c>
      <c r="M34" s="229">
        <v>0</v>
      </c>
      <c r="N34" s="229">
        <v>0</v>
      </c>
      <c r="O34" s="229">
        <v>0</v>
      </c>
      <c r="P34" s="229">
        <v>0</v>
      </c>
      <c r="Q34" s="229">
        <v>0</v>
      </c>
      <c r="R34" s="229">
        <v>0</v>
      </c>
      <c r="S34" s="229">
        <v>0</v>
      </c>
      <c r="T34" s="229">
        <v>0</v>
      </c>
      <c r="U34" s="229">
        <v>0</v>
      </c>
      <c r="V34" s="229">
        <v>0</v>
      </c>
      <c r="W34" s="229">
        <v>0</v>
      </c>
      <c r="X34" s="229">
        <v>0</v>
      </c>
      <c r="Y34" s="229">
        <v>0</v>
      </c>
      <c r="Z34" s="229">
        <v>859</v>
      </c>
      <c r="AA34" s="229">
        <v>831</v>
      </c>
      <c r="AB34" s="229">
        <v>-173</v>
      </c>
      <c r="AC34" s="229">
        <v>0</v>
      </c>
    </row>
    <row r="35" spans="1:29" s="57" customFormat="1" ht="13.8">
      <c r="A35" s="591" t="s">
        <v>1472</v>
      </c>
      <c r="B35" s="57" t="s">
        <v>775</v>
      </c>
      <c r="H35" s="229"/>
      <c r="I35" s="229"/>
      <c r="J35" s="229"/>
      <c r="K35" s="229"/>
      <c r="L35" s="229">
        <v>0</v>
      </c>
      <c r="M35" s="229">
        <v>0</v>
      </c>
      <c r="N35" s="229">
        <v>0</v>
      </c>
      <c r="O35" s="229">
        <v>0</v>
      </c>
      <c r="P35" s="229">
        <v>0</v>
      </c>
      <c r="Q35" s="229">
        <v>0</v>
      </c>
      <c r="R35" s="229">
        <v>0</v>
      </c>
      <c r="S35" s="229">
        <v>0</v>
      </c>
      <c r="T35" s="229">
        <v>0</v>
      </c>
      <c r="U35" s="229">
        <v>0</v>
      </c>
      <c r="V35" s="229">
        <v>0</v>
      </c>
      <c r="W35" s="229">
        <v>0</v>
      </c>
      <c r="X35" s="229">
        <v>0</v>
      </c>
      <c r="Y35" s="229">
        <v>0</v>
      </c>
      <c r="Z35" s="229">
        <v>0</v>
      </c>
      <c r="AA35" s="229">
        <v>0</v>
      </c>
      <c r="AB35" s="229">
        <v>0</v>
      </c>
      <c r="AC35" s="229">
        <v>0</v>
      </c>
    </row>
    <row r="36" spans="1:29" s="57" customFormat="1" ht="13.8">
      <c r="A36" s="591" t="s">
        <v>1409</v>
      </c>
      <c r="B36" s="57" t="s">
        <v>1988</v>
      </c>
      <c r="H36" s="229"/>
      <c r="I36" s="229"/>
      <c r="J36" s="229"/>
      <c r="K36" s="229"/>
      <c r="L36" s="229">
        <v>0</v>
      </c>
      <c r="M36" s="229">
        <v>0</v>
      </c>
      <c r="N36" s="229">
        <v>0</v>
      </c>
      <c r="O36" s="229">
        <v>0</v>
      </c>
      <c r="P36" s="229">
        <v>0</v>
      </c>
      <c r="Q36" s="229">
        <v>0</v>
      </c>
      <c r="R36" s="229">
        <v>0</v>
      </c>
      <c r="S36" s="229">
        <v>0</v>
      </c>
      <c r="T36" s="229">
        <v>0</v>
      </c>
      <c r="U36" s="229">
        <v>0</v>
      </c>
      <c r="V36" s="229">
        <v>0</v>
      </c>
      <c r="W36" s="229">
        <v>0</v>
      </c>
      <c r="X36" s="229">
        <v>0</v>
      </c>
      <c r="Y36" s="229">
        <v>0</v>
      </c>
      <c r="Z36" s="229">
        <v>0</v>
      </c>
      <c r="AA36" s="229">
        <v>0</v>
      </c>
      <c r="AB36" s="229">
        <v>0</v>
      </c>
      <c r="AC36" s="229">
        <v>0</v>
      </c>
    </row>
    <row r="37" spans="1:29" s="57" customFormat="1" ht="13.8">
      <c r="A37" s="591" t="s">
        <v>1410</v>
      </c>
      <c r="B37" s="57" t="s">
        <v>1989</v>
      </c>
      <c r="H37" s="229"/>
      <c r="I37" s="229"/>
      <c r="J37" s="229"/>
      <c r="K37" s="229"/>
      <c r="L37" s="229">
        <v>51</v>
      </c>
      <c r="M37" s="229">
        <v>50</v>
      </c>
      <c r="N37" s="229">
        <v>498</v>
      </c>
      <c r="O37" s="229">
        <v>722</v>
      </c>
      <c r="P37" s="229">
        <v>197</v>
      </c>
      <c r="Q37" s="229">
        <v>321</v>
      </c>
      <c r="R37" s="229">
        <v>445</v>
      </c>
      <c r="S37" s="229">
        <v>574</v>
      </c>
      <c r="T37" s="229">
        <v>111</v>
      </c>
      <c r="U37" s="229">
        <v>179</v>
      </c>
      <c r="V37" s="229">
        <v>179</v>
      </c>
      <c r="W37" s="229">
        <v>179</v>
      </c>
      <c r="X37" s="229">
        <v>0</v>
      </c>
      <c r="Y37" s="229">
        <v>0</v>
      </c>
      <c r="Z37" s="229">
        <v>0</v>
      </c>
      <c r="AA37" s="229">
        <v>0</v>
      </c>
      <c r="AB37" s="229">
        <v>109</v>
      </c>
      <c r="AC37" s="229">
        <v>247</v>
      </c>
    </row>
    <row r="38" spans="1:29" s="57" customFormat="1" ht="13.8">
      <c r="A38" s="591" t="s">
        <v>1411</v>
      </c>
      <c r="B38" s="57" t="s">
        <v>1990</v>
      </c>
      <c r="H38" s="229"/>
      <c r="I38" s="229"/>
      <c r="J38" s="229"/>
      <c r="K38" s="229"/>
      <c r="L38" s="229"/>
      <c r="M38" s="229"/>
      <c r="N38" s="229"/>
      <c r="O38" s="229"/>
      <c r="P38" s="229"/>
      <c r="Q38" s="229"/>
      <c r="R38" s="229"/>
      <c r="S38" s="229"/>
      <c r="T38" s="229"/>
      <c r="U38" s="229"/>
      <c r="V38" s="229"/>
      <c r="W38" s="229"/>
      <c r="X38" s="229"/>
      <c r="Y38" s="229">
        <v>0</v>
      </c>
      <c r="Z38" s="229">
        <v>0</v>
      </c>
      <c r="AA38" s="229">
        <v>0</v>
      </c>
      <c r="AB38" s="229">
        <v>0</v>
      </c>
      <c r="AC38" s="229">
        <v>0</v>
      </c>
    </row>
    <row r="39" spans="1:29" s="57" customFormat="1" ht="13.8">
      <c r="A39" s="591" t="s">
        <v>1127</v>
      </c>
      <c r="B39" s="57" t="s">
        <v>1991</v>
      </c>
      <c r="H39" s="229"/>
      <c r="I39" s="229"/>
      <c r="J39" s="229"/>
      <c r="K39" s="229"/>
      <c r="L39" s="229">
        <v>0</v>
      </c>
      <c r="M39" s="229">
        <v>0</v>
      </c>
      <c r="N39" s="229">
        <v>0</v>
      </c>
      <c r="O39" s="229">
        <v>0</v>
      </c>
      <c r="P39" s="229">
        <v>0</v>
      </c>
      <c r="Q39" s="229">
        <v>0</v>
      </c>
      <c r="R39" s="229">
        <v>0</v>
      </c>
      <c r="S39" s="229">
        <v>0</v>
      </c>
      <c r="T39" s="229">
        <v>0</v>
      </c>
      <c r="U39" s="229">
        <v>0</v>
      </c>
      <c r="V39" s="229">
        <v>0</v>
      </c>
      <c r="W39" s="229">
        <v>0</v>
      </c>
      <c r="X39" s="229">
        <v>0</v>
      </c>
      <c r="Y39" s="229">
        <v>0</v>
      </c>
      <c r="Z39" s="229">
        <v>0</v>
      </c>
      <c r="AA39" s="229">
        <v>0</v>
      </c>
      <c r="AB39" s="229"/>
      <c r="AC39" s="229">
        <v>0</v>
      </c>
    </row>
    <row r="40" spans="1:29" s="57" customFormat="1" ht="13.8">
      <c r="A40" s="591" t="s">
        <v>1412</v>
      </c>
      <c r="B40" s="57" t="s">
        <v>1992</v>
      </c>
      <c r="H40" s="229"/>
      <c r="I40" s="229"/>
      <c r="J40" s="229"/>
      <c r="K40" s="229"/>
      <c r="L40" s="229">
        <v>0</v>
      </c>
      <c r="M40" s="229">
        <v>0</v>
      </c>
      <c r="N40" s="229">
        <v>0</v>
      </c>
      <c r="O40" s="229">
        <v>0</v>
      </c>
      <c r="P40" s="229">
        <v>0</v>
      </c>
      <c r="Q40" s="229">
        <v>0</v>
      </c>
      <c r="R40" s="229">
        <v>0</v>
      </c>
      <c r="S40" s="229">
        <v>0</v>
      </c>
      <c r="T40" s="229">
        <v>0</v>
      </c>
      <c r="U40" s="229">
        <v>0</v>
      </c>
      <c r="V40" s="229">
        <v>0</v>
      </c>
      <c r="W40" s="229">
        <v>0</v>
      </c>
      <c r="X40" s="229">
        <v>0</v>
      </c>
      <c r="Y40" s="229">
        <v>0</v>
      </c>
      <c r="Z40" s="229">
        <v>0</v>
      </c>
      <c r="AA40" s="229">
        <v>0</v>
      </c>
      <c r="AB40" s="229">
        <v>0</v>
      </c>
      <c r="AC40" s="229">
        <v>0</v>
      </c>
    </row>
    <row r="41" spans="1:29" s="57" customFormat="1" ht="13.8">
      <c r="A41" s="591" t="s">
        <v>1123</v>
      </c>
      <c r="B41" s="57" t="s">
        <v>1977</v>
      </c>
      <c r="H41" s="229"/>
      <c r="I41" s="229"/>
      <c r="J41" s="229"/>
      <c r="K41" s="229"/>
      <c r="L41" s="229">
        <v>0</v>
      </c>
      <c r="M41" s="229">
        <v>0</v>
      </c>
      <c r="N41" s="229">
        <v>0</v>
      </c>
      <c r="O41" s="229">
        <v>0</v>
      </c>
      <c r="P41" s="229">
        <v>0</v>
      </c>
      <c r="Q41" s="229">
        <v>0</v>
      </c>
      <c r="R41" s="229">
        <v>0</v>
      </c>
      <c r="S41" s="229">
        <v>0</v>
      </c>
      <c r="T41" s="229">
        <v>0</v>
      </c>
      <c r="U41" s="229">
        <v>0</v>
      </c>
      <c r="V41" s="229">
        <v>0</v>
      </c>
      <c r="W41" s="229">
        <v>4678</v>
      </c>
      <c r="X41" s="229">
        <v>497</v>
      </c>
      <c r="Y41" s="229">
        <v>744</v>
      </c>
      <c r="Z41" s="229">
        <v>1241</v>
      </c>
      <c r="AA41" s="229">
        <v>1739</v>
      </c>
      <c r="AB41" s="229">
        <v>1023</v>
      </c>
      <c r="AC41" s="229">
        <v>1964</v>
      </c>
    </row>
    <row r="42" spans="1:29" s="57" customFormat="1" ht="13.8">
      <c r="A42" s="591" t="s">
        <v>1473</v>
      </c>
      <c r="B42" s="57" t="s">
        <v>1195</v>
      </c>
      <c r="H42" s="229"/>
      <c r="I42" s="229"/>
      <c r="J42" s="229"/>
      <c r="K42" s="229"/>
      <c r="L42" s="229">
        <v>0</v>
      </c>
      <c r="M42" s="229">
        <v>0</v>
      </c>
      <c r="N42" s="229">
        <v>0</v>
      </c>
      <c r="O42" s="229">
        <v>0</v>
      </c>
      <c r="P42" s="229">
        <v>0</v>
      </c>
      <c r="Q42" s="229">
        <v>0</v>
      </c>
      <c r="R42" s="229">
        <v>0</v>
      </c>
      <c r="S42" s="229">
        <v>0</v>
      </c>
      <c r="T42" s="229">
        <v>0</v>
      </c>
      <c r="U42" s="229">
        <v>0</v>
      </c>
      <c r="V42" s="229">
        <v>0</v>
      </c>
      <c r="W42" s="229">
        <v>0</v>
      </c>
      <c r="X42" s="229">
        <v>0</v>
      </c>
      <c r="Y42" s="229">
        <v>0</v>
      </c>
      <c r="Z42" s="229">
        <v>0</v>
      </c>
      <c r="AA42" s="229">
        <v>0</v>
      </c>
      <c r="AB42" s="229">
        <v>0</v>
      </c>
      <c r="AC42" s="229">
        <v>0</v>
      </c>
    </row>
    <row r="43" spans="1:29" s="104" customFormat="1" ht="13.8">
      <c r="A43" s="591" t="s">
        <v>1413</v>
      </c>
      <c r="B43" s="57" t="s">
        <v>2014</v>
      </c>
      <c r="H43" s="138"/>
      <c r="I43" s="138"/>
      <c r="J43" s="138"/>
      <c r="K43" s="138"/>
      <c r="L43" s="229">
        <v>0</v>
      </c>
      <c r="M43" s="229">
        <v>0</v>
      </c>
      <c r="N43" s="229">
        <v>0</v>
      </c>
      <c r="O43" s="229">
        <v>0</v>
      </c>
      <c r="P43" s="229">
        <v>0</v>
      </c>
      <c r="Q43" s="229">
        <v>0</v>
      </c>
      <c r="R43" s="229">
        <v>0</v>
      </c>
      <c r="S43" s="229">
        <v>0</v>
      </c>
      <c r="T43" s="229">
        <v>0</v>
      </c>
      <c r="U43" s="229">
        <v>0</v>
      </c>
      <c r="V43" s="229">
        <v>0</v>
      </c>
      <c r="W43" s="138">
        <v>0</v>
      </c>
      <c r="X43" s="138">
        <v>0</v>
      </c>
      <c r="Y43" s="229">
        <v>0</v>
      </c>
      <c r="Z43" s="229">
        <v>0</v>
      </c>
      <c r="AA43" s="229">
        <v>0</v>
      </c>
      <c r="AB43" s="229">
        <v>0</v>
      </c>
      <c r="AC43" s="229">
        <v>0</v>
      </c>
    </row>
    <row r="44" spans="1:29" s="104" customFormat="1" ht="13.8">
      <c r="A44" s="591" t="s">
        <v>1414</v>
      </c>
      <c r="B44" s="57" t="s">
        <v>1992</v>
      </c>
      <c r="H44" s="138"/>
      <c r="I44" s="138"/>
      <c r="J44" s="138"/>
      <c r="K44" s="138"/>
      <c r="L44" s="229">
        <v>0</v>
      </c>
      <c r="M44" s="229">
        <v>0</v>
      </c>
      <c r="N44" s="229">
        <v>0</v>
      </c>
      <c r="O44" s="229">
        <v>0</v>
      </c>
      <c r="P44" s="229">
        <v>0</v>
      </c>
      <c r="Q44" s="229">
        <v>0</v>
      </c>
      <c r="R44" s="229">
        <v>0</v>
      </c>
      <c r="S44" s="229">
        <v>0</v>
      </c>
      <c r="T44" s="229">
        <v>0</v>
      </c>
      <c r="U44" s="229">
        <v>0</v>
      </c>
      <c r="V44" s="229">
        <v>0</v>
      </c>
      <c r="W44" s="138">
        <v>0</v>
      </c>
      <c r="X44" s="138">
        <v>0</v>
      </c>
      <c r="Y44" s="229">
        <v>0</v>
      </c>
      <c r="Z44" s="229">
        <v>0</v>
      </c>
      <c r="AA44" s="229">
        <v>0</v>
      </c>
      <c r="AB44" s="229">
        <v>0</v>
      </c>
      <c r="AC44" s="229">
        <v>0</v>
      </c>
    </row>
    <row r="45" spans="1:29" s="104" customFormat="1" ht="13.8">
      <c r="A45" s="591" t="s">
        <v>1415</v>
      </c>
      <c r="B45" s="57" t="s">
        <v>1993</v>
      </c>
      <c r="H45" s="138"/>
      <c r="I45" s="138"/>
      <c r="J45" s="138"/>
      <c r="K45" s="138"/>
      <c r="L45" s="229">
        <v>0</v>
      </c>
      <c r="M45" s="229">
        <v>0</v>
      </c>
      <c r="N45" s="229">
        <v>0</v>
      </c>
      <c r="O45" s="229">
        <v>0</v>
      </c>
      <c r="P45" s="229">
        <v>0</v>
      </c>
      <c r="Q45" s="229">
        <v>0</v>
      </c>
      <c r="R45" s="229">
        <v>0</v>
      </c>
      <c r="S45" s="229">
        <v>0</v>
      </c>
      <c r="T45" s="229">
        <v>0</v>
      </c>
      <c r="U45" s="229">
        <v>0</v>
      </c>
      <c r="V45" s="229">
        <v>0</v>
      </c>
      <c r="W45" s="138">
        <v>0</v>
      </c>
      <c r="X45" s="138">
        <v>0</v>
      </c>
      <c r="Y45" s="229">
        <v>0</v>
      </c>
      <c r="Z45" s="229">
        <v>0</v>
      </c>
      <c r="AA45" s="229">
        <v>0</v>
      </c>
      <c r="AB45" s="229">
        <v>0</v>
      </c>
      <c r="AC45" s="229">
        <v>0</v>
      </c>
    </row>
    <row r="46" spans="1:29" s="57" customFormat="1" ht="13.8">
      <c r="A46" s="591" t="s">
        <v>1474</v>
      </c>
      <c r="B46" s="57" t="s">
        <v>1417</v>
      </c>
      <c r="H46" s="229"/>
      <c r="I46" s="229"/>
      <c r="J46" s="229"/>
      <c r="K46" s="229"/>
      <c r="L46" s="229">
        <v>0</v>
      </c>
      <c r="M46" s="229">
        <v>0</v>
      </c>
      <c r="N46" s="229">
        <v>0</v>
      </c>
      <c r="O46" s="229">
        <v>0</v>
      </c>
      <c r="P46" s="229">
        <v>0</v>
      </c>
      <c r="Q46" s="229">
        <v>0</v>
      </c>
      <c r="R46" s="229">
        <v>0</v>
      </c>
      <c r="S46" s="229">
        <v>0</v>
      </c>
      <c r="T46" s="229">
        <v>0</v>
      </c>
      <c r="U46" s="229">
        <v>0</v>
      </c>
      <c r="V46" s="229">
        <v>0</v>
      </c>
      <c r="W46" s="229">
        <v>0</v>
      </c>
      <c r="X46" s="229">
        <v>0</v>
      </c>
      <c r="Y46" s="229">
        <v>0</v>
      </c>
      <c r="Z46" s="229">
        <v>0</v>
      </c>
      <c r="AA46" s="229">
        <v>0</v>
      </c>
      <c r="AB46" s="229">
        <v>0</v>
      </c>
      <c r="AC46" s="229">
        <v>0</v>
      </c>
    </row>
    <row r="47" spans="1:29" s="57" customFormat="1" ht="13.8">
      <c r="A47" s="591" t="s">
        <v>95</v>
      </c>
      <c r="B47" s="57" t="s">
        <v>96</v>
      </c>
      <c r="H47" s="229"/>
      <c r="I47" s="229"/>
      <c r="J47" s="229"/>
      <c r="K47" s="229"/>
      <c r="L47" s="229">
        <v>0</v>
      </c>
      <c r="M47" s="229">
        <v>0</v>
      </c>
      <c r="N47" s="229">
        <v>0</v>
      </c>
      <c r="O47" s="229">
        <v>0</v>
      </c>
      <c r="P47" s="229">
        <v>0</v>
      </c>
      <c r="Q47" s="229">
        <v>0</v>
      </c>
      <c r="R47" s="229">
        <v>0</v>
      </c>
      <c r="S47" s="229">
        <v>0</v>
      </c>
      <c r="T47" s="229">
        <v>0</v>
      </c>
      <c r="U47" s="229">
        <v>73</v>
      </c>
      <c r="V47" s="229">
        <v>0</v>
      </c>
      <c r="W47" s="229">
        <v>0</v>
      </c>
      <c r="X47" s="229">
        <v>0</v>
      </c>
      <c r="Y47" s="229">
        <v>0</v>
      </c>
      <c r="Z47" s="229">
        <v>0</v>
      </c>
      <c r="AA47" s="229">
        <v>0</v>
      </c>
      <c r="AB47" s="229">
        <v>0</v>
      </c>
      <c r="AC47" s="229">
        <v>0</v>
      </c>
    </row>
    <row r="48" spans="1:29" s="589" customFormat="1" ht="13.8">
      <c r="A48" s="592"/>
      <c r="B48" s="592"/>
      <c r="C48" s="592"/>
      <c r="D48" s="592">
        <f t="shared" ref="D48:Y48" si="0">SUM(D9:D47)</f>
        <v>0</v>
      </c>
      <c r="E48" s="592">
        <f t="shared" si="0"/>
        <v>0</v>
      </c>
      <c r="F48" s="592">
        <f t="shared" si="0"/>
        <v>0</v>
      </c>
      <c r="G48" s="592">
        <f t="shared" si="0"/>
        <v>0</v>
      </c>
      <c r="H48" s="593">
        <f t="shared" si="0"/>
        <v>0</v>
      </c>
      <c r="I48" s="593">
        <f t="shared" si="0"/>
        <v>0</v>
      </c>
      <c r="J48" s="593">
        <f t="shared" si="0"/>
        <v>0</v>
      </c>
      <c r="K48" s="593">
        <f t="shared" si="0"/>
        <v>0</v>
      </c>
      <c r="L48" s="593">
        <f t="shared" si="0"/>
        <v>-887</v>
      </c>
      <c r="M48" s="593">
        <f t="shared" si="0"/>
        <v>-6382</v>
      </c>
      <c r="N48" s="593">
        <f t="shared" si="0"/>
        <v>-10534</v>
      </c>
      <c r="O48" s="593">
        <f t="shared" si="0"/>
        <v>-141</v>
      </c>
      <c r="P48" s="593">
        <f t="shared" si="0"/>
        <v>941</v>
      </c>
      <c r="Q48" s="593">
        <f t="shared" si="0"/>
        <v>8596</v>
      </c>
      <c r="R48" s="593">
        <f t="shared" si="0"/>
        <v>6781</v>
      </c>
      <c r="S48" s="593">
        <f t="shared" si="0"/>
        <v>-10493</v>
      </c>
      <c r="T48" s="593">
        <f t="shared" si="0"/>
        <v>1688</v>
      </c>
      <c r="U48" s="593">
        <f t="shared" si="0"/>
        <v>5423</v>
      </c>
      <c r="V48" s="593">
        <f t="shared" si="0"/>
        <v>16851</v>
      </c>
      <c r="W48" s="593">
        <f t="shared" si="0"/>
        <v>30678</v>
      </c>
      <c r="X48" s="593">
        <f t="shared" si="0"/>
        <v>10121</v>
      </c>
      <c r="Y48" s="593">
        <f t="shared" si="0"/>
        <v>24350</v>
      </c>
      <c r="Z48" s="593">
        <f t="shared" ref="Z48:AC48" si="1">SUM(Z9:Z47)</f>
        <v>31765</v>
      </c>
      <c r="AA48" s="593">
        <f t="shared" si="1"/>
        <v>37742</v>
      </c>
      <c r="AB48" s="593">
        <f t="shared" si="1"/>
        <v>13584</v>
      </c>
      <c r="AC48" s="593">
        <f t="shared" si="1"/>
        <v>40439</v>
      </c>
    </row>
    <row r="49" spans="1:29" s="57" customFormat="1" ht="13.8">
      <c r="A49" s="589" t="s">
        <v>1418</v>
      </c>
      <c r="B49" s="589" t="s">
        <v>2035</v>
      </c>
      <c r="H49" s="229"/>
      <c r="I49" s="229"/>
      <c r="J49" s="229"/>
      <c r="K49" s="229"/>
      <c r="L49" s="229"/>
      <c r="M49" s="229"/>
      <c r="N49" s="229"/>
      <c r="S49" s="229"/>
      <c r="T49" s="229"/>
      <c r="U49" s="229">
        <v>0</v>
      </c>
      <c r="V49" s="229"/>
      <c r="W49" s="229"/>
      <c r="X49" s="229"/>
      <c r="Y49" s="229"/>
      <c r="Z49" s="229"/>
      <c r="AA49" s="229"/>
      <c r="AB49" s="229"/>
      <c r="AC49" s="229"/>
    </row>
    <row r="50" spans="1:29" s="57" customFormat="1" ht="13.8">
      <c r="A50" s="591" t="s">
        <v>1057</v>
      </c>
      <c r="B50" s="57" t="s">
        <v>1994</v>
      </c>
      <c r="H50" s="229"/>
      <c r="I50" s="229"/>
      <c r="J50" s="229"/>
      <c r="K50" s="229"/>
      <c r="L50" s="229">
        <v>0</v>
      </c>
      <c r="M50" s="229">
        <v>0</v>
      </c>
      <c r="N50" s="229">
        <v>-11711</v>
      </c>
      <c r="O50" s="229">
        <v>-27383</v>
      </c>
      <c r="P50" s="229">
        <v>-14404</v>
      </c>
      <c r="Q50" s="229">
        <v>-32276</v>
      </c>
      <c r="R50" s="229">
        <v>-41749</v>
      </c>
      <c r="S50" s="229">
        <v>-44963</v>
      </c>
      <c r="T50" s="229">
        <v>-8504</v>
      </c>
      <c r="U50" s="229">
        <v>-21061</v>
      </c>
      <c r="V50" s="229">
        <v>-27418</v>
      </c>
      <c r="W50" s="229">
        <v>-36385</v>
      </c>
      <c r="X50" s="229">
        <v>-10081</v>
      </c>
      <c r="Y50" s="229">
        <v>-18442</v>
      </c>
      <c r="Z50" s="229">
        <v>-25209</v>
      </c>
      <c r="AA50" s="229">
        <v>-28122</v>
      </c>
      <c r="AB50" s="229">
        <v>-11128</v>
      </c>
      <c r="AC50" s="229">
        <v>-20212</v>
      </c>
    </row>
    <row r="51" spans="1:29" s="57" customFormat="1" ht="13.8">
      <c r="A51" s="591" t="s">
        <v>887</v>
      </c>
      <c r="B51" s="57" t="s">
        <v>1995</v>
      </c>
      <c r="H51" s="229"/>
      <c r="I51" s="229"/>
      <c r="J51" s="229"/>
      <c r="K51" s="229"/>
      <c r="L51" s="229">
        <v>0</v>
      </c>
      <c r="M51" s="229">
        <v>0</v>
      </c>
      <c r="N51" s="229">
        <v>0</v>
      </c>
      <c r="O51" s="229">
        <v>0</v>
      </c>
      <c r="P51" s="229">
        <v>0</v>
      </c>
      <c r="Q51" s="229">
        <v>0</v>
      </c>
      <c r="R51" s="229">
        <v>0</v>
      </c>
      <c r="S51" s="229">
        <v>0</v>
      </c>
      <c r="T51" s="229">
        <v>0</v>
      </c>
      <c r="U51" s="229">
        <v>0</v>
      </c>
      <c r="V51" s="229">
        <v>0</v>
      </c>
      <c r="W51" s="229">
        <v>0</v>
      </c>
      <c r="X51" s="229">
        <v>0</v>
      </c>
      <c r="Y51" s="229">
        <v>0</v>
      </c>
      <c r="Z51" s="229">
        <v>0</v>
      </c>
      <c r="AA51" s="229">
        <v>0</v>
      </c>
      <c r="AB51" s="229">
        <v>0</v>
      </c>
      <c r="AC51" s="229">
        <v>0</v>
      </c>
    </row>
    <row r="52" spans="1:29" s="57" customFormat="1" ht="13.8">
      <c r="A52" s="591" t="s">
        <v>1063</v>
      </c>
      <c r="B52" s="57" t="s">
        <v>1996</v>
      </c>
      <c r="H52" s="229"/>
      <c r="I52" s="229"/>
      <c r="J52" s="229"/>
      <c r="K52" s="229"/>
      <c r="L52" s="229">
        <v>0</v>
      </c>
      <c r="M52" s="229">
        <v>0</v>
      </c>
      <c r="N52" s="229">
        <v>0</v>
      </c>
      <c r="O52" s="229">
        <v>0</v>
      </c>
      <c r="P52" s="229">
        <v>0</v>
      </c>
      <c r="Q52" s="229">
        <v>0</v>
      </c>
      <c r="R52" s="229">
        <v>0</v>
      </c>
      <c r="S52" s="229">
        <v>0</v>
      </c>
      <c r="T52" s="229">
        <v>0</v>
      </c>
      <c r="U52" s="229">
        <v>0</v>
      </c>
      <c r="V52" s="229">
        <v>0</v>
      </c>
      <c r="W52" s="229">
        <v>0</v>
      </c>
      <c r="X52" s="229">
        <v>0</v>
      </c>
      <c r="Y52" s="229">
        <v>0</v>
      </c>
      <c r="Z52" s="229">
        <v>0</v>
      </c>
      <c r="AA52" s="229">
        <v>0</v>
      </c>
      <c r="AB52" s="229">
        <v>0</v>
      </c>
      <c r="AC52" s="229">
        <v>0</v>
      </c>
    </row>
    <row r="53" spans="1:29" s="57" customFormat="1" ht="13.8">
      <c r="A53" s="591" t="s">
        <v>1068</v>
      </c>
      <c r="B53" s="57" t="s">
        <v>1997</v>
      </c>
      <c r="H53" s="229"/>
      <c r="I53" s="229"/>
      <c r="J53" s="229"/>
      <c r="K53" s="229"/>
      <c r="L53" s="229">
        <v>0</v>
      </c>
      <c r="M53" s="229">
        <v>0</v>
      </c>
      <c r="N53" s="229">
        <v>0</v>
      </c>
      <c r="O53" s="229">
        <v>0</v>
      </c>
      <c r="P53" s="229">
        <v>0</v>
      </c>
      <c r="Q53" s="229">
        <v>0</v>
      </c>
      <c r="R53" s="229">
        <v>0</v>
      </c>
      <c r="S53" s="229">
        <v>0</v>
      </c>
      <c r="T53" s="229">
        <v>-8</v>
      </c>
      <c r="U53" s="229">
        <v>-2353</v>
      </c>
      <c r="V53" s="229">
        <v>-1624</v>
      </c>
      <c r="W53" s="229">
        <v>-2501</v>
      </c>
      <c r="X53" s="229">
        <v>-678</v>
      </c>
      <c r="Y53" s="229">
        <v>-1487</v>
      </c>
      <c r="Z53" s="229">
        <v>-2145</v>
      </c>
      <c r="AA53" s="229">
        <v>-2588</v>
      </c>
      <c r="AB53" s="229">
        <v>-436</v>
      </c>
      <c r="AC53" s="229">
        <v>-855</v>
      </c>
    </row>
    <row r="54" spans="1:29" s="57" customFormat="1" ht="13.8">
      <c r="A54" s="591" t="s">
        <v>1419</v>
      </c>
      <c r="B54" s="57" t="s">
        <v>1998</v>
      </c>
      <c r="H54" s="229"/>
      <c r="I54" s="229"/>
      <c r="J54" s="229"/>
      <c r="K54" s="229"/>
      <c r="L54" s="229">
        <v>0</v>
      </c>
      <c r="M54" s="229">
        <v>0</v>
      </c>
      <c r="N54" s="229">
        <v>0</v>
      </c>
      <c r="O54" s="229">
        <v>0</v>
      </c>
      <c r="P54" s="229">
        <v>0</v>
      </c>
      <c r="Q54" s="229">
        <v>0</v>
      </c>
      <c r="R54" s="229">
        <v>0</v>
      </c>
      <c r="S54" s="229">
        <v>0</v>
      </c>
      <c r="T54" s="229">
        <v>0</v>
      </c>
      <c r="U54" s="229">
        <v>0</v>
      </c>
      <c r="V54" s="229">
        <v>0</v>
      </c>
      <c r="W54" s="229">
        <v>0</v>
      </c>
      <c r="X54" s="229">
        <v>0</v>
      </c>
      <c r="Y54" s="229">
        <v>0</v>
      </c>
      <c r="Z54" s="229">
        <v>0</v>
      </c>
      <c r="AA54" s="229">
        <v>0</v>
      </c>
      <c r="AB54" s="229">
        <v>0</v>
      </c>
      <c r="AC54" s="229">
        <v>0</v>
      </c>
    </row>
    <row r="55" spans="1:29" s="57" customFormat="1" ht="13.8">
      <c r="A55" s="591" t="s">
        <v>1074</v>
      </c>
      <c r="B55" s="57" t="s">
        <v>1075</v>
      </c>
      <c r="H55" s="229"/>
      <c r="I55" s="229"/>
      <c r="J55" s="229"/>
      <c r="K55" s="229"/>
      <c r="L55" s="229">
        <v>-8</v>
      </c>
      <c r="M55" s="229">
        <v>-190</v>
      </c>
      <c r="N55" s="229">
        <v>-4528</v>
      </c>
      <c r="O55" s="229">
        <v>-4108</v>
      </c>
      <c r="P55" s="229">
        <v>-457</v>
      </c>
      <c r="Q55" s="229">
        <v>-696</v>
      </c>
      <c r="R55" s="229">
        <v>-462</v>
      </c>
      <c r="S55" s="229">
        <v>346</v>
      </c>
      <c r="T55" s="229">
        <v>93</v>
      </c>
      <c r="U55" s="229">
        <v>-4622</v>
      </c>
      <c r="V55" s="229">
        <v>-15296</v>
      </c>
      <c r="W55" s="229">
        <v>-1192</v>
      </c>
      <c r="X55" s="229">
        <v>282</v>
      </c>
      <c r="Y55" s="229">
        <v>-952</v>
      </c>
      <c r="Z55" s="229">
        <v>-1425</v>
      </c>
      <c r="AA55" s="229">
        <v>-859</v>
      </c>
      <c r="AB55" s="229">
        <v>-548</v>
      </c>
      <c r="AC55" s="229">
        <v>-941</v>
      </c>
    </row>
    <row r="56" spans="1:29" s="57" customFormat="1" ht="13.8">
      <c r="A56" s="591" t="s">
        <v>1420</v>
      </c>
      <c r="B56" s="57" t="s">
        <v>1999</v>
      </c>
      <c r="H56" s="229"/>
      <c r="I56" s="229"/>
      <c r="J56" s="229"/>
      <c r="K56" s="229"/>
      <c r="L56" s="229">
        <v>0</v>
      </c>
      <c r="M56" s="229">
        <v>-1</v>
      </c>
      <c r="N56" s="229">
        <v>-264</v>
      </c>
      <c r="O56" s="229">
        <v>-530</v>
      </c>
      <c r="P56" s="229">
        <v>-23</v>
      </c>
      <c r="Q56" s="229">
        <v>497</v>
      </c>
      <c r="R56" s="229">
        <v>449</v>
      </c>
      <c r="S56" s="229">
        <v>459</v>
      </c>
      <c r="T56" s="229">
        <v>-3</v>
      </c>
      <c r="U56" s="229">
        <v>-3</v>
      </c>
      <c r="V56" s="229">
        <v>-1100</v>
      </c>
      <c r="W56" s="229">
        <v>-1586</v>
      </c>
      <c r="X56" s="229">
        <v>1442</v>
      </c>
      <c r="Y56" s="229">
        <v>1442</v>
      </c>
      <c r="Z56" s="229">
        <v>1442</v>
      </c>
      <c r="AA56" s="229">
        <v>1442</v>
      </c>
      <c r="AB56" s="229">
        <v>1</v>
      </c>
      <c r="AC56" s="229">
        <v>1</v>
      </c>
    </row>
    <row r="57" spans="1:29" s="57" customFormat="1" ht="13.8">
      <c r="A57" s="591" t="s">
        <v>1078</v>
      </c>
      <c r="B57" s="57" t="s">
        <v>2000</v>
      </c>
      <c r="H57" s="229"/>
      <c r="I57" s="229"/>
      <c r="J57" s="229"/>
      <c r="K57" s="229"/>
      <c r="L57" s="229">
        <v>0</v>
      </c>
      <c r="M57" s="229">
        <v>-1204</v>
      </c>
      <c r="N57" s="229">
        <v>-1779</v>
      </c>
      <c r="O57" s="229">
        <v>-2017</v>
      </c>
      <c r="P57" s="229">
        <v>-215</v>
      </c>
      <c r="Q57" s="229">
        <v>-377</v>
      </c>
      <c r="R57" s="229">
        <v>-831</v>
      </c>
      <c r="S57" s="229">
        <v>-766</v>
      </c>
      <c r="T57" s="229">
        <v>-490</v>
      </c>
      <c r="U57" s="229">
        <v>-846</v>
      </c>
      <c r="V57" s="229">
        <v>-1319</v>
      </c>
      <c r="W57" s="229">
        <v>-112</v>
      </c>
      <c r="X57" s="229">
        <v>-136</v>
      </c>
      <c r="Y57" s="229">
        <v>-383</v>
      </c>
      <c r="Z57" s="229">
        <v>888</v>
      </c>
      <c r="AA57" s="229">
        <v>553</v>
      </c>
      <c r="AB57" s="229">
        <v>-274</v>
      </c>
      <c r="AC57" s="229">
        <v>-580</v>
      </c>
    </row>
    <row r="58" spans="1:29" s="57" customFormat="1" ht="13.8">
      <c r="A58" s="591" t="s">
        <v>1421</v>
      </c>
      <c r="B58" s="57" t="s">
        <v>2001</v>
      </c>
      <c r="H58" s="229"/>
      <c r="I58" s="229"/>
      <c r="J58" s="229"/>
      <c r="K58" s="229"/>
      <c r="L58" s="229">
        <v>0</v>
      </c>
      <c r="M58" s="229">
        <v>0</v>
      </c>
      <c r="N58" s="229">
        <v>0</v>
      </c>
      <c r="O58" s="229">
        <v>0</v>
      </c>
      <c r="P58" s="229">
        <v>0</v>
      </c>
      <c r="Q58" s="229">
        <v>0</v>
      </c>
      <c r="R58" s="229">
        <v>0</v>
      </c>
      <c r="S58" s="229">
        <v>0</v>
      </c>
      <c r="T58" s="229">
        <v>0</v>
      </c>
      <c r="U58" s="229">
        <v>0</v>
      </c>
      <c r="V58" s="229">
        <v>0</v>
      </c>
      <c r="W58" s="229">
        <v>0</v>
      </c>
      <c r="X58" s="229">
        <v>0</v>
      </c>
      <c r="Y58" s="229">
        <v>0</v>
      </c>
      <c r="Z58" s="229">
        <v>0</v>
      </c>
      <c r="AA58" s="229">
        <v>0</v>
      </c>
      <c r="AB58" s="229">
        <v>0</v>
      </c>
      <c r="AC58" s="229">
        <v>0</v>
      </c>
    </row>
    <row r="59" spans="1:29" s="57" customFormat="1" ht="13.8">
      <c r="A59" s="591" t="s">
        <v>1422</v>
      </c>
      <c r="B59" s="57" t="s">
        <v>2002</v>
      </c>
      <c r="H59" s="229"/>
      <c r="I59" s="229"/>
      <c r="J59" s="229"/>
      <c r="K59" s="229"/>
      <c r="L59" s="229">
        <v>0</v>
      </c>
      <c r="M59" s="229">
        <v>0</v>
      </c>
      <c r="N59" s="229">
        <v>0</v>
      </c>
      <c r="O59" s="229">
        <v>0</v>
      </c>
      <c r="P59" s="229">
        <v>0</v>
      </c>
      <c r="Q59" s="229">
        <v>0</v>
      </c>
      <c r="R59" s="229">
        <v>0</v>
      </c>
      <c r="S59" s="229">
        <v>0</v>
      </c>
      <c r="T59" s="229">
        <v>0</v>
      </c>
      <c r="U59" s="229">
        <v>0</v>
      </c>
      <c r="V59" s="229">
        <v>0</v>
      </c>
      <c r="W59" s="229">
        <v>0</v>
      </c>
      <c r="X59" s="229">
        <v>0</v>
      </c>
      <c r="Y59" s="229">
        <v>0</v>
      </c>
      <c r="Z59" s="229">
        <v>0</v>
      </c>
      <c r="AA59" s="229">
        <v>0</v>
      </c>
      <c r="AB59" s="229">
        <v>0</v>
      </c>
      <c r="AC59" s="229">
        <v>0</v>
      </c>
    </row>
    <row r="60" spans="1:29" s="57" customFormat="1" ht="13.8">
      <c r="A60" s="591" t="s">
        <v>1352</v>
      </c>
      <c r="B60" s="57" t="s">
        <v>2003</v>
      </c>
      <c r="H60" s="229"/>
      <c r="I60" s="229"/>
      <c r="J60" s="229"/>
      <c r="K60" s="229"/>
      <c r="L60" s="229">
        <v>0</v>
      </c>
      <c r="M60" s="229">
        <v>0</v>
      </c>
      <c r="N60" s="229">
        <v>0</v>
      </c>
      <c r="O60" s="229">
        <v>0</v>
      </c>
      <c r="P60" s="229">
        <v>0</v>
      </c>
      <c r="Q60" s="229">
        <v>0</v>
      </c>
      <c r="R60" s="229">
        <v>0</v>
      </c>
      <c r="S60" s="229">
        <v>0</v>
      </c>
      <c r="T60" s="229">
        <v>0</v>
      </c>
      <c r="U60" s="229">
        <v>0</v>
      </c>
      <c r="V60" s="229">
        <v>0</v>
      </c>
      <c r="W60" s="229">
        <v>0</v>
      </c>
      <c r="X60" s="229">
        <v>0</v>
      </c>
      <c r="Y60" s="229">
        <v>0</v>
      </c>
      <c r="Z60" s="229">
        <v>0</v>
      </c>
      <c r="AA60" s="229">
        <v>0</v>
      </c>
      <c r="AB60" s="229">
        <v>0</v>
      </c>
      <c r="AC60" s="229">
        <v>0</v>
      </c>
    </row>
    <row r="61" spans="1:29" s="57" customFormat="1" ht="13.8">
      <c r="A61" s="591" t="s">
        <v>1423</v>
      </c>
      <c r="B61" s="57" t="s">
        <v>1187</v>
      </c>
      <c r="H61" s="229"/>
      <c r="I61" s="229"/>
      <c r="J61" s="229"/>
      <c r="K61" s="229"/>
      <c r="L61" s="229">
        <v>0</v>
      </c>
      <c r="M61" s="229">
        <v>0</v>
      </c>
      <c r="N61" s="229">
        <v>0</v>
      </c>
      <c r="O61" s="229">
        <v>0</v>
      </c>
      <c r="P61" s="229">
        <v>0</v>
      </c>
      <c r="Q61" s="229">
        <v>0</v>
      </c>
      <c r="R61" s="229">
        <v>0</v>
      </c>
      <c r="S61" s="229">
        <v>0</v>
      </c>
      <c r="T61" s="229">
        <v>0</v>
      </c>
      <c r="U61" s="229">
        <v>0</v>
      </c>
      <c r="V61" s="229">
        <v>0</v>
      </c>
      <c r="W61" s="229">
        <v>0</v>
      </c>
      <c r="X61" s="229">
        <v>0</v>
      </c>
      <c r="Y61" s="229">
        <v>0</v>
      </c>
      <c r="Z61" s="229">
        <v>0</v>
      </c>
      <c r="AA61" s="229">
        <v>0</v>
      </c>
      <c r="AB61" s="229">
        <v>0</v>
      </c>
      <c r="AC61" s="229">
        <v>0</v>
      </c>
    </row>
    <row r="62" spans="1:29" s="57" customFormat="1" ht="13.8">
      <c r="A62" s="591" t="s">
        <v>1080</v>
      </c>
      <c r="B62" s="57" t="s">
        <v>2004</v>
      </c>
      <c r="H62" s="229"/>
      <c r="I62" s="229"/>
      <c r="J62" s="229"/>
      <c r="K62" s="229"/>
      <c r="L62" s="229">
        <v>-47</v>
      </c>
      <c r="M62" s="229">
        <v>289</v>
      </c>
      <c r="N62" s="229">
        <v>-223</v>
      </c>
      <c r="O62" s="229">
        <v>-758</v>
      </c>
      <c r="P62" s="229">
        <v>-635</v>
      </c>
      <c r="Q62" s="229">
        <v>-914</v>
      </c>
      <c r="R62" s="229">
        <v>76</v>
      </c>
      <c r="S62" s="229">
        <v>86</v>
      </c>
      <c r="T62" s="229">
        <v>-1467</v>
      </c>
      <c r="U62" s="229">
        <v>-1088</v>
      </c>
      <c r="V62" s="229">
        <v>-1960</v>
      </c>
      <c r="W62" s="229">
        <v>-739</v>
      </c>
      <c r="X62" s="229">
        <v>-875</v>
      </c>
      <c r="Y62" s="229">
        <v>32</v>
      </c>
      <c r="Z62" s="229">
        <v>-1646</v>
      </c>
      <c r="AA62" s="229">
        <v>-1681</v>
      </c>
      <c r="AB62" s="229">
        <v>1059</v>
      </c>
      <c r="AC62" s="229">
        <v>1194</v>
      </c>
    </row>
    <row r="63" spans="1:29" s="57" customFormat="1" ht="13.8">
      <c r="A63" s="591" t="s">
        <v>1102</v>
      </c>
      <c r="B63" s="57" t="s">
        <v>1103</v>
      </c>
      <c r="H63" s="229"/>
      <c r="I63" s="229"/>
      <c r="J63" s="229"/>
      <c r="K63" s="229"/>
      <c r="L63" s="229">
        <v>2412</v>
      </c>
      <c r="M63" s="229">
        <v>286</v>
      </c>
      <c r="N63" s="229">
        <v>5584</v>
      </c>
      <c r="O63" s="229">
        <v>12735</v>
      </c>
      <c r="P63" s="229">
        <v>-2678</v>
      </c>
      <c r="Q63" s="229">
        <v>4520</v>
      </c>
      <c r="R63" s="229">
        <v>3009</v>
      </c>
      <c r="S63" s="229">
        <v>7511</v>
      </c>
      <c r="T63" s="229">
        <v>-2575</v>
      </c>
      <c r="U63" s="229">
        <v>9096</v>
      </c>
      <c r="V63" s="229">
        <v>14073</v>
      </c>
      <c r="W63" s="229">
        <v>16753</v>
      </c>
      <c r="X63" s="229">
        <v>-12528</v>
      </c>
      <c r="Y63" s="229">
        <v>-6224</v>
      </c>
      <c r="Z63" s="229">
        <v>-21432</v>
      </c>
      <c r="AA63" s="229">
        <v>-18568</v>
      </c>
      <c r="AB63" s="229">
        <v>-8604</v>
      </c>
      <c r="AC63" s="229">
        <v>-12856</v>
      </c>
    </row>
    <row r="64" spans="1:29" s="104" customFormat="1" ht="13.8">
      <c r="A64" s="591" t="s">
        <v>1424</v>
      </c>
      <c r="B64" s="57" t="s">
        <v>1351</v>
      </c>
      <c r="H64" s="229"/>
      <c r="I64" s="229"/>
      <c r="J64" s="229"/>
      <c r="K64" s="229"/>
      <c r="L64" s="229">
        <v>0</v>
      </c>
      <c r="M64" s="229">
        <v>0</v>
      </c>
      <c r="N64" s="229">
        <v>0</v>
      </c>
      <c r="O64" s="229">
        <v>0</v>
      </c>
      <c r="P64" s="229">
        <v>0</v>
      </c>
      <c r="Q64" s="229">
        <v>0</v>
      </c>
      <c r="R64" s="229">
        <v>0</v>
      </c>
      <c r="S64" s="229">
        <v>0</v>
      </c>
      <c r="T64" s="229">
        <v>0</v>
      </c>
      <c r="U64" s="229">
        <v>0</v>
      </c>
      <c r="V64" s="229">
        <v>0</v>
      </c>
      <c r="W64" s="229">
        <v>0</v>
      </c>
      <c r="X64" s="229">
        <v>0</v>
      </c>
      <c r="Y64" s="229">
        <v>0</v>
      </c>
      <c r="Z64" s="229">
        <v>0</v>
      </c>
      <c r="AA64" s="229">
        <v>0</v>
      </c>
      <c r="AB64" s="229">
        <v>0</v>
      </c>
      <c r="AC64" s="229">
        <v>0</v>
      </c>
    </row>
    <row r="65" spans="1:29" s="57" customFormat="1" ht="13.8">
      <c r="A65" s="591" t="s">
        <v>1104</v>
      </c>
      <c r="B65" s="57" t="s">
        <v>2005</v>
      </c>
      <c r="H65" s="229"/>
      <c r="I65" s="229"/>
      <c r="J65" s="229"/>
      <c r="K65" s="229"/>
      <c r="L65" s="229">
        <v>54</v>
      </c>
      <c r="M65" s="229">
        <v>567</v>
      </c>
      <c r="N65" s="229">
        <v>1411</v>
      </c>
      <c r="O65" s="229">
        <v>1424</v>
      </c>
      <c r="P65" s="229">
        <v>905</v>
      </c>
      <c r="Q65" s="229">
        <v>993</v>
      </c>
      <c r="R65" s="229">
        <v>-2420</v>
      </c>
      <c r="S65" s="229">
        <v>-4720</v>
      </c>
      <c r="T65" s="229">
        <v>-643</v>
      </c>
      <c r="U65" s="229">
        <v>-3939</v>
      </c>
      <c r="V65" s="229">
        <v>-3688</v>
      </c>
      <c r="W65" s="229">
        <v>-7417</v>
      </c>
      <c r="X65" s="229">
        <v>-780</v>
      </c>
      <c r="Y65" s="229">
        <v>-2325</v>
      </c>
      <c r="Z65" s="229">
        <v>-3434</v>
      </c>
      <c r="AA65" s="229">
        <v>-4700</v>
      </c>
      <c r="AB65" s="229">
        <v>-1226</v>
      </c>
      <c r="AC65" s="229">
        <v>-3475</v>
      </c>
    </row>
    <row r="66" spans="1:29" s="57" customFormat="1" ht="13.8">
      <c r="A66" s="591" t="s">
        <v>1111</v>
      </c>
      <c r="B66" s="57" t="s">
        <v>2006</v>
      </c>
      <c r="H66" s="229"/>
      <c r="I66" s="229"/>
      <c r="J66" s="229"/>
      <c r="K66" s="229"/>
      <c r="L66" s="229">
        <v>113</v>
      </c>
      <c r="M66" s="229">
        <v>332</v>
      </c>
      <c r="N66" s="229">
        <v>1337</v>
      </c>
      <c r="O66" s="229">
        <v>2349</v>
      </c>
      <c r="P66" s="229">
        <v>-248</v>
      </c>
      <c r="Q66" s="229">
        <v>-1451</v>
      </c>
      <c r="R66" s="229">
        <v>-910</v>
      </c>
      <c r="S66" s="229">
        <v>-579</v>
      </c>
      <c r="T66" s="229">
        <v>-310</v>
      </c>
      <c r="U66" s="229">
        <v>556</v>
      </c>
      <c r="V66" s="229">
        <v>1643</v>
      </c>
      <c r="W66" s="229">
        <v>3737</v>
      </c>
      <c r="X66" s="229">
        <v>-680</v>
      </c>
      <c r="Y66" s="229">
        <v>-631</v>
      </c>
      <c r="Z66" s="229">
        <v>-409</v>
      </c>
      <c r="AA66" s="229">
        <v>315</v>
      </c>
      <c r="AB66" s="229">
        <v>-20</v>
      </c>
      <c r="AC66" s="229">
        <v>142</v>
      </c>
    </row>
    <row r="67" spans="1:29" s="57" customFormat="1" ht="13.8">
      <c r="A67" s="591" t="s">
        <v>1113</v>
      </c>
      <c r="B67" s="57" t="s">
        <v>2007</v>
      </c>
      <c r="H67" s="229"/>
      <c r="I67" s="229"/>
      <c r="J67" s="229"/>
      <c r="K67" s="229"/>
      <c r="L67" s="229">
        <v>216</v>
      </c>
      <c r="M67" s="229">
        <v>9</v>
      </c>
      <c r="N67" s="229">
        <v>-28</v>
      </c>
      <c r="O67" s="229">
        <v>8</v>
      </c>
      <c r="P67" s="229">
        <v>-22</v>
      </c>
      <c r="Q67" s="229">
        <v>10</v>
      </c>
      <c r="R67" s="229">
        <v>-3</v>
      </c>
      <c r="S67" s="229">
        <v>23</v>
      </c>
      <c r="T67" s="229">
        <v>41</v>
      </c>
      <c r="U67" s="229">
        <v>64</v>
      </c>
      <c r="V67" s="229">
        <v>-47</v>
      </c>
      <c r="W67" s="229">
        <v>-26</v>
      </c>
      <c r="X67" s="229">
        <v>-9</v>
      </c>
      <c r="Y67" s="229">
        <v>-9</v>
      </c>
      <c r="Z67" s="229">
        <v>-37</v>
      </c>
      <c r="AA67" s="229">
        <v>-37</v>
      </c>
      <c r="AB67" s="229">
        <v>0</v>
      </c>
      <c r="AC67" s="229"/>
    </row>
    <row r="68" spans="1:29" s="57" customFormat="1" ht="13.8">
      <c r="A68" s="591" t="s">
        <v>1425</v>
      </c>
      <c r="B68" s="57" t="s">
        <v>775</v>
      </c>
      <c r="H68" s="229"/>
      <c r="I68" s="229"/>
      <c r="J68" s="229"/>
      <c r="K68" s="229"/>
      <c r="L68" s="229">
        <v>0</v>
      </c>
      <c r="M68" s="229">
        <v>0</v>
      </c>
      <c r="N68" s="229">
        <v>0</v>
      </c>
      <c r="O68" s="229">
        <v>0</v>
      </c>
      <c r="P68" s="229">
        <v>0</v>
      </c>
      <c r="Q68" s="229">
        <v>0</v>
      </c>
      <c r="R68" s="229">
        <v>0</v>
      </c>
      <c r="S68" s="229">
        <v>0</v>
      </c>
      <c r="T68" s="229">
        <v>0</v>
      </c>
      <c r="U68" s="229">
        <v>0</v>
      </c>
      <c r="V68" s="229">
        <v>0</v>
      </c>
      <c r="W68" s="229">
        <v>0</v>
      </c>
      <c r="X68" s="229">
        <v>0</v>
      </c>
      <c r="Y68" s="229">
        <v>0</v>
      </c>
      <c r="Z68" s="229">
        <v>0</v>
      </c>
      <c r="AA68" s="229">
        <v>0</v>
      </c>
      <c r="AB68" s="229">
        <v>0</v>
      </c>
      <c r="AC68" s="229">
        <v>0</v>
      </c>
    </row>
    <row r="69" spans="1:29" s="57" customFormat="1" ht="13.8">
      <c r="A69" s="591" t="s">
        <v>1119</v>
      </c>
      <c r="B69" s="57" t="s">
        <v>1120</v>
      </c>
      <c r="H69" s="229"/>
      <c r="I69" s="229"/>
      <c r="J69" s="229"/>
      <c r="K69" s="229"/>
      <c r="L69" s="229">
        <v>0</v>
      </c>
      <c r="M69" s="229">
        <v>0</v>
      </c>
      <c r="N69" s="229">
        <v>0</v>
      </c>
      <c r="O69" s="229">
        <v>0</v>
      </c>
      <c r="P69" s="229">
        <v>0</v>
      </c>
      <c r="Q69" s="229">
        <v>0</v>
      </c>
      <c r="R69" s="229">
        <v>0</v>
      </c>
      <c r="S69" s="229">
        <v>0</v>
      </c>
      <c r="T69" s="229">
        <v>0</v>
      </c>
      <c r="U69" s="229">
        <v>0</v>
      </c>
      <c r="V69" s="229">
        <v>0</v>
      </c>
      <c r="W69" s="229">
        <v>0</v>
      </c>
      <c r="X69" s="229">
        <v>0</v>
      </c>
      <c r="Y69" s="229">
        <v>0</v>
      </c>
      <c r="Z69" s="229">
        <v>0</v>
      </c>
      <c r="AA69" s="229">
        <v>0</v>
      </c>
      <c r="AB69" s="229">
        <v>0</v>
      </c>
      <c r="AC69" s="229">
        <v>0</v>
      </c>
    </row>
    <row r="70" spans="1:29" s="57" customFormat="1" ht="13.8">
      <c r="A70" s="591" t="s">
        <v>1117</v>
      </c>
      <c r="B70" s="57" t="s">
        <v>1118</v>
      </c>
      <c r="H70" s="229"/>
      <c r="I70" s="229"/>
      <c r="J70" s="229"/>
      <c r="K70" s="229"/>
      <c r="L70" s="229">
        <v>0</v>
      </c>
      <c r="M70" s="229">
        <v>0</v>
      </c>
      <c r="N70" s="229">
        <v>0</v>
      </c>
      <c r="O70" s="229">
        <v>0</v>
      </c>
      <c r="P70" s="229">
        <v>0</v>
      </c>
      <c r="Q70" s="229">
        <v>0</v>
      </c>
      <c r="R70" s="229">
        <v>0</v>
      </c>
      <c r="S70" s="229">
        <v>0</v>
      </c>
      <c r="T70" s="229">
        <v>0</v>
      </c>
      <c r="U70" s="229">
        <v>0</v>
      </c>
      <c r="V70" s="229">
        <v>0</v>
      </c>
      <c r="W70" s="229">
        <v>0</v>
      </c>
      <c r="X70" s="229">
        <v>0</v>
      </c>
      <c r="Y70" s="229">
        <v>0</v>
      </c>
      <c r="Z70" s="229">
        <v>0</v>
      </c>
      <c r="AA70" s="229">
        <v>0</v>
      </c>
      <c r="AB70" s="229">
        <v>0</v>
      </c>
      <c r="AC70" s="229">
        <v>0</v>
      </c>
    </row>
    <row r="71" spans="1:29" s="57" customFormat="1" ht="13.8">
      <c r="A71" s="591" t="s">
        <v>1123</v>
      </c>
      <c r="B71" s="57" t="s">
        <v>2008</v>
      </c>
      <c r="H71" s="229"/>
      <c r="I71" s="229"/>
      <c r="J71" s="229"/>
      <c r="K71" s="229"/>
      <c r="L71" s="229">
        <v>0</v>
      </c>
      <c r="M71" s="229">
        <v>0</v>
      </c>
      <c r="N71" s="229">
        <v>0</v>
      </c>
      <c r="O71" s="229">
        <v>1717</v>
      </c>
      <c r="P71" s="229">
        <v>-69</v>
      </c>
      <c r="Q71" s="229">
        <v>-506</v>
      </c>
      <c r="R71" s="229">
        <v>251</v>
      </c>
      <c r="S71" s="229">
        <v>1044</v>
      </c>
      <c r="T71" s="229">
        <v>706</v>
      </c>
      <c r="U71" s="229">
        <v>1674</v>
      </c>
      <c r="V71" s="229">
        <v>2887</v>
      </c>
      <c r="W71" s="229">
        <v>-578</v>
      </c>
      <c r="X71" s="229">
        <v>-2013</v>
      </c>
      <c r="Y71" s="229">
        <v>-3270</v>
      </c>
      <c r="Z71" s="229">
        <v>-3270</v>
      </c>
      <c r="AA71" s="229">
        <v>-3271</v>
      </c>
      <c r="AB71" s="229">
        <v>0</v>
      </c>
      <c r="AC71" s="229">
        <v>-1978</v>
      </c>
    </row>
    <row r="72" spans="1:29" s="57" customFormat="1" ht="13.8">
      <c r="A72" s="591" t="s">
        <v>1426</v>
      </c>
      <c r="B72" s="57" t="s">
        <v>2009</v>
      </c>
      <c r="H72" s="229"/>
      <c r="I72" s="229"/>
      <c r="J72" s="229"/>
      <c r="K72" s="229"/>
      <c r="L72" s="229"/>
      <c r="M72" s="229"/>
      <c r="N72" s="229"/>
      <c r="O72" s="229"/>
      <c r="P72" s="229"/>
      <c r="Q72" s="229"/>
      <c r="R72" s="229"/>
      <c r="S72" s="229"/>
      <c r="T72" s="229"/>
      <c r="U72" s="229"/>
      <c r="V72" s="229"/>
      <c r="W72" s="229"/>
      <c r="X72" s="229"/>
      <c r="Y72" s="229">
        <v>0</v>
      </c>
      <c r="Z72" s="229">
        <v>0</v>
      </c>
      <c r="AA72" s="229">
        <v>0</v>
      </c>
      <c r="AB72" s="229">
        <v>0</v>
      </c>
      <c r="AC72" s="229">
        <v>0</v>
      </c>
    </row>
    <row r="73" spans="1:29" s="57" customFormat="1" ht="13.8">
      <c r="A73" s="591" t="s">
        <v>1194</v>
      </c>
      <c r="B73" s="57" t="s">
        <v>2010</v>
      </c>
      <c r="H73" s="229"/>
      <c r="I73" s="229"/>
      <c r="J73" s="229"/>
      <c r="K73" s="229"/>
      <c r="L73" s="229">
        <v>0</v>
      </c>
      <c r="M73" s="229">
        <v>0</v>
      </c>
      <c r="N73" s="229">
        <v>0</v>
      </c>
      <c r="O73" s="229">
        <v>0</v>
      </c>
      <c r="P73" s="229">
        <v>0</v>
      </c>
      <c r="Q73" s="229">
        <v>0</v>
      </c>
      <c r="R73" s="229">
        <v>0</v>
      </c>
      <c r="S73" s="229">
        <v>0</v>
      </c>
      <c r="T73" s="229">
        <v>0</v>
      </c>
      <c r="U73" s="229">
        <v>0</v>
      </c>
      <c r="V73" s="229">
        <v>0</v>
      </c>
      <c r="W73" s="229">
        <v>0</v>
      </c>
      <c r="X73" s="229">
        <v>0</v>
      </c>
      <c r="Y73" s="229">
        <v>0</v>
      </c>
      <c r="Z73" s="229">
        <v>0</v>
      </c>
      <c r="AA73" s="229">
        <v>0</v>
      </c>
      <c r="AB73" s="229">
        <v>0</v>
      </c>
      <c r="AC73" s="229">
        <v>0</v>
      </c>
    </row>
    <row r="74" spans="1:29" s="57" customFormat="1" ht="13.8">
      <c r="A74" s="591" t="s">
        <v>1479</v>
      </c>
      <c r="B74" s="57" t="s">
        <v>1126</v>
      </c>
      <c r="H74" s="229"/>
      <c r="I74" s="229"/>
      <c r="J74" s="229"/>
      <c r="K74" s="229"/>
      <c r="L74" s="229">
        <v>0</v>
      </c>
      <c r="M74" s="229">
        <v>0</v>
      </c>
      <c r="N74" s="229">
        <v>0</v>
      </c>
      <c r="O74" s="229">
        <v>36</v>
      </c>
      <c r="P74" s="229">
        <v>118</v>
      </c>
      <c r="Q74" s="229">
        <v>0</v>
      </c>
      <c r="R74" s="229">
        <v>0</v>
      </c>
      <c r="S74" s="229">
        <v>-26</v>
      </c>
      <c r="T74" s="229">
        <v>-53</v>
      </c>
      <c r="U74" s="229">
        <v>-134</v>
      </c>
      <c r="V74" s="229">
        <v>-191</v>
      </c>
      <c r="W74" s="229">
        <v>-308</v>
      </c>
      <c r="X74" s="229">
        <v>-147</v>
      </c>
      <c r="Y74" s="229">
        <v>-312</v>
      </c>
      <c r="Z74" s="229">
        <v>-533</v>
      </c>
      <c r="AA74" s="229">
        <v>-758</v>
      </c>
      <c r="AB74" s="229">
        <v>-168</v>
      </c>
      <c r="AC74" s="229">
        <v>-412</v>
      </c>
    </row>
    <row r="75" spans="1:29" s="57" customFormat="1" ht="13.8">
      <c r="A75" s="591" t="s">
        <v>1265</v>
      </c>
      <c r="B75" s="57" t="s">
        <v>1266</v>
      </c>
      <c r="H75" s="229"/>
      <c r="I75" s="229"/>
      <c r="J75" s="229"/>
      <c r="K75" s="229"/>
      <c r="L75" s="229">
        <v>0</v>
      </c>
      <c r="M75" s="229">
        <v>0</v>
      </c>
      <c r="N75" s="229">
        <v>0</v>
      </c>
      <c r="O75" s="229">
        <v>0</v>
      </c>
      <c r="P75" s="229">
        <v>0</v>
      </c>
      <c r="Q75" s="229">
        <v>0</v>
      </c>
      <c r="R75" s="229">
        <v>0</v>
      </c>
      <c r="S75" s="229">
        <v>0</v>
      </c>
      <c r="T75" s="229">
        <v>0</v>
      </c>
      <c r="U75" s="229">
        <v>0</v>
      </c>
      <c r="V75" s="229">
        <v>0</v>
      </c>
      <c r="W75" s="229">
        <v>0</v>
      </c>
      <c r="X75" s="229">
        <v>0</v>
      </c>
      <c r="Y75" s="229">
        <v>0</v>
      </c>
      <c r="Z75" s="229">
        <v>0</v>
      </c>
      <c r="AA75" s="229">
        <v>0</v>
      </c>
      <c r="AB75" s="229">
        <v>0</v>
      </c>
      <c r="AC75" s="229">
        <v>0</v>
      </c>
    </row>
    <row r="76" spans="1:29" s="57" customFormat="1" ht="13.8">
      <c r="A76" s="591" t="s">
        <v>1129</v>
      </c>
      <c r="B76" s="57" t="s">
        <v>2011</v>
      </c>
      <c r="H76" s="229"/>
      <c r="I76" s="229"/>
      <c r="J76" s="229"/>
      <c r="K76" s="229"/>
      <c r="L76" s="229">
        <v>16</v>
      </c>
      <c r="M76" s="229">
        <v>17</v>
      </c>
      <c r="N76" s="229">
        <v>594</v>
      </c>
      <c r="O76" s="229">
        <v>856</v>
      </c>
      <c r="P76" s="229">
        <v>-724</v>
      </c>
      <c r="Q76" s="229">
        <v>-644</v>
      </c>
      <c r="R76" s="229">
        <v>-845</v>
      </c>
      <c r="S76" s="229">
        <v>-833</v>
      </c>
      <c r="T76" s="229">
        <v>86</v>
      </c>
      <c r="U76" s="229">
        <v>51</v>
      </c>
      <c r="V76" s="229">
        <v>1176</v>
      </c>
      <c r="W76" s="229">
        <v>360</v>
      </c>
      <c r="X76" s="229">
        <v>511</v>
      </c>
      <c r="Y76" s="229">
        <v>497</v>
      </c>
      <c r="Z76" s="229">
        <v>506</v>
      </c>
      <c r="AA76" s="229">
        <v>511</v>
      </c>
      <c r="AB76" s="229">
        <v>-361</v>
      </c>
      <c r="AC76" s="229">
        <v>-419</v>
      </c>
    </row>
    <row r="77" spans="1:29" s="57" customFormat="1" ht="13.8">
      <c r="A77" s="591" t="s">
        <v>1127</v>
      </c>
      <c r="B77" s="57" t="s">
        <v>1991</v>
      </c>
      <c r="H77" s="229"/>
      <c r="I77" s="229"/>
      <c r="J77" s="229"/>
      <c r="K77" s="229"/>
      <c r="L77" s="229">
        <v>0</v>
      </c>
      <c r="M77" s="229">
        <v>0</v>
      </c>
      <c r="N77" s="229">
        <v>0</v>
      </c>
      <c r="O77" s="229">
        <v>0</v>
      </c>
      <c r="P77" s="229">
        <v>0</v>
      </c>
      <c r="Q77" s="229">
        <v>0</v>
      </c>
      <c r="R77" s="229">
        <v>0</v>
      </c>
      <c r="S77" s="229">
        <v>0</v>
      </c>
      <c r="T77" s="229">
        <v>0</v>
      </c>
      <c r="U77" s="229">
        <v>0</v>
      </c>
      <c r="V77" s="229">
        <v>0</v>
      </c>
      <c r="W77" s="229">
        <v>0</v>
      </c>
      <c r="X77" s="229">
        <v>0</v>
      </c>
      <c r="Y77" s="229">
        <v>0</v>
      </c>
      <c r="Z77" s="229">
        <v>0</v>
      </c>
      <c r="AA77" s="229">
        <v>0</v>
      </c>
      <c r="AB77" s="229">
        <v>0</v>
      </c>
      <c r="AC77" s="229">
        <v>0</v>
      </c>
    </row>
    <row r="78" spans="1:29" s="57" customFormat="1" ht="13.8">
      <c r="A78" s="591" t="s">
        <v>1234</v>
      </c>
      <c r="B78" s="57" t="s">
        <v>2012</v>
      </c>
      <c r="H78" s="229"/>
      <c r="I78" s="229"/>
      <c r="J78" s="229"/>
      <c r="K78" s="229"/>
      <c r="L78" s="229">
        <v>0</v>
      </c>
      <c r="M78" s="229">
        <v>0</v>
      </c>
      <c r="N78" s="229">
        <v>0</v>
      </c>
      <c r="O78" s="229">
        <v>0</v>
      </c>
      <c r="P78" s="229">
        <v>0</v>
      </c>
      <c r="Q78" s="229">
        <v>0</v>
      </c>
      <c r="R78" s="229">
        <v>0</v>
      </c>
      <c r="S78" s="229">
        <v>0</v>
      </c>
      <c r="T78" s="229">
        <v>0</v>
      </c>
      <c r="U78" s="229">
        <v>0</v>
      </c>
      <c r="V78" s="229">
        <v>0</v>
      </c>
      <c r="W78" s="229">
        <v>0</v>
      </c>
      <c r="X78" s="229">
        <v>0</v>
      </c>
      <c r="Y78" s="229">
        <v>0</v>
      </c>
      <c r="Z78" s="229">
        <v>0</v>
      </c>
      <c r="AA78" s="229">
        <v>0</v>
      </c>
      <c r="AB78" s="229">
        <v>0</v>
      </c>
      <c r="AC78" s="229">
        <v>0</v>
      </c>
    </row>
    <row r="79" spans="1:29" s="57" customFormat="1" ht="13.8">
      <c r="A79" s="591" t="s">
        <v>1428</v>
      </c>
      <c r="B79" s="57" t="s">
        <v>2013</v>
      </c>
      <c r="H79" s="229"/>
      <c r="I79" s="229"/>
      <c r="J79" s="229"/>
      <c r="K79" s="229"/>
      <c r="L79" s="229">
        <v>0</v>
      </c>
      <c r="M79" s="229">
        <v>0</v>
      </c>
      <c r="N79" s="229">
        <v>0</v>
      </c>
      <c r="O79" s="229">
        <v>0</v>
      </c>
      <c r="P79" s="229">
        <v>0</v>
      </c>
      <c r="Q79" s="229">
        <v>0</v>
      </c>
      <c r="R79" s="229">
        <v>0</v>
      </c>
      <c r="S79" s="229">
        <v>0</v>
      </c>
      <c r="T79" s="229">
        <v>0</v>
      </c>
      <c r="U79" s="229">
        <v>0</v>
      </c>
      <c r="V79" s="229">
        <v>0</v>
      </c>
      <c r="W79" s="229">
        <v>0</v>
      </c>
      <c r="X79" s="229">
        <v>0</v>
      </c>
      <c r="Y79" s="229">
        <v>0</v>
      </c>
      <c r="Z79" s="229">
        <v>0</v>
      </c>
      <c r="AA79" s="229">
        <v>0</v>
      </c>
      <c r="AB79" s="229">
        <v>0</v>
      </c>
      <c r="AC79" s="229">
        <v>0</v>
      </c>
    </row>
    <row r="80" spans="1:29" s="589" customFormat="1" ht="13.8">
      <c r="A80" s="592" t="s">
        <v>1429</v>
      </c>
      <c r="B80" s="592" t="s">
        <v>2034</v>
      </c>
      <c r="C80" s="592"/>
      <c r="D80" s="592">
        <f t="shared" ref="D80:Y80" si="2">SUM(D48:D79)</f>
        <v>0</v>
      </c>
      <c r="E80" s="592">
        <f t="shared" si="2"/>
        <v>0</v>
      </c>
      <c r="F80" s="592">
        <f t="shared" si="2"/>
        <v>0</v>
      </c>
      <c r="G80" s="592">
        <f t="shared" si="2"/>
        <v>0</v>
      </c>
      <c r="H80" s="593">
        <f t="shared" si="2"/>
        <v>0</v>
      </c>
      <c r="I80" s="593">
        <f t="shared" si="2"/>
        <v>0</v>
      </c>
      <c r="J80" s="593">
        <f t="shared" si="2"/>
        <v>0</v>
      </c>
      <c r="K80" s="593">
        <f t="shared" si="2"/>
        <v>0</v>
      </c>
      <c r="L80" s="593">
        <f t="shared" si="2"/>
        <v>1869</v>
      </c>
      <c r="M80" s="593">
        <f t="shared" si="2"/>
        <v>-6277</v>
      </c>
      <c r="N80" s="593">
        <f t="shared" si="2"/>
        <v>-20141</v>
      </c>
      <c r="O80" s="593">
        <f t="shared" si="2"/>
        <v>-15812</v>
      </c>
      <c r="P80" s="593">
        <f t="shared" si="2"/>
        <v>-17511</v>
      </c>
      <c r="Q80" s="593">
        <f t="shared" si="2"/>
        <v>-22248</v>
      </c>
      <c r="R80" s="593">
        <f t="shared" si="2"/>
        <v>-36654</v>
      </c>
      <c r="S80" s="593">
        <f t="shared" si="2"/>
        <v>-52911</v>
      </c>
      <c r="T80" s="593">
        <f t="shared" si="2"/>
        <v>-11439</v>
      </c>
      <c r="U80" s="593">
        <f t="shared" si="2"/>
        <v>-17182</v>
      </c>
      <c r="V80" s="593">
        <f t="shared" si="2"/>
        <v>-16013</v>
      </c>
      <c r="W80" s="593">
        <f t="shared" si="2"/>
        <v>684</v>
      </c>
      <c r="X80" s="593">
        <f t="shared" si="2"/>
        <v>-15571</v>
      </c>
      <c r="Y80" s="593">
        <f t="shared" si="2"/>
        <v>-7714</v>
      </c>
      <c r="Z80" s="593">
        <f t="shared" ref="Z80:AC80" si="3">SUM(Z48:Z79)</f>
        <v>-24939</v>
      </c>
      <c r="AA80" s="593">
        <f t="shared" si="3"/>
        <v>-20021</v>
      </c>
      <c r="AB80" s="593">
        <f t="shared" si="3"/>
        <v>-8121</v>
      </c>
      <c r="AC80" s="593">
        <f t="shared" si="3"/>
        <v>48</v>
      </c>
    </row>
    <row r="82" spans="1:29" s="57" customFormat="1" ht="13.8">
      <c r="A82" s="594" t="s">
        <v>1396</v>
      </c>
      <c r="B82" s="57" t="s">
        <v>1397</v>
      </c>
      <c r="K82" s="229"/>
      <c r="L82" s="229"/>
      <c r="M82" s="229"/>
      <c r="N82" s="229"/>
      <c r="O82" s="229"/>
      <c r="P82" s="229"/>
      <c r="Q82" s="229"/>
      <c r="R82" s="229">
        <v>4080</v>
      </c>
      <c r="S82" s="229">
        <v>11940</v>
      </c>
      <c r="T82" s="229">
        <v>3096</v>
      </c>
      <c r="U82" s="229"/>
      <c r="V82" s="229">
        <v>7504</v>
      </c>
      <c r="W82" s="229">
        <v>6428</v>
      </c>
      <c r="X82" s="229">
        <v>375</v>
      </c>
      <c r="Y82" s="229">
        <v>239</v>
      </c>
      <c r="Z82" s="229">
        <v>704.84728999999959</v>
      </c>
      <c r="AA82" s="229">
        <v>704.84728999999959</v>
      </c>
      <c r="AB82" s="229">
        <v>89</v>
      </c>
      <c r="AC82" s="229">
        <v>159</v>
      </c>
    </row>
    <row r="83" spans="1:29" s="57" customFormat="1" ht="13.8">
      <c r="A83" s="594" t="s">
        <v>1430</v>
      </c>
      <c r="B83" s="57" t="s">
        <v>2016</v>
      </c>
      <c r="K83" s="229"/>
      <c r="L83" s="229"/>
      <c r="M83" s="229"/>
      <c r="N83" s="229"/>
      <c r="O83" s="229"/>
      <c r="P83" s="229"/>
      <c r="Q83" s="229"/>
      <c r="R83" s="229"/>
      <c r="S83" s="229"/>
      <c r="T83" s="229">
        <v>-82</v>
      </c>
      <c r="U83" s="229">
        <v>-82</v>
      </c>
      <c r="V83" s="229"/>
      <c r="W83" s="229"/>
      <c r="X83" s="229"/>
      <c r="Y83" s="229"/>
      <c r="Z83" s="229"/>
      <c r="AA83" s="229"/>
      <c r="AB83" s="229"/>
      <c r="AC83" s="229"/>
    </row>
    <row r="84" spans="1:29" s="57" customFormat="1" ht="13.8">
      <c r="A84" s="594" t="s">
        <v>1431</v>
      </c>
      <c r="B84" s="57" t="s">
        <v>2017</v>
      </c>
      <c r="H84" s="229"/>
      <c r="I84" s="229"/>
      <c r="J84" s="229"/>
      <c r="K84" s="229"/>
      <c r="L84" s="229"/>
      <c r="M84" s="229"/>
      <c r="N84" s="229"/>
      <c r="O84" s="229"/>
      <c r="P84" s="229">
        <v>-195</v>
      </c>
      <c r="Q84" s="229">
        <v>-486</v>
      </c>
      <c r="R84" s="229">
        <v>-800</v>
      </c>
      <c r="S84" s="229">
        <v>-304531</v>
      </c>
      <c r="T84" s="229">
        <v>-2701</v>
      </c>
      <c r="U84" s="229">
        <v>-5683</v>
      </c>
      <c r="V84" s="229">
        <v>-8249</v>
      </c>
      <c r="W84" s="229">
        <v>-33321</v>
      </c>
      <c r="X84" s="229">
        <v>-2416.0080000000016</v>
      </c>
      <c r="Y84" s="229">
        <v>-33649.797000000006</v>
      </c>
      <c r="Z84" s="229">
        <v>-35659.418999999994</v>
      </c>
      <c r="AA84" s="229">
        <v>-53679.507000000012</v>
      </c>
      <c r="AB84" s="229">
        <v>-2089</v>
      </c>
      <c r="AC84" s="229">
        <v>-6230</v>
      </c>
    </row>
    <row r="85" spans="1:29" s="57" customFormat="1" ht="13.8">
      <c r="A85" s="595"/>
    </row>
    <row r="86" spans="1:29" s="589" customFormat="1" thickBot="1">
      <c r="A86" s="596" t="s">
        <v>1432</v>
      </c>
      <c r="B86" s="596" t="s">
        <v>2036</v>
      </c>
      <c r="C86" s="596"/>
      <c r="D86" s="596">
        <f t="shared" ref="D86:Y86" si="4">SUM(D80:D85)</f>
        <v>0</v>
      </c>
      <c r="E86" s="596">
        <f t="shared" si="4"/>
        <v>0</v>
      </c>
      <c r="F86" s="596">
        <f t="shared" si="4"/>
        <v>0</v>
      </c>
      <c r="G86" s="596">
        <f t="shared" si="4"/>
        <v>0</v>
      </c>
      <c r="H86" s="597">
        <f t="shared" si="4"/>
        <v>0</v>
      </c>
      <c r="I86" s="597">
        <f t="shared" si="4"/>
        <v>0</v>
      </c>
      <c r="J86" s="597">
        <f t="shared" si="4"/>
        <v>0</v>
      </c>
      <c r="K86" s="597">
        <f t="shared" si="4"/>
        <v>0</v>
      </c>
      <c r="L86" s="597">
        <f t="shared" si="4"/>
        <v>1869</v>
      </c>
      <c r="M86" s="597">
        <f t="shared" si="4"/>
        <v>-6277</v>
      </c>
      <c r="N86" s="597">
        <f t="shared" si="4"/>
        <v>-20141</v>
      </c>
      <c r="O86" s="597">
        <f t="shared" si="4"/>
        <v>-15812</v>
      </c>
      <c r="P86" s="597">
        <f t="shared" si="4"/>
        <v>-17706</v>
      </c>
      <c r="Q86" s="597">
        <f t="shared" si="4"/>
        <v>-22734</v>
      </c>
      <c r="R86" s="597">
        <f t="shared" si="4"/>
        <v>-33374</v>
      </c>
      <c r="S86" s="597">
        <f t="shared" si="4"/>
        <v>-345502</v>
      </c>
      <c r="T86" s="597">
        <f t="shared" si="4"/>
        <v>-11126</v>
      </c>
      <c r="U86" s="597">
        <f t="shared" si="4"/>
        <v>-22947</v>
      </c>
      <c r="V86" s="597">
        <f t="shared" si="4"/>
        <v>-16758</v>
      </c>
      <c r="W86" s="597">
        <f t="shared" si="4"/>
        <v>-26209</v>
      </c>
      <c r="X86" s="597">
        <f t="shared" si="4"/>
        <v>-17612.008000000002</v>
      </c>
      <c r="Y86" s="597">
        <f t="shared" si="4"/>
        <v>-41124.797000000006</v>
      </c>
      <c r="Z86" s="597">
        <f t="shared" ref="Z86:AC86" si="5">SUM(Z80:Z85)</f>
        <v>-59893.571709999997</v>
      </c>
      <c r="AA86" s="597">
        <f t="shared" si="5"/>
        <v>-72995.659710000007</v>
      </c>
      <c r="AB86" s="597">
        <f t="shared" si="5"/>
        <v>-10121</v>
      </c>
      <c r="AC86" s="597">
        <f t="shared" si="5"/>
        <v>-6023</v>
      </c>
    </row>
    <row r="87" spans="1:29" s="57" customFormat="1" ht="13.8">
      <c r="K87" s="229"/>
      <c r="L87" s="229"/>
      <c r="M87" s="229"/>
      <c r="N87" s="229"/>
      <c r="O87" s="229"/>
      <c r="P87" s="229"/>
      <c r="Q87" s="229"/>
      <c r="R87" s="229"/>
      <c r="S87" s="229"/>
      <c r="T87" s="229"/>
      <c r="U87" s="229"/>
      <c r="V87" s="229"/>
      <c r="W87" s="229"/>
      <c r="X87" s="229"/>
      <c r="Y87" s="229"/>
      <c r="Z87" s="229"/>
      <c r="AA87" s="229"/>
      <c r="AB87" s="229"/>
      <c r="AC87" s="229"/>
    </row>
    <row r="88" spans="1:29" s="57" customFormat="1" ht="13.8">
      <c r="A88" s="134" t="s">
        <v>1433</v>
      </c>
      <c r="B88" s="589" t="s">
        <v>2037</v>
      </c>
      <c r="K88" s="229"/>
      <c r="L88" s="229"/>
      <c r="M88" s="229"/>
      <c r="N88" s="229"/>
      <c r="O88" s="229"/>
      <c r="P88" s="229"/>
      <c r="Q88" s="229"/>
      <c r="R88" s="229"/>
      <c r="S88" s="229"/>
      <c r="T88" s="229"/>
      <c r="U88" s="229"/>
      <c r="V88" s="229"/>
      <c r="W88" s="229"/>
      <c r="X88" s="229"/>
      <c r="Y88" s="229"/>
      <c r="Z88" s="229"/>
      <c r="AA88" s="229"/>
      <c r="AB88" s="229"/>
      <c r="AC88" s="229"/>
    </row>
    <row r="89" spans="1:29" s="57" customFormat="1" ht="13.8">
      <c r="A89" s="591" t="s">
        <v>1434</v>
      </c>
      <c r="B89" s="57" t="s">
        <v>2018</v>
      </c>
      <c r="J89" s="229"/>
      <c r="K89" s="229"/>
      <c r="L89" s="229">
        <v>-3192</v>
      </c>
      <c r="M89" s="229">
        <v>-7202</v>
      </c>
      <c r="N89" s="229"/>
      <c r="O89" s="229">
        <v>-2651</v>
      </c>
      <c r="P89" s="229">
        <v>-4930</v>
      </c>
      <c r="Q89" s="229">
        <v>-896</v>
      </c>
      <c r="R89" s="229">
        <v>-896</v>
      </c>
      <c r="S89" s="229">
        <v>-896</v>
      </c>
      <c r="T89" s="229"/>
      <c r="U89" s="229"/>
      <c r="V89" s="229"/>
      <c r="W89" s="229">
        <v>-10128</v>
      </c>
      <c r="X89" s="229">
        <v>-216</v>
      </c>
      <c r="Y89" s="229">
        <v>-9778</v>
      </c>
      <c r="Z89" s="229">
        <v>-10722</v>
      </c>
      <c r="AA89" s="229">
        <v>-1396</v>
      </c>
      <c r="AB89" s="229">
        <v>0</v>
      </c>
      <c r="AC89" s="229">
        <v>0</v>
      </c>
    </row>
    <row r="90" spans="1:29" s="57" customFormat="1" ht="13.8">
      <c r="A90" s="598" t="s">
        <v>1435</v>
      </c>
      <c r="B90" s="57" t="s">
        <v>2019</v>
      </c>
      <c r="D90" s="229"/>
      <c r="E90" s="229"/>
      <c r="F90" s="229"/>
      <c r="G90" s="229"/>
      <c r="H90" s="229"/>
      <c r="I90" s="229"/>
      <c r="J90" s="229"/>
      <c r="K90" s="229"/>
      <c r="L90" s="229"/>
      <c r="M90" s="229"/>
      <c r="N90" s="229"/>
      <c r="O90" s="229"/>
      <c r="P90" s="229"/>
      <c r="Q90" s="229"/>
      <c r="R90" s="229"/>
      <c r="S90" s="229"/>
      <c r="T90" s="229"/>
      <c r="U90" s="229"/>
      <c r="V90" s="229"/>
      <c r="W90" s="229"/>
      <c r="X90" s="229"/>
      <c r="Y90" s="229"/>
      <c r="Z90" s="229"/>
      <c r="AA90" s="229"/>
      <c r="AB90" s="229"/>
      <c r="AC90" s="229">
        <v>0</v>
      </c>
    </row>
    <row r="91" spans="1:29" s="57" customFormat="1" ht="13.8">
      <c r="A91" s="591" t="s">
        <v>1436</v>
      </c>
      <c r="B91" s="57" t="s">
        <v>2020</v>
      </c>
      <c r="D91" s="229"/>
      <c r="E91" s="229"/>
      <c r="F91" s="229"/>
      <c r="G91" s="229"/>
      <c r="H91" s="229"/>
      <c r="I91" s="229"/>
      <c r="J91" s="229"/>
      <c r="K91" s="229"/>
      <c r="L91" s="229"/>
      <c r="M91" s="229"/>
      <c r="N91" s="229"/>
      <c r="O91" s="229"/>
      <c r="P91" s="229"/>
      <c r="Q91" s="229">
        <v>-4034</v>
      </c>
      <c r="R91" s="229">
        <v>-4034</v>
      </c>
      <c r="S91" s="229">
        <v>-4107</v>
      </c>
      <c r="T91" s="229"/>
      <c r="U91" s="229"/>
      <c r="V91" s="229"/>
      <c r="W91" s="229">
        <v>-18872</v>
      </c>
      <c r="X91" s="229">
        <v>-746</v>
      </c>
      <c r="Y91" s="229">
        <v>-13577</v>
      </c>
      <c r="Z91" s="229">
        <v>-16469</v>
      </c>
      <c r="AA91" s="229">
        <v>-72</v>
      </c>
      <c r="AB91" s="229">
        <v>-3197</v>
      </c>
      <c r="AC91" s="229">
        <v>-13550</v>
      </c>
    </row>
    <row r="92" spans="1:29" s="57" customFormat="1" ht="13.8">
      <c r="A92" s="591" t="s">
        <v>1437</v>
      </c>
      <c r="B92" s="57" t="s">
        <v>2021</v>
      </c>
      <c r="D92" s="229"/>
      <c r="E92" s="229"/>
      <c r="F92" s="229"/>
      <c r="G92" s="229"/>
      <c r="H92" s="229"/>
      <c r="I92" s="229"/>
      <c r="J92" s="229"/>
      <c r="K92" s="229"/>
      <c r="L92" s="229">
        <v>-1922</v>
      </c>
      <c r="M92" s="229"/>
      <c r="N92" s="229">
        <v>-31118</v>
      </c>
      <c r="O92" s="229">
        <v>-61456</v>
      </c>
      <c r="P92" s="229">
        <v>-15219</v>
      </c>
      <c r="Q92" s="229">
        <v>-39791</v>
      </c>
      <c r="R92" s="229">
        <v>-48884</v>
      </c>
      <c r="S92" s="229">
        <v>-61658</v>
      </c>
      <c r="T92" s="229">
        <v>-17721</v>
      </c>
      <c r="U92" s="229">
        <v>-51566</v>
      </c>
      <c r="V92" s="229">
        <v>-92219</v>
      </c>
      <c r="W92" s="229">
        <v>-114043</v>
      </c>
      <c r="X92" s="229">
        <v>-32730.991999999998</v>
      </c>
      <c r="Y92" s="229">
        <v>-42190.203000000001</v>
      </c>
      <c r="Z92" s="229">
        <v>-53566.580999999998</v>
      </c>
      <c r="AA92" s="229">
        <v>-92622.493000000002</v>
      </c>
      <c r="AB92" s="229">
        <v>-5723</v>
      </c>
      <c r="AC92" s="229">
        <v>-12812</v>
      </c>
    </row>
    <row r="93" spans="1:29" s="57" customFormat="1" ht="13.8">
      <c r="A93" s="591" t="s">
        <v>1438</v>
      </c>
      <c r="B93" s="57" t="s">
        <v>2022</v>
      </c>
      <c r="D93" s="229"/>
      <c r="E93" s="229"/>
      <c r="F93" s="229"/>
      <c r="G93" s="229"/>
      <c r="H93" s="229"/>
      <c r="I93" s="229"/>
      <c r="J93" s="229"/>
      <c r="K93" s="229"/>
      <c r="L93" s="229"/>
      <c r="M93" s="229"/>
      <c r="N93" s="229"/>
      <c r="O93" s="229"/>
      <c r="P93" s="229"/>
      <c r="Q93" s="229"/>
      <c r="R93" s="229"/>
      <c r="S93" s="229"/>
      <c r="T93" s="229"/>
      <c r="U93" s="229"/>
      <c r="V93" s="229"/>
      <c r="W93" s="229"/>
      <c r="X93" s="229"/>
      <c r="Y93" s="229"/>
      <c r="Z93" s="229"/>
      <c r="AA93" s="229"/>
      <c r="AB93" s="229"/>
      <c r="AC93" s="229">
        <v>0</v>
      </c>
    </row>
    <row r="94" spans="1:29" s="57" customFormat="1" ht="13.8">
      <c r="A94" s="591" t="s">
        <v>1439</v>
      </c>
      <c r="B94" s="57" t="s">
        <v>2023</v>
      </c>
      <c r="D94" s="229"/>
      <c r="E94" s="229"/>
      <c r="F94" s="229"/>
      <c r="G94" s="229"/>
      <c r="H94" s="229"/>
      <c r="I94" s="229"/>
      <c r="J94" s="229"/>
      <c r="K94" s="229"/>
      <c r="L94" s="229"/>
      <c r="M94" s="229"/>
      <c r="N94" s="229"/>
      <c r="O94" s="229"/>
      <c r="P94" s="229"/>
      <c r="Q94" s="229"/>
      <c r="R94" s="229"/>
      <c r="S94" s="229"/>
      <c r="T94" s="229"/>
      <c r="U94" s="229"/>
      <c r="V94" s="229"/>
      <c r="W94" s="229"/>
      <c r="X94" s="229"/>
      <c r="Y94" s="229"/>
      <c r="Z94" s="229"/>
      <c r="AA94" s="229"/>
      <c r="AB94" s="229"/>
      <c r="AC94" s="229">
        <v>0</v>
      </c>
    </row>
    <row r="95" spans="1:29" s="57" customFormat="1" ht="13.8">
      <c r="A95" s="591" t="s">
        <v>1440</v>
      </c>
      <c r="B95" s="57" t="s">
        <v>2024</v>
      </c>
      <c r="D95" s="229"/>
      <c r="E95" s="229"/>
      <c r="F95" s="229"/>
      <c r="G95" s="229"/>
      <c r="H95" s="229"/>
      <c r="I95" s="229"/>
      <c r="J95" s="229"/>
      <c r="K95" s="229"/>
      <c r="L95" s="229"/>
      <c r="M95" s="229"/>
      <c r="N95" s="229"/>
      <c r="O95" s="229"/>
      <c r="P95" s="229"/>
      <c r="Q95" s="229"/>
      <c r="R95" s="229"/>
      <c r="S95" s="229"/>
      <c r="T95" s="229"/>
      <c r="U95" s="229"/>
      <c r="V95" s="229"/>
      <c r="W95" s="229"/>
      <c r="X95" s="229"/>
      <c r="Y95" s="229"/>
      <c r="Z95" s="229"/>
      <c r="AA95" s="229"/>
      <c r="AB95" s="229"/>
      <c r="AC95" s="229">
        <v>0</v>
      </c>
    </row>
    <row r="96" spans="1:29" s="57" customFormat="1" ht="13.8">
      <c r="A96" s="591" t="s">
        <v>1441</v>
      </c>
      <c r="B96" s="57" t="s">
        <v>2025</v>
      </c>
      <c r="D96" s="229"/>
      <c r="E96" s="229"/>
      <c r="F96" s="229"/>
      <c r="G96" s="229"/>
      <c r="H96" s="229"/>
      <c r="I96" s="229"/>
      <c r="J96" s="229"/>
      <c r="K96" s="229"/>
      <c r="L96" s="229"/>
      <c r="M96" s="229"/>
      <c r="N96" s="229"/>
      <c r="O96" s="229"/>
      <c r="P96" s="229"/>
      <c r="Q96" s="229"/>
      <c r="R96" s="229"/>
      <c r="S96" s="229"/>
      <c r="T96" s="229"/>
      <c r="U96" s="229"/>
      <c r="V96" s="229"/>
      <c r="W96" s="229"/>
      <c r="X96" s="229"/>
      <c r="Y96" s="229"/>
      <c r="Z96" s="229"/>
      <c r="AA96" s="229"/>
      <c r="AB96" s="229"/>
      <c r="AC96" s="229">
        <v>0</v>
      </c>
    </row>
    <row r="97" spans="1:29" s="57" customFormat="1" ht="13.8">
      <c r="A97" s="591" t="s">
        <v>1442</v>
      </c>
      <c r="B97" s="57" t="s">
        <v>2026</v>
      </c>
      <c r="D97" s="229"/>
      <c r="E97" s="229"/>
      <c r="F97" s="229"/>
      <c r="G97" s="229"/>
      <c r="H97" s="229"/>
      <c r="I97" s="229"/>
      <c r="J97" s="229"/>
      <c r="K97" s="229"/>
      <c r="L97" s="229"/>
      <c r="M97" s="229"/>
      <c r="N97" s="229"/>
      <c r="O97" s="229"/>
      <c r="P97" s="229"/>
      <c r="Q97" s="229"/>
      <c r="R97" s="229"/>
      <c r="S97" s="229"/>
      <c r="T97" s="229"/>
      <c r="U97" s="229"/>
      <c r="V97" s="229"/>
      <c r="W97" s="229"/>
      <c r="X97" s="229"/>
      <c r="Y97" s="229"/>
      <c r="Z97" s="229"/>
      <c r="AA97" s="229"/>
      <c r="AB97" s="229"/>
      <c r="AC97" s="229">
        <v>0</v>
      </c>
    </row>
    <row r="98" spans="1:29" s="57" customFormat="1" ht="13.8">
      <c r="A98" s="591" t="s">
        <v>1443</v>
      </c>
      <c r="B98" s="57" t="s">
        <v>2028</v>
      </c>
      <c r="D98" s="229"/>
      <c r="E98" s="229"/>
      <c r="F98" s="229"/>
      <c r="G98" s="229"/>
      <c r="H98" s="229"/>
      <c r="I98" s="229"/>
      <c r="J98" s="229"/>
      <c r="K98" s="229"/>
      <c r="L98" s="229"/>
      <c r="M98" s="229"/>
      <c r="N98" s="229"/>
      <c r="O98" s="229"/>
      <c r="P98" s="229"/>
      <c r="Q98" s="229"/>
      <c r="R98" s="229"/>
      <c r="S98" s="229"/>
      <c r="T98" s="229"/>
      <c r="U98" s="229"/>
      <c r="V98" s="229"/>
      <c r="W98" s="229"/>
      <c r="X98" s="229"/>
      <c r="Y98" s="229"/>
      <c r="Z98" s="229"/>
      <c r="AA98" s="229"/>
      <c r="AB98" s="229"/>
      <c r="AC98" s="229">
        <v>0</v>
      </c>
    </row>
    <row r="99" spans="1:29" s="57" customFormat="1" ht="13.8">
      <c r="A99" s="591" t="s">
        <v>1444</v>
      </c>
      <c r="B99" s="57" t="s">
        <v>2029</v>
      </c>
      <c r="D99" s="229"/>
      <c r="E99" s="229"/>
      <c r="F99" s="229"/>
      <c r="G99" s="229"/>
      <c r="H99" s="229"/>
      <c r="I99" s="229"/>
      <c r="J99" s="229"/>
      <c r="K99" s="229"/>
      <c r="L99" s="229"/>
      <c r="M99" s="229"/>
      <c r="N99" s="229"/>
      <c r="O99" s="229"/>
      <c r="P99" s="229"/>
      <c r="Q99" s="229"/>
      <c r="R99" s="229"/>
      <c r="S99" s="229"/>
      <c r="T99" s="229"/>
      <c r="U99" s="229"/>
      <c r="V99" s="229"/>
      <c r="W99" s="229"/>
      <c r="X99" s="229"/>
      <c r="Y99" s="229"/>
      <c r="Z99" s="229"/>
      <c r="AA99" s="229"/>
      <c r="AB99" s="229"/>
      <c r="AC99" s="229">
        <v>0</v>
      </c>
    </row>
    <row r="100" spans="1:29" s="57" customFormat="1" ht="13.8">
      <c r="A100" s="591" t="s">
        <v>1445</v>
      </c>
      <c r="B100" s="57" t="s">
        <v>2027</v>
      </c>
      <c r="D100" s="229"/>
      <c r="E100" s="229"/>
      <c r="F100" s="229"/>
      <c r="G100" s="229"/>
      <c r="H100" s="229"/>
      <c r="I100" s="229"/>
      <c r="J100" s="229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 s="229"/>
      <c r="W100" s="229"/>
      <c r="X100" s="229"/>
      <c r="Y100" s="229"/>
      <c r="Z100" s="229"/>
      <c r="AA100" s="229"/>
      <c r="AB100" s="229"/>
      <c r="AC100" s="229">
        <v>0</v>
      </c>
    </row>
    <row r="101" spans="1:29" s="57" customFormat="1" ht="13.8">
      <c r="A101" s="591" t="s">
        <v>1446</v>
      </c>
      <c r="B101" s="57" t="s">
        <v>2030</v>
      </c>
      <c r="D101" s="229"/>
      <c r="E101" s="229"/>
      <c r="F101" s="229"/>
      <c r="G101" s="229"/>
      <c r="H101" s="229"/>
      <c r="I101" s="229"/>
      <c r="J101" s="229"/>
      <c r="K101" s="229"/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W101" s="229"/>
      <c r="X101" s="229"/>
      <c r="Y101" s="229"/>
      <c r="Z101" s="229"/>
      <c r="AA101" s="229"/>
      <c r="AB101" s="229"/>
      <c r="AC101" s="229">
        <v>0</v>
      </c>
    </row>
    <row r="102" spans="1:29" s="57" customFormat="1" ht="13.8">
      <c r="A102" s="591" t="s">
        <v>1447</v>
      </c>
      <c r="B102" s="57" t="s">
        <v>2031</v>
      </c>
      <c r="D102" s="229"/>
      <c r="E102" s="229"/>
      <c r="F102" s="229"/>
      <c r="G102" s="229"/>
      <c r="H102" s="229"/>
      <c r="I102" s="229"/>
      <c r="J102" s="229"/>
      <c r="K102" s="229"/>
      <c r="L102" s="229"/>
      <c r="M102" s="229"/>
      <c r="N102" s="229"/>
      <c r="O102" s="229"/>
      <c r="P102" s="229"/>
      <c r="Q102" s="229"/>
      <c r="R102" s="229"/>
      <c r="S102" s="229"/>
      <c r="T102" s="229"/>
      <c r="U102" s="229"/>
      <c r="V102" s="229"/>
      <c r="W102" s="229"/>
      <c r="X102" s="229"/>
      <c r="Y102" s="229"/>
      <c r="Z102" s="229"/>
      <c r="AA102" s="229"/>
      <c r="AB102" s="229"/>
      <c r="AC102" s="229">
        <v>0</v>
      </c>
    </row>
    <row r="103" spans="1:29" s="57" customFormat="1" ht="13.8">
      <c r="A103" s="591" t="s">
        <v>1448</v>
      </c>
      <c r="B103" s="57" t="s">
        <v>2032</v>
      </c>
      <c r="D103" s="229"/>
      <c r="E103" s="229"/>
      <c r="F103" s="229"/>
      <c r="G103" s="229"/>
      <c r="H103" s="229"/>
      <c r="I103" s="229"/>
      <c r="J103" s="229"/>
      <c r="K103" s="229"/>
      <c r="L103" s="229"/>
      <c r="M103" s="229"/>
      <c r="N103" s="229"/>
      <c r="O103" s="229"/>
      <c r="P103" s="229"/>
      <c r="Q103" s="229"/>
      <c r="R103" s="229"/>
      <c r="S103" s="229"/>
      <c r="T103" s="229"/>
      <c r="U103" s="229"/>
      <c r="V103" s="229"/>
      <c r="W103" s="229"/>
      <c r="X103" s="229"/>
      <c r="Y103" s="229"/>
      <c r="Z103" s="229"/>
      <c r="AA103" s="229"/>
      <c r="AB103" s="229"/>
      <c r="AC103" s="229">
        <v>0</v>
      </c>
    </row>
    <row r="104" spans="1:29" s="57" customFormat="1" ht="13.8">
      <c r="A104" s="591" t="s">
        <v>1449</v>
      </c>
      <c r="B104" s="57" t="s">
        <v>2033</v>
      </c>
      <c r="D104" s="229"/>
      <c r="E104" s="229"/>
      <c r="F104" s="229"/>
      <c r="G104" s="229"/>
      <c r="H104" s="229"/>
      <c r="I104" s="229"/>
      <c r="J104" s="229"/>
      <c r="K104" s="229"/>
      <c r="L104" s="229">
        <v>3245</v>
      </c>
      <c r="M104" s="229">
        <v>13473</v>
      </c>
      <c r="N104" s="229">
        <v>51851</v>
      </c>
      <c r="O104" s="229">
        <v>80055</v>
      </c>
      <c r="P104" s="229">
        <v>38317</v>
      </c>
      <c r="Q104" s="229">
        <v>10087</v>
      </c>
      <c r="R104" s="229">
        <v>26650</v>
      </c>
      <c r="S104" s="229">
        <v>27541</v>
      </c>
      <c r="T104" s="229">
        <v>5877</v>
      </c>
      <c r="U104" s="229">
        <v>14977</v>
      </c>
      <c r="V104" s="229">
        <v>-19557</v>
      </c>
      <c r="W104" s="229">
        <v>9373</v>
      </c>
      <c r="X104" s="229">
        <v>-5683</v>
      </c>
      <c r="Y104" s="229">
        <v>-12233</v>
      </c>
      <c r="Z104" s="229">
        <v>1569.1527100000003</v>
      </c>
      <c r="AA104" s="229">
        <v>53.152710000000411</v>
      </c>
      <c r="AB104" s="229">
        <v>-1320</v>
      </c>
      <c r="AC104" s="229">
        <v>-2597</v>
      </c>
    </row>
    <row r="105" spans="1:29" s="589" customFormat="1" thickBot="1">
      <c r="A105" s="596" t="s">
        <v>1450</v>
      </c>
      <c r="B105" s="596" t="s">
        <v>2038</v>
      </c>
      <c r="C105" s="596"/>
      <c r="D105" s="597">
        <f t="shared" ref="D105:Y105" si="6">SUM(D88:D104)</f>
        <v>0</v>
      </c>
      <c r="E105" s="597">
        <f t="shared" si="6"/>
        <v>0</v>
      </c>
      <c r="F105" s="597">
        <f t="shared" si="6"/>
        <v>0</v>
      </c>
      <c r="G105" s="597">
        <f t="shared" si="6"/>
        <v>0</v>
      </c>
      <c r="H105" s="597">
        <f t="shared" si="6"/>
        <v>0</v>
      </c>
      <c r="I105" s="597">
        <f t="shared" si="6"/>
        <v>0</v>
      </c>
      <c r="J105" s="597">
        <f t="shared" si="6"/>
        <v>0</v>
      </c>
      <c r="K105" s="597">
        <f t="shared" si="6"/>
        <v>0</v>
      </c>
      <c r="L105" s="597">
        <f t="shared" si="6"/>
        <v>-1869</v>
      </c>
      <c r="M105" s="597">
        <f t="shared" si="6"/>
        <v>6271</v>
      </c>
      <c r="N105" s="597">
        <f t="shared" si="6"/>
        <v>20733</v>
      </c>
      <c r="O105" s="597">
        <f t="shared" si="6"/>
        <v>15948</v>
      </c>
      <c r="P105" s="597">
        <f t="shared" si="6"/>
        <v>18168</v>
      </c>
      <c r="Q105" s="597">
        <f t="shared" si="6"/>
        <v>-34634</v>
      </c>
      <c r="R105" s="597">
        <f t="shared" si="6"/>
        <v>-27164</v>
      </c>
      <c r="S105" s="597">
        <f t="shared" si="6"/>
        <v>-39120</v>
      </c>
      <c r="T105" s="597">
        <f t="shared" si="6"/>
        <v>-11844</v>
      </c>
      <c r="U105" s="597">
        <f t="shared" si="6"/>
        <v>-36589</v>
      </c>
      <c r="V105" s="597">
        <f t="shared" si="6"/>
        <v>-111776</v>
      </c>
      <c r="W105" s="597">
        <f t="shared" si="6"/>
        <v>-133670</v>
      </c>
      <c r="X105" s="597">
        <f t="shared" si="6"/>
        <v>-39375.991999999998</v>
      </c>
      <c r="Y105" s="597">
        <f t="shared" si="6"/>
        <v>-77778.203000000009</v>
      </c>
      <c r="Z105" s="597">
        <f t="shared" ref="Z105:AC105" si="7">SUM(Z88:Z104)</f>
        <v>-79188.428290000011</v>
      </c>
      <c r="AA105" s="597">
        <f t="shared" si="7"/>
        <v>-94037.340290000007</v>
      </c>
      <c r="AB105" s="597">
        <f t="shared" si="7"/>
        <v>-10240</v>
      </c>
      <c r="AC105" s="597">
        <f t="shared" si="7"/>
        <v>-28959</v>
      </c>
    </row>
    <row r="106" spans="1:29" s="57" customFormat="1" ht="13.8">
      <c r="D106" s="229"/>
      <c r="E106" s="229"/>
      <c r="F106" s="229"/>
      <c r="G106" s="229"/>
      <c r="H106" s="229"/>
      <c r="I106" s="229"/>
      <c r="J106" s="229"/>
      <c r="K106" s="229"/>
      <c r="L106" s="229"/>
      <c r="M106" s="229"/>
      <c r="N106" s="229"/>
      <c r="O106" s="229"/>
      <c r="P106" s="229"/>
      <c r="Q106" s="229"/>
      <c r="R106" s="229"/>
      <c r="S106" s="229"/>
      <c r="T106" s="229"/>
      <c r="U106" s="229"/>
      <c r="V106" s="229"/>
      <c r="W106" s="229"/>
      <c r="X106" s="229"/>
      <c r="Y106" s="229"/>
      <c r="Z106" s="229"/>
      <c r="AA106" s="229"/>
      <c r="AB106" s="229"/>
      <c r="AC106" s="229"/>
    </row>
    <row r="107" spans="1:29" s="57" customFormat="1" ht="13.8">
      <c r="A107" s="134" t="s">
        <v>1451</v>
      </c>
      <c r="B107" s="589" t="s">
        <v>2039</v>
      </c>
      <c r="D107" s="229"/>
      <c r="E107" s="229"/>
      <c r="F107" s="229"/>
      <c r="G107" s="229"/>
      <c r="H107" s="229"/>
      <c r="I107" s="229"/>
      <c r="J107" s="229"/>
      <c r="K107" s="229"/>
      <c r="L107" s="229"/>
      <c r="M107" s="229"/>
      <c r="N107" s="229"/>
      <c r="O107" s="229"/>
      <c r="P107" s="229"/>
      <c r="Q107" s="229"/>
      <c r="R107" s="229"/>
      <c r="S107" s="229"/>
      <c r="T107" s="229"/>
      <c r="U107" s="229"/>
      <c r="V107" s="229"/>
      <c r="W107" s="229"/>
      <c r="X107" s="229"/>
      <c r="Y107" s="229"/>
      <c r="Z107" s="229"/>
      <c r="AA107" s="229"/>
      <c r="AB107" s="229"/>
      <c r="AC107" s="229"/>
    </row>
    <row r="108" spans="1:29" s="57" customFormat="1" ht="13.8">
      <c r="A108" s="591" t="s">
        <v>1452</v>
      </c>
      <c r="B108" s="57" t="s">
        <v>2040</v>
      </c>
      <c r="D108" s="229"/>
      <c r="E108" s="229"/>
      <c r="F108" s="229"/>
      <c r="G108" s="229"/>
      <c r="H108" s="229"/>
      <c r="I108" s="229"/>
      <c r="J108" s="229"/>
      <c r="K108" s="229"/>
      <c r="L108" s="229"/>
      <c r="M108" s="229"/>
      <c r="N108" s="229"/>
      <c r="O108" s="229"/>
      <c r="P108" s="229"/>
      <c r="Q108" s="229"/>
      <c r="R108" s="229"/>
      <c r="S108" s="229"/>
      <c r="T108" s="229"/>
      <c r="U108" s="229"/>
      <c r="V108" s="229">
        <v>-240</v>
      </c>
      <c r="W108" s="229"/>
      <c r="X108" s="229"/>
      <c r="Y108" s="229"/>
      <c r="Z108" s="229"/>
      <c r="AA108" s="229"/>
      <c r="AB108" s="229"/>
      <c r="AC108" s="229"/>
    </row>
    <row r="109" spans="1:29" s="57" customFormat="1" ht="13.8">
      <c r="A109" s="591" t="s">
        <v>1453</v>
      </c>
      <c r="B109" s="57" t="s">
        <v>2041</v>
      </c>
      <c r="D109" s="229"/>
      <c r="E109" s="229"/>
      <c r="F109" s="229"/>
      <c r="G109" s="229"/>
      <c r="H109" s="229"/>
      <c r="I109" s="229"/>
      <c r="J109" s="229"/>
      <c r="K109" s="229"/>
      <c r="L109" s="229"/>
      <c r="M109" s="229"/>
      <c r="N109" s="229"/>
      <c r="O109" s="229">
        <v>11080</v>
      </c>
      <c r="P109" s="229"/>
      <c r="Q109" s="229"/>
      <c r="R109" s="229">
        <v>123792</v>
      </c>
      <c r="S109" s="229">
        <v>123567</v>
      </c>
      <c r="T109" s="229"/>
      <c r="U109" s="229"/>
      <c r="V109" s="229"/>
      <c r="W109" s="229">
        <v>-240</v>
      </c>
      <c r="X109" s="229"/>
      <c r="Y109" s="229"/>
      <c r="Z109" s="229"/>
      <c r="AA109" s="229"/>
      <c r="AB109" s="229"/>
      <c r="AC109" s="229"/>
    </row>
    <row r="110" spans="1:29" s="57" customFormat="1" ht="13.8">
      <c r="A110" s="591" t="s">
        <v>1454</v>
      </c>
      <c r="B110" s="57" t="s">
        <v>2042</v>
      </c>
      <c r="D110" s="229"/>
      <c r="E110" s="229"/>
      <c r="F110" s="229"/>
      <c r="G110" s="229"/>
      <c r="H110" s="229"/>
      <c r="I110" s="229"/>
      <c r="J110" s="229"/>
      <c r="K110" s="229"/>
      <c r="L110" s="229"/>
      <c r="M110" s="229"/>
      <c r="N110" s="229"/>
      <c r="O110" s="229"/>
      <c r="P110" s="229"/>
      <c r="Q110" s="229"/>
      <c r="R110" s="229"/>
      <c r="S110" s="229">
        <v>955000</v>
      </c>
      <c r="T110" s="229"/>
      <c r="U110" s="229"/>
      <c r="V110" s="229"/>
      <c r="W110" s="229"/>
      <c r="X110" s="229"/>
      <c r="Y110" s="229"/>
      <c r="Z110" s="229"/>
      <c r="AA110" s="229"/>
      <c r="AB110" s="229"/>
      <c r="AC110" s="229"/>
    </row>
    <row r="111" spans="1:29" s="57" customFormat="1" ht="13.8">
      <c r="A111" s="591" t="s">
        <v>1455</v>
      </c>
      <c r="B111" s="57" t="s">
        <v>2043</v>
      </c>
      <c r="D111" s="229"/>
      <c r="E111" s="229"/>
      <c r="F111" s="229"/>
      <c r="G111" s="229"/>
      <c r="H111" s="229"/>
      <c r="I111" s="229"/>
      <c r="J111" s="229"/>
      <c r="K111" s="229"/>
      <c r="L111" s="229"/>
      <c r="M111" s="229"/>
      <c r="N111" s="229"/>
      <c r="O111" s="229"/>
      <c r="P111" s="229"/>
      <c r="Q111" s="229"/>
      <c r="R111" s="229"/>
      <c r="S111" s="229">
        <v>-648215</v>
      </c>
      <c r="T111" s="229"/>
      <c r="U111" s="229"/>
      <c r="V111" s="229">
        <v>-1967</v>
      </c>
      <c r="W111" s="229">
        <v>-1967</v>
      </c>
      <c r="X111" s="229"/>
      <c r="Y111" s="229">
        <v>-126209</v>
      </c>
      <c r="Z111" s="229">
        <v>-126209</v>
      </c>
      <c r="AA111" s="229">
        <v>-378628</v>
      </c>
      <c r="AB111" s="229">
        <v>0</v>
      </c>
      <c r="AC111" s="229">
        <v>0</v>
      </c>
    </row>
    <row r="112" spans="1:29" s="104" customFormat="1" ht="13.8">
      <c r="A112" s="591" t="s">
        <v>1456</v>
      </c>
      <c r="B112" s="57" t="s">
        <v>2045</v>
      </c>
      <c r="D112" s="138"/>
      <c r="E112" s="138"/>
      <c r="F112" s="138"/>
      <c r="G112" s="138"/>
      <c r="H112" s="138"/>
      <c r="I112" s="138"/>
      <c r="J112" s="138"/>
      <c r="K112" s="138"/>
      <c r="L112" s="138"/>
      <c r="M112" s="138"/>
      <c r="N112" s="138"/>
      <c r="O112" s="138"/>
      <c r="P112" s="138"/>
      <c r="Q112" s="138">
        <v>50000</v>
      </c>
      <c r="R112" s="138">
        <v>50000</v>
      </c>
      <c r="S112" s="138">
        <v>50000</v>
      </c>
      <c r="T112" s="138"/>
      <c r="U112" s="138"/>
      <c r="V112" s="138">
        <v>57331</v>
      </c>
      <c r="W112" s="138">
        <v>60331</v>
      </c>
      <c r="X112" s="138">
        <v>54710</v>
      </c>
      <c r="Y112" s="138">
        <v>243925</v>
      </c>
      <c r="Z112" s="138">
        <v>263728</v>
      </c>
      <c r="AA112" s="138">
        <v>547568</v>
      </c>
      <c r="AB112" s="138">
        <v>19000</v>
      </c>
      <c r="AC112" s="229">
        <v>35000</v>
      </c>
    </row>
    <row r="113" spans="1:29" s="57" customFormat="1" ht="13.8">
      <c r="A113" s="591" t="s">
        <v>1457</v>
      </c>
      <c r="B113" s="57" t="s">
        <v>2044</v>
      </c>
      <c r="D113" s="229"/>
      <c r="E113" s="229"/>
      <c r="F113" s="229"/>
      <c r="G113" s="229"/>
      <c r="H113" s="229"/>
      <c r="I113" s="229"/>
      <c r="J113" s="229"/>
      <c r="K113" s="229"/>
      <c r="L113" s="229"/>
      <c r="M113" s="229"/>
      <c r="N113" s="229"/>
      <c r="O113" s="229"/>
      <c r="P113" s="229"/>
      <c r="Q113" s="229"/>
      <c r="R113" s="229"/>
      <c r="S113" s="229">
        <v>-1330</v>
      </c>
      <c r="T113" s="229">
        <v>-266</v>
      </c>
      <c r="U113" s="229">
        <v>-552</v>
      </c>
      <c r="V113" s="229">
        <v>-847</v>
      </c>
      <c r="W113" s="229">
        <v>-1149</v>
      </c>
      <c r="X113" s="229">
        <v>-311</v>
      </c>
      <c r="Y113" s="229">
        <v>-631</v>
      </c>
      <c r="Z113" s="229">
        <v>-962</v>
      </c>
      <c r="AA113" s="229">
        <v>-1006</v>
      </c>
      <c r="AB113" s="229">
        <v>-42</v>
      </c>
      <c r="AC113" s="229">
        <v>-495</v>
      </c>
    </row>
    <row r="114" spans="1:29" s="57" customFormat="1" ht="13.8">
      <c r="A114" s="591" t="s">
        <v>1458</v>
      </c>
      <c r="B114" s="57" t="s">
        <v>2045</v>
      </c>
      <c r="D114" s="229"/>
      <c r="E114" s="229"/>
      <c r="F114" s="229"/>
      <c r="G114" s="229"/>
      <c r="H114" s="229"/>
      <c r="I114" s="229"/>
      <c r="J114" s="229"/>
      <c r="K114" s="229"/>
      <c r="L114" s="229"/>
      <c r="M114" s="229"/>
      <c r="N114" s="229"/>
      <c r="O114" s="229"/>
      <c r="P114" s="229"/>
      <c r="Q114" s="229"/>
      <c r="R114" s="229"/>
      <c r="S114" s="229"/>
      <c r="T114" s="229"/>
      <c r="U114" s="229"/>
      <c r="V114" s="229"/>
      <c r="W114" s="229"/>
      <c r="X114" s="229"/>
      <c r="Y114" s="229"/>
      <c r="Z114" s="229"/>
      <c r="AA114" s="229"/>
      <c r="AB114" s="229"/>
      <c r="AC114" s="229"/>
    </row>
    <row r="115" spans="1:29" s="57" customFormat="1" ht="13.8">
      <c r="A115" s="591" t="s">
        <v>1459</v>
      </c>
      <c r="B115" s="57" t="s">
        <v>2046</v>
      </c>
      <c r="D115" s="229"/>
      <c r="E115" s="229"/>
      <c r="F115" s="229"/>
      <c r="G115" s="229"/>
      <c r="H115" s="229"/>
      <c r="I115" s="229"/>
      <c r="J115" s="229"/>
      <c r="K115" s="229"/>
      <c r="L115" s="229"/>
      <c r="M115" s="229"/>
      <c r="N115" s="229"/>
      <c r="O115" s="229"/>
      <c r="P115" s="229"/>
      <c r="Q115" s="229"/>
      <c r="R115" s="229"/>
      <c r="S115" s="229"/>
      <c r="T115" s="229"/>
      <c r="U115" s="229"/>
      <c r="V115" s="229"/>
      <c r="W115" s="229"/>
      <c r="X115" s="229"/>
      <c r="Y115" s="229"/>
      <c r="Z115" s="229"/>
      <c r="AA115" s="229"/>
      <c r="AB115" s="229"/>
      <c r="AC115" s="229"/>
    </row>
    <row r="116" spans="1:29" s="57" customFormat="1" ht="13.8">
      <c r="A116" s="591" t="s">
        <v>1460</v>
      </c>
      <c r="B116" s="57" t="s">
        <v>2047</v>
      </c>
      <c r="D116" s="229"/>
      <c r="E116" s="229"/>
      <c r="F116" s="229"/>
      <c r="G116" s="229"/>
      <c r="H116" s="229"/>
      <c r="I116" s="229"/>
      <c r="J116" s="229"/>
      <c r="K116" s="229"/>
      <c r="L116" s="229"/>
      <c r="M116" s="229"/>
      <c r="N116" s="229"/>
      <c r="O116" s="229"/>
      <c r="P116" s="229"/>
      <c r="Q116" s="229"/>
      <c r="R116" s="229"/>
      <c r="S116" s="229"/>
      <c r="T116" s="229"/>
      <c r="U116" s="229"/>
      <c r="V116" s="229"/>
      <c r="W116" s="229"/>
      <c r="X116" s="229"/>
      <c r="Y116" s="229"/>
      <c r="Z116" s="229"/>
      <c r="AA116" s="229"/>
      <c r="AB116" s="229"/>
      <c r="AC116" s="229"/>
    </row>
    <row r="117" spans="1:29" s="57" customFormat="1" ht="13.8">
      <c r="A117" s="599" t="s">
        <v>1461</v>
      </c>
      <c r="B117" s="57" t="s">
        <v>2048</v>
      </c>
      <c r="D117" s="229"/>
      <c r="E117" s="229"/>
      <c r="F117" s="229"/>
      <c r="G117" s="229"/>
      <c r="H117" s="229"/>
      <c r="I117" s="229"/>
      <c r="J117" s="229"/>
      <c r="K117" s="229"/>
      <c r="L117" s="229"/>
      <c r="M117" s="229"/>
      <c r="N117" s="229"/>
      <c r="O117" s="229"/>
      <c r="P117" s="229"/>
      <c r="Q117" s="229"/>
      <c r="R117" s="229"/>
      <c r="S117" s="229"/>
      <c r="T117" s="229"/>
      <c r="U117" s="229"/>
      <c r="V117" s="229"/>
      <c r="W117" s="229"/>
      <c r="X117" s="229"/>
      <c r="Y117" s="229"/>
      <c r="Z117" s="229"/>
      <c r="AA117" s="229"/>
      <c r="AB117" s="229"/>
      <c r="AC117" s="229"/>
    </row>
    <row r="118" spans="1:29" s="57" customFormat="1" ht="13.8">
      <c r="A118" s="591" t="s">
        <v>1462</v>
      </c>
      <c r="B118" s="57" t="s">
        <v>2049</v>
      </c>
      <c r="D118" s="229"/>
      <c r="E118" s="229"/>
      <c r="F118" s="229"/>
      <c r="G118" s="229"/>
      <c r="H118" s="229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29"/>
      <c r="U118" s="229"/>
      <c r="V118" s="229"/>
      <c r="W118" s="229"/>
      <c r="X118" s="229"/>
      <c r="Y118" s="229"/>
      <c r="Z118" s="229"/>
      <c r="AA118" s="229"/>
      <c r="AB118" s="229"/>
      <c r="AC118" s="229"/>
    </row>
    <row r="119" spans="1:29" s="57" customFormat="1" ht="13.8">
      <c r="A119" s="591" t="s">
        <v>1463</v>
      </c>
      <c r="B119" s="57" t="s">
        <v>2050</v>
      </c>
      <c r="D119" s="229"/>
      <c r="E119" s="229"/>
      <c r="F119" s="229"/>
      <c r="G119" s="229"/>
      <c r="H119" s="229"/>
      <c r="I119" s="229"/>
      <c r="J119" s="229"/>
      <c r="K119" s="229"/>
      <c r="L119" s="229"/>
      <c r="M119" s="229"/>
      <c r="N119" s="229"/>
      <c r="O119" s="229"/>
      <c r="P119" s="229"/>
      <c r="Q119" s="229"/>
      <c r="R119" s="229"/>
      <c r="S119" s="229"/>
      <c r="T119" s="229"/>
      <c r="U119" s="229"/>
      <c r="V119" s="229"/>
      <c r="W119" s="229"/>
      <c r="X119" s="229"/>
      <c r="Y119" s="229"/>
      <c r="Z119" s="229"/>
      <c r="AA119" s="229"/>
      <c r="AB119" s="229"/>
      <c r="AC119" s="229"/>
    </row>
    <row r="120" spans="1:29" s="57" customFormat="1" ht="13.8">
      <c r="A120" s="591" t="s">
        <v>1464</v>
      </c>
      <c r="B120" s="57" t="s">
        <v>2051</v>
      </c>
      <c r="D120" s="229"/>
      <c r="E120" s="229"/>
      <c r="F120" s="229"/>
      <c r="G120" s="229"/>
      <c r="H120" s="229"/>
      <c r="I120" s="229"/>
      <c r="J120" s="229"/>
      <c r="K120" s="229"/>
      <c r="L120" s="229"/>
      <c r="M120" s="229"/>
      <c r="N120" s="229"/>
      <c r="O120" s="229"/>
      <c r="P120" s="229"/>
      <c r="Q120" s="229"/>
      <c r="R120" s="229"/>
      <c r="S120" s="229"/>
      <c r="T120" s="229"/>
      <c r="U120" s="229"/>
      <c r="V120" s="229"/>
      <c r="W120" s="229"/>
      <c r="X120" s="229"/>
      <c r="Y120" s="229"/>
      <c r="Z120" s="229"/>
      <c r="AA120" s="229"/>
      <c r="AB120" s="229"/>
      <c r="AC120" s="229"/>
    </row>
    <row r="121" spans="1:29" s="165" customFormat="1" ht="13.8">
      <c r="A121" s="591" t="s">
        <v>1465</v>
      </c>
      <c r="B121" s="57" t="s">
        <v>2052</v>
      </c>
      <c r="C121" s="57"/>
      <c r="D121" s="229"/>
      <c r="E121" s="229"/>
      <c r="F121" s="229"/>
      <c r="G121" s="229"/>
      <c r="H121" s="229"/>
      <c r="I121" s="229"/>
      <c r="J121" s="229"/>
      <c r="K121" s="229"/>
      <c r="L121" s="229"/>
      <c r="M121" s="229"/>
      <c r="N121" s="229"/>
      <c r="O121" s="229"/>
      <c r="P121" s="229"/>
      <c r="Q121" s="229"/>
      <c r="R121" s="229"/>
      <c r="S121" s="229"/>
      <c r="T121" s="229"/>
      <c r="U121" s="229"/>
      <c r="V121" s="229"/>
      <c r="W121" s="229"/>
      <c r="X121" s="229"/>
      <c r="Y121" s="229"/>
      <c r="Z121" s="229"/>
      <c r="AA121" s="229"/>
      <c r="AB121" s="229"/>
      <c r="AC121" s="229"/>
    </row>
    <row r="122" spans="1:29" s="589" customFormat="1" thickBot="1">
      <c r="A122" s="596" t="s">
        <v>1466</v>
      </c>
      <c r="B122" s="596"/>
      <c r="C122" s="596"/>
      <c r="D122" s="597">
        <f>SUM(D108:D120)</f>
        <v>0</v>
      </c>
      <c r="E122" s="597">
        <f>SUM(E108:E120)</f>
        <v>0</v>
      </c>
      <c r="F122" s="597">
        <f>SUM(F108:F120)</f>
        <v>0</v>
      </c>
      <c r="G122" s="597">
        <f>SUM(G108:G120)</f>
        <v>0</v>
      </c>
      <c r="H122" s="597">
        <f>SUM(H108:H120)</f>
        <v>0</v>
      </c>
      <c r="I122" s="597">
        <f>SUM(I107:I120)</f>
        <v>0</v>
      </c>
      <c r="J122" s="597">
        <f t="shared" ref="J122:X122" si="8">SUM(J108:J120)</f>
        <v>0</v>
      </c>
      <c r="K122" s="597">
        <f t="shared" si="8"/>
        <v>0</v>
      </c>
      <c r="L122" s="597">
        <f t="shared" si="8"/>
        <v>0</v>
      </c>
      <c r="M122" s="597">
        <f t="shared" si="8"/>
        <v>0</v>
      </c>
      <c r="N122" s="597">
        <f t="shared" si="8"/>
        <v>0</v>
      </c>
      <c r="O122" s="597">
        <f t="shared" si="8"/>
        <v>11080</v>
      </c>
      <c r="P122" s="597">
        <f t="shared" si="8"/>
        <v>0</v>
      </c>
      <c r="Q122" s="597">
        <f t="shared" si="8"/>
        <v>50000</v>
      </c>
      <c r="R122" s="597">
        <f t="shared" si="8"/>
        <v>173792</v>
      </c>
      <c r="S122" s="597">
        <f t="shared" si="8"/>
        <v>479022</v>
      </c>
      <c r="T122" s="597">
        <f t="shared" si="8"/>
        <v>-266</v>
      </c>
      <c r="U122" s="597">
        <f t="shared" si="8"/>
        <v>-552</v>
      </c>
      <c r="V122" s="597">
        <f t="shared" si="8"/>
        <v>54277</v>
      </c>
      <c r="W122" s="597">
        <f t="shared" si="8"/>
        <v>56975</v>
      </c>
      <c r="X122" s="597">
        <f t="shared" si="8"/>
        <v>54399</v>
      </c>
      <c r="Y122" s="597">
        <f>SUM(Y108:Y120)</f>
        <v>117085</v>
      </c>
      <c r="Z122" s="597">
        <f>SUM(Z108:Z120)</f>
        <v>136557</v>
      </c>
      <c r="AA122" s="597">
        <f>SUM(AA108:AA120)</f>
        <v>167934</v>
      </c>
      <c r="AB122" s="597">
        <f>SUM(AB108:AB120)</f>
        <v>18958</v>
      </c>
      <c r="AC122" s="597">
        <f>SUM(AC108:AC120)</f>
        <v>34505</v>
      </c>
    </row>
    <row r="123" spans="1:29" s="57" customFormat="1" ht="13.8">
      <c r="D123" s="229"/>
      <c r="E123" s="229"/>
      <c r="F123" s="229"/>
      <c r="G123" s="229"/>
      <c r="H123" s="229"/>
      <c r="I123" s="229"/>
      <c r="J123" s="229"/>
      <c r="K123" s="229"/>
      <c r="L123" s="229"/>
      <c r="M123" s="229"/>
      <c r="N123" s="229"/>
      <c r="O123" s="229"/>
      <c r="P123" s="229"/>
      <c r="Q123" s="229"/>
      <c r="R123" s="229"/>
      <c r="S123" s="229"/>
      <c r="T123" s="229"/>
      <c r="U123" s="229"/>
      <c r="V123" s="229"/>
      <c r="W123" s="229"/>
      <c r="X123" s="229"/>
      <c r="Y123" s="229"/>
      <c r="Z123" s="229"/>
      <c r="AA123" s="229"/>
      <c r="AB123" s="229"/>
      <c r="AC123" s="229"/>
    </row>
    <row r="124" spans="1:29" s="589" customFormat="1" ht="13.8">
      <c r="A124" s="592" t="s">
        <v>1467</v>
      </c>
      <c r="B124" s="592" t="s">
        <v>2053</v>
      </c>
      <c r="C124" s="592"/>
      <c r="D124" s="593">
        <f t="shared" ref="D124:X124" si="9">+D86+D105+D122</f>
        <v>0</v>
      </c>
      <c r="E124" s="593">
        <f t="shared" si="9"/>
        <v>0</v>
      </c>
      <c r="F124" s="593">
        <f t="shared" si="9"/>
        <v>0</v>
      </c>
      <c r="G124" s="593">
        <f t="shared" si="9"/>
        <v>0</v>
      </c>
      <c r="H124" s="593">
        <f t="shared" si="9"/>
        <v>0</v>
      </c>
      <c r="I124" s="593">
        <f t="shared" si="9"/>
        <v>0</v>
      </c>
      <c r="J124" s="593">
        <f t="shared" si="9"/>
        <v>0</v>
      </c>
      <c r="K124" s="593">
        <f t="shared" si="9"/>
        <v>0</v>
      </c>
      <c r="L124" s="593">
        <f t="shared" si="9"/>
        <v>0</v>
      </c>
      <c r="M124" s="593">
        <f t="shared" si="9"/>
        <v>-6</v>
      </c>
      <c r="N124" s="593">
        <f t="shared" si="9"/>
        <v>592</v>
      </c>
      <c r="O124" s="593">
        <f t="shared" si="9"/>
        <v>11216</v>
      </c>
      <c r="P124" s="593">
        <f t="shared" si="9"/>
        <v>462</v>
      </c>
      <c r="Q124" s="593">
        <f t="shared" si="9"/>
        <v>-7368</v>
      </c>
      <c r="R124" s="593">
        <f t="shared" si="9"/>
        <v>113254</v>
      </c>
      <c r="S124" s="593">
        <f t="shared" si="9"/>
        <v>94400</v>
      </c>
      <c r="T124" s="593">
        <f t="shared" si="9"/>
        <v>-23236</v>
      </c>
      <c r="U124" s="593">
        <f t="shared" si="9"/>
        <v>-60088</v>
      </c>
      <c r="V124" s="593">
        <f t="shared" si="9"/>
        <v>-74257</v>
      </c>
      <c r="W124" s="593">
        <f t="shared" si="9"/>
        <v>-102904</v>
      </c>
      <c r="X124" s="593">
        <f t="shared" si="9"/>
        <v>-2589</v>
      </c>
      <c r="Y124" s="593">
        <f>+Y86+Y105+Y122</f>
        <v>-1818.0000000000146</v>
      </c>
      <c r="Z124" s="593">
        <f>+Z86+Z105+Z122</f>
        <v>-2525</v>
      </c>
      <c r="AA124" s="593">
        <f>+AA86+AA105+AA122</f>
        <v>901</v>
      </c>
      <c r="AB124" s="593">
        <f>+AB86+AB105+AB122</f>
        <v>-1403</v>
      </c>
      <c r="AC124" s="593">
        <f>+AC86+AC105+AC122</f>
        <v>-477</v>
      </c>
    </row>
    <row r="125" spans="1:29" s="57" customFormat="1" ht="13.8">
      <c r="D125" s="229"/>
      <c r="E125" s="229"/>
      <c r="F125" s="229"/>
      <c r="G125" s="229"/>
      <c r="H125" s="229"/>
      <c r="I125" s="229"/>
      <c r="J125" s="229"/>
      <c r="K125" s="229"/>
      <c r="L125" s="229"/>
      <c r="M125" s="229"/>
      <c r="N125" s="229"/>
      <c r="O125" s="229"/>
      <c r="P125" s="229"/>
      <c r="Q125" s="229"/>
      <c r="R125" s="229"/>
      <c r="S125" s="229"/>
      <c r="T125" s="229"/>
      <c r="U125" s="229"/>
      <c r="V125" s="229"/>
      <c r="W125" s="229"/>
      <c r="X125" s="229"/>
      <c r="Y125" s="229"/>
      <c r="Z125" s="229"/>
      <c r="AA125" s="229"/>
      <c r="AB125" s="229"/>
      <c r="AC125" s="229"/>
    </row>
    <row r="126" spans="1:29" s="57" customFormat="1" ht="13.8">
      <c r="A126" s="600" t="s">
        <v>1468</v>
      </c>
      <c r="B126" s="57" t="s">
        <v>2054</v>
      </c>
      <c r="D126" s="229"/>
      <c r="E126" s="229"/>
      <c r="F126" s="229"/>
      <c r="G126" s="229"/>
      <c r="H126" s="229"/>
      <c r="I126" s="229"/>
      <c r="J126" s="229"/>
      <c r="K126" s="229"/>
      <c r="L126" s="229">
        <v>6</v>
      </c>
      <c r="M126" s="229">
        <v>6</v>
      </c>
      <c r="N126" s="229">
        <v>6</v>
      </c>
      <c r="O126" s="229">
        <v>6</v>
      </c>
      <c r="P126" s="229">
        <v>11222</v>
      </c>
      <c r="Q126" s="229">
        <v>11222</v>
      </c>
      <c r="R126" s="229">
        <v>11222</v>
      </c>
      <c r="S126" s="229">
        <v>11222</v>
      </c>
      <c r="T126" s="229">
        <v>105622</v>
      </c>
      <c r="U126" s="229">
        <v>105622</v>
      </c>
      <c r="V126" s="229">
        <v>105622</v>
      </c>
      <c r="W126" s="229">
        <v>105622</v>
      </c>
      <c r="X126" s="229">
        <v>2718</v>
      </c>
      <c r="Y126" s="229">
        <v>2718</v>
      </c>
      <c r="Z126" s="229">
        <v>2718</v>
      </c>
      <c r="AA126" s="229">
        <v>2718</v>
      </c>
      <c r="AB126" s="229">
        <v>3619</v>
      </c>
      <c r="AC126" s="229">
        <v>3619</v>
      </c>
    </row>
    <row r="127" spans="1:29" s="57" customFormat="1" ht="13.8">
      <c r="A127" s="600" t="s">
        <v>1469</v>
      </c>
      <c r="B127" s="57" t="s">
        <v>2055</v>
      </c>
      <c r="D127" s="229"/>
      <c r="E127" s="229"/>
      <c r="F127" s="229"/>
      <c r="G127" s="229"/>
      <c r="H127" s="229"/>
      <c r="I127" s="229"/>
      <c r="J127" s="229"/>
      <c r="K127" s="229"/>
      <c r="L127" s="229">
        <v>6</v>
      </c>
      <c r="M127" s="229">
        <v>0</v>
      </c>
      <c r="N127" s="229">
        <v>598</v>
      </c>
      <c r="O127" s="229">
        <v>11222</v>
      </c>
      <c r="P127" s="229">
        <v>11684</v>
      </c>
      <c r="Q127" s="229">
        <v>3854</v>
      </c>
      <c r="R127" s="229">
        <v>124476</v>
      </c>
      <c r="S127" s="229">
        <v>105622</v>
      </c>
      <c r="T127" s="229">
        <v>82386</v>
      </c>
      <c r="U127" s="229">
        <v>45534</v>
      </c>
      <c r="V127" s="229">
        <v>31365</v>
      </c>
      <c r="W127" s="229">
        <v>2718</v>
      </c>
      <c r="X127" s="229">
        <v>129</v>
      </c>
      <c r="Y127" s="229">
        <v>900</v>
      </c>
      <c r="Z127" s="229">
        <v>193</v>
      </c>
      <c r="AA127" s="229">
        <v>3619</v>
      </c>
      <c r="AB127" s="229">
        <v>2216</v>
      </c>
      <c r="AC127" s="229">
        <v>3142</v>
      </c>
    </row>
    <row r="129" spans="1:29" s="589" customFormat="1" thickBot="1">
      <c r="A129" s="596" t="s">
        <v>1467</v>
      </c>
      <c r="B129" s="596" t="s">
        <v>2053</v>
      </c>
      <c r="C129" s="596"/>
      <c r="D129" s="597">
        <f t="shared" ref="D129:Y129" si="10">+D127-D126</f>
        <v>0</v>
      </c>
      <c r="E129" s="597">
        <f t="shared" si="10"/>
        <v>0</v>
      </c>
      <c r="F129" s="597">
        <f t="shared" si="10"/>
        <v>0</v>
      </c>
      <c r="G129" s="597">
        <f t="shared" si="10"/>
        <v>0</v>
      </c>
      <c r="H129" s="597">
        <f t="shared" si="10"/>
        <v>0</v>
      </c>
      <c r="I129" s="597">
        <f t="shared" si="10"/>
        <v>0</v>
      </c>
      <c r="J129" s="597">
        <f t="shared" si="10"/>
        <v>0</v>
      </c>
      <c r="K129" s="597">
        <f t="shared" si="10"/>
        <v>0</v>
      </c>
      <c r="L129" s="597">
        <f t="shared" si="10"/>
        <v>0</v>
      </c>
      <c r="M129" s="597">
        <f t="shared" si="10"/>
        <v>-6</v>
      </c>
      <c r="N129" s="597">
        <f t="shared" si="10"/>
        <v>592</v>
      </c>
      <c r="O129" s="597">
        <f t="shared" si="10"/>
        <v>11216</v>
      </c>
      <c r="P129" s="597">
        <f t="shared" si="10"/>
        <v>462</v>
      </c>
      <c r="Q129" s="597">
        <f t="shared" si="10"/>
        <v>-7368</v>
      </c>
      <c r="R129" s="597">
        <f t="shared" si="10"/>
        <v>113254</v>
      </c>
      <c r="S129" s="597">
        <f t="shared" si="10"/>
        <v>94400</v>
      </c>
      <c r="T129" s="597">
        <f t="shared" si="10"/>
        <v>-23236</v>
      </c>
      <c r="U129" s="597">
        <f t="shared" si="10"/>
        <v>-60088</v>
      </c>
      <c r="V129" s="597">
        <f t="shared" si="10"/>
        <v>-74257</v>
      </c>
      <c r="W129" s="597">
        <f t="shared" si="10"/>
        <v>-102904</v>
      </c>
      <c r="X129" s="597">
        <f t="shared" si="10"/>
        <v>-2589</v>
      </c>
      <c r="Y129" s="597">
        <f t="shared" si="10"/>
        <v>-1818</v>
      </c>
      <c r="Z129" s="597">
        <f t="shared" ref="Z129:AC129" si="11">+Z127-Z126</f>
        <v>-2525</v>
      </c>
      <c r="AA129" s="597">
        <f t="shared" si="11"/>
        <v>901</v>
      </c>
      <c r="AB129" s="597">
        <f t="shared" si="11"/>
        <v>-1403</v>
      </c>
      <c r="AC129" s="597">
        <f t="shared" si="11"/>
        <v>-477</v>
      </c>
    </row>
  </sheetData>
  <phoneticPr fontId="30" type="noConversion"/>
  <hyperlinks>
    <hyperlink ref="B121" r:id="rId1" display="https://www.lawinsider.com/clause/advance-for-future-capital-increase-afac" xr:uid="{00000000-0004-0000-4E00-000000000000}"/>
  </hyperlinks>
  <pageMargins left="0.511811024" right="0.511811024" top="0.78740157499999996" bottom="0.78740157499999996" header="0.31496062000000002" footer="0.31496062000000002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5978F-CD61-4CF1-A0AE-E443DD7E7A17}">
  <sheetPr>
    <tabColor theme="9" tint="0.79998168889431442"/>
  </sheetPr>
  <dimension ref="A6:F82"/>
  <sheetViews>
    <sheetView showGridLines="0" zoomScale="115" zoomScaleNormal="115" workbookViewId="0">
      <pane xSplit="1" ySplit="7" topLeftCell="D8" activePane="bottomRight" state="frozen"/>
      <selection pane="topRight" activeCell="B1" sqref="B1"/>
      <selection pane="bottomLeft" activeCell="A8" sqref="A8"/>
      <selection pane="bottomRight" activeCell="H79" sqref="H79"/>
    </sheetView>
  </sheetViews>
  <sheetFormatPr defaultColWidth="9.21875" defaultRowHeight="14.4"/>
  <cols>
    <col min="1" max="1" width="70.77734375" style="35" bestFit="1" customWidth="1"/>
    <col min="2" max="2" width="75.88671875" style="35" bestFit="1" customWidth="1"/>
    <col min="3" max="3" width="0.5546875" style="35" customWidth="1"/>
    <col min="4" max="6" width="11.44140625" style="35" bestFit="1" customWidth="1"/>
    <col min="7" max="16384" width="9.21875" style="35"/>
  </cols>
  <sheetData>
    <row r="6" spans="1:6">
      <c r="A6" s="38" t="s">
        <v>2274</v>
      </c>
      <c r="B6" s="38" t="s">
        <v>2274</v>
      </c>
      <c r="C6" s="348"/>
      <c r="D6" s="399"/>
      <c r="E6" s="399"/>
      <c r="F6" s="399"/>
    </row>
    <row r="7" spans="1:6">
      <c r="A7" s="441" t="s">
        <v>1365</v>
      </c>
      <c r="B7" s="441" t="s">
        <v>1366</v>
      </c>
      <c r="C7" s="602"/>
      <c r="D7" s="604" t="s">
        <v>2151</v>
      </c>
      <c r="E7" s="604" t="s">
        <v>2488</v>
      </c>
      <c r="F7" s="604" t="s">
        <v>2497</v>
      </c>
    </row>
    <row r="8" spans="1:6" s="57" customFormat="1" ht="13.8">
      <c r="A8" s="134" t="s">
        <v>1374</v>
      </c>
      <c r="B8" s="134" t="s">
        <v>2034</v>
      </c>
    </row>
    <row r="9" spans="1:6" s="589" customFormat="1" ht="13.8">
      <c r="A9" s="588" t="s">
        <v>776</v>
      </c>
      <c r="B9" s="589" t="s">
        <v>1375</v>
      </c>
      <c r="D9" s="590">
        <v>-229116</v>
      </c>
      <c r="E9" s="590">
        <v>-29509</v>
      </c>
      <c r="F9" s="590">
        <v>-90048</v>
      </c>
    </row>
    <row r="10" spans="1:6" s="57" customFormat="1" ht="13.8">
      <c r="A10" s="104" t="s">
        <v>1376</v>
      </c>
      <c r="B10" s="57" t="s">
        <v>1377</v>
      </c>
      <c r="D10" s="229"/>
      <c r="E10" s="229"/>
      <c r="F10" s="229"/>
    </row>
    <row r="11" spans="1:6" s="57" customFormat="1" ht="13.8">
      <c r="A11" s="700" t="s">
        <v>2218</v>
      </c>
      <c r="B11" s="57" t="s">
        <v>2285</v>
      </c>
      <c r="D11" s="229">
        <v>125796</v>
      </c>
      <c r="E11" s="229">
        <v>1010</v>
      </c>
      <c r="F11" s="229">
        <v>35295</v>
      </c>
    </row>
    <row r="12" spans="1:6" s="57" customFormat="1" ht="13.8">
      <c r="A12" s="700" t="s">
        <v>2209</v>
      </c>
      <c r="B12" s="57" t="s">
        <v>2276</v>
      </c>
      <c r="D12" s="229">
        <v>2373</v>
      </c>
      <c r="E12" s="229">
        <v>587</v>
      </c>
      <c r="F12" s="229">
        <v>1179</v>
      </c>
    </row>
    <row r="13" spans="1:6" s="57" customFormat="1" ht="13.8">
      <c r="A13" s="700" t="s">
        <v>2224</v>
      </c>
      <c r="B13" s="57" t="s">
        <v>2330</v>
      </c>
      <c r="D13" s="229">
        <v>643</v>
      </c>
      <c r="E13" s="229">
        <v>128</v>
      </c>
      <c r="F13" s="229">
        <v>243</v>
      </c>
    </row>
    <row r="14" spans="1:6" s="57" customFormat="1" ht="13.8">
      <c r="A14" s="700" t="s">
        <v>2207</v>
      </c>
      <c r="B14" s="57" t="s">
        <v>2275</v>
      </c>
      <c r="D14" s="229">
        <v>527</v>
      </c>
      <c r="E14" s="229">
        <v>70</v>
      </c>
      <c r="F14" s="229">
        <v>139</v>
      </c>
    </row>
    <row r="15" spans="1:6" s="57" customFormat="1" ht="13.8">
      <c r="A15" s="700" t="s">
        <v>2216</v>
      </c>
      <c r="B15" s="57" t="s">
        <v>2283</v>
      </c>
      <c r="D15" s="229">
        <v>0</v>
      </c>
      <c r="E15" s="229">
        <v>0</v>
      </c>
      <c r="F15" s="229">
        <v>0</v>
      </c>
    </row>
    <row r="16" spans="1:6" s="104" customFormat="1" ht="13.8">
      <c r="A16" s="700" t="s">
        <v>2208</v>
      </c>
      <c r="B16" s="57" t="s">
        <v>1380</v>
      </c>
      <c r="D16" s="229">
        <v>37761</v>
      </c>
      <c r="E16" s="229">
        <v>9441</v>
      </c>
      <c r="F16" s="229">
        <v>18881</v>
      </c>
    </row>
    <row r="17" spans="1:6" s="104" customFormat="1" ht="13.8">
      <c r="A17" s="700" t="s">
        <v>2217</v>
      </c>
      <c r="B17" s="57" t="s">
        <v>2284</v>
      </c>
      <c r="D17" s="229">
        <v>0</v>
      </c>
      <c r="E17" s="229"/>
      <c r="F17" s="229"/>
    </row>
    <row r="18" spans="1:6" s="57" customFormat="1" ht="13.8">
      <c r="A18" s="700" t="s">
        <v>2210</v>
      </c>
      <c r="B18" s="57" t="s">
        <v>2331</v>
      </c>
      <c r="D18" s="229">
        <v>4299</v>
      </c>
      <c r="E18" s="229">
        <v>1075</v>
      </c>
      <c r="F18" s="229">
        <v>2147</v>
      </c>
    </row>
    <row r="19" spans="1:6" s="57" customFormat="1" ht="13.8">
      <c r="A19" s="701" t="s">
        <v>2211</v>
      </c>
      <c r="B19" s="57" t="s">
        <v>2277</v>
      </c>
      <c r="D19" s="229">
        <v>10582</v>
      </c>
      <c r="E19" s="229">
        <v>-3721</v>
      </c>
      <c r="F19" s="229">
        <v>7723</v>
      </c>
    </row>
    <row r="20" spans="1:6" s="57" customFormat="1" ht="13.8">
      <c r="A20" s="702" t="s">
        <v>2213</v>
      </c>
      <c r="B20" s="57" t="s">
        <v>2281</v>
      </c>
      <c r="D20" s="229">
        <v>81</v>
      </c>
      <c r="E20" s="229">
        <v>0</v>
      </c>
      <c r="F20" s="229">
        <v>0</v>
      </c>
    </row>
    <row r="21" spans="1:6" s="57" customFormat="1" ht="13.8">
      <c r="A21" s="702" t="s">
        <v>2212</v>
      </c>
      <c r="B21" s="57" t="s">
        <v>2278</v>
      </c>
      <c r="D21" s="229">
        <v>37696</v>
      </c>
      <c r="E21" s="229">
        <v>9993</v>
      </c>
      <c r="F21" s="229">
        <v>21381</v>
      </c>
    </row>
    <row r="22" spans="1:6" s="57" customFormat="1" ht="13.8">
      <c r="A22" s="702" t="s">
        <v>2214</v>
      </c>
      <c r="B22" s="57" t="s">
        <v>2282</v>
      </c>
      <c r="D22" s="229">
        <v>1400</v>
      </c>
      <c r="E22" s="229">
        <v>350</v>
      </c>
      <c r="F22" s="229">
        <v>700</v>
      </c>
    </row>
    <row r="23" spans="1:6" s="57" customFormat="1" ht="13.8">
      <c r="A23" s="700" t="s">
        <v>2215</v>
      </c>
      <c r="B23" s="57" t="s">
        <v>2332</v>
      </c>
      <c r="D23" s="229">
        <v>0</v>
      </c>
      <c r="E23" s="229"/>
      <c r="F23" s="43" t="s">
        <v>2100</v>
      </c>
    </row>
    <row r="24" spans="1:6" s="57" customFormat="1" ht="13.8">
      <c r="A24" s="703" t="s">
        <v>2225</v>
      </c>
      <c r="B24" s="57" t="s">
        <v>2333</v>
      </c>
      <c r="D24" s="229">
        <v>0</v>
      </c>
      <c r="E24" s="229"/>
      <c r="F24" s="43" t="s">
        <v>2100</v>
      </c>
    </row>
    <row r="25" spans="1:6" s="57" customFormat="1" ht="13.8">
      <c r="A25" s="700" t="s">
        <v>2220</v>
      </c>
      <c r="B25" s="57" t="s">
        <v>2334</v>
      </c>
      <c r="D25" s="229">
        <v>0</v>
      </c>
      <c r="E25" s="229">
        <v>0</v>
      </c>
      <c r="F25" s="43">
        <v>0</v>
      </c>
    </row>
    <row r="26" spans="1:6" s="57" customFormat="1" ht="13.8">
      <c r="A26" s="700" t="s">
        <v>2221</v>
      </c>
      <c r="B26" s="57" t="s">
        <v>2290</v>
      </c>
      <c r="D26" s="229">
        <v>0</v>
      </c>
      <c r="E26" s="229">
        <v>0</v>
      </c>
      <c r="F26" s="43">
        <v>0</v>
      </c>
    </row>
    <row r="27" spans="1:6" s="104" customFormat="1" ht="13.8">
      <c r="A27" s="700" t="s">
        <v>2226</v>
      </c>
      <c r="B27" s="57" t="s">
        <v>2335</v>
      </c>
      <c r="D27" s="229">
        <v>0</v>
      </c>
      <c r="E27" s="229"/>
      <c r="F27" s="43" t="s">
        <v>2100</v>
      </c>
    </row>
    <row r="28" spans="1:6" s="57" customFormat="1" ht="13.8">
      <c r="A28" s="700" t="s">
        <v>2219</v>
      </c>
      <c r="B28" s="57" t="s">
        <v>2336</v>
      </c>
      <c r="D28" s="229">
        <v>-3066</v>
      </c>
      <c r="E28" s="229">
        <v>-6962</v>
      </c>
      <c r="F28" s="43">
        <v>-11524</v>
      </c>
    </row>
    <row r="29" spans="1:6" s="57" customFormat="1" ht="13.8">
      <c r="A29" s="700" t="s">
        <v>2532</v>
      </c>
      <c r="B29" s="57" t="s">
        <v>2287</v>
      </c>
      <c r="D29" s="229">
        <v>-1196</v>
      </c>
      <c r="E29" s="229">
        <v>-7</v>
      </c>
      <c r="F29" s="43">
        <v>-11307</v>
      </c>
    </row>
    <row r="30" spans="1:6" s="57" customFormat="1" ht="13.8">
      <c r="A30" s="700" t="s">
        <v>2222</v>
      </c>
      <c r="B30" s="57" t="s">
        <v>2292</v>
      </c>
      <c r="D30" s="229">
        <v>0</v>
      </c>
      <c r="E30" s="229">
        <v>0</v>
      </c>
      <c r="F30" s="229">
        <v>0</v>
      </c>
    </row>
    <row r="31" spans="1:6" s="57" customFormat="1" ht="13.8">
      <c r="A31" s="700" t="s">
        <v>2533</v>
      </c>
      <c r="D31" s="229"/>
      <c r="E31" s="229"/>
      <c r="F31" s="229">
        <v>11189</v>
      </c>
    </row>
    <row r="32" spans="1:6" s="57" customFormat="1" ht="13.8">
      <c r="A32" s="700" t="s">
        <v>2223</v>
      </c>
      <c r="B32" s="57" t="s">
        <v>2291</v>
      </c>
      <c r="D32" s="229">
        <v>2838</v>
      </c>
      <c r="E32" s="229">
        <v>1766</v>
      </c>
      <c r="F32" s="229">
        <v>3572</v>
      </c>
    </row>
    <row r="33" spans="1:6" s="589" customFormat="1" ht="13.8">
      <c r="A33" s="592"/>
      <c r="B33" s="592"/>
      <c r="C33" s="592"/>
      <c r="D33" s="593">
        <f>SUM(D9:D32)</f>
        <v>-9382</v>
      </c>
      <c r="E33" s="593">
        <f>SUM(E9:E32)</f>
        <v>-15779</v>
      </c>
      <c r="F33" s="593">
        <f>SUM(F9:F32)</f>
        <v>-10430</v>
      </c>
    </row>
    <row r="34" spans="1:6" s="57" customFormat="1" ht="13.8">
      <c r="A34" s="589" t="s">
        <v>1418</v>
      </c>
      <c r="B34" s="589" t="s">
        <v>2035</v>
      </c>
      <c r="D34" s="229"/>
      <c r="E34" s="229"/>
      <c r="F34" s="229"/>
    </row>
    <row r="35" spans="1:6" s="57" customFormat="1" ht="13.8">
      <c r="A35" s="703" t="s">
        <v>1230</v>
      </c>
      <c r="B35" s="57" t="s">
        <v>2293</v>
      </c>
      <c r="D35" s="229">
        <v>0</v>
      </c>
      <c r="E35" s="229">
        <v>0</v>
      </c>
      <c r="F35" s="229">
        <v>-53</v>
      </c>
    </row>
    <row r="36" spans="1:6" s="57" customFormat="1" ht="13.8">
      <c r="A36" s="704" t="s">
        <v>1238</v>
      </c>
      <c r="B36" s="57" t="s">
        <v>1297</v>
      </c>
      <c r="D36" s="229">
        <v>-405</v>
      </c>
      <c r="E36" s="229">
        <v>-194</v>
      </c>
      <c r="F36" s="229">
        <v>-399</v>
      </c>
    </row>
    <row r="37" spans="1:6" s="57" customFormat="1" ht="13.8">
      <c r="A37" s="704" t="s">
        <v>2227</v>
      </c>
      <c r="B37" s="57" t="s">
        <v>2294</v>
      </c>
      <c r="D37" s="229">
        <v>1731</v>
      </c>
      <c r="E37" s="229">
        <v>0</v>
      </c>
      <c r="F37" s="229">
        <v>0</v>
      </c>
    </row>
    <row r="38" spans="1:6" s="57" customFormat="1" ht="13.8">
      <c r="A38" s="704" t="s">
        <v>1214</v>
      </c>
      <c r="B38" s="57" t="s">
        <v>2296</v>
      </c>
      <c r="D38" s="229">
        <v>-53</v>
      </c>
      <c r="E38" s="229">
        <v>-16</v>
      </c>
      <c r="F38" s="229">
        <v>-16</v>
      </c>
    </row>
    <row r="39" spans="1:6" s="57" customFormat="1" ht="13.8">
      <c r="A39" s="704" t="s">
        <v>1068</v>
      </c>
      <c r="B39" s="57" t="s">
        <v>2297</v>
      </c>
      <c r="D39" s="229">
        <v>0</v>
      </c>
      <c r="E39" s="229"/>
      <c r="F39" s="229"/>
    </row>
    <row r="40" spans="1:6" s="57" customFormat="1" ht="13.8">
      <c r="A40" s="704" t="s">
        <v>2228</v>
      </c>
      <c r="B40" s="57" t="s">
        <v>2295</v>
      </c>
      <c r="D40" s="229">
        <v>-478</v>
      </c>
      <c r="E40" s="229">
        <v>478</v>
      </c>
    </row>
    <row r="41" spans="1:6" s="57" customFormat="1" ht="13.8">
      <c r="A41" s="705" t="s">
        <v>1295</v>
      </c>
      <c r="B41" s="57" t="s">
        <v>1267</v>
      </c>
      <c r="D41" s="229">
        <v>1440</v>
      </c>
      <c r="E41" s="229">
        <v>269</v>
      </c>
      <c r="F41" s="229">
        <v>150</v>
      </c>
    </row>
    <row r="42" spans="1:6" s="57" customFormat="1" ht="13.8">
      <c r="A42" s="705" t="s">
        <v>2099</v>
      </c>
      <c r="B42" s="57" t="s">
        <v>2337</v>
      </c>
      <c r="D42" s="229">
        <v>55065</v>
      </c>
      <c r="E42" s="229"/>
      <c r="F42" s="229">
        <v>52756</v>
      </c>
    </row>
    <row r="43" spans="1:6" s="57" customFormat="1" ht="13.8">
      <c r="A43" s="703" t="s">
        <v>2229</v>
      </c>
      <c r="B43" s="57" t="s">
        <v>2298</v>
      </c>
      <c r="D43" s="229">
        <v>-33</v>
      </c>
      <c r="E43" s="229">
        <v>-216</v>
      </c>
      <c r="F43" s="229">
        <v>-101</v>
      </c>
    </row>
    <row r="44" spans="1:6" s="57" customFormat="1" ht="13.8">
      <c r="A44" s="703" t="s">
        <v>1102</v>
      </c>
      <c r="B44" s="57" t="s">
        <v>2338</v>
      </c>
      <c r="D44" s="229">
        <v>-1624</v>
      </c>
      <c r="E44" s="229">
        <v>-1096</v>
      </c>
      <c r="F44" s="229">
        <v>-773</v>
      </c>
    </row>
    <row r="45" spans="1:6" s="57" customFormat="1" ht="13.8">
      <c r="A45" s="704" t="s">
        <v>2259</v>
      </c>
      <c r="B45" s="57" t="s">
        <v>2339</v>
      </c>
      <c r="D45" s="229">
        <v>8101</v>
      </c>
      <c r="E45" s="229">
        <v>3019</v>
      </c>
      <c r="F45" s="229">
        <v>-2537</v>
      </c>
    </row>
    <row r="46" spans="1:6" s="57" customFormat="1" ht="13.8">
      <c r="A46" s="704" t="s">
        <v>2263</v>
      </c>
      <c r="B46" s="57" t="s">
        <v>2304</v>
      </c>
      <c r="D46" s="229">
        <v>-33</v>
      </c>
      <c r="E46" s="229">
        <v>-1</v>
      </c>
      <c r="F46" s="57">
        <v>15</v>
      </c>
    </row>
    <row r="47" spans="1:6" s="57" customFormat="1" ht="13.8">
      <c r="A47" s="704" t="s">
        <v>1250</v>
      </c>
      <c r="B47" s="57" t="s">
        <v>2340</v>
      </c>
      <c r="D47" s="229">
        <v>-442</v>
      </c>
      <c r="E47" s="229">
        <v>7030</v>
      </c>
      <c r="F47" s="43" t="s">
        <v>2100</v>
      </c>
    </row>
    <row r="48" spans="1:6" s="57" customFormat="1" ht="13.8">
      <c r="A48" s="704" t="s">
        <v>2260</v>
      </c>
      <c r="B48" s="57" t="s">
        <v>2301</v>
      </c>
      <c r="D48" s="229">
        <v>0</v>
      </c>
      <c r="E48" s="229"/>
      <c r="F48" s="229"/>
    </row>
    <row r="49" spans="1:6" s="104" customFormat="1" ht="13.8">
      <c r="A49" s="704" t="s">
        <v>1245</v>
      </c>
      <c r="B49" s="57" t="s">
        <v>2306</v>
      </c>
      <c r="D49" s="229">
        <v>0</v>
      </c>
      <c r="E49" s="229"/>
      <c r="F49" s="229"/>
    </row>
    <row r="50" spans="1:6" s="57" customFormat="1" ht="13.8">
      <c r="A50" s="704" t="s">
        <v>1129</v>
      </c>
      <c r="B50" s="57" t="s">
        <v>2011</v>
      </c>
      <c r="D50" s="229">
        <v>-195</v>
      </c>
      <c r="E50" s="229">
        <v>12</v>
      </c>
      <c r="F50" s="229">
        <v>-144</v>
      </c>
    </row>
    <row r="51" spans="1:6" s="589" customFormat="1" ht="13.8">
      <c r="A51" s="592" t="s">
        <v>1429</v>
      </c>
      <c r="B51" s="592" t="s">
        <v>2034</v>
      </c>
      <c r="C51" s="592"/>
      <c r="D51" s="593">
        <f>SUM(D33:D50)</f>
        <v>53692</v>
      </c>
      <c r="E51" s="593">
        <f>SUM(E33:E50)</f>
        <v>-6494</v>
      </c>
      <c r="F51" s="593">
        <f>SUM(F33:F50)</f>
        <v>38468</v>
      </c>
    </row>
    <row r="52" spans="1:6" s="57" customFormat="1" ht="13.8">
      <c r="D52" s="229"/>
      <c r="E52" s="229"/>
      <c r="F52" s="229"/>
    </row>
    <row r="53" spans="1:6" s="57" customFormat="1" ht="13.8">
      <c r="A53" s="594" t="s">
        <v>2230</v>
      </c>
      <c r="B53" s="57" t="s">
        <v>2310</v>
      </c>
      <c r="D53" s="229">
        <v>-5815</v>
      </c>
      <c r="E53" s="229">
        <v>0</v>
      </c>
      <c r="F53" s="229">
        <v>0</v>
      </c>
    </row>
    <row r="54" spans="1:6" s="57" customFormat="1" ht="13.8">
      <c r="A54" s="594" t="s">
        <v>2231</v>
      </c>
      <c r="B54" s="57" t="s">
        <v>2311</v>
      </c>
      <c r="D54" s="229">
        <v>-21869</v>
      </c>
      <c r="E54" s="229">
        <v>0</v>
      </c>
      <c r="F54" s="229">
        <v>-9874</v>
      </c>
    </row>
    <row r="55" spans="1:6" s="57" customFormat="1" ht="13.8">
      <c r="A55" s="594" t="s">
        <v>2232</v>
      </c>
      <c r="B55" s="57" t="s">
        <v>2312</v>
      </c>
      <c r="D55" s="229">
        <v>0</v>
      </c>
      <c r="E55" s="229">
        <v>0</v>
      </c>
      <c r="F55" s="229">
        <v>-9</v>
      </c>
    </row>
    <row r="56" spans="1:6" s="57" customFormat="1" ht="13.8">
      <c r="A56" s="595"/>
    </row>
    <row r="57" spans="1:6" s="589" customFormat="1" thickBot="1">
      <c r="A57" s="596" t="s">
        <v>1432</v>
      </c>
      <c r="B57" s="596" t="s">
        <v>2036</v>
      </c>
      <c r="C57" s="596"/>
      <c r="D57" s="597">
        <f t="shared" ref="D57:F57" si="0">SUM(D51:D56)</f>
        <v>26008</v>
      </c>
      <c r="E57" s="597">
        <f t="shared" si="0"/>
        <v>-6494</v>
      </c>
      <c r="F57" s="597">
        <f t="shared" si="0"/>
        <v>28585</v>
      </c>
    </row>
    <row r="58" spans="1:6" s="57" customFormat="1" ht="13.8">
      <c r="D58" s="229"/>
      <c r="E58" s="229"/>
      <c r="F58" s="229"/>
    </row>
    <row r="59" spans="1:6" s="57" customFormat="1" ht="13.8">
      <c r="A59" s="134" t="s">
        <v>1433</v>
      </c>
      <c r="B59" s="589" t="s">
        <v>2037</v>
      </c>
      <c r="D59" s="229"/>
      <c r="E59" s="229"/>
      <c r="F59" s="229"/>
    </row>
    <row r="60" spans="1:6" s="57" customFormat="1" ht="13.8">
      <c r="A60" s="591" t="s">
        <v>2233</v>
      </c>
      <c r="B60" s="57" t="s">
        <v>2313</v>
      </c>
      <c r="D60" s="229">
        <v>-161171</v>
      </c>
      <c r="E60" s="229">
        <v>-36138</v>
      </c>
      <c r="F60" s="229">
        <v>-80714</v>
      </c>
    </row>
    <row r="61" spans="1:6" s="57" customFormat="1" ht="13.8">
      <c r="A61" s="598" t="s">
        <v>2534</v>
      </c>
      <c r="B61" s="57" t="s">
        <v>2341</v>
      </c>
      <c r="D61" s="229">
        <v>4930</v>
      </c>
      <c r="E61" s="229">
        <v>0</v>
      </c>
      <c r="F61" s="43">
        <v>103</v>
      </c>
    </row>
    <row r="62" spans="1:6" s="57" customFormat="1" ht="13.8">
      <c r="A62" s="591" t="s">
        <v>2234</v>
      </c>
      <c r="B62" s="57" t="s">
        <v>2317</v>
      </c>
      <c r="D62" s="229">
        <v>4262</v>
      </c>
      <c r="E62" s="229">
        <v>6969</v>
      </c>
      <c r="F62" s="229">
        <v>11531</v>
      </c>
    </row>
    <row r="63" spans="1:6" s="57" customFormat="1" ht="13.8">
      <c r="A63" s="591" t="s">
        <v>2235</v>
      </c>
      <c r="B63" s="57" t="s">
        <v>2018</v>
      </c>
      <c r="D63" s="229">
        <v>-7284</v>
      </c>
      <c r="E63" s="229">
        <v>-973</v>
      </c>
      <c r="F63" s="229">
        <v>-2143</v>
      </c>
    </row>
    <row r="64" spans="1:6" s="57" customFormat="1" ht="13.8">
      <c r="A64" s="591" t="s">
        <v>2236</v>
      </c>
      <c r="B64" s="57" t="s">
        <v>2342</v>
      </c>
      <c r="D64" s="229">
        <v>-986</v>
      </c>
      <c r="E64" s="229">
        <v>-21</v>
      </c>
      <c r="F64" s="229">
        <v>-21</v>
      </c>
    </row>
    <row r="65" spans="1:6" s="589" customFormat="1" thickBot="1">
      <c r="A65" s="596" t="s">
        <v>1450</v>
      </c>
      <c r="B65" s="596" t="s">
        <v>2038</v>
      </c>
      <c r="C65" s="596"/>
      <c r="D65" s="597">
        <f>SUM(D59:D64)</f>
        <v>-160249</v>
      </c>
      <c r="E65" s="597">
        <f>SUM(E59:E64)</f>
        <v>-30163</v>
      </c>
      <c r="F65" s="597">
        <f>SUM(F59:F64)</f>
        <v>-71244</v>
      </c>
    </row>
    <row r="66" spans="1:6" s="57" customFormat="1" ht="13.8">
      <c r="D66" s="229"/>
      <c r="E66" s="229"/>
      <c r="F66" s="229"/>
    </row>
    <row r="67" spans="1:6" s="57" customFormat="1" ht="13.8">
      <c r="A67" s="134" t="s">
        <v>1451</v>
      </c>
      <c r="B67" s="589" t="s">
        <v>2039</v>
      </c>
      <c r="D67" s="229"/>
      <c r="E67" s="229"/>
      <c r="F67" s="229"/>
    </row>
    <row r="68" spans="1:6" s="57" customFormat="1" ht="13.8">
      <c r="A68" s="591" t="s">
        <v>2237</v>
      </c>
      <c r="B68" s="57" t="s">
        <v>2343</v>
      </c>
      <c r="D68" s="229">
        <v>-2660</v>
      </c>
      <c r="E68" s="229">
        <v>-828</v>
      </c>
      <c r="F68" s="229">
        <v>-1618</v>
      </c>
    </row>
    <row r="69" spans="1:6" s="57" customFormat="1" ht="13.8">
      <c r="A69" s="591" t="s">
        <v>2238</v>
      </c>
      <c r="B69" s="57" t="s">
        <v>2324</v>
      </c>
      <c r="D69" s="229">
        <v>200000</v>
      </c>
      <c r="E69" s="229"/>
      <c r="F69" s="229"/>
    </row>
    <row r="70" spans="1:6" s="57" customFormat="1" ht="13.8">
      <c r="A70" s="591" t="s">
        <v>2239</v>
      </c>
      <c r="B70" s="57" t="s">
        <v>2319</v>
      </c>
      <c r="D70" s="229">
        <v>-100000</v>
      </c>
      <c r="E70" s="229">
        <v>0</v>
      </c>
      <c r="F70" s="229">
        <v>0</v>
      </c>
    </row>
    <row r="71" spans="1:6" s="57" customFormat="1" ht="13.8">
      <c r="A71" s="591" t="s">
        <v>1173</v>
      </c>
      <c r="B71" s="57" t="s">
        <v>2344</v>
      </c>
      <c r="D71" s="229">
        <v>14286</v>
      </c>
      <c r="E71" s="229">
        <v>4738</v>
      </c>
      <c r="F71" s="229">
        <v>3214</v>
      </c>
    </row>
    <row r="72" spans="1:6" s="104" customFormat="1" ht="13.8">
      <c r="A72" s="591" t="s">
        <v>2240</v>
      </c>
      <c r="B72" s="57" t="s">
        <v>2320</v>
      </c>
      <c r="D72" s="229">
        <v>0</v>
      </c>
      <c r="E72" s="229"/>
      <c r="F72" s="229"/>
    </row>
    <row r="73" spans="1:6" s="57" customFormat="1" ht="13.8">
      <c r="A73" s="591" t="s">
        <v>2241</v>
      </c>
      <c r="B73" s="57" t="s">
        <v>2323</v>
      </c>
      <c r="D73" s="229">
        <v>-59705</v>
      </c>
      <c r="E73" s="229">
        <v>0</v>
      </c>
      <c r="F73" s="229">
        <v>-34642</v>
      </c>
    </row>
    <row r="74" spans="1:6" s="57" customFormat="1" ht="13.8">
      <c r="A74" s="591" t="s">
        <v>1456</v>
      </c>
      <c r="B74" s="57" t="s">
        <v>2328</v>
      </c>
      <c r="D74" s="229">
        <v>51150</v>
      </c>
      <c r="E74" s="229">
        <v>31014</v>
      </c>
      <c r="F74" s="229">
        <v>73214</v>
      </c>
    </row>
    <row r="75" spans="1:6" s="589" customFormat="1" thickBot="1">
      <c r="A75" s="596" t="s">
        <v>1466</v>
      </c>
      <c r="B75" s="596" t="s">
        <v>2329</v>
      </c>
      <c r="C75" s="596"/>
      <c r="D75" s="597">
        <f>SUM(D68:D74)</f>
        <v>103071</v>
      </c>
      <c r="E75" s="597">
        <f>SUM(E68:E74)</f>
        <v>34924</v>
      </c>
      <c r="F75" s="597">
        <f>SUM(F68:F74)</f>
        <v>40168</v>
      </c>
    </row>
    <row r="76" spans="1:6" s="57" customFormat="1" ht="13.8">
      <c r="D76" s="229"/>
      <c r="E76" s="229"/>
      <c r="F76" s="229"/>
    </row>
    <row r="77" spans="1:6" s="589" customFormat="1" ht="13.8">
      <c r="A77" s="592" t="s">
        <v>1467</v>
      </c>
      <c r="B77" s="592" t="s">
        <v>2053</v>
      </c>
      <c r="C77" s="592"/>
      <c r="D77" s="593">
        <f>+D57+D65+D75</f>
        <v>-31170</v>
      </c>
      <c r="E77" s="593">
        <f>+E57+E65+E75</f>
        <v>-1733</v>
      </c>
      <c r="F77" s="593">
        <f>+F57+F65+F75</f>
        <v>-2491</v>
      </c>
    </row>
    <row r="78" spans="1:6" s="57" customFormat="1" ht="13.8">
      <c r="D78" s="229"/>
      <c r="E78" s="229"/>
      <c r="F78" s="229"/>
    </row>
    <row r="79" spans="1:6" s="57" customFormat="1" ht="13.8">
      <c r="A79" s="600" t="s">
        <v>2530</v>
      </c>
      <c r="B79" s="57" t="s">
        <v>2054</v>
      </c>
      <c r="D79" s="229">
        <v>39808</v>
      </c>
      <c r="E79" s="229">
        <v>8638</v>
      </c>
      <c r="F79" s="229">
        <v>8638</v>
      </c>
    </row>
    <row r="80" spans="1:6" s="57" customFormat="1" ht="13.8">
      <c r="A80" s="600" t="s">
        <v>2531</v>
      </c>
      <c r="B80" s="57" t="s">
        <v>2055</v>
      </c>
      <c r="D80" s="229">
        <v>8638</v>
      </c>
      <c r="E80" s="229">
        <v>6905</v>
      </c>
      <c r="F80" s="229">
        <v>6147</v>
      </c>
    </row>
    <row r="82" spans="1:6" s="589" customFormat="1" thickBot="1">
      <c r="A82" s="596" t="s">
        <v>1467</v>
      </c>
      <c r="B82" s="596" t="s">
        <v>2053</v>
      </c>
      <c r="C82" s="596"/>
      <c r="D82" s="597">
        <f t="shared" ref="D82:F82" si="1">+D80-D79</f>
        <v>-31170</v>
      </c>
      <c r="E82" s="597">
        <f t="shared" si="1"/>
        <v>-1733</v>
      </c>
      <c r="F82" s="597">
        <f t="shared" si="1"/>
        <v>-2491</v>
      </c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73110-7707-44A3-9829-3B6D5AFA9E09}">
  <sheetPr>
    <tabColor theme="9" tint="0.79998168889431442"/>
  </sheetPr>
  <dimension ref="A6:F90"/>
  <sheetViews>
    <sheetView showGridLines="0" zoomScale="70" zoomScaleNormal="70" workbookViewId="0">
      <pane xSplit="1" ySplit="7" topLeftCell="B81" activePane="bottomRight" state="frozen"/>
      <selection pane="topRight" activeCell="B1" sqref="B1"/>
      <selection pane="bottomLeft" activeCell="A8" sqref="A8"/>
      <selection pane="bottomRight" activeCell="H42" sqref="H42"/>
    </sheetView>
  </sheetViews>
  <sheetFormatPr defaultColWidth="9.21875" defaultRowHeight="14.4"/>
  <cols>
    <col min="1" max="1" width="70.77734375" style="35" bestFit="1" customWidth="1"/>
    <col min="2" max="2" width="75.88671875" style="35" bestFit="1" customWidth="1"/>
    <col min="3" max="3" width="0.5546875" style="35" customWidth="1"/>
    <col min="4" max="6" width="11.44140625" style="35" bestFit="1" customWidth="1"/>
    <col min="7" max="16384" width="9.21875" style="35"/>
  </cols>
  <sheetData>
    <row r="6" spans="1:6">
      <c r="A6" s="38" t="s">
        <v>2273</v>
      </c>
      <c r="B6" s="38" t="s">
        <v>2273</v>
      </c>
      <c r="C6" s="348"/>
      <c r="D6" s="399"/>
      <c r="E6" s="399"/>
      <c r="F6" s="399"/>
    </row>
    <row r="7" spans="1:6">
      <c r="A7" s="441" t="s">
        <v>1365</v>
      </c>
      <c r="B7" s="441" t="s">
        <v>1366</v>
      </c>
      <c r="C7" s="602"/>
      <c r="D7" s="604" t="s">
        <v>2151</v>
      </c>
      <c r="E7" s="604" t="s">
        <v>2488</v>
      </c>
      <c r="F7" s="604" t="s">
        <v>2497</v>
      </c>
    </row>
    <row r="8" spans="1:6" s="57" customFormat="1" ht="13.8">
      <c r="A8" s="134" t="s">
        <v>1374</v>
      </c>
      <c r="B8" s="134" t="s">
        <v>2034</v>
      </c>
    </row>
    <row r="9" spans="1:6" s="589" customFormat="1" ht="13.8">
      <c r="A9" s="588" t="s">
        <v>776</v>
      </c>
      <c r="B9" s="589" t="s">
        <v>1375</v>
      </c>
      <c r="D9" s="590">
        <v>-764256</v>
      </c>
      <c r="E9" s="590">
        <v>-49374</v>
      </c>
      <c r="F9" s="590">
        <v>-107514</v>
      </c>
    </row>
    <row r="10" spans="1:6" s="57" customFormat="1" ht="13.8">
      <c r="A10" s="104" t="s">
        <v>1376</v>
      </c>
      <c r="B10" s="57" t="s">
        <v>1377</v>
      </c>
      <c r="D10" s="229"/>
      <c r="E10" s="229"/>
      <c r="F10" s="229"/>
    </row>
    <row r="11" spans="1:6" s="57" customFormat="1" ht="13.8">
      <c r="A11" s="703" t="s">
        <v>2242</v>
      </c>
      <c r="B11" s="57" t="s">
        <v>2275</v>
      </c>
      <c r="D11" s="229">
        <v>0</v>
      </c>
      <c r="E11" s="229"/>
      <c r="F11" s="229"/>
    </row>
    <row r="12" spans="1:6" s="57" customFormat="1" ht="13.8">
      <c r="A12" s="703" t="s">
        <v>2243</v>
      </c>
      <c r="B12" s="57" t="s">
        <v>2276</v>
      </c>
      <c r="D12" s="229">
        <v>0</v>
      </c>
      <c r="E12" s="229"/>
      <c r="F12" s="229"/>
    </row>
    <row r="13" spans="1:6" s="57" customFormat="1" ht="13.8">
      <c r="A13" s="703" t="s">
        <v>2244</v>
      </c>
      <c r="B13" s="57" t="s">
        <v>2277</v>
      </c>
      <c r="D13" s="229">
        <v>0</v>
      </c>
      <c r="E13" s="229"/>
      <c r="F13" s="229"/>
    </row>
    <row r="14" spans="1:6" s="57" customFormat="1" ht="13.8">
      <c r="A14" s="703" t="s">
        <v>2245</v>
      </c>
      <c r="B14" s="57" t="s">
        <v>2278</v>
      </c>
      <c r="D14" s="229">
        <v>0</v>
      </c>
      <c r="E14" s="229"/>
      <c r="F14" s="229"/>
    </row>
    <row r="15" spans="1:6" s="57" customFormat="1" ht="13.8">
      <c r="A15" s="703" t="s">
        <v>2246</v>
      </c>
      <c r="B15" s="57" t="s">
        <v>2279</v>
      </c>
      <c r="D15" s="229">
        <v>0</v>
      </c>
      <c r="E15" s="229"/>
      <c r="F15" s="229"/>
    </row>
    <row r="16" spans="1:6" s="57" customFormat="1" ht="13.8">
      <c r="A16" s="703" t="s">
        <v>2529</v>
      </c>
      <c r="D16" s="229"/>
      <c r="E16" s="229"/>
      <c r="F16" s="229">
        <v>-5091</v>
      </c>
    </row>
    <row r="17" spans="1:6" s="104" customFormat="1" ht="13.8">
      <c r="A17" s="703" t="s">
        <v>2247</v>
      </c>
      <c r="B17" s="57" t="s">
        <v>2280</v>
      </c>
      <c r="D17" s="229">
        <v>0</v>
      </c>
      <c r="E17" s="229"/>
      <c r="F17" s="229"/>
    </row>
    <row r="18" spans="1:6" s="104" customFormat="1" ht="13.8">
      <c r="A18" s="703" t="s">
        <v>2248</v>
      </c>
      <c r="B18" s="57" t="s">
        <v>2281</v>
      </c>
      <c r="D18" s="229">
        <v>0</v>
      </c>
      <c r="E18" s="229"/>
      <c r="F18" s="229"/>
    </row>
    <row r="19" spans="1:6" s="57" customFormat="1" ht="13.8">
      <c r="A19" s="703" t="s">
        <v>2249</v>
      </c>
      <c r="B19" s="57" t="s">
        <v>2282</v>
      </c>
      <c r="D19" s="229">
        <v>0</v>
      </c>
      <c r="E19" s="229"/>
      <c r="F19" s="229"/>
    </row>
    <row r="20" spans="1:6" s="57" customFormat="1" ht="13.8">
      <c r="A20" s="706" t="s">
        <v>2250</v>
      </c>
      <c r="B20" s="57" t="s">
        <v>2283</v>
      </c>
      <c r="D20" s="229">
        <v>0</v>
      </c>
      <c r="E20" s="229"/>
      <c r="F20" s="229"/>
    </row>
    <row r="21" spans="1:6" s="57" customFormat="1" ht="13.8">
      <c r="A21" s="707" t="s">
        <v>2251</v>
      </c>
      <c r="B21" s="57" t="s">
        <v>2284</v>
      </c>
      <c r="D21" s="229">
        <v>0</v>
      </c>
      <c r="E21" s="229"/>
      <c r="F21" s="229"/>
    </row>
    <row r="22" spans="1:6" s="57" customFormat="1" ht="13.8">
      <c r="A22" s="707" t="s">
        <v>1259</v>
      </c>
      <c r="B22" s="57" t="s">
        <v>1260</v>
      </c>
      <c r="D22" s="229">
        <v>0</v>
      </c>
      <c r="E22" s="229"/>
      <c r="F22" s="229"/>
    </row>
    <row r="23" spans="1:6" s="57" customFormat="1" ht="13.8">
      <c r="A23" s="707" t="s">
        <v>1381</v>
      </c>
      <c r="B23" s="57" t="s">
        <v>2285</v>
      </c>
      <c r="D23" s="229">
        <v>771303</v>
      </c>
      <c r="E23" s="229">
        <v>51938</v>
      </c>
      <c r="F23" s="229">
        <v>112551</v>
      </c>
    </row>
    <row r="24" spans="1:6" s="57" customFormat="1" ht="13.8">
      <c r="A24" s="703" t="s">
        <v>2252</v>
      </c>
      <c r="B24" s="57" t="s">
        <v>2286</v>
      </c>
      <c r="D24" s="229">
        <v>0</v>
      </c>
      <c r="E24" s="229">
        <v>-156</v>
      </c>
      <c r="F24" s="229">
        <v>-363</v>
      </c>
    </row>
    <row r="25" spans="1:6" s="57" customFormat="1" ht="13.8">
      <c r="A25" s="703" t="s">
        <v>2253</v>
      </c>
      <c r="B25" s="57" t="s">
        <v>2287</v>
      </c>
      <c r="D25" s="229">
        <v>0</v>
      </c>
      <c r="E25" s="229">
        <v>-2541</v>
      </c>
      <c r="F25" s="229"/>
    </row>
    <row r="26" spans="1:6" s="57" customFormat="1" ht="13.8">
      <c r="A26" s="703" t="s">
        <v>2254</v>
      </c>
      <c r="B26" s="57" t="s">
        <v>2288</v>
      </c>
      <c r="D26" s="229">
        <v>0</v>
      </c>
      <c r="E26" s="229"/>
      <c r="F26" s="229"/>
    </row>
    <row r="27" spans="1:6" s="57" customFormat="1" ht="13.8">
      <c r="A27" s="703" t="s">
        <v>2255</v>
      </c>
      <c r="B27" s="57" t="s">
        <v>2289</v>
      </c>
      <c r="D27" s="229">
        <v>0</v>
      </c>
      <c r="E27" s="229"/>
      <c r="F27" s="229"/>
    </row>
    <row r="28" spans="1:6" s="104" customFormat="1" ht="13.8">
      <c r="A28" s="703" t="s">
        <v>2256</v>
      </c>
      <c r="B28" s="57" t="s">
        <v>2290</v>
      </c>
      <c r="D28" s="229">
        <v>0</v>
      </c>
      <c r="E28" s="229"/>
      <c r="F28" s="229"/>
    </row>
    <row r="29" spans="1:6" s="57" customFormat="1" ht="13.8">
      <c r="A29" s="703" t="s">
        <v>2257</v>
      </c>
      <c r="B29" s="57" t="s">
        <v>2291</v>
      </c>
      <c r="D29" s="229">
        <v>-90</v>
      </c>
      <c r="E29" s="229"/>
      <c r="F29" s="229"/>
    </row>
    <row r="30" spans="1:6" s="57" customFormat="1" ht="13.8">
      <c r="A30" s="703" t="s">
        <v>2258</v>
      </c>
      <c r="B30" s="57" t="s">
        <v>2292</v>
      </c>
      <c r="D30" s="229">
        <v>0</v>
      </c>
      <c r="E30" s="229"/>
      <c r="F30" s="229"/>
    </row>
    <row r="31" spans="1:6" s="589" customFormat="1" ht="13.8">
      <c r="A31" s="592"/>
      <c r="B31" s="592"/>
      <c r="C31" s="592"/>
      <c r="D31" s="593">
        <f>SUM(D9:D30)</f>
        <v>6957</v>
      </c>
      <c r="E31" s="593">
        <f>SUM(E9:E30)</f>
        <v>-133</v>
      </c>
      <c r="F31" s="593">
        <f>SUM(F9:F30)</f>
        <v>-417</v>
      </c>
    </row>
    <row r="32" spans="1:6" s="57" customFormat="1" ht="13.8">
      <c r="A32" s="589" t="s">
        <v>1418</v>
      </c>
      <c r="B32" s="589" t="s">
        <v>2035</v>
      </c>
      <c r="D32" s="229"/>
      <c r="E32" s="229"/>
      <c r="F32" s="229"/>
    </row>
    <row r="33" spans="1:6" s="57" customFormat="1" ht="13.8">
      <c r="A33" s="703" t="s">
        <v>1230</v>
      </c>
      <c r="B33" s="57" t="s">
        <v>2293</v>
      </c>
      <c r="D33" s="229">
        <v>0</v>
      </c>
      <c r="E33" s="229"/>
      <c r="F33" s="229"/>
    </row>
    <row r="34" spans="1:6" s="57" customFormat="1" ht="13.8">
      <c r="A34" s="704" t="s">
        <v>1238</v>
      </c>
      <c r="B34" s="57" t="s">
        <v>1297</v>
      </c>
      <c r="D34" s="229">
        <v>-85</v>
      </c>
      <c r="E34" s="229">
        <v>58</v>
      </c>
      <c r="F34" s="229">
        <v>58</v>
      </c>
    </row>
    <row r="35" spans="1:6" s="57" customFormat="1" ht="13.8">
      <c r="A35" s="704" t="s">
        <v>2227</v>
      </c>
      <c r="B35" s="57" t="s">
        <v>2294</v>
      </c>
      <c r="D35" s="229">
        <v>0</v>
      </c>
      <c r="E35" s="229"/>
      <c r="F35" s="229">
        <v>-324</v>
      </c>
    </row>
    <row r="36" spans="1:6" s="57" customFormat="1" ht="13.8">
      <c r="A36" s="704" t="s">
        <v>2228</v>
      </c>
      <c r="B36" s="57" t="s">
        <v>2295</v>
      </c>
      <c r="D36" s="229">
        <v>0</v>
      </c>
      <c r="E36" s="229"/>
      <c r="F36" s="229"/>
    </row>
    <row r="37" spans="1:6" s="57" customFormat="1" ht="13.8">
      <c r="A37" s="704" t="s">
        <v>1214</v>
      </c>
      <c r="B37" s="57" t="s">
        <v>2296</v>
      </c>
      <c r="D37" s="229">
        <v>-18</v>
      </c>
      <c r="E37" s="229"/>
      <c r="F37" s="229"/>
    </row>
    <row r="38" spans="1:6" s="57" customFormat="1" ht="13.8">
      <c r="A38" s="704" t="s">
        <v>1068</v>
      </c>
      <c r="B38" s="57" t="s">
        <v>2297</v>
      </c>
      <c r="D38" s="229">
        <v>0</v>
      </c>
      <c r="E38" s="229">
        <v>4</v>
      </c>
      <c r="F38" s="229"/>
    </row>
    <row r="39" spans="1:6" s="57" customFormat="1" ht="13.8">
      <c r="A39" s="705" t="s">
        <v>1295</v>
      </c>
      <c r="B39" s="57" t="s">
        <v>1267</v>
      </c>
      <c r="D39" s="229">
        <v>-4</v>
      </c>
      <c r="E39" s="229"/>
      <c r="F39" s="229">
        <v>3</v>
      </c>
    </row>
    <row r="40" spans="1:6" s="57" customFormat="1" ht="13.8">
      <c r="A40" s="705" t="s">
        <v>2229</v>
      </c>
      <c r="B40" s="57" t="s">
        <v>2298</v>
      </c>
      <c r="D40" s="229">
        <v>0</v>
      </c>
      <c r="E40" s="229"/>
      <c r="F40" s="229"/>
    </row>
    <row r="41" spans="1:6" s="57" customFormat="1" ht="13.8">
      <c r="A41" s="705" t="s">
        <v>1102</v>
      </c>
      <c r="B41" s="57" t="s">
        <v>2299</v>
      </c>
      <c r="D41" s="229">
        <v>-1555</v>
      </c>
      <c r="E41" s="229">
        <v>-136</v>
      </c>
      <c r="F41" s="229">
        <v>-132</v>
      </c>
    </row>
    <row r="42" spans="1:6" s="57" customFormat="1" ht="13.8">
      <c r="A42" s="705" t="s">
        <v>2259</v>
      </c>
      <c r="B42" s="57" t="s">
        <v>2300</v>
      </c>
      <c r="D42" s="229">
        <v>-638</v>
      </c>
      <c r="E42" s="229"/>
      <c r="F42" s="229"/>
    </row>
    <row r="43" spans="1:6" s="57" customFormat="1" ht="13.8">
      <c r="A43" s="705" t="s">
        <v>2260</v>
      </c>
      <c r="B43" s="57" t="s">
        <v>2301</v>
      </c>
      <c r="D43" s="229">
        <v>0</v>
      </c>
      <c r="E43" s="229"/>
      <c r="F43" s="229"/>
    </row>
    <row r="44" spans="1:6" s="57" customFormat="1" ht="13.8">
      <c r="A44" s="705" t="s">
        <v>2261</v>
      </c>
      <c r="B44" s="57" t="s">
        <v>2302</v>
      </c>
      <c r="D44" s="229">
        <v>0</v>
      </c>
      <c r="E44" s="229"/>
      <c r="F44" s="229"/>
    </row>
    <row r="45" spans="1:6" s="57" customFormat="1" ht="13.8">
      <c r="A45" s="705" t="s">
        <v>2262</v>
      </c>
      <c r="B45" s="57" t="s">
        <v>2303</v>
      </c>
      <c r="D45" s="229">
        <v>0</v>
      </c>
      <c r="E45" s="229"/>
      <c r="F45" s="229"/>
    </row>
    <row r="46" spans="1:6" s="57" customFormat="1" ht="13.8">
      <c r="A46" s="705" t="s">
        <v>2263</v>
      </c>
      <c r="B46" s="57" t="s">
        <v>2304</v>
      </c>
      <c r="D46" s="229">
        <v>43</v>
      </c>
      <c r="E46" s="229">
        <v>-42</v>
      </c>
      <c r="F46" s="229">
        <v>-43</v>
      </c>
    </row>
    <row r="47" spans="1:6" s="57" customFormat="1" ht="13.8">
      <c r="A47" s="705" t="s">
        <v>2264</v>
      </c>
      <c r="B47" s="57" t="s">
        <v>2305</v>
      </c>
      <c r="D47" s="229">
        <v>0</v>
      </c>
      <c r="E47" s="229"/>
      <c r="F47" s="229"/>
    </row>
    <row r="48" spans="1:6" s="57" customFormat="1" ht="13.8">
      <c r="A48" s="705" t="s">
        <v>1245</v>
      </c>
      <c r="B48" s="57" t="s">
        <v>2306</v>
      </c>
      <c r="D48" s="229">
        <v>0</v>
      </c>
      <c r="E48" s="229"/>
      <c r="F48" s="229"/>
    </row>
    <row r="49" spans="1:6" s="57" customFormat="1" ht="13.8">
      <c r="A49" s="703" t="s">
        <v>2265</v>
      </c>
      <c r="B49" s="57" t="s">
        <v>2307</v>
      </c>
      <c r="D49" s="229">
        <v>-11135</v>
      </c>
      <c r="E49" s="229"/>
      <c r="F49" s="229"/>
    </row>
    <row r="50" spans="1:6" s="57" customFormat="1" ht="13.8">
      <c r="A50" s="703" t="s">
        <v>1115</v>
      </c>
      <c r="B50" s="57" t="s">
        <v>2308</v>
      </c>
      <c r="D50" s="229">
        <v>0</v>
      </c>
      <c r="E50" s="229"/>
      <c r="F50" s="229"/>
    </row>
    <row r="51" spans="1:6" s="57" customFormat="1" ht="13.8">
      <c r="A51" s="703" t="s">
        <v>2266</v>
      </c>
      <c r="B51" s="57" t="s">
        <v>2309</v>
      </c>
      <c r="D51" s="229">
        <v>-471</v>
      </c>
      <c r="E51" s="229"/>
      <c r="F51" s="229"/>
    </row>
    <row r="52" spans="1:6" s="57" customFormat="1" ht="13.8">
      <c r="A52" s="704" t="s">
        <v>1129</v>
      </c>
      <c r="B52" s="57" t="s">
        <v>2011</v>
      </c>
      <c r="D52" s="229">
        <v>0</v>
      </c>
      <c r="E52" s="229"/>
      <c r="F52" s="229"/>
    </row>
    <row r="53" spans="1:6" s="589" customFormat="1" ht="13.8">
      <c r="A53" s="592" t="s">
        <v>1429</v>
      </c>
      <c r="B53" s="592" t="s">
        <v>2034</v>
      </c>
      <c r="C53" s="592"/>
      <c r="D53" s="593">
        <f>SUM(D31:D52)</f>
        <v>-6906</v>
      </c>
      <c r="E53" s="593">
        <f>SUM(E31:E52)</f>
        <v>-249</v>
      </c>
      <c r="F53" s="593">
        <f>SUM(F31:F52)</f>
        <v>-855</v>
      </c>
    </row>
    <row r="54" spans="1:6" s="57" customFormat="1" ht="13.8">
      <c r="D54" s="229"/>
      <c r="E54" s="229"/>
      <c r="F54" s="229"/>
    </row>
    <row r="55" spans="1:6" s="57" customFormat="1" ht="13.8">
      <c r="A55" s="594" t="s">
        <v>2230</v>
      </c>
      <c r="B55" s="57" t="s">
        <v>2310</v>
      </c>
      <c r="D55" s="229">
        <v>0</v>
      </c>
      <c r="E55" s="229">
        <v>0</v>
      </c>
      <c r="F55" s="43">
        <v>0</v>
      </c>
    </row>
    <row r="56" spans="1:6" s="57" customFormat="1" ht="13.8">
      <c r="A56" s="594" t="s">
        <v>2231</v>
      </c>
      <c r="B56" s="57" t="s">
        <v>2311</v>
      </c>
      <c r="D56" s="229">
        <v>0</v>
      </c>
      <c r="E56" s="229">
        <v>0</v>
      </c>
      <c r="F56" s="43">
        <v>0</v>
      </c>
    </row>
    <row r="57" spans="1:6" s="57" customFormat="1" ht="13.8">
      <c r="A57" s="594" t="s">
        <v>2232</v>
      </c>
      <c r="B57" s="57" t="s">
        <v>2312</v>
      </c>
      <c r="D57" s="229">
        <v>-106</v>
      </c>
      <c r="E57" s="229">
        <v>-1617</v>
      </c>
      <c r="F57" s="43">
        <v>-1599</v>
      </c>
    </row>
    <row r="58" spans="1:6" s="57" customFormat="1" ht="13.8">
      <c r="A58" s="595"/>
    </row>
    <row r="59" spans="1:6" s="589" customFormat="1" thickBot="1">
      <c r="A59" s="596" t="s">
        <v>1432</v>
      </c>
      <c r="B59" s="596" t="s">
        <v>2036</v>
      </c>
      <c r="C59" s="596"/>
      <c r="D59" s="597">
        <f t="shared" ref="D59:F59" si="0">SUM(D53:D58)</f>
        <v>-7012</v>
      </c>
      <c r="E59" s="597">
        <f t="shared" si="0"/>
        <v>-1866</v>
      </c>
      <c r="F59" s="597">
        <f t="shared" si="0"/>
        <v>-2454</v>
      </c>
    </row>
    <row r="60" spans="1:6" s="57" customFormat="1" ht="13.8">
      <c r="D60" s="229"/>
      <c r="E60" s="229"/>
      <c r="F60" s="229"/>
    </row>
    <row r="61" spans="1:6" s="57" customFormat="1" ht="13.8">
      <c r="A61" s="134" t="s">
        <v>1433</v>
      </c>
      <c r="B61" s="589" t="s">
        <v>2037</v>
      </c>
      <c r="D61" s="229"/>
      <c r="E61" s="229"/>
      <c r="F61" s="229"/>
    </row>
    <row r="62" spans="1:6" s="57" customFormat="1" ht="13.8">
      <c r="A62" s="591" t="s">
        <v>2233</v>
      </c>
      <c r="B62" s="57" t="s">
        <v>2313</v>
      </c>
      <c r="D62" s="229">
        <v>-117187</v>
      </c>
      <c r="E62" s="229">
        <v>-41527</v>
      </c>
      <c r="F62" s="43">
        <v>-41582</v>
      </c>
    </row>
    <row r="63" spans="1:6" s="57" customFormat="1" ht="13.8">
      <c r="A63" s="591" t="s">
        <v>2267</v>
      </c>
      <c r="B63" s="57" t="s">
        <v>2314</v>
      </c>
      <c r="D63" s="229">
        <v>0</v>
      </c>
      <c r="E63" s="229"/>
      <c r="F63" s="43" t="s">
        <v>2100</v>
      </c>
    </row>
    <row r="64" spans="1:6" s="57" customFormat="1" ht="13.8">
      <c r="A64" s="591" t="s">
        <v>2268</v>
      </c>
      <c r="B64" s="57" t="s">
        <v>2315</v>
      </c>
      <c r="D64" s="229">
        <v>0</v>
      </c>
      <c r="E64" s="229"/>
      <c r="F64" s="43" t="s">
        <v>2100</v>
      </c>
    </row>
    <row r="65" spans="1:6" s="57" customFormat="1" ht="13.8">
      <c r="A65" s="598" t="s">
        <v>2269</v>
      </c>
      <c r="B65" s="57" t="s">
        <v>2316</v>
      </c>
      <c r="D65" s="229">
        <v>711</v>
      </c>
      <c r="E65" s="229">
        <v>-1750</v>
      </c>
      <c r="F65" s="43" t="s">
        <v>2100</v>
      </c>
    </row>
    <row r="66" spans="1:6" s="57" customFormat="1" ht="13.8">
      <c r="A66" s="591" t="s">
        <v>2234</v>
      </c>
      <c r="B66" s="57" t="s">
        <v>2317</v>
      </c>
      <c r="D66" s="229">
        <v>0</v>
      </c>
      <c r="E66" s="229">
        <v>2697</v>
      </c>
      <c r="F66" s="43">
        <v>5454</v>
      </c>
    </row>
    <row r="67" spans="1:6" s="57" customFormat="1" ht="13.8">
      <c r="A67" s="591" t="s">
        <v>2235</v>
      </c>
      <c r="B67" s="57" t="s">
        <v>2018</v>
      </c>
      <c r="D67" s="229">
        <v>-75</v>
      </c>
      <c r="E67" s="229">
        <v>-15</v>
      </c>
      <c r="F67" s="43">
        <v>-34</v>
      </c>
    </row>
    <row r="68" spans="1:6" s="57" customFormat="1" ht="13.8">
      <c r="A68" s="591" t="s">
        <v>2491</v>
      </c>
      <c r="D68" s="229"/>
      <c r="E68" s="229">
        <v>50000</v>
      </c>
      <c r="F68" s="43">
        <v>50000</v>
      </c>
    </row>
    <row r="69" spans="1:6" s="57" customFormat="1" ht="13.8">
      <c r="A69" s="591" t="s">
        <v>2236</v>
      </c>
      <c r="B69" s="57" t="s">
        <v>2318</v>
      </c>
      <c r="D69" s="229">
        <v>-216</v>
      </c>
      <c r="E69" s="229">
        <v>0</v>
      </c>
      <c r="F69" s="43">
        <v>-6</v>
      </c>
    </row>
    <row r="70" spans="1:6" s="589" customFormat="1" thickBot="1">
      <c r="A70" s="596" t="s">
        <v>1450</v>
      </c>
      <c r="B70" s="596" t="s">
        <v>2038</v>
      </c>
      <c r="C70" s="596"/>
      <c r="D70" s="597">
        <f>SUM(D61:D69)</f>
        <v>-116767</v>
      </c>
      <c r="E70" s="597">
        <f>SUM(E61:E69)</f>
        <v>9405</v>
      </c>
      <c r="F70" s="597">
        <f>SUM(F61:F69)</f>
        <v>13832</v>
      </c>
    </row>
    <row r="71" spans="1:6" s="57" customFormat="1" ht="13.8">
      <c r="D71" s="229"/>
      <c r="E71" s="229"/>
      <c r="F71" s="229"/>
    </row>
    <row r="72" spans="1:6" s="57" customFormat="1" ht="13.8">
      <c r="A72" s="134" t="s">
        <v>1451</v>
      </c>
      <c r="B72" s="589" t="s">
        <v>2039</v>
      </c>
      <c r="D72" s="229"/>
      <c r="E72" s="229"/>
      <c r="F72" s="229"/>
    </row>
    <row r="73" spans="1:6" s="57" customFormat="1" ht="13.8">
      <c r="A73" s="591" t="s">
        <v>2239</v>
      </c>
      <c r="B73" s="57" t="s">
        <v>2319</v>
      </c>
      <c r="D73" s="229">
        <v>0</v>
      </c>
      <c r="E73" s="229"/>
      <c r="F73" s="43">
        <v>0</v>
      </c>
    </row>
    <row r="74" spans="1:6" s="57" customFormat="1" ht="13.8">
      <c r="A74" s="591" t="s">
        <v>2240</v>
      </c>
      <c r="B74" s="57" t="s">
        <v>2320</v>
      </c>
      <c r="D74" s="229">
        <v>0</v>
      </c>
      <c r="E74" s="229"/>
      <c r="F74" s="43" t="s">
        <v>2100</v>
      </c>
    </row>
    <row r="75" spans="1:6" s="57" customFormat="1" ht="13.8">
      <c r="A75" s="591" t="s">
        <v>2270</v>
      </c>
      <c r="B75" s="57" t="s">
        <v>2321</v>
      </c>
      <c r="D75" s="229">
        <v>0</v>
      </c>
      <c r="E75" s="229"/>
      <c r="F75" s="43" t="s">
        <v>2100</v>
      </c>
    </row>
    <row r="76" spans="1:6" s="57" customFormat="1" ht="13.8">
      <c r="A76" s="591" t="s">
        <v>1173</v>
      </c>
      <c r="B76" s="57" t="s">
        <v>2322</v>
      </c>
      <c r="D76" s="229">
        <v>1279</v>
      </c>
      <c r="E76" s="229">
        <v>-805</v>
      </c>
      <c r="F76" s="43">
        <v>-5596</v>
      </c>
    </row>
    <row r="77" spans="1:6" s="57" customFormat="1" ht="13.8">
      <c r="A77" s="591" t="s">
        <v>2241</v>
      </c>
      <c r="B77" s="57" t="s">
        <v>2323</v>
      </c>
      <c r="D77" s="229">
        <v>0</v>
      </c>
      <c r="E77" s="229">
        <v>0</v>
      </c>
      <c r="F77" s="43">
        <v>0</v>
      </c>
    </row>
    <row r="78" spans="1:6" s="57" customFormat="1" ht="13.8">
      <c r="A78" s="591" t="s">
        <v>2238</v>
      </c>
      <c r="B78" s="57" t="s">
        <v>2324</v>
      </c>
      <c r="D78" s="229">
        <v>0</v>
      </c>
      <c r="E78" s="229"/>
      <c r="F78" s="43" t="s">
        <v>2100</v>
      </c>
    </row>
    <row r="79" spans="1:6" s="57" customFormat="1" ht="13.8">
      <c r="A79" s="591" t="s">
        <v>1454</v>
      </c>
      <c r="B79" s="57" t="s">
        <v>2325</v>
      </c>
      <c r="D79" s="229">
        <v>0</v>
      </c>
      <c r="E79" s="229"/>
      <c r="F79" s="43" t="s">
        <v>2100</v>
      </c>
    </row>
    <row r="80" spans="1:6" s="57" customFormat="1" ht="13.8">
      <c r="A80" s="591" t="s">
        <v>2271</v>
      </c>
      <c r="B80" s="57" t="s">
        <v>2326</v>
      </c>
      <c r="D80" s="229">
        <v>0</v>
      </c>
      <c r="E80" s="229"/>
      <c r="F80" s="43" t="s">
        <v>2100</v>
      </c>
    </row>
    <row r="81" spans="1:6" s="57" customFormat="1" ht="13.8">
      <c r="A81" s="591" t="s">
        <v>2272</v>
      </c>
      <c r="B81" s="57" t="s">
        <v>2327</v>
      </c>
      <c r="D81" s="229">
        <v>0</v>
      </c>
      <c r="E81" s="229"/>
      <c r="F81" s="43" t="s">
        <v>2100</v>
      </c>
    </row>
    <row r="82" spans="1:6" s="104" customFormat="1" ht="13.8">
      <c r="A82" s="591" t="s">
        <v>1456</v>
      </c>
      <c r="B82" s="57" t="s">
        <v>2328</v>
      </c>
      <c r="D82" s="229">
        <v>116665</v>
      </c>
      <c r="E82" s="229">
        <v>0</v>
      </c>
      <c r="F82" s="43">
        <v>0</v>
      </c>
    </row>
    <row r="83" spans="1:6" s="589" customFormat="1" thickBot="1">
      <c r="A83" s="596" t="s">
        <v>1466</v>
      </c>
      <c r="B83" s="596" t="s">
        <v>2329</v>
      </c>
      <c r="C83" s="596"/>
      <c r="D83" s="597">
        <f>SUM(D73:D82)</f>
        <v>117944</v>
      </c>
      <c r="E83" s="597">
        <f>SUM(E73:E82)</f>
        <v>-805</v>
      </c>
      <c r="F83" s="597">
        <f>SUM(F73:F82)</f>
        <v>-5596</v>
      </c>
    </row>
    <row r="84" spans="1:6" s="57" customFormat="1" ht="13.8">
      <c r="D84" s="229"/>
      <c r="E84" s="229"/>
      <c r="F84" s="229"/>
    </row>
    <row r="85" spans="1:6" s="589" customFormat="1" ht="13.8">
      <c r="A85" s="592" t="s">
        <v>1467</v>
      </c>
      <c r="B85" s="592" t="s">
        <v>2053</v>
      </c>
      <c r="C85" s="592"/>
      <c r="D85" s="593">
        <f>+D59+D70+D83</f>
        <v>-5835</v>
      </c>
      <c r="E85" s="593">
        <f>+E59+E70+E83</f>
        <v>6734</v>
      </c>
      <c r="F85" s="593">
        <f>+F59+F70+F83</f>
        <v>5782</v>
      </c>
    </row>
    <row r="86" spans="1:6" s="57" customFormat="1" ht="13.8">
      <c r="D86" s="229"/>
      <c r="E86" s="229"/>
      <c r="F86" s="229"/>
    </row>
    <row r="87" spans="1:6" s="57" customFormat="1" ht="13.8">
      <c r="A87" s="600" t="s">
        <v>2530</v>
      </c>
      <c r="B87" s="57" t="s">
        <v>2054</v>
      </c>
      <c r="D87" s="229">
        <v>5906</v>
      </c>
      <c r="E87" s="229">
        <v>71</v>
      </c>
      <c r="F87" s="43">
        <v>71</v>
      </c>
    </row>
    <row r="88" spans="1:6" s="57" customFormat="1" ht="13.8">
      <c r="A88" s="600" t="s">
        <v>2531</v>
      </c>
      <c r="B88" s="57" t="s">
        <v>2055</v>
      </c>
      <c r="D88" s="229">
        <v>71</v>
      </c>
      <c r="E88" s="229">
        <v>6805</v>
      </c>
      <c r="F88" s="43">
        <v>5853</v>
      </c>
    </row>
    <row r="89" spans="1:6" s="57" customFormat="1" ht="13.8">
      <c r="D89" s="229"/>
      <c r="E89" s="229"/>
      <c r="F89" s="229"/>
    </row>
    <row r="90" spans="1:6" s="589" customFormat="1" thickBot="1">
      <c r="A90" s="596" t="s">
        <v>1467</v>
      </c>
      <c r="B90" s="596" t="s">
        <v>2053</v>
      </c>
      <c r="C90" s="596"/>
      <c r="D90" s="597">
        <f t="shared" ref="D90:F90" si="1">+D88-D87</f>
        <v>-5835</v>
      </c>
      <c r="E90" s="597">
        <f t="shared" si="1"/>
        <v>6734</v>
      </c>
      <c r="F90" s="597">
        <f t="shared" si="1"/>
        <v>5782</v>
      </c>
    </row>
  </sheetData>
  <phoneticPr fontId="30" type="noConversion"/>
  <pageMargins left="0.511811024" right="0.511811024" top="0.78740157499999996" bottom="0.78740157499999996" header="0.31496062000000002" footer="0.31496062000000002"/>
  <drawing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tabColor theme="9" tint="0.79998168889431442"/>
  </sheetPr>
  <dimension ref="A6:AC130"/>
  <sheetViews>
    <sheetView showGridLines="0" zoomScale="85" zoomScaleNormal="85" workbookViewId="0">
      <pane xSplit="1" ySplit="7" topLeftCell="X128" activePane="bottomRight" state="frozen"/>
      <selection pane="topRight" activeCell="B1" sqref="B1"/>
      <selection pane="bottomLeft" activeCell="A8" sqref="A8"/>
      <selection pane="bottomRight" activeCell="AC12" sqref="AC12"/>
    </sheetView>
  </sheetViews>
  <sheetFormatPr defaultColWidth="9.21875" defaultRowHeight="14.4" outlineLevelCol="1"/>
  <cols>
    <col min="1" max="1" width="70.77734375" style="35" bestFit="1" customWidth="1"/>
    <col min="2" max="2" width="75.88671875" style="35" bestFit="1" customWidth="1"/>
    <col min="3" max="3" width="0.5546875" style="35" customWidth="1"/>
    <col min="4" max="5" width="10.5546875" style="35" hidden="1" customWidth="1" outlineLevel="1"/>
    <col min="6" max="7" width="11.44140625" style="35" hidden="1" customWidth="1" outlineLevel="1"/>
    <col min="8" max="8" width="11.44140625" style="35" customWidth="1" collapsed="1"/>
    <col min="9" max="10" width="11.44140625" style="35" customWidth="1"/>
    <col min="11" max="29" width="11.44140625" style="35" bestFit="1" customWidth="1"/>
    <col min="30" max="16384" width="9.21875" style="35"/>
  </cols>
  <sheetData>
    <row r="6" spans="1:29">
      <c r="A6" s="38" t="s">
        <v>1482</v>
      </c>
      <c r="B6" s="38" t="s">
        <v>1482</v>
      </c>
      <c r="C6" s="348"/>
      <c r="D6" s="399"/>
      <c r="E6" s="399"/>
      <c r="F6" s="399"/>
      <c r="G6" s="399"/>
      <c r="H6" s="399"/>
      <c r="I6" s="399"/>
      <c r="J6" s="399"/>
      <c r="K6" s="601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399"/>
    </row>
    <row r="7" spans="1:29">
      <c r="A7" s="441" t="s">
        <v>1365</v>
      </c>
      <c r="B7" s="441" t="s">
        <v>1366</v>
      </c>
      <c r="C7" s="602"/>
      <c r="D7" s="603" t="s">
        <v>67</v>
      </c>
      <c r="E7" s="603" t="s">
        <v>68</v>
      </c>
      <c r="F7" s="603" t="s">
        <v>69</v>
      </c>
      <c r="G7" s="603" t="s">
        <v>70</v>
      </c>
      <c r="H7" s="603" t="s">
        <v>1367</v>
      </c>
      <c r="I7" s="603" t="s">
        <v>1368</v>
      </c>
      <c r="J7" s="603" t="s">
        <v>1369</v>
      </c>
      <c r="K7" s="604" t="s">
        <v>1370</v>
      </c>
      <c r="L7" s="603" t="s">
        <v>584</v>
      </c>
      <c r="M7" s="603" t="s">
        <v>585</v>
      </c>
      <c r="N7" s="603" t="s">
        <v>586</v>
      </c>
      <c r="O7" s="604" t="s">
        <v>1371</v>
      </c>
      <c r="P7" s="603" t="s">
        <v>587</v>
      </c>
      <c r="Q7" s="603" t="s">
        <v>588</v>
      </c>
      <c r="R7" s="603" t="s">
        <v>589</v>
      </c>
      <c r="S7" s="604" t="s">
        <v>1372</v>
      </c>
      <c r="T7" s="603" t="s">
        <v>590</v>
      </c>
      <c r="U7" s="603" t="s">
        <v>591</v>
      </c>
      <c r="V7" s="603" t="s">
        <v>592</v>
      </c>
      <c r="W7" s="604" t="s">
        <v>1373</v>
      </c>
      <c r="X7" s="603" t="s">
        <v>593</v>
      </c>
      <c r="Y7" s="603" t="s">
        <v>594</v>
      </c>
      <c r="Z7" s="603" t="s">
        <v>595</v>
      </c>
      <c r="AA7" s="604" t="s">
        <v>2151</v>
      </c>
      <c r="AB7" s="604" t="s">
        <v>2488</v>
      </c>
      <c r="AC7" s="604" t="s">
        <v>2497</v>
      </c>
    </row>
    <row r="8" spans="1:29" s="165" customFormat="1" ht="13.8">
      <c r="A8" s="134" t="s">
        <v>1374</v>
      </c>
      <c r="B8" s="134" t="s">
        <v>2034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229"/>
      <c r="U8" s="57"/>
      <c r="V8" s="57"/>
      <c r="W8" s="57"/>
      <c r="X8" s="57"/>
      <c r="Y8" s="57"/>
      <c r="Z8" s="57"/>
      <c r="AA8" s="57"/>
      <c r="AB8" s="57"/>
      <c r="AC8" s="57"/>
    </row>
    <row r="9" spans="1:29" s="578" customFormat="1" ht="13.8">
      <c r="A9" s="588" t="s">
        <v>776</v>
      </c>
      <c r="B9" s="589" t="s">
        <v>1375</v>
      </c>
      <c r="C9" s="589"/>
      <c r="D9" s="589"/>
      <c r="E9" s="589"/>
      <c r="F9" s="589"/>
      <c r="G9" s="589"/>
      <c r="H9" s="590"/>
      <c r="I9" s="590"/>
      <c r="J9" s="590">
        <v>2273352</v>
      </c>
      <c r="K9" s="590">
        <v>3694527</v>
      </c>
      <c r="L9" s="590">
        <v>580076</v>
      </c>
      <c r="M9" s="590">
        <v>409773</v>
      </c>
      <c r="N9" s="590">
        <v>914034</v>
      </c>
      <c r="O9" s="590">
        <v>1373938</v>
      </c>
      <c r="P9" s="590">
        <v>163686</v>
      </c>
      <c r="Q9" s="590">
        <v>681385</v>
      </c>
      <c r="R9" s="590">
        <v>1401408</v>
      </c>
      <c r="S9" s="590">
        <v>2075593</v>
      </c>
      <c r="T9" s="590">
        <v>279445</v>
      </c>
      <c r="U9" s="590">
        <v>787919</v>
      </c>
      <c r="V9" s="590">
        <v>1547990</v>
      </c>
      <c r="W9" s="590">
        <v>2811675</v>
      </c>
      <c r="X9" s="590">
        <v>556168</v>
      </c>
      <c r="Y9" s="590">
        <v>1629769</v>
      </c>
      <c r="Z9" s="590">
        <v>2098670</v>
      </c>
      <c r="AA9" s="590">
        <v>1680673</v>
      </c>
      <c r="AB9" s="590">
        <v>424465</v>
      </c>
      <c r="AC9" s="590">
        <v>909840</v>
      </c>
    </row>
    <row r="10" spans="1:29" s="165" customFormat="1" ht="13.8">
      <c r="A10" s="104" t="s">
        <v>1376</v>
      </c>
      <c r="B10" s="57" t="s">
        <v>1377</v>
      </c>
      <c r="C10" s="57"/>
      <c r="D10" s="57"/>
      <c r="E10" s="57"/>
      <c r="F10" s="57"/>
      <c r="G10" s="57"/>
      <c r="H10" s="229"/>
      <c r="I10" s="229"/>
      <c r="J10" s="229"/>
      <c r="K10" s="229"/>
      <c r="L10" s="229"/>
      <c r="M10" s="229"/>
      <c r="N10" s="229"/>
      <c r="O10" s="229"/>
      <c r="P10" s="229"/>
      <c r="Q10" s="229"/>
      <c r="R10" s="229"/>
      <c r="S10" s="229"/>
      <c r="T10" s="229"/>
      <c r="U10" s="229"/>
      <c r="V10" s="229"/>
      <c r="W10" s="229"/>
      <c r="X10" s="229"/>
      <c r="Y10" s="229"/>
      <c r="Z10" s="229"/>
      <c r="AA10" s="229"/>
      <c r="AB10" s="229"/>
      <c r="AC10" s="229"/>
    </row>
    <row r="11" spans="1:29" s="165" customFormat="1" ht="13.8">
      <c r="A11" s="591" t="s">
        <v>1378</v>
      </c>
      <c r="B11" s="57" t="s">
        <v>1379</v>
      </c>
      <c r="C11" s="57"/>
      <c r="D11" s="57"/>
      <c r="E11" s="57"/>
      <c r="F11" s="57"/>
      <c r="G11" s="57"/>
      <c r="H11" s="229"/>
      <c r="I11" s="229"/>
      <c r="J11" s="229">
        <v>127</v>
      </c>
      <c r="K11" s="229">
        <v>324</v>
      </c>
      <c r="L11" s="229">
        <v>59</v>
      </c>
      <c r="M11" s="229">
        <v>77</v>
      </c>
      <c r="N11" s="229">
        <v>95</v>
      </c>
      <c r="O11" s="229">
        <v>113</v>
      </c>
      <c r="P11" s="229">
        <v>18</v>
      </c>
      <c r="Q11" s="229">
        <v>36</v>
      </c>
      <c r="R11" s="229">
        <v>54</v>
      </c>
      <c r="S11" s="229">
        <v>115</v>
      </c>
      <c r="T11" s="229">
        <v>21</v>
      </c>
      <c r="U11" s="229">
        <v>42</v>
      </c>
      <c r="V11" s="229">
        <v>63</v>
      </c>
      <c r="W11" s="229">
        <v>180</v>
      </c>
      <c r="X11" s="229">
        <v>329</v>
      </c>
      <c r="Y11" s="229">
        <v>658</v>
      </c>
      <c r="Z11" s="229">
        <v>988</v>
      </c>
      <c r="AA11" s="229">
        <v>1317</v>
      </c>
      <c r="AB11" s="229">
        <v>359</v>
      </c>
      <c r="AC11" s="229">
        <v>719</v>
      </c>
    </row>
    <row r="12" spans="1:29" s="165" customFormat="1" ht="13.8">
      <c r="A12" s="591" t="s">
        <v>710</v>
      </c>
      <c r="B12" s="57" t="s">
        <v>1380</v>
      </c>
      <c r="C12" s="57"/>
      <c r="D12" s="57"/>
      <c r="E12" s="57"/>
      <c r="F12" s="57"/>
      <c r="G12" s="57"/>
      <c r="H12" s="229"/>
      <c r="I12" s="229"/>
      <c r="J12" s="229">
        <v>72724</v>
      </c>
      <c r="K12" s="229">
        <v>0</v>
      </c>
      <c r="L12" s="229">
        <v>0</v>
      </c>
      <c r="M12" s="229">
        <v>0</v>
      </c>
      <c r="N12" s="229">
        <v>0</v>
      </c>
      <c r="O12" s="229">
        <v>0</v>
      </c>
      <c r="P12" s="229">
        <v>0</v>
      </c>
      <c r="Q12" s="229">
        <v>0</v>
      </c>
      <c r="R12" s="229">
        <v>0</v>
      </c>
      <c r="S12" s="229">
        <v>0</v>
      </c>
      <c r="T12" s="229">
        <v>0</v>
      </c>
      <c r="U12" s="229">
        <v>0</v>
      </c>
      <c r="V12" s="229">
        <v>0</v>
      </c>
      <c r="W12" s="229">
        <v>0</v>
      </c>
      <c r="X12" s="229">
        <v>0</v>
      </c>
      <c r="Y12" s="229">
        <v>0</v>
      </c>
      <c r="Z12" s="229">
        <v>0</v>
      </c>
      <c r="AA12" s="229">
        <v>0</v>
      </c>
      <c r="AB12" s="229">
        <v>0</v>
      </c>
      <c r="AC12" s="229">
        <v>0</v>
      </c>
    </row>
    <row r="13" spans="1:29" s="165" customFormat="1" ht="13.8">
      <c r="A13" s="591" t="s">
        <v>1381</v>
      </c>
      <c r="B13" s="57" t="s">
        <v>1983</v>
      </c>
      <c r="C13" s="57"/>
      <c r="D13" s="57"/>
      <c r="E13" s="57"/>
      <c r="F13" s="57"/>
      <c r="G13" s="57"/>
      <c r="H13" s="229"/>
      <c r="I13" s="229"/>
      <c r="J13" s="229">
        <v>-2469394</v>
      </c>
      <c r="K13" s="229">
        <v>-3558641</v>
      </c>
      <c r="L13" s="229">
        <v>-654360</v>
      </c>
      <c r="M13" s="229">
        <v>-637827</v>
      </c>
      <c r="N13" s="229">
        <v>-1266477</v>
      </c>
      <c r="O13" s="229">
        <v>-1797781</v>
      </c>
      <c r="P13" s="229">
        <v>-497947</v>
      </c>
      <c r="Q13" s="229">
        <v>-1133003</v>
      </c>
      <c r="R13" s="229">
        <v>-2048606</v>
      </c>
      <c r="S13" s="229">
        <v>-2750916</v>
      </c>
      <c r="T13" s="229">
        <v>-359669</v>
      </c>
      <c r="U13" s="229">
        <v>-814256</v>
      </c>
      <c r="V13" s="229">
        <v>-1609519</v>
      </c>
      <c r="W13" s="229">
        <v>-3248396</v>
      </c>
      <c r="X13" s="229">
        <v>-609900</v>
      </c>
      <c r="Y13" s="229">
        <v>-1827002</v>
      </c>
      <c r="Z13" s="229">
        <v>-2467024</v>
      </c>
      <c r="AA13" s="229">
        <v>-1716090</v>
      </c>
      <c r="AB13" s="229">
        <v>-489676</v>
      </c>
      <c r="AC13" s="229">
        <v>-1003527</v>
      </c>
    </row>
    <row r="14" spans="1:29" s="165" customFormat="1" ht="13.8">
      <c r="A14" s="591" t="s">
        <v>1382</v>
      </c>
      <c r="B14" s="57" t="s">
        <v>1383</v>
      </c>
      <c r="C14" s="57"/>
      <c r="D14" s="57"/>
      <c r="E14" s="57"/>
      <c r="F14" s="57"/>
      <c r="G14" s="57"/>
      <c r="H14" s="229"/>
      <c r="I14" s="229"/>
      <c r="J14" s="229">
        <v>0</v>
      </c>
      <c r="K14" s="229">
        <v>0</v>
      </c>
      <c r="L14" s="229">
        <v>0</v>
      </c>
      <c r="M14" s="229">
        <v>0</v>
      </c>
      <c r="N14" s="229">
        <v>0</v>
      </c>
      <c r="O14" s="229">
        <v>0</v>
      </c>
      <c r="P14" s="229">
        <v>0</v>
      </c>
      <c r="Q14" s="229">
        <v>0</v>
      </c>
      <c r="R14" s="229">
        <v>0</v>
      </c>
      <c r="S14" s="229">
        <v>2607</v>
      </c>
      <c r="T14" s="229">
        <v>0</v>
      </c>
      <c r="U14" s="229">
        <v>0</v>
      </c>
      <c r="V14" s="229">
        <v>0</v>
      </c>
      <c r="W14" s="229">
        <v>0</v>
      </c>
      <c r="X14" s="229">
        <v>0</v>
      </c>
      <c r="Y14" s="229">
        <v>0</v>
      </c>
      <c r="Z14" s="229">
        <v>0</v>
      </c>
      <c r="AA14" s="229">
        <v>0</v>
      </c>
      <c r="AB14" s="229"/>
      <c r="AC14" s="229"/>
    </row>
    <row r="15" spans="1:29" s="165" customFormat="1" ht="13.8">
      <c r="A15" s="591" t="s">
        <v>1384</v>
      </c>
      <c r="B15" s="57" t="s">
        <v>1982</v>
      </c>
      <c r="C15" s="57"/>
      <c r="D15" s="57"/>
      <c r="E15" s="57"/>
      <c r="F15" s="57"/>
      <c r="G15" s="57"/>
      <c r="H15" s="229"/>
      <c r="I15" s="229"/>
      <c r="J15" s="229">
        <v>0</v>
      </c>
      <c r="K15" s="229">
        <v>0</v>
      </c>
      <c r="L15" s="229">
        <v>0</v>
      </c>
      <c r="M15" s="229">
        <v>0</v>
      </c>
      <c r="N15" s="229">
        <v>0</v>
      </c>
      <c r="O15" s="229">
        <v>0</v>
      </c>
      <c r="P15" s="229">
        <v>0</v>
      </c>
      <c r="Q15" s="229">
        <v>0</v>
      </c>
      <c r="R15" s="229">
        <v>0</v>
      </c>
      <c r="S15" s="229">
        <v>0</v>
      </c>
      <c r="T15" s="229">
        <v>0</v>
      </c>
      <c r="U15" s="229">
        <v>0</v>
      </c>
      <c r="V15" s="229">
        <v>0</v>
      </c>
      <c r="W15" s="229">
        <v>0</v>
      </c>
      <c r="X15" s="229">
        <v>0</v>
      </c>
      <c r="Y15" s="229">
        <v>0</v>
      </c>
      <c r="Z15" s="229">
        <v>0</v>
      </c>
      <c r="AA15" s="229">
        <v>0</v>
      </c>
      <c r="AB15" s="229"/>
      <c r="AC15" s="229"/>
    </row>
    <row r="16" spans="1:29" s="4" customFormat="1" ht="13.8">
      <c r="A16" s="591" t="s">
        <v>1385</v>
      </c>
      <c r="B16" s="57" t="s">
        <v>1386</v>
      </c>
      <c r="C16" s="104"/>
      <c r="D16" s="104"/>
      <c r="E16" s="104"/>
      <c r="F16" s="104"/>
      <c r="G16" s="104"/>
      <c r="H16" s="138"/>
      <c r="I16" s="138"/>
      <c r="J16" s="229">
        <v>0</v>
      </c>
      <c r="K16" s="229">
        <v>0</v>
      </c>
      <c r="L16" s="229">
        <v>0</v>
      </c>
      <c r="M16" s="229">
        <v>0</v>
      </c>
      <c r="N16" s="229">
        <v>0</v>
      </c>
      <c r="O16" s="229">
        <v>0</v>
      </c>
      <c r="P16" s="229">
        <v>0</v>
      </c>
      <c r="Q16" s="229">
        <v>0</v>
      </c>
      <c r="R16" s="229">
        <v>0</v>
      </c>
      <c r="S16" s="229">
        <v>0</v>
      </c>
      <c r="T16" s="229">
        <v>0</v>
      </c>
      <c r="U16" s="229">
        <v>0</v>
      </c>
      <c r="V16" s="229">
        <v>0</v>
      </c>
      <c r="W16" s="229">
        <v>0</v>
      </c>
      <c r="X16" s="229">
        <v>0</v>
      </c>
      <c r="Y16" s="229">
        <v>0</v>
      </c>
      <c r="Z16" s="229">
        <v>0</v>
      </c>
      <c r="AA16" s="229">
        <v>0</v>
      </c>
      <c r="AB16" s="229"/>
      <c r="AC16" s="229"/>
    </row>
    <row r="17" spans="1:29" s="165" customFormat="1" ht="13.8">
      <c r="A17" s="591" t="s">
        <v>1476</v>
      </c>
      <c r="B17" s="57" t="s">
        <v>1388</v>
      </c>
      <c r="C17" s="57"/>
      <c r="D17" s="57"/>
      <c r="E17" s="57"/>
      <c r="F17" s="57"/>
      <c r="G17" s="57"/>
      <c r="H17" s="229"/>
      <c r="I17" s="229"/>
      <c r="J17" s="229">
        <v>0</v>
      </c>
      <c r="K17" s="229">
        <v>0</v>
      </c>
      <c r="L17" s="229">
        <v>0</v>
      </c>
      <c r="M17" s="229">
        <v>0</v>
      </c>
      <c r="N17" s="229">
        <v>0</v>
      </c>
      <c r="O17" s="229">
        <v>0</v>
      </c>
      <c r="P17" s="229">
        <v>0</v>
      </c>
      <c r="Q17" s="229">
        <v>0</v>
      </c>
      <c r="R17" s="229">
        <v>0</v>
      </c>
      <c r="S17" s="229">
        <v>0</v>
      </c>
      <c r="T17" s="229">
        <v>0</v>
      </c>
      <c r="U17" s="229">
        <v>0</v>
      </c>
      <c r="V17" s="229">
        <v>0</v>
      </c>
      <c r="W17" s="229">
        <v>0</v>
      </c>
      <c r="X17" s="229">
        <v>0</v>
      </c>
      <c r="Y17" s="229">
        <v>0</v>
      </c>
      <c r="Z17" s="229">
        <v>0</v>
      </c>
      <c r="AA17" s="229">
        <v>0</v>
      </c>
      <c r="AB17" s="229"/>
      <c r="AC17" s="229"/>
    </row>
    <row r="18" spans="1:29" s="165" customFormat="1" ht="13.8">
      <c r="A18" s="591" t="s">
        <v>1389</v>
      </c>
      <c r="B18" s="57" t="s">
        <v>1390</v>
      </c>
      <c r="C18" s="57"/>
      <c r="D18" s="57"/>
      <c r="E18" s="57"/>
      <c r="F18" s="57"/>
      <c r="G18" s="57"/>
      <c r="H18" s="229"/>
      <c r="I18" s="229"/>
      <c r="J18" s="229">
        <v>0</v>
      </c>
      <c r="K18" s="229">
        <v>0</v>
      </c>
      <c r="L18" s="229">
        <v>0</v>
      </c>
      <c r="M18" s="229">
        <v>0</v>
      </c>
      <c r="N18" s="229">
        <v>0</v>
      </c>
      <c r="O18" s="229">
        <v>0</v>
      </c>
      <c r="P18" s="229">
        <v>0</v>
      </c>
      <c r="Q18" s="229">
        <v>0</v>
      </c>
      <c r="R18" s="229">
        <v>0</v>
      </c>
      <c r="S18" s="229">
        <v>0</v>
      </c>
      <c r="T18" s="229">
        <v>0</v>
      </c>
      <c r="U18" s="229">
        <v>0</v>
      </c>
      <c r="V18" s="229">
        <v>0</v>
      </c>
      <c r="W18" s="229">
        <v>0</v>
      </c>
      <c r="X18" s="229">
        <v>0</v>
      </c>
      <c r="Y18" s="229">
        <v>0</v>
      </c>
      <c r="Z18" s="229">
        <v>0</v>
      </c>
      <c r="AA18" s="229">
        <v>0</v>
      </c>
      <c r="AB18" s="229"/>
      <c r="AC18" s="229"/>
    </row>
    <row r="19" spans="1:29" s="165" customFormat="1" ht="13.8">
      <c r="A19" s="591" t="s">
        <v>610</v>
      </c>
      <c r="B19" s="57" t="s">
        <v>1391</v>
      </c>
      <c r="C19" s="57"/>
      <c r="D19" s="57"/>
      <c r="E19" s="57"/>
      <c r="F19" s="57"/>
      <c r="G19" s="57"/>
      <c r="H19" s="229"/>
      <c r="I19" s="229"/>
      <c r="J19" s="229">
        <v>0</v>
      </c>
      <c r="K19" s="229">
        <v>0</v>
      </c>
      <c r="L19" s="229">
        <v>0</v>
      </c>
      <c r="M19" s="229">
        <v>0</v>
      </c>
      <c r="N19" s="229">
        <v>0</v>
      </c>
      <c r="O19" s="229">
        <v>0</v>
      </c>
      <c r="P19" s="229">
        <v>0</v>
      </c>
      <c r="Q19" s="229">
        <v>0</v>
      </c>
      <c r="R19" s="229">
        <v>0</v>
      </c>
      <c r="S19" s="229">
        <v>0</v>
      </c>
      <c r="T19" s="229">
        <v>0</v>
      </c>
      <c r="U19" s="229">
        <v>0</v>
      </c>
      <c r="V19" s="229">
        <v>0</v>
      </c>
      <c r="W19" s="229">
        <v>0</v>
      </c>
      <c r="X19" s="229">
        <v>0</v>
      </c>
      <c r="Y19" s="229">
        <v>0</v>
      </c>
      <c r="Z19" s="229">
        <v>0</v>
      </c>
      <c r="AA19" s="229">
        <v>0</v>
      </c>
      <c r="AB19" s="229"/>
      <c r="AC19" s="229"/>
    </row>
    <row r="20" spans="1:29" s="165" customFormat="1" ht="13.8">
      <c r="A20" s="591" t="s">
        <v>1392</v>
      </c>
      <c r="B20" s="57" t="s">
        <v>1393</v>
      </c>
      <c r="C20" s="57"/>
      <c r="D20" s="57"/>
      <c r="E20" s="57"/>
      <c r="F20" s="57"/>
      <c r="G20" s="57"/>
      <c r="H20" s="229"/>
      <c r="I20" s="229"/>
      <c r="J20" s="229">
        <v>30528</v>
      </c>
      <c r="K20" s="229">
        <v>47814</v>
      </c>
      <c r="L20" s="229">
        <v>91544</v>
      </c>
      <c r="M20" s="229">
        <v>240418</v>
      </c>
      <c r="N20" s="229">
        <v>408221</v>
      </c>
      <c r="O20" s="229">
        <v>572647</v>
      </c>
      <c r="P20" s="229">
        <v>181585</v>
      </c>
      <c r="Q20" s="229">
        <v>340075</v>
      </c>
      <c r="R20" s="229">
        <v>505788</v>
      </c>
      <c r="S20" s="229">
        <v>662551</v>
      </c>
      <c r="T20" s="229">
        <v>84520</v>
      </c>
      <c r="U20" s="229">
        <v>145656</v>
      </c>
      <c r="V20" s="229">
        <v>207923</v>
      </c>
      <c r="W20" s="229">
        <v>495867</v>
      </c>
      <c r="X20" s="229">
        <v>123804</v>
      </c>
      <c r="Y20" s="229">
        <v>264628</v>
      </c>
      <c r="Z20" s="229">
        <v>429674</v>
      </c>
      <c r="AA20" s="229">
        <v>557674</v>
      </c>
      <c r="AB20" s="229">
        <v>55801</v>
      </c>
      <c r="AC20" s="229">
        <v>108881</v>
      </c>
    </row>
    <row r="21" spans="1:29" s="165" customFormat="1" ht="13.8">
      <c r="A21" s="591" t="s">
        <v>1394</v>
      </c>
      <c r="B21" s="57" t="s">
        <v>1395</v>
      </c>
      <c r="C21" s="57"/>
      <c r="D21" s="57"/>
      <c r="E21" s="57"/>
      <c r="F21" s="57"/>
      <c r="G21" s="57"/>
      <c r="H21" s="229"/>
      <c r="I21" s="229"/>
      <c r="J21" s="229">
        <v>54875</v>
      </c>
      <c r="K21" s="229">
        <v>54875</v>
      </c>
      <c r="L21" s="229">
        <v>0</v>
      </c>
      <c r="M21" s="229">
        <v>0</v>
      </c>
      <c r="N21" s="229">
        <v>0</v>
      </c>
      <c r="O21" s="229">
        <v>0</v>
      </c>
      <c r="P21" s="229">
        <v>0</v>
      </c>
      <c r="Q21" s="229">
        <v>0</v>
      </c>
      <c r="R21" s="229">
        <v>402533</v>
      </c>
      <c r="S21" s="229">
        <v>364326</v>
      </c>
      <c r="T21" s="229">
        <v>106696</v>
      </c>
      <c r="U21" s="229">
        <v>0</v>
      </c>
      <c r="V21" s="229">
        <v>5372</v>
      </c>
      <c r="W21" s="229">
        <v>139077</v>
      </c>
      <c r="X21" s="229">
        <v>-54707</v>
      </c>
      <c r="Y21" s="229">
        <v>-35865</v>
      </c>
      <c r="Z21" s="229">
        <v>-9935</v>
      </c>
      <c r="AA21" s="229">
        <v>79719</v>
      </c>
      <c r="AB21" s="229">
        <v>-6678</v>
      </c>
      <c r="AC21" s="229">
        <v>-6676</v>
      </c>
    </row>
    <row r="22" spans="1:29" s="165" customFormat="1" ht="13.8">
      <c r="A22" s="591" t="s">
        <v>1396</v>
      </c>
      <c r="B22" s="57" t="s">
        <v>1397</v>
      </c>
      <c r="C22" s="57"/>
      <c r="D22" s="57"/>
      <c r="E22" s="57"/>
      <c r="F22" s="57"/>
      <c r="G22" s="57"/>
      <c r="H22" s="229"/>
      <c r="I22" s="229"/>
      <c r="J22" s="229">
        <v>-19618</v>
      </c>
      <c r="K22" s="229">
        <v>-51600</v>
      </c>
      <c r="L22" s="229">
        <v>-62853</v>
      </c>
      <c r="M22" s="229">
        <v>-81523</v>
      </c>
      <c r="N22" s="229">
        <v>-112595</v>
      </c>
      <c r="O22" s="229">
        <v>-146746</v>
      </c>
      <c r="P22" s="229">
        <v>-33057</v>
      </c>
      <c r="Q22" s="229">
        <v>-101219</v>
      </c>
      <c r="R22" s="229">
        <v>-169324</v>
      </c>
      <c r="S22" s="229">
        <v>-240729</v>
      </c>
      <c r="T22" s="229">
        <v>-56129</v>
      </c>
      <c r="U22" s="229">
        <v>-97152</v>
      </c>
      <c r="V22" s="229">
        <v>-117176</v>
      </c>
      <c r="W22" s="229">
        <v>-141062</v>
      </c>
      <c r="X22" s="229">
        <v>-19230</v>
      </c>
      <c r="Y22" s="229">
        <v>-37000</v>
      </c>
      <c r="Z22" s="229">
        <v>-47932</v>
      </c>
      <c r="AA22" s="229">
        <v>-62972</v>
      </c>
      <c r="AB22" s="229">
        <v>-16429</v>
      </c>
      <c r="AC22" s="229">
        <v>-16825</v>
      </c>
    </row>
    <row r="23" spans="1:29" s="165" customFormat="1" ht="13.8">
      <c r="A23" s="591" t="s">
        <v>1398</v>
      </c>
      <c r="B23" s="57" t="s">
        <v>1399</v>
      </c>
      <c r="C23" s="57"/>
      <c r="D23" s="57"/>
      <c r="E23" s="57"/>
      <c r="F23" s="57"/>
      <c r="G23" s="57"/>
      <c r="H23" s="229"/>
      <c r="I23" s="229"/>
      <c r="J23" s="229">
        <v>0</v>
      </c>
      <c r="K23" s="229">
        <v>0</v>
      </c>
      <c r="L23" s="229">
        <v>0</v>
      </c>
      <c r="M23" s="229">
        <v>0</v>
      </c>
      <c r="N23" s="229">
        <v>0</v>
      </c>
      <c r="O23" s="229">
        <v>0</v>
      </c>
      <c r="P23" s="229">
        <v>0</v>
      </c>
      <c r="Q23" s="229">
        <v>0</v>
      </c>
      <c r="R23" s="229">
        <v>0</v>
      </c>
      <c r="S23" s="229">
        <v>0</v>
      </c>
      <c r="T23" s="229">
        <v>0</v>
      </c>
      <c r="U23" s="229">
        <v>0</v>
      </c>
      <c r="V23" s="229">
        <v>0</v>
      </c>
      <c r="W23" s="229">
        <v>0</v>
      </c>
      <c r="X23" s="229">
        <v>0</v>
      </c>
      <c r="Y23" s="229">
        <v>0</v>
      </c>
      <c r="Z23" s="229">
        <v>0</v>
      </c>
      <c r="AA23" s="229">
        <v>0</v>
      </c>
      <c r="AB23" s="229">
        <v>0</v>
      </c>
      <c r="AC23" s="229">
        <v>0</v>
      </c>
    </row>
    <row r="24" spans="1:29" s="165" customFormat="1" ht="13.8">
      <c r="A24" s="591" t="s">
        <v>1400</v>
      </c>
      <c r="B24" s="57" t="s">
        <v>1978</v>
      </c>
      <c r="C24" s="57"/>
      <c r="D24" s="57"/>
      <c r="E24" s="57"/>
      <c r="F24" s="57"/>
      <c r="G24" s="57"/>
      <c r="H24" s="229"/>
      <c r="I24" s="229"/>
      <c r="J24" s="229">
        <v>0</v>
      </c>
      <c r="K24" s="229">
        <v>0</v>
      </c>
      <c r="L24" s="229">
        <v>0</v>
      </c>
      <c r="M24" s="229">
        <v>0</v>
      </c>
      <c r="N24" s="229">
        <v>0</v>
      </c>
      <c r="O24" s="229">
        <v>0</v>
      </c>
      <c r="P24" s="229">
        <v>0</v>
      </c>
      <c r="Q24" s="229">
        <v>0</v>
      </c>
      <c r="R24" s="229">
        <v>0</v>
      </c>
      <c r="S24" s="229">
        <v>0</v>
      </c>
      <c r="T24" s="229">
        <v>0</v>
      </c>
      <c r="U24" s="229">
        <v>0</v>
      </c>
      <c r="V24" s="229">
        <v>0</v>
      </c>
      <c r="W24" s="229">
        <v>0</v>
      </c>
      <c r="X24" s="229">
        <v>0</v>
      </c>
      <c r="Y24" s="229">
        <v>0</v>
      </c>
      <c r="Z24" s="229">
        <v>0</v>
      </c>
      <c r="AA24" s="229">
        <v>0</v>
      </c>
      <c r="AB24" s="229">
        <v>0</v>
      </c>
      <c r="AC24" s="229">
        <v>0</v>
      </c>
    </row>
    <row r="25" spans="1:29" s="165" customFormat="1" ht="13.8">
      <c r="A25" s="591" t="s">
        <v>1401</v>
      </c>
      <c r="B25" s="57" t="s">
        <v>1402</v>
      </c>
      <c r="C25" s="57"/>
      <c r="D25" s="57"/>
      <c r="E25" s="57"/>
      <c r="F25" s="57"/>
      <c r="G25" s="57"/>
      <c r="H25" s="229"/>
      <c r="I25" s="229"/>
      <c r="J25" s="229">
        <v>0</v>
      </c>
      <c r="K25" s="229">
        <v>0</v>
      </c>
      <c r="L25" s="229">
        <v>0</v>
      </c>
      <c r="M25" s="229">
        <v>0</v>
      </c>
      <c r="N25" s="229">
        <v>0</v>
      </c>
      <c r="O25" s="229">
        <v>0</v>
      </c>
      <c r="P25" s="229">
        <v>0</v>
      </c>
      <c r="Q25" s="229">
        <v>0</v>
      </c>
      <c r="R25" s="229">
        <v>0</v>
      </c>
      <c r="S25" s="229">
        <v>0</v>
      </c>
      <c r="T25" s="229">
        <v>0</v>
      </c>
      <c r="U25" s="229">
        <v>0</v>
      </c>
      <c r="V25" s="229">
        <v>0</v>
      </c>
      <c r="W25" s="229">
        <v>0</v>
      </c>
      <c r="X25" s="229">
        <v>0</v>
      </c>
      <c r="Y25" s="229">
        <v>0</v>
      </c>
      <c r="Z25" s="229">
        <v>0</v>
      </c>
      <c r="AA25" s="229">
        <v>0</v>
      </c>
      <c r="AB25" s="229">
        <v>0</v>
      </c>
      <c r="AC25" s="229">
        <v>0</v>
      </c>
    </row>
    <row r="26" spans="1:29" s="4" customFormat="1" ht="13.8">
      <c r="A26" s="591" t="s">
        <v>1403</v>
      </c>
      <c r="B26" s="57" t="s">
        <v>2015</v>
      </c>
      <c r="C26" s="104"/>
      <c r="D26" s="104"/>
      <c r="E26" s="104"/>
      <c r="F26" s="104"/>
      <c r="G26" s="104"/>
      <c r="H26" s="138"/>
      <c r="I26" s="138"/>
      <c r="J26" s="229">
        <v>0</v>
      </c>
      <c r="K26" s="229">
        <v>0</v>
      </c>
      <c r="L26" s="229">
        <v>0</v>
      </c>
      <c r="M26" s="229">
        <v>0</v>
      </c>
      <c r="N26" s="229">
        <v>0</v>
      </c>
      <c r="O26" s="229">
        <v>0</v>
      </c>
      <c r="P26" s="229">
        <v>0</v>
      </c>
      <c r="Q26" s="229">
        <v>0</v>
      </c>
      <c r="R26" s="229">
        <v>0</v>
      </c>
      <c r="S26" s="229">
        <v>0</v>
      </c>
      <c r="T26" s="229">
        <v>0</v>
      </c>
      <c r="U26" s="229">
        <v>0</v>
      </c>
      <c r="V26" s="229">
        <v>0</v>
      </c>
      <c r="W26" s="229">
        <v>0</v>
      </c>
      <c r="X26" s="229">
        <v>0</v>
      </c>
      <c r="Y26" s="229">
        <v>0</v>
      </c>
      <c r="Z26" s="229">
        <v>0</v>
      </c>
      <c r="AA26" s="229">
        <v>0</v>
      </c>
      <c r="AB26" s="229"/>
      <c r="AC26" s="229"/>
    </row>
    <row r="27" spans="1:29" s="165" customFormat="1" ht="13.8">
      <c r="A27" s="591" t="s">
        <v>1470</v>
      </c>
      <c r="B27" s="57" t="s">
        <v>1980</v>
      </c>
      <c r="C27" s="57"/>
      <c r="D27" s="57"/>
      <c r="E27" s="57"/>
      <c r="F27" s="57"/>
      <c r="G27" s="57"/>
      <c r="H27" s="229"/>
      <c r="I27" s="229"/>
      <c r="J27" s="229">
        <v>0</v>
      </c>
      <c r="K27" s="229">
        <v>0</v>
      </c>
      <c r="L27" s="229">
        <v>0</v>
      </c>
      <c r="M27" s="229">
        <v>0</v>
      </c>
      <c r="N27" s="229">
        <v>0</v>
      </c>
      <c r="O27" s="229">
        <v>0</v>
      </c>
      <c r="P27" s="229">
        <v>0</v>
      </c>
      <c r="Q27" s="229">
        <v>0</v>
      </c>
      <c r="R27" s="229">
        <v>0</v>
      </c>
      <c r="S27" s="229">
        <v>0</v>
      </c>
      <c r="T27" s="229">
        <v>0</v>
      </c>
      <c r="U27" s="229">
        <v>0</v>
      </c>
      <c r="V27" s="229">
        <v>0</v>
      </c>
      <c r="W27" s="229">
        <v>0</v>
      </c>
      <c r="X27" s="229">
        <v>0</v>
      </c>
      <c r="Y27" s="229">
        <v>0</v>
      </c>
      <c r="Z27" s="229">
        <v>0</v>
      </c>
      <c r="AA27" s="229">
        <v>0</v>
      </c>
      <c r="AB27" s="229"/>
      <c r="AC27" s="229"/>
    </row>
    <row r="28" spans="1:29" s="165" customFormat="1" ht="13.8">
      <c r="A28" s="591" t="s">
        <v>1404</v>
      </c>
      <c r="B28" s="57" t="s">
        <v>1979</v>
      </c>
      <c r="C28" s="57"/>
      <c r="D28" s="57"/>
      <c r="E28" s="57"/>
      <c r="F28" s="57"/>
      <c r="G28" s="57"/>
      <c r="H28" s="229"/>
      <c r="I28" s="229"/>
      <c r="J28" s="229">
        <v>0</v>
      </c>
      <c r="K28" s="229">
        <v>0</v>
      </c>
      <c r="L28" s="229">
        <v>0</v>
      </c>
      <c r="M28" s="229">
        <v>0</v>
      </c>
      <c r="N28" s="229">
        <v>0</v>
      </c>
      <c r="O28" s="229">
        <v>0</v>
      </c>
      <c r="P28" s="229">
        <v>0</v>
      </c>
      <c r="Q28" s="229">
        <v>0</v>
      </c>
      <c r="R28" s="229">
        <v>0</v>
      </c>
      <c r="S28" s="229">
        <v>0</v>
      </c>
      <c r="T28" s="229">
        <v>0</v>
      </c>
      <c r="U28" s="229">
        <v>0</v>
      </c>
      <c r="V28" s="229">
        <v>0</v>
      </c>
      <c r="W28" s="229">
        <v>0</v>
      </c>
      <c r="X28" s="229">
        <v>0</v>
      </c>
      <c r="Y28" s="229">
        <v>0</v>
      </c>
      <c r="Z28" s="229">
        <v>0</v>
      </c>
      <c r="AA28" s="229">
        <v>0</v>
      </c>
      <c r="AB28" s="229">
        <v>0</v>
      </c>
      <c r="AC28" s="229">
        <v>0</v>
      </c>
    </row>
    <row r="29" spans="1:29" s="165" customFormat="1" ht="13.8">
      <c r="A29" s="591" t="s">
        <v>720</v>
      </c>
      <c r="B29" s="57" t="s">
        <v>1981</v>
      </c>
      <c r="C29" s="57"/>
      <c r="D29" s="57"/>
      <c r="E29" s="57"/>
      <c r="F29" s="57"/>
      <c r="G29" s="57"/>
      <c r="H29" s="229"/>
      <c r="I29" s="229"/>
      <c r="J29" s="229">
        <v>0</v>
      </c>
      <c r="K29" s="229">
        <v>0</v>
      </c>
      <c r="L29" s="229">
        <v>0</v>
      </c>
      <c r="M29" s="229">
        <v>0</v>
      </c>
      <c r="N29" s="229">
        <v>0</v>
      </c>
      <c r="O29" s="229">
        <v>0</v>
      </c>
      <c r="P29" s="229">
        <v>0</v>
      </c>
      <c r="Q29" s="229">
        <v>0</v>
      </c>
      <c r="R29" s="229">
        <v>0</v>
      </c>
      <c r="S29" s="229">
        <v>0</v>
      </c>
      <c r="T29" s="229">
        <v>0</v>
      </c>
      <c r="U29" s="229">
        <v>0</v>
      </c>
      <c r="V29" s="229">
        <v>0</v>
      </c>
      <c r="W29" s="229">
        <v>0</v>
      </c>
      <c r="X29" s="229">
        <v>0</v>
      </c>
      <c r="Y29" s="229">
        <v>0</v>
      </c>
      <c r="Z29" s="229">
        <v>0</v>
      </c>
      <c r="AA29" s="229">
        <v>0</v>
      </c>
      <c r="AB29" s="229">
        <v>0</v>
      </c>
      <c r="AC29" s="229">
        <v>0</v>
      </c>
    </row>
    <row r="30" spans="1:29" s="165" customFormat="1" ht="13.8">
      <c r="A30" s="591" t="s">
        <v>1405</v>
      </c>
      <c r="B30" s="57" t="s">
        <v>1985</v>
      </c>
      <c r="C30" s="57"/>
      <c r="D30" s="57"/>
      <c r="E30" s="57"/>
      <c r="F30" s="57"/>
      <c r="G30" s="57"/>
      <c r="H30" s="229"/>
      <c r="I30" s="229"/>
      <c r="J30" s="229">
        <v>0</v>
      </c>
      <c r="K30" s="229">
        <v>0</v>
      </c>
      <c r="L30" s="229">
        <v>0</v>
      </c>
      <c r="M30" s="229">
        <v>0</v>
      </c>
      <c r="N30" s="229">
        <v>0</v>
      </c>
      <c r="O30" s="229">
        <v>0</v>
      </c>
      <c r="P30" s="229">
        <v>0</v>
      </c>
      <c r="Q30" s="229">
        <v>0</v>
      </c>
      <c r="R30" s="229">
        <v>0</v>
      </c>
      <c r="S30" s="229">
        <v>0</v>
      </c>
      <c r="T30" s="229">
        <v>0</v>
      </c>
      <c r="U30" s="229">
        <v>0</v>
      </c>
      <c r="V30" s="229">
        <v>0</v>
      </c>
      <c r="W30" s="229">
        <v>0</v>
      </c>
      <c r="X30" s="229">
        <v>0</v>
      </c>
      <c r="Y30" s="229">
        <v>0</v>
      </c>
      <c r="Z30" s="229">
        <v>0</v>
      </c>
      <c r="AA30" s="229">
        <v>0</v>
      </c>
      <c r="AB30" s="229"/>
      <c r="AC30" s="229"/>
    </row>
    <row r="31" spans="1:29" s="165" customFormat="1" ht="13.8">
      <c r="A31" s="591" t="s">
        <v>1471</v>
      </c>
      <c r="B31" s="57" t="s">
        <v>1984</v>
      </c>
      <c r="C31" s="57"/>
      <c r="D31" s="57"/>
      <c r="E31" s="57"/>
      <c r="F31" s="57"/>
      <c r="G31" s="57"/>
      <c r="H31" s="229"/>
      <c r="I31" s="229"/>
      <c r="J31" s="229">
        <v>0</v>
      </c>
      <c r="K31" s="229">
        <v>0</v>
      </c>
      <c r="L31" s="229">
        <v>0</v>
      </c>
      <c r="M31" s="229">
        <v>0</v>
      </c>
      <c r="N31" s="229">
        <v>0</v>
      </c>
      <c r="O31" s="229">
        <v>0</v>
      </c>
      <c r="P31" s="229">
        <v>0</v>
      </c>
      <c r="Q31" s="229">
        <v>0</v>
      </c>
      <c r="R31" s="229">
        <v>0</v>
      </c>
      <c r="S31" s="229">
        <v>0</v>
      </c>
      <c r="T31" s="229">
        <v>0</v>
      </c>
      <c r="U31" s="229">
        <v>0</v>
      </c>
      <c r="V31" s="229">
        <v>0</v>
      </c>
      <c r="W31" s="229">
        <v>0</v>
      </c>
      <c r="X31" s="229">
        <v>0</v>
      </c>
      <c r="Y31" s="229">
        <v>0</v>
      </c>
      <c r="Z31" s="229">
        <v>0</v>
      </c>
      <c r="AA31" s="229">
        <v>0</v>
      </c>
      <c r="AB31" s="229"/>
      <c r="AC31" s="229"/>
    </row>
    <row r="32" spans="1:29" s="165" customFormat="1" ht="13.8">
      <c r="A32" s="591" t="s">
        <v>1407</v>
      </c>
      <c r="B32" s="57" t="s">
        <v>1986</v>
      </c>
      <c r="C32" s="57"/>
      <c r="D32" s="57"/>
      <c r="E32" s="57"/>
      <c r="F32" s="57"/>
      <c r="G32" s="57"/>
      <c r="H32" s="229"/>
      <c r="I32" s="229"/>
      <c r="J32" s="229">
        <v>0</v>
      </c>
      <c r="K32" s="229">
        <v>0</v>
      </c>
      <c r="L32" s="229">
        <v>0</v>
      </c>
      <c r="M32" s="229">
        <v>0</v>
      </c>
      <c r="N32" s="229">
        <v>0</v>
      </c>
      <c r="O32" s="229">
        <v>0</v>
      </c>
      <c r="P32" s="229">
        <v>0</v>
      </c>
      <c r="Q32" s="229">
        <v>0</v>
      </c>
      <c r="R32" s="229">
        <v>0</v>
      </c>
      <c r="S32" s="229">
        <v>0</v>
      </c>
      <c r="T32" s="229">
        <v>0</v>
      </c>
      <c r="U32" s="229">
        <v>0</v>
      </c>
      <c r="V32" s="229">
        <v>0</v>
      </c>
      <c r="W32" s="229">
        <v>0</v>
      </c>
      <c r="X32" s="229">
        <v>0</v>
      </c>
      <c r="Y32" s="229">
        <v>0</v>
      </c>
      <c r="Z32" s="229">
        <v>0</v>
      </c>
      <c r="AA32" s="229">
        <v>0</v>
      </c>
      <c r="AB32" s="229"/>
      <c r="AC32" s="229"/>
    </row>
    <row r="33" spans="1:29" s="165" customFormat="1" ht="13.8">
      <c r="A33" s="591" t="s">
        <v>1478</v>
      </c>
      <c r="B33" s="57" t="s">
        <v>1987</v>
      </c>
      <c r="C33" s="57"/>
      <c r="D33" s="57"/>
      <c r="E33" s="57"/>
      <c r="F33" s="57"/>
      <c r="G33" s="57"/>
      <c r="H33" s="229"/>
      <c r="I33" s="229"/>
      <c r="J33" s="229">
        <v>0</v>
      </c>
      <c r="K33" s="229">
        <v>0</v>
      </c>
      <c r="L33" s="229">
        <v>0</v>
      </c>
      <c r="M33" s="229">
        <v>0</v>
      </c>
      <c r="N33" s="229">
        <v>0</v>
      </c>
      <c r="O33" s="229">
        <v>0</v>
      </c>
      <c r="P33" s="229">
        <v>0</v>
      </c>
      <c r="Q33" s="229">
        <v>0</v>
      </c>
      <c r="R33" s="229">
        <v>0</v>
      </c>
      <c r="S33" s="229">
        <v>0</v>
      </c>
      <c r="T33" s="229">
        <v>0</v>
      </c>
      <c r="U33" s="229">
        <v>0</v>
      </c>
      <c r="V33" s="229">
        <v>0</v>
      </c>
      <c r="W33" s="229">
        <v>0</v>
      </c>
      <c r="X33" s="229">
        <v>0</v>
      </c>
      <c r="Y33" s="229">
        <v>0</v>
      </c>
      <c r="Z33" s="229">
        <v>0</v>
      </c>
      <c r="AA33" s="229">
        <v>0</v>
      </c>
      <c r="AB33" s="229"/>
      <c r="AC33" s="229"/>
    </row>
    <row r="34" spans="1:29" s="165" customFormat="1" ht="13.8">
      <c r="A34" s="591" t="s">
        <v>1472</v>
      </c>
      <c r="B34" s="57" t="s">
        <v>775</v>
      </c>
      <c r="C34" s="57"/>
      <c r="D34" s="57"/>
      <c r="E34" s="57"/>
      <c r="F34" s="57"/>
      <c r="G34" s="57"/>
      <c r="H34" s="229"/>
      <c r="I34" s="229"/>
      <c r="J34" s="229">
        <v>0</v>
      </c>
      <c r="K34" s="229">
        <v>140465</v>
      </c>
      <c r="L34" s="229">
        <v>13344</v>
      </c>
      <c r="M34" s="229">
        <v>26873</v>
      </c>
      <c r="N34" s="229">
        <v>40180</v>
      </c>
      <c r="O34" s="229">
        <v>58491</v>
      </c>
      <c r="P34" s="229">
        <v>-100532</v>
      </c>
      <c r="Q34" s="229">
        <v>-118246</v>
      </c>
      <c r="R34" s="229">
        <v>-136861</v>
      </c>
      <c r="S34" s="229">
        <v>-123871</v>
      </c>
      <c r="T34" s="229">
        <v>-36341</v>
      </c>
      <c r="U34" s="229">
        <v>-18890</v>
      </c>
      <c r="V34" s="229">
        <v>-10384</v>
      </c>
      <c r="W34" s="229">
        <v>-55844</v>
      </c>
      <c r="X34" s="229">
        <v>18600</v>
      </c>
      <c r="Y34" s="229">
        <v>11486</v>
      </c>
      <c r="Z34" s="229">
        <v>2669</v>
      </c>
      <c r="AA34" s="229">
        <v>-27813</v>
      </c>
      <c r="AB34" s="229">
        <v>-744</v>
      </c>
      <c r="AC34" s="229">
        <v>-744</v>
      </c>
    </row>
    <row r="35" spans="1:29" s="165" customFormat="1" ht="13.8">
      <c r="A35" s="591" t="s">
        <v>1409</v>
      </c>
      <c r="B35" s="57" t="s">
        <v>1988</v>
      </c>
      <c r="C35" s="57"/>
      <c r="D35" s="57"/>
      <c r="E35" s="57"/>
      <c r="F35" s="57"/>
      <c r="G35" s="57"/>
      <c r="H35" s="229"/>
      <c r="I35" s="229"/>
      <c r="J35" s="229">
        <v>0</v>
      </c>
      <c r="K35" s="229">
        <v>0</v>
      </c>
      <c r="L35" s="229">
        <v>0</v>
      </c>
      <c r="M35" s="229">
        <v>0</v>
      </c>
      <c r="N35" s="229">
        <v>0</v>
      </c>
      <c r="O35" s="229">
        <v>0</v>
      </c>
      <c r="P35" s="229">
        <v>0</v>
      </c>
      <c r="Q35" s="229">
        <v>0</v>
      </c>
      <c r="R35" s="229">
        <v>0</v>
      </c>
      <c r="S35" s="229">
        <v>0</v>
      </c>
      <c r="T35" s="229">
        <v>111</v>
      </c>
      <c r="U35" s="229">
        <v>0</v>
      </c>
      <c r="V35" s="229">
        <v>90</v>
      </c>
      <c r="W35" s="229">
        <v>90</v>
      </c>
      <c r="X35" s="229">
        <v>0</v>
      </c>
      <c r="Y35" s="229">
        <v>0</v>
      </c>
      <c r="Z35" s="229">
        <v>0</v>
      </c>
      <c r="AA35" s="229">
        <v>0</v>
      </c>
      <c r="AB35" s="229">
        <v>8273</v>
      </c>
      <c r="AC35" s="229">
        <v>941</v>
      </c>
    </row>
    <row r="36" spans="1:29" s="165" customFormat="1" ht="13.8">
      <c r="A36" s="591" t="s">
        <v>1410</v>
      </c>
      <c r="B36" s="57" t="s">
        <v>1989</v>
      </c>
      <c r="C36" s="57"/>
      <c r="D36" s="57"/>
      <c r="E36" s="57"/>
      <c r="F36" s="57"/>
      <c r="G36" s="57"/>
      <c r="H36" s="229"/>
      <c r="I36" s="229"/>
      <c r="J36" s="229">
        <v>4371</v>
      </c>
      <c r="K36" s="229">
        <v>5621</v>
      </c>
      <c r="L36" s="229">
        <v>1437</v>
      </c>
      <c r="M36" s="229">
        <v>2723</v>
      </c>
      <c r="N36" s="229">
        <v>4148</v>
      </c>
      <c r="O36" s="229">
        <v>5394</v>
      </c>
      <c r="P36" s="229">
        <v>7381</v>
      </c>
      <c r="Q36" s="229">
        <v>3834</v>
      </c>
      <c r="R36" s="229">
        <v>6673</v>
      </c>
      <c r="S36" s="229">
        <v>11600</v>
      </c>
      <c r="T36" s="229">
        <v>7199</v>
      </c>
      <c r="U36" s="229">
        <v>8724</v>
      </c>
      <c r="V36" s="229">
        <v>12542</v>
      </c>
      <c r="W36" s="229">
        <v>13297</v>
      </c>
      <c r="X36" s="229">
        <v>-4904</v>
      </c>
      <c r="Y36" s="229">
        <v>-1479</v>
      </c>
      <c r="Z36" s="229">
        <v>1636</v>
      </c>
      <c r="AA36" s="229">
        <v>66195</v>
      </c>
      <c r="AB36" s="229">
        <v>5832</v>
      </c>
      <c r="AC36" s="229">
        <v>8713</v>
      </c>
    </row>
    <row r="37" spans="1:29" s="4" customFormat="1" ht="13.8">
      <c r="A37" s="591" t="s">
        <v>1411</v>
      </c>
      <c r="B37" s="57" t="s">
        <v>1990</v>
      </c>
      <c r="C37" s="104"/>
      <c r="D37" s="104"/>
      <c r="E37" s="104"/>
      <c r="F37" s="104"/>
      <c r="G37" s="104"/>
      <c r="H37" s="138"/>
      <c r="I37" s="138"/>
      <c r="J37" s="229">
        <v>0</v>
      </c>
      <c r="K37" s="229">
        <v>-413131</v>
      </c>
      <c r="L37" s="229">
        <v>-39247</v>
      </c>
      <c r="M37" s="229">
        <v>-79039</v>
      </c>
      <c r="N37" s="229">
        <v>-118326</v>
      </c>
      <c r="O37" s="229">
        <v>-172182</v>
      </c>
      <c r="P37" s="229">
        <v>295682</v>
      </c>
      <c r="Q37" s="138">
        <v>347782</v>
      </c>
      <c r="R37" s="138"/>
      <c r="S37" s="138"/>
      <c r="T37" s="138"/>
      <c r="U37" s="138">
        <v>30607</v>
      </c>
      <c r="V37" s="138"/>
      <c r="W37" s="138"/>
      <c r="X37" s="138"/>
      <c r="Y37" s="229">
        <v>0</v>
      </c>
      <c r="Z37" s="229">
        <v>0</v>
      </c>
      <c r="AA37" s="229">
        <v>0</v>
      </c>
      <c r="AB37" s="229"/>
      <c r="AC37" s="229"/>
    </row>
    <row r="38" spans="1:29" s="165" customFormat="1" ht="13.8">
      <c r="A38" s="591" t="s">
        <v>1127</v>
      </c>
      <c r="B38" s="57" t="s">
        <v>1991</v>
      </c>
      <c r="C38" s="57"/>
      <c r="D38" s="57"/>
      <c r="E38" s="57"/>
      <c r="F38" s="57"/>
      <c r="G38" s="57"/>
      <c r="H38" s="229"/>
      <c r="I38" s="229"/>
      <c r="J38" s="229">
        <v>0</v>
      </c>
      <c r="K38" s="229">
        <v>0</v>
      </c>
      <c r="L38" s="229">
        <v>0</v>
      </c>
      <c r="M38" s="229">
        <v>0</v>
      </c>
      <c r="N38" s="229">
        <v>0</v>
      </c>
      <c r="O38" s="229">
        <v>0</v>
      </c>
      <c r="P38" s="229">
        <v>0</v>
      </c>
      <c r="Q38" s="229">
        <v>0</v>
      </c>
      <c r="R38" s="229">
        <v>0</v>
      </c>
      <c r="S38" s="229">
        <v>0</v>
      </c>
      <c r="T38" s="229">
        <v>0</v>
      </c>
      <c r="U38" s="229">
        <v>0</v>
      </c>
      <c r="V38" s="229">
        <v>0</v>
      </c>
      <c r="W38" s="229">
        <v>0</v>
      </c>
      <c r="X38" s="229">
        <v>0</v>
      </c>
      <c r="Y38" s="229">
        <v>0</v>
      </c>
      <c r="Z38" s="229">
        <v>0</v>
      </c>
      <c r="AA38" s="229">
        <v>0</v>
      </c>
      <c r="AB38" s="229">
        <v>0</v>
      </c>
      <c r="AC38" s="229">
        <v>0</v>
      </c>
    </row>
    <row r="39" spans="1:29" s="165" customFormat="1" ht="13.8">
      <c r="A39" s="591" t="s">
        <v>1412</v>
      </c>
      <c r="B39" s="57" t="s">
        <v>1992</v>
      </c>
      <c r="C39" s="57"/>
      <c r="D39" s="57"/>
      <c r="E39" s="57"/>
      <c r="F39" s="57"/>
      <c r="G39" s="57"/>
      <c r="H39" s="229"/>
      <c r="I39" s="229"/>
      <c r="J39" s="229">
        <v>0</v>
      </c>
      <c r="K39" s="229">
        <v>0</v>
      </c>
      <c r="L39" s="229">
        <v>0</v>
      </c>
      <c r="M39" s="229">
        <v>0</v>
      </c>
      <c r="N39" s="229">
        <v>0</v>
      </c>
      <c r="O39" s="229">
        <v>0</v>
      </c>
      <c r="P39" s="229">
        <v>0</v>
      </c>
      <c r="Q39" s="229">
        <v>0</v>
      </c>
      <c r="R39" s="229">
        <v>0</v>
      </c>
      <c r="S39" s="229">
        <v>0</v>
      </c>
      <c r="T39" s="229">
        <v>-2772</v>
      </c>
      <c r="U39" s="229">
        <v>171</v>
      </c>
      <c r="V39" s="229">
        <v>171</v>
      </c>
      <c r="W39" s="229">
        <v>171</v>
      </c>
      <c r="X39" s="229">
        <v>0</v>
      </c>
      <c r="Y39" s="229">
        <v>0</v>
      </c>
      <c r="Z39" s="229">
        <v>0</v>
      </c>
      <c r="AA39" s="229">
        <v>0</v>
      </c>
      <c r="AB39" s="229"/>
      <c r="AC39" s="229"/>
    </row>
    <row r="40" spans="1:29" s="165" customFormat="1" ht="13.8">
      <c r="A40" s="591" t="s">
        <v>1123</v>
      </c>
      <c r="B40" s="57" t="s">
        <v>1977</v>
      </c>
      <c r="C40" s="57"/>
      <c r="D40" s="57"/>
      <c r="E40" s="57"/>
      <c r="F40" s="57"/>
      <c r="G40" s="57"/>
      <c r="H40" s="229"/>
      <c r="I40" s="229"/>
      <c r="J40" s="229">
        <v>3619</v>
      </c>
      <c r="K40" s="229">
        <v>3619</v>
      </c>
      <c r="L40" s="229">
        <v>338</v>
      </c>
      <c r="M40" s="229">
        <v>320</v>
      </c>
      <c r="N40" s="229">
        <v>4604</v>
      </c>
      <c r="O40" s="229">
        <v>5532</v>
      </c>
      <c r="P40" s="229">
        <v>488</v>
      </c>
      <c r="Q40" s="229">
        <v>976</v>
      </c>
      <c r="R40" s="229">
        <v>0</v>
      </c>
      <c r="S40" s="229">
        <v>1952</v>
      </c>
      <c r="T40" s="229">
        <v>437</v>
      </c>
      <c r="U40" s="229">
        <v>873.47400000000005</v>
      </c>
      <c r="V40" s="229">
        <v>1310.211</v>
      </c>
      <c r="W40" s="229">
        <v>1746.9480000000001</v>
      </c>
      <c r="X40" s="229">
        <v>432.37</v>
      </c>
      <c r="Y40" s="229">
        <v>864.74</v>
      </c>
      <c r="Z40" s="229">
        <v>1297.1099999999999</v>
      </c>
      <c r="AA40" s="229">
        <v>1729.48</v>
      </c>
      <c r="AB40" s="229">
        <v>770.45500000000004</v>
      </c>
      <c r="AC40" s="229">
        <v>1540.9110000000001</v>
      </c>
    </row>
    <row r="41" spans="1:29" s="165" customFormat="1" ht="13.8">
      <c r="A41" s="591" t="s">
        <v>1473</v>
      </c>
      <c r="B41" s="57" t="s">
        <v>1195</v>
      </c>
      <c r="C41" s="57"/>
      <c r="D41" s="57"/>
      <c r="E41" s="57"/>
      <c r="F41" s="57"/>
      <c r="G41" s="57"/>
      <c r="H41" s="229"/>
      <c r="I41" s="229"/>
      <c r="J41" s="229">
        <v>0</v>
      </c>
      <c r="K41" s="229">
        <v>0</v>
      </c>
      <c r="L41" s="229">
        <v>0</v>
      </c>
      <c r="M41" s="229">
        <v>0</v>
      </c>
      <c r="N41" s="229">
        <v>0</v>
      </c>
      <c r="O41" s="229">
        <v>0</v>
      </c>
      <c r="P41" s="229">
        <v>0</v>
      </c>
      <c r="Q41" s="229">
        <v>0</v>
      </c>
      <c r="R41" s="229">
        <v>1464</v>
      </c>
      <c r="S41" s="229">
        <v>0</v>
      </c>
      <c r="T41" s="229">
        <v>0</v>
      </c>
      <c r="U41" s="229">
        <v>0</v>
      </c>
      <c r="V41" s="229">
        <v>0</v>
      </c>
      <c r="W41" s="229">
        <v>0</v>
      </c>
      <c r="X41" s="229">
        <v>0</v>
      </c>
      <c r="Y41" s="229">
        <v>0</v>
      </c>
      <c r="Z41" s="229">
        <v>0</v>
      </c>
      <c r="AA41" s="229">
        <v>0</v>
      </c>
      <c r="AB41" s="229"/>
      <c r="AC41" s="229"/>
    </row>
    <row r="42" spans="1:29" s="4" customFormat="1" ht="13.8">
      <c r="A42" s="591" t="s">
        <v>1413</v>
      </c>
      <c r="B42" s="57" t="s">
        <v>2014</v>
      </c>
      <c r="C42" s="104"/>
      <c r="D42" s="104"/>
      <c r="E42" s="104"/>
      <c r="F42" s="104"/>
      <c r="G42" s="104"/>
      <c r="H42" s="138"/>
      <c r="I42" s="138"/>
      <c r="J42" s="229">
        <v>0</v>
      </c>
      <c r="K42" s="229">
        <v>0</v>
      </c>
      <c r="L42" s="229">
        <v>0</v>
      </c>
      <c r="M42" s="229">
        <v>0</v>
      </c>
      <c r="N42" s="229">
        <v>0</v>
      </c>
      <c r="O42" s="229">
        <v>0</v>
      </c>
      <c r="P42" s="229">
        <v>0</v>
      </c>
      <c r="Q42" s="229">
        <v>0</v>
      </c>
      <c r="R42" s="229">
        <v>0</v>
      </c>
      <c r="S42" s="229">
        <v>0</v>
      </c>
      <c r="T42" s="229">
        <v>0</v>
      </c>
      <c r="U42" s="229">
        <v>0</v>
      </c>
      <c r="V42" s="229">
        <v>0</v>
      </c>
      <c r="W42" s="229">
        <v>0</v>
      </c>
      <c r="X42" s="229">
        <v>0</v>
      </c>
      <c r="Y42" s="229">
        <v>0</v>
      </c>
      <c r="Z42" s="229">
        <v>0</v>
      </c>
      <c r="AA42" s="229">
        <v>0</v>
      </c>
      <c r="AB42" s="229"/>
      <c r="AC42" s="229"/>
    </row>
    <row r="43" spans="1:29" s="4" customFormat="1" ht="13.8">
      <c r="A43" s="591" t="s">
        <v>1414</v>
      </c>
      <c r="B43" s="57" t="s">
        <v>1992</v>
      </c>
      <c r="C43" s="104"/>
      <c r="D43" s="104"/>
      <c r="E43" s="104"/>
      <c r="F43" s="104"/>
      <c r="G43" s="104"/>
      <c r="H43" s="138"/>
      <c r="I43" s="138"/>
      <c r="J43" s="229">
        <v>0</v>
      </c>
      <c r="K43" s="229">
        <v>0</v>
      </c>
      <c r="L43" s="229">
        <v>0</v>
      </c>
      <c r="M43" s="229">
        <v>36461</v>
      </c>
      <c r="N43" s="229">
        <v>36461</v>
      </c>
      <c r="O43" s="229">
        <v>36461</v>
      </c>
      <c r="P43" s="229">
        <v>0</v>
      </c>
      <c r="Q43" s="229">
        <v>0</v>
      </c>
      <c r="R43" s="229">
        <v>0</v>
      </c>
      <c r="S43" s="229">
        <v>0</v>
      </c>
      <c r="T43" s="229">
        <v>0</v>
      </c>
      <c r="U43" s="229">
        <v>0</v>
      </c>
      <c r="V43" s="229">
        <v>0</v>
      </c>
      <c r="W43" s="229">
        <v>0</v>
      </c>
      <c r="X43" s="229">
        <v>0</v>
      </c>
      <c r="Y43" s="229">
        <v>0</v>
      </c>
      <c r="Z43" s="229">
        <v>0</v>
      </c>
      <c r="AA43" s="229">
        <v>0</v>
      </c>
      <c r="AB43" s="229"/>
      <c r="AC43" s="229"/>
    </row>
    <row r="44" spans="1:29" s="4" customFormat="1" ht="13.8">
      <c r="A44" s="591" t="s">
        <v>1415</v>
      </c>
      <c r="B44" s="57" t="s">
        <v>1993</v>
      </c>
      <c r="C44" s="104"/>
      <c r="D44" s="104"/>
      <c r="E44" s="104"/>
      <c r="F44" s="104"/>
      <c r="G44" s="104"/>
      <c r="H44" s="138"/>
      <c r="I44" s="138"/>
      <c r="J44" s="229">
        <v>0</v>
      </c>
      <c r="K44" s="229">
        <v>0</v>
      </c>
      <c r="L44" s="229">
        <v>0</v>
      </c>
      <c r="M44" s="229">
        <v>0</v>
      </c>
      <c r="N44" s="229">
        <v>0</v>
      </c>
      <c r="O44" s="229">
        <v>0</v>
      </c>
      <c r="P44" s="229">
        <v>0</v>
      </c>
      <c r="Q44" s="229">
        <v>0</v>
      </c>
      <c r="R44" s="229">
        <v>0</v>
      </c>
      <c r="S44" s="229">
        <v>0</v>
      </c>
      <c r="T44" s="229">
        <v>0</v>
      </c>
      <c r="U44" s="229">
        <v>0</v>
      </c>
      <c r="V44" s="229">
        <v>0</v>
      </c>
      <c r="W44" s="229">
        <v>0</v>
      </c>
      <c r="X44" s="229">
        <v>0</v>
      </c>
      <c r="Y44" s="229">
        <v>0</v>
      </c>
      <c r="Z44" s="229">
        <v>0</v>
      </c>
      <c r="AA44" s="229">
        <v>0</v>
      </c>
      <c r="AB44" s="229"/>
      <c r="AC44" s="229"/>
    </row>
    <row r="45" spans="1:29" s="165" customFormat="1" ht="13.8">
      <c r="A45" s="591" t="s">
        <v>1474</v>
      </c>
      <c r="B45" s="57" t="s">
        <v>1417</v>
      </c>
      <c r="C45" s="57"/>
      <c r="D45" s="57"/>
      <c r="E45" s="57"/>
      <c r="F45" s="57"/>
      <c r="G45" s="57"/>
      <c r="H45" s="229"/>
      <c r="I45" s="229"/>
      <c r="J45" s="229">
        <v>0</v>
      </c>
      <c r="K45" s="229">
        <v>0</v>
      </c>
      <c r="L45" s="229">
        <v>0</v>
      </c>
      <c r="M45" s="229">
        <v>0</v>
      </c>
      <c r="N45" s="229">
        <v>0</v>
      </c>
      <c r="O45" s="229">
        <v>0</v>
      </c>
      <c r="P45" s="229">
        <v>0</v>
      </c>
      <c r="Q45" s="229">
        <v>0</v>
      </c>
      <c r="R45" s="229">
        <v>0</v>
      </c>
      <c r="S45" s="229">
        <v>0</v>
      </c>
      <c r="T45" s="229">
        <v>0</v>
      </c>
      <c r="U45" s="229">
        <v>0</v>
      </c>
      <c r="V45" s="229">
        <v>0</v>
      </c>
      <c r="W45" s="229">
        <v>0</v>
      </c>
      <c r="X45" s="229">
        <v>0</v>
      </c>
      <c r="Y45" s="229">
        <v>0</v>
      </c>
      <c r="Z45" s="229">
        <v>0</v>
      </c>
      <c r="AA45" s="229">
        <v>0</v>
      </c>
      <c r="AB45" s="229"/>
      <c r="AC45" s="229"/>
    </row>
    <row r="46" spans="1:29" s="165" customFormat="1" ht="13.8">
      <c r="A46" s="591" t="s">
        <v>95</v>
      </c>
      <c r="B46" s="57" t="s">
        <v>96</v>
      </c>
      <c r="C46" s="57"/>
      <c r="D46" s="57"/>
      <c r="E46" s="57"/>
      <c r="F46" s="57"/>
      <c r="G46" s="57"/>
      <c r="H46" s="229"/>
      <c r="I46" s="229"/>
      <c r="J46" s="229">
        <v>0</v>
      </c>
      <c r="K46" s="229">
        <v>0</v>
      </c>
      <c r="L46" s="229">
        <v>0</v>
      </c>
      <c r="M46" s="229">
        <v>0</v>
      </c>
      <c r="N46" s="229">
        <v>0</v>
      </c>
      <c r="O46" s="229">
        <v>0</v>
      </c>
      <c r="P46" s="229">
        <v>0</v>
      </c>
      <c r="Q46" s="229">
        <v>0</v>
      </c>
      <c r="R46" s="229">
        <v>0</v>
      </c>
      <c r="S46" s="229">
        <v>0</v>
      </c>
      <c r="T46" s="229">
        <v>0</v>
      </c>
      <c r="U46" s="229">
        <v>0</v>
      </c>
      <c r="V46" s="229">
        <v>0</v>
      </c>
      <c r="W46" s="229">
        <v>0</v>
      </c>
      <c r="X46" s="229">
        <v>0</v>
      </c>
      <c r="Y46" s="229">
        <v>0</v>
      </c>
      <c r="Z46" s="229">
        <v>0</v>
      </c>
      <c r="AA46" s="229">
        <v>0</v>
      </c>
      <c r="AB46" s="229"/>
      <c r="AC46" s="229"/>
    </row>
    <row r="47" spans="1:29" s="578" customFormat="1" ht="13.8">
      <c r="A47" s="592"/>
      <c r="B47" s="592"/>
      <c r="C47" s="592"/>
      <c r="D47" s="592">
        <f t="shared" ref="D47:W47" si="0">SUM(D9:D46)</f>
        <v>0</v>
      </c>
      <c r="E47" s="592">
        <f t="shared" si="0"/>
        <v>0</v>
      </c>
      <c r="F47" s="592">
        <f t="shared" si="0"/>
        <v>0</v>
      </c>
      <c r="G47" s="592">
        <f t="shared" si="0"/>
        <v>0</v>
      </c>
      <c r="H47" s="593">
        <f t="shared" si="0"/>
        <v>0</v>
      </c>
      <c r="I47" s="593">
        <f t="shared" si="0"/>
        <v>0</v>
      </c>
      <c r="J47" s="593">
        <f t="shared" si="0"/>
        <v>-49416</v>
      </c>
      <c r="K47" s="593">
        <f>SUM(K9:K46)</f>
        <v>-76127</v>
      </c>
      <c r="L47" s="593">
        <f t="shared" si="0"/>
        <v>-69662</v>
      </c>
      <c r="M47" s="593">
        <f t="shared" si="0"/>
        <v>-81744</v>
      </c>
      <c r="N47" s="593">
        <f t="shared" si="0"/>
        <v>-89655</v>
      </c>
      <c r="O47" s="593">
        <f t="shared" si="0"/>
        <v>-64133</v>
      </c>
      <c r="P47" s="593">
        <f t="shared" si="0"/>
        <v>17304</v>
      </c>
      <c r="Q47" s="593">
        <f t="shared" si="0"/>
        <v>21620</v>
      </c>
      <c r="R47" s="593">
        <f t="shared" si="0"/>
        <v>-36871</v>
      </c>
      <c r="S47" s="593">
        <f t="shared" si="0"/>
        <v>3228</v>
      </c>
      <c r="T47" s="593">
        <f t="shared" si="0"/>
        <v>23518</v>
      </c>
      <c r="U47" s="593">
        <f t="shared" si="0"/>
        <v>43694.474000000002</v>
      </c>
      <c r="V47" s="593">
        <f t="shared" si="0"/>
        <v>38382.211000000003</v>
      </c>
      <c r="W47" s="593">
        <f t="shared" si="0"/>
        <v>16801.948</v>
      </c>
      <c r="X47" s="593">
        <f t="shared" ref="X47:AC47" si="1">SUM(X9:X46)</f>
        <v>10592.37</v>
      </c>
      <c r="Y47" s="593">
        <f t="shared" si="1"/>
        <v>6059.74</v>
      </c>
      <c r="Z47" s="593">
        <f t="shared" si="1"/>
        <v>10043.11</v>
      </c>
      <c r="AA47" s="593">
        <f t="shared" si="1"/>
        <v>580432.48</v>
      </c>
      <c r="AB47" s="593">
        <f t="shared" si="1"/>
        <v>-18026.544999999998</v>
      </c>
      <c r="AC47" s="593">
        <f t="shared" si="1"/>
        <v>2862.9110000000001</v>
      </c>
    </row>
    <row r="48" spans="1:29" s="165" customFormat="1" ht="13.8">
      <c r="A48" s="589" t="s">
        <v>1418</v>
      </c>
      <c r="B48" s="589" t="s">
        <v>2035</v>
      </c>
      <c r="C48" s="57"/>
      <c r="D48" s="57"/>
      <c r="E48" s="57"/>
      <c r="F48" s="57"/>
      <c r="G48" s="57"/>
      <c r="H48" s="229"/>
      <c r="I48" s="229"/>
      <c r="J48" s="229"/>
      <c r="K48" s="229"/>
      <c r="L48" s="229"/>
      <c r="M48" s="229"/>
      <c r="N48" s="229"/>
      <c r="O48" s="57"/>
      <c r="P48" s="57"/>
      <c r="Q48" s="57"/>
      <c r="R48" s="57"/>
      <c r="S48" s="229"/>
      <c r="T48" s="229"/>
      <c r="U48" s="229"/>
      <c r="V48" s="229"/>
      <c r="W48" s="229"/>
      <c r="X48" s="229"/>
      <c r="Y48" s="229"/>
      <c r="Z48" s="229"/>
      <c r="AA48" s="229"/>
      <c r="AB48" s="229"/>
      <c r="AC48" s="229"/>
    </row>
    <row r="49" spans="1:29" s="165" customFormat="1" ht="13.8">
      <c r="A49" s="591" t="s">
        <v>1057</v>
      </c>
      <c r="B49" s="57" t="s">
        <v>1994</v>
      </c>
      <c r="C49" s="57"/>
      <c r="D49" s="57"/>
      <c r="E49" s="57"/>
      <c r="F49" s="57"/>
      <c r="G49" s="57"/>
      <c r="H49" s="229"/>
      <c r="I49" s="229"/>
      <c r="J49" s="229">
        <v>0</v>
      </c>
      <c r="K49" s="229">
        <v>0</v>
      </c>
      <c r="L49" s="229">
        <v>0</v>
      </c>
      <c r="M49" s="229">
        <v>0</v>
      </c>
      <c r="N49" s="229">
        <v>0</v>
      </c>
      <c r="O49" s="229">
        <v>0</v>
      </c>
      <c r="P49" s="229">
        <v>0</v>
      </c>
      <c r="Q49" s="229">
        <v>0</v>
      </c>
      <c r="R49" s="229">
        <v>0</v>
      </c>
      <c r="S49" s="229">
        <v>0</v>
      </c>
      <c r="T49" s="229">
        <v>0</v>
      </c>
      <c r="U49" s="229">
        <v>0</v>
      </c>
      <c r="V49" s="229">
        <v>0</v>
      </c>
      <c r="W49" s="229">
        <v>0</v>
      </c>
      <c r="X49" s="229">
        <v>0</v>
      </c>
      <c r="Y49" s="229">
        <v>0</v>
      </c>
      <c r="Z49" s="229">
        <v>0</v>
      </c>
      <c r="AA49" s="229">
        <v>0</v>
      </c>
      <c r="AB49" s="229"/>
      <c r="AC49" s="229"/>
    </row>
    <row r="50" spans="1:29" s="165" customFormat="1" ht="13.8">
      <c r="A50" s="591" t="s">
        <v>887</v>
      </c>
      <c r="B50" s="57" t="s">
        <v>1995</v>
      </c>
      <c r="C50" s="57"/>
      <c r="D50" s="57"/>
      <c r="E50" s="57"/>
      <c r="F50" s="57"/>
      <c r="G50" s="57"/>
      <c r="H50" s="229"/>
      <c r="I50" s="229"/>
      <c r="J50" s="229">
        <v>0</v>
      </c>
      <c r="K50" s="229">
        <v>0</v>
      </c>
      <c r="L50" s="229">
        <v>0</v>
      </c>
      <c r="M50" s="229">
        <v>0</v>
      </c>
      <c r="N50" s="229">
        <v>0</v>
      </c>
      <c r="O50" s="229">
        <v>0</v>
      </c>
      <c r="P50" s="229">
        <v>0</v>
      </c>
      <c r="Q50" s="229">
        <v>0</v>
      </c>
      <c r="R50" s="229">
        <v>0</v>
      </c>
      <c r="S50" s="229">
        <v>0</v>
      </c>
      <c r="T50" s="229">
        <v>0</v>
      </c>
      <c r="U50" s="229">
        <v>0</v>
      </c>
      <c r="V50" s="229">
        <v>0</v>
      </c>
      <c r="W50" s="229">
        <v>0</v>
      </c>
      <c r="X50" s="229">
        <v>0</v>
      </c>
      <c r="Y50" s="229">
        <v>0</v>
      </c>
      <c r="Z50" s="229">
        <v>0</v>
      </c>
      <c r="AA50" s="229">
        <v>0</v>
      </c>
      <c r="AB50" s="229"/>
      <c r="AC50" s="229"/>
    </row>
    <row r="51" spans="1:29" s="165" customFormat="1" ht="13.8">
      <c r="A51" s="591" t="s">
        <v>1063</v>
      </c>
      <c r="B51" s="57" t="s">
        <v>1996</v>
      </c>
      <c r="C51" s="57"/>
      <c r="D51" s="57"/>
      <c r="E51" s="57"/>
      <c r="F51" s="57"/>
      <c r="G51" s="57"/>
      <c r="H51" s="229"/>
      <c r="I51" s="229"/>
      <c r="J51" s="229">
        <v>0</v>
      </c>
      <c r="K51" s="229">
        <v>0</v>
      </c>
      <c r="L51" s="229">
        <v>0</v>
      </c>
      <c r="M51" s="229">
        <v>0</v>
      </c>
      <c r="N51" s="229">
        <v>0</v>
      </c>
      <c r="O51" s="229">
        <v>0</v>
      </c>
      <c r="P51" s="229">
        <v>0</v>
      </c>
      <c r="Q51" s="229">
        <v>0</v>
      </c>
      <c r="R51" s="229">
        <v>0</v>
      </c>
      <c r="S51" s="229">
        <v>0</v>
      </c>
      <c r="T51" s="229">
        <v>0</v>
      </c>
      <c r="U51" s="229">
        <v>0</v>
      </c>
      <c r="V51" s="229">
        <v>0</v>
      </c>
      <c r="W51" s="229">
        <v>0</v>
      </c>
      <c r="X51" s="229">
        <v>0</v>
      </c>
      <c r="Y51" s="229">
        <v>0</v>
      </c>
      <c r="Z51" s="229">
        <v>0</v>
      </c>
      <c r="AA51" s="229">
        <v>0</v>
      </c>
      <c r="AB51" s="229">
        <v>0</v>
      </c>
      <c r="AC51" s="229">
        <v>0</v>
      </c>
    </row>
    <row r="52" spans="1:29" s="165" customFormat="1" ht="13.8">
      <c r="A52" s="591" t="s">
        <v>1068</v>
      </c>
      <c r="B52" s="57" t="s">
        <v>1997</v>
      </c>
      <c r="C52" s="57"/>
      <c r="D52" s="57"/>
      <c r="E52" s="57"/>
      <c r="F52" s="57"/>
      <c r="G52" s="57"/>
      <c r="H52" s="229"/>
      <c r="I52" s="229"/>
      <c r="J52" s="229">
        <v>-140</v>
      </c>
      <c r="K52" s="229">
        <v>-227</v>
      </c>
      <c r="L52" s="229">
        <v>-166</v>
      </c>
      <c r="M52" s="229">
        <v>-245</v>
      </c>
      <c r="N52" s="229">
        <v>-401</v>
      </c>
      <c r="O52" s="229">
        <v>-410</v>
      </c>
      <c r="P52" s="229">
        <v>-10</v>
      </c>
      <c r="Q52" s="229">
        <v>-482</v>
      </c>
      <c r="R52" s="229">
        <v>-1042</v>
      </c>
      <c r="S52" s="229">
        <v>-1009</v>
      </c>
      <c r="T52" s="229">
        <v>36</v>
      </c>
      <c r="U52" s="229">
        <v>-946</v>
      </c>
      <c r="V52" s="229">
        <v>-797</v>
      </c>
      <c r="W52" s="229">
        <v>-1174</v>
      </c>
      <c r="X52" s="229">
        <v>-43</v>
      </c>
      <c r="Y52" s="229">
        <v>216</v>
      </c>
      <c r="Z52" s="229">
        <v>122</v>
      </c>
      <c r="AA52" s="229">
        <v>270</v>
      </c>
      <c r="AB52" s="229">
        <v>-138</v>
      </c>
      <c r="AC52" s="229">
        <v>-339</v>
      </c>
    </row>
    <row r="53" spans="1:29" s="165" customFormat="1" ht="13.8">
      <c r="A53" s="591" t="s">
        <v>1419</v>
      </c>
      <c r="B53" s="57" t="s">
        <v>1998</v>
      </c>
      <c r="C53" s="57"/>
      <c r="D53" s="57"/>
      <c r="E53" s="57"/>
      <c r="F53" s="57"/>
      <c r="G53" s="57"/>
      <c r="H53" s="229"/>
      <c r="I53" s="229"/>
      <c r="J53" s="229">
        <v>0</v>
      </c>
      <c r="K53" s="229">
        <v>0</v>
      </c>
      <c r="L53" s="229">
        <v>0</v>
      </c>
      <c r="M53" s="229">
        <v>0</v>
      </c>
      <c r="N53" s="229">
        <v>0</v>
      </c>
      <c r="O53" s="229">
        <v>0</v>
      </c>
      <c r="P53" s="229">
        <v>312647</v>
      </c>
      <c r="Q53" s="229">
        <v>312647</v>
      </c>
      <c r="R53" s="229">
        <v>312647</v>
      </c>
      <c r="S53" s="229">
        <v>312647</v>
      </c>
      <c r="T53" s="229">
        <v>0</v>
      </c>
      <c r="U53" s="229">
        <v>0</v>
      </c>
      <c r="V53" s="229">
        <v>0</v>
      </c>
      <c r="W53" s="229">
        <v>0</v>
      </c>
      <c r="X53" s="229">
        <v>0</v>
      </c>
      <c r="Y53" s="229">
        <v>0</v>
      </c>
      <c r="Z53" s="229">
        <v>0</v>
      </c>
      <c r="AA53" s="229">
        <v>0</v>
      </c>
      <c r="AB53" s="229"/>
      <c r="AC53" s="229"/>
    </row>
    <row r="54" spans="1:29" s="165" customFormat="1" ht="13.8">
      <c r="A54" s="591" t="s">
        <v>1074</v>
      </c>
      <c r="B54" s="57" t="s">
        <v>1075</v>
      </c>
      <c r="C54" s="57"/>
      <c r="D54" s="57"/>
      <c r="E54" s="57"/>
      <c r="F54" s="57"/>
      <c r="G54" s="57"/>
      <c r="H54" s="229"/>
      <c r="I54" s="229"/>
      <c r="J54" s="229">
        <v>0</v>
      </c>
      <c r="K54" s="229">
        <v>0</v>
      </c>
      <c r="L54" s="229">
        <v>0</v>
      </c>
      <c r="M54" s="229">
        <v>0</v>
      </c>
      <c r="N54" s="229">
        <v>0</v>
      </c>
      <c r="O54" s="229">
        <v>0</v>
      </c>
      <c r="P54" s="229">
        <v>0</v>
      </c>
      <c r="Q54" s="229">
        <v>0</v>
      </c>
      <c r="R54" s="229">
        <v>0</v>
      </c>
      <c r="S54" s="229">
        <v>0</v>
      </c>
      <c r="T54" s="229">
        <v>0</v>
      </c>
      <c r="U54" s="229">
        <v>0</v>
      </c>
      <c r="V54" s="229">
        <v>0</v>
      </c>
      <c r="W54" s="229">
        <v>0</v>
      </c>
      <c r="X54" s="229">
        <v>0</v>
      </c>
      <c r="Y54" s="229">
        <v>0</v>
      </c>
      <c r="Z54" s="229">
        <v>0</v>
      </c>
      <c r="AA54" s="229">
        <v>0</v>
      </c>
      <c r="AB54" s="229">
        <v>0</v>
      </c>
      <c r="AC54" s="229">
        <v>0</v>
      </c>
    </row>
    <row r="55" spans="1:29" s="165" customFormat="1" ht="13.8">
      <c r="A55" s="591" t="s">
        <v>1420</v>
      </c>
      <c r="B55" s="57" t="s">
        <v>1999</v>
      </c>
      <c r="C55" s="57"/>
      <c r="D55" s="57"/>
      <c r="E55" s="57"/>
      <c r="F55" s="57"/>
      <c r="G55" s="57"/>
      <c r="H55" s="229"/>
      <c r="I55" s="229"/>
      <c r="J55" s="229">
        <v>0</v>
      </c>
      <c r="K55" s="229">
        <v>-1</v>
      </c>
      <c r="L55" s="229">
        <v>2</v>
      </c>
      <c r="M55" s="229">
        <v>4</v>
      </c>
      <c r="N55" s="229">
        <v>1</v>
      </c>
      <c r="O55" s="229">
        <v>-20</v>
      </c>
      <c r="P55" s="229">
        <v>20</v>
      </c>
      <c r="Q55" s="229">
        <v>19</v>
      </c>
      <c r="R55" s="229">
        <v>19</v>
      </c>
      <c r="S55" s="229">
        <v>47</v>
      </c>
      <c r="T55" s="229">
        <v>-3116</v>
      </c>
      <c r="U55" s="229">
        <v>-66</v>
      </c>
      <c r="V55" s="229">
        <v>0</v>
      </c>
      <c r="W55" s="229">
        <v>0</v>
      </c>
      <c r="X55" s="229">
        <v>-24</v>
      </c>
      <c r="Y55" s="229">
        <v>-11</v>
      </c>
      <c r="Z55" s="229">
        <v>0</v>
      </c>
      <c r="AA55" s="229">
        <v>0</v>
      </c>
      <c r="AB55" s="229">
        <v>-1</v>
      </c>
      <c r="AC55" s="229">
        <v>-27</v>
      </c>
    </row>
    <row r="56" spans="1:29" s="165" customFormat="1" ht="13.8">
      <c r="A56" s="591" t="s">
        <v>1078</v>
      </c>
      <c r="B56" s="57" t="s">
        <v>2000</v>
      </c>
      <c r="C56" s="57"/>
      <c r="D56" s="57"/>
      <c r="E56" s="57"/>
      <c r="F56" s="57"/>
      <c r="G56" s="57"/>
      <c r="H56" s="229"/>
      <c r="I56" s="229"/>
      <c r="J56" s="229">
        <v>-794</v>
      </c>
      <c r="K56" s="229">
        <v>-4180</v>
      </c>
      <c r="L56" s="229">
        <v>-13411</v>
      </c>
      <c r="M56" s="229">
        <v>-17203</v>
      </c>
      <c r="N56" s="229">
        <v>-25300</v>
      </c>
      <c r="O56" s="229">
        <v>-33158</v>
      </c>
      <c r="P56" s="229">
        <v>-2299</v>
      </c>
      <c r="Q56" s="229">
        <v>-5522</v>
      </c>
      <c r="R56" s="229">
        <v>9870</v>
      </c>
      <c r="S56" s="229">
        <v>3452</v>
      </c>
      <c r="T56" s="229">
        <v>0</v>
      </c>
      <c r="U56" s="229">
        <v>-2205</v>
      </c>
      <c r="V56" s="229">
        <v>-2144</v>
      </c>
      <c r="W56" s="229">
        <v>-10721</v>
      </c>
      <c r="X56" s="229">
        <v>13015</v>
      </c>
      <c r="Y56" s="229">
        <v>37024</v>
      </c>
      <c r="Z56" s="229">
        <v>30703</v>
      </c>
      <c r="AA56" s="229">
        <v>-24990</v>
      </c>
      <c r="AB56" s="229">
        <v>17069</v>
      </c>
      <c r="AC56" s="229">
        <v>-2863</v>
      </c>
    </row>
    <row r="57" spans="1:29" s="165" customFormat="1" ht="13.8">
      <c r="A57" s="591" t="s">
        <v>1421</v>
      </c>
      <c r="B57" s="57" t="s">
        <v>2001</v>
      </c>
      <c r="C57" s="57"/>
      <c r="D57" s="57"/>
      <c r="E57" s="57"/>
      <c r="F57" s="57"/>
      <c r="G57" s="57"/>
      <c r="H57" s="229"/>
      <c r="I57" s="229"/>
      <c r="J57" s="229">
        <v>0</v>
      </c>
      <c r="K57" s="229">
        <v>0</v>
      </c>
      <c r="L57" s="229">
        <v>0</v>
      </c>
      <c r="M57" s="229">
        <v>0</v>
      </c>
      <c r="N57" s="229">
        <v>0</v>
      </c>
      <c r="O57" s="229">
        <v>0</v>
      </c>
      <c r="P57" s="229">
        <v>0</v>
      </c>
      <c r="Q57" s="229">
        <v>0</v>
      </c>
      <c r="R57" s="229">
        <v>0</v>
      </c>
      <c r="S57" s="229">
        <v>0</v>
      </c>
      <c r="T57" s="229">
        <v>0</v>
      </c>
      <c r="U57" s="229">
        <v>0</v>
      </c>
      <c r="V57" s="229">
        <v>0</v>
      </c>
      <c r="W57" s="229">
        <v>0</v>
      </c>
      <c r="X57" s="229">
        <v>0</v>
      </c>
      <c r="Y57" s="229">
        <v>0</v>
      </c>
      <c r="Z57" s="229">
        <v>0</v>
      </c>
      <c r="AA57" s="229">
        <v>0</v>
      </c>
      <c r="AB57" s="229">
        <v>0</v>
      </c>
      <c r="AC57" s="229">
        <v>0</v>
      </c>
    </row>
    <row r="58" spans="1:29" s="165" customFormat="1" ht="13.8">
      <c r="A58" s="591" t="s">
        <v>1422</v>
      </c>
      <c r="B58" s="57" t="s">
        <v>2002</v>
      </c>
      <c r="C58" s="57"/>
      <c r="D58" s="57"/>
      <c r="E58" s="57"/>
      <c r="F58" s="57"/>
      <c r="G58" s="57"/>
      <c r="H58" s="229"/>
      <c r="I58" s="229"/>
      <c r="J58" s="229">
        <v>0</v>
      </c>
      <c r="K58" s="229">
        <v>0</v>
      </c>
      <c r="L58" s="229">
        <v>0</v>
      </c>
      <c r="M58" s="229">
        <v>0</v>
      </c>
      <c r="N58" s="229">
        <v>0</v>
      </c>
      <c r="O58" s="229">
        <v>0</v>
      </c>
      <c r="P58" s="229">
        <v>0</v>
      </c>
      <c r="Q58" s="229">
        <v>0</v>
      </c>
      <c r="R58" s="229">
        <v>0</v>
      </c>
      <c r="S58" s="229">
        <v>0</v>
      </c>
      <c r="T58" s="229">
        <v>0</v>
      </c>
      <c r="U58" s="229">
        <v>0</v>
      </c>
      <c r="V58" s="229">
        <v>0</v>
      </c>
      <c r="W58" s="229">
        <v>0</v>
      </c>
      <c r="X58" s="229">
        <v>0</v>
      </c>
      <c r="Y58" s="229">
        <v>0</v>
      </c>
      <c r="Z58" s="229">
        <v>0</v>
      </c>
      <c r="AA58" s="229">
        <v>0</v>
      </c>
      <c r="AB58" s="229">
        <v>0</v>
      </c>
      <c r="AC58" s="229">
        <v>0</v>
      </c>
    </row>
    <row r="59" spans="1:29" s="165" customFormat="1" ht="13.8">
      <c r="A59" s="591" t="s">
        <v>1352</v>
      </c>
      <c r="B59" s="57" t="s">
        <v>2003</v>
      </c>
      <c r="C59" s="57"/>
      <c r="D59" s="57"/>
      <c r="E59" s="57"/>
      <c r="F59" s="57"/>
      <c r="G59" s="57"/>
      <c r="H59" s="229"/>
      <c r="I59" s="229"/>
      <c r="J59" s="229">
        <v>0</v>
      </c>
      <c r="K59" s="229">
        <v>0</v>
      </c>
      <c r="L59" s="229">
        <v>0</v>
      </c>
      <c r="M59" s="229">
        <v>0</v>
      </c>
      <c r="N59" s="229">
        <v>0</v>
      </c>
      <c r="O59" s="229">
        <v>0</v>
      </c>
      <c r="P59" s="229">
        <v>0</v>
      </c>
      <c r="Q59" s="229">
        <v>0</v>
      </c>
      <c r="R59" s="229">
        <v>0</v>
      </c>
      <c r="S59" s="229">
        <v>0</v>
      </c>
      <c r="T59" s="229">
        <v>0</v>
      </c>
      <c r="U59" s="229">
        <v>0</v>
      </c>
      <c r="V59" s="229">
        <v>0</v>
      </c>
      <c r="W59" s="229">
        <v>0</v>
      </c>
      <c r="X59" s="229">
        <v>0</v>
      </c>
      <c r="Y59" s="229">
        <v>0</v>
      </c>
      <c r="Z59" s="229">
        <v>0</v>
      </c>
      <c r="AA59" s="229">
        <v>0</v>
      </c>
      <c r="AB59" s="229"/>
      <c r="AC59" s="229"/>
    </row>
    <row r="60" spans="1:29" s="165" customFormat="1" ht="13.8">
      <c r="A60" s="591" t="s">
        <v>1423</v>
      </c>
      <c r="B60" s="57" t="s">
        <v>1187</v>
      </c>
      <c r="C60" s="57"/>
      <c r="D60" s="57"/>
      <c r="E60" s="57"/>
      <c r="F60" s="57"/>
      <c r="G60" s="57"/>
      <c r="H60" s="229"/>
      <c r="I60" s="229"/>
      <c r="J60" s="229">
        <v>0</v>
      </c>
      <c r="K60" s="229">
        <v>0</v>
      </c>
      <c r="L60" s="229">
        <v>0</v>
      </c>
      <c r="M60" s="229">
        <v>0</v>
      </c>
      <c r="N60" s="229">
        <v>0</v>
      </c>
      <c r="O60" s="229">
        <v>0</v>
      </c>
      <c r="P60" s="229">
        <v>0</v>
      </c>
      <c r="Q60" s="229">
        <v>0</v>
      </c>
      <c r="R60" s="229">
        <v>0</v>
      </c>
      <c r="S60" s="229">
        <v>0</v>
      </c>
      <c r="T60" s="229">
        <v>0</v>
      </c>
      <c r="U60" s="229">
        <v>0</v>
      </c>
      <c r="V60" s="229">
        <v>0</v>
      </c>
      <c r="W60" s="229">
        <v>0</v>
      </c>
      <c r="X60" s="229">
        <v>0</v>
      </c>
      <c r="Y60" s="229">
        <v>0</v>
      </c>
      <c r="Z60" s="229">
        <v>0</v>
      </c>
      <c r="AA60" s="229">
        <v>0</v>
      </c>
      <c r="AB60" s="229"/>
      <c r="AC60" s="229"/>
    </row>
    <row r="61" spans="1:29" s="165" customFormat="1" ht="13.8">
      <c r="A61" s="591" t="s">
        <v>1080</v>
      </c>
      <c r="B61" s="57" t="s">
        <v>2004</v>
      </c>
      <c r="C61" s="57"/>
      <c r="D61" s="57"/>
      <c r="E61" s="57"/>
      <c r="F61" s="57"/>
      <c r="G61" s="57"/>
      <c r="H61" s="229"/>
      <c r="I61" s="229"/>
      <c r="J61" s="229">
        <v>-111140</v>
      </c>
      <c r="K61" s="229">
        <v>-125577</v>
      </c>
      <c r="L61" s="229">
        <v>-6624</v>
      </c>
      <c r="M61" s="229">
        <v>-11280</v>
      </c>
      <c r="N61" s="229">
        <v>-10705</v>
      </c>
      <c r="O61" s="229">
        <v>-37310</v>
      </c>
      <c r="P61" s="229">
        <v>-118284</v>
      </c>
      <c r="Q61" s="229">
        <v>-170652</v>
      </c>
      <c r="R61" s="229">
        <v>-126264</v>
      </c>
      <c r="S61" s="229">
        <v>-74016</v>
      </c>
      <c r="T61" s="229">
        <v>-36675</v>
      </c>
      <c r="U61" s="229">
        <v>-108231</v>
      </c>
      <c r="V61" s="229">
        <v>-3747</v>
      </c>
      <c r="W61" s="229">
        <v>-24599</v>
      </c>
      <c r="X61" s="229">
        <v>-10170</v>
      </c>
      <c r="Y61" s="229">
        <v>-25357</v>
      </c>
      <c r="Z61" s="229">
        <v>67322</v>
      </c>
      <c r="AA61" s="229">
        <v>41568</v>
      </c>
      <c r="AB61" s="229">
        <v>18449</v>
      </c>
      <c r="AC61" s="229">
        <v>10480</v>
      </c>
    </row>
    <row r="62" spans="1:29" s="165" customFormat="1" ht="13.8">
      <c r="A62" s="591" t="s">
        <v>1102</v>
      </c>
      <c r="B62" s="57" t="s">
        <v>1103</v>
      </c>
      <c r="C62" s="57"/>
      <c r="D62" s="57"/>
      <c r="E62" s="57"/>
      <c r="F62" s="57"/>
      <c r="G62" s="57"/>
      <c r="H62" s="229"/>
      <c r="I62" s="229"/>
      <c r="J62" s="229">
        <v>-31239</v>
      </c>
      <c r="K62" s="229">
        <v>-30050</v>
      </c>
      <c r="L62" s="229">
        <v>740</v>
      </c>
      <c r="M62" s="229">
        <v>-1177</v>
      </c>
      <c r="N62" s="229">
        <v>-1703</v>
      </c>
      <c r="O62" s="229">
        <v>-302</v>
      </c>
      <c r="P62" s="229">
        <v>-493</v>
      </c>
      <c r="Q62" s="229">
        <v>1520</v>
      </c>
      <c r="R62" s="229">
        <v>651</v>
      </c>
      <c r="S62" s="229">
        <v>1141</v>
      </c>
      <c r="T62" s="229">
        <v>5625</v>
      </c>
      <c r="U62" s="229">
        <v>-2966</v>
      </c>
      <c r="V62" s="229">
        <v>-2038</v>
      </c>
      <c r="W62" s="229">
        <v>-3701</v>
      </c>
      <c r="X62" s="229">
        <v>-2547</v>
      </c>
      <c r="Y62" s="229">
        <v>-3276</v>
      </c>
      <c r="Z62" s="229">
        <v>-3100</v>
      </c>
      <c r="AA62" s="229">
        <v>-613</v>
      </c>
      <c r="AB62" s="229">
        <v>-998</v>
      </c>
      <c r="AC62" s="229">
        <v>-1040</v>
      </c>
    </row>
    <row r="63" spans="1:29" s="4" customFormat="1" ht="13.8">
      <c r="A63" s="591" t="s">
        <v>1424</v>
      </c>
      <c r="B63" s="57" t="s">
        <v>1351</v>
      </c>
      <c r="C63" s="104"/>
      <c r="D63" s="104"/>
      <c r="E63" s="104"/>
      <c r="F63" s="104"/>
      <c r="G63" s="104"/>
      <c r="H63" s="229"/>
      <c r="I63" s="229"/>
      <c r="J63" s="229">
        <v>0</v>
      </c>
      <c r="K63" s="229">
        <v>0</v>
      </c>
      <c r="L63" s="229">
        <v>0</v>
      </c>
      <c r="M63" s="229">
        <v>0</v>
      </c>
      <c r="N63" s="229">
        <v>0</v>
      </c>
      <c r="O63" s="229">
        <v>0</v>
      </c>
      <c r="P63" s="229">
        <v>0</v>
      </c>
      <c r="Q63" s="229">
        <v>0</v>
      </c>
      <c r="R63" s="229">
        <v>0</v>
      </c>
      <c r="S63" s="229">
        <v>0</v>
      </c>
      <c r="T63" s="229">
        <v>0</v>
      </c>
      <c r="U63" s="229">
        <v>0</v>
      </c>
      <c r="V63" s="229">
        <v>0</v>
      </c>
      <c r="W63" s="229">
        <v>0</v>
      </c>
      <c r="X63" s="229">
        <v>0</v>
      </c>
      <c r="Y63" s="229">
        <v>0</v>
      </c>
      <c r="Z63" s="229">
        <v>0</v>
      </c>
      <c r="AA63" s="229">
        <v>0</v>
      </c>
      <c r="AB63" s="229"/>
      <c r="AC63" s="229"/>
    </row>
    <row r="64" spans="1:29" s="165" customFormat="1" ht="13.8">
      <c r="A64" s="591" t="s">
        <v>1104</v>
      </c>
      <c r="B64" s="57" t="s">
        <v>2005</v>
      </c>
      <c r="C64" s="57"/>
      <c r="D64" s="57"/>
      <c r="E64" s="57"/>
      <c r="F64" s="57"/>
      <c r="G64" s="57"/>
      <c r="H64" s="229"/>
      <c r="I64" s="229"/>
      <c r="J64" s="229">
        <v>244</v>
      </c>
      <c r="K64" s="229">
        <v>246</v>
      </c>
      <c r="L64" s="229">
        <v>-3</v>
      </c>
      <c r="M64" s="229">
        <v>169</v>
      </c>
      <c r="N64" s="229">
        <v>334</v>
      </c>
      <c r="O64" s="229">
        <v>98</v>
      </c>
      <c r="P64" s="229">
        <v>290</v>
      </c>
      <c r="Q64" s="229">
        <v>222</v>
      </c>
      <c r="R64" s="229">
        <v>422</v>
      </c>
      <c r="S64" s="229">
        <v>246</v>
      </c>
      <c r="T64" s="229">
        <v>462</v>
      </c>
      <c r="U64" s="229">
        <v>486</v>
      </c>
      <c r="V64" s="229">
        <v>522</v>
      </c>
      <c r="W64" s="229">
        <v>396</v>
      </c>
      <c r="X64" s="229">
        <v>619</v>
      </c>
      <c r="Y64" s="229">
        <v>323</v>
      </c>
      <c r="Z64" s="229">
        <v>509</v>
      </c>
      <c r="AA64" s="229">
        <v>924</v>
      </c>
      <c r="AB64" s="229">
        <v>-414</v>
      </c>
      <c r="AC64" s="229">
        <v>-318</v>
      </c>
    </row>
    <row r="65" spans="1:29" s="165" customFormat="1" ht="13.8">
      <c r="A65" s="591" t="s">
        <v>1111</v>
      </c>
      <c r="B65" s="57" t="s">
        <v>2006</v>
      </c>
      <c r="C65" s="57"/>
      <c r="D65" s="57"/>
      <c r="E65" s="57"/>
      <c r="F65" s="57"/>
      <c r="G65" s="57"/>
      <c r="H65" s="229"/>
      <c r="I65" s="229"/>
      <c r="J65" s="229">
        <v>477</v>
      </c>
      <c r="K65" s="229">
        <v>936</v>
      </c>
      <c r="L65" s="229">
        <v>-650</v>
      </c>
      <c r="M65" s="229">
        <v>-1428</v>
      </c>
      <c r="N65" s="229">
        <v>-2870</v>
      </c>
      <c r="O65" s="229">
        <v>-1497</v>
      </c>
      <c r="P65" s="229">
        <v>4555</v>
      </c>
      <c r="Q65" s="229">
        <v>-105</v>
      </c>
      <c r="R65" s="229">
        <v>5213</v>
      </c>
      <c r="S65" s="229">
        <v>3030</v>
      </c>
      <c r="T65" s="229">
        <v>-3160</v>
      </c>
      <c r="U65" s="229">
        <v>-2937</v>
      </c>
      <c r="V65" s="229">
        <v>192</v>
      </c>
      <c r="W65" s="229">
        <v>12241</v>
      </c>
      <c r="X65" s="229">
        <v>-39426</v>
      </c>
      <c r="Y65" s="229">
        <v>-40865</v>
      </c>
      <c r="Z65" s="229">
        <v>-36953</v>
      </c>
      <c r="AA65" s="229">
        <v>-16607</v>
      </c>
      <c r="AB65" s="229">
        <v>5941</v>
      </c>
      <c r="AC65" s="229">
        <v>-2478</v>
      </c>
    </row>
    <row r="66" spans="1:29" s="165" customFormat="1" ht="13.8">
      <c r="A66" s="591" t="s">
        <v>1113</v>
      </c>
      <c r="B66" s="57" t="s">
        <v>2007</v>
      </c>
      <c r="C66" s="57"/>
      <c r="D66" s="57"/>
      <c r="E66" s="57"/>
      <c r="F66" s="57"/>
      <c r="G66" s="57"/>
      <c r="H66" s="229"/>
      <c r="I66" s="229"/>
      <c r="J66" s="229">
        <v>0</v>
      </c>
      <c r="K66" s="229">
        <v>0</v>
      </c>
      <c r="L66" s="229">
        <v>0</v>
      </c>
      <c r="M66" s="229">
        <v>0</v>
      </c>
      <c r="N66" s="229">
        <v>0</v>
      </c>
      <c r="O66" s="229">
        <v>0</v>
      </c>
      <c r="P66" s="229">
        <v>0</v>
      </c>
      <c r="Q66" s="229">
        <v>2716</v>
      </c>
      <c r="R66" s="229">
        <v>-37</v>
      </c>
      <c r="S66" s="229">
        <v>-12</v>
      </c>
      <c r="T66" s="229">
        <v>-67</v>
      </c>
      <c r="U66" s="229">
        <v>8498</v>
      </c>
      <c r="V66" s="229">
        <v>8491</v>
      </c>
      <c r="W66" s="229">
        <v>33858</v>
      </c>
      <c r="X66" s="229">
        <v>-8743</v>
      </c>
      <c r="Y66" s="229">
        <v>-24712</v>
      </c>
      <c r="Z66" s="229">
        <v>-24499</v>
      </c>
      <c r="AA66" s="229">
        <v>60227</v>
      </c>
      <c r="AB66" s="229">
        <v>-21238</v>
      </c>
      <c r="AC66" s="229">
        <v>-13906</v>
      </c>
    </row>
    <row r="67" spans="1:29" s="165" customFormat="1" ht="13.8">
      <c r="A67" s="591" t="s">
        <v>1425</v>
      </c>
      <c r="B67" s="57" t="s">
        <v>775</v>
      </c>
      <c r="C67" s="57"/>
      <c r="D67" s="57"/>
      <c r="E67" s="57"/>
      <c r="F67" s="57"/>
      <c r="G67" s="57"/>
      <c r="H67" s="229"/>
      <c r="I67" s="229"/>
      <c r="J67" s="229">
        <v>0</v>
      </c>
      <c r="K67" s="229">
        <v>0</v>
      </c>
      <c r="L67" s="229">
        <v>0</v>
      </c>
      <c r="M67" s="229">
        <v>0</v>
      </c>
      <c r="N67" s="229">
        <v>0</v>
      </c>
      <c r="O67" s="229">
        <v>0</v>
      </c>
      <c r="P67" s="229">
        <v>0</v>
      </c>
      <c r="Q67" s="229">
        <v>0</v>
      </c>
      <c r="R67" s="229">
        <v>0</v>
      </c>
      <c r="S67" s="229">
        <v>0</v>
      </c>
      <c r="T67" s="229">
        <v>0</v>
      </c>
      <c r="U67" s="229">
        <v>0</v>
      </c>
      <c r="V67" s="229">
        <v>0</v>
      </c>
      <c r="W67" s="229">
        <v>0</v>
      </c>
      <c r="X67" s="229">
        <v>0</v>
      </c>
      <c r="Y67" s="229">
        <v>0</v>
      </c>
      <c r="Z67" s="229">
        <v>0</v>
      </c>
      <c r="AA67" s="229">
        <v>0</v>
      </c>
      <c r="AB67" s="229"/>
      <c r="AC67" s="229"/>
    </row>
    <row r="68" spans="1:29" s="165" customFormat="1" ht="13.8">
      <c r="A68" s="591" t="s">
        <v>1119</v>
      </c>
      <c r="B68" s="57" t="s">
        <v>1120</v>
      </c>
      <c r="C68" s="57"/>
      <c r="D68" s="57"/>
      <c r="E68" s="57"/>
      <c r="F68" s="57"/>
      <c r="G68" s="57"/>
      <c r="H68" s="229"/>
      <c r="I68" s="229"/>
      <c r="J68" s="229">
        <v>0</v>
      </c>
      <c r="K68" s="229">
        <v>0</v>
      </c>
      <c r="L68" s="229">
        <v>0</v>
      </c>
      <c r="M68" s="229">
        <v>0</v>
      </c>
      <c r="N68" s="229">
        <v>0</v>
      </c>
      <c r="O68" s="229">
        <v>0</v>
      </c>
      <c r="P68" s="229">
        <v>0</v>
      </c>
      <c r="Q68" s="229">
        <v>0</v>
      </c>
      <c r="R68" s="229">
        <v>0</v>
      </c>
      <c r="S68" s="229">
        <v>0</v>
      </c>
      <c r="T68" s="229">
        <v>0</v>
      </c>
      <c r="U68" s="229">
        <v>0</v>
      </c>
      <c r="V68" s="229">
        <v>0</v>
      </c>
      <c r="W68" s="229">
        <v>0</v>
      </c>
      <c r="X68" s="229">
        <v>0</v>
      </c>
      <c r="Y68" s="229">
        <v>0</v>
      </c>
      <c r="Z68" s="229">
        <v>0</v>
      </c>
      <c r="AA68" s="229">
        <v>0</v>
      </c>
      <c r="AB68" s="229">
        <v>0</v>
      </c>
      <c r="AC68" s="229">
        <v>0</v>
      </c>
    </row>
    <row r="69" spans="1:29" s="165" customFormat="1" ht="13.8">
      <c r="A69" s="591" t="s">
        <v>1117</v>
      </c>
      <c r="B69" s="57" t="s">
        <v>1118</v>
      </c>
      <c r="C69" s="57"/>
      <c r="D69" s="57"/>
      <c r="E69" s="57"/>
      <c r="F69" s="57"/>
      <c r="G69" s="57"/>
      <c r="H69" s="229"/>
      <c r="I69" s="229"/>
      <c r="J69" s="229">
        <v>0</v>
      </c>
      <c r="K69" s="229">
        <v>0</v>
      </c>
      <c r="L69" s="229">
        <v>0</v>
      </c>
      <c r="M69" s="229">
        <v>0</v>
      </c>
      <c r="N69" s="229">
        <v>0</v>
      </c>
      <c r="O69" s="229">
        <v>0</v>
      </c>
      <c r="P69" s="229">
        <v>0</v>
      </c>
      <c r="Q69" s="229">
        <v>0</v>
      </c>
      <c r="R69" s="229">
        <v>0</v>
      </c>
      <c r="S69" s="229">
        <v>0</v>
      </c>
      <c r="T69" s="229">
        <v>0</v>
      </c>
      <c r="U69" s="229">
        <v>0</v>
      </c>
      <c r="V69" s="229">
        <v>0</v>
      </c>
      <c r="W69" s="229">
        <v>0</v>
      </c>
      <c r="X69" s="229">
        <v>0</v>
      </c>
      <c r="Y69" s="229">
        <v>0</v>
      </c>
      <c r="Z69" s="229">
        <v>0</v>
      </c>
      <c r="AA69" s="229">
        <v>0</v>
      </c>
      <c r="AB69" s="229">
        <v>0</v>
      </c>
      <c r="AC69" s="229">
        <v>0</v>
      </c>
    </row>
    <row r="70" spans="1:29" s="165" customFormat="1" ht="13.8">
      <c r="A70" s="591" t="s">
        <v>1123</v>
      </c>
      <c r="B70" s="57" t="s">
        <v>2008</v>
      </c>
      <c r="C70" s="57"/>
      <c r="D70" s="57"/>
      <c r="E70" s="57"/>
      <c r="F70" s="57"/>
      <c r="G70" s="57"/>
      <c r="H70" s="229"/>
      <c r="I70" s="229"/>
      <c r="J70" s="229">
        <v>-5345</v>
      </c>
      <c r="K70" s="229">
        <v>-4139</v>
      </c>
      <c r="L70" s="229">
        <v>1367</v>
      </c>
      <c r="M70" s="229">
        <v>-5106</v>
      </c>
      <c r="N70" s="229">
        <v>-7031</v>
      </c>
      <c r="O70" s="229">
        <v>-5343</v>
      </c>
      <c r="P70" s="229">
        <v>146</v>
      </c>
      <c r="Q70" s="229">
        <v>-6391</v>
      </c>
      <c r="R70" s="229">
        <v>-5269</v>
      </c>
      <c r="S70" s="229">
        <v>-4147</v>
      </c>
      <c r="T70" s="229">
        <v>1171</v>
      </c>
      <c r="U70" s="229">
        <v>-9854.4740000000002</v>
      </c>
      <c r="V70" s="229">
        <v>-7188.2110000000002</v>
      </c>
      <c r="W70" s="229">
        <v>8223.0519999999997</v>
      </c>
      <c r="X70" s="229">
        <v>-10488.37</v>
      </c>
      <c r="Y70" s="229">
        <v>-18605.740000000002</v>
      </c>
      <c r="Z70" s="229">
        <v>-16037.11</v>
      </c>
      <c r="AA70" s="229">
        <v>-13468.48</v>
      </c>
      <c r="AB70" s="229">
        <v>2301.5450000000001</v>
      </c>
      <c r="AC70" s="229">
        <v>-7873.9110000000001</v>
      </c>
    </row>
    <row r="71" spans="1:29" s="165" customFormat="1" ht="13.8">
      <c r="A71" s="591" t="s">
        <v>1426</v>
      </c>
      <c r="B71" s="57" t="s">
        <v>2009</v>
      </c>
      <c r="C71" s="57"/>
      <c r="D71" s="57"/>
      <c r="E71" s="57"/>
      <c r="F71" s="57"/>
      <c r="G71" s="57"/>
      <c r="H71" s="229"/>
      <c r="I71" s="229"/>
      <c r="J71" s="229">
        <v>0</v>
      </c>
      <c r="K71" s="229">
        <v>0</v>
      </c>
      <c r="L71" s="229">
        <v>0</v>
      </c>
      <c r="M71" s="229">
        <v>0</v>
      </c>
      <c r="N71" s="229">
        <v>0</v>
      </c>
      <c r="O71" s="229">
        <v>0</v>
      </c>
      <c r="P71" s="229">
        <v>0</v>
      </c>
      <c r="Q71" s="229"/>
      <c r="R71" s="229"/>
      <c r="S71" s="229"/>
      <c r="T71" s="229"/>
      <c r="U71" s="229"/>
      <c r="V71" s="229"/>
      <c r="W71" s="229"/>
      <c r="X71" s="229"/>
      <c r="Y71" s="229">
        <v>0</v>
      </c>
      <c r="Z71" s="229">
        <v>0</v>
      </c>
      <c r="AA71" s="229">
        <v>0</v>
      </c>
      <c r="AB71" s="229">
        <v>0</v>
      </c>
      <c r="AC71" s="229">
        <v>0</v>
      </c>
    </row>
    <row r="72" spans="1:29" s="165" customFormat="1" ht="13.8">
      <c r="A72" s="591" t="s">
        <v>1194</v>
      </c>
      <c r="B72" s="57" t="s">
        <v>2010</v>
      </c>
      <c r="C72" s="57"/>
      <c r="D72" s="57"/>
      <c r="E72" s="57"/>
      <c r="F72" s="57"/>
      <c r="G72" s="57"/>
      <c r="H72" s="229"/>
      <c r="I72" s="229"/>
      <c r="J72" s="229">
        <v>0</v>
      </c>
      <c r="K72" s="229">
        <v>0</v>
      </c>
      <c r="L72" s="229">
        <v>0</v>
      </c>
      <c r="M72" s="229">
        <v>0</v>
      </c>
      <c r="N72" s="229">
        <v>0</v>
      </c>
      <c r="O72" s="229">
        <v>0</v>
      </c>
      <c r="P72" s="229">
        <v>0</v>
      </c>
      <c r="Q72" s="229">
        <v>0</v>
      </c>
      <c r="R72" s="229">
        <v>0</v>
      </c>
      <c r="S72" s="229">
        <v>0</v>
      </c>
      <c r="T72" s="229">
        <v>0</v>
      </c>
      <c r="U72" s="229">
        <v>0</v>
      </c>
      <c r="V72" s="229">
        <v>0</v>
      </c>
      <c r="W72" s="229">
        <v>0</v>
      </c>
      <c r="X72" s="229">
        <v>0</v>
      </c>
      <c r="Y72" s="229">
        <v>0</v>
      </c>
      <c r="Z72" s="229">
        <v>0</v>
      </c>
      <c r="AA72" s="229">
        <v>0</v>
      </c>
      <c r="AB72" s="229"/>
      <c r="AC72" s="229"/>
    </row>
    <row r="73" spans="1:29" s="165" customFormat="1" ht="13.8">
      <c r="A73" s="591" t="s">
        <v>1479</v>
      </c>
      <c r="B73" s="57" t="s">
        <v>1126</v>
      </c>
      <c r="C73" s="57"/>
      <c r="D73" s="57"/>
      <c r="E73" s="57"/>
      <c r="F73" s="57"/>
      <c r="G73" s="57"/>
      <c r="H73" s="229"/>
      <c r="I73" s="229"/>
      <c r="J73" s="229">
        <v>0</v>
      </c>
      <c r="K73" s="229">
        <v>0</v>
      </c>
      <c r="L73" s="229">
        <v>0</v>
      </c>
      <c r="M73" s="229">
        <v>0</v>
      </c>
      <c r="N73" s="229">
        <v>0</v>
      </c>
      <c r="O73" s="229">
        <v>0</v>
      </c>
      <c r="P73" s="229">
        <v>0</v>
      </c>
      <c r="Q73" s="229">
        <v>0</v>
      </c>
      <c r="R73" s="229">
        <v>0</v>
      </c>
      <c r="S73" s="229">
        <v>0</v>
      </c>
      <c r="T73" s="229">
        <v>0</v>
      </c>
      <c r="U73" s="229">
        <v>0</v>
      </c>
      <c r="V73" s="229">
        <v>0</v>
      </c>
      <c r="W73" s="229">
        <v>0</v>
      </c>
      <c r="X73" s="229">
        <v>0</v>
      </c>
      <c r="Y73" s="229">
        <v>0</v>
      </c>
      <c r="Z73" s="229">
        <v>0</v>
      </c>
      <c r="AA73" s="229">
        <v>0</v>
      </c>
      <c r="AB73" s="229"/>
      <c r="AC73" s="229"/>
    </row>
    <row r="74" spans="1:29" s="165" customFormat="1" ht="13.8">
      <c r="A74" s="591" t="s">
        <v>1265</v>
      </c>
      <c r="B74" s="57" t="s">
        <v>1266</v>
      </c>
      <c r="C74" s="57"/>
      <c r="D74" s="57"/>
      <c r="E74" s="57"/>
      <c r="F74" s="57"/>
      <c r="G74" s="57"/>
      <c r="H74" s="229"/>
      <c r="I74" s="229"/>
      <c r="J74" s="229">
        <v>0</v>
      </c>
      <c r="K74" s="229">
        <v>0</v>
      </c>
      <c r="L74" s="229">
        <v>0</v>
      </c>
      <c r="M74" s="229">
        <v>0</v>
      </c>
      <c r="N74" s="229">
        <v>0</v>
      </c>
      <c r="O74" s="229">
        <v>0</v>
      </c>
      <c r="P74" s="229">
        <v>0</v>
      </c>
      <c r="Q74" s="229">
        <v>0</v>
      </c>
      <c r="R74" s="229">
        <v>0</v>
      </c>
      <c r="S74" s="229">
        <v>0</v>
      </c>
      <c r="T74" s="229">
        <v>0</v>
      </c>
      <c r="U74" s="229">
        <v>0</v>
      </c>
      <c r="V74" s="229">
        <v>0</v>
      </c>
      <c r="W74" s="229">
        <v>0</v>
      </c>
      <c r="X74" s="229">
        <v>0</v>
      </c>
      <c r="Y74" s="229">
        <v>0</v>
      </c>
      <c r="Z74" s="229">
        <v>0</v>
      </c>
      <c r="AA74" s="229">
        <v>0</v>
      </c>
      <c r="AB74" s="229"/>
      <c r="AC74" s="229"/>
    </row>
    <row r="75" spans="1:29" s="165" customFormat="1" ht="13.8">
      <c r="A75" s="591" t="s">
        <v>1129</v>
      </c>
      <c r="B75" s="57" t="s">
        <v>2011</v>
      </c>
      <c r="C75" s="57"/>
      <c r="D75" s="57"/>
      <c r="E75" s="57"/>
      <c r="F75" s="57"/>
      <c r="G75" s="57"/>
      <c r="H75" s="229"/>
      <c r="I75" s="229"/>
      <c r="J75" s="229">
        <v>17</v>
      </c>
      <c r="K75" s="229">
        <v>5</v>
      </c>
      <c r="L75" s="229">
        <v>-42</v>
      </c>
      <c r="M75" s="229">
        <v>-4</v>
      </c>
      <c r="N75" s="229">
        <v>-3</v>
      </c>
      <c r="O75" s="229">
        <v>-4</v>
      </c>
      <c r="P75" s="229">
        <v>-6044</v>
      </c>
      <c r="Q75" s="229">
        <v>-1</v>
      </c>
      <c r="R75" s="229">
        <v>-2</v>
      </c>
      <c r="S75" s="229">
        <v>6</v>
      </c>
      <c r="T75" s="229">
        <v>-4</v>
      </c>
      <c r="U75" s="229">
        <v>-3</v>
      </c>
      <c r="V75" s="229">
        <v>0</v>
      </c>
      <c r="W75" s="229">
        <v>12</v>
      </c>
      <c r="X75" s="229">
        <v>44</v>
      </c>
      <c r="Y75" s="229">
        <v>-9996</v>
      </c>
      <c r="Z75" s="229">
        <v>-11990</v>
      </c>
      <c r="AA75" s="229">
        <v>-15047</v>
      </c>
      <c r="AB75" s="229">
        <v>-54</v>
      </c>
      <c r="AC75" s="229">
        <v>-16164</v>
      </c>
    </row>
    <row r="76" spans="1:29" s="165" customFormat="1" ht="13.8">
      <c r="A76" s="591" t="s">
        <v>1127</v>
      </c>
      <c r="B76" s="57" t="s">
        <v>1991</v>
      </c>
      <c r="C76" s="57"/>
      <c r="D76" s="57"/>
      <c r="E76" s="57"/>
      <c r="F76" s="57"/>
      <c r="G76" s="57"/>
      <c r="H76" s="229"/>
      <c r="I76" s="229"/>
      <c r="J76" s="229">
        <v>0</v>
      </c>
      <c r="K76" s="229">
        <v>0</v>
      </c>
      <c r="L76" s="229">
        <v>0</v>
      </c>
      <c r="M76" s="229">
        <v>0</v>
      </c>
      <c r="N76" s="229">
        <v>0</v>
      </c>
      <c r="O76" s="229">
        <v>0</v>
      </c>
      <c r="P76" s="229">
        <v>0</v>
      </c>
      <c r="Q76" s="229">
        <v>0</v>
      </c>
      <c r="R76" s="229">
        <v>0</v>
      </c>
      <c r="S76" s="229">
        <v>0</v>
      </c>
      <c r="T76" s="229">
        <v>0</v>
      </c>
      <c r="U76" s="229">
        <v>0</v>
      </c>
      <c r="V76" s="229">
        <v>0</v>
      </c>
      <c r="W76" s="229">
        <v>0</v>
      </c>
      <c r="X76" s="229">
        <v>0</v>
      </c>
      <c r="Y76" s="229">
        <v>0</v>
      </c>
      <c r="Z76" s="229">
        <v>0</v>
      </c>
      <c r="AA76" s="229">
        <v>0</v>
      </c>
      <c r="AB76" s="229">
        <v>0</v>
      </c>
      <c r="AC76" s="229">
        <v>0</v>
      </c>
    </row>
    <row r="77" spans="1:29" s="165" customFormat="1" ht="13.8">
      <c r="A77" s="591" t="s">
        <v>1234</v>
      </c>
      <c r="B77" s="57" t="s">
        <v>2012</v>
      </c>
      <c r="C77" s="57"/>
      <c r="D77" s="57"/>
      <c r="E77" s="57"/>
      <c r="F77" s="57"/>
      <c r="G77" s="57"/>
      <c r="H77" s="229"/>
      <c r="I77" s="229"/>
      <c r="J77" s="229">
        <v>807043</v>
      </c>
      <c r="K77" s="229">
        <v>1401307</v>
      </c>
      <c r="L77" s="229">
        <v>6036</v>
      </c>
      <c r="M77" s="229">
        <v>428101</v>
      </c>
      <c r="N77" s="229">
        <v>428101</v>
      </c>
      <c r="O77" s="229">
        <v>1557085</v>
      </c>
      <c r="P77" s="229">
        <v>74757</v>
      </c>
      <c r="Q77" s="229">
        <v>74757</v>
      </c>
      <c r="R77" s="229">
        <v>114757</v>
      </c>
      <c r="S77" s="229">
        <v>708976</v>
      </c>
      <c r="T77" s="229">
        <v>0</v>
      </c>
      <c r="U77" s="229">
        <v>0</v>
      </c>
      <c r="V77" s="229">
        <v>123500</v>
      </c>
      <c r="W77" s="229">
        <v>1722450</v>
      </c>
      <c r="X77" s="229">
        <v>710000</v>
      </c>
      <c r="Y77" s="229">
        <v>1265630</v>
      </c>
      <c r="Z77" s="229">
        <v>0</v>
      </c>
      <c r="AA77" s="229">
        <v>0</v>
      </c>
      <c r="AB77" s="229"/>
      <c r="AC77" s="229"/>
    </row>
    <row r="78" spans="1:29" s="165" customFormat="1" ht="13.8">
      <c r="A78" s="591" t="s">
        <v>1428</v>
      </c>
      <c r="B78" s="57" t="s">
        <v>2013</v>
      </c>
      <c r="C78" s="57"/>
      <c r="D78" s="57"/>
      <c r="E78" s="57"/>
      <c r="F78" s="57"/>
      <c r="G78" s="57"/>
      <c r="H78" s="229"/>
      <c r="I78" s="229"/>
      <c r="J78" s="229">
        <v>0</v>
      </c>
      <c r="K78" s="229">
        <v>0</v>
      </c>
      <c r="L78" s="229">
        <v>0</v>
      </c>
      <c r="M78" s="229">
        <v>0</v>
      </c>
      <c r="N78" s="229">
        <v>0</v>
      </c>
      <c r="O78" s="229">
        <v>0</v>
      </c>
      <c r="P78" s="229">
        <v>0</v>
      </c>
      <c r="Q78" s="229">
        <v>0</v>
      </c>
      <c r="R78" s="229">
        <v>0</v>
      </c>
      <c r="S78" s="229">
        <v>0</v>
      </c>
      <c r="T78" s="229">
        <v>0</v>
      </c>
      <c r="U78" s="229">
        <v>0</v>
      </c>
      <c r="V78" s="229">
        <v>0</v>
      </c>
      <c r="W78" s="229">
        <v>0</v>
      </c>
      <c r="X78" s="229">
        <v>0</v>
      </c>
      <c r="Y78" s="229">
        <v>0</v>
      </c>
      <c r="Z78" s="229">
        <v>0</v>
      </c>
      <c r="AA78" s="229">
        <v>0</v>
      </c>
      <c r="AB78" s="229"/>
      <c r="AC78" s="229"/>
    </row>
    <row r="79" spans="1:29" s="578" customFormat="1" ht="13.8">
      <c r="A79" s="592" t="s">
        <v>1429</v>
      </c>
      <c r="B79" s="592" t="s">
        <v>2034</v>
      </c>
      <c r="C79" s="592"/>
      <c r="D79" s="592">
        <f t="shared" ref="D79:Y79" si="2">SUM(D47:D78)</f>
        <v>0</v>
      </c>
      <c r="E79" s="592">
        <f t="shared" si="2"/>
        <v>0</v>
      </c>
      <c r="F79" s="592">
        <f t="shared" si="2"/>
        <v>0</v>
      </c>
      <c r="G79" s="592">
        <f t="shared" si="2"/>
        <v>0</v>
      </c>
      <c r="H79" s="593">
        <f t="shared" si="2"/>
        <v>0</v>
      </c>
      <c r="I79" s="593">
        <f t="shared" si="2"/>
        <v>0</v>
      </c>
      <c r="J79" s="593">
        <f t="shared" si="2"/>
        <v>609707</v>
      </c>
      <c r="K79" s="593">
        <f t="shared" si="2"/>
        <v>1162193</v>
      </c>
      <c r="L79" s="593">
        <f t="shared" si="2"/>
        <v>-82413</v>
      </c>
      <c r="M79" s="593">
        <f t="shared" si="2"/>
        <v>310087</v>
      </c>
      <c r="N79" s="593">
        <f t="shared" si="2"/>
        <v>290768</v>
      </c>
      <c r="O79" s="593">
        <f t="shared" si="2"/>
        <v>1415006</v>
      </c>
      <c r="P79" s="593">
        <f t="shared" si="2"/>
        <v>282589</v>
      </c>
      <c r="Q79" s="593">
        <f t="shared" si="2"/>
        <v>230348</v>
      </c>
      <c r="R79" s="593">
        <f t="shared" si="2"/>
        <v>274094</v>
      </c>
      <c r="S79" s="593">
        <f t="shared" si="2"/>
        <v>953589</v>
      </c>
      <c r="T79" s="593">
        <f t="shared" si="2"/>
        <v>-12210</v>
      </c>
      <c r="U79" s="593">
        <f t="shared" si="2"/>
        <v>-74530</v>
      </c>
      <c r="V79" s="593">
        <f t="shared" si="2"/>
        <v>155173</v>
      </c>
      <c r="W79" s="593">
        <f t="shared" si="2"/>
        <v>1753787</v>
      </c>
      <c r="X79" s="593">
        <f t="shared" si="2"/>
        <v>662829</v>
      </c>
      <c r="Y79" s="593">
        <f t="shared" si="2"/>
        <v>1186430</v>
      </c>
      <c r="Z79" s="593">
        <f t="shared" ref="Z79:AC79" si="3">SUM(Z47:Z78)</f>
        <v>16120</v>
      </c>
      <c r="AA79" s="593">
        <f t="shared" si="3"/>
        <v>612696</v>
      </c>
      <c r="AB79" s="593">
        <f t="shared" si="3"/>
        <v>2891.0000000000018</v>
      </c>
      <c r="AC79" s="593">
        <f t="shared" si="3"/>
        <v>-31666</v>
      </c>
    </row>
    <row r="81" spans="1:29" s="165" customFormat="1" ht="13.8">
      <c r="A81" s="57" t="s">
        <v>2098</v>
      </c>
      <c r="B81" s="57"/>
      <c r="C81" s="57"/>
      <c r="D81" s="57"/>
      <c r="E81" s="57"/>
      <c r="F81" s="57"/>
      <c r="G81" s="57"/>
      <c r="H81" s="229"/>
      <c r="I81" s="229"/>
      <c r="J81" s="229"/>
      <c r="K81" s="229"/>
      <c r="L81" s="229"/>
      <c r="M81" s="229"/>
      <c r="N81" s="229"/>
      <c r="O81" s="229"/>
      <c r="P81" s="57"/>
      <c r="Q81" s="229"/>
      <c r="R81" s="229"/>
      <c r="S81" s="229"/>
      <c r="T81" s="229"/>
      <c r="U81" s="229"/>
      <c r="V81" s="229"/>
      <c r="W81" s="229"/>
      <c r="X81" s="229"/>
      <c r="Y81" s="229"/>
      <c r="Z81" s="229">
        <v>1265630</v>
      </c>
      <c r="AA81" s="229">
        <v>2338115</v>
      </c>
      <c r="AB81" s="229">
        <v>0</v>
      </c>
      <c r="AC81" s="229">
        <v>742873</v>
      </c>
    </row>
    <row r="82" spans="1:29" s="165" customFormat="1" ht="13.8">
      <c r="A82" s="594" t="s">
        <v>1396</v>
      </c>
      <c r="B82" s="57" t="s">
        <v>1397</v>
      </c>
      <c r="C82" s="57"/>
      <c r="D82" s="57"/>
      <c r="E82" s="57"/>
      <c r="F82" s="57"/>
      <c r="G82" s="57"/>
      <c r="H82" s="57"/>
      <c r="I82" s="57"/>
      <c r="J82" s="57"/>
      <c r="K82" s="229"/>
      <c r="L82" s="229"/>
      <c r="M82" s="229"/>
      <c r="N82" s="229"/>
      <c r="O82" s="229"/>
      <c r="P82" s="229"/>
      <c r="Q82" s="229"/>
      <c r="R82" s="229">
        <v>169324</v>
      </c>
      <c r="S82" s="229">
        <v>240729</v>
      </c>
      <c r="T82" s="229">
        <v>56129</v>
      </c>
      <c r="U82" s="229"/>
      <c r="V82" s="229">
        <v>117176</v>
      </c>
      <c r="W82" s="229">
        <v>141062</v>
      </c>
      <c r="X82" s="229">
        <v>19230</v>
      </c>
      <c r="Y82" s="229">
        <v>4743</v>
      </c>
      <c r="Z82" s="229">
        <v>39708</v>
      </c>
      <c r="AA82" s="229">
        <v>64342</v>
      </c>
      <c r="AB82" s="229">
        <v>21851</v>
      </c>
      <c r="AC82" s="229">
        <v>22332</v>
      </c>
    </row>
    <row r="83" spans="1:29" s="165" customFormat="1" ht="13.8">
      <c r="A83" s="594" t="s">
        <v>1430</v>
      </c>
      <c r="B83" s="57" t="s">
        <v>2016</v>
      </c>
      <c r="C83" s="57"/>
      <c r="D83" s="57"/>
      <c r="E83" s="57"/>
      <c r="F83" s="57"/>
      <c r="G83" s="57"/>
      <c r="H83" s="57"/>
      <c r="I83" s="57"/>
      <c r="J83" s="57"/>
      <c r="K83" s="229"/>
      <c r="L83" s="229"/>
      <c r="M83" s="229">
        <v>0</v>
      </c>
      <c r="N83" s="229"/>
      <c r="O83" s="229"/>
      <c r="P83" s="229"/>
      <c r="Q83" s="229">
        <v>-2734</v>
      </c>
      <c r="R83" s="229">
        <v>0</v>
      </c>
      <c r="S83" s="229">
        <v>0</v>
      </c>
      <c r="T83" s="229">
        <v>0</v>
      </c>
      <c r="U83" s="229"/>
      <c r="V83" s="229">
        <v>0</v>
      </c>
      <c r="W83" s="229">
        <v>0</v>
      </c>
      <c r="X83" s="229">
        <v>8854</v>
      </c>
      <c r="Y83" s="229">
        <v>0</v>
      </c>
      <c r="Z83" s="229">
        <v>-182</v>
      </c>
      <c r="AA83" s="229">
        <v>-1130</v>
      </c>
      <c r="AB83" s="229">
        <v>0</v>
      </c>
      <c r="AC83" s="229">
        <v>-3805</v>
      </c>
    </row>
    <row r="84" spans="1:29" s="165" customFormat="1" ht="13.8">
      <c r="A84" s="594" t="s">
        <v>1431</v>
      </c>
      <c r="B84" s="57" t="s">
        <v>2017</v>
      </c>
      <c r="C84" s="57"/>
      <c r="D84" s="57"/>
      <c r="E84" s="57"/>
      <c r="F84" s="57"/>
      <c r="G84" s="57"/>
      <c r="H84" s="229"/>
      <c r="I84" s="229"/>
      <c r="J84" s="229">
        <v>-62137</v>
      </c>
      <c r="K84" s="229">
        <v>-74231</v>
      </c>
      <c r="L84" s="229"/>
      <c r="M84" s="229">
        <v>-140254</v>
      </c>
      <c r="N84" s="229">
        <v>-273397</v>
      </c>
      <c r="O84" s="229">
        <v>-452331</v>
      </c>
      <c r="P84" s="229">
        <v>-147008</v>
      </c>
      <c r="Q84" s="229">
        <v>-325848</v>
      </c>
      <c r="R84" s="229">
        <v>-469152</v>
      </c>
      <c r="S84" s="229">
        <v>-657503</v>
      </c>
      <c r="T84" s="229">
        <v>-114340</v>
      </c>
      <c r="U84" s="229">
        <v>-236342</v>
      </c>
      <c r="V84" s="229">
        <v>-236427</v>
      </c>
      <c r="W84" s="229">
        <v>-419749</v>
      </c>
      <c r="X84" s="229">
        <v>-118155</v>
      </c>
      <c r="Y84" s="229">
        <v>-139896</v>
      </c>
      <c r="Z84" s="229">
        <v>-248095</v>
      </c>
      <c r="AA84" s="229">
        <v>-614414</v>
      </c>
      <c r="AB84" s="229">
        <v>-112714</v>
      </c>
      <c r="AC84" s="229">
        <v>-112713</v>
      </c>
    </row>
    <row r="85" spans="1:29" s="165" customFormat="1" ht="13.8">
      <c r="A85" s="595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</row>
    <row r="86" spans="1:29" s="578" customFormat="1" thickBot="1">
      <c r="A86" s="596" t="s">
        <v>1432</v>
      </c>
      <c r="B86" s="596" t="s">
        <v>2036</v>
      </c>
      <c r="C86" s="596"/>
      <c r="D86" s="596">
        <f t="shared" ref="D86:Y86" si="4">SUM(D79:D85)</f>
        <v>0</v>
      </c>
      <c r="E86" s="596">
        <f t="shared" si="4"/>
        <v>0</v>
      </c>
      <c r="F86" s="596">
        <f t="shared" si="4"/>
        <v>0</v>
      </c>
      <c r="G86" s="596">
        <f t="shared" si="4"/>
        <v>0</v>
      </c>
      <c r="H86" s="597">
        <f t="shared" si="4"/>
        <v>0</v>
      </c>
      <c r="I86" s="597">
        <f t="shared" si="4"/>
        <v>0</v>
      </c>
      <c r="J86" s="597">
        <f t="shared" si="4"/>
        <v>547570</v>
      </c>
      <c r="K86" s="597">
        <f t="shared" si="4"/>
        <v>1087962</v>
      </c>
      <c r="L86" s="597">
        <f t="shared" si="4"/>
        <v>-82413</v>
      </c>
      <c r="M86" s="597">
        <f t="shared" si="4"/>
        <v>169833</v>
      </c>
      <c r="N86" s="597">
        <f t="shared" si="4"/>
        <v>17371</v>
      </c>
      <c r="O86" s="597">
        <f t="shared" si="4"/>
        <v>962675</v>
      </c>
      <c r="P86" s="597">
        <f t="shared" si="4"/>
        <v>135581</v>
      </c>
      <c r="Q86" s="597">
        <f t="shared" si="4"/>
        <v>-98234</v>
      </c>
      <c r="R86" s="597">
        <f t="shared" si="4"/>
        <v>-25734</v>
      </c>
      <c r="S86" s="597">
        <f t="shared" si="4"/>
        <v>536815</v>
      </c>
      <c r="T86" s="597">
        <f t="shared" si="4"/>
        <v>-70421</v>
      </c>
      <c r="U86" s="597">
        <f t="shared" si="4"/>
        <v>-310872</v>
      </c>
      <c r="V86" s="597">
        <f t="shared" si="4"/>
        <v>35922</v>
      </c>
      <c r="W86" s="597">
        <f t="shared" si="4"/>
        <v>1475100</v>
      </c>
      <c r="X86" s="597">
        <f t="shared" si="4"/>
        <v>572758</v>
      </c>
      <c r="Y86" s="597">
        <f t="shared" si="4"/>
        <v>1051277</v>
      </c>
      <c r="Z86" s="597">
        <f t="shared" ref="Z86:AC86" si="5">SUM(Z79:Z85)</f>
        <v>1073181</v>
      </c>
      <c r="AA86" s="597">
        <f t="shared" si="5"/>
        <v>2399609</v>
      </c>
      <c r="AB86" s="597">
        <f t="shared" si="5"/>
        <v>-87972</v>
      </c>
      <c r="AC86" s="597">
        <f t="shared" si="5"/>
        <v>617021</v>
      </c>
    </row>
    <row r="87" spans="1:29" s="165" customFormat="1" ht="13.8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229"/>
      <c r="L87" s="229"/>
      <c r="M87" s="229"/>
      <c r="N87" s="229"/>
      <c r="O87" s="229"/>
      <c r="P87" s="229"/>
      <c r="Q87" s="229"/>
      <c r="R87" s="229"/>
      <c r="S87" s="229"/>
      <c r="T87" s="229"/>
      <c r="U87" s="229"/>
      <c r="V87" s="229"/>
      <c r="W87" s="229"/>
      <c r="X87" s="229"/>
      <c r="Y87" s="229"/>
      <c r="Z87" s="229"/>
      <c r="AA87" s="229"/>
      <c r="AB87" s="229"/>
      <c r="AC87" s="229"/>
    </row>
    <row r="88" spans="1:29" s="165" customFormat="1" ht="13.8">
      <c r="A88" s="134" t="s">
        <v>1433</v>
      </c>
      <c r="B88" s="589" t="s">
        <v>2037</v>
      </c>
      <c r="C88" s="57"/>
      <c r="D88" s="57"/>
      <c r="E88" s="57"/>
      <c r="F88" s="57"/>
      <c r="G88" s="57"/>
      <c r="H88" s="57"/>
      <c r="I88" s="57"/>
      <c r="J88" s="57"/>
      <c r="K88" s="229"/>
      <c r="L88" s="229"/>
      <c r="M88" s="229"/>
      <c r="N88" s="229"/>
      <c r="O88" s="229"/>
      <c r="P88" s="229"/>
      <c r="Q88" s="229"/>
      <c r="R88" s="229"/>
      <c r="S88" s="229"/>
      <c r="T88" s="229"/>
      <c r="U88" s="229"/>
      <c r="V88" s="229"/>
      <c r="W88" s="229"/>
      <c r="X88" s="229"/>
      <c r="Y88" s="229"/>
      <c r="Z88" s="229"/>
      <c r="AA88" s="229"/>
      <c r="AB88" s="229"/>
      <c r="AC88" s="229"/>
    </row>
    <row r="89" spans="1:29" s="165" customFormat="1" ht="13.8">
      <c r="A89" s="591" t="s">
        <v>1434</v>
      </c>
      <c r="B89" s="57" t="s">
        <v>2018</v>
      </c>
      <c r="C89" s="57"/>
      <c r="D89" s="57"/>
      <c r="E89" s="57"/>
      <c r="F89" s="57"/>
      <c r="G89" s="57"/>
      <c r="H89" s="57"/>
      <c r="I89" s="57"/>
      <c r="J89" s="229">
        <v>-2246</v>
      </c>
      <c r="K89" s="229">
        <v>-2246</v>
      </c>
      <c r="L89" s="229">
        <v>-1008</v>
      </c>
      <c r="M89" s="229">
        <v>-1375</v>
      </c>
      <c r="N89" s="229">
        <v>-1397</v>
      </c>
      <c r="O89" s="229">
        <v>-3277</v>
      </c>
      <c r="P89" s="229">
        <v>-37</v>
      </c>
      <c r="Q89" s="229">
        <v>-152</v>
      </c>
      <c r="R89" s="229">
        <v>-129</v>
      </c>
      <c r="S89" s="229">
        <v>-36</v>
      </c>
      <c r="T89" s="229">
        <v>-29</v>
      </c>
      <c r="U89" s="229">
        <v>-60</v>
      </c>
      <c r="V89" s="229">
        <v>-63</v>
      </c>
      <c r="W89" s="229">
        <v>-65</v>
      </c>
      <c r="X89" s="229">
        <v>-26</v>
      </c>
      <c r="Y89" s="229">
        <v>-27</v>
      </c>
      <c r="Z89" s="229">
        <v>-30</v>
      </c>
      <c r="AA89" s="229">
        <v>-30</v>
      </c>
      <c r="AB89" s="229">
        <v>-78</v>
      </c>
      <c r="AC89" s="229">
        <v>-108</v>
      </c>
    </row>
    <row r="90" spans="1:29" s="165" customFormat="1" ht="13.8">
      <c r="A90" s="598" t="s">
        <v>1435</v>
      </c>
      <c r="B90" s="57" t="s">
        <v>2019</v>
      </c>
      <c r="C90" s="57"/>
      <c r="D90" s="229"/>
      <c r="E90" s="229"/>
      <c r="F90" s="229"/>
      <c r="G90" s="229"/>
      <c r="H90" s="229"/>
      <c r="I90" s="229"/>
      <c r="J90" s="229"/>
      <c r="K90" s="229"/>
      <c r="L90" s="229"/>
      <c r="M90" s="229"/>
      <c r="N90" s="229"/>
      <c r="O90" s="229"/>
      <c r="P90" s="229"/>
      <c r="Q90" s="229"/>
      <c r="R90" s="229"/>
      <c r="S90" s="229"/>
      <c r="T90" s="229"/>
      <c r="U90" s="229"/>
      <c r="V90" s="229"/>
      <c r="W90" s="229"/>
      <c r="X90" s="229"/>
      <c r="Y90" s="229"/>
      <c r="Z90" s="229"/>
      <c r="AA90" s="229"/>
      <c r="AB90" s="229"/>
      <c r="AC90" s="229"/>
    </row>
    <row r="91" spans="1:29" s="165" customFormat="1" ht="13.8">
      <c r="A91" s="591" t="s">
        <v>1436</v>
      </c>
      <c r="B91" s="57" t="s">
        <v>2020</v>
      </c>
      <c r="C91" s="57"/>
      <c r="D91" s="229"/>
      <c r="E91" s="229"/>
      <c r="F91" s="229"/>
      <c r="G91" s="229"/>
      <c r="H91" s="229"/>
      <c r="I91" s="229"/>
      <c r="J91" s="229"/>
      <c r="K91" s="229"/>
      <c r="L91" s="229"/>
      <c r="M91" s="229"/>
      <c r="N91" s="229"/>
      <c r="O91" s="229"/>
      <c r="P91" s="229"/>
      <c r="Q91" s="229"/>
      <c r="R91" s="229">
        <v>-36</v>
      </c>
      <c r="S91" s="229">
        <v>-141</v>
      </c>
      <c r="T91" s="229"/>
      <c r="U91" s="229">
        <v>-149</v>
      </c>
      <c r="V91" s="229">
        <v>-554</v>
      </c>
      <c r="W91" s="229">
        <v>-968</v>
      </c>
      <c r="X91" s="229">
        <v>-97</v>
      </c>
      <c r="Y91" s="229">
        <v>-341</v>
      </c>
      <c r="Z91" s="229">
        <v>-414</v>
      </c>
      <c r="AA91" s="229">
        <v>-414</v>
      </c>
      <c r="AB91" s="229">
        <v>-17</v>
      </c>
      <c r="AC91" s="229">
        <v>-336</v>
      </c>
    </row>
    <row r="92" spans="1:29" s="165" customFormat="1" ht="13.8">
      <c r="A92" s="591" t="s">
        <v>1437</v>
      </c>
      <c r="B92" s="57" t="s">
        <v>2021</v>
      </c>
      <c r="C92" s="57"/>
      <c r="D92" s="229"/>
      <c r="E92" s="229"/>
      <c r="F92" s="229"/>
      <c r="G92" s="229"/>
      <c r="H92" s="229"/>
      <c r="I92" s="229"/>
      <c r="J92" s="229"/>
      <c r="K92" s="229"/>
      <c r="L92" s="229"/>
      <c r="M92" s="229"/>
      <c r="N92" s="229"/>
      <c r="O92" s="229"/>
      <c r="P92" s="229"/>
      <c r="Q92" s="229"/>
      <c r="R92" s="229"/>
      <c r="S92" s="229"/>
      <c r="T92" s="229"/>
      <c r="U92" s="229">
        <v>-10000</v>
      </c>
      <c r="V92" s="229"/>
      <c r="W92" s="229"/>
      <c r="X92" s="229"/>
      <c r="Y92" s="229"/>
      <c r="Z92" s="229"/>
      <c r="AA92" s="229"/>
      <c r="AB92" s="229">
        <v>0</v>
      </c>
      <c r="AC92" s="229">
        <v>0</v>
      </c>
    </row>
    <row r="93" spans="1:29" s="165" customFormat="1" ht="13.8">
      <c r="A93" s="591" t="s">
        <v>1438</v>
      </c>
      <c r="B93" s="57" t="s">
        <v>2022</v>
      </c>
      <c r="C93" s="57"/>
      <c r="D93" s="229"/>
      <c r="E93" s="229"/>
      <c r="F93" s="229"/>
      <c r="G93" s="229"/>
      <c r="H93" s="229"/>
      <c r="I93" s="229"/>
      <c r="J93" s="229"/>
      <c r="K93" s="229"/>
      <c r="L93" s="229"/>
      <c r="M93" s="229"/>
      <c r="N93" s="229"/>
      <c r="O93" s="229"/>
      <c r="P93" s="229"/>
      <c r="Q93" s="229"/>
      <c r="R93" s="229"/>
      <c r="S93" s="229"/>
      <c r="T93" s="229"/>
      <c r="U93" s="229"/>
      <c r="V93" s="229"/>
      <c r="W93" s="229"/>
      <c r="X93" s="229"/>
      <c r="Y93" s="229"/>
      <c r="Z93" s="229"/>
      <c r="AA93" s="229"/>
      <c r="AB93" s="229"/>
      <c r="AC93" s="229"/>
    </row>
    <row r="94" spans="1:29" s="165" customFormat="1" ht="13.8">
      <c r="A94" s="591" t="s">
        <v>1439</v>
      </c>
      <c r="B94" s="57" t="s">
        <v>2023</v>
      </c>
      <c r="C94" s="57"/>
      <c r="D94" s="229"/>
      <c r="E94" s="229"/>
      <c r="F94" s="229"/>
      <c r="G94" s="229"/>
      <c r="H94" s="229"/>
      <c r="I94" s="229"/>
      <c r="J94" s="229"/>
      <c r="K94" s="229"/>
      <c r="L94" s="229"/>
      <c r="M94" s="229"/>
      <c r="N94" s="229"/>
      <c r="O94" s="229"/>
      <c r="P94" s="229"/>
      <c r="Q94" s="229"/>
      <c r="R94" s="229"/>
      <c r="S94" s="229"/>
      <c r="T94" s="229"/>
      <c r="U94" s="229"/>
      <c r="V94" s="229"/>
      <c r="W94" s="229">
        <v>3803600</v>
      </c>
      <c r="X94" s="229"/>
      <c r="Y94" s="229"/>
      <c r="Z94" s="229"/>
      <c r="AA94" s="229">
        <v>4137534</v>
      </c>
      <c r="AB94" s="229"/>
      <c r="AC94" s="229"/>
    </row>
    <row r="95" spans="1:29" s="165" customFormat="1" ht="13.8">
      <c r="A95" s="591" t="s">
        <v>1440</v>
      </c>
      <c r="B95" s="57" t="s">
        <v>2024</v>
      </c>
      <c r="C95" s="57"/>
      <c r="D95" s="229"/>
      <c r="E95" s="229"/>
      <c r="F95" s="229"/>
      <c r="G95" s="229"/>
      <c r="H95" s="229"/>
      <c r="I95" s="229"/>
      <c r="J95" s="229">
        <v>-13000</v>
      </c>
      <c r="K95" s="229">
        <v>-511472</v>
      </c>
      <c r="L95" s="229">
        <v>-7034084</v>
      </c>
      <c r="M95" s="229">
        <v>-7034084</v>
      </c>
      <c r="N95" s="229">
        <v>-7057334</v>
      </c>
      <c r="O95" s="229">
        <v>-8578084</v>
      </c>
      <c r="P95" s="229">
        <v>-11100</v>
      </c>
      <c r="Q95" s="229">
        <v>-51200</v>
      </c>
      <c r="R95" s="229">
        <v>-361200</v>
      </c>
      <c r="S95" s="229">
        <v>-1159200</v>
      </c>
      <c r="T95" s="229"/>
      <c r="U95" s="229"/>
      <c r="V95" s="229">
        <v>-3749365</v>
      </c>
      <c r="W95" s="229">
        <v>-3992542</v>
      </c>
      <c r="X95" s="229">
        <v>-66768</v>
      </c>
      <c r="Y95" s="229">
        <v>-327103</v>
      </c>
      <c r="Z95" s="229">
        <v>-353074</v>
      </c>
      <c r="AA95" s="229">
        <v>-2688064</v>
      </c>
      <c r="AB95" s="229">
        <v>-516014</v>
      </c>
      <c r="AC95" s="229">
        <v>-1268114</v>
      </c>
    </row>
    <row r="96" spans="1:29" s="165" customFormat="1" ht="13.8">
      <c r="A96" s="591" t="s">
        <v>1441</v>
      </c>
      <c r="B96" s="57" t="s">
        <v>2025</v>
      </c>
      <c r="C96" s="57"/>
      <c r="D96" s="229"/>
      <c r="E96" s="229"/>
      <c r="F96" s="229"/>
      <c r="G96" s="229"/>
      <c r="H96" s="229"/>
      <c r="I96" s="229"/>
      <c r="J96" s="229">
        <v>750000</v>
      </c>
      <c r="K96" s="229">
        <v>750000</v>
      </c>
      <c r="L96" s="229"/>
      <c r="M96" s="229"/>
      <c r="N96" s="229"/>
      <c r="O96" s="229">
        <v>450883</v>
      </c>
      <c r="P96" s="229"/>
      <c r="Q96" s="229"/>
      <c r="R96" s="229"/>
      <c r="S96" s="229"/>
      <c r="T96" s="229"/>
      <c r="U96" s="229"/>
      <c r="V96" s="229"/>
      <c r="W96" s="229">
        <v>155600</v>
      </c>
      <c r="X96" s="229"/>
      <c r="Y96" s="229"/>
      <c r="Z96" s="229"/>
      <c r="AA96" s="229"/>
      <c r="AB96" s="229"/>
      <c r="AC96" s="229"/>
    </row>
    <row r="97" spans="1:29" s="165" customFormat="1" ht="13.8">
      <c r="A97" s="591" t="s">
        <v>1483</v>
      </c>
      <c r="B97" s="57" t="s">
        <v>2026</v>
      </c>
      <c r="C97" s="57"/>
      <c r="D97" s="229"/>
      <c r="E97" s="229"/>
      <c r="F97" s="229"/>
      <c r="G97" s="229"/>
      <c r="H97" s="229"/>
      <c r="I97" s="229"/>
      <c r="J97" s="229"/>
      <c r="K97" s="229">
        <v>-3818</v>
      </c>
      <c r="L97" s="229">
        <v>-107</v>
      </c>
      <c r="M97" s="229">
        <v>87959</v>
      </c>
      <c r="N97" s="229">
        <v>87959</v>
      </c>
      <c r="O97" s="229">
        <v>87959</v>
      </c>
      <c r="P97" s="229"/>
      <c r="Q97" s="229"/>
      <c r="R97" s="229"/>
      <c r="S97" s="229"/>
      <c r="T97" s="229">
        <v>320913</v>
      </c>
      <c r="U97" s="229">
        <v>320913</v>
      </c>
      <c r="V97" s="229">
        <v>320913</v>
      </c>
      <c r="W97" s="229">
        <v>320913</v>
      </c>
      <c r="X97" s="229"/>
      <c r="Y97" s="229"/>
      <c r="Z97" s="229"/>
      <c r="AA97" s="229"/>
      <c r="AB97" s="229"/>
      <c r="AC97" s="229"/>
    </row>
    <row r="98" spans="1:29" s="165" customFormat="1" ht="13.8">
      <c r="A98" s="591" t="s">
        <v>1443</v>
      </c>
      <c r="B98" s="57" t="s">
        <v>2028</v>
      </c>
      <c r="C98" s="57"/>
      <c r="D98" s="229"/>
      <c r="E98" s="229"/>
      <c r="F98" s="229"/>
      <c r="G98" s="229"/>
      <c r="H98" s="229"/>
      <c r="I98" s="229"/>
      <c r="J98" s="229"/>
      <c r="K98" s="229"/>
      <c r="L98" s="229"/>
      <c r="M98" s="229"/>
      <c r="N98" s="229"/>
      <c r="O98" s="229"/>
      <c r="P98" s="229"/>
      <c r="Q98" s="229"/>
      <c r="R98" s="229"/>
      <c r="S98" s="229"/>
      <c r="T98" s="229"/>
      <c r="U98" s="229"/>
      <c r="V98" s="229"/>
      <c r="W98" s="229"/>
      <c r="X98" s="229"/>
      <c r="Y98" s="229"/>
      <c r="Z98" s="229"/>
      <c r="AA98" s="229"/>
      <c r="AB98" s="229">
        <v>0</v>
      </c>
      <c r="AC98" s="229">
        <v>0</v>
      </c>
    </row>
    <row r="99" spans="1:29" s="165" customFormat="1" ht="13.8">
      <c r="A99" s="591" t="s">
        <v>1444</v>
      </c>
      <c r="B99" s="57" t="s">
        <v>2029</v>
      </c>
      <c r="C99" s="57"/>
      <c r="D99" s="229"/>
      <c r="E99" s="229"/>
      <c r="F99" s="229"/>
      <c r="G99" s="229"/>
      <c r="H99" s="229"/>
      <c r="I99" s="229"/>
      <c r="J99" s="229"/>
      <c r="K99" s="229"/>
      <c r="L99" s="229"/>
      <c r="M99" s="229"/>
      <c r="N99" s="229"/>
      <c r="O99" s="229"/>
      <c r="P99" s="229"/>
      <c r="Q99" s="229"/>
      <c r="R99" s="229"/>
      <c r="S99" s="229"/>
      <c r="T99" s="229"/>
      <c r="U99" s="229"/>
      <c r="V99" s="229"/>
      <c r="W99" s="229"/>
      <c r="X99" s="229"/>
      <c r="Y99" s="229"/>
      <c r="Z99" s="229"/>
      <c r="AA99" s="229"/>
      <c r="AB99" s="229"/>
      <c r="AC99" s="229"/>
    </row>
    <row r="100" spans="1:29" s="165" customFormat="1" ht="13.8">
      <c r="A100" s="591" t="s">
        <v>1445</v>
      </c>
      <c r="B100" s="57" t="s">
        <v>2027</v>
      </c>
      <c r="C100" s="57"/>
      <c r="D100" s="229"/>
      <c r="E100" s="229"/>
      <c r="F100" s="229"/>
      <c r="G100" s="229"/>
      <c r="H100" s="229"/>
      <c r="I100" s="229"/>
      <c r="J100" s="229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 s="229"/>
      <c r="W100" s="229">
        <v>-6869274</v>
      </c>
      <c r="X100" s="229"/>
      <c r="Y100" s="229"/>
      <c r="Z100" s="229"/>
      <c r="AA100" s="229"/>
      <c r="AB100" s="229"/>
      <c r="AC100" s="229"/>
    </row>
    <row r="101" spans="1:29" s="165" customFormat="1" ht="13.8">
      <c r="A101" s="591" t="s">
        <v>1446</v>
      </c>
      <c r="B101" s="57" t="s">
        <v>2030</v>
      </c>
      <c r="C101" s="57"/>
      <c r="D101" s="229"/>
      <c r="E101" s="229"/>
      <c r="F101" s="229"/>
      <c r="G101" s="229"/>
      <c r="H101" s="229"/>
      <c r="I101" s="229"/>
      <c r="J101" s="229"/>
      <c r="K101" s="229"/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W101" s="229"/>
      <c r="X101" s="229"/>
      <c r="Y101" s="229"/>
      <c r="Z101" s="229"/>
      <c r="AA101" s="229"/>
      <c r="AB101" s="229"/>
      <c r="AC101" s="229"/>
    </row>
    <row r="102" spans="1:29" s="165" customFormat="1" ht="13.8">
      <c r="A102" s="591" t="s">
        <v>1447</v>
      </c>
      <c r="B102" s="57" t="s">
        <v>2031</v>
      </c>
      <c r="C102" s="57"/>
      <c r="D102" s="229"/>
      <c r="E102" s="229"/>
      <c r="F102" s="229"/>
      <c r="G102" s="229"/>
      <c r="H102" s="229"/>
      <c r="I102" s="229"/>
      <c r="J102" s="229"/>
      <c r="K102" s="229"/>
      <c r="L102" s="229"/>
      <c r="M102" s="229"/>
      <c r="N102" s="229"/>
      <c r="O102" s="229"/>
      <c r="P102" s="229"/>
      <c r="Q102" s="229"/>
      <c r="R102" s="229"/>
      <c r="S102" s="229"/>
      <c r="T102" s="229"/>
      <c r="U102" s="229"/>
      <c r="V102" s="229"/>
      <c r="W102" s="229"/>
      <c r="X102" s="229"/>
      <c r="Y102" s="229"/>
      <c r="Z102" s="229"/>
      <c r="AA102" s="229"/>
      <c r="AB102" s="229"/>
      <c r="AC102" s="229"/>
    </row>
    <row r="103" spans="1:29" s="165" customFormat="1" ht="13.8">
      <c r="A103" s="591" t="s">
        <v>1448</v>
      </c>
      <c r="B103" s="57" t="s">
        <v>2032</v>
      </c>
      <c r="C103" s="57"/>
      <c r="D103" s="229"/>
      <c r="E103" s="229"/>
      <c r="F103" s="229"/>
      <c r="G103" s="229"/>
      <c r="H103" s="229"/>
      <c r="I103" s="229"/>
      <c r="J103" s="229"/>
      <c r="K103" s="229"/>
      <c r="L103" s="229"/>
      <c r="M103" s="229"/>
      <c r="N103" s="229"/>
      <c r="O103" s="229"/>
      <c r="P103" s="229"/>
      <c r="Q103" s="229"/>
      <c r="R103" s="229"/>
      <c r="S103" s="229"/>
      <c r="T103" s="229"/>
      <c r="U103" s="229"/>
      <c r="V103" s="229"/>
      <c r="W103" s="229"/>
      <c r="X103" s="229"/>
      <c r="Y103" s="229"/>
      <c r="Z103" s="229"/>
      <c r="AA103" s="229"/>
      <c r="AB103" s="229"/>
      <c r="AC103" s="229"/>
    </row>
    <row r="104" spans="1:29" s="165" customFormat="1" ht="13.8">
      <c r="A104" s="591" t="s">
        <v>1449</v>
      </c>
      <c r="B104" s="57" t="s">
        <v>2033</v>
      </c>
      <c r="C104" s="57"/>
      <c r="D104" s="229"/>
      <c r="E104" s="229"/>
      <c r="F104" s="229"/>
      <c r="G104" s="229"/>
      <c r="H104" s="229"/>
      <c r="I104" s="229"/>
      <c r="J104" s="229">
        <v>278421</v>
      </c>
      <c r="K104" s="229">
        <v>-1612281</v>
      </c>
      <c r="L104" s="229">
        <v>1808428</v>
      </c>
      <c r="M104" s="229">
        <v>2066849</v>
      </c>
      <c r="N104" s="229">
        <v>2139102</v>
      </c>
      <c r="O104" s="229">
        <v>2427048</v>
      </c>
      <c r="P104" s="229">
        <v>-218055</v>
      </c>
      <c r="Q104" s="229">
        <v>-56427</v>
      </c>
      <c r="R104" s="229">
        <v>-19822</v>
      </c>
      <c r="S104" s="229">
        <v>-1944738</v>
      </c>
      <c r="T104" s="229">
        <v>1244724</v>
      </c>
      <c r="U104" s="229">
        <v>634820</v>
      </c>
      <c r="V104" s="229">
        <v>1524707</v>
      </c>
      <c r="W104" s="229">
        <v>1717740</v>
      </c>
      <c r="X104" s="229">
        <v>-589134</v>
      </c>
      <c r="Y104" s="229">
        <v>-27504</v>
      </c>
      <c r="Z104" s="229">
        <v>-10111</v>
      </c>
      <c r="AA104" s="229">
        <v>-680695</v>
      </c>
      <c r="AB104" s="229">
        <v>913501</v>
      </c>
      <c r="AC104" s="229">
        <v>908401</v>
      </c>
    </row>
    <row r="105" spans="1:29" s="578" customFormat="1" thickBot="1">
      <c r="A105" s="596" t="s">
        <v>1450</v>
      </c>
      <c r="B105" s="596" t="s">
        <v>2038</v>
      </c>
      <c r="C105" s="596"/>
      <c r="D105" s="597">
        <f t="shared" ref="D105:Y105" si="6">SUM(D88:D104)</f>
        <v>0</v>
      </c>
      <c r="E105" s="597">
        <f t="shared" si="6"/>
        <v>0</v>
      </c>
      <c r="F105" s="597">
        <f t="shared" si="6"/>
        <v>0</v>
      </c>
      <c r="G105" s="597">
        <f t="shared" si="6"/>
        <v>0</v>
      </c>
      <c r="H105" s="597">
        <f t="shared" si="6"/>
        <v>0</v>
      </c>
      <c r="I105" s="597">
        <f t="shared" si="6"/>
        <v>0</v>
      </c>
      <c r="J105" s="597">
        <f t="shared" si="6"/>
        <v>1013175</v>
      </c>
      <c r="K105" s="597">
        <f t="shared" si="6"/>
        <v>-1379817</v>
      </c>
      <c r="L105" s="597">
        <f t="shared" si="6"/>
        <v>-5226771</v>
      </c>
      <c r="M105" s="597">
        <f t="shared" si="6"/>
        <v>-4880651</v>
      </c>
      <c r="N105" s="597">
        <f t="shared" si="6"/>
        <v>-4831670</v>
      </c>
      <c r="O105" s="597">
        <f t="shared" si="6"/>
        <v>-5615471</v>
      </c>
      <c r="P105" s="597">
        <f t="shared" si="6"/>
        <v>-229192</v>
      </c>
      <c r="Q105" s="597">
        <f t="shared" si="6"/>
        <v>-107779</v>
      </c>
      <c r="R105" s="597">
        <f t="shared" si="6"/>
        <v>-381187</v>
      </c>
      <c r="S105" s="597">
        <f t="shared" si="6"/>
        <v>-3104115</v>
      </c>
      <c r="T105" s="597">
        <f t="shared" si="6"/>
        <v>1565608</v>
      </c>
      <c r="U105" s="597">
        <f t="shared" si="6"/>
        <v>945524</v>
      </c>
      <c r="V105" s="597">
        <f t="shared" si="6"/>
        <v>-1904362</v>
      </c>
      <c r="W105" s="597">
        <f t="shared" si="6"/>
        <v>-4864996</v>
      </c>
      <c r="X105" s="597">
        <f t="shared" si="6"/>
        <v>-656025</v>
      </c>
      <c r="Y105" s="597">
        <f t="shared" si="6"/>
        <v>-354975</v>
      </c>
      <c r="Z105" s="597">
        <f t="shared" ref="Z105:AC105" si="7">SUM(Z88:Z104)</f>
        <v>-363629</v>
      </c>
      <c r="AA105" s="597">
        <f t="shared" si="7"/>
        <v>768331</v>
      </c>
      <c r="AB105" s="597">
        <f t="shared" si="7"/>
        <v>397392</v>
      </c>
      <c r="AC105" s="597">
        <f t="shared" si="7"/>
        <v>-360157</v>
      </c>
    </row>
    <row r="106" spans="1:29" s="165" customFormat="1" ht="13.8">
      <c r="A106" s="57"/>
      <c r="B106" s="57"/>
      <c r="C106" s="57"/>
      <c r="D106" s="229"/>
      <c r="E106" s="229"/>
      <c r="F106" s="229"/>
      <c r="G106" s="229"/>
      <c r="H106" s="229"/>
      <c r="I106" s="229"/>
      <c r="J106" s="229"/>
      <c r="K106" s="229"/>
      <c r="L106" s="229"/>
      <c r="M106" s="229"/>
      <c r="N106" s="229"/>
      <c r="O106" s="229"/>
      <c r="P106" s="229"/>
      <c r="Q106" s="229"/>
      <c r="R106" s="229"/>
      <c r="S106" s="229"/>
      <c r="T106" s="229"/>
      <c r="U106" s="229"/>
      <c r="V106" s="229"/>
      <c r="W106" s="229"/>
      <c r="X106" s="229"/>
      <c r="Y106" s="229"/>
      <c r="Z106" s="229"/>
      <c r="AA106" s="229"/>
      <c r="AB106" s="229"/>
      <c r="AC106" s="229"/>
    </row>
    <row r="107" spans="1:29" s="165" customFormat="1" ht="13.8">
      <c r="A107" s="134" t="s">
        <v>1451</v>
      </c>
      <c r="B107" s="589" t="s">
        <v>2039</v>
      </c>
      <c r="C107" s="57"/>
      <c r="D107" s="229"/>
      <c r="E107" s="229"/>
      <c r="F107" s="229"/>
      <c r="G107" s="229"/>
      <c r="H107" s="229"/>
      <c r="I107" s="229"/>
      <c r="J107" s="229"/>
      <c r="K107" s="229"/>
      <c r="L107" s="229"/>
      <c r="M107" s="229"/>
      <c r="N107" s="229"/>
      <c r="O107" s="229"/>
      <c r="P107" s="229"/>
      <c r="Q107" s="229"/>
      <c r="R107" s="229"/>
      <c r="S107" s="229"/>
      <c r="T107" s="229"/>
      <c r="U107" s="229"/>
      <c r="V107" s="229"/>
      <c r="W107" s="229"/>
      <c r="X107" s="229"/>
      <c r="Y107" s="229"/>
      <c r="Z107" s="229"/>
      <c r="AA107" s="229"/>
      <c r="AB107" s="229"/>
      <c r="AC107" s="229"/>
    </row>
    <row r="108" spans="1:29" s="165" customFormat="1" ht="13.8">
      <c r="A108" s="591" t="s">
        <v>1452</v>
      </c>
      <c r="B108" s="57" t="s">
        <v>2040</v>
      </c>
      <c r="C108" s="57"/>
      <c r="D108" s="229"/>
      <c r="E108" s="229"/>
      <c r="F108" s="229"/>
      <c r="G108" s="229"/>
      <c r="H108" s="229"/>
      <c r="I108" s="229"/>
      <c r="J108" s="229"/>
      <c r="K108" s="229"/>
      <c r="L108" s="229"/>
      <c r="M108" s="229"/>
      <c r="N108" s="229"/>
      <c r="O108" s="229"/>
      <c r="P108" s="229"/>
      <c r="Q108" s="229"/>
      <c r="R108" s="229"/>
      <c r="S108" s="229">
        <v>0</v>
      </c>
      <c r="T108" s="229"/>
      <c r="U108" s="229"/>
      <c r="V108" s="229"/>
      <c r="W108" s="229">
        <v>-2442787</v>
      </c>
      <c r="X108" s="229">
        <v>-1381845</v>
      </c>
      <c r="Y108" s="229">
        <v>-1381845</v>
      </c>
      <c r="Z108" s="229">
        <v>-1381845</v>
      </c>
      <c r="AA108" s="229">
        <v>-3157213</v>
      </c>
      <c r="AB108" s="229">
        <v>0</v>
      </c>
      <c r="AC108" s="229">
        <v>0</v>
      </c>
    </row>
    <row r="109" spans="1:29" s="165" customFormat="1" ht="13.8">
      <c r="A109" s="591" t="s">
        <v>1453</v>
      </c>
      <c r="B109" s="57" t="s">
        <v>2041</v>
      </c>
      <c r="C109" s="57"/>
      <c r="D109" s="229"/>
      <c r="E109" s="229"/>
      <c r="F109" s="229"/>
      <c r="G109" s="229"/>
      <c r="H109" s="229"/>
      <c r="I109" s="229"/>
      <c r="J109" s="229"/>
      <c r="K109" s="229">
        <v>1985400</v>
      </c>
      <c r="L109" s="229"/>
      <c r="M109" s="229"/>
      <c r="N109" s="229"/>
      <c r="O109" s="229">
        <v>500000</v>
      </c>
      <c r="P109" s="229"/>
      <c r="Q109" s="229"/>
      <c r="R109" s="229"/>
      <c r="S109" s="229">
        <v>1286782</v>
      </c>
      <c r="T109" s="229"/>
      <c r="U109" s="229"/>
      <c r="V109" s="229"/>
      <c r="W109" s="229">
        <v>5566992</v>
      </c>
      <c r="X109" s="229"/>
      <c r="Y109" s="229"/>
      <c r="Z109" s="229"/>
      <c r="AA109" s="229"/>
      <c r="AB109" s="229">
        <v>0</v>
      </c>
      <c r="AC109" s="229">
        <v>0</v>
      </c>
    </row>
    <row r="110" spans="1:29" s="165" customFormat="1" ht="13.8">
      <c r="A110" s="591" t="s">
        <v>1454</v>
      </c>
      <c r="B110" s="57" t="s">
        <v>2042</v>
      </c>
      <c r="C110" s="57"/>
      <c r="D110" s="229"/>
      <c r="E110" s="229"/>
      <c r="F110" s="229"/>
      <c r="G110" s="229"/>
      <c r="H110" s="229"/>
      <c r="I110" s="229"/>
      <c r="J110" s="229"/>
      <c r="K110" s="229"/>
      <c r="L110" s="229">
        <v>1987282</v>
      </c>
      <c r="M110" s="229">
        <v>1986868</v>
      </c>
      <c r="N110" s="229">
        <v>1986761</v>
      </c>
      <c r="O110" s="229">
        <v>1986761</v>
      </c>
      <c r="P110" s="229">
        <v>1578983</v>
      </c>
      <c r="Q110" s="229">
        <v>1578983</v>
      </c>
      <c r="R110" s="229">
        <v>1578983</v>
      </c>
      <c r="S110" s="229">
        <v>1578983</v>
      </c>
      <c r="T110" s="229"/>
      <c r="U110" s="229"/>
      <c r="V110" s="229"/>
      <c r="W110" s="229">
        <v>0</v>
      </c>
      <c r="X110" s="229">
        <v>1500000</v>
      </c>
      <c r="Y110" s="229">
        <v>1500000</v>
      </c>
      <c r="Z110" s="229">
        <v>1495162</v>
      </c>
      <c r="AA110" s="229">
        <v>1495161</v>
      </c>
      <c r="AB110" s="229">
        <v>0</v>
      </c>
      <c r="AC110" s="229">
        <v>0</v>
      </c>
    </row>
    <row r="111" spans="1:29" s="165" customFormat="1" ht="13.8">
      <c r="A111" s="591" t="s">
        <v>1455</v>
      </c>
      <c r="B111" s="57" t="s">
        <v>2043</v>
      </c>
      <c r="C111" s="57"/>
      <c r="D111" s="229"/>
      <c r="E111" s="229"/>
      <c r="F111" s="229"/>
      <c r="G111" s="229"/>
      <c r="H111" s="229"/>
      <c r="I111" s="229"/>
      <c r="J111" s="229"/>
      <c r="K111" s="229"/>
      <c r="L111" s="229"/>
      <c r="M111" s="229"/>
      <c r="N111" s="229"/>
      <c r="O111" s="229"/>
      <c r="P111" s="229"/>
      <c r="Q111" s="229"/>
      <c r="R111" s="229"/>
      <c r="S111" s="229">
        <v>-448400</v>
      </c>
      <c r="T111" s="229">
        <v>-2000000</v>
      </c>
      <c r="U111" s="229">
        <v>-2000000</v>
      </c>
      <c r="V111" s="229">
        <v>-2000000</v>
      </c>
      <c r="W111" s="229">
        <v>-3700000</v>
      </c>
      <c r="X111" s="229"/>
      <c r="Y111" s="229"/>
      <c r="Z111" s="229"/>
      <c r="AA111" s="229">
        <v>-300000</v>
      </c>
      <c r="AB111" s="229">
        <v>0</v>
      </c>
      <c r="AC111" s="229">
        <v>0</v>
      </c>
    </row>
    <row r="112" spans="1:29" s="4" customFormat="1" ht="13.8">
      <c r="A112" s="591" t="s">
        <v>1456</v>
      </c>
      <c r="B112" s="57" t="s">
        <v>2045</v>
      </c>
      <c r="C112" s="104"/>
      <c r="D112" s="138"/>
      <c r="E112" s="138"/>
      <c r="F112" s="138"/>
      <c r="G112" s="138"/>
      <c r="H112" s="138"/>
      <c r="I112" s="138"/>
      <c r="J112" s="138"/>
      <c r="K112" s="138"/>
      <c r="L112" s="138"/>
      <c r="M112" s="138"/>
      <c r="N112" s="138"/>
      <c r="O112" s="138"/>
      <c r="P112" s="138"/>
      <c r="Q112" s="138"/>
      <c r="R112" s="138"/>
      <c r="S112" s="138"/>
      <c r="T112" s="138"/>
      <c r="U112" s="138"/>
      <c r="V112" s="138"/>
      <c r="W112" s="138"/>
      <c r="X112" s="138"/>
      <c r="Y112" s="138"/>
      <c r="Z112" s="138"/>
      <c r="AA112" s="138"/>
      <c r="AB112" s="229"/>
      <c r="AC112" s="229"/>
    </row>
    <row r="113" spans="1:29" s="165" customFormat="1" ht="13.8">
      <c r="A113" s="591" t="s">
        <v>1457</v>
      </c>
      <c r="B113" s="57" t="s">
        <v>2044</v>
      </c>
      <c r="C113" s="57"/>
      <c r="D113" s="229"/>
      <c r="E113" s="229"/>
      <c r="F113" s="229"/>
      <c r="G113" s="229"/>
      <c r="H113" s="229"/>
      <c r="I113" s="229"/>
      <c r="J113" s="229">
        <v>-93</v>
      </c>
      <c r="K113" s="229">
        <v>-130</v>
      </c>
      <c r="L113" s="229"/>
      <c r="M113" s="229">
        <v>-36</v>
      </c>
      <c r="N113" s="229">
        <v>-36</v>
      </c>
      <c r="O113" s="229">
        <v>-36</v>
      </c>
      <c r="P113" s="229"/>
      <c r="Q113" s="229"/>
      <c r="R113" s="229"/>
      <c r="S113" s="229"/>
      <c r="T113" s="229"/>
      <c r="U113" s="229"/>
      <c r="V113" s="229"/>
      <c r="W113" s="229"/>
      <c r="X113" s="229"/>
      <c r="Y113" s="229"/>
      <c r="Z113" s="229"/>
      <c r="AA113" s="229"/>
      <c r="AB113" s="229">
        <v>0</v>
      </c>
      <c r="AC113" s="229">
        <v>0</v>
      </c>
    </row>
    <row r="114" spans="1:29" s="165" customFormat="1" ht="13.8">
      <c r="A114" s="591" t="s">
        <v>1458</v>
      </c>
      <c r="B114" s="57" t="s">
        <v>2045</v>
      </c>
      <c r="C114" s="57"/>
      <c r="D114" s="229"/>
      <c r="E114" s="229"/>
      <c r="F114" s="229"/>
      <c r="G114" s="229"/>
      <c r="H114" s="229"/>
      <c r="I114" s="229"/>
      <c r="J114" s="229"/>
      <c r="K114" s="229"/>
      <c r="L114" s="229"/>
      <c r="M114" s="229"/>
      <c r="N114" s="229"/>
      <c r="O114" s="229"/>
      <c r="P114" s="229"/>
      <c r="Q114" s="229"/>
      <c r="R114" s="229"/>
      <c r="S114" s="229"/>
      <c r="T114" s="229"/>
      <c r="U114" s="229"/>
      <c r="V114" s="229"/>
      <c r="W114" s="229"/>
      <c r="X114" s="229"/>
      <c r="Y114" s="229"/>
      <c r="Z114" s="229"/>
      <c r="AA114" s="229"/>
      <c r="AB114" s="229">
        <v>0</v>
      </c>
      <c r="AC114" s="229">
        <v>0</v>
      </c>
    </row>
    <row r="115" spans="1:29" s="165" customFormat="1" ht="13.8">
      <c r="A115" s="591" t="s">
        <v>1459</v>
      </c>
      <c r="B115" s="57" t="s">
        <v>2046</v>
      </c>
      <c r="C115" s="57"/>
      <c r="D115" s="229"/>
      <c r="E115" s="229"/>
      <c r="F115" s="229"/>
      <c r="G115" s="229"/>
      <c r="H115" s="229"/>
      <c r="I115" s="229"/>
      <c r="J115" s="229"/>
      <c r="K115" s="229"/>
      <c r="L115" s="229"/>
      <c r="M115" s="229"/>
      <c r="N115" s="229"/>
      <c r="O115" s="229"/>
      <c r="P115" s="229"/>
      <c r="Q115" s="229"/>
      <c r="R115" s="229"/>
      <c r="S115" s="229"/>
      <c r="T115" s="229"/>
      <c r="U115" s="229"/>
      <c r="V115" s="229"/>
      <c r="W115" s="229"/>
      <c r="X115" s="229"/>
      <c r="Y115" s="229"/>
      <c r="Z115" s="229"/>
      <c r="AA115" s="229"/>
      <c r="AB115" s="229">
        <v>0</v>
      </c>
      <c r="AC115" s="229">
        <v>0</v>
      </c>
    </row>
    <row r="116" spans="1:29" s="165" customFormat="1" ht="13.8">
      <c r="A116" s="591" t="s">
        <v>1460</v>
      </c>
      <c r="B116" s="57" t="s">
        <v>2047</v>
      </c>
      <c r="C116" s="57"/>
      <c r="D116" s="229"/>
      <c r="E116" s="229"/>
      <c r="F116" s="229"/>
      <c r="G116" s="229"/>
      <c r="H116" s="229"/>
      <c r="I116" s="229"/>
      <c r="J116" s="229">
        <v>-15165</v>
      </c>
      <c r="K116" s="229"/>
      <c r="L116" s="229"/>
      <c r="M116" s="229"/>
      <c r="N116" s="229"/>
      <c r="O116" s="229"/>
      <c r="P116" s="229"/>
      <c r="Q116" s="229">
        <v>25631</v>
      </c>
      <c r="R116" s="229">
        <v>44417</v>
      </c>
      <c r="S116" s="229">
        <v>44417</v>
      </c>
      <c r="T116" s="229"/>
      <c r="U116" s="229"/>
      <c r="V116" s="229"/>
      <c r="W116" s="229"/>
      <c r="X116" s="229"/>
      <c r="Y116" s="229"/>
      <c r="Z116" s="229"/>
      <c r="AA116" s="229"/>
      <c r="AB116" s="229"/>
      <c r="AC116" s="229"/>
    </row>
    <row r="117" spans="1:29" s="165" customFormat="1" ht="13.8">
      <c r="A117" s="599" t="s">
        <v>1461</v>
      </c>
      <c r="B117" s="57" t="s">
        <v>2048</v>
      </c>
      <c r="C117" s="57"/>
      <c r="D117" s="229"/>
      <c r="E117" s="229"/>
      <c r="F117" s="229"/>
      <c r="G117" s="229"/>
      <c r="H117" s="229"/>
      <c r="I117" s="229"/>
      <c r="J117" s="229">
        <v>551</v>
      </c>
      <c r="K117" s="229">
        <v>551</v>
      </c>
      <c r="L117" s="229">
        <v>2782283</v>
      </c>
      <c r="M117" s="229">
        <v>2782283</v>
      </c>
      <c r="N117" s="229">
        <v>2782283</v>
      </c>
      <c r="O117" s="229">
        <v>2782283</v>
      </c>
      <c r="P117" s="229"/>
      <c r="Q117" s="229">
        <v>11503</v>
      </c>
      <c r="R117" s="229">
        <v>396659</v>
      </c>
      <c r="S117" s="229">
        <v>429281</v>
      </c>
      <c r="T117" s="229">
        <v>387</v>
      </c>
      <c r="U117" s="229">
        <v>74251</v>
      </c>
      <c r="V117" s="229">
        <v>3047010</v>
      </c>
      <c r="W117" s="229">
        <v>3158158</v>
      </c>
      <c r="X117" s="229">
        <v>116762</v>
      </c>
      <c r="Y117" s="229">
        <v>129325</v>
      </c>
      <c r="Z117" s="229">
        <v>145978</v>
      </c>
      <c r="AA117" s="229">
        <v>202399</v>
      </c>
      <c r="AB117" s="229">
        <v>4756</v>
      </c>
      <c r="AC117" s="229">
        <v>7833</v>
      </c>
    </row>
    <row r="118" spans="1:29" s="165" customFormat="1" ht="13.8">
      <c r="A118" s="591" t="s">
        <v>1462</v>
      </c>
      <c r="B118" s="57" t="s">
        <v>2049</v>
      </c>
      <c r="C118" s="57"/>
      <c r="D118" s="229"/>
      <c r="E118" s="229"/>
      <c r="F118" s="229"/>
      <c r="G118" s="229"/>
      <c r="H118" s="229"/>
      <c r="I118" s="57"/>
      <c r="J118" s="229">
        <v>-75</v>
      </c>
      <c r="K118" s="229">
        <v>-707129</v>
      </c>
      <c r="L118" s="229"/>
      <c r="M118" s="229"/>
      <c r="N118" s="229"/>
      <c r="O118" s="229">
        <v>-704021</v>
      </c>
      <c r="P118" s="229"/>
      <c r="Q118" s="229">
        <v>-385133</v>
      </c>
      <c r="R118" s="229">
        <v>-385133</v>
      </c>
      <c r="S118" s="229">
        <v>-385133</v>
      </c>
      <c r="T118" s="229"/>
      <c r="U118" s="229">
        <v>-516169</v>
      </c>
      <c r="V118" s="229">
        <v>-516194</v>
      </c>
      <c r="W118" s="229">
        <v>-516194</v>
      </c>
      <c r="X118" s="229">
        <v>-102412</v>
      </c>
      <c r="Y118" s="229">
        <v>-962090</v>
      </c>
      <c r="Z118" s="229">
        <v>-962090</v>
      </c>
      <c r="AA118" s="229">
        <v>-819457</v>
      </c>
      <c r="AB118" s="229">
        <v>-91</v>
      </c>
      <c r="AC118" s="229">
        <v>-91</v>
      </c>
    </row>
    <row r="119" spans="1:29" s="165" customFormat="1" ht="13.8">
      <c r="A119" s="591" t="s">
        <v>1463</v>
      </c>
      <c r="B119" s="57" t="s">
        <v>2050</v>
      </c>
      <c r="C119" s="57"/>
      <c r="D119" s="229"/>
      <c r="E119" s="229"/>
      <c r="F119" s="229"/>
      <c r="G119" s="229"/>
      <c r="H119" s="229"/>
      <c r="I119" s="229"/>
      <c r="J119" s="229">
        <v>-610991</v>
      </c>
      <c r="K119" s="229">
        <v>-610991</v>
      </c>
      <c r="L119" s="229"/>
      <c r="M119" s="229"/>
      <c r="N119" s="229"/>
      <c r="O119" s="229"/>
      <c r="P119" s="229"/>
      <c r="Q119" s="229">
        <v>0</v>
      </c>
      <c r="R119" s="229"/>
      <c r="S119" s="229">
        <v>0</v>
      </c>
      <c r="T119" s="229"/>
      <c r="U119" s="229">
        <v>-29756</v>
      </c>
      <c r="V119" s="229">
        <v>-29756</v>
      </c>
      <c r="W119" s="229">
        <v>-57538</v>
      </c>
      <c r="X119" s="229"/>
      <c r="Y119" s="229">
        <v>-11571</v>
      </c>
      <c r="Z119" s="229">
        <v>-11572</v>
      </c>
      <c r="AA119" s="229">
        <v>-11572</v>
      </c>
      <c r="AB119" s="229">
        <v>-39424</v>
      </c>
      <c r="AC119" s="229">
        <v>-136344</v>
      </c>
    </row>
    <row r="120" spans="1:29" s="165" customFormat="1" ht="13.8">
      <c r="A120" s="591" t="s">
        <v>1464</v>
      </c>
      <c r="B120" s="57" t="s">
        <v>2051</v>
      </c>
      <c r="C120" s="57"/>
      <c r="D120" s="229"/>
      <c r="E120" s="229"/>
      <c r="F120" s="229"/>
      <c r="G120" s="229"/>
      <c r="H120" s="229"/>
      <c r="I120" s="229"/>
      <c r="J120" s="229"/>
      <c r="K120" s="229"/>
      <c r="L120" s="229"/>
      <c r="M120" s="229"/>
      <c r="N120" s="229"/>
      <c r="O120" s="229"/>
      <c r="P120" s="229"/>
      <c r="Q120" s="229">
        <v>367574</v>
      </c>
      <c r="R120" s="229">
        <v>17825</v>
      </c>
      <c r="S120" s="229">
        <v>989679</v>
      </c>
      <c r="T120" s="229"/>
      <c r="U120" s="229">
        <v>457272</v>
      </c>
      <c r="V120" s="229"/>
      <c r="W120" s="229"/>
      <c r="X120" s="229"/>
      <c r="Y120" s="229">
        <v>23543</v>
      </c>
      <c r="Z120" s="229">
        <v>23543</v>
      </c>
      <c r="AA120" s="229">
        <v>23543</v>
      </c>
      <c r="AB120" s="229"/>
      <c r="AC120" s="229">
        <v>25976</v>
      </c>
    </row>
    <row r="121" spans="1:29" s="165" customFormat="1" ht="13.8">
      <c r="A121" s="591" t="s">
        <v>2490</v>
      </c>
      <c r="B121" s="57"/>
      <c r="C121" s="57"/>
      <c r="D121" s="229"/>
      <c r="E121" s="229"/>
      <c r="F121" s="229"/>
      <c r="G121" s="229"/>
      <c r="H121" s="229"/>
      <c r="I121" s="229"/>
      <c r="J121" s="229"/>
      <c r="K121" s="229"/>
      <c r="L121" s="229"/>
      <c r="M121" s="229"/>
      <c r="N121" s="229"/>
      <c r="O121" s="229"/>
      <c r="P121" s="229"/>
      <c r="Q121" s="229"/>
      <c r="R121" s="229"/>
      <c r="S121" s="229"/>
      <c r="T121" s="229"/>
      <c r="U121" s="229"/>
      <c r="V121" s="229"/>
      <c r="W121" s="229"/>
      <c r="X121" s="229"/>
      <c r="Y121" s="229"/>
      <c r="Z121" s="229"/>
      <c r="AA121" s="229"/>
      <c r="AB121" s="229">
        <v>-172839</v>
      </c>
      <c r="AC121" s="229">
        <v>-172841</v>
      </c>
    </row>
    <row r="122" spans="1:29" s="165" customFormat="1" ht="13.8">
      <c r="A122" s="591" t="s">
        <v>1465</v>
      </c>
      <c r="B122" s="57" t="s">
        <v>2052</v>
      </c>
      <c r="C122" s="57"/>
      <c r="D122" s="229"/>
      <c r="E122" s="229"/>
      <c r="F122" s="229"/>
      <c r="G122" s="229"/>
      <c r="H122" s="229"/>
      <c r="I122" s="229"/>
      <c r="J122" s="229"/>
      <c r="K122" s="229"/>
      <c r="L122" s="229"/>
      <c r="M122" s="229"/>
      <c r="N122" s="229"/>
      <c r="O122" s="229">
        <v>7147</v>
      </c>
      <c r="P122" s="229"/>
      <c r="Q122" s="229"/>
      <c r="R122" s="229"/>
      <c r="S122" s="229"/>
      <c r="T122" s="229"/>
      <c r="U122" s="229"/>
      <c r="V122" s="229"/>
      <c r="W122" s="229"/>
      <c r="X122" s="229"/>
      <c r="Y122" s="229"/>
      <c r="Z122" s="229"/>
      <c r="AA122" s="229"/>
      <c r="AB122" s="229"/>
      <c r="AC122" s="229"/>
    </row>
    <row r="123" spans="1:29" s="578" customFormat="1" thickBot="1">
      <c r="A123" s="596" t="s">
        <v>1466</v>
      </c>
      <c r="B123" s="596"/>
      <c r="C123" s="596"/>
      <c r="D123" s="597">
        <f>SUM(D108:D120)</f>
        <v>0</v>
      </c>
      <c r="E123" s="597">
        <f>SUM(E108:E120)</f>
        <v>0</v>
      </c>
      <c r="F123" s="597">
        <f>SUM(F108:F120)</f>
        <v>0</v>
      </c>
      <c r="G123" s="597">
        <f>SUM(G108:G120)</f>
        <v>0</v>
      </c>
      <c r="H123" s="597">
        <f t="shared" ref="H123:N123" si="8">SUM(H108:H122)</f>
        <v>0</v>
      </c>
      <c r="I123" s="597">
        <f t="shared" si="8"/>
        <v>0</v>
      </c>
      <c r="J123" s="597">
        <f t="shared" si="8"/>
        <v>-625773</v>
      </c>
      <c r="K123" s="597">
        <f>SUM(K108:K122)</f>
        <v>667701</v>
      </c>
      <c r="L123" s="597">
        <f t="shared" si="8"/>
        <v>4769565</v>
      </c>
      <c r="M123" s="597">
        <f t="shared" si="8"/>
        <v>4769115</v>
      </c>
      <c r="N123" s="597">
        <f t="shared" si="8"/>
        <v>4769008</v>
      </c>
      <c r="O123" s="597">
        <f>SUM(O108:O122)</f>
        <v>4572134</v>
      </c>
      <c r="P123" s="597">
        <f t="shared" ref="P123:X123" si="9">SUM(P108:P122)</f>
        <v>1578983</v>
      </c>
      <c r="Q123" s="597">
        <f t="shared" si="9"/>
        <v>1598558</v>
      </c>
      <c r="R123" s="597">
        <f t="shared" si="9"/>
        <v>1652751</v>
      </c>
      <c r="S123" s="597">
        <f t="shared" si="9"/>
        <v>3495609</v>
      </c>
      <c r="T123" s="597">
        <f t="shared" si="9"/>
        <v>-1999613</v>
      </c>
      <c r="U123" s="597">
        <f t="shared" si="9"/>
        <v>-2014402</v>
      </c>
      <c r="V123" s="597">
        <f t="shared" si="9"/>
        <v>501060</v>
      </c>
      <c r="W123" s="597">
        <f t="shared" si="9"/>
        <v>2008631</v>
      </c>
      <c r="X123" s="597">
        <f t="shared" si="9"/>
        <v>132505</v>
      </c>
      <c r="Y123" s="597">
        <f>SUM(Y108:Y122)</f>
        <v>-702638</v>
      </c>
      <c r="Z123" s="597">
        <f>SUM(Z108:Z122)</f>
        <v>-690824</v>
      </c>
      <c r="AA123" s="597">
        <f>SUM(AA108:AA122)</f>
        <v>-2567139</v>
      </c>
      <c r="AB123" s="597">
        <f>SUM(AB108:AB122)</f>
        <v>-207598</v>
      </c>
      <c r="AC123" s="597">
        <f>SUM(AC108:AC122)</f>
        <v>-275467</v>
      </c>
    </row>
    <row r="124" spans="1:29" s="165" customFormat="1" ht="13.8">
      <c r="A124" s="57"/>
      <c r="B124" s="57"/>
      <c r="C124" s="57"/>
      <c r="D124" s="229"/>
      <c r="E124" s="229"/>
      <c r="F124" s="229"/>
      <c r="G124" s="229"/>
      <c r="H124" s="229"/>
      <c r="I124" s="229"/>
      <c r="J124" s="229"/>
      <c r="K124" s="229"/>
      <c r="L124" s="229"/>
      <c r="M124" s="229"/>
      <c r="N124" s="229"/>
      <c r="O124" s="229"/>
      <c r="P124" s="229"/>
      <c r="Q124" s="229"/>
      <c r="R124" s="229"/>
      <c r="S124" s="229"/>
      <c r="T124" s="229"/>
      <c r="U124" s="229"/>
      <c r="V124" s="229"/>
      <c r="W124" s="229"/>
      <c r="X124" s="229"/>
      <c r="Y124" s="229"/>
      <c r="Z124" s="229"/>
      <c r="AA124" s="229"/>
      <c r="AB124" s="229"/>
      <c r="AC124" s="229"/>
    </row>
    <row r="125" spans="1:29" s="578" customFormat="1" ht="13.8">
      <c r="A125" s="592" t="s">
        <v>1467</v>
      </c>
      <c r="B125" s="592" t="s">
        <v>2053</v>
      </c>
      <c r="C125" s="592"/>
      <c r="D125" s="593">
        <f t="shared" ref="D125:X125" si="10">+D86+D105+D123</f>
        <v>0</v>
      </c>
      <c r="E125" s="593">
        <f t="shared" si="10"/>
        <v>0</v>
      </c>
      <c r="F125" s="593">
        <f t="shared" si="10"/>
        <v>0</v>
      </c>
      <c r="G125" s="593">
        <f t="shared" si="10"/>
        <v>0</v>
      </c>
      <c r="H125" s="593">
        <f t="shared" si="10"/>
        <v>0</v>
      </c>
      <c r="I125" s="593">
        <f t="shared" si="10"/>
        <v>0</v>
      </c>
      <c r="J125" s="593">
        <f t="shared" si="10"/>
        <v>934972</v>
      </c>
      <c r="K125" s="593">
        <f>+K86+K105+K123</f>
        <v>375846</v>
      </c>
      <c r="L125" s="593">
        <f t="shared" si="10"/>
        <v>-539619</v>
      </c>
      <c r="M125" s="593">
        <f t="shared" si="10"/>
        <v>58297</v>
      </c>
      <c r="N125" s="593">
        <f t="shared" si="10"/>
        <v>-45291</v>
      </c>
      <c r="O125" s="593">
        <f t="shared" si="10"/>
        <v>-80662</v>
      </c>
      <c r="P125" s="593">
        <f t="shared" si="10"/>
        <v>1485372</v>
      </c>
      <c r="Q125" s="593">
        <f t="shared" si="10"/>
        <v>1392545</v>
      </c>
      <c r="R125" s="593">
        <f t="shared" si="10"/>
        <v>1245830</v>
      </c>
      <c r="S125" s="593">
        <f t="shared" si="10"/>
        <v>928309</v>
      </c>
      <c r="T125" s="593">
        <f t="shared" si="10"/>
        <v>-504426</v>
      </c>
      <c r="U125" s="593">
        <f t="shared" si="10"/>
        <v>-1379750</v>
      </c>
      <c r="V125" s="593">
        <f t="shared" si="10"/>
        <v>-1367380</v>
      </c>
      <c r="W125" s="593">
        <f t="shared" si="10"/>
        <v>-1381265</v>
      </c>
      <c r="X125" s="593">
        <f t="shared" si="10"/>
        <v>49238</v>
      </c>
      <c r="Y125" s="593">
        <f>+Y86+Y105+Y123</f>
        <v>-6336</v>
      </c>
      <c r="Z125" s="593">
        <f>+Z86+Z105+Z123</f>
        <v>18728</v>
      </c>
      <c r="AA125" s="593">
        <f>+AA86+AA105+AA123</f>
        <v>600801</v>
      </c>
      <c r="AB125" s="593">
        <f>+AB86+AB105+AB123</f>
        <v>101822</v>
      </c>
      <c r="AC125" s="593">
        <f>+AC86+AC105+AC123</f>
        <v>-18603</v>
      </c>
    </row>
    <row r="126" spans="1:29" s="165" customFormat="1" ht="13.8">
      <c r="A126" s="57"/>
      <c r="B126" s="57"/>
      <c r="C126" s="57"/>
      <c r="D126" s="229"/>
      <c r="E126" s="229"/>
      <c r="F126" s="229"/>
      <c r="G126" s="229"/>
      <c r="H126" s="229"/>
      <c r="I126" s="229"/>
      <c r="J126" s="229"/>
      <c r="K126" s="229"/>
      <c r="L126" s="229"/>
      <c r="M126" s="229"/>
      <c r="N126" s="229"/>
      <c r="O126" s="229"/>
      <c r="P126" s="229"/>
      <c r="Q126" s="229"/>
      <c r="R126" s="229"/>
      <c r="S126" s="229"/>
      <c r="T126" s="229"/>
      <c r="U126" s="229"/>
      <c r="V126" s="229"/>
      <c r="W126" s="229"/>
      <c r="X126" s="229"/>
      <c r="Y126" s="229"/>
      <c r="Z126" s="229"/>
      <c r="AA126" s="229"/>
      <c r="AB126" s="229"/>
      <c r="AC126" s="229"/>
    </row>
    <row r="127" spans="1:29" s="165" customFormat="1" ht="13.8">
      <c r="A127" s="600" t="s">
        <v>1468</v>
      </c>
      <c r="B127" s="57" t="s">
        <v>2054</v>
      </c>
      <c r="C127" s="57"/>
      <c r="D127" s="229"/>
      <c r="E127" s="229"/>
      <c r="F127" s="229"/>
      <c r="G127" s="229"/>
      <c r="H127" s="229"/>
      <c r="I127" s="229"/>
      <c r="J127" s="229">
        <v>165569</v>
      </c>
      <c r="K127" s="229">
        <v>165569</v>
      </c>
      <c r="L127" s="229">
        <v>541415</v>
      </c>
      <c r="M127" s="229">
        <v>541415</v>
      </c>
      <c r="N127" s="229">
        <v>541415</v>
      </c>
      <c r="O127" s="229">
        <v>541415</v>
      </c>
      <c r="P127" s="229">
        <v>460753</v>
      </c>
      <c r="Q127" s="229">
        <v>460753</v>
      </c>
      <c r="R127" s="229">
        <v>460753</v>
      </c>
      <c r="S127" s="229">
        <v>460753</v>
      </c>
      <c r="T127" s="229">
        <v>1389062</v>
      </c>
      <c r="U127" s="229">
        <v>1389062</v>
      </c>
      <c r="V127" s="229">
        <v>1389062</v>
      </c>
      <c r="W127" s="229">
        <v>1389062</v>
      </c>
      <c r="X127" s="229">
        <v>7797</v>
      </c>
      <c r="Y127" s="229">
        <v>7797</v>
      </c>
      <c r="Z127" s="229">
        <v>7797</v>
      </c>
      <c r="AA127" s="229">
        <v>7797</v>
      </c>
      <c r="AB127" s="229">
        <v>608598</v>
      </c>
      <c r="AC127" s="229">
        <v>608598</v>
      </c>
    </row>
    <row r="128" spans="1:29" s="165" customFormat="1" ht="13.8">
      <c r="A128" s="600" t="s">
        <v>1469</v>
      </c>
      <c r="B128" s="57" t="s">
        <v>2055</v>
      </c>
      <c r="C128" s="57"/>
      <c r="D128" s="229"/>
      <c r="E128" s="229"/>
      <c r="F128" s="229"/>
      <c r="G128" s="229"/>
      <c r="H128" s="229"/>
      <c r="I128" s="229"/>
      <c r="J128" s="229">
        <v>1100541</v>
      </c>
      <c r="K128" s="229">
        <v>541415</v>
      </c>
      <c r="L128" s="229">
        <v>1796</v>
      </c>
      <c r="M128" s="229">
        <v>599712</v>
      </c>
      <c r="N128" s="229">
        <v>496124</v>
      </c>
      <c r="O128" s="229">
        <v>460753</v>
      </c>
      <c r="P128" s="229">
        <v>1946125</v>
      </c>
      <c r="Q128" s="229">
        <v>1853298</v>
      </c>
      <c r="R128" s="229">
        <v>1706583</v>
      </c>
      <c r="S128" s="229">
        <v>1389062</v>
      </c>
      <c r="T128" s="229">
        <v>884636</v>
      </c>
      <c r="U128" s="229">
        <v>9312</v>
      </c>
      <c r="V128" s="229">
        <v>21682</v>
      </c>
      <c r="W128" s="229">
        <v>7797</v>
      </c>
      <c r="X128" s="229">
        <v>57035</v>
      </c>
      <c r="Y128" s="229">
        <v>1461</v>
      </c>
      <c r="Z128" s="229">
        <v>26525</v>
      </c>
      <c r="AA128" s="229">
        <v>608598</v>
      </c>
      <c r="AB128" s="229">
        <v>710420</v>
      </c>
      <c r="AC128" s="229">
        <v>589995</v>
      </c>
    </row>
    <row r="130" spans="1:29" s="578" customFormat="1" thickBot="1">
      <c r="A130" s="596" t="s">
        <v>1467</v>
      </c>
      <c r="B130" s="596" t="s">
        <v>2053</v>
      </c>
      <c r="C130" s="596"/>
      <c r="D130" s="597">
        <f t="shared" ref="D130:Y130" si="11">+D128-D127</f>
        <v>0</v>
      </c>
      <c r="E130" s="597">
        <f t="shared" si="11"/>
        <v>0</v>
      </c>
      <c r="F130" s="597">
        <f t="shared" si="11"/>
        <v>0</v>
      </c>
      <c r="G130" s="597">
        <f t="shared" si="11"/>
        <v>0</v>
      </c>
      <c r="H130" s="597">
        <f t="shared" si="11"/>
        <v>0</v>
      </c>
      <c r="I130" s="597">
        <f t="shared" si="11"/>
        <v>0</v>
      </c>
      <c r="J130" s="597">
        <f t="shared" si="11"/>
        <v>934972</v>
      </c>
      <c r="K130" s="597">
        <f>+K128-K127</f>
        <v>375846</v>
      </c>
      <c r="L130" s="597">
        <f t="shared" si="11"/>
        <v>-539619</v>
      </c>
      <c r="M130" s="597">
        <f t="shared" si="11"/>
        <v>58297</v>
      </c>
      <c r="N130" s="597">
        <f t="shared" si="11"/>
        <v>-45291</v>
      </c>
      <c r="O130" s="597">
        <f t="shared" si="11"/>
        <v>-80662</v>
      </c>
      <c r="P130" s="597">
        <f t="shared" si="11"/>
        <v>1485372</v>
      </c>
      <c r="Q130" s="597">
        <f t="shared" si="11"/>
        <v>1392545</v>
      </c>
      <c r="R130" s="597">
        <f t="shared" si="11"/>
        <v>1245830</v>
      </c>
      <c r="S130" s="597">
        <f t="shared" si="11"/>
        <v>928309</v>
      </c>
      <c r="T130" s="597">
        <f t="shared" si="11"/>
        <v>-504426</v>
      </c>
      <c r="U130" s="597">
        <f t="shared" si="11"/>
        <v>-1379750</v>
      </c>
      <c r="V130" s="597">
        <f t="shared" si="11"/>
        <v>-1367380</v>
      </c>
      <c r="W130" s="597">
        <f t="shared" si="11"/>
        <v>-1381265</v>
      </c>
      <c r="X130" s="597">
        <f t="shared" si="11"/>
        <v>49238</v>
      </c>
      <c r="Y130" s="597">
        <f t="shared" si="11"/>
        <v>-6336</v>
      </c>
      <c r="Z130" s="597">
        <f t="shared" ref="Z130:AC130" si="12">+Z128-Z127</f>
        <v>18728</v>
      </c>
      <c r="AA130" s="597">
        <f t="shared" si="12"/>
        <v>600801</v>
      </c>
      <c r="AB130" s="597">
        <f t="shared" si="12"/>
        <v>101822</v>
      </c>
      <c r="AC130" s="597">
        <f t="shared" si="12"/>
        <v>-18603</v>
      </c>
    </row>
  </sheetData>
  <phoneticPr fontId="30" type="noConversion"/>
  <hyperlinks>
    <hyperlink ref="B122" r:id="rId1" display="https://www.lawinsider.com/clause/advance-for-future-capital-increase-afac" xr:uid="{00000000-0004-0000-4F00-000000000000}"/>
  </hyperlinks>
  <pageMargins left="0.511811024" right="0.511811024" top="0.78740157499999996" bottom="0.78740157499999996" header="0.31496062000000002" footer="0.31496062000000002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12A52-564C-4D7F-B972-0687C907E6F9}">
  <sheetPr>
    <tabColor theme="9" tint="0.79998168889431442"/>
  </sheetPr>
  <dimension ref="A6:AC132"/>
  <sheetViews>
    <sheetView showGridLines="0" zoomScale="40" zoomScaleNormal="40" workbookViewId="0">
      <pane xSplit="1" ySplit="7" topLeftCell="U19" activePane="bottomRight" state="frozen"/>
      <selection pane="topRight" activeCell="B1" sqref="B1"/>
      <selection pane="bottomLeft" activeCell="A8" sqref="A8"/>
      <selection pane="bottomRight" activeCell="AK29" sqref="AK29"/>
    </sheetView>
  </sheetViews>
  <sheetFormatPr defaultColWidth="9.21875" defaultRowHeight="14.4" outlineLevelCol="1"/>
  <cols>
    <col min="1" max="1" width="70.77734375" style="35" bestFit="1" customWidth="1"/>
    <col min="2" max="2" width="75.88671875" style="35" bestFit="1" customWidth="1"/>
    <col min="3" max="3" width="0.5546875" style="35" customWidth="1"/>
    <col min="4" max="5" width="10.5546875" style="35" hidden="1" customWidth="1" outlineLevel="1"/>
    <col min="6" max="7" width="11.44140625" style="35" hidden="1" customWidth="1" outlineLevel="1"/>
    <col min="8" max="8" width="11.44140625" style="35" customWidth="1" collapsed="1"/>
    <col min="9" max="10" width="11.44140625" style="35" customWidth="1"/>
    <col min="11" max="29" width="11.44140625" style="35" bestFit="1" customWidth="1"/>
    <col min="30" max="16384" width="9.21875" style="35"/>
  </cols>
  <sheetData>
    <row r="6" spans="1:29">
      <c r="A6" s="38" t="s">
        <v>1484</v>
      </c>
      <c r="B6" s="38" t="s">
        <v>1484</v>
      </c>
      <c r="C6" s="348"/>
      <c r="D6" s="399"/>
      <c r="E6" s="399"/>
      <c r="F6" s="399"/>
      <c r="G6" s="399"/>
      <c r="H6" s="399"/>
      <c r="I6" s="399"/>
      <c r="J6" s="399"/>
      <c r="K6" s="601"/>
      <c r="L6" s="399"/>
      <c r="M6" s="399"/>
      <c r="N6" s="399"/>
      <c r="O6" s="399"/>
      <c r="P6" s="399"/>
      <c r="Q6" s="399"/>
      <c r="R6" s="399"/>
      <c r="S6" s="399"/>
      <c r="T6" s="399"/>
      <c r="U6" s="399"/>
      <c r="V6" s="399"/>
      <c r="W6" s="399"/>
      <c r="X6" s="399"/>
      <c r="Y6" s="399"/>
      <c r="Z6" s="399"/>
      <c r="AA6" s="399"/>
      <c r="AB6" s="399"/>
      <c r="AC6" s="399"/>
    </row>
    <row r="7" spans="1:29">
      <c r="A7" s="441" t="s">
        <v>1365</v>
      </c>
      <c r="B7" s="441" t="s">
        <v>1366</v>
      </c>
      <c r="C7" s="602"/>
      <c r="D7" s="603" t="s">
        <v>67</v>
      </c>
      <c r="E7" s="603" t="s">
        <v>68</v>
      </c>
      <c r="F7" s="603" t="s">
        <v>69</v>
      </c>
      <c r="G7" s="603" t="s">
        <v>70</v>
      </c>
      <c r="H7" s="603" t="s">
        <v>1367</v>
      </c>
      <c r="I7" s="603" t="s">
        <v>1368</v>
      </c>
      <c r="J7" s="603" t="s">
        <v>1369</v>
      </c>
      <c r="K7" s="604" t="s">
        <v>1370</v>
      </c>
      <c r="L7" s="603" t="s">
        <v>584</v>
      </c>
      <c r="M7" s="603" t="s">
        <v>585</v>
      </c>
      <c r="N7" s="603" t="s">
        <v>586</v>
      </c>
      <c r="O7" s="604" t="s">
        <v>1371</v>
      </c>
      <c r="P7" s="603" t="s">
        <v>587</v>
      </c>
      <c r="Q7" s="603" t="s">
        <v>588</v>
      </c>
      <c r="R7" s="603" t="s">
        <v>589</v>
      </c>
      <c r="S7" s="604" t="s">
        <v>1372</v>
      </c>
      <c r="T7" s="603" t="s">
        <v>590</v>
      </c>
      <c r="U7" s="603" t="s">
        <v>591</v>
      </c>
      <c r="V7" s="603" t="s">
        <v>592</v>
      </c>
      <c r="W7" s="604" t="s">
        <v>1373</v>
      </c>
      <c r="X7" s="603" t="s">
        <v>593</v>
      </c>
      <c r="Y7" s="603" t="s">
        <v>594</v>
      </c>
      <c r="Z7" s="603" t="s">
        <v>595</v>
      </c>
      <c r="AA7" s="604" t="s">
        <v>2151</v>
      </c>
      <c r="AB7" s="604" t="s">
        <v>2488</v>
      </c>
      <c r="AC7" s="604" t="s">
        <v>2497</v>
      </c>
    </row>
    <row r="8" spans="1:29" s="165" customFormat="1" ht="13.8">
      <c r="A8" s="134" t="s">
        <v>1374</v>
      </c>
      <c r="B8" s="134" t="s">
        <v>2034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229"/>
      <c r="U8" s="57"/>
      <c r="V8" s="57"/>
      <c r="W8" s="57"/>
      <c r="X8" s="57"/>
      <c r="Y8" s="57"/>
      <c r="Z8" s="57"/>
      <c r="AA8" s="57"/>
      <c r="AB8" s="57"/>
      <c r="AC8" s="57"/>
    </row>
    <row r="9" spans="1:29" s="578" customFormat="1" ht="13.8">
      <c r="A9" s="588" t="s">
        <v>776</v>
      </c>
      <c r="B9" s="589" t="s">
        <v>1375</v>
      </c>
      <c r="C9" s="589"/>
      <c r="D9" s="589"/>
      <c r="E9" s="589"/>
      <c r="F9" s="589"/>
      <c r="G9" s="589"/>
      <c r="H9" s="590"/>
      <c r="I9" s="590"/>
      <c r="J9" s="590">
        <v>2676045</v>
      </c>
      <c r="K9" s="590">
        <v>4302509</v>
      </c>
      <c r="L9" s="590">
        <v>678597</v>
      </c>
      <c r="M9" s="590">
        <v>566129</v>
      </c>
      <c r="N9" s="590">
        <v>1150649</v>
      </c>
      <c r="O9" s="590">
        <v>1922003</v>
      </c>
      <c r="P9" s="590">
        <v>287879</v>
      </c>
      <c r="Q9" s="590">
        <v>958529</v>
      </c>
      <c r="R9" s="590">
        <v>1886214</v>
      </c>
      <c r="S9" s="590">
        <v>2876284</v>
      </c>
      <c r="T9" s="590">
        <v>579432</v>
      </c>
      <c r="U9" s="590">
        <v>1274527</v>
      </c>
      <c r="V9" s="590">
        <v>2265001</v>
      </c>
      <c r="W9" s="590">
        <v>3767805</v>
      </c>
      <c r="X9" s="590">
        <v>706281</v>
      </c>
      <c r="Y9" s="590">
        <v>1995916</v>
      </c>
      <c r="Z9" s="590">
        <v>2605721</v>
      </c>
      <c r="AA9" s="590">
        <v>2033239</v>
      </c>
      <c r="AB9" s="590">
        <v>606756</v>
      </c>
      <c r="AC9" s="590">
        <v>1259763</v>
      </c>
    </row>
    <row r="10" spans="1:29" s="578" customFormat="1" ht="13.8">
      <c r="A10" s="588" t="s">
        <v>2358</v>
      </c>
      <c r="B10" s="589"/>
      <c r="C10" s="589"/>
      <c r="D10" s="589"/>
      <c r="E10" s="589"/>
      <c r="F10" s="589"/>
      <c r="G10" s="589"/>
      <c r="H10" s="590"/>
      <c r="I10" s="590"/>
      <c r="J10" s="590"/>
      <c r="K10" s="590"/>
      <c r="L10" s="590"/>
      <c r="M10" s="590"/>
      <c r="N10" s="590"/>
      <c r="O10" s="590"/>
      <c r="P10" s="590"/>
      <c r="Q10" s="590"/>
      <c r="R10" s="590"/>
      <c r="S10" s="590"/>
      <c r="T10" s="590"/>
      <c r="U10" s="590"/>
      <c r="V10" s="590"/>
      <c r="W10" s="590"/>
      <c r="X10" s="590"/>
      <c r="Y10" s="590"/>
      <c r="Z10" s="590"/>
      <c r="AA10" s="590">
        <v>470692</v>
      </c>
      <c r="AB10" s="590">
        <v>0</v>
      </c>
      <c r="AC10" s="590">
        <v>0</v>
      </c>
    </row>
    <row r="11" spans="1:29" s="165" customFormat="1" ht="13.8">
      <c r="A11" s="104" t="s">
        <v>1376</v>
      </c>
      <c r="B11" s="57" t="s">
        <v>1377</v>
      </c>
      <c r="C11" s="57"/>
      <c r="D11" s="57"/>
      <c r="E11" s="57"/>
      <c r="F11" s="57"/>
      <c r="G11" s="57"/>
      <c r="H11" s="229"/>
      <c r="I11" s="229"/>
      <c r="J11" s="229"/>
      <c r="K11" s="229"/>
      <c r="L11" s="229"/>
      <c r="M11" s="229"/>
      <c r="N11" s="229"/>
      <c r="O11" s="229"/>
      <c r="P11" s="229"/>
      <c r="Q11" s="229"/>
      <c r="R11" s="229"/>
      <c r="S11" s="229"/>
      <c r="T11" s="229"/>
      <c r="U11" s="229"/>
      <c r="V11" s="229"/>
      <c r="W11" s="229"/>
      <c r="X11" s="229"/>
      <c r="Y11" s="229"/>
      <c r="Z11" s="229"/>
      <c r="AA11" s="229"/>
      <c r="AB11" s="229"/>
      <c r="AC11" s="229"/>
    </row>
    <row r="12" spans="1:29" s="165" customFormat="1" ht="13.8">
      <c r="A12" s="591" t="s">
        <v>1378</v>
      </c>
      <c r="B12" s="57" t="s">
        <v>1379</v>
      </c>
      <c r="C12" s="57"/>
      <c r="D12" s="57"/>
      <c r="E12" s="57"/>
      <c r="F12" s="57"/>
      <c r="G12" s="57"/>
      <c r="H12" s="229"/>
      <c r="I12" s="229"/>
      <c r="J12" s="229">
        <v>518912</v>
      </c>
      <c r="K12" s="229">
        <v>783517</v>
      </c>
      <c r="L12" s="229">
        <v>255660</v>
      </c>
      <c r="M12" s="229">
        <v>567202</v>
      </c>
      <c r="N12" s="229">
        <v>866322</v>
      </c>
      <c r="O12" s="229">
        <v>1209716</v>
      </c>
      <c r="P12" s="229">
        <v>441090</v>
      </c>
      <c r="Q12" s="229">
        <v>873340</v>
      </c>
      <c r="R12" s="229">
        <v>1360999</v>
      </c>
      <c r="S12" s="229">
        <v>1873371</v>
      </c>
      <c r="T12" s="229">
        <v>512843</v>
      </c>
      <c r="U12" s="229">
        <v>1027970</v>
      </c>
      <c r="V12" s="229">
        <v>1567454</v>
      </c>
      <c r="W12" s="229">
        <v>2185353</v>
      </c>
      <c r="X12" s="229">
        <v>619318</v>
      </c>
      <c r="Y12" s="229">
        <v>1366462</v>
      </c>
      <c r="Z12" s="229">
        <v>1939611</v>
      </c>
      <c r="AA12" s="229">
        <v>2754796</v>
      </c>
      <c r="AB12" s="229">
        <v>749012</v>
      </c>
      <c r="AC12" s="229">
        <v>1580479</v>
      </c>
    </row>
    <row r="13" spans="1:29" s="165" customFormat="1" ht="13.8">
      <c r="A13" s="591" t="s">
        <v>710</v>
      </c>
      <c r="B13" s="57" t="s">
        <v>1380</v>
      </c>
      <c r="C13" s="57"/>
      <c r="D13" s="57"/>
      <c r="E13" s="57"/>
      <c r="F13" s="57"/>
      <c r="G13" s="57"/>
      <c r="H13" s="229"/>
      <c r="I13" s="229"/>
      <c r="J13" s="229">
        <v>112070</v>
      </c>
      <c r="K13" s="229">
        <v>170995</v>
      </c>
      <c r="L13" s="229">
        <v>66520</v>
      </c>
      <c r="M13" s="229">
        <v>228224</v>
      </c>
      <c r="N13" s="229">
        <v>372336</v>
      </c>
      <c r="O13" s="229">
        <v>515402</v>
      </c>
      <c r="P13" s="229">
        <v>150053</v>
      </c>
      <c r="Q13" s="229">
        <v>285778</v>
      </c>
      <c r="R13" s="229">
        <v>429605</v>
      </c>
      <c r="S13" s="229">
        <v>573436</v>
      </c>
      <c r="T13" s="229">
        <v>143827</v>
      </c>
      <c r="U13" s="229">
        <v>286498</v>
      </c>
      <c r="V13" s="229">
        <v>429166</v>
      </c>
      <c r="W13" s="229">
        <v>571837</v>
      </c>
      <c r="X13" s="229">
        <v>142668</v>
      </c>
      <c r="Y13" s="229">
        <v>285339</v>
      </c>
      <c r="Z13" s="229">
        <v>428007</v>
      </c>
      <c r="AA13" s="229">
        <v>383856</v>
      </c>
      <c r="AB13" s="229">
        <v>95498</v>
      </c>
      <c r="AC13" s="229">
        <v>208246</v>
      </c>
    </row>
    <row r="14" spans="1:29" s="165" customFormat="1" ht="13.8">
      <c r="A14" s="591" t="s">
        <v>1381</v>
      </c>
      <c r="B14" s="57" t="s">
        <v>1983</v>
      </c>
      <c r="C14" s="57"/>
      <c r="D14" s="57"/>
      <c r="E14" s="57"/>
      <c r="F14" s="57"/>
      <c r="G14" s="57"/>
      <c r="H14" s="229"/>
      <c r="I14" s="229"/>
      <c r="J14" s="229">
        <v>-47205</v>
      </c>
      <c r="K14" s="229">
        <v>-66976</v>
      </c>
      <c r="L14" s="229">
        <v>0</v>
      </c>
      <c r="M14" s="229">
        <v>0</v>
      </c>
      <c r="N14" s="229">
        <v>0</v>
      </c>
      <c r="O14" s="229">
        <v>0</v>
      </c>
      <c r="P14" s="229">
        <v>0</v>
      </c>
      <c r="Q14" s="229">
        <v>0</v>
      </c>
      <c r="R14" s="229">
        <v>0</v>
      </c>
      <c r="S14" s="229">
        <v>0</v>
      </c>
      <c r="T14" s="229">
        <v>0</v>
      </c>
      <c r="U14" s="229">
        <v>0</v>
      </c>
      <c r="V14" s="229">
        <v>-2230</v>
      </c>
      <c r="W14" s="229">
        <v>-264761</v>
      </c>
      <c r="X14" s="229">
        <v>-213691</v>
      </c>
      <c r="Y14" s="229">
        <v>-525148</v>
      </c>
      <c r="Z14" s="229">
        <v>-839697</v>
      </c>
      <c r="AA14" s="229">
        <v>-1259634</v>
      </c>
      <c r="AB14" s="229">
        <v>-253732</v>
      </c>
      <c r="AC14" s="229">
        <v>-483669</v>
      </c>
    </row>
    <row r="15" spans="1:29" s="165" customFormat="1" ht="13.8">
      <c r="A15" s="591" t="s">
        <v>1382</v>
      </c>
      <c r="B15" s="57" t="s">
        <v>1383</v>
      </c>
      <c r="C15" s="57"/>
      <c r="D15" s="57"/>
      <c r="E15" s="57"/>
      <c r="F15" s="57"/>
      <c r="G15" s="57"/>
      <c r="H15" s="229"/>
      <c r="I15" s="229"/>
      <c r="J15" s="229">
        <v>-1870</v>
      </c>
      <c r="K15" s="229">
        <v>91881</v>
      </c>
      <c r="L15" s="229">
        <v>-1702</v>
      </c>
      <c r="M15" s="229">
        <v>84184</v>
      </c>
      <c r="N15" s="229">
        <v>88377</v>
      </c>
      <c r="O15" s="229">
        <v>179371</v>
      </c>
      <c r="P15" s="229">
        <v>487588</v>
      </c>
      <c r="Q15" s="229">
        <v>117809</v>
      </c>
      <c r="R15" s="229">
        <v>139522</v>
      </c>
      <c r="S15" s="229">
        <v>180075</v>
      </c>
      <c r="T15" s="229">
        <v>58092</v>
      </c>
      <c r="U15" s="229">
        <v>49248</v>
      </c>
      <c r="V15" s="229">
        <v>72435</v>
      </c>
      <c r="W15" s="229">
        <v>226082</v>
      </c>
      <c r="X15" s="229">
        <v>20099</v>
      </c>
      <c r="Y15" s="229">
        <v>57436</v>
      </c>
      <c r="Z15" s="229">
        <v>231520</v>
      </c>
      <c r="AA15" s="229">
        <v>305268</v>
      </c>
      <c r="AB15" s="229">
        <v>47104</v>
      </c>
      <c r="AC15" s="229">
        <v>114081</v>
      </c>
    </row>
    <row r="16" spans="1:29" s="165" customFormat="1" ht="13.8">
      <c r="A16" s="591" t="s">
        <v>1384</v>
      </c>
      <c r="B16" s="57" t="s">
        <v>1982</v>
      </c>
      <c r="C16" s="57"/>
      <c r="D16" s="57"/>
      <c r="E16" s="57"/>
      <c r="F16" s="57"/>
      <c r="G16" s="57"/>
      <c r="H16" s="229"/>
      <c r="I16" s="229"/>
      <c r="J16" s="229">
        <v>-1466299</v>
      </c>
      <c r="K16" s="229">
        <v>-2301318</v>
      </c>
      <c r="L16" s="229">
        <v>-578894</v>
      </c>
      <c r="M16" s="229">
        <v>-1203384</v>
      </c>
      <c r="N16" s="229">
        <v>-1380471</v>
      </c>
      <c r="O16" s="229">
        <v>-1904649</v>
      </c>
      <c r="P16" s="229">
        <v>-427117</v>
      </c>
      <c r="Q16" s="229">
        <v>-951110</v>
      </c>
      <c r="R16" s="229">
        <v>-1650082</v>
      </c>
      <c r="S16" s="229">
        <v>-2241141</v>
      </c>
      <c r="T16" s="229">
        <v>-604296</v>
      </c>
      <c r="U16" s="229">
        <v>-1200717</v>
      </c>
      <c r="V16" s="229">
        <v>-1530181</v>
      </c>
      <c r="W16" s="229">
        <v>-2054170</v>
      </c>
      <c r="X16" s="229">
        <v>-674806</v>
      </c>
      <c r="Y16" s="229">
        <v>-1213589</v>
      </c>
      <c r="Z16" s="229">
        <v>-1595467</v>
      </c>
      <c r="AA16" s="229">
        <v>-689264</v>
      </c>
      <c r="AB16" s="229">
        <v>-348946</v>
      </c>
      <c r="AC16" s="229">
        <v>-648626</v>
      </c>
    </row>
    <row r="17" spans="1:29" s="4" customFormat="1" ht="13.8">
      <c r="A17" s="591" t="s">
        <v>1385</v>
      </c>
      <c r="B17" s="57" t="s">
        <v>1386</v>
      </c>
      <c r="C17" s="104"/>
      <c r="D17" s="104"/>
      <c r="E17" s="104"/>
      <c r="F17" s="104"/>
      <c r="G17" s="104"/>
      <c r="H17" s="138"/>
      <c r="I17" s="138"/>
      <c r="J17" s="138">
        <v>0</v>
      </c>
      <c r="K17" s="229">
        <v>0</v>
      </c>
      <c r="L17" s="229">
        <v>0</v>
      </c>
      <c r="M17" s="229">
        <v>0</v>
      </c>
      <c r="N17" s="229">
        <v>0</v>
      </c>
      <c r="O17" s="229">
        <v>0</v>
      </c>
      <c r="P17" s="229">
        <v>0</v>
      </c>
      <c r="Q17" s="229">
        <v>845</v>
      </c>
      <c r="R17" s="229">
        <v>0</v>
      </c>
      <c r="S17" s="229">
        <v>0</v>
      </c>
      <c r="T17" s="229">
        <v>0</v>
      </c>
      <c r="U17" s="229">
        <v>13872</v>
      </c>
      <c r="V17" s="229">
        <v>0</v>
      </c>
      <c r="W17" s="229">
        <v>0</v>
      </c>
      <c r="X17" s="229">
        <v>0</v>
      </c>
      <c r="Y17" s="229">
        <v>0</v>
      </c>
      <c r="Z17" s="229">
        <v>0</v>
      </c>
      <c r="AA17" s="229">
        <v>3547854</v>
      </c>
    </row>
    <row r="18" spans="1:29" s="165" customFormat="1" ht="13.8">
      <c r="A18" s="591" t="s">
        <v>1476</v>
      </c>
      <c r="B18" s="57" t="s">
        <v>1388</v>
      </c>
      <c r="C18" s="57"/>
      <c r="D18" s="57"/>
      <c r="E18" s="57"/>
      <c r="F18" s="57"/>
      <c r="G18" s="57"/>
      <c r="H18" s="229"/>
      <c r="I18" s="229"/>
      <c r="J18" s="229">
        <v>0</v>
      </c>
      <c r="K18" s="229">
        <v>0</v>
      </c>
      <c r="L18" s="229">
        <v>0</v>
      </c>
      <c r="M18" s="229">
        <v>0</v>
      </c>
      <c r="N18" s="229">
        <v>0</v>
      </c>
      <c r="O18" s="229">
        <v>0</v>
      </c>
      <c r="P18" s="229">
        <v>0</v>
      </c>
      <c r="Q18" s="229">
        <v>0</v>
      </c>
      <c r="R18" s="229">
        <v>0</v>
      </c>
      <c r="S18" s="229">
        <v>0</v>
      </c>
      <c r="T18" s="229">
        <v>0</v>
      </c>
      <c r="U18" s="229">
        <v>0</v>
      </c>
      <c r="V18" s="229">
        <v>0</v>
      </c>
      <c r="W18" s="229">
        <v>14701</v>
      </c>
      <c r="X18" s="229">
        <v>-980</v>
      </c>
      <c r="Y18" s="229">
        <v>1733</v>
      </c>
      <c r="Z18" s="229">
        <v>0</v>
      </c>
      <c r="AA18" s="229">
        <v>0</v>
      </c>
      <c r="AB18" s="229">
        <v>0</v>
      </c>
      <c r="AC18" s="229">
        <v>0</v>
      </c>
    </row>
    <row r="19" spans="1:29" s="165" customFormat="1" ht="13.8">
      <c r="A19" s="591" t="s">
        <v>1389</v>
      </c>
      <c r="B19" s="57" t="s">
        <v>1390</v>
      </c>
      <c r="C19" s="57"/>
      <c r="D19" s="57"/>
      <c r="E19" s="57"/>
      <c r="F19" s="57"/>
      <c r="G19" s="57"/>
      <c r="H19" s="229"/>
      <c r="I19" s="229"/>
      <c r="J19" s="229">
        <v>16201</v>
      </c>
      <c r="K19" s="229">
        <v>197741</v>
      </c>
      <c r="L19" s="229">
        <v>-11220</v>
      </c>
      <c r="M19" s="229">
        <v>-4880</v>
      </c>
      <c r="N19" s="229">
        <v>-62443</v>
      </c>
      <c r="O19" s="229">
        <v>-98418</v>
      </c>
      <c r="P19" s="229">
        <v>-29335</v>
      </c>
      <c r="Q19" s="229">
        <v>-59631</v>
      </c>
      <c r="R19" s="229">
        <v>-23285</v>
      </c>
      <c r="S19" s="229">
        <v>-171294</v>
      </c>
      <c r="T19" s="229">
        <v>-30323</v>
      </c>
      <c r="U19" s="229">
        <v>-95532</v>
      </c>
      <c r="V19" s="229">
        <v>-2682</v>
      </c>
      <c r="W19" s="229">
        <v>-3391</v>
      </c>
      <c r="X19" s="229">
        <v>0</v>
      </c>
      <c r="Y19" s="229">
        <v>0</v>
      </c>
      <c r="Z19" s="229">
        <v>0</v>
      </c>
      <c r="AA19" s="229">
        <v>0</v>
      </c>
      <c r="AB19" s="229"/>
      <c r="AC19" s="229"/>
    </row>
    <row r="20" spans="1:29" s="165" customFormat="1" ht="13.8">
      <c r="A20" s="591" t="s">
        <v>610</v>
      </c>
      <c r="B20" s="57" t="s">
        <v>1391</v>
      </c>
      <c r="C20" s="57"/>
      <c r="D20" s="57"/>
      <c r="E20" s="57"/>
      <c r="F20" s="57"/>
      <c r="G20" s="57"/>
      <c r="H20" s="229"/>
      <c r="I20" s="229"/>
      <c r="J20" s="229">
        <v>0</v>
      </c>
      <c r="K20" s="229">
        <v>0</v>
      </c>
      <c r="L20" s="229">
        <v>0</v>
      </c>
      <c r="M20" s="229">
        <v>0</v>
      </c>
      <c r="N20" s="229">
        <v>0</v>
      </c>
      <c r="O20" s="229">
        <v>0</v>
      </c>
      <c r="P20" s="229">
        <v>0</v>
      </c>
      <c r="Q20" s="229">
        <v>0</v>
      </c>
      <c r="R20" s="229">
        <v>0</v>
      </c>
      <c r="S20" s="229">
        <v>0</v>
      </c>
      <c r="T20" s="229">
        <v>0</v>
      </c>
      <c r="U20" s="229">
        <v>0</v>
      </c>
      <c r="V20" s="229">
        <v>0</v>
      </c>
      <c r="W20" s="229">
        <v>0</v>
      </c>
      <c r="X20" s="229">
        <v>0</v>
      </c>
      <c r="Y20" s="229">
        <v>0</v>
      </c>
      <c r="Z20" s="229">
        <v>0</v>
      </c>
      <c r="AA20" s="229">
        <v>0</v>
      </c>
      <c r="AB20" s="229">
        <v>0</v>
      </c>
      <c r="AC20" s="229">
        <v>0</v>
      </c>
    </row>
    <row r="21" spans="1:29" s="165" customFormat="1" ht="13.8">
      <c r="A21" s="591" t="s">
        <v>1392</v>
      </c>
      <c r="B21" s="57" t="s">
        <v>1393</v>
      </c>
      <c r="C21" s="57"/>
      <c r="D21" s="57"/>
      <c r="E21" s="57"/>
      <c r="F21" s="57"/>
      <c r="G21" s="57"/>
      <c r="H21" s="229"/>
      <c r="I21" s="229"/>
      <c r="J21" s="229">
        <v>1392979</v>
      </c>
      <c r="K21" s="229">
        <v>2065047</v>
      </c>
      <c r="L21" s="229">
        <v>54348</v>
      </c>
      <c r="M21" s="229">
        <v>1354184</v>
      </c>
      <c r="N21" s="229">
        <v>2112368</v>
      </c>
      <c r="O21" s="229">
        <v>2771189</v>
      </c>
      <c r="P21" s="229">
        <v>1265717</v>
      </c>
      <c r="Q21" s="229">
        <v>2296065</v>
      </c>
      <c r="R21" s="229">
        <v>3543360</v>
      </c>
      <c r="S21" s="229">
        <v>4463120</v>
      </c>
      <c r="T21" s="229">
        <v>1421151</v>
      </c>
      <c r="U21" s="229">
        <v>3122642</v>
      </c>
      <c r="V21" s="229">
        <v>4219620</v>
      </c>
      <c r="W21" s="229">
        <v>6710324</v>
      </c>
      <c r="X21" s="229">
        <v>1036557</v>
      </c>
      <c r="Y21" s="229">
        <v>2097253</v>
      </c>
      <c r="Z21" s="229">
        <v>3136705</v>
      </c>
      <c r="AA21" s="229">
        <v>4793395</v>
      </c>
      <c r="AB21" s="229">
        <v>1222116</v>
      </c>
      <c r="AC21" s="229">
        <v>2574693</v>
      </c>
    </row>
    <row r="22" spans="1:29" s="165" customFormat="1" ht="13.8">
      <c r="A22" s="591" t="s">
        <v>1394</v>
      </c>
      <c r="B22" s="57" t="s">
        <v>1395</v>
      </c>
      <c r="C22" s="57"/>
      <c r="D22" s="57"/>
      <c r="E22" s="57"/>
      <c r="F22" s="57"/>
      <c r="G22" s="57"/>
      <c r="H22" s="229"/>
      <c r="I22" s="229"/>
      <c r="J22" s="229">
        <v>-14091</v>
      </c>
      <c r="K22" s="229">
        <v>-61218</v>
      </c>
      <c r="L22" s="229">
        <v>579629</v>
      </c>
      <c r="M22" s="229">
        <v>443261</v>
      </c>
      <c r="N22" s="229">
        <v>441903</v>
      </c>
      <c r="O22" s="229">
        <v>619987</v>
      </c>
      <c r="P22" s="229">
        <v>180584</v>
      </c>
      <c r="Q22" s="229">
        <v>487689</v>
      </c>
      <c r="R22" s="229">
        <v>850985</v>
      </c>
      <c r="S22" s="229">
        <v>1110053</v>
      </c>
      <c r="T22" s="229">
        <v>29936</v>
      </c>
      <c r="U22" s="229">
        <v>-778510</v>
      </c>
      <c r="V22" s="229">
        <v>-387014</v>
      </c>
      <c r="W22" s="229">
        <v>-1173787</v>
      </c>
      <c r="X22" s="229">
        <v>638435</v>
      </c>
      <c r="Y22" s="229">
        <v>1275110</v>
      </c>
      <c r="Z22" s="229">
        <v>2153546</v>
      </c>
      <c r="AA22" s="229">
        <v>2052717</v>
      </c>
      <c r="AB22" s="229">
        <v>586595</v>
      </c>
      <c r="AC22" s="229">
        <v>1296591</v>
      </c>
    </row>
    <row r="23" spans="1:29" s="165" customFormat="1" ht="13.8">
      <c r="A23" s="591" t="s">
        <v>1485</v>
      </c>
      <c r="B23" s="57" t="s">
        <v>1397</v>
      </c>
      <c r="C23" s="57"/>
      <c r="D23" s="57"/>
      <c r="E23" s="57"/>
      <c r="F23" s="57"/>
      <c r="G23" s="57"/>
      <c r="H23" s="229"/>
      <c r="I23" s="229"/>
      <c r="J23" s="229">
        <v>-209990</v>
      </c>
      <c r="K23" s="229">
        <v>-388638</v>
      </c>
      <c r="L23" s="229">
        <v>-248149</v>
      </c>
      <c r="M23" s="229">
        <v>-517087</v>
      </c>
      <c r="N23" s="229">
        <v>-832689</v>
      </c>
      <c r="O23" s="229">
        <v>-1120112</v>
      </c>
      <c r="P23" s="229">
        <v>-305038</v>
      </c>
      <c r="Q23" s="229">
        <v>-547003</v>
      </c>
      <c r="R23" s="229">
        <v>-810310</v>
      </c>
      <c r="S23" s="229">
        <v>-1210334</v>
      </c>
      <c r="T23" s="229">
        <v>-281573</v>
      </c>
      <c r="U23" s="229">
        <v>-558956</v>
      </c>
      <c r="V23" s="229">
        <v>-855555</v>
      </c>
      <c r="W23" s="229">
        <v>-1193096</v>
      </c>
      <c r="X23" s="229">
        <v>-363820</v>
      </c>
      <c r="Y23" s="229">
        <v>-616581</v>
      </c>
      <c r="Z23" s="229">
        <v>-989667</v>
      </c>
      <c r="AA23" s="229">
        <v>-1243408</v>
      </c>
      <c r="AB23" s="229">
        <v>-226824</v>
      </c>
      <c r="AC23" s="229">
        <v>-394912</v>
      </c>
    </row>
    <row r="24" spans="1:29" s="165" customFormat="1" ht="13.8">
      <c r="A24" s="591" t="s">
        <v>1398</v>
      </c>
      <c r="B24" s="57" t="s">
        <v>1399</v>
      </c>
      <c r="C24" s="57"/>
      <c r="D24" s="57"/>
      <c r="E24" s="57"/>
      <c r="F24" s="57"/>
      <c r="G24" s="57"/>
      <c r="H24" s="229"/>
      <c r="I24" s="229"/>
      <c r="J24" s="229">
        <v>0</v>
      </c>
      <c r="K24" s="229">
        <v>0</v>
      </c>
      <c r="L24" s="229">
        <v>0</v>
      </c>
      <c r="M24" s="229">
        <v>0</v>
      </c>
      <c r="N24" s="229">
        <v>0</v>
      </c>
      <c r="O24" s="229">
        <v>0</v>
      </c>
      <c r="P24" s="229">
        <v>0</v>
      </c>
      <c r="Q24" s="229">
        <v>0</v>
      </c>
      <c r="R24" s="229">
        <v>0</v>
      </c>
      <c r="S24" s="229">
        <v>0</v>
      </c>
      <c r="T24" s="229">
        <v>0</v>
      </c>
      <c r="U24" s="229">
        <v>0</v>
      </c>
      <c r="V24" s="229">
        <v>0</v>
      </c>
      <c r="W24" s="229">
        <v>102463</v>
      </c>
      <c r="X24" s="229">
        <v>52246</v>
      </c>
      <c r="Y24" s="229">
        <v>89306</v>
      </c>
      <c r="Z24" s="229">
        <v>92508</v>
      </c>
      <c r="AA24" s="229">
        <v>91042</v>
      </c>
      <c r="AB24" s="229">
        <v>53349</v>
      </c>
      <c r="AC24" s="229">
        <v>116691</v>
      </c>
    </row>
    <row r="25" spans="1:29" s="165" customFormat="1" ht="13.8">
      <c r="A25" s="591" t="s">
        <v>1400</v>
      </c>
      <c r="B25" s="57" t="s">
        <v>1978</v>
      </c>
      <c r="C25" s="57"/>
      <c r="D25" s="57"/>
      <c r="E25" s="57"/>
      <c r="F25" s="57"/>
      <c r="G25" s="57"/>
      <c r="H25" s="229"/>
      <c r="I25" s="229"/>
      <c r="J25" s="229">
        <v>0</v>
      </c>
      <c r="K25" s="229">
        <v>40942</v>
      </c>
      <c r="L25" s="229">
        <v>0</v>
      </c>
      <c r="M25" s="229">
        <v>0</v>
      </c>
      <c r="N25" s="229">
        <v>0</v>
      </c>
      <c r="O25" s="229">
        <v>48704</v>
      </c>
      <c r="P25" s="229">
        <v>-84126</v>
      </c>
      <c r="Q25" s="229">
        <v>-115969</v>
      </c>
      <c r="R25" s="229">
        <v>-143180</v>
      </c>
      <c r="S25" s="229">
        <v>51115</v>
      </c>
      <c r="T25" s="229">
        <v>-19877</v>
      </c>
      <c r="U25" s="229">
        <v>-19445</v>
      </c>
      <c r="V25" s="229">
        <v>3211</v>
      </c>
      <c r="W25" s="229">
        <v>15182</v>
      </c>
      <c r="X25" s="229">
        <v>-31170</v>
      </c>
      <c r="Y25" s="229">
        <v>-22101</v>
      </c>
      <c r="Z25" s="229">
        <v>-36058</v>
      </c>
      <c r="AA25" s="229">
        <v>-99808</v>
      </c>
      <c r="AB25" s="229">
        <v>31566</v>
      </c>
      <c r="AC25" s="229">
        <v>61559</v>
      </c>
    </row>
    <row r="26" spans="1:29" s="165" customFormat="1" ht="13.8">
      <c r="A26" s="591" t="s">
        <v>1401</v>
      </c>
      <c r="B26" s="57" t="s">
        <v>1402</v>
      </c>
      <c r="C26" s="57"/>
      <c r="D26" s="57"/>
      <c r="E26" s="57"/>
      <c r="F26" s="57"/>
      <c r="G26" s="57"/>
      <c r="H26" s="229"/>
      <c r="I26" s="229"/>
      <c r="J26" s="229">
        <v>85545</v>
      </c>
      <c r="K26" s="229">
        <v>97962</v>
      </c>
      <c r="L26" s="229">
        <v>-3412</v>
      </c>
      <c r="M26" s="229">
        <v>2705</v>
      </c>
      <c r="N26" s="229">
        <v>5608</v>
      </c>
      <c r="O26" s="229">
        <v>205558</v>
      </c>
      <c r="P26" s="229">
        <v>-17332</v>
      </c>
      <c r="Q26" s="229">
        <v>-18698</v>
      </c>
      <c r="R26" s="229">
        <v>-25004</v>
      </c>
      <c r="S26" s="229">
        <v>-17275</v>
      </c>
      <c r="T26" s="229">
        <v>-14101</v>
      </c>
      <c r="U26" s="229">
        <v>-1670.9568700001109</v>
      </c>
      <c r="V26" s="229">
        <v>-9932</v>
      </c>
      <c r="W26" s="229">
        <v>23226</v>
      </c>
      <c r="X26" s="229">
        <v>506</v>
      </c>
      <c r="Y26" s="229">
        <v>18876</v>
      </c>
      <c r="Z26" s="229">
        <v>38676</v>
      </c>
      <c r="AA26" s="229">
        <v>46074</v>
      </c>
      <c r="AB26" s="229">
        <v>-907</v>
      </c>
      <c r="AC26" s="229">
        <v>14474</v>
      </c>
    </row>
    <row r="27" spans="1:29" s="4" customFormat="1" ht="13.8">
      <c r="A27" s="591" t="s">
        <v>1403</v>
      </c>
      <c r="B27" s="57" t="s">
        <v>2015</v>
      </c>
      <c r="C27" s="104"/>
      <c r="D27" s="104"/>
      <c r="E27" s="104"/>
      <c r="F27" s="104"/>
      <c r="G27" s="104"/>
      <c r="H27" s="138"/>
      <c r="I27" s="138"/>
      <c r="J27" s="138">
        <v>0</v>
      </c>
      <c r="K27" s="229">
        <v>0</v>
      </c>
      <c r="L27" s="229">
        <v>0</v>
      </c>
      <c r="M27" s="229">
        <v>0</v>
      </c>
      <c r="N27" s="229">
        <v>0</v>
      </c>
      <c r="O27" s="229">
        <v>0</v>
      </c>
      <c r="P27" s="229">
        <v>17972</v>
      </c>
      <c r="Q27" s="229">
        <v>0</v>
      </c>
      <c r="R27" s="229">
        <v>0</v>
      </c>
      <c r="S27" s="229">
        <v>0</v>
      </c>
      <c r="T27" s="229">
        <v>0</v>
      </c>
      <c r="U27" s="229">
        <v>0</v>
      </c>
      <c r="V27" s="229">
        <v>0</v>
      </c>
      <c r="W27" s="229">
        <v>0</v>
      </c>
      <c r="X27" s="229">
        <v>0</v>
      </c>
      <c r="Y27" s="229">
        <v>0</v>
      </c>
      <c r="Z27" s="229">
        <v>0</v>
      </c>
      <c r="AA27" s="229">
        <v>0</v>
      </c>
      <c r="AB27" s="229">
        <f>0</f>
        <v>0</v>
      </c>
      <c r="AC27" s="229">
        <f>0</f>
        <v>0</v>
      </c>
    </row>
    <row r="28" spans="1:29" s="165" customFormat="1" ht="13.8">
      <c r="A28" s="591" t="s">
        <v>1470</v>
      </c>
      <c r="B28" s="57" t="s">
        <v>1980</v>
      </c>
      <c r="C28" s="57"/>
      <c r="D28" s="57"/>
      <c r="E28" s="57"/>
      <c r="F28" s="57"/>
      <c r="G28" s="57"/>
      <c r="H28" s="229"/>
      <c r="I28" s="229"/>
      <c r="J28" s="229">
        <v>183098</v>
      </c>
      <c r="K28" s="229">
        <v>-32920</v>
      </c>
      <c r="L28" s="229">
        <v>125508</v>
      </c>
      <c r="M28" s="229">
        <v>207329</v>
      </c>
      <c r="N28" s="229">
        <v>291250</v>
      </c>
      <c r="O28" s="229">
        <v>264995</v>
      </c>
      <c r="P28" s="229">
        <v>131090</v>
      </c>
      <c r="Q28" s="229">
        <v>52809</v>
      </c>
      <c r="R28" s="229">
        <v>187669</v>
      </c>
      <c r="S28" s="229">
        <v>673050</v>
      </c>
      <c r="T28" s="229">
        <v>154843</v>
      </c>
      <c r="U28" s="229">
        <v>272239</v>
      </c>
      <c r="V28" s="229">
        <v>421735</v>
      </c>
      <c r="W28" s="229">
        <v>630522</v>
      </c>
      <c r="X28" s="229">
        <v>191539</v>
      </c>
      <c r="Y28" s="229">
        <v>390029</v>
      </c>
      <c r="Z28" s="229">
        <v>508978</v>
      </c>
      <c r="AA28" s="229">
        <v>739884</v>
      </c>
      <c r="AB28" s="229">
        <v>247032</v>
      </c>
      <c r="AC28" s="229">
        <v>431948</v>
      </c>
    </row>
    <row r="29" spans="1:29" s="165" customFormat="1" ht="13.8">
      <c r="A29" s="591" t="s">
        <v>1404</v>
      </c>
      <c r="B29" s="57" t="s">
        <v>1979</v>
      </c>
      <c r="C29" s="57"/>
      <c r="D29" s="57"/>
      <c r="E29" s="57"/>
      <c r="F29" s="57"/>
      <c r="G29" s="57"/>
      <c r="H29" s="229"/>
      <c r="I29" s="229"/>
      <c r="J29" s="229">
        <v>5186</v>
      </c>
      <c r="K29" s="229">
        <v>5915</v>
      </c>
      <c r="L29" s="229">
        <v>2077</v>
      </c>
      <c r="M29" s="229">
        <v>347</v>
      </c>
      <c r="N29" s="229">
        <v>4149</v>
      </c>
      <c r="O29" s="229">
        <v>1903</v>
      </c>
      <c r="P29" s="229">
        <v>1170</v>
      </c>
      <c r="Q29" s="229">
        <v>2342</v>
      </c>
      <c r="R29" s="229">
        <v>0</v>
      </c>
      <c r="S29" s="229">
        <v>-15264</v>
      </c>
      <c r="T29" s="229">
        <v>1392</v>
      </c>
      <c r="U29" s="229">
        <v>2314</v>
      </c>
      <c r="V29" s="229">
        <v>0</v>
      </c>
      <c r="W29" s="229">
        <v>-9031</v>
      </c>
      <c r="X29" s="229">
        <v>930</v>
      </c>
      <c r="Y29" s="229">
        <v>1877</v>
      </c>
      <c r="Z29" s="229">
        <v>45268</v>
      </c>
      <c r="AA29" s="229">
        <v>12214</v>
      </c>
      <c r="AB29" s="229">
        <v>-277</v>
      </c>
      <c r="AC29" s="229">
        <v>954</v>
      </c>
    </row>
    <row r="30" spans="1:29" s="165" customFormat="1" ht="13.8">
      <c r="A30" s="591" t="s">
        <v>720</v>
      </c>
      <c r="B30" s="57" t="s">
        <v>1981</v>
      </c>
      <c r="C30" s="57"/>
      <c r="D30" s="57"/>
      <c r="E30" s="57"/>
      <c r="F30" s="57"/>
      <c r="G30" s="57"/>
      <c r="H30" s="229"/>
      <c r="I30" s="229"/>
      <c r="J30" s="229">
        <v>0</v>
      </c>
      <c r="K30" s="229">
        <v>0</v>
      </c>
      <c r="L30" s="229">
        <v>0</v>
      </c>
      <c r="M30" s="229">
        <v>0</v>
      </c>
      <c r="N30" s="229">
        <v>0</v>
      </c>
      <c r="O30" s="229">
        <v>0</v>
      </c>
      <c r="P30" s="229">
        <v>0</v>
      </c>
      <c r="Q30" s="229">
        <v>84615</v>
      </c>
      <c r="R30" s="229">
        <v>113990</v>
      </c>
      <c r="S30" s="229">
        <v>-67222</v>
      </c>
      <c r="T30" s="229">
        <v>61779</v>
      </c>
      <c r="U30" s="229">
        <v>117940</v>
      </c>
      <c r="V30" s="229">
        <v>186426</v>
      </c>
      <c r="W30" s="229">
        <v>272550</v>
      </c>
      <c r="X30" s="229">
        <v>32518</v>
      </c>
      <c r="Y30" s="229">
        <v>49502</v>
      </c>
      <c r="Z30" s="229">
        <v>61215</v>
      </c>
      <c r="AA30" s="229">
        <v>65976</v>
      </c>
      <c r="AB30" s="229">
        <v>20137</v>
      </c>
      <c r="AC30" s="229">
        <v>46714</v>
      </c>
    </row>
    <row r="31" spans="1:29" s="165" customFormat="1" ht="13.8">
      <c r="A31" s="591" t="s">
        <v>1405</v>
      </c>
      <c r="B31" s="57" t="s">
        <v>1985</v>
      </c>
      <c r="C31" s="57"/>
      <c r="D31" s="57"/>
      <c r="E31" s="57"/>
      <c r="F31" s="57"/>
      <c r="G31" s="57"/>
      <c r="H31" s="229"/>
      <c r="I31" s="229"/>
      <c r="J31" s="229">
        <v>125702</v>
      </c>
      <c r="K31" s="229">
        <v>192842</v>
      </c>
      <c r="L31" s="229">
        <v>56072</v>
      </c>
      <c r="M31" s="229">
        <v>104268</v>
      </c>
      <c r="N31" s="229">
        <v>146268</v>
      </c>
      <c r="O31" s="229">
        <v>226013</v>
      </c>
      <c r="P31" s="229">
        <v>73131</v>
      </c>
      <c r="Q31" s="229">
        <v>155542</v>
      </c>
      <c r="R31" s="229">
        <v>245626</v>
      </c>
      <c r="S31" s="229">
        <v>343947</v>
      </c>
      <c r="T31" s="229">
        <v>83255</v>
      </c>
      <c r="U31" s="229">
        <v>-164348</v>
      </c>
      <c r="V31" s="229">
        <v>-259796</v>
      </c>
      <c r="W31" s="229">
        <v>-355487</v>
      </c>
      <c r="X31" s="229">
        <v>-85167</v>
      </c>
      <c r="Y31" s="229">
        <v>-180038</v>
      </c>
      <c r="Z31" s="229">
        <v>-276620</v>
      </c>
      <c r="AA31" s="229">
        <v>-373391</v>
      </c>
      <c r="AB31" s="229">
        <v>-88413</v>
      </c>
      <c r="AC31" s="229">
        <v>-190436</v>
      </c>
    </row>
    <row r="32" spans="1:29" s="165" customFormat="1" ht="13.8">
      <c r="A32" s="591" t="s">
        <v>1486</v>
      </c>
      <c r="B32" s="57" t="s">
        <v>1984</v>
      </c>
      <c r="C32" s="57"/>
      <c r="D32" s="57"/>
      <c r="E32" s="57"/>
      <c r="F32" s="57"/>
      <c r="G32" s="57"/>
      <c r="H32" s="229"/>
      <c r="I32" s="229"/>
      <c r="J32" s="229">
        <v>-84303</v>
      </c>
      <c r="K32" s="229">
        <v>-112865</v>
      </c>
      <c r="L32" s="229">
        <v>57398</v>
      </c>
      <c r="M32" s="229">
        <v>99214</v>
      </c>
      <c r="N32" s="229">
        <v>139407</v>
      </c>
      <c r="O32" s="229">
        <v>-211807</v>
      </c>
      <c r="P32" s="229">
        <v>148840</v>
      </c>
      <c r="Q32" s="229">
        <v>256710</v>
      </c>
      <c r="R32" s="229">
        <v>668836</v>
      </c>
      <c r="S32" s="229">
        <v>281746</v>
      </c>
      <c r="T32" s="229">
        <v>199622</v>
      </c>
      <c r="U32" s="229">
        <v>280394</v>
      </c>
      <c r="V32" s="229">
        <v>292974</v>
      </c>
      <c r="W32" s="229">
        <v>254212</v>
      </c>
      <c r="X32" s="229">
        <v>112085</v>
      </c>
      <c r="Y32" s="229">
        <v>-330449</v>
      </c>
      <c r="Z32" s="229">
        <v>-225431</v>
      </c>
      <c r="AA32" s="229">
        <v>66201</v>
      </c>
      <c r="AB32" s="229">
        <v>127868</v>
      </c>
      <c r="AC32" s="229">
        <v>320525</v>
      </c>
    </row>
    <row r="33" spans="1:29" s="165" customFormat="1" ht="13.8">
      <c r="A33" s="591" t="s">
        <v>1407</v>
      </c>
      <c r="B33" s="57" t="s">
        <v>1986</v>
      </c>
      <c r="C33" s="57"/>
      <c r="D33" s="57"/>
      <c r="E33" s="57"/>
      <c r="F33" s="57"/>
      <c r="G33" s="57"/>
      <c r="H33" s="229"/>
      <c r="I33" s="229"/>
      <c r="J33" s="229">
        <v>-2417789</v>
      </c>
      <c r="K33" s="229">
        <v>-3721889</v>
      </c>
      <c r="L33" s="229">
        <v>458044</v>
      </c>
      <c r="M33" s="229">
        <v>81470</v>
      </c>
      <c r="N33" s="229">
        <v>-301998</v>
      </c>
      <c r="O33" s="229">
        <v>-839910</v>
      </c>
      <c r="P33" s="229">
        <v>-351552</v>
      </c>
      <c r="Q33" s="229">
        <v>-777477</v>
      </c>
      <c r="R33" s="229">
        <v>-1043946</v>
      </c>
      <c r="S33" s="229">
        <v>-1127150</v>
      </c>
      <c r="T33" s="229">
        <v>-26519</v>
      </c>
      <c r="U33" s="229">
        <v>-434650</v>
      </c>
      <c r="V33" s="229">
        <v>-1369733</v>
      </c>
      <c r="W33" s="229">
        <v>-1330493</v>
      </c>
      <c r="X33" s="229">
        <v>-229272</v>
      </c>
      <c r="Y33" s="229">
        <v>-1085476</v>
      </c>
      <c r="Z33" s="229">
        <v>-2331502</v>
      </c>
      <c r="AA33" s="229">
        <v>-3285328</v>
      </c>
      <c r="AB33" s="229">
        <v>-272104</v>
      </c>
      <c r="AC33" s="229">
        <v>-1625658</v>
      </c>
    </row>
    <row r="34" spans="1:29" s="165" customFormat="1" ht="13.8">
      <c r="A34" s="591" t="s">
        <v>1478</v>
      </c>
      <c r="B34" s="57" t="s">
        <v>1987</v>
      </c>
      <c r="C34" s="57"/>
      <c r="D34" s="57"/>
      <c r="E34" s="57"/>
      <c r="F34" s="57"/>
      <c r="G34" s="57"/>
      <c r="H34" s="229"/>
      <c r="I34" s="229"/>
      <c r="J34" s="229">
        <v>96008</v>
      </c>
      <c r="K34" s="229">
        <v>94729</v>
      </c>
      <c r="L34" s="229">
        <v>0</v>
      </c>
      <c r="M34" s="229">
        <v>47075</v>
      </c>
      <c r="N34" s="229">
        <v>71545</v>
      </c>
      <c r="O34" s="229">
        <v>100906</v>
      </c>
      <c r="P34" s="229">
        <v>0</v>
      </c>
      <c r="Q34" s="229">
        <v>52666</v>
      </c>
      <c r="R34" s="229">
        <v>84484</v>
      </c>
      <c r="S34" s="229">
        <v>91004</v>
      </c>
      <c r="T34" s="229">
        <v>24641</v>
      </c>
      <c r="U34" s="229">
        <v>46018</v>
      </c>
      <c r="V34" s="229">
        <v>-185731</v>
      </c>
      <c r="W34" s="229">
        <v>-180146</v>
      </c>
      <c r="X34" s="229">
        <v>9047</v>
      </c>
      <c r="Y34" s="229">
        <v>14585</v>
      </c>
      <c r="Z34" s="229">
        <v>21617</v>
      </c>
      <c r="AA34" s="229">
        <v>10064</v>
      </c>
      <c r="AB34" s="229">
        <v>-7928</v>
      </c>
      <c r="AC34" s="229">
        <v>-11259</v>
      </c>
    </row>
    <row r="35" spans="1:29" s="165" customFormat="1" ht="13.8">
      <c r="A35" s="591" t="s">
        <v>1472</v>
      </c>
      <c r="B35" s="57" t="s">
        <v>775</v>
      </c>
      <c r="C35" s="57"/>
      <c r="D35" s="57"/>
      <c r="E35" s="57"/>
      <c r="F35" s="57"/>
      <c r="G35" s="57"/>
      <c r="H35" s="229"/>
      <c r="I35" s="229"/>
      <c r="J35" s="229">
        <v>-915468</v>
      </c>
      <c r="K35" s="229">
        <v>-489173</v>
      </c>
      <c r="L35" s="229">
        <v>13439</v>
      </c>
      <c r="M35" s="229">
        <v>127842</v>
      </c>
      <c r="N35" s="229">
        <v>122017</v>
      </c>
      <c r="O35" s="229">
        <v>165075</v>
      </c>
      <c r="P35" s="229">
        <v>-71237</v>
      </c>
      <c r="Q35" s="229">
        <v>-246440</v>
      </c>
      <c r="R35" s="229">
        <v>-137540</v>
      </c>
      <c r="S35" s="229">
        <v>-89852</v>
      </c>
      <c r="T35" s="229">
        <v>21737</v>
      </c>
      <c r="U35" s="229">
        <v>187950</v>
      </c>
      <c r="V35" s="229">
        <v>332719</v>
      </c>
      <c r="W35" s="229">
        <v>-80473</v>
      </c>
      <c r="X35" s="229">
        <v>99765</v>
      </c>
      <c r="Y35" s="229">
        <v>104234</v>
      </c>
      <c r="Z35" s="229">
        <v>77232</v>
      </c>
      <c r="AA35" s="229">
        <v>-352222</v>
      </c>
      <c r="AB35" s="229">
        <v>61733</v>
      </c>
      <c r="AC35" s="229">
        <v>150246</v>
      </c>
    </row>
    <row r="36" spans="1:29" s="165" customFormat="1" ht="13.8">
      <c r="A36" s="591" t="s">
        <v>1487</v>
      </c>
      <c r="B36" s="57" t="s">
        <v>1988</v>
      </c>
      <c r="C36" s="57"/>
      <c r="D36" s="57"/>
      <c r="E36" s="57"/>
      <c r="F36" s="57"/>
      <c r="G36" s="57"/>
      <c r="H36" s="229"/>
      <c r="I36" s="229"/>
      <c r="J36" s="229">
        <v>315768</v>
      </c>
      <c r="K36" s="229">
        <v>356098</v>
      </c>
      <c r="L36" s="229">
        <v>217028</v>
      </c>
      <c r="M36" s="229">
        <v>290072</v>
      </c>
      <c r="N36" s="229">
        <v>496257</v>
      </c>
      <c r="O36" s="229">
        <v>605659</v>
      </c>
      <c r="P36" s="229">
        <v>156696</v>
      </c>
      <c r="Q36" s="229">
        <v>365202</v>
      </c>
      <c r="R36" s="229">
        <v>541842</v>
      </c>
      <c r="S36" s="229">
        <v>248357</v>
      </c>
      <c r="T36" s="229">
        <v>110283</v>
      </c>
      <c r="U36" s="229">
        <v>243479</v>
      </c>
      <c r="V36" s="229">
        <v>459970</v>
      </c>
      <c r="W36" s="229">
        <v>208333</v>
      </c>
      <c r="X36" s="229">
        <v>138839</v>
      </c>
      <c r="Y36" s="229">
        <v>385587</v>
      </c>
      <c r="Z36" s="229">
        <v>620900</v>
      </c>
      <c r="AA36" s="229">
        <v>773987</v>
      </c>
      <c r="AB36" s="229">
        <v>152161</v>
      </c>
      <c r="AC36" s="229">
        <v>255469</v>
      </c>
    </row>
    <row r="37" spans="1:29" s="165" customFormat="1" ht="13.8">
      <c r="A37" s="591" t="s">
        <v>1488</v>
      </c>
      <c r="B37" s="57" t="s">
        <v>1989</v>
      </c>
      <c r="C37" s="57"/>
      <c r="D37" s="57"/>
      <c r="E37" s="57"/>
      <c r="F37" s="57"/>
      <c r="G37" s="57"/>
      <c r="H37" s="229"/>
      <c r="I37" s="229"/>
      <c r="J37" s="229">
        <v>38954</v>
      </c>
      <c r="K37" s="229">
        <v>50085</v>
      </c>
      <c r="L37" s="229">
        <v>8664</v>
      </c>
      <c r="M37" s="229">
        <v>19465</v>
      </c>
      <c r="N37" s="229">
        <v>30884</v>
      </c>
      <c r="O37" s="229">
        <v>41767</v>
      </c>
      <c r="P37" s="229">
        <v>11126</v>
      </c>
      <c r="Q37" s="229">
        <v>18560</v>
      </c>
      <c r="R37" s="229">
        <v>47552</v>
      </c>
      <c r="S37" s="229">
        <v>67282</v>
      </c>
      <c r="T37" s="229">
        <v>5310</v>
      </c>
      <c r="U37" s="229">
        <v>3293</v>
      </c>
      <c r="V37" s="229">
        <v>15677</v>
      </c>
      <c r="W37" s="229">
        <v>14352</v>
      </c>
      <c r="X37" s="229">
        <v>5727</v>
      </c>
      <c r="Y37" s="229">
        <v>24847</v>
      </c>
      <c r="Z37" s="229">
        <v>47340</v>
      </c>
      <c r="AA37" s="229">
        <v>86248</v>
      </c>
      <c r="AB37" s="229">
        <v>41760</v>
      </c>
      <c r="AC37" s="229">
        <v>78838</v>
      </c>
    </row>
    <row r="38" spans="1:29" s="165" customFormat="1" ht="13.8">
      <c r="A38" s="591" t="s">
        <v>1411</v>
      </c>
      <c r="B38" s="57" t="s">
        <v>1990</v>
      </c>
      <c r="C38" s="57"/>
      <c r="D38" s="57"/>
      <c r="E38" s="57"/>
      <c r="F38" s="57"/>
      <c r="G38" s="57"/>
      <c r="H38" s="229"/>
      <c r="I38" s="229"/>
      <c r="J38" s="229">
        <v>0</v>
      </c>
      <c r="K38" s="229">
        <v>-413131</v>
      </c>
      <c r="L38" s="229">
        <v>-39247</v>
      </c>
      <c r="M38" s="229">
        <v>-79039</v>
      </c>
      <c r="N38" s="229">
        <v>-118326</v>
      </c>
      <c r="O38" s="229">
        <v>-172182</v>
      </c>
      <c r="P38" s="229">
        <v>295682</v>
      </c>
      <c r="Q38" s="229">
        <v>347782</v>
      </c>
      <c r="R38" s="229"/>
      <c r="S38" s="229"/>
      <c r="T38" s="229"/>
      <c r="U38" s="229">
        <v>30607</v>
      </c>
      <c r="V38" s="229"/>
      <c r="W38" s="229"/>
      <c r="X38" s="229"/>
      <c r="Y38" s="229">
        <v>0</v>
      </c>
      <c r="Z38" s="229">
        <v>0</v>
      </c>
      <c r="AA38" s="229">
        <v>0</v>
      </c>
      <c r="AB38" s="229">
        <v>0</v>
      </c>
      <c r="AC38" s="229"/>
    </row>
    <row r="39" spans="1:29" s="165" customFormat="1" ht="13.8">
      <c r="A39" s="591" t="s">
        <v>1127</v>
      </c>
      <c r="B39" s="57" t="s">
        <v>1991</v>
      </c>
      <c r="C39" s="57"/>
      <c r="D39" s="57"/>
      <c r="E39" s="57"/>
      <c r="F39" s="57"/>
      <c r="G39" s="57"/>
      <c r="H39" s="229"/>
      <c r="I39" s="229"/>
      <c r="J39" s="229">
        <v>0</v>
      </c>
      <c r="K39" s="229">
        <v>-14875</v>
      </c>
      <c r="L39" s="229">
        <v>5057</v>
      </c>
      <c r="M39" s="229">
        <v>197892</v>
      </c>
      <c r="N39" s="229">
        <v>256771</v>
      </c>
      <c r="O39" s="229">
        <v>264330</v>
      </c>
      <c r="P39" s="229">
        <v>-2581</v>
      </c>
      <c r="Q39" s="229">
        <v>-3870</v>
      </c>
      <c r="R39" s="229">
        <v>-86463</v>
      </c>
      <c r="S39" s="229">
        <v>-40472</v>
      </c>
      <c r="T39" s="229">
        <v>-2347</v>
      </c>
      <c r="U39" s="229">
        <v>-81441</v>
      </c>
      <c r="V39" s="229">
        <v>-16724</v>
      </c>
      <c r="W39" s="229">
        <v>62540</v>
      </c>
      <c r="X39" s="229">
        <v>-37196</v>
      </c>
      <c r="Y39" s="229">
        <v>-9113</v>
      </c>
      <c r="Z39" s="229">
        <v>-13508</v>
      </c>
      <c r="AA39" s="229">
        <v>-70767</v>
      </c>
      <c r="AB39" s="229">
        <v>-3129</v>
      </c>
      <c r="AC39" s="229">
        <v>181147</v>
      </c>
    </row>
    <row r="40" spans="1:29" s="165" customFormat="1" ht="13.8">
      <c r="A40" s="591" t="s">
        <v>1412</v>
      </c>
      <c r="B40" s="57" t="s">
        <v>1992</v>
      </c>
      <c r="C40" s="57"/>
      <c r="D40" s="57"/>
      <c r="E40" s="57"/>
      <c r="F40" s="57"/>
      <c r="G40" s="57"/>
      <c r="H40" s="229"/>
      <c r="I40" s="229"/>
      <c r="J40" s="229">
        <v>0</v>
      </c>
      <c r="K40" s="229">
        <v>0</v>
      </c>
      <c r="L40" s="229">
        <v>0</v>
      </c>
      <c r="M40" s="229">
        <v>0</v>
      </c>
      <c r="N40" s="229">
        <v>0</v>
      </c>
      <c r="O40" s="229">
        <v>0</v>
      </c>
      <c r="P40" s="229">
        <v>0</v>
      </c>
      <c r="Q40" s="229">
        <v>0</v>
      </c>
      <c r="R40" s="229">
        <v>0</v>
      </c>
      <c r="S40" s="229">
        <v>0</v>
      </c>
      <c r="T40" s="229">
        <v>-2772</v>
      </c>
      <c r="U40" s="229">
        <v>-2772</v>
      </c>
      <c r="V40" s="229">
        <v>-2772</v>
      </c>
      <c r="W40" s="229">
        <v>-254956</v>
      </c>
      <c r="X40" s="229">
        <v>0</v>
      </c>
      <c r="Y40" s="229">
        <v>0</v>
      </c>
      <c r="Z40" s="229">
        <v>0</v>
      </c>
      <c r="AA40" s="229">
        <v>-2249306</v>
      </c>
      <c r="AB40" s="229"/>
      <c r="AC40" s="229"/>
    </row>
    <row r="41" spans="1:29" s="165" customFormat="1" ht="13.8">
      <c r="A41" s="591" t="s">
        <v>1123</v>
      </c>
      <c r="B41" s="57" t="s">
        <v>1977</v>
      </c>
      <c r="C41" s="57"/>
      <c r="D41" s="57"/>
      <c r="E41" s="57"/>
      <c r="F41" s="57"/>
      <c r="G41" s="57"/>
      <c r="H41" s="229"/>
      <c r="I41" s="229"/>
      <c r="J41" s="229">
        <v>47037</v>
      </c>
      <c r="K41" s="229">
        <v>79842</v>
      </c>
      <c r="L41" s="229">
        <v>11283</v>
      </c>
      <c r="M41" s="229">
        <v>30791</v>
      </c>
      <c r="N41" s="229">
        <v>55673</v>
      </c>
      <c r="O41" s="229">
        <v>82377</v>
      </c>
      <c r="P41" s="229">
        <v>23260</v>
      </c>
      <c r="Q41" s="229">
        <v>23279</v>
      </c>
      <c r="R41" s="229">
        <v>36221</v>
      </c>
      <c r="S41" s="229">
        <v>104489</v>
      </c>
      <c r="T41" s="229">
        <v>18409</v>
      </c>
      <c r="U41" s="229">
        <v>57973</v>
      </c>
      <c r="V41" s="229">
        <v>88007</v>
      </c>
      <c r="W41" s="229">
        <v>116608</v>
      </c>
      <c r="X41" s="229">
        <v>40452</v>
      </c>
      <c r="Y41" s="229">
        <v>66142</v>
      </c>
      <c r="Z41" s="229">
        <v>104063</v>
      </c>
      <c r="AA41" s="229">
        <v>138413</v>
      </c>
      <c r="AB41" s="229">
        <v>36259</v>
      </c>
      <c r="AC41" s="229">
        <v>74544</v>
      </c>
    </row>
    <row r="42" spans="1:29" s="165" customFormat="1" ht="13.8">
      <c r="A42" s="591" t="s">
        <v>1489</v>
      </c>
      <c r="B42" s="57" t="s">
        <v>1195</v>
      </c>
      <c r="C42" s="57"/>
      <c r="D42" s="57"/>
      <c r="E42" s="57"/>
      <c r="F42" s="57"/>
      <c r="G42" s="57"/>
      <c r="H42" s="229"/>
      <c r="I42" s="229"/>
      <c r="J42" s="229">
        <v>11798</v>
      </c>
      <c r="K42" s="229">
        <v>92327</v>
      </c>
      <c r="L42" s="229">
        <v>0</v>
      </c>
      <c r="M42" s="229">
        <v>0</v>
      </c>
      <c r="N42" s="229">
        <v>0</v>
      </c>
      <c r="O42" s="229">
        <v>116184</v>
      </c>
      <c r="P42" s="229">
        <v>593</v>
      </c>
      <c r="Q42" s="229">
        <v>2660</v>
      </c>
      <c r="R42" s="229">
        <v>18807</v>
      </c>
      <c r="S42" s="229">
        <v>132835</v>
      </c>
      <c r="T42" s="229">
        <v>6573</v>
      </c>
      <c r="U42" s="229">
        <v>0</v>
      </c>
      <c r="V42" s="229">
        <v>21906</v>
      </c>
      <c r="W42" s="229">
        <v>136180</v>
      </c>
      <c r="X42" s="229">
        <v>-755</v>
      </c>
      <c r="Y42" s="229">
        <v>4826</v>
      </c>
      <c r="Z42" s="229">
        <v>5040</v>
      </c>
      <c r="AA42" s="229">
        <v>0</v>
      </c>
      <c r="AB42" s="229">
        <v>-14176</v>
      </c>
      <c r="AC42" s="229">
        <v>-14562</v>
      </c>
    </row>
    <row r="43" spans="1:29" s="4" customFormat="1" ht="13.8">
      <c r="A43" s="591" t="s">
        <v>1413</v>
      </c>
      <c r="B43" s="57" t="s">
        <v>2014</v>
      </c>
      <c r="C43" s="104"/>
      <c r="D43" s="104"/>
      <c r="E43" s="104"/>
      <c r="F43" s="104"/>
      <c r="G43" s="104"/>
      <c r="H43" s="138"/>
      <c r="I43" s="138"/>
      <c r="J43" s="138">
        <v>0</v>
      </c>
      <c r="K43" s="229">
        <v>0</v>
      </c>
      <c r="L43" s="229">
        <v>0</v>
      </c>
      <c r="M43" s="229">
        <v>0</v>
      </c>
      <c r="N43" s="229">
        <v>-47819</v>
      </c>
      <c r="O43" s="229">
        <v>-45674</v>
      </c>
      <c r="P43" s="229">
        <v>0</v>
      </c>
      <c r="Q43" s="229">
        <v>0</v>
      </c>
      <c r="R43" s="229">
        <v>0</v>
      </c>
      <c r="S43" s="229">
        <v>0</v>
      </c>
      <c r="T43" s="229">
        <v>0</v>
      </c>
      <c r="U43" s="229">
        <v>0</v>
      </c>
      <c r="V43" s="229">
        <v>0</v>
      </c>
      <c r="W43" s="229">
        <v>0</v>
      </c>
      <c r="X43" s="229">
        <v>0</v>
      </c>
      <c r="Y43" s="229">
        <v>0</v>
      </c>
      <c r="Z43" s="229">
        <v>0</v>
      </c>
      <c r="AA43" s="229">
        <v>0</v>
      </c>
      <c r="AB43" s="229"/>
      <c r="AC43" s="229"/>
    </row>
    <row r="44" spans="1:29" s="4" customFormat="1" ht="13.8">
      <c r="A44" s="591" t="s">
        <v>1414</v>
      </c>
      <c r="B44" s="57" t="s">
        <v>1992</v>
      </c>
      <c r="C44" s="104"/>
      <c r="D44" s="104"/>
      <c r="E44" s="104"/>
      <c r="F44" s="104"/>
      <c r="G44" s="104"/>
      <c r="H44" s="138"/>
      <c r="I44" s="138"/>
      <c r="J44" s="138">
        <v>0</v>
      </c>
      <c r="K44" s="229">
        <v>0</v>
      </c>
      <c r="L44" s="229">
        <v>0</v>
      </c>
      <c r="M44" s="229">
        <v>36461</v>
      </c>
      <c r="N44" s="229">
        <v>36461</v>
      </c>
      <c r="O44" s="229">
        <v>36461</v>
      </c>
      <c r="P44" s="229">
        <v>0</v>
      </c>
      <c r="Q44" s="229">
        <v>0</v>
      </c>
      <c r="R44" s="229">
        <v>0</v>
      </c>
      <c r="S44" s="229">
        <v>0</v>
      </c>
      <c r="T44" s="229">
        <v>0</v>
      </c>
      <c r="U44" s="229">
        <v>0</v>
      </c>
      <c r="V44" s="229">
        <v>0</v>
      </c>
      <c r="W44" s="229">
        <v>0</v>
      </c>
      <c r="X44" s="229">
        <v>0</v>
      </c>
      <c r="Y44" s="229">
        <v>0</v>
      </c>
      <c r="Z44" s="229">
        <v>0</v>
      </c>
      <c r="AA44" s="229">
        <v>0</v>
      </c>
      <c r="AB44" s="229"/>
      <c r="AC44" s="229"/>
    </row>
    <row r="45" spans="1:29" s="4" customFormat="1" ht="13.8">
      <c r="A45" s="591" t="s">
        <v>1415</v>
      </c>
      <c r="B45" s="57" t="s">
        <v>1993</v>
      </c>
      <c r="C45" s="104"/>
      <c r="D45" s="104"/>
      <c r="E45" s="104"/>
      <c r="F45" s="104"/>
      <c r="G45" s="104"/>
      <c r="H45" s="138"/>
      <c r="I45" s="138"/>
      <c r="J45" s="138">
        <v>0</v>
      </c>
      <c r="K45" s="229">
        <v>0</v>
      </c>
      <c r="L45" s="229">
        <v>0</v>
      </c>
      <c r="M45" s="229">
        <v>0</v>
      </c>
      <c r="N45" s="229">
        <v>0</v>
      </c>
      <c r="O45" s="229">
        <v>0</v>
      </c>
      <c r="P45" s="229">
        <v>0</v>
      </c>
      <c r="Q45" s="229">
        <v>0</v>
      </c>
      <c r="R45" s="229">
        <v>0</v>
      </c>
      <c r="S45" s="229">
        <v>0</v>
      </c>
      <c r="T45" s="229">
        <v>0</v>
      </c>
      <c r="U45" s="229">
        <v>0</v>
      </c>
      <c r="V45" s="229">
        <v>0</v>
      </c>
      <c r="W45" s="229">
        <v>0</v>
      </c>
      <c r="X45" s="229">
        <v>0</v>
      </c>
      <c r="Y45" s="229">
        <v>0</v>
      </c>
      <c r="Z45" s="229">
        <v>0</v>
      </c>
      <c r="AA45" s="229">
        <v>0</v>
      </c>
      <c r="AB45" s="229"/>
      <c r="AC45" s="229"/>
    </row>
    <row r="46" spans="1:29" s="165" customFormat="1" ht="13.8">
      <c r="A46" s="591" t="s">
        <v>1474</v>
      </c>
      <c r="B46" s="57" t="s">
        <v>1417</v>
      </c>
      <c r="C46" s="57"/>
      <c r="D46" s="57"/>
      <c r="E46" s="57"/>
      <c r="F46" s="57"/>
      <c r="G46" s="57"/>
      <c r="H46" s="229"/>
      <c r="I46" s="229"/>
      <c r="J46" s="229">
        <v>0</v>
      </c>
      <c r="K46" s="229">
        <v>0</v>
      </c>
      <c r="L46" s="229">
        <v>0</v>
      </c>
      <c r="M46" s="229">
        <v>0</v>
      </c>
      <c r="N46" s="229">
        <v>0</v>
      </c>
      <c r="O46" s="229">
        <v>160194</v>
      </c>
      <c r="P46" s="229">
        <v>-185551</v>
      </c>
      <c r="Q46" s="229">
        <v>-78462</v>
      </c>
      <c r="R46" s="229">
        <v>-75518</v>
      </c>
      <c r="S46" s="229">
        <v>245311</v>
      </c>
      <c r="T46" s="229">
        <v>61920</v>
      </c>
      <c r="U46" s="229">
        <v>-7528</v>
      </c>
      <c r="V46" s="229">
        <v>48245</v>
      </c>
      <c r="W46" s="229">
        <v>-114418</v>
      </c>
      <c r="X46" s="229">
        <v>32868</v>
      </c>
      <c r="Y46" s="229">
        <v>12273</v>
      </c>
      <c r="Z46" s="229">
        <v>41986</v>
      </c>
      <c r="AA46" s="229">
        <v>185469</v>
      </c>
      <c r="AB46" s="229">
        <v>-32892</v>
      </c>
      <c r="AC46" s="229">
        <v>-64046</v>
      </c>
    </row>
    <row r="47" spans="1:29" s="165" customFormat="1" ht="13.8">
      <c r="A47" s="591" t="s">
        <v>95</v>
      </c>
      <c r="B47" s="57" t="s">
        <v>96</v>
      </c>
      <c r="C47" s="57"/>
      <c r="D47" s="57"/>
      <c r="E47" s="57"/>
      <c r="F47" s="57"/>
      <c r="G47" s="57"/>
      <c r="H47" s="229"/>
      <c r="I47" s="229"/>
      <c r="J47" s="229">
        <v>-6357</v>
      </c>
      <c r="K47" s="229">
        <v>-15374</v>
      </c>
      <c r="L47" s="229">
        <v>26347</v>
      </c>
      <c r="M47" s="229">
        <v>4497</v>
      </c>
      <c r="N47" s="229">
        <v>0</v>
      </c>
      <c r="O47" s="229">
        <v>0</v>
      </c>
      <c r="P47" s="229">
        <v>0</v>
      </c>
      <c r="Q47" s="229">
        <v>0</v>
      </c>
      <c r="R47" s="229">
        <v>0</v>
      </c>
      <c r="S47" s="229">
        <v>71755</v>
      </c>
      <c r="T47" s="229">
        <v>0</v>
      </c>
      <c r="U47" s="229">
        <v>0</v>
      </c>
      <c r="V47" s="229">
        <v>0</v>
      </c>
      <c r="W47" s="229">
        <v>0</v>
      </c>
      <c r="X47" s="229">
        <v>0</v>
      </c>
      <c r="Y47" s="229">
        <v>0</v>
      </c>
      <c r="Z47" s="229">
        <v>0</v>
      </c>
      <c r="AA47" s="229">
        <v>0</v>
      </c>
      <c r="AB47" s="229"/>
      <c r="AC47" s="229"/>
    </row>
    <row r="48" spans="1:29" s="578" customFormat="1" ht="13.8">
      <c r="A48" s="592"/>
      <c r="B48" s="592"/>
      <c r="C48" s="592"/>
      <c r="D48" s="592">
        <f t="shared" ref="D48:Z48" si="0">SUM(D9:D47)</f>
        <v>0</v>
      </c>
      <c r="E48" s="592">
        <f t="shared" si="0"/>
        <v>0</v>
      </c>
      <c r="F48" s="592">
        <f t="shared" si="0"/>
        <v>0</v>
      </c>
      <c r="G48" s="592">
        <f t="shared" si="0"/>
        <v>0</v>
      </c>
      <c r="H48" s="593">
        <f t="shared" si="0"/>
        <v>0</v>
      </c>
      <c r="I48" s="593">
        <f t="shared" si="0"/>
        <v>0</v>
      </c>
      <c r="J48" s="593">
        <f t="shared" si="0"/>
        <v>461931</v>
      </c>
      <c r="K48" s="593">
        <f t="shared" si="0"/>
        <v>1004055</v>
      </c>
      <c r="L48" s="593">
        <f t="shared" si="0"/>
        <v>1733047</v>
      </c>
      <c r="M48" s="593">
        <f t="shared" si="0"/>
        <v>2688222</v>
      </c>
      <c r="N48" s="593">
        <f t="shared" si="0"/>
        <v>3944499</v>
      </c>
      <c r="O48" s="593">
        <f t="shared" si="0"/>
        <v>5145042</v>
      </c>
      <c r="P48" s="593">
        <f t="shared" si="0"/>
        <v>2198602</v>
      </c>
      <c r="Q48" s="593">
        <f t="shared" si="0"/>
        <v>3583562</v>
      </c>
      <c r="R48" s="593">
        <f t="shared" si="0"/>
        <v>6160384</v>
      </c>
      <c r="S48" s="593">
        <f t="shared" si="0"/>
        <v>8407226</v>
      </c>
      <c r="T48" s="593">
        <f t="shared" si="0"/>
        <v>2513237</v>
      </c>
      <c r="U48" s="593">
        <f t="shared" si="0"/>
        <v>3671394.0431300001</v>
      </c>
      <c r="V48" s="593">
        <f t="shared" si="0"/>
        <v>5802196</v>
      </c>
      <c r="W48" s="593">
        <f t="shared" si="0"/>
        <v>8298061</v>
      </c>
      <c r="X48" s="593">
        <f t="shared" si="0"/>
        <v>2243023</v>
      </c>
      <c r="Y48" s="593">
        <f t="shared" si="0"/>
        <v>4258838</v>
      </c>
      <c r="Z48" s="593">
        <f t="shared" si="0"/>
        <v>5851983</v>
      </c>
      <c r="AA48" s="593">
        <v>8934261</v>
      </c>
      <c r="AB48" s="593">
        <f>SUM(AB9:AB47)</f>
        <v>2829618</v>
      </c>
      <c r="AC48" s="593">
        <f>SUM(AC9:AC47)</f>
        <v>5333794</v>
      </c>
    </row>
    <row r="49" spans="1:29" s="165" customFormat="1" ht="13.8">
      <c r="A49" s="589" t="s">
        <v>1418</v>
      </c>
      <c r="B49" s="589" t="s">
        <v>2035</v>
      </c>
      <c r="C49" s="57"/>
      <c r="D49" s="57"/>
      <c r="E49" s="57"/>
      <c r="F49" s="57"/>
      <c r="G49" s="57"/>
      <c r="H49" s="229"/>
      <c r="I49" s="229"/>
      <c r="J49" s="229"/>
      <c r="K49" s="229"/>
      <c r="L49" s="229"/>
      <c r="M49" s="229"/>
      <c r="N49" s="229"/>
      <c r="O49" s="229"/>
      <c r="P49" s="229"/>
      <c r="Q49" s="229"/>
      <c r="R49" s="57"/>
      <c r="S49" s="229"/>
      <c r="T49" s="229"/>
      <c r="U49" s="229"/>
      <c r="V49" s="229"/>
      <c r="W49" s="229"/>
      <c r="X49" s="229"/>
      <c r="Y49" s="229"/>
      <c r="Z49" s="229"/>
      <c r="AA49" s="229"/>
      <c r="AB49" s="229"/>
      <c r="AC49" s="229"/>
    </row>
    <row r="50" spans="1:29" s="165" customFormat="1" ht="13.8">
      <c r="A50" s="591" t="s">
        <v>1057</v>
      </c>
      <c r="B50" s="57" t="s">
        <v>1994</v>
      </c>
      <c r="C50" s="57"/>
      <c r="D50" s="57"/>
      <c r="E50" s="57"/>
      <c r="F50" s="57"/>
      <c r="G50" s="57"/>
      <c r="H50" s="229"/>
      <c r="I50" s="229"/>
      <c r="J50" s="229">
        <v>-739080</v>
      </c>
      <c r="K50" s="229">
        <v>59857</v>
      </c>
      <c r="L50" s="229">
        <v>190853</v>
      </c>
      <c r="M50" s="229">
        <v>857680</v>
      </c>
      <c r="N50" s="229">
        <v>868122</v>
      </c>
      <c r="O50" s="229">
        <v>969201</v>
      </c>
      <c r="P50" s="229">
        <v>63360</v>
      </c>
      <c r="Q50" s="229">
        <v>713458</v>
      </c>
      <c r="R50" s="229">
        <v>262581</v>
      </c>
      <c r="S50" s="229">
        <v>177803</v>
      </c>
      <c r="T50" s="229">
        <v>90498</v>
      </c>
      <c r="U50" s="229">
        <v>432485.95687000011</v>
      </c>
      <c r="V50" s="229">
        <v>42027</v>
      </c>
      <c r="W50" s="229">
        <v>148117</v>
      </c>
      <c r="X50" s="229">
        <v>152574</v>
      </c>
      <c r="Y50" s="229">
        <v>43734</v>
      </c>
      <c r="Z50" s="229">
        <v>-399594</v>
      </c>
      <c r="AA50" s="229">
        <v>-1786494</v>
      </c>
      <c r="AB50" s="229">
        <v>-22268</v>
      </c>
      <c r="AC50" s="229">
        <v>-375348</v>
      </c>
    </row>
    <row r="51" spans="1:29" s="165" customFormat="1" ht="13.8">
      <c r="A51" s="591" t="s">
        <v>1066</v>
      </c>
      <c r="B51" s="57" t="s">
        <v>1995</v>
      </c>
      <c r="C51" s="57"/>
      <c r="D51" s="57"/>
      <c r="E51" s="57"/>
      <c r="F51" s="57"/>
      <c r="G51" s="57"/>
      <c r="H51" s="229"/>
      <c r="I51" s="229"/>
      <c r="J51" s="229">
        <v>-21037</v>
      </c>
      <c r="K51" s="229">
        <v>-22693</v>
      </c>
      <c r="L51" s="229">
        <v>22132</v>
      </c>
      <c r="M51" s="229">
        <v>6327</v>
      </c>
      <c r="N51" s="229">
        <v>-12795</v>
      </c>
      <c r="O51" s="229">
        <v>-21039</v>
      </c>
      <c r="P51" s="229">
        <v>19874</v>
      </c>
      <c r="Q51" s="229">
        <v>27438</v>
      </c>
      <c r="R51" s="229">
        <v>14907</v>
      </c>
      <c r="S51" s="229">
        <v>19459</v>
      </c>
      <c r="T51" s="229">
        <v>3763</v>
      </c>
      <c r="U51" s="229">
        <v>6619</v>
      </c>
      <c r="V51" s="229">
        <v>-8887</v>
      </c>
      <c r="W51" s="229">
        <v>-6770</v>
      </c>
      <c r="X51" s="229">
        <v>2904</v>
      </c>
      <c r="Y51" s="229">
        <v>-6230</v>
      </c>
      <c r="Z51" s="229">
        <v>-15758</v>
      </c>
      <c r="AA51" s="229">
        <v>-58584</v>
      </c>
      <c r="AB51" s="229">
        <v>11734</v>
      </c>
      <c r="AC51" s="229">
        <v>-4146</v>
      </c>
    </row>
    <row r="52" spans="1:29" s="165" customFormat="1" ht="13.8">
      <c r="A52" s="591" t="s">
        <v>1063</v>
      </c>
      <c r="B52" s="57" t="s">
        <v>1996</v>
      </c>
      <c r="C52" s="57"/>
      <c r="D52" s="57"/>
      <c r="E52" s="57"/>
      <c r="F52" s="57"/>
      <c r="G52" s="57"/>
      <c r="H52" s="229"/>
      <c r="I52" s="229"/>
      <c r="J52" s="229">
        <v>-14190</v>
      </c>
      <c r="K52" s="229">
        <v>-60844</v>
      </c>
      <c r="L52" s="229">
        <v>77240</v>
      </c>
      <c r="M52" s="229">
        <v>56648</v>
      </c>
      <c r="N52" s="229">
        <v>26779</v>
      </c>
      <c r="O52" s="229">
        <v>1925</v>
      </c>
      <c r="P52" s="229">
        <v>58033</v>
      </c>
      <c r="Q52" s="229">
        <v>15396</v>
      </c>
      <c r="R52" s="229">
        <v>57303</v>
      </c>
      <c r="S52" s="229">
        <v>-73651</v>
      </c>
      <c r="T52" s="229">
        <v>11024</v>
      </c>
      <c r="U52" s="229">
        <v>-59545</v>
      </c>
      <c r="V52" s="229">
        <v>-107242</v>
      </c>
      <c r="W52" s="229">
        <v>-70680</v>
      </c>
      <c r="X52" s="229">
        <v>-6</v>
      </c>
      <c r="Y52" s="229">
        <v>-56808</v>
      </c>
      <c r="Z52" s="229">
        <v>-62420</v>
      </c>
      <c r="AA52" s="229">
        <v>-48893.018510000002</v>
      </c>
      <c r="AB52" s="229">
        <v>-16843</v>
      </c>
      <c r="AC52" s="229">
        <v>-17226</v>
      </c>
    </row>
    <row r="53" spans="1:29" s="165" customFormat="1" ht="13.8">
      <c r="A53" s="591" t="s">
        <v>1068</v>
      </c>
      <c r="B53" s="57" t="s">
        <v>1997</v>
      </c>
      <c r="C53" s="57"/>
      <c r="D53" s="57"/>
      <c r="E53" s="57"/>
      <c r="F53" s="57"/>
      <c r="G53" s="57"/>
      <c r="H53" s="229"/>
      <c r="I53" s="229"/>
      <c r="J53" s="229">
        <v>14018</v>
      </c>
      <c r="K53" s="229">
        <v>-41042</v>
      </c>
      <c r="L53" s="229">
        <v>9503</v>
      </c>
      <c r="M53" s="229">
        <v>16359</v>
      </c>
      <c r="N53" s="229">
        <v>-9040</v>
      </c>
      <c r="O53" s="229">
        <v>-21893</v>
      </c>
      <c r="P53" s="229">
        <v>-18085</v>
      </c>
      <c r="Q53" s="229">
        <v>-51825</v>
      </c>
      <c r="R53" s="229">
        <v>-71155</v>
      </c>
      <c r="S53" s="229">
        <v>-72952</v>
      </c>
      <c r="T53" s="229">
        <v>-86581</v>
      </c>
      <c r="U53" s="229">
        <v>-108644</v>
      </c>
      <c r="V53" s="229">
        <v>-82505</v>
      </c>
      <c r="W53" s="229">
        <v>-84642</v>
      </c>
      <c r="X53" s="229">
        <v>-17759</v>
      </c>
      <c r="Y53" s="229">
        <v>-29383</v>
      </c>
      <c r="Z53" s="229">
        <v>-45262</v>
      </c>
      <c r="AA53" s="229">
        <v>85598</v>
      </c>
      <c r="AB53" s="229">
        <v>-19334</v>
      </c>
      <c r="AC53" s="229">
        <v>-47059</v>
      </c>
    </row>
    <row r="54" spans="1:29" s="165" customFormat="1" ht="13.8">
      <c r="A54" s="591" t="s">
        <v>1419</v>
      </c>
      <c r="B54" s="57" t="s">
        <v>1998</v>
      </c>
      <c r="C54" s="57"/>
      <c r="D54" s="57"/>
      <c r="E54" s="57"/>
      <c r="F54" s="57"/>
      <c r="G54" s="57"/>
      <c r="H54" s="229"/>
      <c r="I54" s="229"/>
      <c r="J54" s="229">
        <v>0</v>
      </c>
      <c r="K54" s="229">
        <v>0</v>
      </c>
      <c r="L54" s="229">
        <v>0</v>
      </c>
      <c r="M54" s="229">
        <v>0</v>
      </c>
      <c r="N54" s="229">
        <v>0</v>
      </c>
      <c r="O54" s="229">
        <v>0</v>
      </c>
      <c r="P54" s="229">
        <v>0</v>
      </c>
      <c r="Q54" s="229">
        <v>0</v>
      </c>
      <c r="R54" s="229">
        <v>0</v>
      </c>
      <c r="S54" s="229">
        <v>0</v>
      </c>
      <c r="T54" s="229">
        <v>0</v>
      </c>
      <c r="U54" s="229">
        <v>0</v>
      </c>
      <c r="V54" s="229">
        <v>0</v>
      </c>
      <c r="W54" s="229">
        <v>0</v>
      </c>
      <c r="X54" s="229">
        <v>0</v>
      </c>
      <c r="Y54" s="229">
        <v>0</v>
      </c>
      <c r="Z54" s="229"/>
      <c r="AA54" s="229"/>
      <c r="AB54" s="229"/>
      <c r="AC54" s="229"/>
    </row>
    <row r="55" spans="1:29" s="165" customFormat="1" ht="13.8">
      <c r="A55" s="591" t="s">
        <v>1074</v>
      </c>
      <c r="B55" s="57" t="s">
        <v>1075</v>
      </c>
      <c r="C55" s="57"/>
      <c r="D55" s="57"/>
      <c r="E55" s="57"/>
      <c r="F55" s="57"/>
      <c r="G55" s="57"/>
      <c r="H55" s="229"/>
      <c r="I55" s="229"/>
      <c r="J55" s="229">
        <v>-73555</v>
      </c>
      <c r="K55" s="229">
        <v>-134897</v>
      </c>
      <c r="L55" s="229">
        <v>-22942</v>
      </c>
      <c r="M55" s="229">
        <v>-23651</v>
      </c>
      <c r="N55" s="229">
        <v>-48191</v>
      </c>
      <c r="O55" s="229">
        <v>-66292</v>
      </c>
      <c r="P55" s="229">
        <v>24791</v>
      </c>
      <c r="Q55" s="229">
        <v>59083</v>
      </c>
      <c r="R55" s="229">
        <v>52484</v>
      </c>
      <c r="S55" s="229">
        <v>143252</v>
      </c>
      <c r="T55" s="229">
        <v>280</v>
      </c>
      <c r="U55" s="229">
        <v>-10471</v>
      </c>
      <c r="V55" s="229">
        <v>-21822</v>
      </c>
      <c r="W55" s="229">
        <v>-15288</v>
      </c>
      <c r="X55" s="229">
        <v>-42869</v>
      </c>
      <c r="Y55" s="229">
        <v>-83237</v>
      </c>
      <c r="Z55" s="229">
        <v>-93651</v>
      </c>
      <c r="AA55" s="229">
        <v>-149739</v>
      </c>
      <c r="AB55" s="229">
        <v>-10327</v>
      </c>
      <c r="AC55" s="229">
        <v>-11140</v>
      </c>
    </row>
    <row r="56" spans="1:29" s="165" customFormat="1" ht="13.8">
      <c r="A56" s="591" t="s">
        <v>1420</v>
      </c>
      <c r="B56" s="57" t="s">
        <v>1999</v>
      </c>
      <c r="C56" s="57"/>
      <c r="D56" s="57"/>
      <c r="E56" s="57"/>
      <c r="F56" s="57"/>
      <c r="G56" s="57"/>
      <c r="H56" s="229"/>
      <c r="I56" s="229"/>
      <c r="J56" s="229">
        <v>129080</v>
      </c>
      <c r="K56" s="229">
        <v>13411</v>
      </c>
      <c r="L56" s="229">
        <v>-245056</v>
      </c>
      <c r="M56" s="229">
        <v>-23022</v>
      </c>
      <c r="N56" s="229">
        <v>-275056</v>
      </c>
      <c r="O56" s="229">
        <v>-469320</v>
      </c>
      <c r="P56" s="229">
        <v>-2599</v>
      </c>
      <c r="Q56" s="229">
        <v>162963</v>
      </c>
      <c r="R56" s="229">
        <v>-75094</v>
      </c>
      <c r="S56" s="229">
        <v>-90917</v>
      </c>
      <c r="T56" s="229">
        <v>-19900</v>
      </c>
      <c r="U56" s="229">
        <v>-87134</v>
      </c>
      <c r="V56" s="229">
        <v>-248121</v>
      </c>
      <c r="W56" s="229">
        <v>-547199</v>
      </c>
      <c r="X56" s="229">
        <v>-130004</v>
      </c>
      <c r="Y56" s="229">
        <v>-204801</v>
      </c>
      <c r="Z56" s="229">
        <v>-237829</v>
      </c>
      <c r="AA56" s="229">
        <v>-83695</v>
      </c>
      <c r="AB56" s="229">
        <v>-153530</v>
      </c>
      <c r="AC56" s="229">
        <v>-378053</v>
      </c>
    </row>
    <row r="57" spans="1:29" s="165" customFormat="1" ht="13.8">
      <c r="A57" s="591" t="s">
        <v>1078</v>
      </c>
      <c r="B57" s="57" t="s">
        <v>2000</v>
      </c>
      <c r="C57" s="57"/>
      <c r="D57" s="57"/>
      <c r="E57" s="57"/>
      <c r="F57" s="57"/>
      <c r="G57" s="57"/>
      <c r="H57" s="229"/>
      <c r="I57" s="229"/>
      <c r="J57" s="229">
        <v>-71704</v>
      </c>
      <c r="K57" s="229">
        <v>-127460</v>
      </c>
      <c r="L57" s="229">
        <v>-52688</v>
      </c>
      <c r="M57" s="229">
        <v>-125571</v>
      </c>
      <c r="N57" s="229">
        <v>-175353</v>
      </c>
      <c r="O57" s="229">
        <v>-243628</v>
      </c>
      <c r="P57" s="229">
        <v>-65954</v>
      </c>
      <c r="Q57" s="229">
        <v>-125863</v>
      </c>
      <c r="R57" s="229">
        <v>-172491</v>
      </c>
      <c r="S57" s="229">
        <v>-29543</v>
      </c>
      <c r="T57" s="229">
        <v>-20870</v>
      </c>
      <c r="U57" s="229">
        <v>-15764</v>
      </c>
      <c r="V57" s="229">
        <v>-134927</v>
      </c>
      <c r="W57" s="229">
        <v>-145293</v>
      </c>
      <c r="X57" s="229">
        <v>-62731</v>
      </c>
      <c r="Y57" s="229">
        <v>-162505</v>
      </c>
      <c r="Z57" s="229">
        <v>-156903</v>
      </c>
      <c r="AA57" s="229">
        <v>113823</v>
      </c>
      <c r="AB57" s="229">
        <v>-72512</v>
      </c>
      <c r="AC57" s="229">
        <v>-228995</v>
      </c>
    </row>
    <row r="58" spans="1:29" s="165" customFormat="1" ht="13.8">
      <c r="A58" s="591" t="s">
        <v>1421</v>
      </c>
      <c r="B58" s="57" t="s">
        <v>2001</v>
      </c>
      <c r="C58" s="57"/>
      <c r="D58" s="57"/>
      <c r="E58" s="57"/>
      <c r="F58" s="57"/>
      <c r="G58" s="57"/>
      <c r="H58" s="229"/>
      <c r="I58" s="229"/>
      <c r="J58" s="229">
        <v>166747</v>
      </c>
      <c r="K58" s="229">
        <v>214559</v>
      </c>
      <c r="L58" s="229">
        <v>83007</v>
      </c>
      <c r="M58" s="229">
        <v>15769</v>
      </c>
      <c r="N58" s="229">
        <v>0</v>
      </c>
      <c r="O58" s="229">
        <v>0</v>
      </c>
      <c r="P58" s="229">
        <v>64676</v>
      </c>
      <c r="Q58" s="229">
        <v>64676</v>
      </c>
      <c r="R58" s="229">
        <v>64676</v>
      </c>
      <c r="S58" s="229">
        <v>64676</v>
      </c>
      <c r="T58" s="229">
        <v>0</v>
      </c>
      <c r="U58" s="229">
        <v>-381794</v>
      </c>
      <c r="V58" s="229">
        <v>9936</v>
      </c>
      <c r="W58" s="229">
        <v>-92666</v>
      </c>
      <c r="X58" s="229">
        <v>0</v>
      </c>
      <c r="Y58" s="229">
        <v>0</v>
      </c>
      <c r="Z58" s="229"/>
      <c r="AA58" s="229">
        <v>0</v>
      </c>
      <c r="AB58" s="229">
        <v>15496</v>
      </c>
      <c r="AC58" s="229">
        <v>15496</v>
      </c>
    </row>
    <row r="59" spans="1:29" s="165" customFormat="1" ht="13.8">
      <c r="A59" s="591" t="s">
        <v>1422</v>
      </c>
      <c r="B59" s="57" t="s">
        <v>2002</v>
      </c>
      <c r="C59" s="57"/>
      <c r="D59" s="57"/>
      <c r="E59" s="57"/>
      <c r="F59" s="57"/>
      <c r="G59" s="57"/>
      <c r="H59" s="229"/>
      <c r="I59" s="229"/>
      <c r="J59" s="229">
        <v>1074339</v>
      </c>
      <c r="K59" s="229">
        <v>1561095</v>
      </c>
      <c r="L59" s="229">
        <v>250060</v>
      </c>
      <c r="M59" s="229">
        <v>1157284</v>
      </c>
      <c r="N59" s="229">
        <v>1814479</v>
      </c>
      <c r="O59" s="229">
        <v>1978887</v>
      </c>
      <c r="P59" s="229">
        <v>7639</v>
      </c>
      <c r="Q59" s="229">
        <v>87366</v>
      </c>
      <c r="R59" s="229">
        <v>101353</v>
      </c>
      <c r="S59" s="229">
        <v>-25346</v>
      </c>
      <c r="T59" s="229">
        <v>2879</v>
      </c>
      <c r="U59" s="229">
        <v>187594</v>
      </c>
      <c r="V59" s="229">
        <v>418153</v>
      </c>
      <c r="W59" s="229">
        <v>382155</v>
      </c>
      <c r="X59" s="229">
        <v>12204</v>
      </c>
      <c r="Y59" s="229">
        <v>44287</v>
      </c>
      <c r="Z59" s="229">
        <v>53962</v>
      </c>
      <c r="AA59" s="229">
        <v>61371</v>
      </c>
      <c r="AB59" s="229">
        <v>119176</v>
      </c>
      <c r="AC59" s="229">
        <v>149341</v>
      </c>
    </row>
    <row r="60" spans="1:29" s="165" customFormat="1" ht="13.8">
      <c r="A60" s="591" t="s">
        <v>1352</v>
      </c>
      <c r="B60" s="57" t="s">
        <v>2003</v>
      </c>
      <c r="C60" s="57"/>
      <c r="D60" s="57"/>
      <c r="E60" s="57"/>
      <c r="F60" s="57"/>
      <c r="G60" s="57"/>
      <c r="H60" s="229"/>
      <c r="I60" s="229"/>
      <c r="J60" s="229">
        <v>0</v>
      </c>
      <c r="K60" s="229">
        <v>0</v>
      </c>
      <c r="L60" s="229">
        <v>0</v>
      </c>
      <c r="M60" s="229">
        <v>0</v>
      </c>
      <c r="N60" s="229">
        <v>0</v>
      </c>
      <c r="O60" s="229">
        <v>0</v>
      </c>
      <c r="P60" s="229">
        <v>0</v>
      </c>
      <c r="Q60" s="229">
        <v>0</v>
      </c>
      <c r="R60" s="229">
        <v>0</v>
      </c>
      <c r="S60" s="229">
        <v>0</v>
      </c>
      <c r="T60" s="229">
        <v>0</v>
      </c>
      <c r="U60" s="229">
        <v>0</v>
      </c>
      <c r="V60" s="229">
        <v>0</v>
      </c>
      <c r="W60" s="229">
        <v>0</v>
      </c>
      <c r="X60" s="229">
        <v>0</v>
      </c>
      <c r="Y60" s="229">
        <v>0</v>
      </c>
      <c r="Z60" s="229"/>
      <c r="AA60" s="229"/>
      <c r="AB60" s="229"/>
      <c r="AC60" s="229"/>
    </row>
    <row r="61" spans="1:29" s="165" customFormat="1" ht="13.8">
      <c r="A61" s="591" t="s">
        <v>1423</v>
      </c>
      <c r="B61" s="57" t="s">
        <v>1187</v>
      </c>
      <c r="C61" s="57"/>
      <c r="D61" s="57"/>
      <c r="E61" s="57"/>
      <c r="F61" s="57"/>
      <c r="G61" s="57"/>
      <c r="H61" s="229"/>
      <c r="I61" s="229"/>
      <c r="J61" s="229">
        <v>814059</v>
      </c>
      <c r="K61" s="229">
        <v>-221140</v>
      </c>
      <c r="L61" s="229">
        <v>-5664</v>
      </c>
      <c r="M61" s="229">
        <v>-5664</v>
      </c>
      <c r="N61" s="229">
        <v>-5659</v>
      </c>
      <c r="O61" s="229">
        <v>-5659</v>
      </c>
      <c r="P61" s="229">
        <v>-904</v>
      </c>
      <c r="Q61" s="229">
        <v>-5725</v>
      </c>
      <c r="R61" s="229">
        <v>-46316</v>
      </c>
      <c r="S61" s="229">
        <v>-65097</v>
      </c>
      <c r="T61" s="229">
        <v>-3994</v>
      </c>
      <c r="U61" s="229">
        <v>0</v>
      </c>
      <c r="V61" s="229">
        <v>-4979</v>
      </c>
      <c r="W61" s="229">
        <v>-5415</v>
      </c>
      <c r="X61" s="229">
        <v>0</v>
      </c>
      <c r="Y61" s="229">
        <v>0</v>
      </c>
      <c r="Z61" s="229"/>
      <c r="AA61" s="229">
        <v>0</v>
      </c>
      <c r="AB61" s="229"/>
      <c r="AC61" s="229"/>
    </row>
    <row r="62" spans="1:29" s="165" customFormat="1" ht="13.8">
      <c r="A62" s="591" t="s">
        <v>1238</v>
      </c>
      <c r="B62" s="57" t="s">
        <v>2004</v>
      </c>
      <c r="C62" s="57"/>
      <c r="D62" s="57"/>
      <c r="E62" s="57"/>
      <c r="F62" s="57"/>
      <c r="G62" s="57"/>
      <c r="H62" s="229"/>
      <c r="I62" s="229"/>
      <c r="J62" s="229">
        <v>-14252</v>
      </c>
      <c r="K62" s="229">
        <v>-145217</v>
      </c>
      <c r="L62" s="229">
        <v>279631</v>
      </c>
      <c r="M62" s="229">
        <v>349268</v>
      </c>
      <c r="N62" s="229">
        <v>380660</v>
      </c>
      <c r="O62" s="229">
        <v>370111</v>
      </c>
      <c r="P62" s="229">
        <v>-259727</v>
      </c>
      <c r="Q62" s="229">
        <v>-34133</v>
      </c>
      <c r="R62" s="229">
        <v>53114</v>
      </c>
      <c r="S62" s="229">
        <v>-228035</v>
      </c>
      <c r="T62" s="229">
        <v>52526</v>
      </c>
      <c r="U62" s="229">
        <v>-168573</v>
      </c>
      <c r="V62" s="229">
        <v>-455309</v>
      </c>
      <c r="W62" s="229">
        <v>-151368</v>
      </c>
      <c r="X62" s="229">
        <v>-50873</v>
      </c>
      <c r="Y62" s="229">
        <v>-99147</v>
      </c>
      <c r="Z62" s="229">
        <v>-309612</v>
      </c>
      <c r="AA62" s="229">
        <v>723229</v>
      </c>
      <c r="AB62" s="229">
        <v>-96932</v>
      </c>
      <c r="AC62" s="229">
        <v>-65522</v>
      </c>
    </row>
    <row r="63" spans="1:29" s="165" customFormat="1" ht="13.8">
      <c r="A63" s="591" t="s">
        <v>1102</v>
      </c>
      <c r="B63" s="57" t="s">
        <v>1103</v>
      </c>
      <c r="C63" s="57"/>
      <c r="D63" s="57"/>
      <c r="E63" s="57"/>
      <c r="F63" s="57"/>
      <c r="G63" s="57"/>
      <c r="H63" s="229"/>
      <c r="I63" s="229"/>
      <c r="J63" s="229">
        <v>-165139</v>
      </c>
      <c r="K63" s="229">
        <v>175142</v>
      </c>
      <c r="L63" s="229">
        <v>-1586877</v>
      </c>
      <c r="M63" s="229">
        <v>-1077340</v>
      </c>
      <c r="N63" s="229">
        <v>-1276538</v>
      </c>
      <c r="O63" s="229">
        <v>-929557</v>
      </c>
      <c r="P63" s="229">
        <v>-544886</v>
      </c>
      <c r="Q63" s="229">
        <v>-248827</v>
      </c>
      <c r="R63" s="229">
        <v>-369060</v>
      </c>
      <c r="S63" s="229">
        <v>230358</v>
      </c>
      <c r="T63" s="229">
        <v>-796528</v>
      </c>
      <c r="U63" s="229">
        <v>-667954</v>
      </c>
      <c r="V63" s="229">
        <v>-509737</v>
      </c>
      <c r="W63" s="229">
        <v>-648431</v>
      </c>
      <c r="X63" s="229">
        <v>-344981</v>
      </c>
      <c r="Y63" s="229">
        <v>44781</v>
      </c>
      <c r="Z63" s="229">
        <v>379224</v>
      </c>
      <c r="AA63" s="229">
        <v>243433</v>
      </c>
      <c r="AB63" s="229">
        <v>-369195</v>
      </c>
      <c r="AC63" s="229">
        <v>-536741</v>
      </c>
    </row>
    <row r="64" spans="1:29" s="4" customFormat="1" ht="13.8">
      <c r="A64" s="591" t="s">
        <v>1424</v>
      </c>
      <c r="B64" s="57" t="s">
        <v>1351</v>
      </c>
      <c r="C64" s="104"/>
      <c r="D64" s="104"/>
      <c r="E64" s="104"/>
      <c r="F64" s="104"/>
      <c r="G64" s="104"/>
      <c r="H64" s="229"/>
      <c r="I64" s="229"/>
      <c r="J64" s="229">
        <v>0</v>
      </c>
      <c r="K64" s="229">
        <v>0</v>
      </c>
      <c r="L64" s="229">
        <v>0</v>
      </c>
      <c r="M64" s="229">
        <v>0</v>
      </c>
      <c r="N64" s="229">
        <v>0</v>
      </c>
      <c r="O64" s="229">
        <v>0</v>
      </c>
      <c r="P64" s="229">
        <v>0</v>
      </c>
      <c r="Q64" s="229">
        <v>0</v>
      </c>
      <c r="R64" s="229">
        <v>0</v>
      </c>
      <c r="S64" s="229">
        <v>0</v>
      </c>
      <c r="T64" s="229">
        <v>0</v>
      </c>
      <c r="U64" s="229">
        <v>0</v>
      </c>
      <c r="V64" s="229">
        <v>0</v>
      </c>
      <c r="W64" s="229">
        <v>0</v>
      </c>
      <c r="X64" s="229">
        <v>0</v>
      </c>
      <c r="Y64" s="229">
        <v>0</v>
      </c>
      <c r="Z64" s="229"/>
      <c r="AA64" s="229"/>
      <c r="AB64" s="229"/>
      <c r="AC64" s="229"/>
    </row>
    <row r="65" spans="1:29" s="165" customFormat="1" ht="13.8">
      <c r="A65" s="591" t="s">
        <v>1104</v>
      </c>
      <c r="B65" s="57" t="s">
        <v>2005</v>
      </c>
      <c r="C65" s="57"/>
      <c r="D65" s="57"/>
      <c r="E65" s="57"/>
      <c r="F65" s="57"/>
      <c r="G65" s="57"/>
      <c r="H65" s="229"/>
      <c r="I65" s="229"/>
      <c r="J65" s="229">
        <v>108238</v>
      </c>
      <c r="K65" s="229">
        <v>-26564</v>
      </c>
      <c r="L65" s="229">
        <v>-54656</v>
      </c>
      <c r="M65" s="229">
        <v>-63366</v>
      </c>
      <c r="N65" s="229">
        <v>-209242</v>
      </c>
      <c r="O65" s="229">
        <v>-302874</v>
      </c>
      <c r="P65" s="229">
        <v>-94501</v>
      </c>
      <c r="Q65" s="229">
        <v>-211230</v>
      </c>
      <c r="R65" s="229">
        <v>-305592</v>
      </c>
      <c r="S65" s="229">
        <v>-447551</v>
      </c>
      <c r="T65" s="229">
        <v>-86747</v>
      </c>
      <c r="U65" s="229">
        <v>-214245</v>
      </c>
      <c r="V65" s="229">
        <v>-317607</v>
      </c>
      <c r="W65" s="229">
        <v>-454676</v>
      </c>
      <c r="X65" s="229">
        <v>-133491.51325000002</v>
      </c>
      <c r="Y65" s="229">
        <v>-278408</v>
      </c>
      <c r="Z65" s="229">
        <v>-388403</v>
      </c>
      <c r="AA65" s="229">
        <v>-630576</v>
      </c>
      <c r="AB65" s="229">
        <v>-134400</v>
      </c>
      <c r="AC65" s="229">
        <v>-271964</v>
      </c>
    </row>
    <row r="66" spans="1:29" s="165" customFormat="1" ht="13.8">
      <c r="A66" s="591" t="s">
        <v>1111</v>
      </c>
      <c r="B66" s="57" t="s">
        <v>2006</v>
      </c>
      <c r="C66" s="57"/>
      <c r="D66" s="57"/>
      <c r="E66" s="57"/>
      <c r="F66" s="57"/>
      <c r="G66" s="57"/>
      <c r="H66" s="229"/>
      <c r="I66" s="229"/>
      <c r="J66" s="229">
        <v>468930</v>
      </c>
      <c r="K66" s="229">
        <v>692129</v>
      </c>
      <c r="L66" s="229">
        <v>174943</v>
      </c>
      <c r="M66" s="229">
        <v>112544</v>
      </c>
      <c r="N66" s="229">
        <v>163795</v>
      </c>
      <c r="O66" s="229">
        <v>245198</v>
      </c>
      <c r="P66" s="229">
        <v>152686</v>
      </c>
      <c r="Q66" s="229">
        <v>58995</v>
      </c>
      <c r="R66" s="229">
        <v>13382</v>
      </c>
      <c r="S66" s="229">
        <v>530008</v>
      </c>
      <c r="T66" s="229">
        <v>198710</v>
      </c>
      <c r="U66" s="229">
        <v>593685</v>
      </c>
      <c r="V66" s="229">
        <v>775894</v>
      </c>
      <c r="W66" s="229">
        <v>995567</v>
      </c>
      <c r="X66" s="229">
        <v>216777</v>
      </c>
      <c r="Y66" s="229">
        <v>472165</v>
      </c>
      <c r="Z66" s="229">
        <v>759382</v>
      </c>
      <c r="AA66" s="229">
        <v>928902</v>
      </c>
      <c r="AB66" s="229">
        <v>97000</v>
      </c>
      <c r="AC66" s="229">
        <v>-228341</v>
      </c>
    </row>
    <row r="67" spans="1:29" s="165" customFormat="1" ht="13.8">
      <c r="A67" s="591" t="s">
        <v>1113</v>
      </c>
      <c r="B67" s="57" t="s">
        <v>2007</v>
      </c>
      <c r="C67" s="57"/>
      <c r="D67" s="57"/>
      <c r="E67" s="57"/>
      <c r="F67" s="57"/>
      <c r="G67" s="57"/>
      <c r="H67" s="229"/>
      <c r="I67" s="229"/>
      <c r="J67" s="229">
        <v>-66668</v>
      </c>
      <c r="K67" s="229">
        <v>-83368</v>
      </c>
      <c r="L67" s="229">
        <v>49674</v>
      </c>
      <c r="M67" s="229">
        <v>-230223</v>
      </c>
      <c r="N67" s="229">
        <v>-305309</v>
      </c>
      <c r="O67" s="229">
        <v>-505273</v>
      </c>
      <c r="P67" s="229">
        <v>177353</v>
      </c>
      <c r="Q67" s="229">
        <v>20975</v>
      </c>
      <c r="R67" s="229">
        <v>736570</v>
      </c>
      <c r="S67" s="229">
        <v>175021</v>
      </c>
      <c r="T67" s="229">
        <v>-80700</v>
      </c>
      <c r="U67" s="229">
        <v>-161881</v>
      </c>
      <c r="V67" s="229">
        <v>17814</v>
      </c>
      <c r="W67" s="229">
        <v>-194605</v>
      </c>
      <c r="X67" s="229">
        <v>10990</v>
      </c>
      <c r="Y67" s="229">
        <v>52271</v>
      </c>
      <c r="Z67" s="229">
        <v>159851</v>
      </c>
      <c r="AA67" s="229">
        <v>-42008</v>
      </c>
      <c r="AB67" s="229">
        <v>4196</v>
      </c>
      <c r="AC67" s="229">
        <v>56792</v>
      </c>
    </row>
    <row r="68" spans="1:29" s="165" customFormat="1" ht="13.8">
      <c r="A68" s="591" t="s">
        <v>1425</v>
      </c>
      <c r="B68" s="57" t="s">
        <v>775</v>
      </c>
      <c r="C68" s="57"/>
      <c r="D68" s="57"/>
      <c r="E68" s="57"/>
      <c r="F68" s="57"/>
      <c r="G68" s="57"/>
      <c r="H68" s="229"/>
      <c r="I68" s="229"/>
      <c r="J68" s="229">
        <v>0</v>
      </c>
      <c r="K68" s="229">
        <v>0</v>
      </c>
      <c r="L68" s="229">
        <v>0</v>
      </c>
      <c r="M68" s="229">
        <v>0</v>
      </c>
      <c r="N68" s="229">
        <v>0</v>
      </c>
      <c r="O68" s="229">
        <v>0</v>
      </c>
      <c r="P68" s="229">
        <v>0</v>
      </c>
      <c r="Q68" s="229">
        <v>0</v>
      </c>
      <c r="R68" s="229">
        <v>0</v>
      </c>
      <c r="S68" s="229">
        <v>0</v>
      </c>
      <c r="T68" s="229">
        <v>0</v>
      </c>
      <c r="U68" s="229">
        <v>0</v>
      </c>
      <c r="V68" s="229">
        <v>0</v>
      </c>
      <c r="W68" s="229">
        <v>0</v>
      </c>
      <c r="X68" s="229">
        <v>0</v>
      </c>
      <c r="Y68" s="229">
        <v>0</v>
      </c>
      <c r="Z68" s="229"/>
      <c r="AA68" s="229"/>
      <c r="AB68" s="229"/>
      <c r="AC68" s="229"/>
    </row>
    <row r="69" spans="1:29" s="165" customFormat="1" ht="13.8">
      <c r="A69" s="591" t="s">
        <v>1119</v>
      </c>
      <c r="B69" s="57" t="s">
        <v>1120</v>
      </c>
      <c r="C69" s="57"/>
      <c r="D69" s="57"/>
      <c r="E69" s="57"/>
      <c r="F69" s="57"/>
      <c r="G69" s="57"/>
      <c r="H69" s="229"/>
      <c r="I69" s="229"/>
      <c r="J69" s="229">
        <v>-5303</v>
      </c>
      <c r="K69" s="229">
        <v>6022</v>
      </c>
      <c r="L69" s="229">
        <v>-2884</v>
      </c>
      <c r="M69" s="229">
        <v>-7650</v>
      </c>
      <c r="N69" s="229">
        <v>-917</v>
      </c>
      <c r="O69" s="229">
        <v>6437</v>
      </c>
      <c r="P69" s="229">
        <v>-3714</v>
      </c>
      <c r="Q69" s="229">
        <v>14144</v>
      </c>
      <c r="R69" s="229">
        <v>12477</v>
      </c>
      <c r="S69" s="229">
        <v>43372</v>
      </c>
      <c r="T69" s="229">
        <v>9341</v>
      </c>
      <c r="U69" s="229">
        <v>-2426</v>
      </c>
      <c r="V69" s="229">
        <v>-2933</v>
      </c>
      <c r="W69" s="229">
        <v>8982</v>
      </c>
      <c r="X69" s="229">
        <v>-17796</v>
      </c>
      <c r="Y69" s="229">
        <v>-18287</v>
      </c>
      <c r="Z69" s="229">
        <v>-967</v>
      </c>
      <c r="AA69" s="229">
        <v>64033</v>
      </c>
      <c r="AB69" s="229">
        <v>-6447</v>
      </c>
      <c r="AC69" s="229">
        <v>-2510</v>
      </c>
    </row>
    <row r="70" spans="1:29" s="165" customFormat="1" ht="13.8">
      <c r="A70" s="591" t="s">
        <v>1117</v>
      </c>
      <c r="B70" s="57" t="s">
        <v>1118</v>
      </c>
      <c r="C70" s="57"/>
      <c r="D70" s="57"/>
      <c r="E70" s="57"/>
      <c r="F70" s="57"/>
      <c r="G70" s="57"/>
      <c r="H70" s="229"/>
      <c r="I70" s="229"/>
      <c r="J70" s="229">
        <v>-492426</v>
      </c>
      <c r="K70" s="229">
        <v>-797359</v>
      </c>
      <c r="L70" s="229">
        <v>-52014</v>
      </c>
      <c r="M70" s="229">
        <v>-112126</v>
      </c>
      <c r="N70" s="229">
        <v>-155733</v>
      </c>
      <c r="O70" s="229">
        <v>-178883</v>
      </c>
      <c r="P70" s="229">
        <v>-114873</v>
      </c>
      <c r="Q70" s="229">
        <v>-112729</v>
      </c>
      <c r="R70" s="229">
        <v>-201912</v>
      </c>
      <c r="S70" s="229">
        <v>-326863</v>
      </c>
      <c r="T70" s="229">
        <v>-97430</v>
      </c>
      <c r="U70" s="229">
        <v>187914</v>
      </c>
      <c r="V70" s="229">
        <v>373697</v>
      </c>
      <c r="W70" s="229">
        <v>278094</v>
      </c>
      <c r="X70" s="229">
        <v>74873</v>
      </c>
      <c r="Y70" s="229">
        <v>204878</v>
      </c>
      <c r="Z70" s="229">
        <v>299915</v>
      </c>
      <c r="AA70" s="229">
        <v>347754.01851000002</v>
      </c>
      <c r="AB70" s="229">
        <v>133695</v>
      </c>
      <c r="AC70" s="229">
        <v>278905</v>
      </c>
    </row>
    <row r="71" spans="1:29" s="165" customFormat="1" ht="13.8">
      <c r="A71" s="591" t="s">
        <v>1123</v>
      </c>
      <c r="B71" s="57" t="s">
        <v>2008</v>
      </c>
      <c r="C71" s="57"/>
      <c r="D71" s="57"/>
      <c r="E71" s="57"/>
      <c r="F71" s="57"/>
      <c r="G71" s="57"/>
      <c r="H71" s="229"/>
      <c r="I71" s="229"/>
      <c r="J71" s="229">
        <v>-55217</v>
      </c>
      <c r="K71" s="229">
        <v>-66421</v>
      </c>
      <c r="L71" s="229">
        <v>1116</v>
      </c>
      <c r="M71" s="229">
        <v>-75088</v>
      </c>
      <c r="N71" s="229">
        <v>-75420</v>
      </c>
      <c r="O71" s="229">
        <v>-73396</v>
      </c>
      <c r="P71" s="229">
        <v>-80726</v>
      </c>
      <c r="Q71" s="229">
        <v>-81424</v>
      </c>
      <c r="R71" s="229">
        <v>-62001</v>
      </c>
      <c r="S71" s="229">
        <v>-100518</v>
      </c>
      <c r="T71" s="229">
        <v>-82232</v>
      </c>
      <c r="U71" s="229">
        <v>-131146</v>
      </c>
      <c r="V71" s="229">
        <v>-117577</v>
      </c>
      <c r="W71" s="229">
        <v>-93102</v>
      </c>
      <c r="X71" s="229">
        <v>-139757</v>
      </c>
      <c r="Y71" s="229">
        <v>-165988</v>
      </c>
      <c r="Z71" s="229">
        <v>-153097</v>
      </c>
      <c r="AA71" s="229">
        <v>-100426</v>
      </c>
      <c r="AB71" s="229">
        <v>35646</v>
      </c>
      <c r="AC71" s="229">
        <v>-174014</v>
      </c>
    </row>
    <row r="72" spans="1:29" s="4" customFormat="1" ht="13.8">
      <c r="A72" s="591" t="s">
        <v>1426</v>
      </c>
      <c r="B72" s="57" t="s">
        <v>2009</v>
      </c>
      <c r="C72" s="104"/>
      <c r="D72" s="104"/>
      <c r="E72" s="104"/>
      <c r="F72" s="104"/>
      <c r="G72" s="104"/>
      <c r="H72" s="138"/>
      <c r="I72" s="138"/>
      <c r="J72" s="229">
        <v>55437</v>
      </c>
      <c r="K72" s="229">
        <v>-6578</v>
      </c>
      <c r="L72" s="229">
        <v>-61213</v>
      </c>
      <c r="M72" s="229">
        <v>-116369</v>
      </c>
      <c r="N72" s="229">
        <v>-179338</v>
      </c>
      <c r="O72" s="229">
        <v>211990</v>
      </c>
      <c r="P72" s="229">
        <v>-72889</v>
      </c>
      <c r="Q72" s="138">
        <v>-180421</v>
      </c>
      <c r="R72" s="138">
        <v>-748033</v>
      </c>
      <c r="S72" s="138">
        <v>-497777</v>
      </c>
      <c r="T72" s="138">
        <v>-129702</v>
      </c>
      <c r="U72" s="138">
        <v>-277249</v>
      </c>
      <c r="V72" s="138">
        <v>-424672</v>
      </c>
      <c r="W72" s="138">
        <v>-716969</v>
      </c>
      <c r="X72" s="138">
        <v>-100234</v>
      </c>
      <c r="Y72" s="229">
        <v>-308444</v>
      </c>
      <c r="Z72" s="229">
        <v>-461335</v>
      </c>
      <c r="AA72" s="229">
        <v>-829281</v>
      </c>
      <c r="AB72" s="229">
        <v>-226275</v>
      </c>
      <c r="AC72" s="229">
        <v>-462933</v>
      </c>
    </row>
    <row r="73" spans="1:29" s="165" customFormat="1" ht="13.8">
      <c r="A73" s="591" t="s">
        <v>1489</v>
      </c>
      <c r="B73" s="57" t="s">
        <v>2010</v>
      </c>
      <c r="C73" s="57"/>
      <c r="D73" s="57"/>
      <c r="E73" s="57"/>
      <c r="F73" s="57"/>
      <c r="G73" s="57"/>
      <c r="H73" s="229"/>
      <c r="I73" s="229"/>
      <c r="J73" s="229">
        <v>-13748</v>
      </c>
      <c r="K73" s="229">
        <v>-101393</v>
      </c>
      <c r="L73" s="229">
        <v>10912</v>
      </c>
      <c r="M73" s="229">
        <v>22794</v>
      </c>
      <c r="N73" s="229">
        <v>30050</v>
      </c>
      <c r="O73" s="229">
        <v>-57531</v>
      </c>
      <c r="P73" s="229">
        <v>9026</v>
      </c>
      <c r="Q73" s="229">
        <v>16955</v>
      </c>
      <c r="R73" s="229">
        <v>8539</v>
      </c>
      <c r="S73" s="229">
        <v>-108501</v>
      </c>
      <c r="T73" s="229">
        <v>0</v>
      </c>
      <c r="U73" s="229">
        <v>14632</v>
      </c>
      <c r="V73" s="229">
        <v>0</v>
      </c>
      <c r="W73" s="229">
        <v>-112768</v>
      </c>
      <c r="X73" s="229">
        <v>0</v>
      </c>
      <c r="Y73" s="229">
        <v>0</v>
      </c>
      <c r="Z73" s="229"/>
      <c r="AA73" s="229">
        <v>5289</v>
      </c>
      <c r="AB73" s="229"/>
      <c r="AC73" s="229"/>
    </row>
    <row r="74" spans="1:29" s="165" customFormat="1" ht="13.8">
      <c r="A74" s="591" t="s">
        <v>1479</v>
      </c>
      <c r="B74" s="57" t="s">
        <v>1126</v>
      </c>
      <c r="C74" s="57"/>
      <c r="D74" s="57"/>
      <c r="E74" s="57"/>
      <c r="F74" s="57"/>
      <c r="G74" s="57"/>
      <c r="H74" s="229"/>
      <c r="I74" s="229"/>
      <c r="J74" s="229">
        <v>0</v>
      </c>
      <c r="K74" s="229">
        <v>0</v>
      </c>
      <c r="L74" s="229">
        <v>0</v>
      </c>
      <c r="M74" s="229">
        <v>0</v>
      </c>
      <c r="N74" s="229">
        <v>0</v>
      </c>
      <c r="O74" s="229">
        <v>0</v>
      </c>
      <c r="P74" s="229">
        <v>0</v>
      </c>
      <c r="Q74" s="229">
        <v>0</v>
      </c>
      <c r="R74" s="229">
        <v>0</v>
      </c>
      <c r="S74" s="229">
        <v>0</v>
      </c>
      <c r="T74" s="229">
        <v>0</v>
      </c>
      <c r="U74" s="229">
        <v>0</v>
      </c>
      <c r="V74" s="229">
        <v>0</v>
      </c>
      <c r="W74" s="229">
        <v>0</v>
      </c>
      <c r="X74" s="229">
        <v>0</v>
      </c>
      <c r="Y74" s="229">
        <v>0</v>
      </c>
      <c r="Z74" s="229"/>
      <c r="AA74" s="229"/>
      <c r="AB74" s="229"/>
      <c r="AC74" s="229"/>
    </row>
    <row r="75" spans="1:29" s="165" customFormat="1" ht="13.8">
      <c r="A75" s="591" t="s">
        <v>1265</v>
      </c>
      <c r="B75" s="57" t="s">
        <v>1266</v>
      </c>
      <c r="C75" s="57"/>
      <c r="D75" s="57"/>
      <c r="E75" s="57"/>
      <c r="F75" s="57"/>
      <c r="G75" s="57"/>
      <c r="H75" s="229"/>
      <c r="I75" s="229"/>
      <c r="J75" s="229">
        <v>0</v>
      </c>
      <c r="K75" s="229">
        <v>0</v>
      </c>
      <c r="L75" s="229">
        <v>0</v>
      </c>
      <c r="M75" s="229">
        <v>0</v>
      </c>
      <c r="N75" s="229">
        <v>0</v>
      </c>
      <c r="O75" s="229">
        <v>0</v>
      </c>
      <c r="P75" s="229">
        <v>0</v>
      </c>
      <c r="Q75" s="229">
        <v>-263328</v>
      </c>
      <c r="R75" s="229">
        <v>-290242</v>
      </c>
      <c r="S75" s="229">
        <v>0</v>
      </c>
      <c r="T75" s="229">
        <v>0</v>
      </c>
      <c r="U75" s="229">
        <v>-3</v>
      </c>
      <c r="V75" s="229">
        <v>0</v>
      </c>
      <c r="W75" s="229">
        <v>0</v>
      </c>
      <c r="X75" s="229">
        <v>0</v>
      </c>
      <c r="Y75" s="229">
        <v>0</v>
      </c>
      <c r="Z75" s="229"/>
      <c r="AA75" s="229"/>
      <c r="AB75" s="229"/>
      <c r="AC75" s="229"/>
    </row>
    <row r="76" spans="1:29" s="165" customFormat="1" ht="13.8">
      <c r="A76" s="591" t="s">
        <v>1129</v>
      </c>
      <c r="B76" s="57" t="s">
        <v>2011</v>
      </c>
      <c r="C76" s="57"/>
      <c r="D76" s="57"/>
      <c r="E76" s="57"/>
      <c r="F76" s="57"/>
      <c r="G76" s="57"/>
      <c r="H76" s="229"/>
      <c r="I76" s="229"/>
      <c r="J76" s="229">
        <v>110021</v>
      </c>
      <c r="K76" s="229">
        <v>259539</v>
      </c>
      <c r="L76" s="229">
        <v>-134723</v>
      </c>
      <c r="M76" s="229">
        <v>-343757</v>
      </c>
      <c r="N76" s="229">
        <v>-157868</v>
      </c>
      <c r="O76" s="229">
        <v>-147311</v>
      </c>
      <c r="P76" s="229">
        <v>59756</v>
      </c>
      <c r="Q76" s="229">
        <v>323735</v>
      </c>
      <c r="R76" s="229">
        <v>390645</v>
      </c>
      <c r="S76" s="229">
        <v>204107</v>
      </c>
      <c r="T76" s="229">
        <v>0</v>
      </c>
      <c r="U76" s="229">
        <v>166223</v>
      </c>
      <c r="V76" s="229">
        <v>388524</v>
      </c>
      <c r="W76" s="229">
        <v>623364</v>
      </c>
      <c r="X76" s="229">
        <v>-110230</v>
      </c>
      <c r="Y76" s="229">
        <v>12690</v>
      </c>
      <c r="Z76" s="229">
        <v>452889</v>
      </c>
      <c r="AA76" s="229">
        <v>339484</v>
      </c>
      <c r="AB76" s="229">
        <v>-134822</v>
      </c>
      <c r="AC76" s="229">
        <v>-188277</v>
      </c>
    </row>
    <row r="77" spans="1:29" s="165" customFormat="1" ht="13.8">
      <c r="A77" s="591" t="s">
        <v>1127</v>
      </c>
      <c r="B77" s="57" t="s">
        <v>1991</v>
      </c>
      <c r="C77" s="57"/>
      <c r="D77" s="57"/>
      <c r="E77" s="57"/>
      <c r="F77" s="57"/>
      <c r="G77" s="57"/>
      <c r="H77" s="229"/>
      <c r="I77" s="229"/>
      <c r="J77" s="229">
        <v>9066</v>
      </c>
      <c r="K77" s="229">
        <v>50846</v>
      </c>
      <c r="L77" s="229">
        <v>-32221</v>
      </c>
      <c r="M77" s="229">
        <v>52784</v>
      </c>
      <c r="N77" s="229">
        <v>54729</v>
      </c>
      <c r="O77" s="229">
        <v>45693</v>
      </c>
      <c r="P77" s="229">
        <v>19327</v>
      </c>
      <c r="Q77" s="229">
        <v>102884</v>
      </c>
      <c r="R77" s="229">
        <v>7050</v>
      </c>
      <c r="S77" s="229">
        <v>-12164</v>
      </c>
      <c r="T77" s="229">
        <v>-42472</v>
      </c>
      <c r="U77" s="229">
        <v>0</v>
      </c>
      <c r="V77" s="229">
        <v>0</v>
      </c>
      <c r="W77" s="229">
        <v>0</v>
      </c>
      <c r="X77" s="229">
        <v>0</v>
      </c>
      <c r="Y77" s="229">
        <v>0</v>
      </c>
      <c r="Z77" s="229"/>
      <c r="AA77" s="229"/>
      <c r="AB77" s="229"/>
      <c r="AC77" s="229"/>
    </row>
    <row r="78" spans="1:29" s="165" customFormat="1" ht="13.8">
      <c r="A78" s="591" t="s">
        <v>1234</v>
      </c>
      <c r="B78" s="57" t="s">
        <v>2012</v>
      </c>
      <c r="C78" s="57"/>
      <c r="D78" s="57"/>
      <c r="E78" s="57"/>
      <c r="F78" s="57"/>
      <c r="G78" s="57"/>
      <c r="H78" s="229"/>
      <c r="I78" s="229"/>
      <c r="J78" s="229">
        <v>29234</v>
      </c>
      <c r="K78" s="229">
        <v>54318</v>
      </c>
      <c r="L78" s="229">
        <v>6036</v>
      </c>
      <c r="M78" s="229">
        <v>7875</v>
      </c>
      <c r="N78" s="229">
        <v>7875</v>
      </c>
      <c r="O78" s="229">
        <v>7875</v>
      </c>
      <c r="P78" s="229">
        <v>0</v>
      </c>
      <c r="Q78" s="229">
        <v>0</v>
      </c>
      <c r="R78" s="229">
        <v>0</v>
      </c>
      <c r="S78" s="229">
        <v>0</v>
      </c>
      <c r="T78" s="229">
        <v>0</v>
      </c>
      <c r="U78" s="229">
        <v>0</v>
      </c>
      <c r="V78" s="229">
        <v>0</v>
      </c>
      <c r="W78" s="229">
        <v>0</v>
      </c>
      <c r="X78" s="229">
        <v>0</v>
      </c>
      <c r="Y78" s="229">
        <v>341272</v>
      </c>
      <c r="Z78" s="229"/>
      <c r="AA78" s="229"/>
      <c r="AB78" s="229"/>
      <c r="AC78" s="229"/>
    </row>
    <row r="79" spans="1:29" s="165" customFormat="1" ht="13.8">
      <c r="A79" s="591" t="s">
        <v>1428</v>
      </c>
      <c r="B79" s="57" t="s">
        <v>2013</v>
      </c>
      <c r="C79" s="57"/>
      <c r="D79" s="57"/>
      <c r="E79" s="57"/>
      <c r="F79" s="57"/>
      <c r="G79" s="57"/>
      <c r="H79" s="229"/>
      <c r="I79" s="229"/>
      <c r="J79" s="229">
        <v>0</v>
      </c>
      <c r="K79" s="229">
        <v>0</v>
      </c>
      <c r="L79" s="229">
        <v>0</v>
      </c>
      <c r="M79" s="229">
        <v>0</v>
      </c>
      <c r="N79" s="229">
        <v>0</v>
      </c>
      <c r="O79" s="229">
        <v>0</v>
      </c>
      <c r="P79" s="229">
        <v>0</v>
      </c>
      <c r="Q79" s="229">
        <v>0</v>
      </c>
      <c r="R79" s="229">
        <v>0</v>
      </c>
      <c r="S79" s="229">
        <v>0</v>
      </c>
      <c r="T79" s="229">
        <v>0</v>
      </c>
      <c r="U79" s="229">
        <v>-2229</v>
      </c>
      <c r="V79" s="229">
        <v>-2710</v>
      </c>
      <c r="W79" s="229">
        <v>-964</v>
      </c>
      <c r="X79" s="229">
        <v>0</v>
      </c>
      <c r="Y79" s="229">
        <v>0</v>
      </c>
      <c r="Z79" s="229"/>
      <c r="AA79" s="229"/>
      <c r="AB79" s="229"/>
      <c r="AC79" s="229"/>
    </row>
    <row r="80" spans="1:29" s="578" customFormat="1" ht="13.8">
      <c r="A80" s="592" t="s">
        <v>1429</v>
      </c>
      <c r="B80" s="592" t="s">
        <v>2034</v>
      </c>
      <c r="C80" s="592"/>
      <c r="D80" s="592">
        <f t="shared" ref="D80:Z80" si="1">SUM(D48:D79)</f>
        <v>0</v>
      </c>
      <c r="E80" s="592">
        <f t="shared" si="1"/>
        <v>0</v>
      </c>
      <c r="F80" s="592">
        <f t="shared" si="1"/>
        <v>0</v>
      </c>
      <c r="G80" s="592">
        <f t="shared" si="1"/>
        <v>0</v>
      </c>
      <c r="H80" s="593">
        <f t="shared" si="1"/>
        <v>0</v>
      </c>
      <c r="I80" s="593">
        <f t="shared" si="1"/>
        <v>0</v>
      </c>
      <c r="J80" s="593">
        <f t="shared" si="1"/>
        <v>1708781</v>
      </c>
      <c r="K80" s="593">
        <f t="shared" si="1"/>
        <v>2255997</v>
      </c>
      <c r="L80" s="593">
        <f t="shared" si="1"/>
        <v>637216</v>
      </c>
      <c r="M80" s="593">
        <f t="shared" si="1"/>
        <v>3139727</v>
      </c>
      <c r="N80" s="593">
        <f t="shared" si="1"/>
        <v>4404529</v>
      </c>
      <c r="O80" s="593">
        <f t="shared" si="1"/>
        <v>5959703</v>
      </c>
      <c r="P80" s="593">
        <f t="shared" si="1"/>
        <v>1596265</v>
      </c>
      <c r="Q80" s="593">
        <f t="shared" si="1"/>
        <v>3936125</v>
      </c>
      <c r="R80" s="593">
        <f t="shared" si="1"/>
        <v>5593569</v>
      </c>
      <c r="S80" s="593">
        <f t="shared" si="1"/>
        <v>7916367</v>
      </c>
      <c r="T80" s="593">
        <f t="shared" si="1"/>
        <v>1435102</v>
      </c>
      <c r="U80" s="593">
        <f t="shared" si="1"/>
        <v>2971489</v>
      </c>
      <c r="V80" s="593">
        <f t="shared" si="1"/>
        <v>5389213</v>
      </c>
      <c r="W80" s="593">
        <f t="shared" si="1"/>
        <v>7393504</v>
      </c>
      <c r="X80" s="593">
        <f t="shared" si="1"/>
        <v>1562613.4867499999</v>
      </c>
      <c r="Y80" s="593">
        <f t="shared" si="1"/>
        <v>4061678</v>
      </c>
      <c r="Z80" s="593">
        <f t="shared" si="1"/>
        <v>5632375</v>
      </c>
      <c r="AA80" s="593">
        <v>8117481</v>
      </c>
      <c r="AB80" s="593">
        <f>SUM(AB48:AB79)</f>
        <v>1983676</v>
      </c>
      <c r="AC80" s="593">
        <f>SUM(AC48:AC79)</f>
        <v>2842059</v>
      </c>
    </row>
    <row r="82" spans="1:29" s="165" customFormat="1" ht="13.8">
      <c r="A82" s="57" t="s">
        <v>2099</v>
      </c>
      <c r="B82" s="57"/>
      <c r="C82" s="57"/>
      <c r="D82" s="57"/>
      <c r="E82" s="57"/>
      <c r="F82" s="57"/>
      <c r="G82" s="57"/>
      <c r="H82" s="229"/>
      <c r="I82" s="229"/>
      <c r="J82" s="229"/>
      <c r="K82" s="229"/>
      <c r="L82" s="229"/>
      <c r="M82" s="229"/>
      <c r="N82" s="229"/>
      <c r="O82" s="229"/>
      <c r="P82" s="57"/>
      <c r="Q82" s="229"/>
      <c r="R82" s="229"/>
      <c r="S82" s="229"/>
      <c r="T82" s="229"/>
      <c r="U82" s="229"/>
      <c r="V82" s="229"/>
      <c r="W82" s="229"/>
      <c r="X82" s="229"/>
      <c r="Y82" s="229"/>
      <c r="Z82" s="229">
        <v>341272</v>
      </c>
      <c r="AA82" s="229">
        <v>341272</v>
      </c>
      <c r="AB82" s="229">
        <v>0</v>
      </c>
      <c r="AC82" s="229">
        <v>310564</v>
      </c>
    </row>
    <row r="83" spans="1:29" s="165" customFormat="1" ht="13.8">
      <c r="A83" s="594" t="s">
        <v>1396</v>
      </c>
      <c r="B83" s="57" t="s">
        <v>1397</v>
      </c>
      <c r="C83" s="57"/>
      <c r="D83" s="57"/>
      <c r="E83" s="57"/>
      <c r="F83" s="57"/>
      <c r="G83" s="57"/>
      <c r="H83" s="57"/>
      <c r="I83" s="57"/>
      <c r="J83" s="57"/>
      <c r="K83" s="229"/>
      <c r="L83" s="229"/>
      <c r="M83" s="229"/>
      <c r="N83" s="229"/>
      <c r="O83" s="229"/>
      <c r="P83" s="229"/>
      <c r="Q83" s="229"/>
      <c r="R83" s="229">
        <v>810310</v>
      </c>
      <c r="S83" s="229">
        <v>1210334</v>
      </c>
      <c r="T83" s="229">
        <v>281573</v>
      </c>
      <c r="U83" s="229"/>
      <c r="V83" s="229">
        <v>855555</v>
      </c>
      <c r="W83" s="229">
        <v>1193096</v>
      </c>
      <c r="X83" s="229">
        <v>363820</v>
      </c>
      <c r="Y83" s="229">
        <v>108893</v>
      </c>
      <c r="Z83" s="229">
        <v>695594</v>
      </c>
      <c r="AA83" s="229">
        <v>1129968</v>
      </c>
      <c r="AB83" s="229">
        <v>235130</v>
      </c>
      <c r="AC83" s="229">
        <v>384316</v>
      </c>
    </row>
    <row r="84" spans="1:29" s="165" customFormat="1" ht="13.8">
      <c r="A84" s="594" t="s">
        <v>1430</v>
      </c>
      <c r="B84" s="57" t="s">
        <v>2016</v>
      </c>
      <c r="C84" s="57"/>
      <c r="D84" s="57"/>
      <c r="E84" s="57"/>
      <c r="F84" s="57"/>
      <c r="G84" s="57"/>
      <c r="H84" s="57"/>
      <c r="I84" s="57"/>
      <c r="J84" s="229">
        <v>-4090</v>
      </c>
      <c r="K84" s="229">
        <v>-5773</v>
      </c>
      <c r="L84" s="229">
        <v>-16008</v>
      </c>
      <c r="M84" s="229">
        <v>-33291</v>
      </c>
      <c r="N84" s="229">
        <v>-57863</v>
      </c>
      <c r="O84" s="229">
        <v>-63436</v>
      </c>
      <c r="P84" s="229">
        <v>-65814</v>
      </c>
      <c r="Q84" s="229">
        <v>-158730</v>
      </c>
      <c r="R84" s="229">
        <v>-234464</v>
      </c>
      <c r="S84" s="229">
        <v>-376509</v>
      </c>
      <c r="T84" s="229">
        <v>-34424</v>
      </c>
      <c r="U84" s="229">
        <v>-187950</v>
      </c>
      <c r="V84" s="229">
        <v>-204498</v>
      </c>
      <c r="W84" s="229">
        <v>0</v>
      </c>
      <c r="X84" s="229">
        <v>-33019</v>
      </c>
      <c r="Y84" s="229">
        <v>-164875</v>
      </c>
      <c r="Z84" s="229">
        <v>-351688</v>
      </c>
      <c r="AA84" s="229">
        <v>-562458</v>
      </c>
      <c r="AB84" s="229">
        <v>-152978</v>
      </c>
      <c r="AC84" s="229">
        <v>-229115</v>
      </c>
    </row>
    <row r="85" spans="1:29" s="165" customFormat="1" ht="13.8">
      <c r="A85" s="594" t="s">
        <v>1431</v>
      </c>
      <c r="B85" s="57" t="s">
        <v>2017</v>
      </c>
      <c r="C85" s="57"/>
      <c r="D85" s="57"/>
      <c r="E85" s="57"/>
      <c r="F85" s="57"/>
      <c r="G85" s="57"/>
      <c r="H85" s="229"/>
      <c r="I85" s="229"/>
      <c r="J85" s="229">
        <v>-590904</v>
      </c>
      <c r="K85" s="229">
        <v>-945963</v>
      </c>
      <c r="L85" s="229">
        <v>-469344</v>
      </c>
      <c r="M85" s="229">
        <v>-1030668</v>
      </c>
      <c r="N85" s="229">
        <v>-1519275</v>
      </c>
      <c r="O85" s="229">
        <v>-2428760</v>
      </c>
      <c r="P85" s="229">
        <v>-998466</v>
      </c>
      <c r="Q85" s="229">
        <v>-1799682</v>
      </c>
      <c r="R85" s="229">
        <v>-2891095</v>
      </c>
      <c r="S85" s="229">
        <v>-4400679</v>
      </c>
      <c r="T85" s="229">
        <v>-1012805</v>
      </c>
      <c r="U85" s="229">
        <v>-1876636</v>
      </c>
      <c r="V85" s="229">
        <v>-3103844</v>
      </c>
      <c r="W85" s="229">
        <v>-4335392</v>
      </c>
      <c r="X85" s="229">
        <v>-1056709</v>
      </c>
      <c r="Y85" s="229">
        <v>-2286137</v>
      </c>
      <c r="Z85" s="229">
        <v>-3584182</v>
      </c>
      <c r="AA85" s="229">
        <v>-5052396</v>
      </c>
      <c r="AB85" s="229">
        <v>-1382056</v>
      </c>
      <c r="AC85" s="229">
        <v>-2606630</v>
      </c>
    </row>
    <row r="86" spans="1:29" s="165" customFormat="1" ht="13.8">
      <c r="A86" s="595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</row>
    <row r="87" spans="1:29" s="578" customFormat="1" thickBot="1">
      <c r="A87" s="596" t="s">
        <v>1432</v>
      </c>
      <c r="B87" s="596" t="s">
        <v>2036</v>
      </c>
      <c r="C87" s="596"/>
      <c r="D87" s="596">
        <f t="shared" ref="D87:Z87" si="2">SUM(D80:D86)</f>
        <v>0</v>
      </c>
      <c r="E87" s="596">
        <f t="shared" si="2"/>
        <v>0</v>
      </c>
      <c r="F87" s="596">
        <f t="shared" si="2"/>
        <v>0</v>
      </c>
      <c r="G87" s="596">
        <f t="shared" si="2"/>
        <v>0</v>
      </c>
      <c r="H87" s="597">
        <f t="shared" si="2"/>
        <v>0</v>
      </c>
      <c r="I87" s="597">
        <f t="shared" si="2"/>
        <v>0</v>
      </c>
      <c r="J87" s="597">
        <f t="shared" si="2"/>
        <v>1113787</v>
      </c>
      <c r="K87" s="597">
        <f t="shared" si="2"/>
        <v>1304261</v>
      </c>
      <c r="L87" s="597">
        <f t="shared" si="2"/>
        <v>151864</v>
      </c>
      <c r="M87" s="597">
        <f t="shared" si="2"/>
        <v>2075768</v>
      </c>
      <c r="N87" s="597">
        <f t="shared" si="2"/>
        <v>2827391</v>
      </c>
      <c r="O87" s="597">
        <f t="shared" si="2"/>
        <v>3467507</v>
      </c>
      <c r="P87" s="597">
        <f t="shared" si="2"/>
        <v>531985</v>
      </c>
      <c r="Q87" s="597">
        <f t="shared" si="2"/>
        <v>1977713</v>
      </c>
      <c r="R87" s="597">
        <f t="shared" si="2"/>
        <v>3278320</v>
      </c>
      <c r="S87" s="597">
        <f t="shared" si="2"/>
        <v>4349513</v>
      </c>
      <c r="T87" s="597">
        <f t="shared" si="2"/>
        <v>669446</v>
      </c>
      <c r="U87" s="597">
        <f t="shared" si="2"/>
        <v>906903</v>
      </c>
      <c r="V87" s="597">
        <f t="shared" si="2"/>
        <v>2936426</v>
      </c>
      <c r="W87" s="597">
        <f t="shared" si="2"/>
        <v>4251208</v>
      </c>
      <c r="X87" s="597">
        <f t="shared" si="2"/>
        <v>836705.48674999992</v>
      </c>
      <c r="Y87" s="597">
        <f t="shared" si="2"/>
        <v>1719559</v>
      </c>
      <c r="Z87" s="597">
        <f t="shared" si="2"/>
        <v>2733371</v>
      </c>
      <c r="AA87" s="597">
        <v>3973867</v>
      </c>
      <c r="AB87" s="597">
        <f>SUM(AB80:AB86)</f>
        <v>683772</v>
      </c>
      <c r="AC87" s="597">
        <f>SUM(AC80:AC86)</f>
        <v>701194</v>
      </c>
    </row>
    <row r="88" spans="1:29" s="165" customFormat="1" ht="13.8">
      <c r="A88" s="57"/>
      <c r="B88" s="57"/>
      <c r="C88" s="57"/>
      <c r="D88" s="57"/>
      <c r="E88" s="57"/>
      <c r="F88" s="57"/>
      <c r="G88" s="57"/>
      <c r="H88" s="57"/>
      <c r="I88" s="57"/>
      <c r="J88" s="57"/>
      <c r="K88" s="229"/>
      <c r="L88" s="229"/>
      <c r="M88" s="229"/>
      <c r="N88" s="229"/>
      <c r="O88" s="229"/>
      <c r="P88" s="229"/>
      <c r="Q88" s="229"/>
      <c r="R88" s="229"/>
      <c r="S88" s="229"/>
      <c r="T88" s="229"/>
      <c r="U88" s="229"/>
      <c r="V88" s="229"/>
      <c r="W88" s="229"/>
      <c r="X88" s="229"/>
      <c r="Y88" s="229"/>
      <c r="Z88" s="229"/>
      <c r="AA88" s="229"/>
      <c r="AB88" s="229"/>
      <c r="AC88" s="229"/>
    </row>
    <row r="89" spans="1:29" s="165" customFormat="1" ht="13.8">
      <c r="A89" s="134" t="s">
        <v>1433</v>
      </c>
      <c r="B89" s="589" t="s">
        <v>2037</v>
      </c>
      <c r="C89" s="57"/>
      <c r="D89" s="57"/>
      <c r="E89" s="57"/>
      <c r="F89" s="57"/>
      <c r="G89" s="57"/>
      <c r="H89" s="57"/>
      <c r="I89" s="57"/>
      <c r="J89" s="57"/>
      <c r="K89" s="229"/>
      <c r="L89" s="229"/>
      <c r="M89" s="229"/>
      <c r="N89" s="229"/>
      <c r="O89" s="229"/>
      <c r="P89" s="229"/>
      <c r="Q89" s="229"/>
      <c r="R89" s="229"/>
      <c r="S89" s="229"/>
      <c r="T89" s="229"/>
      <c r="U89" s="229"/>
      <c r="V89" s="229"/>
      <c r="W89" s="229"/>
      <c r="X89" s="229"/>
      <c r="Y89" s="229"/>
      <c r="Z89" s="229"/>
      <c r="AA89" s="229"/>
      <c r="AB89" s="229"/>
      <c r="AC89" s="229"/>
    </row>
    <row r="90" spans="1:29" s="165" customFormat="1" ht="13.8">
      <c r="A90" s="591" t="s">
        <v>1434</v>
      </c>
      <c r="B90" s="57" t="s">
        <v>2018</v>
      </c>
      <c r="C90" s="57"/>
      <c r="D90" s="57"/>
      <c r="E90" s="57"/>
      <c r="F90" s="57"/>
      <c r="G90" s="57"/>
      <c r="H90" s="57"/>
      <c r="I90" s="57"/>
      <c r="J90" s="229">
        <v>-3894</v>
      </c>
      <c r="K90" s="229">
        <v>-974100</v>
      </c>
      <c r="L90" s="229">
        <v>-22523</v>
      </c>
      <c r="M90" s="229">
        <v>-140105</v>
      </c>
      <c r="N90" s="229">
        <v>-183859</v>
      </c>
      <c r="O90" s="229">
        <v>-235188</v>
      </c>
      <c r="P90" s="229">
        <v>-54549</v>
      </c>
      <c r="Q90" s="229">
        <v>-41519</v>
      </c>
      <c r="R90" s="229">
        <v>-57050</v>
      </c>
      <c r="S90" s="229">
        <v>-83072</v>
      </c>
      <c r="T90" s="229">
        <v>-1300</v>
      </c>
      <c r="U90" s="229">
        <v>-10649</v>
      </c>
      <c r="V90" s="229">
        <v>-20248</v>
      </c>
      <c r="W90" s="229">
        <v>-40688</v>
      </c>
      <c r="X90" s="229">
        <v>-8695</v>
      </c>
      <c r="Y90" s="229">
        <v>-27542</v>
      </c>
      <c r="Z90" s="229">
        <v>-35026</v>
      </c>
      <c r="AA90" s="229">
        <v>-37507</v>
      </c>
      <c r="AB90" s="229">
        <v>-6689</v>
      </c>
      <c r="AC90" s="229">
        <v>-18226</v>
      </c>
    </row>
    <row r="91" spans="1:29" s="165" customFormat="1" ht="13.8">
      <c r="A91" s="598" t="s">
        <v>1435</v>
      </c>
      <c r="B91" s="57" t="s">
        <v>2019</v>
      </c>
      <c r="C91" s="57"/>
      <c r="D91" s="229"/>
      <c r="E91" s="229"/>
      <c r="F91" s="229"/>
      <c r="G91" s="229"/>
      <c r="H91" s="229"/>
      <c r="I91" s="229"/>
      <c r="J91" s="229"/>
      <c r="K91" s="229"/>
      <c r="L91" s="229"/>
      <c r="M91" s="229"/>
      <c r="N91" s="229"/>
      <c r="O91" s="229"/>
      <c r="P91" s="229"/>
      <c r="Q91" s="229"/>
      <c r="R91" s="229"/>
      <c r="S91" s="229">
        <v>142090</v>
      </c>
      <c r="T91" s="229"/>
      <c r="U91" s="229"/>
      <c r="V91" s="229"/>
      <c r="W91" s="229">
        <v>0</v>
      </c>
      <c r="X91" s="229"/>
      <c r="Y91" s="229"/>
      <c r="Z91" s="229"/>
      <c r="AA91" s="229"/>
      <c r="AB91" s="229"/>
      <c r="AC91" s="229"/>
    </row>
    <row r="92" spans="1:29" s="165" customFormat="1" ht="13.8">
      <c r="A92" s="591" t="s">
        <v>1436</v>
      </c>
      <c r="B92" s="57" t="s">
        <v>2020</v>
      </c>
      <c r="C92" s="57"/>
      <c r="D92" s="229"/>
      <c r="E92" s="229"/>
      <c r="F92" s="229"/>
      <c r="G92" s="229"/>
      <c r="H92" s="229"/>
      <c r="I92" s="229"/>
      <c r="J92" s="229"/>
      <c r="K92" s="229"/>
      <c r="L92" s="229"/>
      <c r="M92" s="229"/>
      <c r="N92" s="229"/>
      <c r="O92" s="229"/>
      <c r="P92" s="229"/>
      <c r="Q92" s="229">
        <v>-873830</v>
      </c>
      <c r="R92" s="229">
        <v>-2004988</v>
      </c>
      <c r="S92" s="229">
        <v>-2606231</v>
      </c>
      <c r="T92" s="229">
        <v>-250463</v>
      </c>
      <c r="U92" s="229">
        <v>-388629</v>
      </c>
      <c r="V92" s="229">
        <v>-280050</v>
      </c>
      <c r="W92" s="229">
        <v>-404177</v>
      </c>
      <c r="X92" s="229">
        <v>-15842</v>
      </c>
      <c r="Y92" s="229">
        <v>-65473</v>
      </c>
      <c r="Z92" s="229">
        <v>-140109</v>
      </c>
      <c r="AA92" s="229">
        <v>-198804</v>
      </c>
      <c r="AB92" s="229">
        <v>-37838</v>
      </c>
      <c r="AC92" s="229">
        <v>-106409</v>
      </c>
    </row>
    <row r="93" spans="1:29" s="165" customFormat="1" ht="13.8">
      <c r="A93" s="591" t="s">
        <v>1437</v>
      </c>
      <c r="B93" s="57" t="s">
        <v>2021</v>
      </c>
      <c r="C93" s="57"/>
      <c r="D93" s="229"/>
      <c r="E93" s="229"/>
      <c r="F93" s="229"/>
      <c r="G93" s="229"/>
      <c r="H93" s="229"/>
      <c r="I93" s="229"/>
      <c r="J93" s="229">
        <v>-1584222</v>
      </c>
      <c r="K93" s="229">
        <v>-2477267</v>
      </c>
      <c r="L93" s="229">
        <v>-658537</v>
      </c>
      <c r="M93" s="229">
        <v>-1735421</v>
      </c>
      <c r="N93" s="229">
        <v>-3128043</v>
      </c>
      <c r="O93" s="229">
        <v>-4847790</v>
      </c>
      <c r="P93" s="229">
        <v>-2016059</v>
      </c>
      <c r="Q93" s="229">
        <v>-3198985</v>
      </c>
      <c r="R93" s="229">
        <v>-4814008</v>
      </c>
      <c r="S93" s="229">
        <v>-6458751</v>
      </c>
      <c r="T93" s="229">
        <v>-1202386</v>
      </c>
      <c r="U93" s="229">
        <v>-1638115</v>
      </c>
      <c r="V93" s="229">
        <v>-4111792</v>
      </c>
      <c r="W93" s="229">
        <v>-5542130</v>
      </c>
      <c r="X93" s="229">
        <v>-1984299.4867499999</v>
      </c>
      <c r="Y93" s="229">
        <v>-4266423</v>
      </c>
      <c r="Z93" s="229">
        <v>-6572217</v>
      </c>
      <c r="AA93" s="229">
        <v>-7859071</v>
      </c>
      <c r="AB93" s="229">
        <v>-1942663</v>
      </c>
      <c r="AC93" s="229">
        <v>-3921802</v>
      </c>
    </row>
    <row r="94" spans="1:29" s="165" customFormat="1" ht="13.8">
      <c r="A94" s="591" t="s">
        <v>1438</v>
      </c>
      <c r="B94" s="57" t="s">
        <v>2022</v>
      </c>
      <c r="C94" s="57"/>
      <c r="D94" s="229"/>
      <c r="E94" s="229"/>
      <c r="F94" s="229"/>
      <c r="G94" s="229"/>
      <c r="H94" s="229"/>
      <c r="I94" s="229"/>
      <c r="J94" s="229">
        <v>192157</v>
      </c>
      <c r="K94" s="229">
        <v>218977</v>
      </c>
      <c r="L94" s="229">
        <v>34144</v>
      </c>
      <c r="M94" s="229">
        <v>260895</v>
      </c>
      <c r="N94" s="229">
        <v>409560</v>
      </c>
      <c r="O94" s="229">
        <v>587863</v>
      </c>
      <c r="P94" s="229">
        <v>80164</v>
      </c>
      <c r="Q94" s="229"/>
      <c r="R94" s="229"/>
      <c r="S94" s="229"/>
      <c r="T94" s="229"/>
      <c r="U94" s="229"/>
      <c r="V94" s="229"/>
      <c r="W94" s="229"/>
      <c r="X94" s="229"/>
      <c r="Y94" s="229"/>
      <c r="Z94" s="229"/>
      <c r="AA94" s="229"/>
      <c r="AB94" s="229"/>
      <c r="AC94" s="229"/>
    </row>
    <row r="95" spans="1:29" s="165" customFormat="1" ht="13.8">
      <c r="A95" s="591" t="s">
        <v>1439</v>
      </c>
      <c r="B95" s="57" t="s">
        <v>2023</v>
      </c>
      <c r="C95" s="57"/>
      <c r="D95" s="229"/>
      <c r="E95" s="229"/>
      <c r="F95" s="229"/>
      <c r="G95" s="229"/>
      <c r="H95" s="229"/>
      <c r="I95" s="229"/>
      <c r="J95" s="229"/>
      <c r="K95" s="229"/>
      <c r="L95" s="229"/>
      <c r="M95" s="229"/>
      <c r="N95" s="229"/>
      <c r="O95" s="229"/>
      <c r="P95" s="229"/>
      <c r="Q95" s="229"/>
      <c r="R95" s="229"/>
      <c r="S95" s="229"/>
      <c r="T95" s="229"/>
      <c r="U95" s="229"/>
      <c r="V95" s="229"/>
      <c r="W95" s="229"/>
      <c r="X95" s="229"/>
      <c r="Y95" s="229"/>
      <c r="Z95" s="229"/>
      <c r="AA95" s="229">
        <v>0</v>
      </c>
      <c r="AB95" s="229"/>
      <c r="AC95" s="229"/>
    </row>
    <row r="96" spans="1:29" s="165" customFormat="1" ht="13.8">
      <c r="A96" s="591" t="s">
        <v>1440</v>
      </c>
      <c r="B96" s="57" t="s">
        <v>2024</v>
      </c>
      <c r="C96" s="57"/>
      <c r="D96" s="229"/>
      <c r="E96" s="229"/>
      <c r="F96" s="229"/>
      <c r="G96" s="229"/>
      <c r="H96" s="229"/>
      <c r="I96" s="229"/>
      <c r="J96" s="229"/>
      <c r="K96" s="229"/>
      <c r="L96" s="229"/>
      <c r="M96" s="229"/>
      <c r="N96" s="229"/>
      <c r="O96" s="229">
        <v>-49118</v>
      </c>
      <c r="P96" s="229"/>
      <c r="Q96" s="229">
        <v>10000</v>
      </c>
      <c r="R96" s="229">
        <v>10000</v>
      </c>
      <c r="S96" s="229">
        <v>10000</v>
      </c>
      <c r="T96" s="229"/>
      <c r="U96" s="229"/>
      <c r="V96" s="229"/>
      <c r="W96" s="229"/>
      <c r="X96" s="229"/>
      <c r="Y96" s="229"/>
      <c r="Z96" s="229"/>
      <c r="AA96" s="229"/>
      <c r="AB96" s="229"/>
      <c r="AC96" s="229"/>
    </row>
    <row r="97" spans="1:29" s="165" customFormat="1" ht="13.8">
      <c r="A97" s="591" t="s">
        <v>1441</v>
      </c>
      <c r="B97" s="57" t="s">
        <v>2025</v>
      </c>
      <c r="C97" s="57"/>
      <c r="D97" s="229"/>
      <c r="E97" s="229"/>
      <c r="F97" s="229"/>
      <c r="G97" s="229"/>
      <c r="H97" s="229"/>
      <c r="I97" s="229"/>
      <c r="J97" s="229"/>
      <c r="K97" s="229"/>
      <c r="L97" s="229"/>
      <c r="M97" s="229"/>
      <c r="N97" s="229"/>
      <c r="O97" s="229"/>
      <c r="P97" s="229"/>
      <c r="Q97" s="229"/>
      <c r="R97" s="229"/>
      <c r="S97" s="229"/>
      <c r="T97" s="229"/>
      <c r="U97" s="229"/>
      <c r="V97" s="229"/>
      <c r="W97" s="229"/>
      <c r="X97" s="229"/>
      <c r="Y97" s="229"/>
      <c r="Z97" s="229"/>
      <c r="AA97" s="229"/>
      <c r="AB97" s="229"/>
      <c r="AC97" s="229"/>
    </row>
    <row r="98" spans="1:29" s="165" customFormat="1" ht="13.8">
      <c r="A98" s="591" t="s">
        <v>1483</v>
      </c>
      <c r="B98" s="57" t="s">
        <v>2026</v>
      </c>
      <c r="C98" s="57"/>
      <c r="D98" s="229"/>
      <c r="E98" s="229"/>
      <c r="F98" s="229"/>
      <c r="G98" s="229"/>
      <c r="H98" s="229"/>
      <c r="I98" s="229"/>
      <c r="J98" s="229"/>
      <c r="K98" s="229">
        <v>-51088</v>
      </c>
      <c r="L98" s="229"/>
      <c r="M98" s="229">
        <v>88077</v>
      </c>
      <c r="N98" s="229">
        <v>88077</v>
      </c>
      <c r="O98" s="229">
        <v>88077</v>
      </c>
      <c r="P98" s="229"/>
      <c r="Q98" s="229"/>
      <c r="R98" s="229"/>
      <c r="S98" s="229"/>
      <c r="T98" s="229">
        <v>320913</v>
      </c>
      <c r="U98" s="229">
        <v>320913</v>
      </c>
      <c r="V98" s="229">
        <v>320913</v>
      </c>
      <c r="W98" s="229">
        <v>1030913</v>
      </c>
      <c r="X98" s="229"/>
      <c r="Y98" s="229"/>
      <c r="Z98" s="229"/>
      <c r="AA98" s="229">
        <v>5389191</v>
      </c>
      <c r="AB98" s="229"/>
      <c r="AC98" s="229"/>
    </row>
    <row r="99" spans="1:29" s="165" customFormat="1" ht="13.8">
      <c r="A99" s="591" t="s">
        <v>1443</v>
      </c>
      <c r="B99" s="57" t="s">
        <v>2028</v>
      </c>
      <c r="C99" s="57"/>
      <c r="D99" s="229"/>
      <c r="E99" s="229"/>
      <c r="F99" s="229"/>
      <c r="G99" s="229"/>
      <c r="H99" s="229"/>
      <c r="I99" s="229"/>
      <c r="J99" s="229"/>
      <c r="K99" s="229"/>
      <c r="L99" s="229"/>
      <c r="M99" s="229"/>
      <c r="N99" s="229"/>
      <c r="O99" s="229"/>
      <c r="P99" s="229">
        <v>2103000</v>
      </c>
      <c r="Q99" s="229">
        <v>2103000</v>
      </c>
      <c r="R99" s="229">
        <v>2103000</v>
      </c>
      <c r="S99" s="229">
        <v>3403000</v>
      </c>
      <c r="T99" s="229"/>
      <c r="U99" s="229"/>
      <c r="V99" s="229"/>
      <c r="W99" s="229"/>
      <c r="X99" s="229"/>
      <c r="Y99" s="229"/>
      <c r="Z99" s="229"/>
      <c r="AA99" s="229"/>
      <c r="AB99" s="229"/>
      <c r="AC99" s="229"/>
    </row>
    <row r="100" spans="1:29" s="165" customFormat="1" ht="13.8">
      <c r="A100" s="591" t="s">
        <v>1444</v>
      </c>
      <c r="B100" s="57" t="s">
        <v>2029</v>
      </c>
      <c r="C100" s="57"/>
      <c r="D100" s="229"/>
      <c r="E100" s="229"/>
      <c r="F100" s="229"/>
      <c r="G100" s="229"/>
      <c r="H100" s="229"/>
      <c r="I100" s="229"/>
      <c r="J100" s="229"/>
      <c r="K100" s="229"/>
      <c r="L100" s="229"/>
      <c r="M100" s="229"/>
      <c r="N100" s="229"/>
      <c r="O100" s="229"/>
      <c r="P100" s="229"/>
      <c r="Q100" s="229"/>
      <c r="R100" s="229"/>
      <c r="S100" s="229"/>
      <c r="T100" s="229"/>
      <c r="U100" s="229"/>
      <c r="V100" s="229">
        <v>-6869274</v>
      </c>
      <c r="W100" s="229"/>
      <c r="X100" s="229"/>
      <c r="Y100" s="229"/>
      <c r="Z100" s="229"/>
      <c r="AA100" s="229"/>
      <c r="AB100" s="229"/>
      <c r="AC100" s="229">
        <v>-5593142</v>
      </c>
    </row>
    <row r="101" spans="1:29" s="165" customFormat="1" ht="13.8">
      <c r="A101" s="591" t="s">
        <v>1445</v>
      </c>
      <c r="B101" s="57" t="s">
        <v>2027</v>
      </c>
      <c r="C101" s="57"/>
      <c r="D101" s="229"/>
      <c r="E101" s="229"/>
      <c r="F101" s="229"/>
      <c r="G101" s="229"/>
      <c r="H101" s="229"/>
      <c r="I101" s="229"/>
      <c r="J101" s="229"/>
      <c r="K101" s="229"/>
      <c r="L101" s="229"/>
      <c r="M101" s="229"/>
      <c r="N101" s="229"/>
      <c r="O101" s="229"/>
      <c r="P101" s="229"/>
      <c r="Q101" s="229"/>
      <c r="R101" s="229"/>
      <c r="S101" s="229"/>
      <c r="T101" s="229"/>
      <c r="U101" s="229"/>
      <c r="V101" s="229"/>
      <c r="W101" s="229">
        <v>-6869274</v>
      </c>
      <c r="X101" s="229"/>
      <c r="Y101" s="229"/>
      <c r="Z101" s="229"/>
      <c r="AA101" s="229"/>
      <c r="AB101" s="229"/>
      <c r="AC101" s="229"/>
    </row>
    <row r="102" spans="1:29" s="165" customFormat="1" ht="13.8">
      <c r="A102" s="591" t="s">
        <v>1446</v>
      </c>
      <c r="B102" s="57" t="s">
        <v>2030</v>
      </c>
      <c r="C102" s="57"/>
      <c r="D102" s="229"/>
      <c r="E102" s="229"/>
      <c r="F102" s="229"/>
      <c r="G102" s="229"/>
      <c r="H102" s="229"/>
      <c r="I102" s="229"/>
      <c r="J102" s="229">
        <v>135892</v>
      </c>
      <c r="K102" s="229">
        <v>129055</v>
      </c>
      <c r="L102" s="229">
        <v>-6648759</v>
      </c>
      <c r="M102" s="229">
        <v>-6648759</v>
      </c>
      <c r="N102" s="229">
        <v>-6648759</v>
      </c>
      <c r="O102" s="229">
        <v>-8056434</v>
      </c>
      <c r="P102" s="229"/>
      <c r="Q102" s="229"/>
      <c r="R102" s="229"/>
      <c r="S102" s="229"/>
      <c r="T102" s="229"/>
      <c r="U102" s="229"/>
      <c r="V102" s="229"/>
      <c r="W102" s="229"/>
      <c r="X102" s="229"/>
      <c r="Y102" s="229"/>
      <c r="Z102" s="229"/>
      <c r="AA102" s="229"/>
      <c r="AB102" s="229"/>
      <c r="AC102" s="229"/>
    </row>
    <row r="103" spans="1:29" s="165" customFormat="1" ht="13.8">
      <c r="A103" s="591" t="s">
        <v>1447</v>
      </c>
      <c r="B103" s="57" t="s">
        <v>2031</v>
      </c>
      <c r="C103" s="57"/>
      <c r="D103" s="229"/>
      <c r="E103" s="229"/>
      <c r="F103" s="229"/>
      <c r="G103" s="229"/>
      <c r="H103" s="229"/>
      <c r="I103" s="229"/>
      <c r="J103" s="229"/>
      <c r="K103" s="229"/>
      <c r="L103" s="229"/>
      <c r="M103" s="229"/>
      <c r="N103" s="229"/>
      <c r="O103" s="229"/>
      <c r="P103" s="229"/>
      <c r="Q103" s="229"/>
      <c r="R103" s="229"/>
      <c r="S103" s="229">
        <v>-60787</v>
      </c>
      <c r="T103" s="229">
        <v>16079</v>
      </c>
      <c r="U103" s="229">
        <v>16079</v>
      </c>
      <c r="V103" s="229">
        <v>16079</v>
      </c>
      <c r="W103" s="229">
        <v>-29864</v>
      </c>
      <c r="X103" s="229"/>
      <c r="Y103" s="229"/>
      <c r="Z103" s="229"/>
      <c r="AA103" s="229">
        <v>-1034711</v>
      </c>
      <c r="AB103" s="229"/>
      <c r="AC103" s="229"/>
    </row>
    <row r="104" spans="1:29" s="165" customFormat="1" ht="13.8">
      <c r="A104" s="591" t="s">
        <v>1448</v>
      </c>
      <c r="B104" s="57" t="s">
        <v>2032</v>
      </c>
      <c r="C104" s="57"/>
      <c r="D104" s="229"/>
      <c r="E104" s="229"/>
      <c r="F104" s="229"/>
      <c r="G104" s="229"/>
      <c r="H104" s="229"/>
      <c r="I104" s="229"/>
      <c r="J104" s="229"/>
      <c r="K104" s="229"/>
      <c r="L104" s="229"/>
      <c r="M104" s="229"/>
      <c r="N104" s="229"/>
      <c r="O104" s="229"/>
      <c r="P104" s="229"/>
      <c r="Q104" s="229"/>
      <c r="R104" s="229"/>
      <c r="S104" s="229"/>
      <c r="T104" s="229"/>
      <c r="U104" s="229">
        <v>-35497</v>
      </c>
      <c r="V104" s="229">
        <v>-36465</v>
      </c>
      <c r="W104" s="229"/>
      <c r="X104" s="229"/>
      <c r="Y104" s="229"/>
      <c r="Z104" s="229"/>
      <c r="AA104" s="229"/>
      <c r="AB104" s="229"/>
      <c r="AC104" s="229"/>
    </row>
    <row r="105" spans="1:29" s="165" customFormat="1" ht="13.8">
      <c r="A105" s="591" t="s">
        <v>1485</v>
      </c>
      <c r="B105" s="57" t="s">
        <v>2522</v>
      </c>
      <c r="C105" s="57"/>
      <c r="D105" s="229"/>
      <c r="E105" s="229"/>
      <c r="F105" s="229"/>
      <c r="G105" s="229"/>
      <c r="H105" s="229"/>
      <c r="I105" s="229"/>
      <c r="J105" s="229"/>
      <c r="K105" s="229"/>
      <c r="L105" s="229"/>
      <c r="M105" s="229"/>
      <c r="N105" s="229"/>
      <c r="O105" s="229"/>
      <c r="P105" s="229"/>
      <c r="Q105" s="229"/>
      <c r="R105" s="229"/>
      <c r="S105" s="229"/>
      <c r="T105" s="229"/>
      <c r="U105" s="229"/>
      <c r="V105" s="229"/>
      <c r="W105" s="229"/>
      <c r="X105" s="229"/>
      <c r="Y105" s="229"/>
      <c r="Z105" s="229"/>
      <c r="AA105" s="229"/>
      <c r="AB105" s="229"/>
      <c r="AC105" s="229">
        <v>3585</v>
      </c>
    </row>
    <row r="106" spans="1:29" s="165" customFormat="1" ht="13.8">
      <c r="A106" s="591" t="s">
        <v>1449</v>
      </c>
      <c r="B106" s="57" t="s">
        <v>2033</v>
      </c>
      <c r="C106" s="57"/>
      <c r="D106" s="229"/>
      <c r="E106" s="229"/>
      <c r="F106" s="229"/>
      <c r="G106" s="229"/>
      <c r="H106" s="229"/>
      <c r="I106" s="229"/>
      <c r="J106" s="229">
        <v>-230414</v>
      </c>
      <c r="K106" s="229">
        <v>-1586114</v>
      </c>
      <c r="L106" s="229">
        <v>1244317</v>
      </c>
      <c r="M106" s="229">
        <v>1844490</v>
      </c>
      <c r="N106" s="229">
        <v>3305636</v>
      </c>
      <c r="O106" s="229">
        <v>3773819</v>
      </c>
      <c r="P106" s="229">
        <v>367382</v>
      </c>
      <c r="Q106" s="229">
        <v>859103</v>
      </c>
      <c r="R106" s="229">
        <v>888730</v>
      </c>
      <c r="S106" s="229">
        <v>-3048912</v>
      </c>
      <c r="T106" s="229">
        <v>1961616</v>
      </c>
      <c r="U106" s="229">
        <v>-1329799</v>
      </c>
      <c r="V106" s="229">
        <v>-516774</v>
      </c>
      <c r="W106" s="229">
        <v>-2335779</v>
      </c>
      <c r="X106" s="229">
        <v>774228</v>
      </c>
      <c r="Y106" s="229">
        <v>2926734</v>
      </c>
      <c r="Z106" s="229">
        <v>-385027</v>
      </c>
      <c r="AA106" s="229">
        <v>875832</v>
      </c>
      <c r="AB106" s="229">
        <v>2593227</v>
      </c>
      <c r="AC106" s="229">
        <v>3669764</v>
      </c>
    </row>
    <row r="107" spans="1:29" s="578" customFormat="1" thickBot="1">
      <c r="A107" s="596" t="s">
        <v>1450</v>
      </c>
      <c r="B107" s="596" t="s">
        <v>2038</v>
      </c>
      <c r="C107" s="596"/>
      <c r="D107" s="597">
        <f t="shared" ref="D107:Z107" si="3">SUM(D89:D106)</f>
        <v>0</v>
      </c>
      <c r="E107" s="597">
        <f t="shared" si="3"/>
        <v>0</v>
      </c>
      <c r="F107" s="597">
        <f t="shared" si="3"/>
        <v>0</v>
      </c>
      <c r="G107" s="597">
        <f t="shared" si="3"/>
        <v>0</v>
      </c>
      <c r="H107" s="597">
        <f t="shared" si="3"/>
        <v>0</v>
      </c>
      <c r="I107" s="597">
        <f t="shared" si="3"/>
        <v>0</v>
      </c>
      <c r="J107" s="597">
        <f t="shared" si="3"/>
        <v>-1490481</v>
      </c>
      <c r="K107" s="597">
        <f t="shared" si="3"/>
        <v>-4740537</v>
      </c>
      <c r="L107" s="597">
        <f t="shared" si="3"/>
        <v>-6051358</v>
      </c>
      <c r="M107" s="597">
        <f t="shared" si="3"/>
        <v>-6330823</v>
      </c>
      <c r="N107" s="597">
        <f t="shared" si="3"/>
        <v>-6157388</v>
      </c>
      <c r="O107" s="597">
        <f t="shared" si="3"/>
        <v>-8738771</v>
      </c>
      <c r="P107" s="597">
        <f t="shared" si="3"/>
        <v>479938</v>
      </c>
      <c r="Q107" s="597">
        <f t="shared" si="3"/>
        <v>-1142231</v>
      </c>
      <c r="R107" s="597">
        <f t="shared" si="3"/>
        <v>-3874316</v>
      </c>
      <c r="S107" s="597">
        <f t="shared" si="3"/>
        <v>-8702663</v>
      </c>
      <c r="T107" s="597">
        <f t="shared" si="3"/>
        <v>844459</v>
      </c>
      <c r="U107" s="597">
        <f t="shared" si="3"/>
        <v>-3065697</v>
      </c>
      <c r="V107" s="597">
        <f t="shared" si="3"/>
        <v>-11497611</v>
      </c>
      <c r="W107" s="597">
        <f t="shared" si="3"/>
        <v>-14190999</v>
      </c>
      <c r="X107" s="597">
        <f t="shared" si="3"/>
        <v>-1234608.4867499999</v>
      </c>
      <c r="Y107" s="597">
        <f t="shared" si="3"/>
        <v>-1432704</v>
      </c>
      <c r="Z107" s="597">
        <f t="shared" si="3"/>
        <v>-7132379</v>
      </c>
      <c r="AA107" s="597">
        <v>-2865070</v>
      </c>
      <c r="AB107" s="597">
        <f>SUM(AB89:AB106)</f>
        <v>606037</v>
      </c>
      <c r="AC107" s="597">
        <f>SUM(AC89:AC106)</f>
        <v>-5966230</v>
      </c>
    </row>
    <row r="108" spans="1:29" s="165" customFormat="1" ht="13.8">
      <c r="A108" s="57"/>
      <c r="B108" s="57"/>
      <c r="C108" s="57"/>
      <c r="D108" s="229"/>
      <c r="E108" s="229"/>
      <c r="F108" s="229"/>
      <c r="G108" s="229"/>
      <c r="H108" s="229"/>
      <c r="I108" s="229"/>
      <c r="J108" s="229"/>
      <c r="K108" s="229"/>
      <c r="L108" s="229"/>
      <c r="M108" s="229"/>
      <c r="N108" s="229"/>
      <c r="O108" s="229"/>
      <c r="P108" s="229"/>
      <c r="Q108" s="229"/>
      <c r="R108" s="229"/>
      <c r="S108" s="229"/>
      <c r="T108" s="229"/>
      <c r="U108" s="229"/>
      <c r="V108" s="229"/>
      <c r="W108" s="229"/>
      <c r="X108" s="229"/>
      <c r="Y108" s="229"/>
      <c r="Z108" s="229"/>
      <c r="AA108" s="229"/>
      <c r="AB108" s="229"/>
      <c r="AC108" s="229"/>
    </row>
    <row r="109" spans="1:29" s="165" customFormat="1" ht="13.8">
      <c r="A109" s="134" t="s">
        <v>1451</v>
      </c>
      <c r="B109" s="589" t="s">
        <v>2039</v>
      </c>
      <c r="C109" s="57"/>
      <c r="D109" s="229"/>
      <c r="E109" s="229"/>
      <c r="F109" s="229"/>
      <c r="G109" s="229"/>
      <c r="H109" s="229"/>
      <c r="I109" s="229"/>
      <c r="J109" s="229"/>
      <c r="K109" s="229"/>
      <c r="L109" s="229"/>
      <c r="M109" s="229"/>
      <c r="N109" s="229"/>
      <c r="O109" s="229"/>
      <c r="P109" s="229"/>
      <c r="Q109" s="229"/>
      <c r="R109" s="229"/>
      <c r="S109" s="229"/>
      <c r="T109" s="229"/>
      <c r="U109" s="229"/>
      <c r="V109" s="229"/>
      <c r="W109" s="229"/>
      <c r="X109" s="229"/>
      <c r="Y109" s="229"/>
      <c r="Z109" s="229"/>
      <c r="AA109" s="229"/>
      <c r="AB109" s="229"/>
      <c r="AC109" s="229"/>
    </row>
    <row r="110" spans="1:29" s="165" customFormat="1" ht="13.8">
      <c r="A110" s="591" t="s">
        <v>1452</v>
      </c>
      <c r="B110" s="57" t="s">
        <v>2040</v>
      </c>
      <c r="C110" s="57"/>
      <c r="D110" s="229"/>
      <c r="E110" s="229"/>
      <c r="F110" s="229"/>
      <c r="G110" s="229"/>
      <c r="H110" s="229"/>
      <c r="I110" s="229"/>
      <c r="J110" s="229">
        <v>-2284336</v>
      </c>
      <c r="K110" s="229">
        <v>-2934888</v>
      </c>
      <c r="L110" s="229">
        <v>-737701</v>
      </c>
      <c r="M110" s="229">
        <v>-1706148</v>
      </c>
      <c r="N110" s="229">
        <v>-2551483</v>
      </c>
      <c r="O110" s="229">
        <v>-3587151</v>
      </c>
      <c r="P110" s="229">
        <v>-7204580</v>
      </c>
      <c r="Q110" s="229">
        <v>-7823694</v>
      </c>
      <c r="R110" s="229">
        <v>-8474240</v>
      </c>
      <c r="S110" s="229">
        <v>-11456082</v>
      </c>
      <c r="T110" s="229">
        <v>-1144135</v>
      </c>
      <c r="U110" s="229">
        <v>-2477505</v>
      </c>
      <c r="V110" s="229">
        <v>-5920638</v>
      </c>
      <c r="W110" s="229">
        <v>-7829405</v>
      </c>
      <c r="X110" s="229">
        <v>-2815191</v>
      </c>
      <c r="Y110" s="229">
        <v>-4323940</v>
      </c>
      <c r="Z110" s="229">
        <v>-4950376</v>
      </c>
      <c r="AA110" s="229">
        <v>-8479354</v>
      </c>
      <c r="AB110" s="229">
        <v>-749587</v>
      </c>
      <c r="AC110" s="229">
        <v>-2055079</v>
      </c>
    </row>
    <row r="111" spans="1:29" s="165" customFormat="1" ht="13.8">
      <c r="A111" s="591" t="s">
        <v>1453</v>
      </c>
      <c r="B111" s="57" t="s">
        <v>2041</v>
      </c>
      <c r="C111" s="57"/>
      <c r="D111" s="229"/>
      <c r="E111" s="229"/>
      <c r="F111" s="229"/>
      <c r="G111" s="229"/>
      <c r="H111" s="229"/>
      <c r="I111" s="229"/>
      <c r="J111" s="229">
        <v>2985428</v>
      </c>
      <c r="K111" s="229">
        <v>3693417</v>
      </c>
      <c r="L111" s="229">
        <v>865161</v>
      </c>
      <c r="M111" s="229">
        <v>1429161</v>
      </c>
      <c r="N111" s="229">
        <v>1454000</v>
      </c>
      <c r="O111" s="229">
        <v>4966152</v>
      </c>
      <c r="P111" s="229">
        <v>534992</v>
      </c>
      <c r="Q111" s="229">
        <v>1593058</v>
      </c>
      <c r="R111" s="229">
        <v>3927874</v>
      </c>
      <c r="S111" s="229">
        <v>6752267</v>
      </c>
      <c r="T111" s="229">
        <v>428859</v>
      </c>
      <c r="U111" s="229">
        <v>1311042</v>
      </c>
      <c r="V111" s="229">
        <v>7602522</v>
      </c>
      <c r="W111" s="229">
        <v>10851675</v>
      </c>
      <c r="X111" s="229">
        <v>985162</v>
      </c>
      <c r="Y111" s="229">
        <v>2660619</v>
      </c>
      <c r="Z111" s="229">
        <v>5480526</v>
      </c>
      <c r="AA111" s="229">
        <v>6683043</v>
      </c>
      <c r="AB111" s="229">
        <v>260289</v>
      </c>
      <c r="AC111" s="229">
        <v>6589946</v>
      </c>
    </row>
    <row r="112" spans="1:29" s="165" customFormat="1" ht="13.8">
      <c r="A112" s="591" t="s">
        <v>1454</v>
      </c>
      <c r="B112" s="57" t="s">
        <v>2042</v>
      </c>
      <c r="C112" s="57"/>
      <c r="D112" s="229"/>
      <c r="E112" s="229"/>
      <c r="F112" s="229"/>
      <c r="G112" s="229"/>
      <c r="H112" s="229"/>
      <c r="I112" s="229"/>
      <c r="J112" s="229">
        <v>2300000</v>
      </c>
      <c r="K112" s="229">
        <v>5747362</v>
      </c>
      <c r="L112" s="229">
        <v>1987090</v>
      </c>
      <c r="M112" s="229">
        <v>3631674</v>
      </c>
      <c r="N112" s="229">
        <v>3625571</v>
      </c>
      <c r="O112" s="229">
        <v>4169436</v>
      </c>
      <c r="P112" s="229">
        <v>8466564</v>
      </c>
      <c r="Q112" s="229">
        <v>9426282</v>
      </c>
      <c r="R112" s="229">
        <v>9801282</v>
      </c>
      <c r="S112" s="229">
        <v>15424094</v>
      </c>
      <c r="T112" s="229">
        <v>-631</v>
      </c>
      <c r="U112" s="229">
        <v>4810248</v>
      </c>
      <c r="V112" s="229">
        <v>7671902</v>
      </c>
      <c r="W112" s="229">
        <v>13714760</v>
      </c>
      <c r="X112" s="229">
        <v>1500000</v>
      </c>
      <c r="Y112" s="229">
        <v>2200000</v>
      </c>
      <c r="Z112" s="229">
        <v>8648816</v>
      </c>
      <c r="AA112" s="229">
        <v>12631547</v>
      </c>
      <c r="AB112" s="229">
        <v>2894610</v>
      </c>
      <c r="AC112" s="229">
        <v>4144609</v>
      </c>
    </row>
    <row r="113" spans="1:29" s="165" customFormat="1" ht="13.8">
      <c r="A113" s="591" t="s">
        <v>1455</v>
      </c>
      <c r="B113" s="57" t="s">
        <v>2043</v>
      </c>
      <c r="C113" s="57"/>
      <c r="D113" s="229"/>
      <c r="E113" s="229"/>
      <c r="F113" s="229"/>
      <c r="G113" s="229"/>
      <c r="H113" s="229"/>
      <c r="I113" s="229"/>
      <c r="J113" s="229">
        <v>0</v>
      </c>
      <c r="K113" s="229">
        <v>-447854</v>
      </c>
      <c r="L113" s="229">
        <v>-35389</v>
      </c>
      <c r="M113" s="229">
        <v>-894253</v>
      </c>
      <c r="N113" s="229">
        <v>-2020059</v>
      </c>
      <c r="O113" s="229">
        <v>-1928333</v>
      </c>
      <c r="P113" s="229">
        <v>-1631749</v>
      </c>
      <c r="Q113" s="229">
        <v>-1970728</v>
      </c>
      <c r="R113" s="229">
        <v>-2296564</v>
      </c>
      <c r="S113" s="229">
        <v>-5556180</v>
      </c>
      <c r="T113" s="229">
        <v>-2058056</v>
      </c>
      <c r="U113" s="229">
        <v>-3440172</v>
      </c>
      <c r="V113" s="229">
        <v>-5239093</v>
      </c>
      <c r="W113" s="229">
        <v>-9812128</v>
      </c>
      <c r="X113" s="229">
        <v>-1127511</v>
      </c>
      <c r="Y113" s="229">
        <v>-1304566</v>
      </c>
      <c r="Z113" s="229">
        <v>-2515189</v>
      </c>
      <c r="AA113" s="229">
        <v>-7379500</v>
      </c>
      <c r="AB113" s="229">
        <v>-24599</v>
      </c>
      <c r="AC113" s="229">
        <v>-75908</v>
      </c>
    </row>
    <row r="114" spans="1:29" s="4" customFormat="1" ht="13.8">
      <c r="A114" s="591" t="s">
        <v>1456</v>
      </c>
      <c r="B114" s="57" t="s">
        <v>2045</v>
      </c>
      <c r="C114" s="104"/>
      <c r="D114" s="138"/>
      <c r="E114" s="138"/>
      <c r="F114" s="138"/>
      <c r="G114" s="138"/>
      <c r="H114" s="138"/>
      <c r="I114" s="138"/>
      <c r="J114" s="138"/>
      <c r="K114" s="138"/>
      <c r="L114" s="138"/>
      <c r="M114" s="138"/>
      <c r="N114" s="138"/>
      <c r="O114" s="138"/>
      <c r="P114" s="138"/>
      <c r="Q114" s="138"/>
      <c r="R114" s="138"/>
      <c r="S114" s="138"/>
      <c r="T114" s="138"/>
      <c r="U114" s="138"/>
      <c r="V114" s="138"/>
      <c r="W114" s="138"/>
      <c r="X114" s="138"/>
      <c r="Y114" s="138"/>
      <c r="Z114" s="138"/>
      <c r="AA114" s="229"/>
      <c r="AB114" s="229"/>
      <c r="AC114" s="229"/>
    </row>
    <row r="115" spans="1:29" s="165" customFormat="1" ht="13.8">
      <c r="A115" s="591" t="s">
        <v>1457</v>
      </c>
      <c r="B115" s="57" t="s">
        <v>2044</v>
      </c>
      <c r="C115" s="57"/>
      <c r="D115" s="229"/>
      <c r="E115" s="229"/>
      <c r="F115" s="229"/>
      <c r="G115" s="229"/>
      <c r="H115" s="229"/>
      <c r="I115" s="229"/>
      <c r="J115" s="229">
        <v>-16547</v>
      </c>
      <c r="K115" s="229">
        <v>-23120</v>
      </c>
      <c r="L115" s="229">
        <v>-13963</v>
      </c>
      <c r="M115" s="229">
        <v>-21170</v>
      </c>
      <c r="N115" s="229">
        <v>-21736</v>
      </c>
      <c r="O115" s="229">
        <v>-23568</v>
      </c>
      <c r="P115" s="229">
        <v>-9484</v>
      </c>
      <c r="Q115" s="229">
        <v>-18330</v>
      </c>
      <c r="R115" s="229">
        <v>-19765</v>
      </c>
      <c r="S115" s="229">
        <v>-22932</v>
      </c>
      <c r="T115" s="229">
        <v>-6127</v>
      </c>
      <c r="U115" s="229">
        <v>-16142</v>
      </c>
      <c r="V115" s="229">
        <v>-20607</v>
      </c>
      <c r="W115" s="229">
        <v>-26247</v>
      </c>
      <c r="X115" s="229">
        <v>-5941</v>
      </c>
      <c r="Y115" s="229">
        <v>-9799</v>
      </c>
      <c r="Z115" s="229">
        <v>-17754</v>
      </c>
      <c r="AA115" s="229">
        <v>-21794</v>
      </c>
      <c r="AB115" s="229">
        <v>-5585</v>
      </c>
      <c r="AC115" s="229">
        <v>-10770</v>
      </c>
    </row>
    <row r="116" spans="1:29" s="165" customFormat="1" ht="13.8">
      <c r="A116" s="591" t="s">
        <v>1458</v>
      </c>
      <c r="B116" s="57" t="s">
        <v>2045</v>
      </c>
      <c r="C116" s="57"/>
      <c r="D116" s="229"/>
      <c r="E116" s="229"/>
      <c r="F116" s="229"/>
      <c r="G116" s="229"/>
      <c r="H116" s="229"/>
      <c r="I116" s="229"/>
      <c r="J116" s="229"/>
      <c r="K116" s="229">
        <v>91806</v>
      </c>
      <c r="L116" s="229">
        <v>45869</v>
      </c>
      <c r="M116" s="229">
        <v>70173</v>
      </c>
      <c r="N116" s="229">
        <v>159797</v>
      </c>
      <c r="O116" s="229">
        <v>159796</v>
      </c>
      <c r="P116" s="229">
        <v>-8774</v>
      </c>
      <c r="Q116" s="229">
        <v>61229</v>
      </c>
      <c r="R116" s="229">
        <v>61229</v>
      </c>
      <c r="S116" s="229">
        <v>61916</v>
      </c>
      <c r="T116" s="229">
        <v>4182</v>
      </c>
      <c r="U116" s="229">
        <v>-5783</v>
      </c>
      <c r="V116" s="229">
        <v>38252</v>
      </c>
      <c r="W116" s="229">
        <v>85039</v>
      </c>
      <c r="X116" s="229">
        <v>97032</v>
      </c>
      <c r="Y116" s="229">
        <v>127313</v>
      </c>
      <c r="Z116" s="229">
        <v>120553</v>
      </c>
      <c r="AA116" s="229">
        <v>0</v>
      </c>
      <c r="AB116" s="229"/>
      <c r="AC116" s="229"/>
    </row>
    <row r="117" spans="1:29" s="165" customFormat="1" ht="13.8">
      <c r="A117" s="591" t="s">
        <v>1459</v>
      </c>
      <c r="B117" s="57" t="s">
        <v>2046</v>
      </c>
      <c r="C117" s="57"/>
      <c r="D117" s="229"/>
      <c r="E117" s="229"/>
      <c r="F117" s="229"/>
      <c r="G117" s="229"/>
      <c r="H117" s="229"/>
      <c r="I117" s="229"/>
      <c r="J117" s="229">
        <v>-92883</v>
      </c>
      <c r="K117" s="229">
        <v>-92885</v>
      </c>
      <c r="L117" s="229"/>
      <c r="M117" s="229">
        <v>-2193</v>
      </c>
      <c r="N117" s="229">
        <v>-8774</v>
      </c>
      <c r="O117" s="229">
        <v>-13160</v>
      </c>
      <c r="P117" s="229"/>
      <c r="Q117" s="229">
        <v>-15354</v>
      </c>
      <c r="R117" s="229">
        <v>-19741</v>
      </c>
      <c r="S117" s="229">
        <v>-26321</v>
      </c>
      <c r="T117" s="229">
        <v>-6580</v>
      </c>
      <c r="U117" s="229">
        <v>-13160</v>
      </c>
      <c r="V117" s="229">
        <v>-21934</v>
      </c>
      <c r="W117" s="229">
        <v>-28514</v>
      </c>
      <c r="X117" s="229">
        <v>-6580</v>
      </c>
      <c r="Y117" s="229">
        <v>-13160</v>
      </c>
      <c r="Z117" s="229">
        <v>-19741</v>
      </c>
      <c r="AA117" s="229">
        <v>-26321</v>
      </c>
      <c r="AB117" s="229">
        <v>-6580</v>
      </c>
      <c r="AC117" s="229">
        <v>-13160</v>
      </c>
    </row>
    <row r="118" spans="1:29" s="165" customFormat="1" ht="13.8">
      <c r="A118" s="591" t="s">
        <v>1460</v>
      </c>
      <c r="B118" s="57" t="s">
        <v>2047</v>
      </c>
      <c r="C118" s="57"/>
      <c r="D118" s="229"/>
      <c r="E118" s="229"/>
      <c r="F118" s="229"/>
      <c r="G118" s="229"/>
      <c r="H118" s="229"/>
      <c r="I118" s="229"/>
      <c r="J118" s="229"/>
      <c r="K118" s="229"/>
      <c r="L118" s="229"/>
      <c r="M118" s="229"/>
      <c r="N118" s="229"/>
      <c r="O118" s="229"/>
      <c r="P118" s="229"/>
      <c r="Q118" s="229">
        <v>0</v>
      </c>
      <c r="R118" s="229">
        <v>0</v>
      </c>
      <c r="S118" s="229">
        <v>0</v>
      </c>
      <c r="T118" s="229">
        <v>387</v>
      </c>
      <c r="U118" s="229">
        <v>34371</v>
      </c>
      <c r="V118" s="229">
        <v>0</v>
      </c>
      <c r="W118" s="229"/>
      <c r="X118" s="229"/>
      <c r="Y118" s="229"/>
      <c r="Z118" s="229"/>
      <c r="AA118" s="229">
        <v>0</v>
      </c>
      <c r="AB118" s="229">
        <v>0</v>
      </c>
      <c r="AC118" s="229"/>
    </row>
    <row r="119" spans="1:29" s="165" customFormat="1" ht="13.8">
      <c r="A119" s="599" t="s">
        <v>1461</v>
      </c>
      <c r="B119" s="57" t="s">
        <v>2048</v>
      </c>
      <c r="C119" s="57"/>
      <c r="D119" s="229"/>
      <c r="E119" s="229"/>
      <c r="F119" s="229"/>
      <c r="G119" s="229"/>
      <c r="H119" s="229"/>
      <c r="I119" s="229"/>
      <c r="J119" s="229">
        <v>551</v>
      </c>
      <c r="K119" s="229">
        <v>10551</v>
      </c>
      <c r="L119" s="229">
        <v>2782283</v>
      </c>
      <c r="M119" s="229">
        <v>2782283</v>
      </c>
      <c r="N119" s="229">
        <v>2782283</v>
      </c>
      <c r="O119" s="229">
        <v>2782283</v>
      </c>
      <c r="P119" s="229"/>
      <c r="Q119" s="229">
        <v>0</v>
      </c>
      <c r="R119" s="229">
        <v>396659</v>
      </c>
      <c r="S119" s="229">
        <v>429281</v>
      </c>
      <c r="T119" s="229"/>
      <c r="U119" s="229">
        <v>0</v>
      </c>
      <c r="V119" s="229">
        <v>3047010</v>
      </c>
      <c r="W119" s="229">
        <v>3170224</v>
      </c>
      <c r="X119" s="229">
        <v>127704</v>
      </c>
      <c r="Y119" s="229">
        <v>129325</v>
      </c>
      <c r="Z119" s="229">
        <v>145978</v>
      </c>
      <c r="AA119" s="229">
        <v>202399</v>
      </c>
      <c r="AB119" s="229">
        <v>4756</v>
      </c>
      <c r="AC119" s="229">
        <v>7833</v>
      </c>
    </row>
    <row r="120" spans="1:29" s="165" customFormat="1" ht="13.8">
      <c r="A120" s="591" t="s">
        <v>1462</v>
      </c>
      <c r="B120" s="57" t="s">
        <v>2049</v>
      </c>
      <c r="C120" s="57"/>
      <c r="D120" s="229"/>
      <c r="E120" s="229"/>
      <c r="F120" s="229"/>
      <c r="G120" s="229"/>
      <c r="H120" s="229"/>
      <c r="I120" s="57"/>
      <c r="J120" s="229">
        <v>-345988</v>
      </c>
      <c r="K120" s="229">
        <v>-1220079</v>
      </c>
      <c r="L120" s="229">
        <v>-94</v>
      </c>
      <c r="M120" s="229">
        <v>-200363</v>
      </c>
      <c r="N120" s="229">
        <v>-200363</v>
      </c>
      <c r="O120" s="229">
        <v>-1091565</v>
      </c>
      <c r="P120" s="229">
        <v>-4139</v>
      </c>
      <c r="Q120" s="229">
        <v>11503</v>
      </c>
      <c r="R120" s="229">
        <v>-389401</v>
      </c>
      <c r="S120" s="229">
        <v>-796686</v>
      </c>
      <c r="T120" s="229">
        <v>-28</v>
      </c>
      <c r="U120" s="229">
        <v>74251</v>
      </c>
      <c r="V120" s="229">
        <v>-945879</v>
      </c>
      <c r="W120" s="229">
        <v>-1433959</v>
      </c>
      <c r="X120" s="229">
        <v>-102482</v>
      </c>
      <c r="Y120" s="229">
        <v>-956819</v>
      </c>
      <c r="Z120" s="229">
        <v>-950638</v>
      </c>
      <c r="AA120" s="229">
        <v>-5372846</v>
      </c>
      <c r="AB120" s="229">
        <v>-434095</v>
      </c>
      <c r="AC120" s="229">
        <v>-531743</v>
      </c>
    </row>
    <row r="121" spans="1:29" s="165" customFormat="1" ht="13.8">
      <c r="A121" s="591" t="s">
        <v>1463</v>
      </c>
      <c r="B121" s="57" t="s">
        <v>2050</v>
      </c>
      <c r="C121" s="57"/>
      <c r="D121" s="229"/>
      <c r="E121" s="229"/>
      <c r="F121" s="229"/>
      <c r="G121" s="229"/>
      <c r="H121" s="229"/>
      <c r="I121" s="229"/>
      <c r="J121" s="229">
        <v>-610991</v>
      </c>
      <c r="K121" s="229">
        <v>-610991</v>
      </c>
      <c r="L121" s="229"/>
      <c r="M121" s="229"/>
      <c r="N121" s="229"/>
      <c r="O121" s="229"/>
      <c r="P121" s="229"/>
      <c r="Q121" s="229">
        <v>-389401</v>
      </c>
      <c r="R121" s="229">
        <v>0</v>
      </c>
      <c r="S121" s="229">
        <v>0</v>
      </c>
      <c r="T121" s="229"/>
      <c r="U121" s="229">
        <v>-550560</v>
      </c>
      <c r="V121" s="229">
        <v>-29756</v>
      </c>
      <c r="W121" s="229">
        <v>-57538</v>
      </c>
      <c r="X121" s="229"/>
      <c r="Y121" s="229">
        <v>-11571</v>
      </c>
      <c r="Z121" s="229">
        <v>-11572</v>
      </c>
      <c r="AA121" s="229">
        <v>-16051</v>
      </c>
      <c r="AB121" s="229">
        <v>-39424</v>
      </c>
      <c r="AC121" s="229">
        <v>-136344</v>
      </c>
    </row>
    <row r="122" spans="1:29" s="165" customFormat="1" ht="13.8">
      <c r="A122" s="591" t="s">
        <v>1464</v>
      </c>
      <c r="B122" s="57" t="s">
        <v>2051</v>
      </c>
      <c r="C122" s="57"/>
      <c r="D122" s="229"/>
      <c r="E122" s="229"/>
      <c r="F122" s="229"/>
      <c r="G122" s="229"/>
      <c r="H122" s="229"/>
      <c r="I122" s="229"/>
      <c r="J122" s="229"/>
      <c r="K122" s="229"/>
      <c r="L122" s="229"/>
      <c r="M122" s="229"/>
      <c r="N122" s="229"/>
      <c r="O122" s="229"/>
      <c r="P122" s="229"/>
      <c r="Q122" s="229">
        <v>0</v>
      </c>
      <c r="R122" s="229">
        <v>17825</v>
      </c>
      <c r="S122" s="229">
        <v>989679</v>
      </c>
      <c r="T122" s="229"/>
      <c r="U122" s="229">
        <v>-29756</v>
      </c>
      <c r="V122" s="229"/>
      <c r="W122" s="229"/>
      <c r="X122" s="229"/>
      <c r="Y122" s="229">
        <v>23543</v>
      </c>
      <c r="Z122" s="229">
        <v>23543</v>
      </c>
      <c r="AA122" s="229">
        <v>23543</v>
      </c>
      <c r="AB122" s="229">
        <v>0</v>
      </c>
      <c r="AC122" s="229">
        <v>25976</v>
      </c>
    </row>
    <row r="123" spans="1:29" s="165" customFormat="1" ht="13.8">
      <c r="A123" s="591" t="s">
        <v>1443</v>
      </c>
      <c r="B123" s="57"/>
      <c r="C123" s="57"/>
      <c r="D123" s="229"/>
      <c r="E123" s="229"/>
      <c r="F123" s="229"/>
      <c r="G123" s="229"/>
      <c r="H123" s="229"/>
      <c r="I123" s="229"/>
      <c r="J123" s="229"/>
      <c r="K123" s="229"/>
      <c r="L123" s="229"/>
      <c r="M123" s="229"/>
      <c r="N123" s="229"/>
      <c r="O123" s="229"/>
      <c r="P123" s="229"/>
      <c r="Q123" s="229"/>
      <c r="R123" s="229"/>
      <c r="S123" s="229"/>
      <c r="T123" s="229"/>
      <c r="U123" s="229"/>
      <c r="V123" s="229"/>
      <c r="W123" s="229"/>
      <c r="X123" s="229"/>
      <c r="Y123" s="229"/>
      <c r="Z123" s="229"/>
      <c r="AA123" s="229"/>
      <c r="AB123" s="229">
        <v>-181507</v>
      </c>
      <c r="AC123" s="229">
        <v>-264877</v>
      </c>
    </row>
    <row r="124" spans="1:29" s="4" customFormat="1" ht="13.8">
      <c r="A124" s="591" t="s">
        <v>1490</v>
      </c>
      <c r="B124" s="57" t="s">
        <v>2052</v>
      </c>
      <c r="C124" s="104"/>
      <c r="D124" s="138"/>
      <c r="E124" s="138"/>
      <c r="F124" s="138"/>
      <c r="G124" s="138"/>
      <c r="H124" s="138"/>
      <c r="I124" s="138"/>
      <c r="J124" s="138"/>
      <c r="K124" s="138"/>
      <c r="L124" s="138"/>
      <c r="M124" s="138"/>
      <c r="N124" s="138"/>
      <c r="O124" s="138">
        <v>7147</v>
      </c>
      <c r="P124" s="138"/>
      <c r="Q124" s="138">
        <v>367574</v>
      </c>
      <c r="R124" s="138"/>
      <c r="S124" s="138"/>
      <c r="T124" s="138"/>
      <c r="U124" s="138">
        <v>457272</v>
      </c>
      <c r="V124" s="138"/>
      <c r="W124" s="138"/>
      <c r="X124" s="138"/>
      <c r="Y124" s="229"/>
      <c r="Z124" s="229"/>
      <c r="AA124" s="229"/>
      <c r="AB124" s="229"/>
      <c r="AC124" s="229"/>
    </row>
    <row r="125" spans="1:29" s="578" customFormat="1" thickBot="1">
      <c r="A125" s="596" t="s">
        <v>1466</v>
      </c>
      <c r="B125" s="596"/>
      <c r="C125" s="596"/>
      <c r="D125" s="597">
        <f>SUM(D110:D122)</f>
        <v>0</v>
      </c>
      <c r="E125" s="597">
        <f>SUM(E110:E122)</f>
        <v>0</v>
      </c>
      <c r="F125" s="597">
        <f>SUM(F110:F122)</f>
        <v>0</v>
      </c>
      <c r="G125" s="597">
        <f>SUM(G110:G122)</f>
        <v>0</v>
      </c>
      <c r="H125" s="597">
        <f t="shared" ref="H125:Z125" si="4">SUM(H110:H124)</f>
        <v>0</v>
      </c>
      <c r="I125" s="597">
        <f t="shared" si="4"/>
        <v>0</v>
      </c>
      <c r="J125" s="597">
        <f t="shared" si="4"/>
        <v>1935234</v>
      </c>
      <c r="K125" s="597">
        <f t="shared" si="4"/>
        <v>4213319</v>
      </c>
      <c r="L125" s="597">
        <f t="shared" si="4"/>
        <v>4893256</v>
      </c>
      <c r="M125" s="597">
        <f t="shared" si="4"/>
        <v>5089164</v>
      </c>
      <c r="N125" s="597">
        <f t="shared" si="4"/>
        <v>3219236</v>
      </c>
      <c r="O125" s="597">
        <f t="shared" si="4"/>
        <v>5441037</v>
      </c>
      <c r="P125" s="597">
        <f t="shared" si="4"/>
        <v>142830</v>
      </c>
      <c r="Q125" s="597">
        <f t="shared" si="4"/>
        <v>1242139</v>
      </c>
      <c r="R125" s="597">
        <f t="shared" si="4"/>
        <v>3005158</v>
      </c>
      <c r="S125" s="597">
        <f t="shared" si="4"/>
        <v>5799036</v>
      </c>
      <c r="T125" s="597">
        <f t="shared" si="4"/>
        <v>-2782129</v>
      </c>
      <c r="U125" s="597">
        <f t="shared" si="4"/>
        <v>154106</v>
      </c>
      <c r="V125" s="597">
        <f t="shared" si="4"/>
        <v>6181779</v>
      </c>
      <c r="W125" s="597">
        <f t="shared" si="4"/>
        <v>8633907</v>
      </c>
      <c r="X125" s="597">
        <f t="shared" si="4"/>
        <v>-1347807</v>
      </c>
      <c r="Y125" s="597">
        <f t="shared" si="4"/>
        <v>-1479055</v>
      </c>
      <c r="Z125" s="597">
        <f t="shared" si="4"/>
        <v>5954146</v>
      </c>
      <c r="AA125" s="597">
        <v>-1755334</v>
      </c>
      <c r="AB125" s="597">
        <f t="shared" ref="AB125:AC125" si="5">SUM(AB110:AB124)</f>
        <v>1718278</v>
      </c>
      <c r="AC125" s="597">
        <f t="shared" si="5"/>
        <v>7680483</v>
      </c>
    </row>
    <row r="126" spans="1:29" s="165" customFormat="1" ht="13.8">
      <c r="A126" s="57"/>
      <c r="B126" s="57"/>
      <c r="C126" s="57"/>
      <c r="D126" s="229"/>
      <c r="E126" s="229"/>
      <c r="F126" s="229"/>
      <c r="G126" s="229"/>
      <c r="H126" s="229"/>
      <c r="I126" s="229"/>
      <c r="J126" s="229"/>
      <c r="K126" s="229"/>
      <c r="L126" s="229"/>
      <c r="M126" s="229"/>
      <c r="N126" s="229"/>
      <c r="O126" s="229"/>
      <c r="P126" s="229"/>
      <c r="Q126" s="229"/>
      <c r="R126" s="229"/>
      <c r="S126" s="229"/>
      <c r="T126" s="229"/>
      <c r="U126" s="229"/>
      <c r="V126" s="229"/>
      <c r="W126" s="229"/>
      <c r="X126" s="229"/>
      <c r="Y126" s="229"/>
      <c r="Z126" s="229"/>
      <c r="AA126" s="229"/>
      <c r="AB126" s="229"/>
      <c r="AC126" s="229"/>
    </row>
    <row r="127" spans="1:29" s="578" customFormat="1" ht="13.8">
      <c r="A127" s="592" t="s">
        <v>1467</v>
      </c>
      <c r="B127" s="592" t="s">
        <v>2053</v>
      </c>
      <c r="C127" s="592"/>
      <c r="D127" s="593">
        <f t="shared" ref="D127:Z127" si="6">+D87+D107+D125</f>
        <v>0</v>
      </c>
      <c r="E127" s="593">
        <f t="shared" si="6"/>
        <v>0</v>
      </c>
      <c r="F127" s="593">
        <f t="shared" si="6"/>
        <v>0</v>
      </c>
      <c r="G127" s="593">
        <f t="shared" si="6"/>
        <v>0</v>
      </c>
      <c r="H127" s="593">
        <f t="shared" si="6"/>
        <v>0</v>
      </c>
      <c r="I127" s="593">
        <f t="shared" si="6"/>
        <v>0</v>
      </c>
      <c r="J127" s="593">
        <f t="shared" si="6"/>
        <v>1558540</v>
      </c>
      <c r="K127" s="593">
        <f t="shared" si="6"/>
        <v>777043</v>
      </c>
      <c r="L127" s="593">
        <f t="shared" si="6"/>
        <v>-1006238</v>
      </c>
      <c r="M127" s="593">
        <f t="shared" si="6"/>
        <v>834109</v>
      </c>
      <c r="N127" s="593">
        <f t="shared" si="6"/>
        <v>-110761</v>
      </c>
      <c r="O127" s="593">
        <f t="shared" si="6"/>
        <v>169773</v>
      </c>
      <c r="P127" s="593">
        <f t="shared" si="6"/>
        <v>1154753</v>
      </c>
      <c r="Q127" s="593">
        <f t="shared" si="6"/>
        <v>2077621</v>
      </c>
      <c r="R127" s="593">
        <f t="shared" si="6"/>
        <v>2409162</v>
      </c>
      <c r="S127" s="593">
        <f t="shared" si="6"/>
        <v>1445886</v>
      </c>
      <c r="T127" s="593">
        <f t="shared" si="6"/>
        <v>-1268224</v>
      </c>
      <c r="U127" s="593">
        <f t="shared" si="6"/>
        <v>-2004688</v>
      </c>
      <c r="V127" s="593">
        <f t="shared" si="6"/>
        <v>-2379406</v>
      </c>
      <c r="W127" s="593">
        <f t="shared" si="6"/>
        <v>-1305884</v>
      </c>
      <c r="X127" s="593">
        <f t="shared" si="6"/>
        <v>-1745710</v>
      </c>
      <c r="Y127" s="593">
        <f t="shared" si="6"/>
        <v>-1192200</v>
      </c>
      <c r="Z127" s="593">
        <f t="shared" si="6"/>
        <v>1555138</v>
      </c>
      <c r="AA127" s="593">
        <v>-646537</v>
      </c>
      <c r="AB127" s="593">
        <f t="shared" ref="AB127:AC127" si="7">+AB87+AB107+AB125</f>
        <v>3008087</v>
      </c>
      <c r="AC127" s="593">
        <f t="shared" si="7"/>
        <v>2415447</v>
      </c>
    </row>
    <row r="129" spans="1:29" s="165" customFormat="1" ht="13.8">
      <c r="A129" s="600" t="s">
        <v>1468</v>
      </c>
      <c r="B129" s="57" t="s">
        <v>2054</v>
      </c>
      <c r="C129" s="57"/>
      <c r="D129" s="229"/>
      <c r="E129" s="229"/>
      <c r="F129" s="229"/>
      <c r="G129" s="229"/>
      <c r="H129" s="229"/>
      <c r="I129" s="229"/>
      <c r="J129" s="229">
        <v>2219546</v>
      </c>
      <c r="K129" s="229">
        <v>2219546</v>
      </c>
      <c r="L129" s="229">
        <v>2996589</v>
      </c>
      <c r="M129" s="229">
        <v>2996589</v>
      </c>
      <c r="N129" s="229">
        <v>2996589</v>
      </c>
      <c r="O129" s="229">
        <v>2996589</v>
      </c>
      <c r="P129" s="229">
        <v>3166362</v>
      </c>
      <c r="Q129" s="229">
        <v>3166362</v>
      </c>
      <c r="R129" s="229">
        <v>3166362</v>
      </c>
      <c r="S129" s="229">
        <v>3166362</v>
      </c>
      <c r="T129" s="229">
        <v>4612248</v>
      </c>
      <c r="U129" s="229">
        <v>4612248</v>
      </c>
      <c r="V129" s="229">
        <v>4612248</v>
      </c>
      <c r="W129" s="229">
        <v>4612248</v>
      </c>
      <c r="X129" s="229">
        <v>3306364</v>
      </c>
      <c r="Y129" s="229">
        <v>3306364</v>
      </c>
      <c r="Z129" s="229">
        <v>3306364</v>
      </c>
      <c r="AA129" s="229">
        <v>3306364</v>
      </c>
      <c r="AB129" s="229">
        <v>2659827</v>
      </c>
      <c r="AC129" s="229">
        <v>2659827</v>
      </c>
    </row>
    <row r="130" spans="1:29" s="165" customFormat="1" ht="13.8">
      <c r="A130" s="600" t="s">
        <v>1469</v>
      </c>
      <c r="B130" s="57" t="s">
        <v>2055</v>
      </c>
      <c r="C130" s="57"/>
      <c r="D130" s="229"/>
      <c r="E130" s="229"/>
      <c r="F130" s="229"/>
      <c r="G130" s="229"/>
      <c r="H130" s="229"/>
      <c r="I130" s="229"/>
      <c r="J130" s="229">
        <v>3778086</v>
      </c>
      <c r="K130" s="229">
        <v>2996589</v>
      </c>
      <c r="L130" s="229">
        <v>1990351</v>
      </c>
      <c r="M130" s="229">
        <v>3830698</v>
      </c>
      <c r="N130" s="229">
        <v>2885828</v>
      </c>
      <c r="O130" s="229">
        <v>3166362</v>
      </c>
      <c r="P130" s="229">
        <v>4321115</v>
      </c>
      <c r="Q130" s="229">
        <v>5243983</v>
      </c>
      <c r="R130" s="229">
        <v>5575524</v>
      </c>
      <c r="S130" s="229">
        <v>4612248</v>
      </c>
      <c r="T130" s="229">
        <v>3344024</v>
      </c>
      <c r="U130" s="229">
        <v>2607560</v>
      </c>
      <c r="V130" s="229">
        <v>2232842</v>
      </c>
      <c r="W130" s="229">
        <v>3306364</v>
      </c>
      <c r="X130" s="229">
        <v>1560654</v>
      </c>
      <c r="Y130" s="229">
        <v>2114164</v>
      </c>
      <c r="Z130" s="229">
        <v>4861502</v>
      </c>
      <c r="AA130" s="229">
        <v>2659827</v>
      </c>
      <c r="AB130" s="229">
        <v>5667914</v>
      </c>
      <c r="AC130" s="229">
        <v>5075274</v>
      </c>
    </row>
    <row r="131" spans="1:29" s="165" customFormat="1" ht="13.8">
      <c r="A131" s="57"/>
      <c r="B131" s="57"/>
      <c r="C131" s="57"/>
      <c r="D131" s="229"/>
      <c r="E131" s="229"/>
      <c r="F131" s="229"/>
      <c r="G131" s="229"/>
      <c r="H131" s="229"/>
      <c r="I131" s="229"/>
      <c r="J131" s="229"/>
      <c r="K131" s="229"/>
      <c r="L131" s="229"/>
      <c r="M131" s="229"/>
      <c r="N131" s="229"/>
      <c r="O131" s="229"/>
      <c r="P131" s="229"/>
      <c r="Q131" s="229"/>
      <c r="R131" s="229"/>
      <c r="S131" s="229"/>
      <c r="T131" s="229"/>
      <c r="U131" s="229"/>
      <c r="V131" s="229"/>
      <c r="W131" s="229"/>
      <c r="X131" s="229"/>
      <c r="Y131" s="229"/>
      <c r="Z131" s="229"/>
      <c r="AA131" s="229"/>
      <c r="AB131" s="229"/>
      <c r="AC131" s="229"/>
    </row>
    <row r="132" spans="1:29" s="578" customFormat="1" thickBot="1">
      <c r="A132" s="596" t="s">
        <v>1467</v>
      </c>
      <c r="B132" s="596" t="s">
        <v>2053</v>
      </c>
      <c r="C132" s="596"/>
      <c r="D132" s="597">
        <f t="shared" ref="D132:Z132" si="8">+D130-D129</f>
        <v>0</v>
      </c>
      <c r="E132" s="597">
        <f t="shared" si="8"/>
        <v>0</v>
      </c>
      <c r="F132" s="597">
        <f t="shared" si="8"/>
        <v>0</v>
      </c>
      <c r="G132" s="597">
        <f t="shared" si="8"/>
        <v>0</v>
      </c>
      <c r="H132" s="597">
        <f t="shared" si="8"/>
        <v>0</v>
      </c>
      <c r="I132" s="597">
        <f t="shared" si="8"/>
        <v>0</v>
      </c>
      <c r="J132" s="597">
        <f t="shared" si="8"/>
        <v>1558540</v>
      </c>
      <c r="K132" s="597">
        <f t="shared" si="8"/>
        <v>777043</v>
      </c>
      <c r="L132" s="597">
        <f t="shared" si="8"/>
        <v>-1006238</v>
      </c>
      <c r="M132" s="597">
        <f t="shared" si="8"/>
        <v>834109</v>
      </c>
      <c r="N132" s="597">
        <f t="shared" si="8"/>
        <v>-110761</v>
      </c>
      <c r="O132" s="597">
        <f t="shared" si="8"/>
        <v>169773</v>
      </c>
      <c r="P132" s="597">
        <f t="shared" si="8"/>
        <v>1154753</v>
      </c>
      <c r="Q132" s="597">
        <f t="shared" si="8"/>
        <v>2077621</v>
      </c>
      <c r="R132" s="597">
        <f t="shared" si="8"/>
        <v>2409162</v>
      </c>
      <c r="S132" s="597">
        <f t="shared" si="8"/>
        <v>1445886</v>
      </c>
      <c r="T132" s="597">
        <f t="shared" si="8"/>
        <v>-1268224</v>
      </c>
      <c r="U132" s="597">
        <f t="shared" si="8"/>
        <v>-2004688</v>
      </c>
      <c r="V132" s="597">
        <f t="shared" si="8"/>
        <v>-2379406</v>
      </c>
      <c r="W132" s="597">
        <f t="shared" si="8"/>
        <v>-1305884</v>
      </c>
      <c r="X132" s="597">
        <f t="shared" si="8"/>
        <v>-1745710</v>
      </c>
      <c r="Y132" s="597">
        <f t="shared" si="8"/>
        <v>-1192200</v>
      </c>
      <c r="Z132" s="597">
        <f t="shared" si="8"/>
        <v>1555138</v>
      </c>
      <c r="AA132" s="597">
        <v>-646537</v>
      </c>
      <c r="AB132" s="597">
        <f t="shared" ref="AB132:AC132" si="9">+AB130-AB129</f>
        <v>3008087</v>
      </c>
      <c r="AC132" s="597">
        <f t="shared" si="9"/>
        <v>2415447</v>
      </c>
    </row>
  </sheetData>
  <hyperlinks>
    <hyperlink ref="B124" r:id="rId1" display="https://www.lawinsider.com/clause/advance-for-future-capital-increase-afac" xr:uid="{477C59B0-2F9D-43CA-AA86-D6F084A1AC4E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tabColor rgb="FF002060"/>
  </sheetPr>
  <dimension ref="B4:M8"/>
  <sheetViews>
    <sheetView showGridLines="0" zoomScale="85" zoomScaleNormal="85" workbookViewId="0">
      <selection activeCell="Q18" sqref="Q18"/>
    </sheetView>
  </sheetViews>
  <sheetFormatPr defaultRowHeight="14.4"/>
  <cols>
    <col min="2" max="2" width="1.44140625" customWidth="1"/>
    <col min="8" max="8" width="2" customWidth="1"/>
    <col min="13" max="13" width="2" customWidth="1"/>
    <col min="18" max="18" width="2" customWidth="1"/>
    <col min="23" max="23" width="2" customWidth="1"/>
  </cols>
  <sheetData>
    <row r="4" spans="2:13" s="2" customFormat="1" ht="32.549999999999997" customHeight="1">
      <c r="B4" s="3" t="s">
        <v>1491</v>
      </c>
    </row>
    <row r="8" spans="2:13" ht="30.3" customHeight="1">
      <c r="D8" s="33" t="s">
        <v>1492</v>
      </c>
      <c r="E8" s="34"/>
      <c r="F8" s="34"/>
      <c r="G8" s="34"/>
      <c r="I8" s="806" t="s">
        <v>1493</v>
      </c>
      <c r="J8" s="806"/>
      <c r="K8" s="806"/>
      <c r="L8" s="806"/>
      <c r="M8" s="806"/>
    </row>
  </sheetData>
  <mergeCells count="1">
    <mergeCell ref="I8:M8"/>
  </mergeCells>
  <pageMargins left="0.511811024" right="0.511811024" top="0.78740157499999996" bottom="0.78740157499999996" header="0.31496062000000002" footer="0.31496062000000002"/>
  <drawing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tabColor rgb="FF002060"/>
  </sheetPr>
  <dimension ref="B4:L8"/>
  <sheetViews>
    <sheetView showGridLines="0" zoomScale="85" zoomScaleNormal="85" workbookViewId="0">
      <selection activeCell="P14" sqref="P14"/>
    </sheetView>
  </sheetViews>
  <sheetFormatPr defaultRowHeight="14.4"/>
  <cols>
    <col min="2" max="2" width="1.44140625" customWidth="1"/>
    <col min="8" max="8" width="2" customWidth="1"/>
    <col min="13" max="13" width="2" customWidth="1"/>
    <col min="18" max="18" width="2" customWidth="1"/>
    <col min="23" max="23" width="2" customWidth="1"/>
  </cols>
  <sheetData>
    <row r="4" spans="2:12" s="2" customFormat="1" ht="32.549999999999997" customHeight="1">
      <c r="B4" s="3" t="s">
        <v>1494</v>
      </c>
    </row>
    <row r="8" spans="2:12" ht="30.3" customHeight="1">
      <c r="D8" s="33" t="s">
        <v>1495</v>
      </c>
      <c r="E8" s="34"/>
      <c r="F8" s="34"/>
      <c r="G8" s="34"/>
      <c r="I8" s="806" t="s">
        <v>1496</v>
      </c>
      <c r="J8" s="806"/>
      <c r="K8" s="806"/>
      <c r="L8" s="806"/>
    </row>
  </sheetData>
  <mergeCells count="1">
    <mergeCell ref="I8:L8"/>
  </mergeCells>
  <pageMargins left="0.511811024" right="0.511811024" top="0.78740157499999996" bottom="0.78740157499999996" header="0.31496062000000002" footer="0.31496062000000002"/>
  <drawing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tabColor theme="9" tint="0.79998168889431442"/>
  </sheetPr>
  <dimension ref="C6:L101"/>
  <sheetViews>
    <sheetView showGridLines="0" zoomScaleNormal="100" workbookViewId="0">
      <pane xSplit="3" ySplit="6" topLeftCell="D106" activePane="bottomRight" state="frozen"/>
      <selection activeCell="B1" sqref="B1"/>
      <selection pane="topRight" activeCell="B1" sqref="B1"/>
      <selection pane="bottomLeft" activeCell="B1" sqref="B1"/>
      <selection pane="bottomRight" activeCell="L39" sqref="L39"/>
    </sheetView>
  </sheetViews>
  <sheetFormatPr defaultColWidth="9.21875" defaultRowHeight="14.4"/>
  <cols>
    <col min="1" max="1" width="9.21875" style="35"/>
    <col min="2" max="2" width="0.5546875" style="35" customWidth="1"/>
    <col min="3" max="3" width="4.5546875" style="58" customWidth="1"/>
    <col min="4" max="4" width="26.33203125" style="58" bestFit="1" customWidth="1"/>
    <col min="5" max="5" width="17.33203125" style="58" customWidth="1"/>
    <col min="6" max="10" width="10.5546875" style="58" customWidth="1"/>
    <col min="11" max="11" width="12.44140625" style="58" customWidth="1"/>
    <col min="12" max="18" width="11.5546875" style="35" bestFit="1" customWidth="1"/>
    <col min="19" max="16384" width="9.21875" style="35"/>
  </cols>
  <sheetData>
    <row r="6" spans="3:11" ht="32.1" customHeight="1" thickBot="1">
      <c r="D6" s="473" t="s">
        <v>1497</v>
      </c>
      <c r="E6" s="474" t="s">
        <v>1498</v>
      </c>
      <c r="F6" s="473">
        <v>2026</v>
      </c>
      <c r="G6" s="473">
        <v>2027</v>
      </c>
      <c r="H6" s="473" t="s">
        <v>1499</v>
      </c>
      <c r="I6" s="473" t="s">
        <v>1500</v>
      </c>
      <c r="J6" s="473" t="s">
        <v>1501</v>
      </c>
      <c r="K6" s="473" t="s">
        <v>220</v>
      </c>
    </row>
    <row r="7" spans="3:11" ht="23.1" customHeight="1" thickBot="1">
      <c r="C7" s="59"/>
      <c r="D7" s="60" t="s">
        <v>1502</v>
      </c>
      <c r="E7" s="61"/>
      <c r="F7" s="62"/>
      <c r="G7" s="62"/>
      <c r="H7" s="62"/>
      <c r="I7" s="62"/>
      <c r="J7" s="62"/>
      <c r="K7" s="63"/>
    </row>
    <row r="8" spans="3:11" ht="15" customHeight="1">
      <c r="C8" s="810" t="s">
        <v>110</v>
      </c>
      <c r="D8" s="64" t="s">
        <v>1503</v>
      </c>
      <c r="E8" s="65"/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7">
        <f t="shared" ref="K8:K13" si="0">SUM(F8:J8)</f>
        <v>0</v>
      </c>
    </row>
    <row r="9" spans="3:11">
      <c r="C9" s="810"/>
      <c r="D9" s="64" t="s">
        <v>1504</v>
      </c>
      <c r="E9" s="68" t="s">
        <v>2513</v>
      </c>
      <c r="F9" s="66">
        <v>177560.86047634881</v>
      </c>
      <c r="G9" s="66">
        <v>258475</v>
      </c>
      <c r="H9" s="66">
        <v>4085600.0422126115</v>
      </c>
      <c r="I9" s="66">
        <v>2541645.2390550268</v>
      </c>
      <c r="J9" s="66">
        <v>0</v>
      </c>
      <c r="K9" s="67">
        <f t="shared" si="0"/>
        <v>7063281.1417439878</v>
      </c>
    </row>
    <row r="10" spans="3:11">
      <c r="C10" s="810"/>
      <c r="D10" s="64" t="s">
        <v>1505</v>
      </c>
      <c r="E10" s="69" t="s">
        <v>1506</v>
      </c>
      <c r="F10" s="66">
        <v>179969.41665999999</v>
      </c>
      <c r="G10" s="66">
        <v>352913.39316000004</v>
      </c>
      <c r="H10" s="66">
        <v>800610.38748000015</v>
      </c>
      <c r="I10" s="66">
        <v>589065.48141000012</v>
      </c>
      <c r="J10" s="66">
        <v>0</v>
      </c>
      <c r="K10" s="67">
        <f t="shared" si="0"/>
        <v>1922558.6787100001</v>
      </c>
    </row>
    <row r="11" spans="3:11">
      <c r="C11" s="810"/>
      <c r="D11" s="64" t="s">
        <v>1507</v>
      </c>
      <c r="E11" s="70" t="s">
        <v>1508</v>
      </c>
      <c r="F11" s="66">
        <v>760.41332783142741</v>
      </c>
      <c r="G11" s="66">
        <v>14973.996036930939</v>
      </c>
      <c r="H11" s="66">
        <v>284505.92558303964</v>
      </c>
      <c r="I11" s="66">
        <v>0</v>
      </c>
      <c r="J11" s="66">
        <v>0</v>
      </c>
      <c r="K11" s="67">
        <f t="shared" si="0"/>
        <v>300240.33494780201</v>
      </c>
    </row>
    <row r="12" spans="3:11">
      <c r="C12" s="810"/>
      <c r="D12" s="64" t="s">
        <v>1509</v>
      </c>
      <c r="E12" s="71" t="s">
        <v>1510</v>
      </c>
      <c r="F12" s="66">
        <v>17796.289515003456</v>
      </c>
      <c r="G12" s="66">
        <v>16978.622670000001</v>
      </c>
      <c r="H12" s="66">
        <v>10843.025799999999</v>
      </c>
      <c r="I12" s="66">
        <v>0</v>
      </c>
      <c r="J12" s="66">
        <v>0</v>
      </c>
      <c r="K12" s="67">
        <f t="shared" si="0"/>
        <v>45617.93798500346</v>
      </c>
    </row>
    <row r="13" spans="3:11">
      <c r="C13" s="810"/>
      <c r="D13" s="64" t="s">
        <v>1511</v>
      </c>
      <c r="E13" s="69" t="s">
        <v>447</v>
      </c>
      <c r="F13" s="66">
        <v>-7314.9644400000006</v>
      </c>
      <c r="G13" s="66">
        <v>-20733.131119999998</v>
      </c>
      <c r="H13" s="66">
        <v>-107594.78007000002</v>
      </c>
      <c r="I13" s="66">
        <v>-25185.216110000001</v>
      </c>
      <c r="J13" s="66">
        <v>0</v>
      </c>
      <c r="K13" s="67">
        <f t="shared" si="0"/>
        <v>-160828.09174000003</v>
      </c>
    </row>
    <row r="14" spans="3:11" ht="15" customHeight="1">
      <c r="C14" s="72"/>
      <c r="D14" s="469" t="s">
        <v>1512</v>
      </c>
      <c r="E14" s="472"/>
      <c r="F14" s="471">
        <f t="shared" ref="F14:J14" si="1">SUM(F8:F13)</f>
        <v>368772.01553918363</v>
      </c>
      <c r="G14" s="471">
        <f t="shared" si="1"/>
        <v>622607.88074693084</v>
      </c>
      <c r="H14" s="471">
        <f t="shared" si="1"/>
        <v>5073964.6010056511</v>
      </c>
      <c r="I14" s="471">
        <f t="shared" si="1"/>
        <v>3105525.5043550269</v>
      </c>
      <c r="J14" s="471">
        <f t="shared" si="1"/>
        <v>0</v>
      </c>
      <c r="K14" s="521">
        <f>SUM(K8:K13)</f>
        <v>9170870.0016467944</v>
      </c>
    </row>
    <row r="15" spans="3:11" ht="15" customHeight="1" thickBot="1">
      <c r="C15" s="72"/>
      <c r="D15" s="73"/>
      <c r="E15" s="73"/>
      <c r="F15" s="74"/>
      <c r="G15" s="74"/>
      <c r="H15" s="74"/>
      <c r="I15" s="74"/>
      <c r="J15" s="74"/>
      <c r="K15" s="522"/>
    </row>
    <row r="16" spans="3:11" ht="15" thickBot="1">
      <c r="C16" s="810" t="s">
        <v>89</v>
      </c>
      <c r="D16" s="60" t="s">
        <v>1502</v>
      </c>
      <c r="E16" s="61"/>
      <c r="F16" s="62"/>
      <c r="G16" s="62"/>
      <c r="H16" s="62"/>
      <c r="I16" s="62"/>
      <c r="J16" s="62"/>
      <c r="K16" s="63"/>
    </row>
    <row r="17" spans="3:11" ht="15" customHeight="1">
      <c r="C17" s="810"/>
      <c r="D17" s="64" t="s">
        <v>1513</v>
      </c>
      <c r="E17" s="70" t="s">
        <v>2078</v>
      </c>
      <c r="F17" s="66">
        <v>44759.370586846853</v>
      </c>
      <c r="G17" s="66">
        <v>404897.41765770852</v>
      </c>
      <c r="H17" s="66">
        <v>1513152.5072279188</v>
      </c>
      <c r="I17" s="66">
        <v>433472.66623032436</v>
      </c>
      <c r="J17" s="66">
        <v>0</v>
      </c>
      <c r="K17" s="67">
        <f>SUM(F17:J17)</f>
        <v>2396281.9617027985</v>
      </c>
    </row>
    <row r="18" spans="3:11">
      <c r="C18" s="810"/>
      <c r="D18" s="64" t="s">
        <v>1505</v>
      </c>
      <c r="E18" s="75" t="s">
        <v>1514</v>
      </c>
      <c r="F18" s="66">
        <v>103410.62821339611</v>
      </c>
      <c r="G18" s="66">
        <v>185712.17904000005</v>
      </c>
      <c r="H18" s="66">
        <v>1167487.8392</v>
      </c>
      <c r="I18" s="66">
        <v>474102.05601</v>
      </c>
      <c r="J18" s="66">
        <v>0</v>
      </c>
      <c r="K18" s="67">
        <f>SUM(F18:J18)</f>
        <v>1930712.7024633961</v>
      </c>
    </row>
    <row r="19" spans="3:11">
      <c r="C19" s="810"/>
      <c r="D19" s="64" t="s">
        <v>1509</v>
      </c>
      <c r="E19" s="69" t="s">
        <v>447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7">
        <f>SUM(F19:J19)</f>
        <v>0</v>
      </c>
    </row>
    <row r="20" spans="3:11">
      <c r="C20" s="810"/>
      <c r="D20" s="64" t="s">
        <v>1511</v>
      </c>
      <c r="E20" s="77" t="s">
        <v>447</v>
      </c>
      <c r="F20" s="66">
        <v>-2241.7234800000001</v>
      </c>
      <c r="G20" s="66">
        <v>-4670.5800818229436</v>
      </c>
      <c r="H20" s="66">
        <v>-27217.160949140914</v>
      </c>
      <c r="I20" s="66">
        <v>-9099.4443800000008</v>
      </c>
      <c r="J20" s="66">
        <v>0</v>
      </c>
      <c r="K20" s="67">
        <f>SUM(F20:J20)</f>
        <v>-43228.908890963859</v>
      </c>
    </row>
    <row r="21" spans="3:11" ht="15" customHeight="1">
      <c r="C21" s="78"/>
      <c r="D21" s="469" t="s">
        <v>1515</v>
      </c>
      <c r="E21" s="472"/>
      <c r="F21" s="471">
        <f t="shared" ref="F21:J21" si="2">SUM(F17:F20)</f>
        <v>145928.27532024297</v>
      </c>
      <c r="G21" s="471">
        <f t="shared" si="2"/>
        <v>585939.01661588566</v>
      </c>
      <c r="H21" s="471">
        <f t="shared" si="2"/>
        <v>2653423.1854787781</v>
      </c>
      <c r="I21" s="471">
        <f t="shared" si="2"/>
        <v>898475.27786032436</v>
      </c>
      <c r="J21" s="471">
        <f t="shared" si="2"/>
        <v>0</v>
      </c>
      <c r="K21" s="521">
        <f>SUM(K17:K20)</f>
        <v>4283765.7552752309</v>
      </c>
    </row>
    <row r="22" spans="3:11" ht="15" customHeight="1" thickBot="1">
      <c r="C22" s="79"/>
      <c r="D22" s="80"/>
      <c r="E22" s="81"/>
      <c r="F22" s="515"/>
      <c r="G22" s="515"/>
      <c r="H22" s="515"/>
      <c r="I22" s="515"/>
      <c r="J22" s="515"/>
      <c r="K22" s="523"/>
    </row>
    <row r="23" spans="3:11" ht="15" thickBot="1">
      <c r="C23" s="810" t="s">
        <v>113</v>
      </c>
      <c r="D23" s="60" t="s">
        <v>1502</v>
      </c>
      <c r="E23" s="61"/>
      <c r="F23" s="62"/>
      <c r="G23" s="62"/>
      <c r="H23" s="62"/>
      <c r="I23" s="62"/>
      <c r="J23" s="62"/>
      <c r="K23" s="63"/>
    </row>
    <row r="24" spans="3:11" ht="15" customHeight="1">
      <c r="C24" s="810"/>
      <c r="D24" s="64" t="s">
        <v>1504</v>
      </c>
      <c r="E24" s="70" t="s">
        <v>2079</v>
      </c>
      <c r="F24" s="66">
        <v>216172.112758239</v>
      </c>
      <c r="G24" s="66">
        <v>455212.04671594815</v>
      </c>
      <c r="H24" s="66">
        <v>927377.22933214426</v>
      </c>
      <c r="I24" s="66">
        <v>1450727.6688372539</v>
      </c>
      <c r="J24" s="66">
        <v>0</v>
      </c>
      <c r="K24" s="67">
        <f>SUM(F24:J24)</f>
        <v>3049489.0576435854</v>
      </c>
    </row>
    <row r="25" spans="3:11">
      <c r="C25" s="810"/>
      <c r="D25" s="64" t="s">
        <v>1505</v>
      </c>
      <c r="E25" s="75" t="s">
        <v>1516</v>
      </c>
      <c r="F25" s="66">
        <v>42138.46840827429</v>
      </c>
      <c r="G25" s="66">
        <v>80293.064012980001</v>
      </c>
      <c r="H25" s="66">
        <v>562051.77784427861</v>
      </c>
      <c r="I25" s="66">
        <v>416549.40584000002</v>
      </c>
      <c r="J25" s="66">
        <v>0</v>
      </c>
      <c r="K25" s="67">
        <f>SUM(F25:J25)</f>
        <v>1101032.7161055328</v>
      </c>
    </row>
    <row r="26" spans="3:11">
      <c r="C26" s="810"/>
      <c r="D26" s="64" t="s">
        <v>1509</v>
      </c>
      <c r="E26" s="69" t="s">
        <v>1517</v>
      </c>
      <c r="F26" s="66">
        <v>15940.230725685415</v>
      </c>
      <c r="G26" s="66">
        <v>27177.030646610321</v>
      </c>
      <c r="H26" s="66">
        <v>232339.39391831588</v>
      </c>
      <c r="I26" s="66">
        <v>505038.25587776059</v>
      </c>
      <c r="J26" s="66">
        <v>269025.76070609211</v>
      </c>
      <c r="K26" s="67">
        <f>SUM(F26:J26)</f>
        <v>1049520.6718744645</v>
      </c>
    </row>
    <row r="27" spans="3:11">
      <c r="C27" s="810"/>
      <c r="D27" s="64" t="s">
        <v>1511</v>
      </c>
      <c r="E27" s="76" t="s">
        <v>447</v>
      </c>
      <c r="F27" s="66">
        <v>-2230.5999000000002</v>
      </c>
      <c r="G27" s="66">
        <v>-16204.708819785088</v>
      </c>
      <c r="H27" s="66">
        <v>-195637.52325699126</v>
      </c>
      <c r="I27" s="66">
        <v>-247860.25045570181</v>
      </c>
      <c r="J27" s="66">
        <v>-90033.56915168569</v>
      </c>
      <c r="K27" s="67">
        <f>SUM(F27:J27)</f>
        <v>-551966.65158416389</v>
      </c>
    </row>
    <row r="28" spans="3:11" ht="15" customHeight="1">
      <c r="C28" s="79"/>
      <c r="D28" s="469" t="s">
        <v>1518</v>
      </c>
      <c r="E28" s="472"/>
      <c r="F28" s="471">
        <f t="shared" ref="F28:J28" si="3">SUM(F24:F27)</f>
        <v>272020.21199219872</v>
      </c>
      <c r="G28" s="471">
        <f t="shared" si="3"/>
        <v>546477.43255575339</v>
      </c>
      <c r="H28" s="471">
        <f t="shared" si="3"/>
        <v>1526130.8778377476</v>
      </c>
      <c r="I28" s="471">
        <f t="shared" si="3"/>
        <v>2124455.0800993131</v>
      </c>
      <c r="J28" s="471">
        <f t="shared" si="3"/>
        <v>178992.19155440642</v>
      </c>
      <c r="K28" s="521">
        <f>SUM(K24:K27)</f>
        <v>4648075.794039418</v>
      </c>
    </row>
    <row r="29" spans="3:11" ht="15" customHeight="1" thickBot="1">
      <c r="C29" s="79"/>
      <c r="D29" s="80"/>
      <c r="E29" s="81"/>
      <c r="F29" s="515"/>
      <c r="G29" s="515"/>
      <c r="H29" s="515"/>
      <c r="I29" s="515"/>
      <c r="J29" s="515"/>
      <c r="K29" s="523"/>
    </row>
    <row r="30" spans="3:11" ht="15" thickBot="1">
      <c r="C30" s="811" t="s">
        <v>116</v>
      </c>
      <c r="D30" s="60" t="s">
        <v>1502</v>
      </c>
      <c r="E30" s="61"/>
      <c r="F30" s="62"/>
      <c r="G30" s="62"/>
      <c r="H30" s="62"/>
      <c r="I30" s="62"/>
      <c r="J30" s="62"/>
      <c r="K30" s="63"/>
    </row>
    <row r="31" spans="3:11" ht="15" customHeight="1">
      <c r="C31" s="811"/>
      <c r="D31" s="64" t="s">
        <v>1503</v>
      </c>
      <c r="E31" s="83"/>
      <c r="F31" s="66"/>
      <c r="G31" s="66"/>
      <c r="H31" s="66"/>
      <c r="I31" s="66"/>
      <c r="J31" s="66"/>
      <c r="K31" s="67">
        <f>SUM(F31:J31)</f>
        <v>0</v>
      </c>
    </row>
    <row r="32" spans="3:11">
      <c r="C32" s="811"/>
      <c r="D32" s="64" t="s">
        <v>1504</v>
      </c>
      <c r="E32" s="83" t="s">
        <v>2080</v>
      </c>
      <c r="F32" s="66">
        <v>358985.81618324056</v>
      </c>
      <c r="G32" s="66">
        <v>647116.38214355847</v>
      </c>
      <c r="H32" s="66">
        <v>1082825.2363214027</v>
      </c>
      <c r="I32" s="66">
        <v>239450.609294302</v>
      </c>
      <c r="J32" s="66">
        <v>0</v>
      </c>
      <c r="K32" s="67">
        <f>SUM(F32:J32)</f>
        <v>2328378.0439425036</v>
      </c>
    </row>
    <row r="33" spans="3:12">
      <c r="C33" s="811"/>
      <c r="D33" s="64" t="s">
        <v>1519</v>
      </c>
      <c r="E33" s="84" t="s">
        <v>1520</v>
      </c>
      <c r="F33" s="66">
        <v>28890.069450000003</v>
      </c>
      <c r="G33" s="66">
        <v>55017.228000000003</v>
      </c>
      <c r="H33" s="66">
        <v>385120.59600000002</v>
      </c>
      <c r="I33" s="66">
        <v>287865.97147000005</v>
      </c>
      <c r="J33" s="66">
        <v>0</v>
      </c>
      <c r="K33" s="67">
        <f>SUM(F33:J33)</f>
        <v>756893.86492000008</v>
      </c>
    </row>
    <row r="34" spans="3:12">
      <c r="C34" s="811"/>
      <c r="D34" s="64" t="s">
        <v>1521</v>
      </c>
      <c r="E34" s="84" t="s">
        <v>447</v>
      </c>
      <c r="F34" s="66"/>
      <c r="G34" s="66"/>
      <c r="H34" s="66"/>
      <c r="I34" s="66"/>
      <c r="J34" s="66"/>
      <c r="K34" s="67">
        <f>SUM(F34:J34)</f>
        <v>0</v>
      </c>
    </row>
    <row r="35" spans="3:12">
      <c r="C35" s="811"/>
      <c r="D35" s="64" t="s">
        <v>1511</v>
      </c>
      <c r="E35" s="85" t="s">
        <v>447</v>
      </c>
      <c r="F35" s="66">
        <v>-1607.2464</v>
      </c>
      <c r="G35" s="66">
        <v>-3214.4928</v>
      </c>
      <c r="H35" s="66">
        <v>-15746.007829999999</v>
      </c>
      <c r="I35" s="66">
        <v>-2140.1958800000002</v>
      </c>
      <c r="J35" s="66">
        <v>0</v>
      </c>
      <c r="K35" s="67">
        <f>SUM(F35:J35)</f>
        <v>-22707.942909999998</v>
      </c>
    </row>
    <row r="36" spans="3:12" ht="15" customHeight="1">
      <c r="C36" s="86"/>
      <c r="D36" s="469" t="s">
        <v>1522</v>
      </c>
      <c r="E36" s="472"/>
      <c r="F36" s="471">
        <f t="shared" ref="F36:K36" si="4">SUM(F31:F35)</f>
        <v>386268.63923324057</v>
      </c>
      <c r="G36" s="471">
        <f t="shared" si="4"/>
        <v>698919.11734355846</v>
      </c>
      <c r="H36" s="471">
        <f t="shared" si="4"/>
        <v>1452199.8244914026</v>
      </c>
      <c r="I36" s="471">
        <f t="shared" si="4"/>
        <v>525176.38488430204</v>
      </c>
      <c r="J36" s="471">
        <f t="shared" si="4"/>
        <v>0</v>
      </c>
      <c r="K36" s="521">
        <f t="shared" si="4"/>
        <v>3062563.9659525035</v>
      </c>
    </row>
    <row r="37" spans="3:12" ht="15" customHeight="1" thickBot="1">
      <c r="C37" s="87"/>
      <c r="D37" s="88"/>
      <c r="E37" s="81"/>
      <c r="F37" s="515"/>
      <c r="G37" s="515"/>
      <c r="H37" s="515"/>
      <c r="I37" s="515"/>
      <c r="J37" s="515"/>
      <c r="K37" s="523"/>
    </row>
    <row r="38" spans="3:12" ht="15" thickBot="1">
      <c r="C38" s="811" t="s">
        <v>1477</v>
      </c>
      <c r="D38" s="60" t="s">
        <v>1502</v>
      </c>
      <c r="E38" s="61"/>
      <c r="F38" s="62"/>
      <c r="G38" s="62"/>
      <c r="H38" s="62"/>
      <c r="I38" s="62"/>
      <c r="J38" s="62"/>
      <c r="K38" s="63"/>
    </row>
    <row r="39" spans="3:12" ht="15" customHeight="1">
      <c r="C39" s="811"/>
      <c r="D39" s="64" t="s">
        <v>1504</v>
      </c>
      <c r="E39" s="83" t="s">
        <v>2081</v>
      </c>
      <c r="F39" s="66">
        <v>202865.72368620208</v>
      </c>
      <c r="G39" s="66">
        <v>1230915.3854276014</v>
      </c>
      <c r="H39" s="66">
        <v>5990609.7779751262</v>
      </c>
      <c r="I39" s="66">
        <v>770043.53611921088</v>
      </c>
      <c r="J39" s="66">
        <v>0</v>
      </c>
      <c r="K39" s="67">
        <f>SUM(F39:J39)</f>
        <v>8194434.4232081408</v>
      </c>
      <c r="L39" s="232"/>
    </row>
    <row r="40" spans="3:12">
      <c r="C40" s="811"/>
      <c r="D40" s="64" t="s">
        <v>1519</v>
      </c>
      <c r="E40" s="84" t="s">
        <v>1523</v>
      </c>
      <c r="F40" s="66">
        <v>22742.101112050601</v>
      </c>
      <c r="G40" s="66">
        <v>17560.722120000002</v>
      </c>
      <c r="H40" s="66">
        <v>723274.96942075528</v>
      </c>
      <c r="I40" s="66">
        <v>35121.444240000004</v>
      </c>
      <c r="J40" s="66">
        <v>0</v>
      </c>
      <c r="K40" s="67">
        <f>SUM(F40:J40)</f>
        <v>798699.2368928059</v>
      </c>
      <c r="L40" s="232"/>
    </row>
    <row r="41" spans="3:12">
      <c r="C41" s="811"/>
      <c r="D41" s="64" t="s">
        <v>2082</v>
      </c>
      <c r="E41" s="84" t="s">
        <v>2083</v>
      </c>
      <c r="F41" s="66">
        <v>5942.6457811279815</v>
      </c>
      <c r="G41" s="66">
        <v>75182.83437595157</v>
      </c>
      <c r="H41" s="66">
        <v>221206.71300352944</v>
      </c>
      <c r="I41" s="66">
        <v>0</v>
      </c>
      <c r="J41" s="66">
        <v>0</v>
      </c>
      <c r="K41" s="67">
        <f>SUM(F41:J41)</f>
        <v>302332.19316060899</v>
      </c>
      <c r="L41" s="232"/>
    </row>
    <row r="42" spans="3:12">
      <c r="C42" s="811"/>
      <c r="D42" s="64" t="s">
        <v>1511</v>
      </c>
      <c r="E42" s="85" t="s">
        <v>447</v>
      </c>
      <c r="F42" s="66">
        <v>-3182.7199799999994</v>
      </c>
      <c r="G42" s="66">
        <v>-6365.4399599999988</v>
      </c>
      <c r="H42" s="66">
        <v>-35118.339049999988</v>
      </c>
      <c r="I42" s="66">
        <v>-8441.5366199999989</v>
      </c>
      <c r="J42" s="66">
        <v>0</v>
      </c>
      <c r="K42" s="67">
        <f>SUM(F42:J42)</f>
        <v>-53108.035609999984</v>
      </c>
    </row>
    <row r="43" spans="3:12" ht="15" customHeight="1">
      <c r="C43" s="86"/>
      <c r="D43" s="469" t="s">
        <v>1524</v>
      </c>
      <c r="E43" s="472"/>
      <c r="F43" s="471">
        <f t="shared" ref="F43:J43" si="5">SUM(F39:F42)</f>
        <v>228367.75059938064</v>
      </c>
      <c r="G43" s="471">
        <f t="shared" si="5"/>
        <v>1317293.501963553</v>
      </c>
      <c r="H43" s="471">
        <f t="shared" si="5"/>
        <v>6899973.1213494111</v>
      </c>
      <c r="I43" s="471">
        <f t="shared" si="5"/>
        <v>796723.44373921084</v>
      </c>
      <c r="J43" s="471">
        <f t="shared" si="5"/>
        <v>0</v>
      </c>
      <c r="K43" s="521">
        <f>SUM(K39:K42)</f>
        <v>9242357.8176515549</v>
      </c>
    </row>
    <row r="44" spans="3:12" ht="15" customHeight="1" thickBot="1">
      <c r="C44" s="87"/>
      <c r="D44" s="88"/>
      <c r="E44" s="81"/>
      <c r="F44" s="515"/>
      <c r="G44" s="515"/>
      <c r="H44" s="515"/>
      <c r="I44" s="515"/>
      <c r="J44" s="515"/>
      <c r="K44" s="523"/>
    </row>
    <row r="45" spans="3:12" ht="15" thickBot="1">
      <c r="C45" s="809" t="s">
        <v>2154</v>
      </c>
      <c r="D45" s="60" t="s">
        <v>1502</v>
      </c>
      <c r="E45" s="61"/>
      <c r="F45" s="62"/>
      <c r="G45" s="62"/>
      <c r="H45" s="62"/>
      <c r="I45" s="62"/>
      <c r="J45" s="62"/>
      <c r="K45" s="63"/>
    </row>
    <row r="46" spans="3:12" ht="15" customHeight="1">
      <c r="C46" s="809"/>
      <c r="D46" s="64" t="s">
        <v>1504</v>
      </c>
      <c r="E46" s="89" t="s">
        <v>2084</v>
      </c>
      <c r="F46" s="66">
        <v>175495.83918505098</v>
      </c>
      <c r="G46" s="66">
        <v>559280.001186979</v>
      </c>
      <c r="H46" s="66">
        <v>1556976.2685648364</v>
      </c>
      <c r="I46" s="66">
        <v>329471.00123877858</v>
      </c>
      <c r="J46" s="66">
        <v>0</v>
      </c>
      <c r="K46" s="67">
        <f>SUM(F46:J46)</f>
        <v>2621223.110175645</v>
      </c>
    </row>
    <row r="47" spans="3:12">
      <c r="C47" s="809"/>
      <c r="D47" s="64" t="s">
        <v>1505</v>
      </c>
      <c r="E47" s="90" t="s">
        <v>1525</v>
      </c>
      <c r="F47" s="66">
        <v>7010.6035181506895</v>
      </c>
      <c r="G47" s="66">
        <v>0</v>
      </c>
      <c r="H47" s="66">
        <v>451138.61288722634</v>
      </c>
      <c r="I47" s="66">
        <v>0</v>
      </c>
      <c r="J47" s="66">
        <v>0</v>
      </c>
      <c r="K47" s="67">
        <f>SUM(F47:J47)</f>
        <v>458149.21640537702</v>
      </c>
    </row>
    <row r="48" spans="3:12">
      <c r="C48" s="809"/>
      <c r="D48" s="64" t="s">
        <v>1511</v>
      </c>
      <c r="E48" s="90" t="s">
        <v>447</v>
      </c>
      <c r="F48" s="66">
        <v>-1832.1474600000001</v>
      </c>
      <c r="G48" s="66">
        <v>-3574.2169700000004</v>
      </c>
      <c r="H48" s="66">
        <v>-16972.874540000001</v>
      </c>
      <c r="I48" s="66">
        <v>-3461.0830799999999</v>
      </c>
      <c r="J48" s="66">
        <v>0</v>
      </c>
      <c r="K48" s="67">
        <f>SUM(F48:J48)</f>
        <v>-25840.322050000002</v>
      </c>
    </row>
    <row r="49" spans="3:11" ht="15" thickBot="1">
      <c r="C49" s="809"/>
      <c r="D49" s="469" t="s">
        <v>1526</v>
      </c>
      <c r="E49" s="472"/>
      <c r="F49" s="471">
        <f t="shared" ref="F49:J49" si="6">SUM(F46:F48)</f>
        <v>180674.29524320166</v>
      </c>
      <c r="G49" s="471">
        <f t="shared" si="6"/>
        <v>555705.78421697905</v>
      </c>
      <c r="H49" s="471">
        <f t="shared" si="6"/>
        <v>1991142.0069120626</v>
      </c>
      <c r="I49" s="471">
        <f t="shared" si="6"/>
        <v>326009.91815877857</v>
      </c>
      <c r="J49" s="471">
        <f t="shared" si="6"/>
        <v>0</v>
      </c>
      <c r="K49" s="521">
        <f>SUM(F49:J49)</f>
        <v>3053532.0045310217</v>
      </c>
    </row>
    <row r="50" spans="3:11" ht="15" customHeight="1" thickBot="1">
      <c r="C50" s="91"/>
      <c r="D50" s="60"/>
      <c r="E50" s="61"/>
      <c r="F50" s="516"/>
      <c r="G50" s="516"/>
      <c r="H50" s="516"/>
      <c r="I50" s="516"/>
      <c r="J50" s="516"/>
      <c r="K50" s="517"/>
    </row>
    <row r="51" spans="3:11" ht="20.7" customHeight="1" thickBot="1">
      <c r="C51" s="91"/>
      <c r="D51" s="88"/>
      <c r="E51" s="81"/>
      <c r="F51" s="82"/>
      <c r="G51" s="82"/>
      <c r="H51" s="82"/>
      <c r="I51" s="82"/>
      <c r="J51" s="82"/>
      <c r="K51" s="524"/>
    </row>
    <row r="52" spans="3:11" ht="15" customHeight="1" thickBot="1">
      <c r="C52" s="809" t="s">
        <v>1019</v>
      </c>
      <c r="D52" s="60" t="s">
        <v>1502</v>
      </c>
      <c r="E52" s="61"/>
      <c r="F52" s="62"/>
      <c r="G52" s="62"/>
      <c r="H52" s="62"/>
      <c r="I52" s="62"/>
      <c r="J52" s="62"/>
      <c r="K52" s="63"/>
    </row>
    <row r="53" spans="3:11">
      <c r="C53" s="809"/>
      <c r="D53" s="64" t="s">
        <v>1504</v>
      </c>
      <c r="E53" s="77" t="s">
        <v>447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7">
        <f>SUM(F53:J53)</f>
        <v>0</v>
      </c>
    </row>
    <row r="54" spans="3:11">
      <c r="C54" s="809"/>
      <c r="D54" s="64" t="s">
        <v>1519</v>
      </c>
      <c r="E54" s="77" t="s">
        <v>2508</v>
      </c>
      <c r="F54" s="66">
        <v>527.78933945308165</v>
      </c>
      <c r="G54" s="66">
        <v>0</v>
      </c>
      <c r="H54" s="66">
        <v>636325.40883034922</v>
      </c>
      <c r="I54" s="66">
        <v>454203.66680000006</v>
      </c>
      <c r="J54" s="66">
        <v>337599.83408000006</v>
      </c>
      <c r="K54" s="67">
        <f>SUM(F54:J54)</f>
        <v>1428656.6990498025</v>
      </c>
    </row>
    <row r="55" spans="3:11">
      <c r="C55" s="809"/>
      <c r="D55" s="64" t="s">
        <v>1511</v>
      </c>
      <c r="E55" s="90" t="s">
        <v>447</v>
      </c>
      <c r="F55" s="66">
        <v>-128.92504000000872</v>
      </c>
      <c r="G55" s="66">
        <v>-257.85195999999127</v>
      </c>
      <c r="H55" s="66">
        <v>-1804.9541132078261</v>
      </c>
      <c r="I55" s="66">
        <v>-2578.5036000000005</v>
      </c>
      <c r="J55" s="66">
        <v>-1851.8083500000002</v>
      </c>
      <c r="K55" s="67">
        <f>SUM(F55:J55)</f>
        <v>-6622.0430632078269</v>
      </c>
    </row>
    <row r="56" spans="3:11" ht="15" customHeight="1">
      <c r="C56" s="91"/>
      <c r="D56" s="469" t="s">
        <v>1526</v>
      </c>
      <c r="E56" s="472"/>
      <c r="F56" s="471">
        <f t="shared" ref="F56:J56" si="7">SUM(F53:F55)</f>
        <v>398.86429945307293</v>
      </c>
      <c r="G56" s="471">
        <f t="shared" si="7"/>
        <v>-257.85195999999127</v>
      </c>
      <c r="H56" s="471">
        <f t="shared" si="7"/>
        <v>634520.45471714134</v>
      </c>
      <c r="I56" s="471">
        <f t="shared" si="7"/>
        <v>451625.16320000007</v>
      </c>
      <c r="J56" s="471">
        <f t="shared" si="7"/>
        <v>335748.02573000005</v>
      </c>
      <c r="K56" s="521">
        <f>SUM(K53:K55)</f>
        <v>1422034.6559865947</v>
      </c>
    </row>
    <row r="57" spans="3:11" ht="20.7" customHeight="1" thickBot="1">
      <c r="C57" s="91"/>
      <c r="D57" s="88"/>
      <c r="E57" s="81"/>
      <c r="F57" s="515"/>
      <c r="G57" s="515"/>
      <c r="H57" s="515"/>
      <c r="I57" s="515"/>
      <c r="J57" s="515"/>
      <c r="K57" s="523"/>
    </row>
    <row r="58" spans="3:11" ht="15" customHeight="1" thickBot="1">
      <c r="C58" s="811" t="s">
        <v>1527</v>
      </c>
      <c r="D58" s="60" t="s">
        <v>1502</v>
      </c>
      <c r="E58" s="61"/>
      <c r="F58" s="62"/>
      <c r="G58" s="62"/>
      <c r="H58" s="62"/>
      <c r="I58" s="62"/>
      <c r="J58" s="62"/>
      <c r="K58" s="63"/>
    </row>
    <row r="59" spans="3:11" ht="15" customHeight="1">
      <c r="C59" s="811"/>
      <c r="D59" s="64" t="s">
        <v>1504</v>
      </c>
      <c r="E59" s="77" t="s">
        <v>1528</v>
      </c>
      <c r="F59" s="66">
        <v>623.86556943360347</v>
      </c>
      <c r="G59" s="66">
        <v>24942.194729834388</v>
      </c>
      <c r="H59" s="66">
        <v>0</v>
      </c>
      <c r="I59" s="66">
        <v>0</v>
      </c>
      <c r="J59" s="66">
        <v>0</v>
      </c>
      <c r="K59" s="67">
        <f>SUM(F59:J59)</f>
        <v>25566.060299267992</v>
      </c>
    </row>
    <row r="60" spans="3:11" ht="15" customHeight="1">
      <c r="C60" s="811"/>
      <c r="D60" s="64" t="s">
        <v>1511</v>
      </c>
      <c r="E60" s="77"/>
      <c r="F60" s="66">
        <v>-140.66975999999994</v>
      </c>
      <c r="G60" s="66">
        <v>-140.66975999999997</v>
      </c>
      <c r="H60" s="66">
        <v>0</v>
      </c>
      <c r="I60" s="66">
        <v>0</v>
      </c>
      <c r="J60" s="66">
        <v>0</v>
      </c>
      <c r="K60" s="67">
        <f>SUM(F60:J60)</f>
        <v>-281.33951999999988</v>
      </c>
    </row>
    <row r="61" spans="3:11" ht="15" customHeight="1">
      <c r="C61" s="811"/>
      <c r="D61" s="469" t="s">
        <v>2512</v>
      </c>
      <c r="E61" s="472"/>
      <c r="F61" s="471">
        <f t="shared" ref="F61:K61" si="8">SUM(F59:F60)</f>
        <v>483.19580943360353</v>
      </c>
      <c r="G61" s="471">
        <f t="shared" si="8"/>
        <v>24801.524969834387</v>
      </c>
      <c r="H61" s="471">
        <f t="shared" si="8"/>
        <v>0</v>
      </c>
      <c r="I61" s="471">
        <f t="shared" si="8"/>
        <v>0</v>
      </c>
      <c r="J61" s="471">
        <f t="shared" si="8"/>
        <v>0</v>
      </c>
      <c r="K61" s="521">
        <f t="shared" si="8"/>
        <v>25284.720779267991</v>
      </c>
    </row>
    <row r="62" spans="3:11" ht="15" customHeight="1" thickBot="1">
      <c r="C62" s="87"/>
      <c r="D62" s="80"/>
      <c r="E62" s="81"/>
      <c r="F62" s="515"/>
      <c r="G62" s="515"/>
      <c r="H62" s="515"/>
      <c r="I62" s="515"/>
      <c r="J62" s="515"/>
      <c r="K62" s="523"/>
    </row>
    <row r="63" spans="3:11" ht="15" thickBot="1">
      <c r="C63" s="809" t="s">
        <v>1529</v>
      </c>
      <c r="D63" s="60" t="s">
        <v>1502</v>
      </c>
      <c r="E63" s="61"/>
      <c r="F63" s="62"/>
      <c r="G63" s="62"/>
      <c r="H63" s="62"/>
      <c r="I63" s="62"/>
      <c r="J63" s="62"/>
      <c r="K63" s="63"/>
    </row>
    <row r="64" spans="3:11">
      <c r="C64" s="809"/>
      <c r="D64" s="92" t="s">
        <v>1504</v>
      </c>
      <c r="E64" s="93" t="s">
        <v>1530</v>
      </c>
      <c r="F64" s="66"/>
      <c r="G64" s="66"/>
      <c r="H64" s="66"/>
      <c r="I64" s="66"/>
      <c r="J64" s="66"/>
      <c r="K64" s="67">
        <f>SUM(F64:J64)</f>
        <v>0</v>
      </c>
    </row>
    <row r="65" spans="3:11">
      <c r="C65" s="809"/>
      <c r="D65" s="92" t="s">
        <v>1519</v>
      </c>
      <c r="E65" s="94" t="s">
        <v>1531</v>
      </c>
      <c r="F65" s="66"/>
      <c r="G65" s="66"/>
      <c r="H65" s="66"/>
      <c r="I65" s="66"/>
      <c r="J65" s="66"/>
      <c r="K65" s="67">
        <f>SUM(F65:J65)</f>
        <v>0</v>
      </c>
    </row>
    <row r="66" spans="3:11" ht="15" customHeight="1">
      <c r="C66" s="91"/>
      <c r="D66" s="469" t="s">
        <v>1532</v>
      </c>
      <c r="E66" s="472"/>
      <c r="F66" s="471">
        <f t="shared" ref="F66:J66" si="9">SUM(F64:F65)</f>
        <v>0</v>
      </c>
      <c r="G66" s="471">
        <f t="shared" si="9"/>
        <v>0</v>
      </c>
      <c r="H66" s="471">
        <f t="shared" si="9"/>
        <v>0</v>
      </c>
      <c r="I66" s="471">
        <f t="shared" si="9"/>
        <v>0</v>
      </c>
      <c r="J66" s="471">
        <f t="shared" si="9"/>
        <v>0</v>
      </c>
      <c r="K66" s="521">
        <f>SUM(K64:K65)</f>
        <v>0</v>
      </c>
    </row>
    <row r="67" spans="3:11" ht="15" customHeight="1" thickBot="1">
      <c r="C67" s="91"/>
      <c r="F67" s="519"/>
      <c r="G67" s="519"/>
      <c r="H67" s="519"/>
      <c r="I67" s="519"/>
      <c r="J67" s="519"/>
      <c r="K67" s="526"/>
    </row>
    <row r="68" spans="3:11" ht="15" thickBot="1">
      <c r="C68" s="809" t="s">
        <v>1533</v>
      </c>
      <c r="D68" s="60" t="s">
        <v>1502</v>
      </c>
      <c r="E68" s="61"/>
      <c r="F68" s="62"/>
      <c r="G68" s="62"/>
      <c r="H68" s="62"/>
      <c r="I68" s="62"/>
      <c r="J68" s="62"/>
      <c r="K68" s="63"/>
    </row>
    <row r="69" spans="3:11">
      <c r="C69" s="809"/>
      <c r="D69" s="64" t="s">
        <v>1504</v>
      </c>
      <c r="E69" s="89" t="s">
        <v>1534</v>
      </c>
      <c r="F69" s="66">
        <v>9039.7212540126293</v>
      </c>
      <c r="G69" s="66">
        <v>0</v>
      </c>
      <c r="H69" s="66">
        <v>0</v>
      </c>
      <c r="I69" s="66">
        <v>0</v>
      </c>
      <c r="J69" s="66">
        <v>0</v>
      </c>
      <c r="K69" s="67">
        <f>SUM(F69:J69)</f>
        <v>9039.7212540126293</v>
      </c>
    </row>
    <row r="70" spans="3:11" s="58" customFormat="1" ht="12">
      <c r="C70" s="809"/>
      <c r="D70" s="64" t="s">
        <v>1511</v>
      </c>
      <c r="E70" s="90" t="s">
        <v>447</v>
      </c>
      <c r="F70" s="66">
        <v>-4.4260000000000019</v>
      </c>
      <c r="G70" s="66">
        <v>0</v>
      </c>
      <c r="H70" s="66">
        <v>0</v>
      </c>
      <c r="I70" s="66">
        <v>0</v>
      </c>
      <c r="J70" s="66">
        <v>0</v>
      </c>
      <c r="K70" s="67">
        <f>SUM(F70:J70)</f>
        <v>-4.4260000000000019</v>
      </c>
    </row>
    <row r="71" spans="3:11">
      <c r="C71" s="812"/>
      <c r="D71" s="469" t="s">
        <v>1535</v>
      </c>
      <c r="E71" s="472"/>
      <c r="F71" s="471">
        <f t="shared" ref="F71:K71" si="10">SUM(F69:F70)</f>
        <v>9035.2952540126298</v>
      </c>
      <c r="G71" s="471">
        <f t="shared" si="10"/>
        <v>0</v>
      </c>
      <c r="H71" s="471">
        <f t="shared" si="10"/>
        <v>0</v>
      </c>
      <c r="I71" s="471">
        <f t="shared" si="10"/>
        <v>0</v>
      </c>
      <c r="J71" s="471">
        <f t="shared" si="10"/>
        <v>0</v>
      </c>
      <c r="K71" s="521">
        <f t="shared" si="10"/>
        <v>9035.2952540126298</v>
      </c>
    </row>
    <row r="72" spans="3:11" s="58" customFormat="1" ht="15" customHeight="1">
      <c r="C72" s="812"/>
      <c r="D72" s="80"/>
      <c r="E72" s="81"/>
      <c r="F72" s="515"/>
      <c r="G72" s="515"/>
      <c r="H72" s="515"/>
      <c r="I72" s="515"/>
      <c r="J72" s="515"/>
      <c r="K72" s="523"/>
    </row>
    <row r="73" spans="3:11" s="58" customFormat="1" ht="12.6" thickBot="1">
      <c r="C73" s="812"/>
      <c r="D73" s="80"/>
      <c r="E73" s="81"/>
      <c r="F73" s="82"/>
      <c r="G73" s="82"/>
      <c r="H73" s="82"/>
      <c r="I73" s="82"/>
      <c r="J73" s="82"/>
      <c r="K73" s="524"/>
    </row>
    <row r="74" spans="3:11" s="58" customFormat="1" ht="12.6" thickBot="1">
      <c r="C74" s="811" t="s">
        <v>1017</v>
      </c>
      <c r="D74" s="60" t="s">
        <v>1502</v>
      </c>
      <c r="E74" s="61"/>
      <c r="F74" s="62"/>
      <c r="G74" s="62"/>
      <c r="H74" s="62"/>
      <c r="I74" s="62"/>
      <c r="J74" s="62"/>
      <c r="K74" s="63"/>
    </row>
    <row r="75" spans="3:11" s="58" customFormat="1" ht="12">
      <c r="C75" s="811"/>
      <c r="D75" s="64" t="s">
        <v>1504</v>
      </c>
      <c r="E75" s="95" t="s">
        <v>2509</v>
      </c>
      <c r="F75" s="66">
        <v>0</v>
      </c>
      <c r="G75" s="66">
        <v>101475.15778337425</v>
      </c>
      <c r="H75" s="66">
        <v>0</v>
      </c>
      <c r="I75" s="66">
        <v>0</v>
      </c>
      <c r="J75" s="66">
        <v>0</v>
      </c>
      <c r="K75" s="67">
        <f>SUM(F75:J75)</f>
        <v>101475.15778337425</v>
      </c>
    </row>
    <row r="76" spans="3:11" s="58" customFormat="1" ht="12">
      <c r="C76" s="811"/>
      <c r="D76" s="64" t="s">
        <v>1519</v>
      </c>
      <c r="E76" s="83" t="s">
        <v>1536</v>
      </c>
      <c r="F76" s="66">
        <v>213000.87916019134</v>
      </c>
      <c r="G76" s="66">
        <v>339720.56012210442</v>
      </c>
      <c r="H76" s="66">
        <v>1881559.3384903711</v>
      </c>
      <c r="I76" s="66">
        <v>1840199.4980612642</v>
      </c>
      <c r="J76" s="66">
        <v>184990.56957046609</v>
      </c>
      <c r="K76" s="67">
        <f>SUM(F76:J76)</f>
        <v>4459470.8454043968</v>
      </c>
    </row>
    <row r="77" spans="3:11">
      <c r="C77" s="811"/>
      <c r="D77" s="64" t="s">
        <v>1537</v>
      </c>
      <c r="E77" s="84" t="s">
        <v>1538</v>
      </c>
      <c r="F77" s="66">
        <v>56289.062866563057</v>
      </c>
      <c r="G77" s="66">
        <v>110226.06538377589</v>
      </c>
      <c r="H77" s="66">
        <v>645903.58938606235</v>
      </c>
      <c r="I77" s="66">
        <v>0</v>
      </c>
      <c r="J77" s="66">
        <v>0</v>
      </c>
      <c r="K77" s="67">
        <f>SUM(F77:J77)</f>
        <v>812418.7176364013</v>
      </c>
    </row>
    <row r="78" spans="3:11">
      <c r="C78" s="811"/>
      <c r="D78" s="64" t="s">
        <v>1509</v>
      </c>
      <c r="E78" s="84" t="s">
        <v>1539</v>
      </c>
      <c r="F78" s="66">
        <v>5276.9658717362045</v>
      </c>
      <c r="G78" s="66">
        <v>10465.461341676826</v>
      </c>
      <c r="H78" s="66">
        <v>73160.076681478793</v>
      </c>
      <c r="I78" s="66">
        <v>0</v>
      </c>
      <c r="J78" s="66">
        <v>0</v>
      </c>
      <c r="K78" s="67">
        <f>SUM(F78:J78)</f>
        <v>88902.503894891823</v>
      </c>
    </row>
    <row r="79" spans="3:11">
      <c r="C79" s="811"/>
      <c r="D79" s="64" t="s">
        <v>1511</v>
      </c>
      <c r="E79" s="85" t="s">
        <v>447</v>
      </c>
      <c r="F79" s="66">
        <v>-4244.8541399999995</v>
      </c>
      <c r="G79" s="66">
        <v>-8522.5241199999891</v>
      </c>
      <c r="H79" s="66">
        <v>-51645.343965454536</v>
      </c>
      <c r="I79" s="66">
        <v>-36606.482080000002</v>
      </c>
      <c r="J79" s="66">
        <v>-4006.7656000000002</v>
      </c>
      <c r="K79" s="67">
        <f>SUM(F79:J79)</f>
        <v>-105025.96990545453</v>
      </c>
    </row>
    <row r="80" spans="3:11" ht="15" customHeight="1">
      <c r="C80" s="87"/>
      <c r="D80" s="469" t="s">
        <v>1540</v>
      </c>
      <c r="E80" s="472"/>
      <c r="F80" s="471">
        <f t="shared" ref="F80:J80" si="11">SUM(F75:F79)</f>
        <v>270322.0537584906</v>
      </c>
      <c r="G80" s="471">
        <f t="shared" si="11"/>
        <v>553364.72051093145</v>
      </c>
      <c r="H80" s="471">
        <f t="shared" si="11"/>
        <v>2548977.6605924577</v>
      </c>
      <c r="I80" s="471">
        <f t="shared" si="11"/>
        <v>1803593.0159812642</v>
      </c>
      <c r="J80" s="471">
        <f t="shared" si="11"/>
        <v>180983.80397046608</v>
      </c>
      <c r="K80" s="521">
        <f>SUM(K75:K79)</f>
        <v>5357241.2548136096</v>
      </c>
    </row>
    <row r="83" spans="3:11" ht="15" thickBot="1">
      <c r="C83" s="811" t="s">
        <v>1541</v>
      </c>
      <c r="D83" s="60" t="s">
        <v>1502</v>
      </c>
      <c r="E83" s="61"/>
      <c r="F83" s="62"/>
      <c r="G83" s="62"/>
      <c r="H83" s="62"/>
      <c r="I83" s="62"/>
      <c r="J83" s="62"/>
      <c r="K83" s="63"/>
    </row>
    <row r="84" spans="3:11">
      <c r="C84" s="811"/>
      <c r="D84" s="64" t="s">
        <v>1504</v>
      </c>
      <c r="E84" s="95" t="s">
        <v>2515</v>
      </c>
      <c r="F84" s="66">
        <v>396049.50604751852</v>
      </c>
      <c r="G84" s="66">
        <v>592893.63231619308</v>
      </c>
      <c r="H84" s="66">
        <v>9175416.167997675</v>
      </c>
      <c r="I84" s="66">
        <v>4229079.1270502796</v>
      </c>
      <c r="J84" s="66">
        <v>0</v>
      </c>
      <c r="K84" s="67">
        <f>SUM(F84:J84)</f>
        <v>14393438.433411665</v>
      </c>
    </row>
    <row r="85" spans="3:11">
      <c r="C85" s="811"/>
      <c r="D85" s="64" t="s">
        <v>1519</v>
      </c>
      <c r="E85" s="667" t="s">
        <v>2514</v>
      </c>
      <c r="F85" s="66">
        <v>33936.770683384508</v>
      </c>
      <c r="G85" s="66">
        <v>0</v>
      </c>
      <c r="H85" s="66">
        <v>2344975.5570624839</v>
      </c>
      <c r="I85" s="66">
        <v>180000.09</v>
      </c>
      <c r="J85" s="66">
        <v>0</v>
      </c>
      <c r="K85" s="67">
        <f>SUM(F85:J85)</f>
        <v>2558912.4177458682</v>
      </c>
    </row>
    <row r="86" spans="3:11">
      <c r="C86" s="811"/>
      <c r="D86" s="64" t="s">
        <v>1509</v>
      </c>
      <c r="E86" s="84" t="s">
        <v>2085</v>
      </c>
      <c r="F86" s="66">
        <v>8486.0923428568185</v>
      </c>
      <c r="G86" s="66">
        <v>14668.404080000002</v>
      </c>
      <c r="H86" s="66">
        <v>0</v>
      </c>
      <c r="I86" s="66">
        <v>0</v>
      </c>
      <c r="J86" s="66">
        <v>0</v>
      </c>
      <c r="K86" s="67">
        <f>SUM(F86:J86)</f>
        <v>23154.496422856821</v>
      </c>
    </row>
    <row r="87" spans="3:11">
      <c r="C87" s="811"/>
      <c r="D87" s="64" t="s">
        <v>1511</v>
      </c>
      <c r="E87" s="94" t="s">
        <v>447</v>
      </c>
      <c r="F87" s="66">
        <v>-16867.107479999995</v>
      </c>
      <c r="G87" s="66">
        <v>-33218.170740000001</v>
      </c>
      <c r="H87" s="66">
        <v>-142220.91635999997</v>
      </c>
      <c r="I87" s="66">
        <v>-38592.400320000001</v>
      </c>
      <c r="J87" s="66">
        <v>0</v>
      </c>
      <c r="K87" s="67">
        <f>SUM(F87:J87)</f>
        <v>-230898.59489999997</v>
      </c>
    </row>
    <row r="88" spans="3:11" ht="15" customHeight="1">
      <c r="C88" s="87"/>
      <c r="D88" s="469" t="s">
        <v>1542</v>
      </c>
      <c r="E88" s="472"/>
      <c r="F88" s="471">
        <f t="shared" ref="F88:K88" si="12">SUM(F84:F87)</f>
        <v>421605.26159375982</v>
      </c>
      <c r="G88" s="471">
        <f t="shared" si="12"/>
        <v>574343.86565619311</v>
      </c>
      <c r="H88" s="471">
        <f t="shared" si="12"/>
        <v>11378170.808700159</v>
      </c>
      <c r="I88" s="471">
        <f t="shared" si="12"/>
        <v>4370486.8167302795</v>
      </c>
      <c r="J88" s="471">
        <f t="shared" si="12"/>
        <v>0</v>
      </c>
      <c r="K88" s="521">
        <f t="shared" si="12"/>
        <v>16744606.752680391</v>
      </c>
    </row>
    <row r="89" spans="3:11" ht="15" customHeight="1" thickBot="1">
      <c r="C89" s="87"/>
      <c r="D89" s="96"/>
      <c r="E89" s="96"/>
      <c r="F89" s="520"/>
      <c r="G89" s="520"/>
      <c r="H89" s="520"/>
      <c r="I89" s="520"/>
      <c r="J89" s="520"/>
      <c r="K89" s="527"/>
    </row>
    <row r="90" spans="3:11" ht="15" thickBot="1">
      <c r="C90" s="809" t="s">
        <v>1543</v>
      </c>
      <c r="D90" s="60" t="s">
        <v>1502</v>
      </c>
      <c r="E90" s="61"/>
      <c r="F90" s="62"/>
      <c r="G90" s="62"/>
      <c r="H90" s="62"/>
      <c r="I90" s="62"/>
      <c r="J90" s="62"/>
      <c r="K90" s="63"/>
    </row>
    <row r="91" spans="3:11">
      <c r="C91" s="809"/>
      <c r="D91" s="64" t="s">
        <v>1504</v>
      </c>
      <c r="E91" s="77" t="s">
        <v>1544</v>
      </c>
      <c r="F91" s="66">
        <v>62328.57602</v>
      </c>
      <c r="G91" s="66">
        <v>0</v>
      </c>
      <c r="H91" s="66">
        <v>1500000</v>
      </c>
      <c r="I91" s="66">
        <v>0</v>
      </c>
      <c r="J91" s="66">
        <v>0</v>
      </c>
      <c r="K91" s="67">
        <f>SUM(F91:J91)</f>
        <v>1562328.57602</v>
      </c>
    </row>
    <row r="92" spans="3:11">
      <c r="C92" s="809"/>
      <c r="D92" s="64" t="s">
        <v>1511</v>
      </c>
      <c r="E92" s="90" t="s">
        <v>447</v>
      </c>
      <c r="F92" s="66">
        <v>-484.86815999999999</v>
      </c>
      <c r="G92" s="66">
        <v>-969.73631999999998</v>
      </c>
      <c r="H92" s="66">
        <v>-2181.90672</v>
      </c>
      <c r="I92" s="66">
        <v>0</v>
      </c>
      <c r="J92" s="66">
        <v>0</v>
      </c>
      <c r="K92" s="67">
        <f>SUM(F92:J92)</f>
        <v>-3636.5111999999999</v>
      </c>
    </row>
    <row r="93" spans="3:11">
      <c r="C93" s="91"/>
      <c r="D93" s="469" t="s">
        <v>1526</v>
      </c>
      <c r="E93" s="472"/>
      <c r="F93" s="471">
        <f t="shared" ref="F93:J93" si="13">SUM(F91:F92)</f>
        <v>61843.707860000002</v>
      </c>
      <c r="G93" s="471">
        <f t="shared" si="13"/>
        <v>-969.73631999999998</v>
      </c>
      <c r="H93" s="471">
        <f t="shared" si="13"/>
        <v>1497818.0932799999</v>
      </c>
      <c r="I93" s="471">
        <f t="shared" si="13"/>
        <v>0</v>
      </c>
      <c r="J93" s="471">
        <f t="shared" si="13"/>
        <v>0</v>
      </c>
      <c r="K93" s="521">
        <f>SUM(K91:K92)</f>
        <v>1558692.06482</v>
      </c>
    </row>
    <row r="94" spans="3:11" ht="15" thickBot="1">
      <c r="C94" s="91"/>
      <c r="F94" s="518"/>
      <c r="G94" s="518"/>
      <c r="H94" s="518"/>
      <c r="I94" s="518"/>
      <c r="J94" s="518"/>
      <c r="K94" s="525"/>
    </row>
    <row r="95" spans="3:11" ht="15" thickBot="1">
      <c r="C95" s="809" t="s">
        <v>2510</v>
      </c>
      <c r="D95" s="60" t="s">
        <v>1502</v>
      </c>
      <c r="E95" s="61"/>
      <c r="F95" s="62"/>
      <c r="G95" s="62"/>
      <c r="H95" s="62"/>
      <c r="I95" s="62"/>
      <c r="J95" s="62"/>
      <c r="K95" s="63"/>
    </row>
    <row r="96" spans="3:11">
      <c r="C96" s="809"/>
      <c r="D96" s="64" t="s">
        <v>1504</v>
      </c>
      <c r="E96" s="77" t="s">
        <v>2511</v>
      </c>
      <c r="F96" s="66">
        <v>0</v>
      </c>
      <c r="G96" s="66">
        <v>5121384.7807770185</v>
      </c>
      <c r="H96" s="66">
        <v>0</v>
      </c>
      <c r="I96" s="66">
        <v>0</v>
      </c>
      <c r="J96" s="66">
        <v>0</v>
      </c>
      <c r="K96" s="67">
        <f>SUM(F96:J96)</f>
        <v>5121384.7807770185</v>
      </c>
    </row>
    <row r="97" spans="3:11">
      <c r="C97" s="809"/>
      <c r="D97" s="64" t="s">
        <v>1511</v>
      </c>
      <c r="E97" s="90" t="s">
        <v>447</v>
      </c>
      <c r="F97" s="66">
        <v>0</v>
      </c>
      <c r="G97" s="66">
        <v>-27184.841899999999</v>
      </c>
      <c r="H97" s="66">
        <v>0</v>
      </c>
      <c r="I97" s="66">
        <v>0</v>
      </c>
      <c r="J97" s="66">
        <v>0</v>
      </c>
      <c r="K97" s="67">
        <f>SUM(F97:J97)</f>
        <v>-27184.841899999999</v>
      </c>
    </row>
    <row r="98" spans="3:11">
      <c r="C98" s="91"/>
      <c r="D98" s="469" t="s">
        <v>1526</v>
      </c>
      <c r="E98" s="472"/>
      <c r="F98" s="471">
        <f t="shared" ref="F98:K98" si="14">SUM(F96:F97)</f>
        <v>0</v>
      </c>
      <c r="G98" s="471">
        <f t="shared" si="14"/>
        <v>5094199.9388770182</v>
      </c>
      <c r="H98" s="471">
        <f t="shared" si="14"/>
        <v>0</v>
      </c>
      <c r="I98" s="471">
        <f t="shared" si="14"/>
        <v>0</v>
      </c>
      <c r="J98" s="471">
        <f t="shared" si="14"/>
        <v>0</v>
      </c>
      <c r="K98" s="521">
        <f t="shared" si="14"/>
        <v>5094199.9388770182</v>
      </c>
    </row>
    <row r="99" spans="3:11">
      <c r="C99" s="100"/>
      <c r="D99" s="97"/>
      <c r="F99" s="98"/>
      <c r="G99" s="98"/>
      <c r="H99" s="668"/>
      <c r="I99" s="99"/>
      <c r="J99" s="99"/>
      <c r="K99" s="528"/>
    </row>
    <row r="100" spans="3:11">
      <c r="K100" s="525"/>
    </row>
    <row r="101" spans="3:11">
      <c r="C101" s="91"/>
      <c r="D101" s="469" t="s">
        <v>1545</v>
      </c>
      <c r="E101" s="470"/>
      <c r="F101" s="471">
        <f>F14+F21+F28+F36+F43+F49+F56+F61+F66+F71+F93+F80+F88+F98</f>
        <v>2345719.5665025981</v>
      </c>
      <c r="G101" s="471">
        <f t="shared" ref="G101:J101" si="15">G14+G21+G28+G36+G43+G49+G56+G61+G66+G71+G93+G80+G88+G98</f>
        <v>10572425.195176639</v>
      </c>
      <c r="H101" s="471">
        <f t="shared" si="15"/>
        <v>35656320.634364814</v>
      </c>
      <c r="I101" s="471">
        <f t="shared" si="15"/>
        <v>14402070.6050085</v>
      </c>
      <c r="J101" s="471">
        <f t="shared" si="15"/>
        <v>695724.02125487255</v>
      </c>
      <c r="K101" s="471">
        <f>K14+K21+K28+K36+K43+K49+K56+K61+K66+K71+K93+K80+K88+K98</f>
        <v>63672260.022307418</v>
      </c>
    </row>
  </sheetData>
  <mergeCells count="15">
    <mergeCell ref="C95:C97"/>
    <mergeCell ref="C74:C79"/>
    <mergeCell ref="C83:C87"/>
    <mergeCell ref="C90:C92"/>
    <mergeCell ref="C52:C55"/>
    <mergeCell ref="C63:C65"/>
    <mergeCell ref="C68:C70"/>
    <mergeCell ref="C71:C73"/>
    <mergeCell ref="C58:C61"/>
    <mergeCell ref="C45:C49"/>
    <mergeCell ref="C8:C13"/>
    <mergeCell ref="C16:C20"/>
    <mergeCell ref="C23:C27"/>
    <mergeCell ref="C30:C35"/>
    <mergeCell ref="C38:C42"/>
  </mergeCells>
  <conditionalFormatting sqref="K99">
    <cfRule type="cellIs" dxfId="1" priority="1" stopIfTrue="1" operator="equal">
      <formula>"não"</formula>
    </cfRule>
    <cfRule type="cellIs" dxfId="0" priority="2" stopIfTrue="1" operator="equal">
      <formula>"sim"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tabColor theme="9" tint="0.79998168889431442"/>
  </sheetPr>
  <dimension ref="C7:Y22"/>
  <sheetViews>
    <sheetView showGridLines="0" zoomScale="55" zoomScaleNormal="55" workbookViewId="0">
      <selection activeCell="T11" sqref="T11"/>
    </sheetView>
  </sheetViews>
  <sheetFormatPr defaultColWidth="9.21875" defaultRowHeight="14.4"/>
  <cols>
    <col min="1" max="1" width="9.21875" style="35"/>
    <col min="2" max="2" width="2.5546875" style="35" customWidth="1"/>
    <col min="3" max="3" width="25.5546875" style="35" bestFit="1" customWidth="1"/>
    <col min="4" max="4" width="31" style="35" bestFit="1" customWidth="1"/>
    <col min="5" max="5" width="16" style="35" bestFit="1" customWidth="1"/>
    <col min="6" max="6" width="11.6640625" style="35" bestFit="1" customWidth="1"/>
    <col min="7" max="7" width="12.21875" style="35" bestFit="1" customWidth="1"/>
    <col min="8" max="8" width="9.6640625" style="35" bestFit="1" customWidth="1"/>
    <col min="9" max="9" width="14.109375" style="35" bestFit="1" customWidth="1"/>
    <col min="10" max="10" width="13.88671875" style="35" bestFit="1" customWidth="1"/>
    <col min="11" max="11" width="14.5546875" style="35" bestFit="1" customWidth="1"/>
    <col min="12" max="12" width="16.77734375" style="35" bestFit="1" customWidth="1"/>
    <col min="13" max="13" width="15" style="35" bestFit="1" customWidth="1"/>
    <col min="14" max="14" width="8.21875" style="35" bestFit="1" customWidth="1"/>
    <col min="15" max="15" width="15.21875" style="35" bestFit="1" customWidth="1"/>
    <col min="16" max="16" width="12.109375" style="35" bestFit="1" customWidth="1"/>
    <col min="17" max="17" width="7.109375" style="35" bestFit="1" customWidth="1"/>
    <col min="18" max="19" width="6.77734375" style="35" bestFit="1" customWidth="1"/>
    <col min="20" max="20" width="12.6640625" style="35" bestFit="1" customWidth="1"/>
    <col min="21" max="21" width="11.21875" style="35" bestFit="1" customWidth="1"/>
    <col min="22" max="22" width="9.44140625" style="35" bestFit="1" customWidth="1"/>
    <col min="23" max="23" width="12.44140625" style="35" bestFit="1" customWidth="1"/>
    <col min="24" max="24" width="11.21875" style="35" bestFit="1" customWidth="1"/>
    <col min="25" max="25" width="12.6640625" style="35" bestFit="1" customWidth="1"/>
    <col min="26" max="16384" width="9.21875" style="35"/>
  </cols>
  <sheetData>
    <row r="7" spans="3:25">
      <c r="C7" s="815"/>
      <c r="D7" s="720"/>
      <c r="E7" s="813" t="s">
        <v>1627</v>
      </c>
      <c r="F7" s="813" t="s">
        <v>1629</v>
      </c>
      <c r="G7" s="813" t="s">
        <v>1634</v>
      </c>
      <c r="H7" s="719" t="s">
        <v>2362</v>
      </c>
      <c r="I7" s="813" t="s">
        <v>1623</v>
      </c>
      <c r="J7" s="813" t="s">
        <v>1546</v>
      </c>
      <c r="K7" s="813" t="s">
        <v>1527</v>
      </c>
      <c r="L7" s="813" t="s">
        <v>2363</v>
      </c>
      <c r="M7" s="813" t="s">
        <v>1637</v>
      </c>
      <c r="N7" s="813" t="s">
        <v>1650</v>
      </c>
      <c r="O7" s="813" t="s">
        <v>2510</v>
      </c>
      <c r="P7" s="813" t="s">
        <v>2364</v>
      </c>
      <c r="Q7" s="813" t="s">
        <v>2365</v>
      </c>
      <c r="R7" s="813" t="s">
        <v>2366</v>
      </c>
      <c r="S7" s="813" t="s">
        <v>2367</v>
      </c>
      <c r="T7" s="813" t="s">
        <v>119</v>
      </c>
      <c r="U7" s="813" t="s">
        <v>122</v>
      </c>
      <c r="V7" s="813" t="s">
        <v>1019</v>
      </c>
      <c r="W7" s="813" t="s">
        <v>1541</v>
      </c>
      <c r="X7" s="813" t="s">
        <v>1017</v>
      </c>
      <c r="Y7" s="813" t="s">
        <v>1024</v>
      </c>
    </row>
    <row r="8" spans="3:25">
      <c r="C8" s="816"/>
      <c r="D8" s="722"/>
      <c r="E8" s="814"/>
      <c r="F8" s="814"/>
      <c r="G8" s="814"/>
      <c r="H8" s="721" t="s">
        <v>30</v>
      </c>
      <c r="I8" s="814"/>
      <c r="J8" s="814"/>
      <c r="K8" s="814"/>
      <c r="L8" s="814"/>
      <c r="M8" s="814"/>
      <c r="N8" s="814"/>
      <c r="O8" s="814"/>
      <c r="P8" s="814"/>
      <c r="Q8" s="814"/>
      <c r="R8" s="814"/>
      <c r="S8" s="814"/>
      <c r="T8" s="814"/>
      <c r="U8" s="814"/>
      <c r="V8" s="814"/>
      <c r="W8" s="814"/>
      <c r="X8" s="814" t="s">
        <v>2368</v>
      </c>
      <c r="Y8" s="814"/>
    </row>
    <row r="9" spans="3:25">
      <c r="C9" s="723" t="s">
        <v>1548</v>
      </c>
      <c r="D9" s="723" t="s">
        <v>1549</v>
      </c>
      <c r="E9" s="724">
        <v>4283765.7552752309</v>
      </c>
      <c r="F9" s="724">
        <v>9170870.0016467907</v>
      </c>
      <c r="G9" s="724">
        <v>4648075.7940394189</v>
      </c>
      <c r="H9" s="724"/>
      <c r="I9" s="724">
        <v>3062563.9659525035</v>
      </c>
      <c r="J9" s="724">
        <v>1558692.06482</v>
      </c>
      <c r="K9" s="724">
        <v>25284.720779267991</v>
      </c>
      <c r="L9" s="724"/>
      <c r="M9" s="724">
        <v>9035.2952540126298</v>
      </c>
      <c r="N9" s="724">
        <v>0</v>
      </c>
      <c r="O9" s="725">
        <v>5094199.9388770191</v>
      </c>
      <c r="P9" s="725">
        <v>0</v>
      </c>
      <c r="Q9" s="725">
        <v>0</v>
      </c>
      <c r="R9" s="725">
        <v>0</v>
      </c>
      <c r="S9" s="725">
        <v>0</v>
      </c>
      <c r="T9" s="724">
        <v>9242357.8176515531</v>
      </c>
      <c r="U9" s="724">
        <v>3053532.0045310217</v>
      </c>
      <c r="V9" s="724">
        <v>1422034.6559865945</v>
      </c>
      <c r="W9" s="724">
        <v>16744606.752680393</v>
      </c>
      <c r="X9" s="724">
        <v>5357241.2548136087</v>
      </c>
      <c r="Y9" s="726">
        <v>63672260.022307411</v>
      </c>
    </row>
    <row r="10" spans="3:25">
      <c r="C10" s="727"/>
      <c r="D10" s="727"/>
      <c r="E10" s="728"/>
      <c r="F10" s="728"/>
      <c r="G10" s="728"/>
      <c r="H10" s="728"/>
      <c r="I10" s="728"/>
      <c r="J10" s="728"/>
      <c r="K10" s="728"/>
      <c r="L10" s="728"/>
      <c r="M10" s="728"/>
      <c r="N10" s="728"/>
      <c r="O10" s="728"/>
      <c r="P10" s="728"/>
      <c r="Q10" s="729"/>
      <c r="R10" s="729"/>
      <c r="S10" s="728"/>
      <c r="T10" s="728"/>
      <c r="U10" s="728"/>
      <c r="V10" s="728"/>
      <c r="W10" s="728"/>
      <c r="X10" s="728"/>
      <c r="Y10" s="728">
        <v>0</v>
      </c>
    </row>
    <row r="11" spans="3:25">
      <c r="C11" s="730" t="s">
        <v>1550</v>
      </c>
      <c r="D11" s="730" t="s">
        <v>1551</v>
      </c>
      <c r="E11" s="731">
        <v>366285</v>
      </c>
      <c r="F11" s="731">
        <v>2454893</v>
      </c>
      <c r="G11" s="731">
        <v>695765</v>
      </c>
      <c r="H11" s="731">
        <v>3029</v>
      </c>
      <c r="I11" s="731">
        <v>670145</v>
      </c>
      <c r="J11" s="731">
        <v>608988</v>
      </c>
      <c r="K11" s="731">
        <v>14128</v>
      </c>
      <c r="L11" s="731">
        <v>23564</v>
      </c>
      <c r="M11" s="731">
        <v>1316</v>
      </c>
      <c r="N11" s="731">
        <v>13411</v>
      </c>
      <c r="O11" s="731">
        <v>78253</v>
      </c>
      <c r="P11" s="731">
        <v>470</v>
      </c>
      <c r="Q11" s="731">
        <v>9549</v>
      </c>
      <c r="R11" s="731">
        <v>441</v>
      </c>
      <c r="S11" s="731">
        <v>8</v>
      </c>
      <c r="T11" s="731">
        <v>1457034</v>
      </c>
      <c r="U11" s="731">
        <v>748178</v>
      </c>
      <c r="V11" s="731">
        <v>8467</v>
      </c>
      <c r="W11" s="731">
        <v>1347862</v>
      </c>
      <c r="X11" s="731">
        <v>1457642</v>
      </c>
      <c r="Y11" s="732">
        <v>-9959428</v>
      </c>
    </row>
    <row r="12" spans="3:25">
      <c r="C12" s="733" t="s">
        <v>1552</v>
      </c>
      <c r="D12" s="733" t="s">
        <v>1553</v>
      </c>
      <c r="E12" s="731">
        <v>148796</v>
      </c>
      <c r="F12" s="731">
        <v>173903</v>
      </c>
      <c r="G12" s="731">
        <v>601707</v>
      </c>
      <c r="H12" s="731">
        <v>0</v>
      </c>
      <c r="I12" s="731">
        <v>201204</v>
      </c>
      <c r="J12" s="731">
        <v>0</v>
      </c>
      <c r="K12" s="731">
        <v>0</v>
      </c>
      <c r="L12" s="731">
        <v>0</v>
      </c>
      <c r="M12" s="731">
        <v>0</v>
      </c>
      <c r="N12" s="731">
        <v>0</v>
      </c>
      <c r="O12" s="731">
        <v>0</v>
      </c>
      <c r="P12" s="731">
        <v>0</v>
      </c>
      <c r="Q12" s="731">
        <v>0</v>
      </c>
      <c r="R12" s="731">
        <v>0</v>
      </c>
      <c r="S12" s="731">
        <v>0</v>
      </c>
      <c r="T12" s="731">
        <v>656460</v>
      </c>
      <c r="U12" s="731">
        <v>177234</v>
      </c>
      <c r="V12" s="731">
        <v>0</v>
      </c>
      <c r="W12" s="731">
        <v>701816</v>
      </c>
      <c r="X12" s="731">
        <v>0</v>
      </c>
      <c r="Y12" s="732">
        <v>-2661120</v>
      </c>
    </row>
    <row r="13" spans="3:25">
      <c r="C13" s="733" t="s">
        <v>1554</v>
      </c>
      <c r="D13" s="733" t="s">
        <v>1555</v>
      </c>
      <c r="E13" s="731">
        <v>0</v>
      </c>
      <c r="F13" s="731">
        <v>334434</v>
      </c>
      <c r="G13" s="731">
        <v>0</v>
      </c>
      <c r="H13" s="731">
        <v>0</v>
      </c>
      <c r="I13" s="731">
        <v>0</v>
      </c>
      <c r="J13" s="731">
        <v>0</v>
      </c>
      <c r="K13" s="731">
        <v>0</v>
      </c>
      <c r="L13" s="731">
        <v>0</v>
      </c>
      <c r="M13" s="731">
        <v>0</v>
      </c>
      <c r="N13" s="731">
        <v>0</v>
      </c>
      <c r="O13" s="731">
        <v>0</v>
      </c>
      <c r="P13" s="731">
        <v>0</v>
      </c>
      <c r="Q13" s="731">
        <v>0</v>
      </c>
      <c r="R13" s="731">
        <v>0</v>
      </c>
      <c r="S13" s="731">
        <v>0</v>
      </c>
      <c r="T13" s="731">
        <v>0</v>
      </c>
      <c r="U13" s="731">
        <v>0</v>
      </c>
      <c r="V13" s="731">
        <v>0</v>
      </c>
      <c r="W13" s="731">
        <v>0</v>
      </c>
      <c r="X13" s="731">
        <v>0</v>
      </c>
      <c r="Y13" s="732">
        <v>-334434</v>
      </c>
    </row>
    <row r="14" spans="3:25">
      <c r="C14" s="733" t="s">
        <v>1556</v>
      </c>
      <c r="D14" s="733" t="s">
        <v>2492</v>
      </c>
      <c r="E14" s="731">
        <v>0</v>
      </c>
      <c r="F14" s="731">
        <v>0</v>
      </c>
      <c r="G14" s="731">
        <v>0</v>
      </c>
      <c r="H14" s="731">
        <v>0</v>
      </c>
      <c r="I14" s="731">
        <v>0</v>
      </c>
      <c r="J14" s="731">
        <v>0</v>
      </c>
      <c r="K14" s="731">
        <v>0</v>
      </c>
      <c r="L14" s="731">
        <v>0</v>
      </c>
      <c r="M14" s="731">
        <v>0</v>
      </c>
      <c r="N14" s="731">
        <v>0</v>
      </c>
      <c r="O14" s="731">
        <v>0</v>
      </c>
      <c r="P14" s="731">
        <v>0</v>
      </c>
      <c r="Q14" s="731">
        <v>0</v>
      </c>
      <c r="R14" s="731">
        <v>0</v>
      </c>
      <c r="S14" s="731">
        <v>0</v>
      </c>
      <c r="T14" s="731">
        <v>0</v>
      </c>
      <c r="U14" s="731">
        <v>20546</v>
      </c>
      <c r="V14" s="731">
        <v>0</v>
      </c>
      <c r="W14" s="731">
        <v>0</v>
      </c>
      <c r="X14" s="731">
        <v>0</v>
      </c>
      <c r="Y14" s="732">
        <v>-20546</v>
      </c>
    </row>
    <row r="15" spans="3:25">
      <c r="C15" s="733" t="s">
        <v>2369</v>
      </c>
      <c r="D15" s="733" t="s">
        <v>2370</v>
      </c>
      <c r="E15" s="731">
        <v>0</v>
      </c>
      <c r="F15" s="731">
        <v>8298.2569999999996</v>
      </c>
      <c r="G15" s="731">
        <v>0</v>
      </c>
      <c r="H15" s="731">
        <v>0</v>
      </c>
      <c r="I15" s="731">
        <v>0</v>
      </c>
      <c r="J15" s="731">
        <v>0</v>
      </c>
      <c r="K15" s="731">
        <v>0</v>
      </c>
      <c r="L15" s="731">
        <v>0</v>
      </c>
      <c r="M15" s="731">
        <v>0</v>
      </c>
      <c r="N15" s="731">
        <v>0</v>
      </c>
      <c r="O15" s="731">
        <v>0</v>
      </c>
      <c r="P15" s="731">
        <v>0</v>
      </c>
      <c r="Q15" s="731">
        <v>0</v>
      </c>
      <c r="R15" s="731">
        <v>0</v>
      </c>
      <c r="S15" s="731">
        <v>0</v>
      </c>
      <c r="T15" s="731">
        <v>0</v>
      </c>
      <c r="U15" s="731">
        <v>0</v>
      </c>
      <c r="V15" s="731">
        <v>0</v>
      </c>
      <c r="W15" s="731">
        <v>0</v>
      </c>
      <c r="X15" s="731">
        <v>0</v>
      </c>
      <c r="Y15" s="732">
        <v>-8298.2569999999996</v>
      </c>
    </row>
    <row r="16" spans="3:25">
      <c r="C16" s="733" t="s">
        <v>1557</v>
      </c>
      <c r="D16" s="733" t="s">
        <v>2493</v>
      </c>
      <c r="E16" s="731">
        <v>134485</v>
      </c>
      <c r="F16" s="731">
        <v>152784</v>
      </c>
      <c r="G16" s="731">
        <v>81422</v>
      </c>
      <c r="H16" s="731">
        <v>0</v>
      </c>
      <c r="I16" s="731">
        <v>65032</v>
      </c>
      <c r="J16" s="731">
        <v>0</v>
      </c>
      <c r="K16" s="731">
        <v>0</v>
      </c>
      <c r="L16" s="731">
        <v>0</v>
      </c>
      <c r="M16" s="731">
        <v>0</v>
      </c>
      <c r="N16" s="731">
        <v>0</v>
      </c>
      <c r="O16" s="731">
        <v>0</v>
      </c>
      <c r="P16" s="731">
        <v>0</v>
      </c>
      <c r="Q16" s="731">
        <v>0</v>
      </c>
      <c r="R16" s="731">
        <v>0</v>
      </c>
      <c r="S16" s="731">
        <v>0</v>
      </c>
      <c r="T16" s="731">
        <v>18567</v>
      </c>
      <c r="U16" s="731">
        <v>12079</v>
      </c>
      <c r="V16" s="731">
        <v>0</v>
      </c>
      <c r="W16" s="731">
        <v>53042</v>
      </c>
      <c r="X16" s="731">
        <v>0</v>
      </c>
      <c r="Y16" s="732">
        <v>-517411</v>
      </c>
    </row>
    <row r="17" spans="3:25">
      <c r="C17" s="734" t="s">
        <v>1558</v>
      </c>
      <c r="D17" s="733" t="s">
        <v>1558</v>
      </c>
      <c r="E17" s="731">
        <v>-196382</v>
      </c>
      <c r="F17" s="731">
        <v>-268906</v>
      </c>
      <c r="G17" s="731">
        <v>-184829</v>
      </c>
      <c r="H17" s="731">
        <v>0</v>
      </c>
      <c r="I17" s="731">
        <v>-284748</v>
      </c>
      <c r="J17" s="731">
        <v>0</v>
      </c>
      <c r="K17" s="731">
        <v>-1282</v>
      </c>
      <c r="L17" s="731">
        <v>0</v>
      </c>
      <c r="M17" s="731">
        <v>-1015</v>
      </c>
      <c r="N17" s="731">
        <v>0</v>
      </c>
      <c r="O17" s="731">
        <v>0</v>
      </c>
      <c r="P17" s="731">
        <v>0</v>
      </c>
      <c r="Q17" s="731">
        <v>0</v>
      </c>
      <c r="R17" s="731">
        <v>0</v>
      </c>
      <c r="S17" s="731">
        <v>0</v>
      </c>
      <c r="T17" s="731">
        <v>-122172</v>
      </c>
      <c r="U17" s="731">
        <v>-213137</v>
      </c>
      <c r="V17" s="731">
        <v>0</v>
      </c>
      <c r="W17" s="731">
        <v>-375390</v>
      </c>
      <c r="X17" s="731">
        <v>-11733</v>
      </c>
      <c r="Y17" s="732">
        <v>1659594</v>
      </c>
    </row>
    <row r="18" spans="3:25">
      <c r="C18" s="735" t="s">
        <v>1559</v>
      </c>
      <c r="D18" s="735" t="s">
        <v>1560</v>
      </c>
      <c r="E18" s="726">
        <v>3830581.7552752309</v>
      </c>
      <c r="F18" s="726">
        <v>6315463.7446467904</v>
      </c>
      <c r="G18" s="726">
        <v>3454010.7940394189</v>
      </c>
      <c r="H18" s="726">
        <v>-3029</v>
      </c>
      <c r="I18" s="726">
        <v>2410930.9659525035</v>
      </c>
      <c r="J18" s="726">
        <v>949704.06481999997</v>
      </c>
      <c r="K18" s="726">
        <v>12438.720779267991</v>
      </c>
      <c r="L18" s="726">
        <v>-23564</v>
      </c>
      <c r="M18" s="726">
        <v>8734.2952540126298</v>
      </c>
      <c r="N18" s="726">
        <v>-13411</v>
      </c>
      <c r="O18" s="726">
        <v>5015946.9388770191</v>
      </c>
      <c r="P18" s="726">
        <v>-470</v>
      </c>
      <c r="Q18" s="726">
        <v>-9549</v>
      </c>
      <c r="R18" s="726">
        <v>-441</v>
      </c>
      <c r="S18" s="726">
        <v>-8</v>
      </c>
      <c r="T18" s="726">
        <v>7232468.8176515531</v>
      </c>
      <c r="U18" s="726">
        <v>2308632.0045310217</v>
      </c>
      <c r="V18" s="726">
        <v>1413567.6559865945</v>
      </c>
      <c r="W18" s="726">
        <v>15017276.752680393</v>
      </c>
      <c r="X18" s="726">
        <v>3911332.2548136087</v>
      </c>
      <c r="Y18" s="726">
        <v>51830616.765307412</v>
      </c>
    </row>
    <row r="19" spans="3:25">
      <c r="C19" s="736" t="s">
        <v>2371</v>
      </c>
      <c r="D19" s="736"/>
      <c r="E19" s="737">
        <v>0.622</v>
      </c>
      <c r="F19" s="737">
        <v>0.92190000000000005</v>
      </c>
      <c r="G19" s="737">
        <v>0.90690000000000004</v>
      </c>
      <c r="H19" s="737">
        <v>0.95499999999999996</v>
      </c>
      <c r="I19" s="737">
        <v>0.95550000000000002</v>
      </c>
      <c r="J19" s="737">
        <v>1</v>
      </c>
      <c r="K19" s="737">
        <v>1</v>
      </c>
      <c r="L19" s="737">
        <v>1</v>
      </c>
      <c r="M19" s="737">
        <v>1</v>
      </c>
      <c r="N19" s="737">
        <v>1</v>
      </c>
      <c r="O19" s="737">
        <v>1</v>
      </c>
      <c r="P19" s="737">
        <v>1</v>
      </c>
      <c r="Q19" s="737">
        <v>1</v>
      </c>
      <c r="R19" s="737">
        <v>1</v>
      </c>
      <c r="S19" s="737">
        <v>1</v>
      </c>
      <c r="T19" s="737">
        <v>0.95120000000000005</v>
      </c>
      <c r="U19" s="737">
        <v>1</v>
      </c>
      <c r="V19" s="737">
        <v>0.92059999999999997</v>
      </c>
      <c r="W19" s="737">
        <v>0.99970000000000003</v>
      </c>
      <c r="X19" s="737">
        <v>1</v>
      </c>
      <c r="Y19" s="738"/>
    </row>
    <row r="20" spans="3:25">
      <c r="C20" s="735" t="s">
        <v>1561</v>
      </c>
      <c r="D20" s="735"/>
      <c r="E20" s="726">
        <f>E19*E18</f>
        <v>2382621.8517811936</v>
      </c>
      <c r="F20" s="726">
        <f t="shared" ref="F20:X20" si="0">F19*F18</f>
        <v>5822226.0261898767</v>
      </c>
      <c r="G20" s="726">
        <f t="shared" si="0"/>
        <v>3132442.3891143491</v>
      </c>
      <c r="H20" s="726">
        <f t="shared" si="0"/>
        <v>-2892.6949999999997</v>
      </c>
      <c r="I20" s="726">
        <f t="shared" si="0"/>
        <v>2303644.5379676172</v>
      </c>
      <c r="J20" s="726">
        <f t="shared" si="0"/>
        <v>949704.06481999997</v>
      </c>
      <c r="K20" s="726">
        <f t="shared" si="0"/>
        <v>12438.720779267991</v>
      </c>
      <c r="L20" s="726">
        <f t="shared" si="0"/>
        <v>-23564</v>
      </c>
      <c r="M20" s="726">
        <f t="shared" si="0"/>
        <v>8734.2952540126298</v>
      </c>
      <c r="N20" s="726">
        <f t="shared" si="0"/>
        <v>-13411</v>
      </c>
      <c r="O20" s="726">
        <f t="shared" si="0"/>
        <v>5015946.9388770191</v>
      </c>
      <c r="P20" s="726">
        <f t="shared" si="0"/>
        <v>-470</v>
      </c>
      <c r="Q20" s="726">
        <f t="shared" si="0"/>
        <v>-9549</v>
      </c>
      <c r="R20" s="726">
        <f t="shared" si="0"/>
        <v>-441</v>
      </c>
      <c r="S20" s="726">
        <f t="shared" si="0"/>
        <v>-8</v>
      </c>
      <c r="T20" s="726">
        <f t="shared" si="0"/>
        <v>6879524.3393501574</v>
      </c>
      <c r="U20" s="726">
        <f t="shared" si="0"/>
        <v>2308632.0045310217</v>
      </c>
      <c r="V20" s="726">
        <f t="shared" si="0"/>
        <v>1301330.3841012588</v>
      </c>
      <c r="W20" s="726">
        <f t="shared" si="0"/>
        <v>15012771.56965459</v>
      </c>
      <c r="X20" s="726">
        <f t="shared" si="0"/>
        <v>3911332.2548136087</v>
      </c>
      <c r="Y20" s="726">
        <f>SUM(E20:X20)</f>
        <v>48991013.682233974</v>
      </c>
    </row>
    <row r="21" spans="3:25">
      <c r="C21"/>
      <c r="D21" s="72"/>
      <c r="E21" s="72"/>
      <c r="F21" s="72"/>
      <c r="G21" s="72"/>
      <c r="H21"/>
      <c r="I21" s="72"/>
      <c r="J21" s="72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 s="72"/>
    </row>
    <row r="22" spans="3:25">
      <c r="C22" s="735" t="s">
        <v>1562</v>
      </c>
      <c r="D22" s="735"/>
      <c r="E22" s="739">
        <v>248632543.59192666</v>
      </c>
      <c r="F22" s="739">
        <v>560163497.75233555</v>
      </c>
      <c r="G22" s="739">
        <v>667004711.12458646</v>
      </c>
      <c r="H22" s="739">
        <v>0</v>
      </c>
      <c r="I22" s="739">
        <v>440340468.75635308</v>
      </c>
      <c r="J22" s="739">
        <v>8520267.9815115724</v>
      </c>
      <c r="K22" s="739">
        <v>26517945.294971555</v>
      </c>
      <c r="L22" s="739">
        <v>0</v>
      </c>
      <c r="M22" s="739">
        <v>18579753.685805041</v>
      </c>
      <c r="N22" s="739">
        <v>0</v>
      </c>
      <c r="O22" s="739">
        <v>0</v>
      </c>
      <c r="P22" s="739">
        <v>0</v>
      </c>
      <c r="Q22" s="739">
        <v>0</v>
      </c>
      <c r="R22" s="739">
        <v>0</v>
      </c>
      <c r="S22" s="739">
        <v>0</v>
      </c>
      <c r="T22" s="739">
        <v>1183041370.1251078</v>
      </c>
      <c r="U22" s="739">
        <v>174602970.58003345</v>
      </c>
      <c r="V22" s="739">
        <v>373481.06999999046</v>
      </c>
      <c r="W22" s="739">
        <v>979826149.21080482</v>
      </c>
      <c r="X22" s="739">
        <v>477045144.47917402</v>
      </c>
      <c r="Y22" s="739">
        <v>4784648303.6526098</v>
      </c>
    </row>
  </sheetData>
  <mergeCells count="21">
    <mergeCell ref="R7:R8"/>
    <mergeCell ref="C7:C8"/>
    <mergeCell ref="E7:E8"/>
    <mergeCell ref="F7:F8"/>
    <mergeCell ref="G7:G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Y7:Y8"/>
    <mergeCell ref="S7:S8"/>
    <mergeCell ref="T7:T8"/>
    <mergeCell ref="U7:U8"/>
    <mergeCell ref="V7:V8"/>
    <mergeCell ref="W7:W8"/>
    <mergeCell ref="X7:X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tabColor theme="9" tint="0.79998168889431442"/>
  </sheetPr>
  <dimension ref="C5:M339"/>
  <sheetViews>
    <sheetView showGridLines="0" zoomScale="55" zoomScaleNormal="55" workbookViewId="0">
      <selection activeCell="S36" sqref="S36"/>
    </sheetView>
  </sheetViews>
  <sheetFormatPr defaultColWidth="9.21875" defaultRowHeight="14.4"/>
  <cols>
    <col min="1" max="1" width="9.21875" style="631"/>
    <col min="2" max="2" width="2" style="631" customWidth="1"/>
    <col min="3" max="3" width="19.44140625" style="540" customWidth="1"/>
    <col min="4" max="4" width="41.21875" style="540" bestFit="1" customWidth="1"/>
    <col min="5" max="5" width="17.44140625" style="540" bestFit="1" customWidth="1"/>
    <col min="6" max="6" width="16.77734375" style="540" bestFit="1" customWidth="1"/>
    <col min="7" max="7" width="7.77734375" style="540" customWidth="1"/>
    <col min="8" max="9" width="10.21875" style="540" bestFit="1" customWidth="1"/>
    <col min="10" max="10" width="20.44140625" style="633" customWidth="1"/>
    <col min="11" max="11" width="14.44140625" style="633" customWidth="1"/>
    <col min="12" max="12" width="17.77734375" style="633" customWidth="1"/>
    <col min="13" max="13" width="17.44140625" style="575" bestFit="1" customWidth="1"/>
    <col min="14" max="14" width="12" style="631" bestFit="1" customWidth="1"/>
    <col min="15" max="16384" width="9.21875" style="631"/>
  </cols>
  <sheetData>
    <row r="5" spans="3:13">
      <c r="J5" s="632" t="s">
        <v>2482</v>
      </c>
      <c r="K5" s="632" t="s">
        <v>2483</v>
      </c>
    </row>
    <row r="6" spans="3:13">
      <c r="C6" s="634" t="s">
        <v>2484</v>
      </c>
    </row>
    <row r="7" spans="3:13" ht="14.55" customHeight="1">
      <c r="C7" s="817" t="s">
        <v>1563</v>
      </c>
      <c r="D7" s="817" t="s">
        <v>1564</v>
      </c>
      <c r="E7" s="817" t="s">
        <v>1565</v>
      </c>
      <c r="F7" s="817" t="s">
        <v>1497</v>
      </c>
      <c r="G7" s="817" t="s">
        <v>1566</v>
      </c>
      <c r="H7" s="817" t="s">
        <v>1567</v>
      </c>
      <c r="I7" s="817" t="s">
        <v>1568</v>
      </c>
      <c r="J7" s="817" t="s">
        <v>1569</v>
      </c>
      <c r="K7" s="817" t="s">
        <v>1570</v>
      </c>
      <c r="L7" s="817" t="s">
        <v>1571</v>
      </c>
      <c r="M7" s="819" t="s">
        <v>1572</v>
      </c>
    </row>
    <row r="8" spans="3:13">
      <c r="C8" s="818"/>
      <c r="D8" s="818"/>
      <c r="E8" s="818"/>
      <c r="F8" s="818"/>
      <c r="G8" s="818"/>
      <c r="H8" s="818"/>
      <c r="I8" s="818"/>
      <c r="J8" s="818"/>
      <c r="K8" s="818"/>
      <c r="L8" s="818"/>
      <c r="M8" s="817" t="s">
        <v>220</v>
      </c>
    </row>
    <row r="9" spans="3:13">
      <c r="C9" s="635" t="s">
        <v>1629</v>
      </c>
      <c r="D9" s="539" t="s">
        <v>1630</v>
      </c>
      <c r="E9" s="539" t="s">
        <v>1631</v>
      </c>
      <c r="F9" s="636" t="s">
        <v>1585</v>
      </c>
      <c r="G9" s="636" t="s">
        <v>1578</v>
      </c>
      <c r="H9" s="637">
        <v>41153</v>
      </c>
      <c r="I9" s="637">
        <v>46934</v>
      </c>
      <c r="J9" s="638">
        <v>0.01</v>
      </c>
      <c r="K9" s="639">
        <v>1.8701447227989976</v>
      </c>
      <c r="L9" s="637" t="s">
        <v>1579</v>
      </c>
      <c r="M9" s="640">
        <v>8787285.9033235051</v>
      </c>
    </row>
    <row r="10" spans="3:13">
      <c r="C10" s="635" t="s">
        <v>1629</v>
      </c>
      <c r="D10" s="539" t="s">
        <v>1630</v>
      </c>
      <c r="E10" s="539" t="s">
        <v>1632</v>
      </c>
      <c r="F10" s="636" t="s">
        <v>1507</v>
      </c>
      <c r="G10" s="636" t="s">
        <v>1578</v>
      </c>
      <c r="H10" s="637">
        <v>41153</v>
      </c>
      <c r="I10" s="637">
        <v>49217</v>
      </c>
      <c r="J10" s="638" t="s">
        <v>2372</v>
      </c>
      <c r="K10" s="639">
        <v>6.5560416917879092</v>
      </c>
      <c r="L10" s="637" t="s">
        <v>1582</v>
      </c>
      <c r="M10" s="640">
        <v>4081357.5575106773</v>
      </c>
    </row>
    <row r="11" spans="3:13">
      <c r="C11" s="635" t="s">
        <v>1629</v>
      </c>
      <c r="D11" s="539" t="s">
        <v>1630</v>
      </c>
      <c r="E11" s="539" t="s">
        <v>1597</v>
      </c>
      <c r="F11" s="636" t="s">
        <v>1507</v>
      </c>
      <c r="G11" s="636" t="s">
        <v>1578</v>
      </c>
      <c r="H11" s="637">
        <v>41153</v>
      </c>
      <c r="I11" s="637">
        <v>49217</v>
      </c>
      <c r="J11" s="638" t="s">
        <v>2372</v>
      </c>
      <c r="K11" s="639">
        <v>6.5562158244680981</v>
      </c>
      <c r="L11" s="637" t="s">
        <v>1582</v>
      </c>
      <c r="M11" s="640">
        <v>75684909.87249507</v>
      </c>
    </row>
    <row r="12" spans="3:13">
      <c r="C12" s="635" t="s">
        <v>1629</v>
      </c>
      <c r="D12" s="539" t="s">
        <v>1630</v>
      </c>
      <c r="E12" s="539" t="s">
        <v>1606</v>
      </c>
      <c r="F12" s="636" t="s">
        <v>1507</v>
      </c>
      <c r="G12" s="636" t="s">
        <v>1578</v>
      </c>
      <c r="H12" s="637">
        <v>41153</v>
      </c>
      <c r="I12" s="637">
        <v>49217</v>
      </c>
      <c r="J12" s="638" t="s">
        <v>2372</v>
      </c>
      <c r="K12" s="639">
        <v>6.5560417984028794</v>
      </c>
      <c r="L12" s="637" t="s">
        <v>1582</v>
      </c>
      <c r="M12" s="640">
        <v>24504104.566467524</v>
      </c>
    </row>
    <row r="13" spans="3:13">
      <c r="C13" s="635" t="s">
        <v>1629</v>
      </c>
      <c r="D13" s="539" t="s">
        <v>1630</v>
      </c>
      <c r="E13" s="539" t="s">
        <v>1593</v>
      </c>
      <c r="F13" s="636" t="s">
        <v>1507</v>
      </c>
      <c r="G13" s="636" t="s">
        <v>1578</v>
      </c>
      <c r="H13" s="637">
        <v>41153</v>
      </c>
      <c r="I13" s="637">
        <v>49217</v>
      </c>
      <c r="J13" s="638" t="s">
        <v>2372</v>
      </c>
      <c r="K13" s="639">
        <v>6.5560416893403772</v>
      </c>
      <c r="L13" s="637" t="s">
        <v>1582</v>
      </c>
      <c r="M13" s="640">
        <v>100360669.87679857</v>
      </c>
    </row>
    <row r="14" spans="3:13">
      <c r="C14" s="635" t="s">
        <v>1629</v>
      </c>
      <c r="D14" s="539" t="s">
        <v>1630</v>
      </c>
      <c r="E14" s="539" t="s">
        <v>1606</v>
      </c>
      <c r="F14" s="636" t="s">
        <v>1507</v>
      </c>
      <c r="G14" s="636" t="s">
        <v>1578</v>
      </c>
      <c r="H14" s="637">
        <v>41153</v>
      </c>
      <c r="I14" s="637">
        <v>49217</v>
      </c>
      <c r="J14" s="638" t="s">
        <v>2372</v>
      </c>
      <c r="K14" s="639">
        <v>6.5560416484211803</v>
      </c>
      <c r="L14" s="637" t="s">
        <v>1582</v>
      </c>
      <c r="M14" s="640">
        <v>95609293.074530095</v>
      </c>
    </row>
    <row r="15" spans="3:13">
      <c r="C15" s="635" t="s">
        <v>1629</v>
      </c>
      <c r="D15" s="539" t="s">
        <v>1630</v>
      </c>
      <c r="E15" s="539" t="s">
        <v>1593</v>
      </c>
      <c r="F15" s="636" t="s">
        <v>1585</v>
      </c>
      <c r="G15" s="636" t="s">
        <v>1578</v>
      </c>
      <c r="H15" s="637">
        <v>41153</v>
      </c>
      <c r="I15" s="637">
        <v>46265</v>
      </c>
      <c r="J15" s="638">
        <v>0.1</v>
      </c>
      <c r="K15" s="639">
        <v>0.52398989898986958</v>
      </c>
      <c r="L15" s="637" t="s">
        <v>1586</v>
      </c>
      <c r="M15" s="640">
        <v>24127556.065167822</v>
      </c>
    </row>
    <row r="16" spans="3:13">
      <c r="C16" s="635" t="s">
        <v>1629</v>
      </c>
      <c r="D16" s="539" t="s">
        <v>1573</v>
      </c>
      <c r="E16" s="539" t="s">
        <v>1587</v>
      </c>
      <c r="F16" s="636" t="s">
        <v>1575</v>
      </c>
      <c r="G16" s="636" t="s">
        <v>1576</v>
      </c>
      <c r="H16" s="637">
        <v>45636</v>
      </c>
      <c r="I16" s="637">
        <v>46731</v>
      </c>
      <c r="J16" s="638" t="s">
        <v>2373</v>
      </c>
      <c r="K16" s="639">
        <v>1.4919148770979316</v>
      </c>
      <c r="L16" s="637" t="s">
        <v>1579</v>
      </c>
      <c r="M16" s="640">
        <v>267194050.06758484</v>
      </c>
    </row>
    <row r="17" spans="3:13">
      <c r="C17" s="635" t="s">
        <v>1629</v>
      </c>
      <c r="D17" s="539" t="s">
        <v>1588</v>
      </c>
      <c r="E17" s="539" t="s">
        <v>1628</v>
      </c>
      <c r="F17" s="636" t="s">
        <v>1585</v>
      </c>
      <c r="G17" s="636" t="s">
        <v>1578</v>
      </c>
      <c r="H17" s="637">
        <v>42249</v>
      </c>
      <c r="I17" s="637">
        <v>46575</v>
      </c>
      <c r="J17" s="638">
        <v>0.06</v>
      </c>
      <c r="K17" s="639">
        <v>0.5915729718874192</v>
      </c>
      <c r="L17" s="637" t="s">
        <v>1586</v>
      </c>
      <c r="M17" s="640">
        <v>4122130.1569523923</v>
      </c>
    </row>
    <row r="18" spans="3:13">
      <c r="C18" s="635" t="s">
        <v>1629</v>
      </c>
      <c r="D18" s="539" t="s">
        <v>1588</v>
      </c>
      <c r="E18" s="539" t="s">
        <v>1628</v>
      </c>
      <c r="F18" s="636" t="s">
        <v>1585</v>
      </c>
      <c r="G18" s="636" t="s">
        <v>1578</v>
      </c>
      <c r="H18" s="637">
        <v>43454</v>
      </c>
      <c r="I18" s="637">
        <v>47003</v>
      </c>
      <c r="J18" s="638">
        <v>0.06</v>
      </c>
      <c r="K18" s="639">
        <v>1.1816824931153356</v>
      </c>
      <c r="L18" s="637" t="s">
        <v>1586</v>
      </c>
      <c r="M18" s="640">
        <v>8580961.1068763472</v>
      </c>
    </row>
    <row r="19" spans="3:13">
      <c r="C19" s="635" t="s">
        <v>1629</v>
      </c>
      <c r="D19" s="539" t="s">
        <v>1588</v>
      </c>
      <c r="E19" s="539" t="s">
        <v>1590</v>
      </c>
      <c r="F19" s="636" t="s">
        <v>1505</v>
      </c>
      <c r="G19" s="636" t="s">
        <v>1578</v>
      </c>
      <c r="H19" s="637">
        <v>43516</v>
      </c>
      <c r="I19" s="637">
        <v>46858</v>
      </c>
      <c r="J19" s="638" t="s">
        <v>2374</v>
      </c>
      <c r="K19" s="639">
        <v>0.97229589810667671</v>
      </c>
      <c r="L19" s="637" t="s">
        <v>1586</v>
      </c>
      <c r="M19" s="640">
        <v>460122735.54014754</v>
      </c>
    </row>
    <row r="20" spans="3:13">
      <c r="C20" s="635" t="s">
        <v>1629</v>
      </c>
      <c r="D20" s="539" t="s">
        <v>1588</v>
      </c>
      <c r="E20" s="539" t="s">
        <v>1590</v>
      </c>
      <c r="F20" s="636" t="s">
        <v>1505</v>
      </c>
      <c r="G20" s="636" t="s">
        <v>1578</v>
      </c>
      <c r="H20" s="637">
        <v>44285</v>
      </c>
      <c r="I20" s="637">
        <v>46767</v>
      </c>
      <c r="J20" s="638" t="s">
        <v>2375</v>
      </c>
      <c r="K20" s="639">
        <v>0.80367527036831032</v>
      </c>
      <c r="L20" s="637" t="s">
        <v>1586</v>
      </c>
      <c r="M20" s="640">
        <v>14112589.577594712</v>
      </c>
    </row>
    <row r="21" spans="3:13">
      <c r="C21" s="635" t="s">
        <v>1629</v>
      </c>
      <c r="D21" s="539" t="s">
        <v>1588</v>
      </c>
      <c r="E21" s="539" t="s">
        <v>1590</v>
      </c>
      <c r="F21" s="636" t="s">
        <v>1505</v>
      </c>
      <c r="G21" s="636" t="s">
        <v>1578</v>
      </c>
      <c r="H21" s="637">
        <v>44285</v>
      </c>
      <c r="I21" s="637">
        <v>51394</v>
      </c>
      <c r="J21" s="638" t="s">
        <v>2375</v>
      </c>
      <c r="K21" s="639">
        <v>8.0207005804915958</v>
      </c>
      <c r="L21" s="637" t="s">
        <v>1586</v>
      </c>
      <c r="M21" s="640">
        <v>119829073.0828515</v>
      </c>
    </row>
    <row r="22" spans="3:13">
      <c r="C22" s="635" t="s">
        <v>1629</v>
      </c>
      <c r="D22" s="539" t="s">
        <v>1588</v>
      </c>
      <c r="E22" s="539" t="s">
        <v>1590</v>
      </c>
      <c r="F22" s="636" t="s">
        <v>1505</v>
      </c>
      <c r="G22" s="636" t="s">
        <v>1578</v>
      </c>
      <c r="H22" s="637">
        <v>44285</v>
      </c>
      <c r="I22" s="637">
        <v>46767</v>
      </c>
      <c r="J22" s="638" t="s">
        <v>2375</v>
      </c>
      <c r="K22" s="639">
        <v>0.80367527034751318</v>
      </c>
      <c r="L22" s="637" t="s">
        <v>1586</v>
      </c>
      <c r="M22" s="640">
        <v>139835624.82369784</v>
      </c>
    </row>
    <row r="23" spans="3:13">
      <c r="C23" s="635" t="s">
        <v>1629</v>
      </c>
      <c r="D23" s="539" t="s">
        <v>1588</v>
      </c>
      <c r="E23" s="539" t="s">
        <v>1590</v>
      </c>
      <c r="F23" s="636" t="s">
        <v>1505</v>
      </c>
      <c r="G23" s="636" t="s">
        <v>1578</v>
      </c>
      <c r="H23" s="637">
        <v>44285</v>
      </c>
      <c r="I23" s="637">
        <v>51394</v>
      </c>
      <c r="J23" s="638" t="s">
        <v>2375</v>
      </c>
      <c r="K23" s="639">
        <v>8.0207005806753742</v>
      </c>
      <c r="L23" s="637" t="s">
        <v>1586</v>
      </c>
      <c r="M23" s="640">
        <v>1188658654.8171999</v>
      </c>
    </row>
    <row r="24" spans="3:13">
      <c r="C24" s="635" t="s">
        <v>1629</v>
      </c>
      <c r="D24" s="539" t="s">
        <v>1107</v>
      </c>
      <c r="E24" s="539" t="s">
        <v>1107</v>
      </c>
      <c r="F24" s="636" t="s">
        <v>1575</v>
      </c>
      <c r="G24" s="636" t="s">
        <v>1578</v>
      </c>
      <c r="H24" s="637">
        <v>45513</v>
      </c>
      <c r="I24" s="637">
        <v>47700</v>
      </c>
      <c r="J24" s="638" t="s">
        <v>2376</v>
      </c>
      <c r="K24" s="639">
        <v>3.0506312390977151</v>
      </c>
      <c r="L24" s="637" t="s">
        <v>1577</v>
      </c>
      <c r="M24" s="640">
        <v>1057683290.4850501</v>
      </c>
    </row>
    <row r="25" spans="3:13">
      <c r="C25" s="635" t="s">
        <v>1629</v>
      </c>
      <c r="D25" s="539" t="s">
        <v>1107</v>
      </c>
      <c r="E25" s="539" t="s">
        <v>1107</v>
      </c>
      <c r="F25" s="636" t="s">
        <v>1575</v>
      </c>
      <c r="G25" s="636" t="s">
        <v>1578</v>
      </c>
      <c r="H25" s="637">
        <v>45646</v>
      </c>
      <c r="I25" s="637">
        <v>50024</v>
      </c>
      <c r="J25" s="638" t="s">
        <v>2377</v>
      </c>
      <c r="K25" s="639">
        <v>9.106017004235138</v>
      </c>
      <c r="L25" s="637" t="s">
        <v>1577</v>
      </c>
      <c r="M25" s="640">
        <v>1529701971.8415601</v>
      </c>
    </row>
    <row r="26" spans="3:13">
      <c r="C26" s="635" t="s">
        <v>1629</v>
      </c>
      <c r="D26" s="539" t="s">
        <v>1107</v>
      </c>
      <c r="E26" s="539" t="s">
        <v>1107</v>
      </c>
      <c r="F26" s="636" t="s">
        <v>1575</v>
      </c>
      <c r="G26" s="636" t="s">
        <v>1578</v>
      </c>
      <c r="H26" s="637">
        <v>45839</v>
      </c>
      <c r="I26" s="637">
        <v>50206</v>
      </c>
      <c r="J26" s="638" t="s">
        <v>2378</v>
      </c>
      <c r="K26" s="639">
        <v>9.6102759032019094</v>
      </c>
      <c r="L26" s="637" t="s">
        <v>1577</v>
      </c>
      <c r="M26" s="640">
        <v>1297494457.383121</v>
      </c>
    </row>
    <row r="27" spans="3:13">
      <c r="C27" s="635" t="s">
        <v>1629</v>
      </c>
      <c r="D27" s="539" t="s">
        <v>1107</v>
      </c>
      <c r="E27" s="539" t="s">
        <v>1107</v>
      </c>
      <c r="F27" s="636" t="s">
        <v>1575</v>
      </c>
      <c r="G27" s="636" t="s">
        <v>1578</v>
      </c>
      <c r="H27" s="637">
        <v>45930</v>
      </c>
      <c r="I27" s="637">
        <v>48472</v>
      </c>
      <c r="J27" s="638" t="s">
        <v>2379</v>
      </c>
      <c r="K27" s="639">
        <v>5.0299603573760683</v>
      </c>
      <c r="L27" s="637" t="s">
        <v>1577</v>
      </c>
      <c r="M27" s="640">
        <v>2082691028.1491697</v>
      </c>
    </row>
    <row r="28" spans="3:13">
      <c r="C28" s="635" t="s">
        <v>1629</v>
      </c>
      <c r="D28" s="539" t="s">
        <v>1107</v>
      </c>
      <c r="E28" s="539" t="s">
        <v>1107</v>
      </c>
      <c r="F28" s="636" t="s">
        <v>1575</v>
      </c>
      <c r="G28" s="636" t="s">
        <v>1578</v>
      </c>
      <c r="H28" s="637">
        <v>46066</v>
      </c>
      <c r="I28" s="637">
        <v>50420</v>
      </c>
      <c r="J28" s="638" t="s">
        <v>2380</v>
      </c>
      <c r="K28" s="639">
        <v>10.001074114141758</v>
      </c>
      <c r="L28" s="637" t="s">
        <v>1577</v>
      </c>
      <c r="M28" s="640">
        <v>828516343.7917217</v>
      </c>
    </row>
    <row r="29" spans="3:13">
      <c r="C29" s="635" t="s">
        <v>1629</v>
      </c>
      <c r="D29" s="539" t="s">
        <v>1592</v>
      </c>
      <c r="E29" s="539" t="s">
        <v>1584</v>
      </c>
      <c r="F29" s="636" t="s">
        <v>1585</v>
      </c>
      <c r="G29" s="636" t="s">
        <v>1578</v>
      </c>
      <c r="H29" s="637">
        <v>43677</v>
      </c>
      <c r="I29" s="637">
        <v>46858</v>
      </c>
      <c r="J29" s="638" t="s">
        <v>447</v>
      </c>
      <c r="K29" s="639">
        <v>0.97411616161615611</v>
      </c>
      <c r="L29" s="637" t="s">
        <v>1586</v>
      </c>
      <c r="M29" s="640">
        <v>-320607.78999999969</v>
      </c>
    </row>
    <row r="30" spans="3:13">
      <c r="C30" s="635" t="s">
        <v>1629</v>
      </c>
      <c r="D30" s="539" t="s">
        <v>1592</v>
      </c>
      <c r="E30" s="539" t="s">
        <v>1584</v>
      </c>
      <c r="F30" s="636" t="s">
        <v>1585</v>
      </c>
      <c r="G30" s="636" t="s">
        <v>1578</v>
      </c>
      <c r="H30" s="637">
        <v>44286</v>
      </c>
      <c r="I30" s="637">
        <v>51409</v>
      </c>
      <c r="J30" s="638" t="s">
        <v>447</v>
      </c>
      <c r="K30" s="639">
        <v>7.2733755685505859</v>
      </c>
      <c r="L30" s="637" t="s">
        <v>1586</v>
      </c>
      <c r="M30" s="640">
        <v>-5050391.6576856636</v>
      </c>
    </row>
    <row r="31" spans="3:13">
      <c r="C31" s="635" t="s">
        <v>1629</v>
      </c>
      <c r="D31" s="539" t="s">
        <v>1583</v>
      </c>
      <c r="E31" s="539" t="s">
        <v>1584</v>
      </c>
      <c r="F31" s="636" t="s">
        <v>1585</v>
      </c>
      <c r="G31" s="636" t="s">
        <v>1578</v>
      </c>
      <c r="H31" s="637">
        <v>45564</v>
      </c>
      <c r="I31" s="637">
        <v>47700</v>
      </c>
      <c r="J31" s="638" t="s">
        <v>447</v>
      </c>
      <c r="K31" s="639">
        <v>2.1582222222223413</v>
      </c>
      <c r="L31" s="637" t="s">
        <v>1586</v>
      </c>
      <c r="M31" s="640">
        <v>-15803217.376751035</v>
      </c>
    </row>
    <row r="32" spans="3:13">
      <c r="C32" s="635" t="s">
        <v>1629</v>
      </c>
      <c r="D32" s="539" t="s">
        <v>1583</v>
      </c>
      <c r="E32" s="539" t="s">
        <v>1584</v>
      </c>
      <c r="F32" s="636" t="s">
        <v>1585</v>
      </c>
      <c r="G32" s="636" t="s">
        <v>1578</v>
      </c>
      <c r="H32" s="637">
        <v>45657</v>
      </c>
      <c r="I32" s="637">
        <v>50024</v>
      </c>
      <c r="J32" s="638" t="s">
        <v>447</v>
      </c>
      <c r="K32" s="639">
        <v>5.3710758377422385</v>
      </c>
      <c r="L32" s="637" t="s">
        <v>1586</v>
      </c>
      <c r="M32" s="640">
        <v>-49317213.436292261</v>
      </c>
    </row>
    <row r="33" spans="3:13">
      <c r="C33" s="635" t="s">
        <v>1629</v>
      </c>
      <c r="D33" s="539" t="s">
        <v>1583</v>
      </c>
      <c r="E33" s="539" t="s">
        <v>1584</v>
      </c>
      <c r="F33" s="636" t="s">
        <v>1585</v>
      </c>
      <c r="G33" s="636" t="s">
        <v>1578</v>
      </c>
      <c r="H33" s="637">
        <v>45839</v>
      </c>
      <c r="I33" s="637">
        <v>50206</v>
      </c>
      <c r="J33" s="638" t="s">
        <v>447</v>
      </c>
      <c r="K33" s="639">
        <v>5.6247053872051156</v>
      </c>
      <c r="L33" s="637" t="s">
        <v>1586</v>
      </c>
      <c r="M33" s="640">
        <v>-28308579.603761837</v>
      </c>
    </row>
    <row r="34" spans="3:13">
      <c r="C34" s="635" t="s">
        <v>1629</v>
      </c>
      <c r="D34" s="539" t="s">
        <v>1583</v>
      </c>
      <c r="E34" s="539" t="s">
        <v>1584</v>
      </c>
      <c r="F34" s="636" t="s">
        <v>1585</v>
      </c>
      <c r="G34" s="636" t="s">
        <v>1578</v>
      </c>
      <c r="H34" s="637">
        <v>45930</v>
      </c>
      <c r="I34" s="637">
        <v>48472</v>
      </c>
      <c r="J34" s="638" t="s">
        <v>447</v>
      </c>
      <c r="K34" s="639">
        <v>3.2149999999998222</v>
      </c>
      <c r="L34" s="637" t="s">
        <v>1586</v>
      </c>
      <c r="M34" s="640">
        <v>-4146794.8378306883</v>
      </c>
    </row>
    <row r="35" spans="3:13">
      <c r="C35" s="635" t="s">
        <v>1629</v>
      </c>
      <c r="D35" s="539" t="s">
        <v>1583</v>
      </c>
      <c r="E35" s="539" t="s">
        <v>1584</v>
      </c>
      <c r="F35" s="636" t="s">
        <v>1585</v>
      </c>
      <c r="G35" s="636" t="s">
        <v>1578</v>
      </c>
      <c r="H35" s="637">
        <v>46112</v>
      </c>
      <c r="I35" s="637">
        <v>50420</v>
      </c>
      <c r="J35" s="638" t="s">
        <v>447</v>
      </c>
      <c r="K35" s="639">
        <v>5.9207034372504088</v>
      </c>
      <c r="L35" s="637" t="s">
        <v>1586</v>
      </c>
      <c r="M35" s="640">
        <v>-27498767.97070422</v>
      </c>
    </row>
    <row r="36" spans="3:13">
      <c r="C36" s="635" t="s">
        <v>1629</v>
      </c>
      <c r="D36" s="539" t="s">
        <v>1633</v>
      </c>
      <c r="E36" s="539" t="s">
        <v>1584</v>
      </c>
      <c r="F36" s="636" t="s">
        <v>1585</v>
      </c>
      <c r="G36" s="636" t="s">
        <v>1578</v>
      </c>
      <c r="H36" s="637">
        <v>42185</v>
      </c>
      <c r="I36" s="637">
        <v>46264</v>
      </c>
      <c r="J36" s="638" t="s">
        <v>447</v>
      </c>
      <c r="K36" s="639">
        <v>1.1430555555555555</v>
      </c>
      <c r="L36" s="637" t="s">
        <v>1586</v>
      </c>
      <c r="M36" s="640">
        <v>-132446.07307757437</v>
      </c>
    </row>
    <row r="37" spans="3:13">
      <c r="C37" s="635" t="s">
        <v>1629</v>
      </c>
      <c r="D37" s="539" t="s">
        <v>1633</v>
      </c>
      <c r="E37" s="539" t="s">
        <v>1584</v>
      </c>
      <c r="F37" s="636" t="s">
        <v>1585</v>
      </c>
      <c r="G37" s="636" t="s">
        <v>1578</v>
      </c>
      <c r="H37" s="637">
        <v>42185</v>
      </c>
      <c r="I37" s="637">
        <v>49217</v>
      </c>
      <c r="J37" s="638" t="s">
        <v>447</v>
      </c>
      <c r="K37" s="639">
        <v>4.2961840628508883</v>
      </c>
      <c r="L37" s="637" t="s">
        <v>1586</v>
      </c>
      <c r="M37" s="640">
        <v>-9447924.8062720913</v>
      </c>
    </row>
    <row r="38" spans="3:13">
      <c r="C38" s="635" t="s">
        <v>1629</v>
      </c>
      <c r="D38" s="539" t="s">
        <v>1633</v>
      </c>
      <c r="E38" s="539" t="s">
        <v>1584</v>
      </c>
      <c r="F38" s="636" t="s">
        <v>1585</v>
      </c>
      <c r="G38" s="636" t="s">
        <v>1578</v>
      </c>
      <c r="H38" s="637">
        <v>42185</v>
      </c>
      <c r="I38" s="637">
        <v>49217</v>
      </c>
      <c r="J38" s="641" t="s">
        <v>447</v>
      </c>
      <c r="K38" s="639">
        <v>4.2961840628504433</v>
      </c>
      <c r="L38" s="637" t="s">
        <v>1586</v>
      </c>
      <c r="M38" s="640">
        <v>-7300971.6752041019</v>
      </c>
    </row>
    <row r="39" spans="3:13">
      <c r="C39" s="635" t="s">
        <v>1629</v>
      </c>
      <c r="D39" s="539" t="s">
        <v>1633</v>
      </c>
      <c r="E39" s="539" t="s">
        <v>1584</v>
      </c>
      <c r="F39" s="636" t="s">
        <v>1585</v>
      </c>
      <c r="G39" s="636" t="s">
        <v>1578</v>
      </c>
      <c r="H39" s="637">
        <v>42185</v>
      </c>
      <c r="I39" s="637">
        <v>49219</v>
      </c>
      <c r="J39" s="641" t="s">
        <v>447</v>
      </c>
      <c r="K39" s="639">
        <v>4.2961840628504842</v>
      </c>
      <c r="L39" s="637" t="s">
        <v>1586</v>
      </c>
      <c r="M39" s="640">
        <v>-403285.6305064914</v>
      </c>
    </row>
    <row r="40" spans="3:13">
      <c r="C40" s="635" t="s">
        <v>1629</v>
      </c>
      <c r="D40" s="539" t="s">
        <v>1633</v>
      </c>
      <c r="E40" s="539" t="s">
        <v>1584</v>
      </c>
      <c r="F40" s="636" t="s">
        <v>1585</v>
      </c>
      <c r="G40" s="636" t="s">
        <v>1578</v>
      </c>
      <c r="H40" s="637">
        <v>42185</v>
      </c>
      <c r="I40" s="637">
        <v>49217</v>
      </c>
      <c r="J40" s="641" t="s">
        <v>447</v>
      </c>
      <c r="K40" s="639">
        <v>4.296184062850565</v>
      </c>
      <c r="L40" s="637" t="s">
        <v>1586</v>
      </c>
      <c r="M40" s="640">
        <v>-9848089.8955708444</v>
      </c>
    </row>
    <row r="41" spans="3:13">
      <c r="C41" s="635" t="s">
        <v>1629</v>
      </c>
      <c r="D41" s="539" t="s">
        <v>1633</v>
      </c>
      <c r="E41" s="539" t="s">
        <v>1584</v>
      </c>
      <c r="F41" s="636" t="s">
        <v>1585</v>
      </c>
      <c r="G41" s="636" t="s">
        <v>1578</v>
      </c>
      <c r="H41" s="637">
        <v>42185</v>
      </c>
      <c r="I41" s="637">
        <v>49219</v>
      </c>
      <c r="J41" s="641" t="s">
        <v>447</v>
      </c>
      <c r="K41" s="639">
        <v>4.2961840628507266</v>
      </c>
      <c r="L41" s="637" t="s">
        <v>1586</v>
      </c>
      <c r="M41" s="640">
        <v>-2421292.0609554709</v>
      </c>
    </row>
    <row r="42" spans="3:13">
      <c r="C42" s="635" t="s">
        <v>1629</v>
      </c>
      <c r="D42" s="539" t="s">
        <v>1633</v>
      </c>
      <c r="E42" s="539" t="s">
        <v>1584</v>
      </c>
      <c r="F42" s="636" t="s">
        <v>1585</v>
      </c>
      <c r="G42" s="636" t="s">
        <v>1578</v>
      </c>
      <c r="H42" s="637">
        <v>42185</v>
      </c>
      <c r="I42" s="637">
        <v>46934</v>
      </c>
      <c r="J42" s="641" t="s">
        <v>447</v>
      </c>
      <c r="K42" s="639">
        <v>1.3331018518518249</v>
      </c>
      <c r="L42" s="637" t="s">
        <v>1586</v>
      </c>
      <c r="M42" s="640">
        <v>-828507.23666477914</v>
      </c>
    </row>
    <row r="43" spans="3:13">
      <c r="C43" s="635" t="s">
        <v>1627</v>
      </c>
      <c r="D43" s="539" t="s">
        <v>1588</v>
      </c>
      <c r="E43" s="539" t="s">
        <v>1590</v>
      </c>
      <c r="F43" s="636" t="s">
        <v>1505</v>
      </c>
      <c r="G43" s="636" t="s">
        <v>1578</v>
      </c>
      <c r="H43" s="637">
        <v>43518</v>
      </c>
      <c r="I43" s="637">
        <v>47618</v>
      </c>
      <c r="J43" s="641" t="s">
        <v>2381</v>
      </c>
      <c r="K43" s="639">
        <v>2.0273454608506452</v>
      </c>
      <c r="L43" s="637" t="s">
        <v>1586</v>
      </c>
      <c r="M43" s="640">
        <v>405298551.74687505</v>
      </c>
    </row>
    <row r="44" spans="3:13">
      <c r="C44" s="635" t="s">
        <v>1627</v>
      </c>
      <c r="D44" s="539" t="s">
        <v>1588</v>
      </c>
      <c r="E44" s="539" t="s">
        <v>1590</v>
      </c>
      <c r="F44" s="636" t="s">
        <v>1505</v>
      </c>
      <c r="G44" s="636" t="s">
        <v>1578</v>
      </c>
      <c r="H44" s="637">
        <v>44916</v>
      </c>
      <c r="I44" s="637">
        <v>47529</v>
      </c>
      <c r="J44" s="641" t="s">
        <v>2382</v>
      </c>
      <c r="K44" s="639">
        <v>1.858047255658231</v>
      </c>
      <c r="L44" s="637" t="s">
        <v>1586</v>
      </c>
      <c r="M44" s="640">
        <v>93355267.79506509</v>
      </c>
    </row>
    <row r="45" spans="3:13">
      <c r="C45" s="635" t="s">
        <v>1627</v>
      </c>
      <c r="D45" s="539" t="s">
        <v>1588</v>
      </c>
      <c r="E45" s="539" t="s">
        <v>1590</v>
      </c>
      <c r="F45" s="636" t="s">
        <v>1505</v>
      </c>
      <c r="G45" s="636" t="s">
        <v>1578</v>
      </c>
      <c r="H45" s="637">
        <v>44916</v>
      </c>
      <c r="I45" s="637">
        <v>51394</v>
      </c>
      <c r="J45" s="638" t="s">
        <v>2382</v>
      </c>
      <c r="K45" s="639">
        <v>8.9861425765794696</v>
      </c>
      <c r="L45" s="637" t="s">
        <v>1586</v>
      </c>
      <c r="M45" s="640">
        <v>280465354.3976528</v>
      </c>
    </row>
    <row r="46" spans="3:13">
      <c r="C46" s="635" t="s">
        <v>1627</v>
      </c>
      <c r="D46" s="539" t="s">
        <v>1588</v>
      </c>
      <c r="E46" s="539" t="s">
        <v>1590</v>
      </c>
      <c r="F46" s="636" t="s">
        <v>1505</v>
      </c>
      <c r="G46" s="636" t="s">
        <v>1578</v>
      </c>
      <c r="H46" s="637">
        <v>44285</v>
      </c>
      <c r="I46" s="637">
        <v>47529</v>
      </c>
      <c r="J46" s="638" t="s">
        <v>2375</v>
      </c>
      <c r="K46" s="639">
        <v>1.8594110484307547</v>
      </c>
      <c r="L46" s="637" t="s">
        <v>1586</v>
      </c>
      <c r="M46" s="640">
        <v>202681002.70087498</v>
      </c>
    </row>
    <row r="47" spans="3:13">
      <c r="C47" s="635" t="s">
        <v>1627</v>
      </c>
      <c r="D47" s="539" t="s">
        <v>1588</v>
      </c>
      <c r="E47" s="539" t="s">
        <v>1590</v>
      </c>
      <c r="F47" s="636" t="s">
        <v>1505</v>
      </c>
      <c r="G47" s="636" t="s">
        <v>1578</v>
      </c>
      <c r="H47" s="637">
        <v>44285</v>
      </c>
      <c r="I47" s="637">
        <v>51394</v>
      </c>
      <c r="J47" s="638" t="s">
        <v>2375</v>
      </c>
      <c r="K47" s="639">
        <v>9.0179581561759434</v>
      </c>
      <c r="L47" s="637" t="s">
        <v>1586</v>
      </c>
      <c r="M47" s="640">
        <v>607227514.97128057</v>
      </c>
    </row>
    <row r="48" spans="3:13">
      <c r="C48" s="635" t="s">
        <v>1627</v>
      </c>
      <c r="D48" s="539" t="s">
        <v>1588</v>
      </c>
      <c r="E48" s="539" t="s">
        <v>1590</v>
      </c>
      <c r="F48" s="636" t="s">
        <v>1575</v>
      </c>
      <c r="G48" s="636" t="s">
        <v>1578</v>
      </c>
      <c r="H48" s="637">
        <v>45772</v>
      </c>
      <c r="I48" s="637">
        <v>52458</v>
      </c>
      <c r="J48" s="638" t="s">
        <v>2383</v>
      </c>
      <c r="K48" s="639">
        <v>8.7255846533466972</v>
      </c>
      <c r="L48" s="637" t="s">
        <v>1586</v>
      </c>
      <c r="M48" s="640">
        <v>404212695.16726351</v>
      </c>
    </row>
    <row r="49" spans="3:13">
      <c r="C49" s="635" t="s">
        <v>1627</v>
      </c>
      <c r="D49" s="539" t="s">
        <v>1573</v>
      </c>
      <c r="E49" s="539" t="s">
        <v>1574</v>
      </c>
      <c r="F49" s="636" t="s">
        <v>1575</v>
      </c>
      <c r="G49" s="636" t="s">
        <v>1576</v>
      </c>
      <c r="H49" s="637">
        <v>45687</v>
      </c>
      <c r="I49" s="637">
        <v>46780</v>
      </c>
      <c r="J49" s="638" t="s">
        <v>2384</v>
      </c>
      <c r="K49" s="639">
        <v>1.5776535859235485</v>
      </c>
      <c r="L49" s="637">
        <v>0</v>
      </c>
      <c r="M49" s="640">
        <v>95178761.180000007</v>
      </c>
    </row>
    <row r="50" spans="3:13">
      <c r="C50" s="635" t="s">
        <v>1627</v>
      </c>
      <c r="D50" s="539" t="s">
        <v>1573</v>
      </c>
      <c r="E50" s="539" t="s">
        <v>1574</v>
      </c>
      <c r="F50" s="636" t="s">
        <v>1575</v>
      </c>
      <c r="G50" s="636" t="s">
        <v>1576</v>
      </c>
      <c r="H50" s="637">
        <v>45707</v>
      </c>
      <c r="I50" s="637">
        <v>46801</v>
      </c>
      <c r="J50" s="638" t="s">
        <v>2384</v>
      </c>
      <c r="K50" s="639">
        <v>1.6628568499404841</v>
      </c>
      <c r="L50" s="637">
        <v>0</v>
      </c>
      <c r="M50" s="640">
        <v>172292379.8915213</v>
      </c>
    </row>
    <row r="51" spans="3:13">
      <c r="C51" s="635" t="s">
        <v>1627</v>
      </c>
      <c r="D51" s="539" t="s">
        <v>1573</v>
      </c>
      <c r="E51" s="539" t="s">
        <v>1574</v>
      </c>
      <c r="F51" s="636" t="s">
        <v>1575</v>
      </c>
      <c r="G51" s="636" t="s">
        <v>1576</v>
      </c>
      <c r="H51" s="637">
        <v>45609</v>
      </c>
      <c r="I51" s="637">
        <v>46703</v>
      </c>
      <c r="J51" s="638" t="s">
        <v>2385</v>
      </c>
      <c r="K51" s="639">
        <v>1.4309427485155741</v>
      </c>
      <c r="L51" s="637">
        <v>0</v>
      </c>
      <c r="M51" s="640">
        <v>384082799.55475396</v>
      </c>
    </row>
    <row r="52" spans="3:13">
      <c r="C52" s="635" t="s">
        <v>1627</v>
      </c>
      <c r="D52" s="539" t="s">
        <v>1573</v>
      </c>
      <c r="E52" s="539" t="s">
        <v>2386</v>
      </c>
      <c r="F52" s="636" t="s">
        <v>1575</v>
      </c>
      <c r="G52" s="636" t="s">
        <v>1576</v>
      </c>
      <c r="H52" s="637">
        <v>46112</v>
      </c>
      <c r="I52" s="637">
        <v>48669</v>
      </c>
      <c r="J52" s="638" t="s">
        <v>2387</v>
      </c>
      <c r="K52" s="639">
        <v>4.5108883526192987</v>
      </c>
      <c r="L52" s="636">
        <v>0</v>
      </c>
      <c r="M52" s="640">
        <v>157215081.49674937</v>
      </c>
    </row>
    <row r="53" spans="3:13">
      <c r="C53" s="635" t="s">
        <v>1627</v>
      </c>
      <c r="D53" s="539" t="s">
        <v>1573</v>
      </c>
      <c r="E53" s="539" t="s">
        <v>2386</v>
      </c>
      <c r="F53" s="636" t="s">
        <v>1575</v>
      </c>
      <c r="G53" s="636" t="s">
        <v>1576</v>
      </c>
      <c r="H53" s="637">
        <v>46112</v>
      </c>
      <c r="I53" s="637">
        <v>47571</v>
      </c>
      <c r="J53" s="638" t="s">
        <v>2388</v>
      </c>
      <c r="K53" s="639">
        <v>2.7720122489334447</v>
      </c>
      <c r="L53" s="636">
        <v>0</v>
      </c>
      <c r="M53" s="640">
        <v>104972576.72756657</v>
      </c>
    </row>
    <row r="54" spans="3:13">
      <c r="C54" s="635" t="s">
        <v>1627</v>
      </c>
      <c r="D54" s="539" t="s">
        <v>1107</v>
      </c>
      <c r="E54" s="539" t="s">
        <v>1107</v>
      </c>
      <c r="F54" s="636" t="s">
        <v>1505</v>
      </c>
      <c r="G54" s="636" t="s">
        <v>1578</v>
      </c>
      <c r="H54" s="637">
        <v>45282</v>
      </c>
      <c r="I54" s="637">
        <v>48197</v>
      </c>
      <c r="J54" s="638" t="s">
        <v>2389</v>
      </c>
      <c r="K54" s="639">
        <v>4.4376438307897237</v>
      </c>
      <c r="L54" s="636" t="s">
        <v>1577</v>
      </c>
      <c r="M54" s="640">
        <v>341685006.77693409</v>
      </c>
    </row>
    <row r="55" spans="3:13">
      <c r="C55" s="635" t="s">
        <v>1627</v>
      </c>
      <c r="D55" s="539" t="s">
        <v>1107</v>
      </c>
      <c r="E55" s="539" t="s">
        <v>1107</v>
      </c>
      <c r="F55" s="636" t="s">
        <v>1575</v>
      </c>
      <c r="G55" s="636" t="s">
        <v>1578</v>
      </c>
      <c r="H55" s="637">
        <v>45436</v>
      </c>
      <c r="I55" s="637">
        <v>47618</v>
      </c>
      <c r="J55" s="638" t="s">
        <v>2376</v>
      </c>
      <c r="K55" s="639">
        <v>2.9167587799914449</v>
      </c>
      <c r="L55" s="637" t="s">
        <v>1577</v>
      </c>
      <c r="M55" s="640">
        <v>508899906.04633534</v>
      </c>
    </row>
    <row r="56" spans="3:13">
      <c r="C56" s="635" t="s">
        <v>1627</v>
      </c>
      <c r="D56" s="539" t="s">
        <v>1107</v>
      </c>
      <c r="E56" s="539" t="s">
        <v>1107</v>
      </c>
      <c r="F56" s="636" t="s">
        <v>1575</v>
      </c>
      <c r="G56" s="636" t="s">
        <v>1578</v>
      </c>
      <c r="H56" s="637">
        <v>45569</v>
      </c>
      <c r="I56" s="637">
        <v>49933</v>
      </c>
      <c r="J56" s="638" t="s">
        <v>2390</v>
      </c>
      <c r="K56" s="639">
        <v>8.4480587557884679</v>
      </c>
      <c r="L56" s="637">
        <v>0</v>
      </c>
      <c r="M56" s="640">
        <v>569427761.59625244</v>
      </c>
    </row>
    <row r="57" spans="3:13">
      <c r="C57" s="635" t="s">
        <v>1627</v>
      </c>
      <c r="D57" s="539" t="s">
        <v>1592</v>
      </c>
      <c r="E57" s="539" t="s">
        <v>1584</v>
      </c>
      <c r="F57" s="636" t="s">
        <v>1585</v>
      </c>
      <c r="G57" s="636" t="s">
        <v>1578</v>
      </c>
      <c r="H57" s="637">
        <v>45772</v>
      </c>
      <c r="I57" s="637">
        <v>52458</v>
      </c>
      <c r="J57" s="638" t="s">
        <v>447</v>
      </c>
      <c r="K57" s="639">
        <v>8.7529665587925685</v>
      </c>
      <c r="L57" s="636" t="s">
        <v>1586</v>
      </c>
      <c r="M57" s="640">
        <v>-3861419.774612179</v>
      </c>
    </row>
    <row r="58" spans="3:13">
      <c r="C58" s="635" t="s">
        <v>1627</v>
      </c>
      <c r="D58" s="539" t="s">
        <v>1592</v>
      </c>
      <c r="E58" s="539" t="s">
        <v>1584</v>
      </c>
      <c r="F58" s="636" t="s">
        <v>1585</v>
      </c>
      <c r="G58" s="636" t="s">
        <v>1578</v>
      </c>
      <c r="H58" s="637">
        <v>45823</v>
      </c>
      <c r="I58" s="637">
        <v>47618</v>
      </c>
      <c r="J58" s="638" t="s">
        <v>447</v>
      </c>
      <c r="K58" s="639">
        <v>2.0314420803782722</v>
      </c>
      <c r="L58" s="637">
        <v>0</v>
      </c>
      <c r="M58" s="640">
        <v>-262881.35864406766</v>
      </c>
    </row>
    <row r="59" spans="3:13">
      <c r="C59" s="635" t="s">
        <v>1627</v>
      </c>
      <c r="D59" s="539" t="s">
        <v>1592</v>
      </c>
      <c r="E59" s="539" t="s">
        <v>1584</v>
      </c>
      <c r="F59" s="636" t="s">
        <v>1585</v>
      </c>
      <c r="G59" s="636" t="s">
        <v>1578</v>
      </c>
      <c r="H59" s="637">
        <v>46112</v>
      </c>
      <c r="I59" s="637">
        <v>48669</v>
      </c>
      <c r="J59" s="638" t="s">
        <v>447</v>
      </c>
      <c r="K59" s="639">
        <v>3.8428337773315837</v>
      </c>
      <c r="L59" s="637">
        <v>0</v>
      </c>
      <c r="M59" s="640">
        <v>-2919091.1809638552</v>
      </c>
    </row>
    <row r="60" spans="3:13">
      <c r="C60" s="635" t="s">
        <v>1627</v>
      </c>
      <c r="D60" s="539" t="s">
        <v>1592</v>
      </c>
      <c r="E60" s="539" t="s">
        <v>1584</v>
      </c>
      <c r="F60" s="636" t="s">
        <v>1585</v>
      </c>
      <c r="G60" s="636" t="s">
        <v>1578</v>
      </c>
      <c r="H60" s="637">
        <v>46112</v>
      </c>
      <c r="I60" s="637">
        <v>47571</v>
      </c>
      <c r="J60" s="638" t="s">
        <v>447</v>
      </c>
      <c r="K60" s="639">
        <v>1.9469753086420598</v>
      </c>
      <c r="L60" s="637">
        <v>0</v>
      </c>
      <c r="M60" s="640">
        <v>-866911.76250000007</v>
      </c>
    </row>
    <row r="61" spans="3:13">
      <c r="C61" s="635" t="s">
        <v>1627</v>
      </c>
      <c r="D61" s="539" t="s">
        <v>1592</v>
      </c>
      <c r="E61" s="539" t="s">
        <v>1584</v>
      </c>
      <c r="F61" s="636" t="s">
        <v>1585</v>
      </c>
      <c r="G61" s="636" t="s">
        <v>1578</v>
      </c>
      <c r="H61" s="637">
        <v>44916</v>
      </c>
      <c r="I61" s="637">
        <v>51394</v>
      </c>
      <c r="J61" s="638" t="s">
        <v>447</v>
      </c>
      <c r="K61" s="639">
        <v>7.2733755685510104</v>
      </c>
      <c r="L61" s="637" t="s">
        <v>1586</v>
      </c>
      <c r="M61" s="640">
        <v>-7179392.6813217783</v>
      </c>
    </row>
    <row r="62" spans="3:13">
      <c r="C62" s="635" t="s">
        <v>1627</v>
      </c>
      <c r="D62" s="539" t="s">
        <v>1592</v>
      </c>
      <c r="E62" s="539" t="s">
        <v>1584</v>
      </c>
      <c r="F62" s="636" t="s">
        <v>1585</v>
      </c>
      <c r="G62" s="636" t="s">
        <v>1578</v>
      </c>
      <c r="H62" s="637">
        <v>44285</v>
      </c>
      <c r="I62" s="637">
        <v>45381</v>
      </c>
      <c r="J62" s="638" t="s">
        <v>447</v>
      </c>
      <c r="K62" s="639">
        <v>7.2733755685510104</v>
      </c>
      <c r="L62" s="637" t="s">
        <v>1586</v>
      </c>
      <c r="M62" s="640">
        <v>-2801900.6366020194</v>
      </c>
    </row>
    <row r="63" spans="3:13">
      <c r="C63" s="635" t="s">
        <v>1627</v>
      </c>
      <c r="D63" s="539" t="s">
        <v>1583</v>
      </c>
      <c r="E63" s="539" t="s">
        <v>1584</v>
      </c>
      <c r="F63" s="636" t="s">
        <v>1585</v>
      </c>
      <c r="G63" s="636" t="s">
        <v>1578</v>
      </c>
      <c r="H63" s="637">
        <v>45282</v>
      </c>
      <c r="I63" s="637">
        <v>48197</v>
      </c>
      <c r="J63" s="638" t="s">
        <v>447</v>
      </c>
      <c r="K63" s="639">
        <v>2.8344696969698715</v>
      </c>
      <c r="L63" s="637" t="s">
        <v>1586</v>
      </c>
      <c r="M63" s="640">
        <v>-5956173.241042898</v>
      </c>
    </row>
    <row r="64" spans="3:13">
      <c r="C64" s="635" t="s">
        <v>1627</v>
      </c>
      <c r="D64" s="539" t="s">
        <v>1583</v>
      </c>
      <c r="E64" s="539" t="s">
        <v>1584</v>
      </c>
      <c r="F64" s="636" t="s">
        <v>1585</v>
      </c>
      <c r="G64" s="636" t="s">
        <v>1578</v>
      </c>
      <c r="H64" s="637">
        <v>45436</v>
      </c>
      <c r="I64" s="637">
        <v>47618</v>
      </c>
      <c r="J64" s="638" t="s">
        <v>447</v>
      </c>
      <c r="K64" s="639">
        <v>2.0314420803782922</v>
      </c>
      <c r="L64" s="637" t="s">
        <v>1586</v>
      </c>
      <c r="M64" s="640">
        <v>-1092502.7606349208</v>
      </c>
    </row>
    <row r="65" spans="3:13">
      <c r="C65" s="635" t="s">
        <v>1627</v>
      </c>
      <c r="D65" s="539" t="s">
        <v>1583</v>
      </c>
      <c r="E65" s="539" t="s">
        <v>1584</v>
      </c>
      <c r="F65" s="636" t="s">
        <v>1585</v>
      </c>
      <c r="G65" s="636" t="s">
        <v>1578</v>
      </c>
      <c r="H65" s="637">
        <v>45641</v>
      </c>
      <c r="I65" s="637">
        <v>49933</v>
      </c>
      <c r="J65" s="638" t="s">
        <v>447</v>
      </c>
      <c r="K65" s="639">
        <v>5.244196025293645</v>
      </c>
      <c r="L65" s="637" t="s">
        <v>1586</v>
      </c>
      <c r="M65" s="640">
        <v>-18288633.267335821</v>
      </c>
    </row>
    <row r="66" spans="3:13">
      <c r="C66" s="635" t="s">
        <v>1634</v>
      </c>
      <c r="D66" s="539" t="s">
        <v>1588</v>
      </c>
      <c r="E66" s="539" t="s">
        <v>1635</v>
      </c>
      <c r="F66" s="636" t="s">
        <v>1585</v>
      </c>
      <c r="G66" s="636" t="s">
        <v>1578</v>
      </c>
      <c r="H66" s="637">
        <v>43251</v>
      </c>
      <c r="I66" s="637">
        <v>54361</v>
      </c>
      <c r="J66" s="638">
        <v>0.05</v>
      </c>
      <c r="K66" s="639">
        <v>13.355890069904348</v>
      </c>
      <c r="L66" s="637" t="s">
        <v>1586</v>
      </c>
      <c r="M66" s="640">
        <v>1049520671.8732442</v>
      </c>
    </row>
    <row r="67" spans="3:13">
      <c r="C67" s="635" t="s">
        <v>1634</v>
      </c>
      <c r="D67" s="539" t="s">
        <v>1588</v>
      </c>
      <c r="E67" s="539" t="s">
        <v>1590</v>
      </c>
      <c r="F67" s="636" t="s">
        <v>1505</v>
      </c>
      <c r="G67" s="636" t="s">
        <v>1578</v>
      </c>
      <c r="H67" s="637">
        <v>43822</v>
      </c>
      <c r="I67" s="637">
        <v>51058</v>
      </c>
      <c r="J67" s="638" t="s">
        <v>2391</v>
      </c>
      <c r="K67" s="639">
        <v>6.7970399258952963</v>
      </c>
      <c r="L67" s="637" t="s">
        <v>1586</v>
      </c>
      <c r="M67" s="640">
        <v>420623488.77577883</v>
      </c>
    </row>
    <row r="68" spans="3:13">
      <c r="C68" s="635" t="s">
        <v>1634</v>
      </c>
      <c r="D68" s="539" t="s">
        <v>1588</v>
      </c>
      <c r="E68" s="539" t="s">
        <v>1590</v>
      </c>
      <c r="F68" s="636" t="s">
        <v>1505</v>
      </c>
      <c r="G68" s="636" t="s">
        <v>1578</v>
      </c>
      <c r="H68" s="637">
        <v>44224</v>
      </c>
      <c r="I68" s="637">
        <v>51271</v>
      </c>
      <c r="J68" s="638" t="s">
        <v>2392</v>
      </c>
      <c r="K68" s="639">
        <v>7.0909985112459655</v>
      </c>
      <c r="L68" s="636" t="s">
        <v>1586</v>
      </c>
      <c r="M68" s="640">
        <v>680409227.32975435</v>
      </c>
    </row>
    <row r="69" spans="3:13">
      <c r="C69" s="635" t="s">
        <v>1634</v>
      </c>
      <c r="D69" s="539" t="s">
        <v>1588</v>
      </c>
      <c r="E69" s="539" t="s">
        <v>1590</v>
      </c>
      <c r="F69" s="636" t="s">
        <v>1575</v>
      </c>
      <c r="G69" s="636" t="s">
        <v>1578</v>
      </c>
      <c r="H69" s="637">
        <v>45744</v>
      </c>
      <c r="I69" s="637">
        <v>52458</v>
      </c>
      <c r="J69" s="638" t="s">
        <v>2393</v>
      </c>
      <c r="K69" s="639">
        <v>8.7244865469171291</v>
      </c>
      <c r="L69" s="637" t="s">
        <v>1586</v>
      </c>
      <c r="M69" s="640">
        <v>253921617.72958568</v>
      </c>
    </row>
    <row r="70" spans="3:13">
      <c r="C70" s="635" t="s">
        <v>1634</v>
      </c>
      <c r="D70" s="539" t="s">
        <v>1588</v>
      </c>
      <c r="E70" s="539" t="s">
        <v>1590</v>
      </c>
      <c r="F70" s="636" t="s">
        <v>1575</v>
      </c>
      <c r="G70" s="636" t="s">
        <v>1578</v>
      </c>
      <c r="H70" s="637">
        <v>45905</v>
      </c>
      <c r="I70" s="637" t="s">
        <v>2093</v>
      </c>
      <c r="J70" s="638" t="s">
        <v>2394</v>
      </c>
      <c r="K70" s="639">
        <v>8.7253545971263726</v>
      </c>
      <c r="L70" s="637" t="s">
        <v>1586</v>
      </c>
      <c r="M70" s="640">
        <v>450621264.80583423</v>
      </c>
    </row>
    <row r="71" spans="3:13">
      <c r="C71" s="635" t="s">
        <v>1634</v>
      </c>
      <c r="D71" s="539" t="s">
        <v>1573</v>
      </c>
      <c r="E71" s="539" t="s">
        <v>1591</v>
      </c>
      <c r="F71" s="636" t="s">
        <v>1575</v>
      </c>
      <c r="G71" s="636" t="s">
        <v>1576</v>
      </c>
      <c r="H71" s="637">
        <v>44902</v>
      </c>
      <c r="I71" s="637">
        <v>46342</v>
      </c>
      <c r="J71" s="638" t="s">
        <v>2395</v>
      </c>
      <c r="K71" s="639">
        <v>0.42321627056214006</v>
      </c>
      <c r="L71" s="637" t="s">
        <v>1579</v>
      </c>
      <c r="M71" s="640">
        <v>146799137.73610914</v>
      </c>
    </row>
    <row r="72" spans="3:13">
      <c r="C72" s="635" t="s">
        <v>1634</v>
      </c>
      <c r="D72" s="539" t="s">
        <v>1573</v>
      </c>
      <c r="E72" s="539" t="s">
        <v>1574</v>
      </c>
      <c r="F72" s="636" t="s">
        <v>1575</v>
      </c>
      <c r="G72" s="636" t="s">
        <v>1576</v>
      </c>
      <c r="H72" s="637">
        <v>45609</v>
      </c>
      <c r="I72" s="637">
        <v>46703</v>
      </c>
      <c r="J72" s="638" t="s">
        <v>2385</v>
      </c>
      <c r="K72" s="639">
        <v>1.430942744632921</v>
      </c>
      <c r="L72" s="637">
        <v>0</v>
      </c>
      <c r="M72" s="640">
        <v>256055200.69800109</v>
      </c>
    </row>
    <row r="73" spans="3:13">
      <c r="C73" s="635" t="s">
        <v>1634</v>
      </c>
      <c r="D73" s="539" t="s">
        <v>1573</v>
      </c>
      <c r="E73" s="539" t="s">
        <v>1574</v>
      </c>
      <c r="F73" s="636" t="s">
        <v>1575</v>
      </c>
      <c r="G73" s="636" t="s">
        <v>1576</v>
      </c>
      <c r="H73" s="637">
        <v>45877</v>
      </c>
      <c r="I73" s="637">
        <v>46973</v>
      </c>
      <c r="J73" s="638" t="s">
        <v>2396</v>
      </c>
      <c r="K73" s="639">
        <v>2.1647868758961422</v>
      </c>
      <c r="L73" s="636">
        <v>0</v>
      </c>
      <c r="M73" s="640">
        <v>310571565.65374726</v>
      </c>
    </row>
    <row r="74" spans="3:13">
      <c r="C74" s="635" t="s">
        <v>1634</v>
      </c>
      <c r="D74" s="539" t="s">
        <v>1573</v>
      </c>
      <c r="E74" s="539" t="s">
        <v>1587</v>
      </c>
      <c r="F74" s="636" t="s">
        <v>1575</v>
      </c>
      <c r="G74" s="636" t="s">
        <v>1576</v>
      </c>
      <c r="H74" s="637">
        <v>45588</v>
      </c>
      <c r="I74" s="637">
        <v>46685</v>
      </c>
      <c r="J74" s="638" t="s">
        <v>2385</v>
      </c>
      <c r="K74" s="639">
        <v>1.317357653346557</v>
      </c>
      <c r="L74" s="636">
        <v>0</v>
      </c>
      <c r="M74" s="640">
        <v>166528397.99012342</v>
      </c>
    </row>
    <row r="75" spans="3:13">
      <c r="C75" s="635" t="s">
        <v>1634</v>
      </c>
      <c r="D75" s="539" t="s">
        <v>1107</v>
      </c>
      <c r="E75" s="539" t="s">
        <v>1107</v>
      </c>
      <c r="F75" s="636" t="s">
        <v>1575</v>
      </c>
      <c r="G75" s="636" t="s">
        <v>1578</v>
      </c>
      <c r="H75" s="637">
        <v>45569</v>
      </c>
      <c r="I75" s="637">
        <v>49933</v>
      </c>
      <c r="J75" s="638" t="s">
        <v>2397</v>
      </c>
      <c r="K75" s="639">
        <v>8.564663732901721</v>
      </c>
      <c r="L75" s="636" t="s">
        <v>1577</v>
      </c>
      <c r="M75" s="640">
        <v>311007810.42942572</v>
      </c>
    </row>
    <row r="76" spans="3:13">
      <c r="C76" s="635" t="s">
        <v>1634</v>
      </c>
      <c r="D76" s="539" t="s">
        <v>1107</v>
      </c>
      <c r="E76" s="539" t="s">
        <v>1107</v>
      </c>
      <c r="F76" s="636" t="s">
        <v>1575</v>
      </c>
      <c r="G76" s="636" t="s">
        <v>1578</v>
      </c>
      <c r="H76" s="637">
        <v>45909</v>
      </c>
      <c r="I76" s="637">
        <v>50267</v>
      </c>
      <c r="J76" s="638" t="s">
        <v>2398</v>
      </c>
      <c r="K76" s="639">
        <v>8.0870099673612366</v>
      </c>
      <c r="L76" s="637" t="s">
        <v>1577</v>
      </c>
      <c r="M76" s="640">
        <v>268055563.82217097</v>
      </c>
    </row>
    <row r="77" spans="3:13">
      <c r="C77" s="635" t="s">
        <v>1634</v>
      </c>
      <c r="D77" s="539" t="s">
        <v>1107</v>
      </c>
      <c r="E77" s="539" t="s">
        <v>1107</v>
      </c>
      <c r="F77" s="636" t="s">
        <v>1575</v>
      </c>
      <c r="G77" s="636" t="s">
        <v>1578</v>
      </c>
      <c r="H77" s="637">
        <v>45930</v>
      </c>
      <c r="I77" s="637">
        <v>50298</v>
      </c>
      <c r="J77" s="638" t="s">
        <v>2096</v>
      </c>
      <c r="K77" s="639">
        <v>9.7037985304529979</v>
      </c>
      <c r="L77" s="637" t="s">
        <v>1577</v>
      </c>
      <c r="M77" s="640">
        <v>264539889.14200541</v>
      </c>
    </row>
    <row r="78" spans="3:13">
      <c r="C78" s="635" t="s">
        <v>1634</v>
      </c>
      <c r="D78" s="539" t="s">
        <v>1107</v>
      </c>
      <c r="E78" s="539" t="s">
        <v>1107</v>
      </c>
      <c r="F78" s="636" t="s">
        <v>1575</v>
      </c>
      <c r="G78" s="636" t="s">
        <v>1578</v>
      </c>
      <c r="H78" s="637">
        <v>46066</v>
      </c>
      <c r="I78" s="637">
        <v>50420</v>
      </c>
      <c r="J78" s="638" t="s">
        <v>2380</v>
      </c>
      <c r="K78" s="639">
        <v>10.001074625393914</v>
      </c>
      <c r="L78" s="637" t="s">
        <v>1577</v>
      </c>
      <c r="M78" s="640">
        <v>621388609.70302033</v>
      </c>
    </row>
    <row r="79" spans="3:13">
      <c r="C79" s="635" t="s">
        <v>1634</v>
      </c>
      <c r="D79" s="539" t="s">
        <v>1592</v>
      </c>
      <c r="E79" s="539" t="s">
        <v>1584</v>
      </c>
      <c r="F79" s="636" t="s">
        <v>1585</v>
      </c>
      <c r="G79" s="636" t="s">
        <v>1578</v>
      </c>
      <c r="H79" s="637">
        <v>44224</v>
      </c>
      <c r="I79" s="637">
        <v>51271</v>
      </c>
      <c r="J79" s="638" t="s">
        <v>447</v>
      </c>
      <c r="K79" s="639">
        <v>7.1042903012318774</v>
      </c>
      <c r="L79" s="637" t="s">
        <v>1586</v>
      </c>
      <c r="M79" s="640">
        <v>-28391.137297297242</v>
      </c>
    </row>
    <row r="80" spans="3:13">
      <c r="C80" s="635" t="s">
        <v>1634</v>
      </c>
      <c r="D80" s="539" t="s">
        <v>1592</v>
      </c>
      <c r="E80" s="539" t="s">
        <v>1584</v>
      </c>
      <c r="F80" s="636" t="s">
        <v>1585</v>
      </c>
      <c r="G80" s="636" t="s">
        <v>1578</v>
      </c>
      <c r="H80" s="637">
        <v>45744</v>
      </c>
      <c r="I80" s="637">
        <v>52458</v>
      </c>
      <c r="J80" s="638" t="s">
        <v>447</v>
      </c>
      <c r="K80" s="639">
        <v>8.7529671094853665</v>
      </c>
      <c r="L80" s="637" t="s">
        <v>1586</v>
      </c>
      <c r="M80" s="640">
        <v>-3399719.9346606331</v>
      </c>
    </row>
    <row r="81" spans="3:13">
      <c r="C81" s="635" t="s">
        <v>1634</v>
      </c>
      <c r="D81" s="539" t="s">
        <v>1583</v>
      </c>
      <c r="E81" s="539" t="s">
        <v>1584</v>
      </c>
      <c r="F81" s="636" t="s">
        <v>1585</v>
      </c>
      <c r="G81" s="636" t="s">
        <v>1578</v>
      </c>
      <c r="H81" s="637">
        <v>45641</v>
      </c>
      <c r="I81" s="637">
        <v>49933</v>
      </c>
      <c r="J81" s="638" t="s">
        <v>447</v>
      </c>
      <c r="K81" s="639">
        <v>5.2441960252934825</v>
      </c>
      <c r="L81" s="637" t="s">
        <v>1586</v>
      </c>
      <c r="M81" s="640">
        <v>-10109293.270212762</v>
      </c>
    </row>
    <row r="82" spans="3:13">
      <c r="C82" s="635" t="s">
        <v>1634</v>
      </c>
      <c r="D82" s="539" t="s">
        <v>1583</v>
      </c>
      <c r="E82" s="539" t="s">
        <v>1584</v>
      </c>
      <c r="F82" s="636" t="s">
        <v>1585</v>
      </c>
      <c r="G82" s="636" t="s">
        <v>1578</v>
      </c>
      <c r="H82" s="637">
        <v>45909</v>
      </c>
      <c r="I82" s="637">
        <v>50267</v>
      </c>
      <c r="J82" s="638" t="s">
        <v>447</v>
      </c>
      <c r="K82" s="639">
        <v>5.7092661691538522</v>
      </c>
      <c r="L82" s="637" t="s">
        <v>1586</v>
      </c>
      <c r="M82" s="640">
        <v>-8393719.1061583422</v>
      </c>
    </row>
    <row r="83" spans="3:13">
      <c r="C83" s="635" t="s">
        <v>1634</v>
      </c>
      <c r="D83" s="539" t="s">
        <v>1583</v>
      </c>
      <c r="E83" s="539" t="s">
        <v>1584</v>
      </c>
      <c r="F83" s="636" t="s">
        <v>1585</v>
      </c>
      <c r="G83" s="636" t="s">
        <v>1578</v>
      </c>
      <c r="H83" s="637">
        <v>45930</v>
      </c>
      <c r="I83" s="637">
        <v>50298</v>
      </c>
      <c r="J83" s="638" t="s">
        <v>447</v>
      </c>
      <c r="K83" s="639">
        <v>5.751543209876945</v>
      </c>
      <c r="L83" s="637" t="s">
        <v>1586</v>
      </c>
      <c r="M83" s="640">
        <v>-8355225.6290824497</v>
      </c>
    </row>
    <row r="84" spans="3:13">
      <c r="C84" s="635" t="s">
        <v>1634</v>
      </c>
      <c r="D84" s="539" t="s">
        <v>1583</v>
      </c>
      <c r="E84" s="539" t="s">
        <v>1584</v>
      </c>
      <c r="F84" s="636" t="s">
        <v>1585</v>
      </c>
      <c r="G84" s="636" t="s">
        <v>1578</v>
      </c>
      <c r="H84" s="637">
        <v>46112</v>
      </c>
      <c r="I84" s="637">
        <v>50420</v>
      </c>
      <c r="J84" s="638" t="s">
        <v>447</v>
      </c>
      <c r="K84" s="639">
        <v>5.9207034372500855</v>
      </c>
      <c r="L84" s="637" t="s">
        <v>1586</v>
      </c>
      <c r="M84" s="640">
        <v>-20623917.801901408</v>
      </c>
    </row>
    <row r="85" spans="3:13">
      <c r="C85" s="635" t="s">
        <v>1634</v>
      </c>
      <c r="D85" s="539" t="s">
        <v>1588</v>
      </c>
      <c r="E85" s="539" t="s">
        <v>1584</v>
      </c>
      <c r="F85" s="636" t="s">
        <v>1585</v>
      </c>
      <c r="G85" s="636" t="s">
        <v>1578</v>
      </c>
      <c r="H85" s="637">
        <v>43251</v>
      </c>
      <c r="I85" s="637">
        <v>54361</v>
      </c>
      <c r="J85" s="638" t="s">
        <v>447</v>
      </c>
      <c r="K85" s="639">
        <v>11.881325954861556</v>
      </c>
      <c r="L85" s="637" t="s">
        <v>1586</v>
      </c>
      <c r="M85" s="640">
        <v>-501056384.84416384</v>
      </c>
    </row>
    <row r="86" spans="3:13">
      <c r="C86" s="635" t="s">
        <v>1623</v>
      </c>
      <c r="D86" s="539" t="s">
        <v>1588</v>
      </c>
      <c r="E86" s="539" t="s">
        <v>1590</v>
      </c>
      <c r="F86" s="636" t="s">
        <v>1505</v>
      </c>
      <c r="G86" s="636" t="s">
        <v>1578</v>
      </c>
      <c r="H86" s="637">
        <v>43822</v>
      </c>
      <c r="I86" s="637">
        <v>51058</v>
      </c>
      <c r="J86" s="638" t="s">
        <v>2391</v>
      </c>
      <c r="K86" s="639">
        <v>6.797040464959375</v>
      </c>
      <c r="L86" s="637" t="s">
        <v>1586</v>
      </c>
      <c r="M86" s="640">
        <v>232253335.93297282</v>
      </c>
    </row>
    <row r="87" spans="3:13">
      <c r="C87" s="635" t="s">
        <v>1623</v>
      </c>
      <c r="D87" s="539" t="s">
        <v>1588</v>
      </c>
      <c r="E87" s="539" t="s">
        <v>1590</v>
      </c>
      <c r="F87" s="636" t="s">
        <v>1505</v>
      </c>
      <c r="G87" s="636" t="s">
        <v>1578</v>
      </c>
      <c r="H87" s="637">
        <v>44224</v>
      </c>
      <c r="I87" s="637">
        <v>51271</v>
      </c>
      <c r="J87" s="638" t="s">
        <v>2392</v>
      </c>
      <c r="K87" s="639">
        <v>7.0909976607738932</v>
      </c>
      <c r="L87" s="637" t="s">
        <v>1586</v>
      </c>
      <c r="M87" s="640">
        <v>524640528.97829801</v>
      </c>
    </row>
    <row r="88" spans="3:13">
      <c r="C88" s="635" t="s">
        <v>1623</v>
      </c>
      <c r="D88" s="539" t="s">
        <v>1588</v>
      </c>
      <c r="E88" s="539" t="s">
        <v>1590</v>
      </c>
      <c r="F88" s="636" t="s">
        <v>1575</v>
      </c>
      <c r="G88" s="636" t="s">
        <v>1578</v>
      </c>
      <c r="H88" s="637">
        <v>45744</v>
      </c>
      <c r="I88" s="637">
        <v>52458</v>
      </c>
      <c r="J88" s="638" t="s">
        <v>2399</v>
      </c>
      <c r="K88" s="639">
        <v>8.7248995052010088</v>
      </c>
      <c r="L88" s="636">
        <v>0</v>
      </c>
      <c r="M88" s="640">
        <v>68381137.407774538</v>
      </c>
    </row>
    <row r="89" spans="3:13">
      <c r="C89" s="635" t="s">
        <v>1623</v>
      </c>
      <c r="D89" s="539" t="s">
        <v>1588</v>
      </c>
      <c r="E89" s="539" t="s">
        <v>1590</v>
      </c>
      <c r="F89" s="636" t="s">
        <v>1575</v>
      </c>
      <c r="G89" s="636" t="s">
        <v>1578</v>
      </c>
      <c r="H89" s="637">
        <v>45960</v>
      </c>
      <c r="I89" s="637">
        <v>52458</v>
      </c>
      <c r="J89" s="638" t="s">
        <v>2400</v>
      </c>
      <c r="K89" s="639">
        <v>8.7248595477412696</v>
      </c>
      <c r="L89" s="637" t="s">
        <v>1586</v>
      </c>
      <c r="M89" s="640">
        <v>82454739.686891362</v>
      </c>
    </row>
    <row r="90" spans="3:13">
      <c r="C90" s="635" t="s">
        <v>1623</v>
      </c>
      <c r="D90" s="539" t="s">
        <v>1573</v>
      </c>
      <c r="E90" s="539" t="s">
        <v>1587</v>
      </c>
      <c r="F90" s="636" t="s">
        <v>1575</v>
      </c>
      <c r="G90" s="636" t="s">
        <v>1576</v>
      </c>
      <c r="H90" s="637">
        <v>45588</v>
      </c>
      <c r="I90" s="637">
        <v>46685</v>
      </c>
      <c r="J90" s="638" t="s">
        <v>2385</v>
      </c>
      <c r="K90" s="639">
        <v>1.3173564234769299</v>
      </c>
      <c r="L90" s="637">
        <v>0</v>
      </c>
      <c r="M90" s="640">
        <v>93750271.851258591</v>
      </c>
    </row>
    <row r="91" spans="3:13">
      <c r="C91" s="635" t="s">
        <v>1623</v>
      </c>
      <c r="D91" s="539" t="s">
        <v>1573</v>
      </c>
      <c r="E91" s="539" t="s">
        <v>1574</v>
      </c>
      <c r="F91" s="636" t="s">
        <v>1575</v>
      </c>
      <c r="G91" s="636" t="s">
        <v>1576</v>
      </c>
      <c r="H91" s="637" t="s">
        <v>2088</v>
      </c>
      <c r="I91" s="637" t="s">
        <v>2089</v>
      </c>
      <c r="J91" s="638" t="s">
        <v>2396</v>
      </c>
      <c r="K91" s="639">
        <v>2.1647867193904959</v>
      </c>
      <c r="L91" s="637" t="s">
        <v>1582</v>
      </c>
      <c r="M91" s="640">
        <v>122346373.62053636</v>
      </c>
    </row>
    <row r="92" spans="3:13">
      <c r="C92" s="635" t="s">
        <v>1623</v>
      </c>
      <c r="D92" s="539" t="s">
        <v>1573</v>
      </c>
      <c r="E92" s="539" t="s">
        <v>1574</v>
      </c>
      <c r="F92" s="636" t="s">
        <v>1575</v>
      </c>
      <c r="G92" s="636" t="s">
        <v>1576</v>
      </c>
      <c r="H92" s="637">
        <v>45625</v>
      </c>
      <c r="I92" s="637">
        <v>46720</v>
      </c>
      <c r="J92" s="638" t="s">
        <v>2385</v>
      </c>
      <c r="K92" s="639">
        <v>1.4337179909080886</v>
      </c>
      <c r="L92" s="637">
        <v>0</v>
      </c>
      <c r="M92" s="640">
        <v>467839008.77505094</v>
      </c>
    </row>
    <row r="93" spans="3:13">
      <c r="C93" s="635" t="s">
        <v>1623</v>
      </c>
      <c r="D93" s="539" t="s">
        <v>1573</v>
      </c>
      <c r="E93" s="539" t="s">
        <v>1591</v>
      </c>
      <c r="F93" s="636" t="s">
        <v>1575</v>
      </c>
      <c r="G93" s="636" t="s">
        <v>1576</v>
      </c>
      <c r="H93" s="637">
        <v>44860</v>
      </c>
      <c r="I93" s="637">
        <v>46300</v>
      </c>
      <c r="J93" s="638" t="s">
        <v>2395</v>
      </c>
      <c r="K93" s="639">
        <v>0.33792202917142683</v>
      </c>
      <c r="L93" s="636" t="s">
        <v>1579</v>
      </c>
      <c r="M93" s="640">
        <v>274596020.48286301</v>
      </c>
    </row>
    <row r="94" spans="3:13">
      <c r="C94" s="635" t="s">
        <v>1623</v>
      </c>
      <c r="D94" s="539" t="s">
        <v>1573</v>
      </c>
      <c r="E94" s="539" t="s">
        <v>1625</v>
      </c>
      <c r="F94" s="636" t="s">
        <v>1575</v>
      </c>
      <c r="G94" s="636" t="s">
        <v>2155</v>
      </c>
      <c r="H94" s="637">
        <v>46021</v>
      </c>
      <c r="I94" s="637">
        <v>47847</v>
      </c>
      <c r="J94" s="638" t="s">
        <v>2401</v>
      </c>
      <c r="K94" s="639">
        <v>4.5226248185644282</v>
      </c>
      <c r="L94" s="636" t="s">
        <v>1579</v>
      </c>
      <c r="M94" s="640">
        <v>152516018.33997387</v>
      </c>
    </row>
    <row r="95" spans="3:13">
      <c r="C95" s="635" t="s">
        <v>1623</v>
      </c>
      <c r="D95" s="539" t="s">
        <v>1573</v>
      </c>
      <c r="E95" s="539" t="s">
        <v>1625</v>
      </c>
      <c r="F95" s="636" t="s">
        <v>1575</v>
      </c>
      <c r="G95" s="636" t="s">
        <v>1576</v>
      </c>
      <c r="H95" s="637">
        <v>46021</v>
      </c>
      <c r="I95" s="637">
        <v>47847</v>
      </c>
      <c r="J95" s="638" t="s">
        <v>2402</v>
      </c>
      <c r="K95" s="639">
        <v>4.5014022539247085</v>
      </c>
      <c r="L95" s="637" t="s">
        <v>1579</v>
      </c>
      <c r="M95" s="640">
        <v>157570328.33764544</v>
      </c>
    </row>
    <row r="96" spans="3:13">
      <c r="C96" s="635" t="s">
        <v>1623</v>
      </c>
      <c r="D96" s="539" t="s">
        <v>1573</v>
      </c>
      <c r="E96" s="539" t="s">
        <v>1625</v>
      </c>
      <c r="F96" s="636" t="s">
        <v>1575</v>
      </c>
      <c r="G96" s="636" t="s">
        <v>1576</v>
      </c>
      <c r="H96" s="637">
        <v>45806</v>
      </c>
      <c r="I96" s="637">
        <v>48472</v>
      </c>
      <c r="J96" s="638" t="s">
        <v>2403</v>
      </c>
      <c r="K96" s="639">
        <v>3.5355810695446861</v>
      </c>
      <c r="L96" s="637" t="s">
        <v>1582</v>
      </c>
      <c r="M96" s="640">
        <v>525687851.33938897</v>
      </c>
    </row>
    <row r="97" spans="3:13">
      <c r="C97" s="635" t="s">
        <v>1623</v>
      </c>
      <c r="D97" s="539" t="s">
        <v>1588</v>
      </c>
      <c r="E97" s="539" t="s">
        <v>1591</v>
      </c>
      <c r="F97" s="636" t="s">
        <v>1575</v>
      </c>
      <c r="G97" s="636" t="s">
        <v>1578</v>
      </c>
      <c r="H97" s="637">
        <v>44838</v>
      </c>
      <c r="I97" s="637">
        <v>46279</v>
      </c>
      <c r="J97" s="638" t="s">
        <v>2395</v>
      </c>
      <c r="K97" s="639">
        <v>0.25555555555555554</v>
      </c>
      <c r="L97" s="637" t="s">
        <v>1624</v>
      </c>
      <c r="M97" s="640">
        <v>50324852.923824579</v>
      </c>
    </row>
    <row r="98" spans="3:13">
      <c r="C98" s="635" t="s">
        <v>1623</v>
      </c>
      <c r="D98" s="539" t="s">
        <v>1107</v>
      </c>
      <c r="E98" s="539" t="s">
        <v>1107</v>
      </c>
      <c r="F98" s="636" t="s">
        <v>1575</v>
      </c>
      <c r="G98" s="636" t="s">
        <v>1578</v>
      </c>
      <c r="H98" s="637">
        <v>44862</v>
      </c>
      <c r="I98" s="637">
        <v>49232</v>
      </c>
      <c r="J98" s="638" t="s">
        <v>2404</v>
      </c>
      <c r="K98" s="639">
        <v>5.493851854030658</v>
      </c>
      <c r="L98" s="637" t="s">
        <v>1582</v>
      </c>
      <c r="M98" s="640">
        <v>88679099.161209479</v>
      </c>
    </row>
    <row r="99" spans="3:13">
      <c r="C99" s="635" t="s">
        <v>1623</v>
      </c>
      <c r="D99" s="539" t="s">
        <v>1107</v>
      </c>
      <c r="E99" s="539" t="s">
        <v>1107</v>
      </c>
      <c r="F99" s="636" t="s">
        <v>1575</v>
      </c>
      <c r="G99" s="636" t="s">
        <v>1578</v>
      </c>
      <c r="H99" s="637">
        <v>45909</v>
      </c>
      <c r="I99" s="637">
        <v>50267</v>
      </c>
      <c r="J99" s="638" t="s">
        <v>2097</v>
      </c>
      <c r="K99" s="639">
        <v>9.3263739506325187</v>
      </c>
      <c r="L99" s="637" t="s">
        <v>1582</v>
      </c>
      <c r="M99" s="640">
        <v>244232342.36304933</v>
      </c>
    </row>
    <row r="100" spans="3:13">
      <c r="C100" s="635" t="s">
        <v>1623</v>
      </c>
      <c r="D100" s="539" t="s">
        <v>1592</v>
      </c>
      <c r="E100" s="539" t="s">
        <v>1584</v>
      </c>
      <c r="F100" s="636" t="s">
        <v>1585</v>
      </c>
      <c r="G100" s="636" t="s">
        <v>1578</v>
      </c>
      <c r="H100" s="637">
        <v>43822</v>
      </c>
      <c r="I100" s="637">
        <v>51058</v>
      </c>
      <c r="J100" s="638" t="s">
        <v>447</v>
      </c>
      <c r="K100" s="639">
        <v>7.1042581503654425</v>
      </c>
      <c r="L100" s="637" t="s">
        <v>1586</v>
      </c>
      <c r="M100" s="640">
        <v>-60367.238620689677</v>
      </c>
    </row>
    <row r="101" spans="3:13">
      <c r="C101" s="635" t="s">
        <v>1623</v>
      </c>
      <c r="D101" s="539" t="s">
        <v>1592</v>
      </c>
      <c r="E101" s="539" t="s">
        <v>1584</v>
      </c>
      <c r="F101" s="636" t="s">
        <v>1585</v>
      </c>
      <c r="G101" s="636" t="s">
        <v>1578</v>
      </c>
      <c r="H101" s="637" t="s">
        <v>2092</v>
      </c>
      <c r="I101" s="637" t="s">
        <v>2093</v>
      </c>
      <c r="J101" s="638" t="s">
        <v>447</v>
      </c>
      <c r="K101" s="639">
        <v>8.7529665587921848</v>
      </c>
      <c r="L101" s="637" t="s">
        <v>1586</v>
      </c>
      <c r="M101" s="640">
        <v>-241811.97641366709</v>
      </c>
    </row>
    <row r="102" spans="3:13">
      <c r="C102" s="635" t="s">
        <v>1623</v>
      </c>
      <c r="D102" s="539" t="s">
        <v>1583</v>
      </c>
      <c r="E102" s="539" t="s">
        <v>1584</v>
      </c>
      <c r="F102" s="636" t="s">
        <v>1585</v>
      </c>
      <c r="G102" s="636" t="s">
        <v>1578</v>
      </c>
      <c r="H102" s="637">
        <v>44862</v>
      </c>
      <c r="I102" s="637">
        <v>49232</v>
      </c>
      <c r="J102" s="638" t="s">
        <v>447</v>
      </c>
      <c r="K102" s="639">
        <v>4.2719444444442871</v>
      </c>
      <c r="L102" s="637" t="s">
        <v>1586</v>
      </c>
      <c r="M102" s="640">
        <v>-2690155.5694444412</v>
      </c>
    </row>
    <row r="103" spans="3:13">
      <c r="C103" s="635" t="s">
        <v>1623</v>
      </c>
      <c r="D103" s="539" t="s">
        <v>1583</v>
      </c>
      <c r="E103" s="539" t="s">
        <v>1584</v>
      </c>
      <c r="F103" s="636" t="s">
        <v>1585</v>
      </c>
      <c r="G103" s="636" t="s">
        <v>1578</v>
      </c>
      <c r="H103" s="637" t="s">
        <v>2090</v>
      </c>
      <c r="I103" s="637" t="s">
        <v>2091</v>
      </c>
      <c r="J103" s="638" t="s">
        <v>447</v>
      </c>
      <c r="K103" s="639">
        <v>5.7515432098764601</v>
      </c>
      <c r="L103" s="637" t="s">
        <v>1586</v>
      </c>
      <c r="M103" s="640">
        <v>-8159810.9279580871</v>
      </c>
    </row>
    <row r="104" spans="3:13">
      <c r="C104" s="635" t="s">
        <v>1623</v>
      </c>
      <c r="D104" s="539" t="s">
        <v>1592</v>
      </c>
      <c r="E104" s="539" t="s">
        <v>1584</v>
      </c>
      <c r="F104" s="636" t="s">
        <v>1585</v>
      </c>
      <c r="G104" s="636" t="s">
        <v>1578</v>
      </c>
      <c r="H104" s="637" t="s">
        <v>2094</v>
      </c>
      <c r="I104" s="637" t="s">
        <v>2095</v>
      </c>
      <c r="J104" s="638" t="s">
        <v>447</v>
      </c>
      <c r="K104" s="639">
        <v>3.2150000000001051</v>
      </c>
      <c r="L104" s="637" t="s">
        <v>1586</v>
      </c>
      <c r="M104" s="640">
        <v>-6750344.3548235316</v>
      </c>
    </row>
    <row r="105" spans="3:13">
      <c r="C105" s="635" t="s">
        <v>1623</v>
      </c>
      <c r="D105" s="539" t="s">
        <v>1592</v>
      </c>
      <c r="E105" s="539" t="s">
        <v>1584</v>
      </c>
      <c r="F105" s="636" t="s">
        <v>1585</v>
      </c>
      <c r="G105" s="636" t="s">
        <v>1578</v>
      </c>
      <c r="H105" s="637">
        <v>46021</v>
      </c>
      <c r="I105" s="637">
        <v>47847</v>
      </c>
      <c r="J105" s="638" t="s">
        <v>447</v>
      </c>
      <c r="K105" s="639">
        <v>2.3273662551440188</v>
      </c>
      <c r="L105" s="636" t="s">
        <v>1586</v>
      </c>
      <c r="M105" s="640">
        <v>-4805453.9013333339</v>
      </c>
    </row>
    <row r="106" spans="3:13">
      <c r="C106" s="635" t="s">
        <v>2516</v>
      </c>
      <c r="D106" s="539" t="s">
        <v>1107</v>
      </c>
      <c r="E106" s="539" t="s">
        <v>1107</v>
      </c>
      <c r="F106" s="636" t="s">
        <v>1575</v>
      </c>
      <c r="G106" s="636" t="s">
        <v>1578</v>
      </c>
      <c r="H106" s="637">
        <v>45737</v>
      </c>
      <c r="I106" s="637">
        <v>47557</v>
      </c>
      <c r="J106" s="642" t="s">
        <v>2405</v>
      </c>
      <c r="K106" s="639">
        <v>2.6904898488105675</v>
      </c>
      <c r="L106" s="637">
        <v>0</v>
      </c>
      <c r="M106" s="640">
        <v>1562328578.0035906</v>
      </c>
    </row>
    <row r="107" spans="3:13">
      <c r="C107" s="635" t="s">
        <v>2516</v>
      </c>
      <c r="D107" s="539" t="s">
        <v>1583</v>
      </c>
      <c r="E107" s="539" t="s">
        <v>1584</v>
      </c>
      <c r="F107" s="636" t="s">
        <v>1585</v>
      </c>
      <c r="G107" s="636" t="s">
        <v>1578</v>
      </c>
      <c r="H107" s="637">
        <v>45737</v>
      </c>
      <c r="I107" s="637">
        <v>47557</v>
      </c>
      <c r="J107" s="638" t="s">
        <v>447</v>
      </c>
      <c r="K107" s="639">
        <v>1.9469753086420396</v>
      </c>
      <c r="L107" s="637">
        <v>0</v>
      </c>
      <c r="M107" s="640">
        <v>-3636511.2839649152</v>
      </c>
    </row>
    <row r="108" spans="3:13">
      <c r="C108" s="635" t="s">
        <v>119</v>
      </c>
      <c r="D108" s="539" t="s">
        <v>1573</v>
      </c>
      <c r="E108" s="539" t="s">
        <v>1580</v>
      </c>
      <c r="F108" s="636" t="s">
        <v>1575</v>
      </c>
      <c r="G108" s="636" t="s">
        <v>1576</v>
      </c>
      <c r="H108" s="637">
        <v>45107</v>
      </c>
      <c r="I108" s="637">
        <v>46414</v>
      </c>
      <c r="J108" s="638" t="s">
        <v>2406</v>
      </c>
      <c r="K108" s="639">
        <v>0.59722222222222221</v>
      </c>
      <c r="L108" s="637" t="s">
        <v>1577</v>
      </c>
      <c r="M108" s="640">
        <v>558543600</v>
      </c>
    </row>
    <row r="109" spans="3:13">
      <c r="C109" s="635" t="s">
        <v>119</v>
      </c>
      <c r="D109" s="539" t="s">
        <v>1573</v>
      </c>
      <c r="E109" s="539" t="s">
        <v>1587</v>
      </c>
      <c r="F109" s="636" t="s">
        <v>1575</v>
      </c>
      <c r="G109" s="636" t="s">
        <v>1576</v>
      </c>
      <c r="H109" s="637">
        <v>45113</v>
      </c>
      <c r="I109" s="637">
        <v>46416</v>
      </c>
      <c r="J109" s="638" t="s">
        <v>2406</v>
      </c>
      <c r="K109" s="639">
        <v>0.5649027209916716</v>
      </c>
      <c r="L109" s="637" t="s">
        <v>1579</v>
      </c>
      <c r="M109" s="640">
        <v>264885733.28053293</v>
      </c>
    </row>
    <row r="110" spans="3:13">
      <c r="C110" s="635" t="s">
        <v>119</v>
      </c>
      <c r="D110" s="539" t="s">
        <v>1588</v>
      </c>
      <c r="E110" s="539" t="s">
        <v>1590</v>
      </c>
      <c r="F110" s="636" t="s">
        <v>1505</v>
      </c>
      <c r="G110" s="636" t="s">
        <v>1578</v>
      </c>
      <c r="H110" s="637">
        <v>45196</v>
      </c>
      <c r="I110" s="637">
        <v>50024</v>
      </c>
      <c r="J110" s="638" t="s">
        <v>2407</v>
      </c>
      <c r="K110" s="639">
        <v>5.3546867352909731</v>
      </c>
      <c r="L110" s="637" t="s">
        <v>1586</v>
      </c>
      <c r="M110" s="640">
        <v>184961161.2821784</v>
      </c>
    </row>
    <row r="111" spans="3:13">
      <c r="C111" s="635" t="s">
        <v>119</v>
      </c>
      <c r="D111" s="539" t="s">
        <v>1588</v>
      </c>
      <c r="E111" s="539" t="s">
        <v>1591</v>
      </c>
      <c r="F111" s="636" t="s">
        <v>1575</v>
      </c>
      <c r="G111" s="636" t="s">
        <v>1578</v>
      </c>
      <c r="H111" s="637">
        <v>45625</v>
      </c>
      <c r="I111" s="637">
        <v>46720</v>
      </c>
      <c r="J111" s="638" t="s">
        <v>2408</v>
      </c>
      <c r="K111" s="639">
        <v>1.4267829492777713</v>
      </c>
      <c r="L111" s="637" t="s">
        <v>1579</v>
      </c>
      <c r="M111" s="640">
        <v>404833757.4197405</v>
      </c>
    </row>
    <row r="112" spans="3:13">
      <c r="C112" s="635" t="s">
        <v>119</v>
      </c>
      <c r="D112" s="539" t="s">
        <v>1107</v>
      </c>
      <c r="E112" s="539" t="s">
        <v>1107</v>
      </c>
      <c r="F112" s="636" t="s">
        <v>1505</v>
      </c>
      <c r="G112" s="636" t="s">
        <v>1578</v>
      </c>
      <c r="H112" s="637">
        <v>44427</v>
      </c>
      <c r="I112" s="637">
        <v>47376</v>
      </c>
      <c r="J112" s="638" t="s">
        <v>2409</v>
      </c>
      <c r="K112" s="639">
        <v>2.5440000613445592</v>
      </c>
      <c r="L112" s="637" t="s">
        <v>1577</v>
      </c>
      <c r="M112" s="640">
        <v>400976513.32216722</v>
      </c>
    </row>
    <row r="113" spans="3:13">
      <c r="C113" s="635" t="s">
        <v>119</v>
      </c>
      <c r="D113" s="539" t="s">
        <v>1107</v>
      </c>
      <c r="E113" s="539" t="s">
        <v>1107</v>
      </c>
      <c r="F113" s="636" t="s">
        <v>1575</v>
      </c>
      <c r="G113" s="636" t="s">
        <v>1578</v>
      </c>
      <c r="H113" s="637">
        <v>44918</v>
      </c>
      <c r="I113" s="637">
        <v>47467</v>
      </c>
      <c r="J113" s="638" t="s">
        <v>2410</v>
      </c>
      <c r="K113" s="639">
        <v>3.5438727285713565</v>
      </c>
      <c r="L113" s="637" t="s">
        <v>1579</v>
      </c>
      <c r="M113" s="640">
        <v>233825957.95976636</v>
      </c>
    </row>
    <row r="114" spans="3:13">
      <c r="C114" s="635" t="s">
        <v>119</v>
      </c>
      <c r="D114" s="539" t="s">
        <v>1107</v>
      </c>
      <c r="E114" s="539" t="s">
        <v>1107</v>
      </c>
      <c r="F114" s="636" t="s">
        <v>1505</v>
      </c>
      <c r="G114" s="636" t="s">
        <v>1578</v>
      </c>
      <c r="H114" s="637">
        <v>45147</v>
      </c>
      <c r="I114" s="637">
        <v>47679</v>
      </c>
      <c r="J114" s="638" t="s">
        <v>2411</v>
      </c>
      <c r="K114" s="639">
        <v>3.4754104601672426</v>
      </c>
      <c r="L114" s="637" t="s">
        <v>1577</v>
      </c>
      <c r="M114" s="640">
        <v>212761561.80121261</v>
      </c>
    </row>
    <row r="115" spans="3:13">
      <c r="C115" s="635" t="s">
        <v>119</v>
      </c>
      <c r="D115" s="539" t="s">
        <v>1107</v>
      </c>
      <c r="E115" s="539" t="s">
        <v>1107</v>
      </c>
      <c r="F115" s="636" t="s">
        <v>1575</v>
      </c>
      <c r="G115" s="636" t="s">
        <v>1578</v>
      </c>
      <c r="H115" s="637">
        <v>45462</v>
      </c>
      <c r="I115" s="637">
        <v>49810</v>
      </c>
      <c r="J115" s="638" t="s">
        <v>2390</v>
      </c>
      <c r="K115" s="639">
        <v>8.4745296518066731</v>
      </c>
      <c r="L115" s="637" t="s">
        <v>1577</v>
      </c>
      <c r="M115" s="640">
        <v>251584099.15482682</v>
      </c>
    </row>
    <row r="116" spans="3:13">
      <c r="C116" s="635" t="s">
        <v>119</v>
      </c>
      <c r="D116" s="539" t="s">
        <v>1107</v>
      </c>
      <c r="E116" s="539" t="s">
        <v>1107</v>
      </c>
      <c r="F116" s="636" t="s">
        <v>1575</v>
      </c>
      <c r="G116" s="636" t="s">
        <v>1578</v>
      </c>
      <c r="H116" s="637">
        <v>45513</v>
      </c>
      <c r="I116" s="637">
        <v>47700</v>
      </c>
      <c r="J116" s="638" t="s">
        <v>2384</v>
      </c>
      <c r="K116" s="639">
        <v>3.0495338199991644</v>
      </c>
      <c r="L116" s="637" t="s">
        <v>1577</v>
      </c>
      <c r="M116" s="640">
        <v>529043230.28482109</v>
      </c>
    </row>
    <row r="117" spans="3:13">
      <c r="C117" s="635" t="s">
        <v>119</v>
      </c>
      <c r="D117" s="539" t="s">
        <v>1107</v>
      </c>
      <c r="E117" s="539" t="s">
        <v>1107</v>
      </c>
      <c r="F117" s="636" t="s">
        <v>1575</v>
      </c>
      <c r="G117" s="636" t="s">
        <v>1578</v>
      </c>
      <c r="H117" s="637">
        <v>45569</v>
      </c>
      <c r="I117" s="637">
        <v>49933</v>
      </c>
      <c r="J117" s="638" t="s">
        <v>2412</v>
      </c>
      <c r="K117" s="639">
        <v>8.6882875231401453</v>
      </c>
      <c r="L117" s="637" t="s">
        <v>1577</v>
      </c>
      <c r="M117" s="640">
        <v>434835742.00827563</v>
      </c>
    </row>
    <row r="118" spans="3:13">
      <c r="C118" s="635" t="s">
        <v>119</v>
      </c>
      <c r="D118" s="539" t="s">
        <v>1107</v>
      </c>
      <c r="E118" s="539" t="s">
        <v>1107</v>
      </c>
      <c r="F118" s="636" t="s">
        <v>1575</v>
      </c>
      <c r="G118" s="636" t="s">
        <v>1578</v>
      </c>
      <c r="H118" s="637">
        <v>45756</v>
      </c>
      <c r="I118" s="637">
        <v>47567</v>
      </c>
      <c r="J118" s="638" t="s">
        <v>2401</v>
      </c>
      <c r="K118" s="639">
        <v>3.6769675984972814</v>
      </c>
      <c r="L118" s="637" t="s">
        <v>1577</v>
      </c>
      <c r="M118" s="640">
        <v>311274990.68438983</v>
      </c>
    </row>
    <row r="119" spans="3:13">
      <c r="C119" s="635" t="s">
        <v>119</v>
      </c>
      <c r="D119" s="539" t="s">
        <v>1107</v>
      </c>
      <c r="E119" s="539" t="s">
        <v>1107</v>
      </c>
      <c r="F119" s="636" t="s">
        <v>1575</v>
      </c>
      <c r="G119" s="636" t="s">
        <v>1578</v>
      </c>
      <c r="H119" s="637">
        <v>45756</v>
      </c>
      <c r="I119" s="637">
        <v>47932</v>
      </c>
      <c r="J119" s="638" t="s">
        <v>2401</v>
      </c>
      <c r="K119" s="639">
        <v>3.6769675985216761</v>
      </c>
      <c r="L119" s="637" t="s">
        <v>1579</v>
      </c>
      <c r="M119" s="640">
        <v>415033320.18253982</v>
      </c>
    </row>
    <row r="120" spans="3:13">
      <c r="C120" s="635" t="s">
        <v>119</v>
      </c>
      <c r="D120" s="539" t="s">
        <v>1588</v>
      </c>
      <c r="E120" s="539" t="s">
        <v>1590</v>
      </c>
      <c r="F120" s="636" t="s">
        <v>1575</v>
      </c>
      <c r="G120" s="636" t="s">
        <v>1578</v>
      </c>
      <c r="H120" s="637">
        <v>45860</v>
      </c>
      <c r="I120" s="637">
        <v>52458</v>
      </c>
      <c r="J120" s="638" t="s">
        <v>2413</v>
      </c>
      <c r="K120" s="639">
        <v>8.7249300205992562</v>
      </c>
      <c r="L120" s="637" t="s">
        <v>1586</v>
      </c>
      <c r="M120" s="640">
        <v>417397896.26410007</v>
      </c>
    </row>
    <row r="121" spans="3:13">
      <c r="C121" s="635" t="s">
        <v>119</v>
      </c>
      <c r="D121" s="539" t="s">
        <v>1588</v>
      </c>
      <c r="E121" s="539" t="s">
        <v>1590</v>
      </c>
      <c r="F121" s="636" t="s">
        <v>1585</v>
      </c>
      <c r="G121" s="636" t="s">
        <v>1578</v>
      </c>
      <c r="H121" s="637">
        <v>45929</v>
      </c>
      <c r="I121" s="637">
        <v>47710</v>
      </c>
      <c r="J121" s="638">
        <v>2.35E-2</v>
      </c>
      <c r="K121" s="639">
        <v>2.23634373839751</v>
      </c>
      <c r="L121" s="637" t="s">
        <v>1586</v>
      </c>
      <c r="M121" s="640">
        <v>97077455.158896267</v>
      </c>
    </row>
    <row r="122" spans="3:13">
      <c r="C122" s="635" t="s">
        <v>119</v>
      </c>
      <c r="D122" s="539" t="s">
        <v>1588</v>
      </c>
      <c r="E122" s="539" t="s">
        <v>1590</v>
      </c>
      <c r="F122" s="636" t="s">
        <v>1585</v>
      </c>
      <c r="G122" s="636" t="s">
        <v>1578</v>
      </c>
      <c r="H122" s="637">
        <v>45944</v>
      </c>
      <c r="I122" s="637">
        <v>47802</v>
      </c>
      <c r="J122" s="638">
        <v>2.35E-2</v>
      </c>
      <c r="K122" s="639">
        <v>2.4484574578231939</v>
      </c>
      <c r="L122" s="637" t="s">
        <v>1586</v>
      </c>
      <c r="M122" s="640">
        <v>49879659.579352789</v>
      </c>
    </row>
    <row r="123" spans="3:13">
      <c r="C123" s="635" t="s">
        <v>119</v>
      </c>
      <c r="D123" s="539" t="s">
        <v>1588</v>
      </c>
      <c r="E123" s="539" t="s">
        <v>1590</v>
      </c>
      <c r="F123" s="636" t="s">
        <v>1585</v>
      </c>
      <c r="G123" s="636" t="s">
        <v>1578</v>
      </c>
      <c r="H123" s="637">
        <v>46008</v>
      </c>
      <c r="I123" s="637">
        <v>47863</v>
      </c>
      <c r="J123" s="638">
        <v>2.35E-2</v>
      </c>
      <c r="K123" s="639">
        <v>2.6572736952694567</v>
      </c>
      <c r="L123" s="637" t="s">
        <v>1586</v>
      </c>
      <c r="M123" s="640">
        <v>60375091.419824407</v>
      </c>
    </row>
    <row r="124" spans="3:13">
      <c r="C124" s="635" t="s">
        <v>119</v>
      </c>
      <c r="D124" s="539" t="s">
        <v>1588</v>
      </c>
      <c r="E124" s="539" t="s">
        <v>1590</v>
      </c>
      <c r="F124" s="636" t="s">
        <v>1585</v>
      </c>
      <c r="G124" s="636" t="s">
        <v>1578</v>
      </c>
      <c r="H124" s="637">
        <v>46021</v>
      </c>
      <c r="I124" s="637">
        <v>47863</v>
      </c>
      <c r="J124" s="638">
        <v>2.35E-2</v>
      </c>
      <c r="K124" s="639">
        <v>2.657273694969283</v>
      </c>
      <c r="L124" s="637" t="s">
        <v>1586</v>
      </c>
      <c r="M124" s="640">
        <v>86782575.732525527</v>
      </c>
    </row>
    <row r="125" spans="3:13">
      <c r="C125" s="635" t="s">
        <v>119</v>
      </c>
      <c r="D125" s="539" t="s">
        <v>1588</v>
      </c>
      <c r="E125" s="539" t="s">
        <v>1590</v>
      </c>
      <c r="F125" s="636" t="s">
        <v>1585</v>
      </c>
      <c r="G125" s="636" t="s">
        <v>1578</v>
      </c>
      <c r="H125" s="637">
        <v>46021</v>
      </c>
      <c r="I125" s="637">
        <v>47863</v>
      </c>
      <c r="J125" s="638">
        <v>2.35E-2</v>
      </c>
      <c r="K125" s="639">
        <v>2.6572736979843588</v>
      </c>
      <c r="L125" s="637" t="s">
        <v>1586</v>
      </c>
      <c r="M125" s="640">
        <v>8217411.1293626931</v>
      </c>
    </row>
    <row r="126" spans="3:13">
      <c r="C126" s="635" t="s">
        <v>119</v>
      </c>
      <c r="D126" s="539" t="s">
        <v>1107</v>
      </c>
      <c r="E126" s="539" t="s">
        <v>1107</v>
      </c>
      <c r="F126" s="636" t="s">
        <v>1575</v>
      </c>
      <c r="G126" s="636" t="s">
        <v>1578</v>
      </c>
      <c r="H126" s="637">
        <v>45839</v>
      </c>
      <c r="I126" s="637">
        <v>50206</v>
      </c>
      <c r="J126" s="638" t="s">
        <v>2414</v>
      </c>
      <c r="K126" s="639">
        <v>9.5852371283631026</v>
      </c>
      <c r="L126" s="637" t="s">
        <v>1577</v>
      </c>
      <c r="M126" s="640">
        <v>306098997.42010868</v>
      </c>
    </row>
    <row r="127" spans="3:13">
      <c r="C127" s="635" t="s">
        <v>119</v>
      </c>
      <c r="D127" s="539" t="s">
        <v>1107</v>
      </c>
      <c r="E127" s="539" t="s">
        <v>1107</v>
      </c>
      <c r="F127" s="636" t="s">
        <v>1575</v>
      </c>
      <c r="G127" s="636" t="s">
        <v>1578</v>
      </c>
      <c r="H127" s="637">
        <v>45960</v>
      </c>
      <c r="I127" s="637">
        <v>48502</v>
      </c>
      <c r="J127" s="638" t="s">
        <v>2379</v>
      </c>
      <c r="K127" s="639">
        <v>4.7791013837772578</v>
      </c>
      <c r="L127" s="637" t="s">
        <v>1577</v>
      </c>
      <c r="M127" s="640">
        <v>2778209886.1144619</v>
      </c>
    </row>
    <row r="128" spans="3:13">
      <c r="C128" s="635" t="s">
        <v>119</v>
      </c>
      <c r="D128" s="539" t="s">
        <v>1107</v>
      </c>
      <c r="E128" s="539" t="s">
        <v>1107</v>
      </c>
      <c r="F128" s="636" t="s">
        <v>1575</v>
      </c>
      <c r="G128" s="636" t="s">
        <v>1578</v>
      </c>
      <c r="H128" s="637">
        <v>46142</v>
      </c>
      <c r="I128" s="637">
        <v>48684</v>
      </c>
      <c r="J128" s="638" t="s">
        <v>2517</v>
      </c>
      <c r="K128" s="639">
        <v>5.791527514458398</v>
      </c>
      <c r="L128" s="637">
        <v>0</v>
      </c>
      <c r="M128" s="640">
        <v>767476272.46394765</v>
      </c>
    </row>
    <row r="129" spans="3:13">
      <c r="C129" s="635" t="s">
        <v>119</v>
      </c>
      <c r="D129" s="539" t="s">
        <v>1573</v>
      </c>
      <c r="E129" s="539" t="s">
        <v>1574</v>
      </c>
      <c r="F129" s="636" t="s">
        <v>1575</v>
      </c>
      <c r="G129" s="636" t="s">
        <v>1576</v>
      </c>
      <c r="H129" s="637">
        <v>46141</v>
      </c>
      <c r="I129" s="637">
        <v>47235</v>
      </c>
      <c r="J129" s="638" t="s">
        <v>2518</v>
      </c>
      <c r="K129" s="639">
        <v>2.8544913025240222</v>
      </c>
      <c r="L129" s="637">
        <v>0</v>
      </c>
      <c r="M129" s="640">
        <v>521390940.4200002</v>
      </c>
    </row>
    <row r="130" spans="3:13">
      <c r="C130" s="635" t="s">
        <v>119</v>
      </c>
      <c r="D130" s="539" t="s">
        <v>1583</v>
      </c>
      <c r="E130" s="539" t="s">
        <v>1584</v>
      </c>
      <c r="F130" s="636" t="s">
        <v>1585</v>
      </c>
      <c r="G130" s="636" t="s">
        <v>1578</v>
      </c>
      <c r="H130" s="637">
        <v>44918</v>
      </c>
      <c r="I130" s="637">
        <v>47467</v>
      </c>
      <c r="J130" s="638" t="s">
        <v>447</v>
      </c>
      <c r="K130" s="639">
        <v>1.8201719576719066</v>
      </c>
      <c r="L130" s="637" t="s">
        <v>1586</v>
      </c>
      <c r="M130" s="640">
        <v>-210599.93571428565</v>
      </c>
    </row>
    <row r="131" spans="3:13">
      <c r="C131" s="635" t="s">
        <v>119</v>
      </c>
      <c r="D131" s="539" t="s">
        <v>1583</v>
      </c>
      <c r="E131" s="539" t="s">
        <v>1584</v>
      </c>
      <c r="F131" s="636" t="s">
        <v>1585</v>
      </c>
      <c r="G131" s="636" t="s">
        <v>1578</v>
      </c>
      <c r="H131" s="637">
        <v>45291</v>
      </c>
      <c r="I131" s="637">
        <v>47679</v>
      </c>
      <c r="J131" s="638" t="s">
        <v>447</v>
      </c>
      <c r="K131" s="639">
        <v>2.1159297052153003</v>
      </c>
      <c r="L131" s="637" t="s">
        <v>1586</v>
      </c>
      <c r="M131" s="640">
        <v>-3950201.4128844556</v>
      </c>
    </row>
    <row r="132" spans="3:13">
      <c r="C132" s="635" t="s">
        <v>119</v>
      </c>
      <c r="D132" s="539" t="s">
        <v>1583</v>
      </c>
      <c r="E132" s="539" t="s">
        <v>1584</v>
      </c>
      <c r="F132" s="636" t="s">
        <v>1585</v>
      </c>
      <c r="G132" s="636" t="s">
        <v>1578</v>
      </c>
      <c r="H132" s="637">
        <v>45462</v>
      </c>
      <c r="I132" s="637">
        <v>49810</v>
      </c>
      <c r="J132" s="638" t="s">
        <v>447</v>
      </c>
      <c r="K132" s="639">
        <v>5.0750700280113552</v>
      </c>
      <c r="L132" s="637" t="s">
        <v>1586</v>
      </c>
      <c r="M132" s="640">
        <v>-8142079.8738938803</v>
      </c>
    </row>
    <row r="133" spans="3:13">
      <c r="C133" s="635" t="s">
        <v>119</v>
      </c>
      <c r="D133" s="539" t="s">
        <v>1583</v>
      </c>
      <c r="E133" s="539" t="s">
        <v>1584</v>
      </c>
      <c r="F133" s="636" t="s">
        <v>1585</v>
      </c>
      <c r="G133" s="636" t="s">
        <v>1578</v>
      </c>
      <c r="H133" s="637">
        <v>45513</v>
      </c>
      <c r="I133" s="637">
        <v>47700</v>
      </c>
      <c r="J133" s="638" t="s">
        <v>447</v>
      </c>
      <c r="K133" s="639">
        <v>2.1582222222221996</v>
      </c>
      <c r="L133" s="637" t="s">
        <v>1586</v>
      </c>
      <c r="M133" s="640">
        <v>-1331641.9348095073</v>
      </c>
    </row>
    <row r="134" spans="3:13">
      <c r="C134" s="635" t="s">
        <v>119</v>
      </c>
      <c r="D134" s="539" t="s">
        <v>1583</v>
      </c>
      <c r="E134" s="539" t="s">
        <v>1584</v>
      </c>
      <c r="F134" s="636" t="s">
        <v>1585</v>
      </c>
      <c r="G134" s="636" t="s">
        <v>1578</v>
      </c>
      <c r="H134" s="637">
        <v>45550</v>
      </c>
      <c r="I134" s="637">
        <v>49933</v>
      </c>
      <c r="J134" s="638" t="s">
        <v>447</v>
      </c>
      <c r="K134" s="639">
        <v>5.2441960252931592</v>
      </c>
      <c r="L134" s="637" t="s">
        <v>1586</v>
      </c>
      <c r="M134" s="640">
        <v>-16324431.681995343</v>
      </c>
    </row>
    <row r="135" spans="3:13">
      <c r="C135" s="635" t="s">
        <v>119</v>
      </c>
      <c r="D135" s="539" t="s">
        <v>1592</v>
      </c>
      <c r="E135" s="539" t="s">
        <v>1584</v>
      </c>
      <c r="F135" s="636" t="s">
        <v>1585</v>
      </c>
      <c r="G135" s="636" t="s">
        <v>1578</v>
      </c>
      <c r="H135" s="637">
        <v>45196</v>
      </c>
      <c r="I135" s="637">
        <v>50024</v>
      </c>
      <c r="J135" s="638" t="s">
        <v>447</v>
      </c>
      <c r="K135" s="639">
        <v>5.3710758377421772</v>
      </c>
      <c r="L135" s="637" t="s">
        <v>1586</v>
      </c>
      <c r="M135" s="640">
        <v>-3784675.2334133191</v>
      </c>
    </row>
    <row r="136" spans="3:13">
      <c r="C136" s="635" t="s">
        <v>119</v>
      </c>
      <c r="D136" s="539" t="s">
        <v>1583</v>
      </c>
      <c r="E136" s="539" t="s">
        <v>1584</v>
      </c>
      <c r="F136" s="636" t="s">
        <v>1585</v>
      </c>
      <c r="G136" s="636" t="s">
        <v>1578</v>
      </c>
      <c r="H136" s="637">
        <v>45756</v>
      </c>
      <c r="I136" s="637">
        <v>47932</v>
      </c>
      <c r="J136" s="638" t="s">
        <v>447</v>
      </c>
      <c r="K136" s="639">
        <v>2.4541423001947704</v>
      </c>
      <c r="L136" s="637" t="s">
        <v>1586</v>
      </c>
      <c r="M136" s="640">
        <v>-1839108.109130434</v>
      </c>
    </row>
    <row r="137" spans="3:13">
      <c r="C137" s="635" t="s">
        <v>119</v>
      </c>
      <c r="D137" s="539" t="s">
        <v>1592</v>
      </c>
      <c r="E137" s="539" t="s">
        <v>1584</v>
      </c>
      <c r="F137" s="636" t="s">
        <v>1585</v>
      </c>
      <c r="G137" s="636" t="s">
        <v>1578</v>
      </c>
      <c r="H137" s="637">
        <v>45860</v>
      </c>
      <c r="I137" s="637">
        <v>52458</v>
      </c>
      <c r="J137" s="638" t="s">
        <v>447</v>
      </c>
      <c r="K137" s="639">
        <v>8.7529665587922256</v>
      </c>
      <c r="L137" s="637" t="s">
        <v>1586</v>
      </c>
      <c r="M137" s="640">
        <v>-4082027.6371889403</v>
      </c>
    </row>
    <row r="138" spans="3:13">
      <c r="C138" s="635" t="s">
        <v>119</v>
      </c>
      <c r="D138" s="539" t="s">
        <v>1583</v>
      </c>
      <c r="E138" s="539" t="s">
        <v>1584</v>
      </c>
      <c r="F138" s="636" t="s">
        <v>1585</v>
      </c>
      <c r="G138" s="636" t="s">
        <v>1578</v>
      </c>
      <c r="H138" s="637">
        <v>45839</v>
      </c>
      <c r="I138" s="637">
        <v>50206</v>
      </c>
      <c r="J138" s="638" t="s">
        <v>447</v>
      </c>
      <c r="K138" s="639">
        <v>5.6247053872055197</v>
      </c>
      <c r="L138" s="637" t="s">
        <v>1586</v>
      </c>
      <c r="M138" s="640">
        <v>-7522082.0885736272</v>
      </c>
    </row>
    <row r="139" spans="3:13">
      <c r="C139" s="635" t="s">
        <v>119</v>
      </c>
      <c r="D139" s="539" t="s">
        <v>1592</v>
      </c>
      <c r="E139" s="539" t="s">
        <v>1584</v>
      </c>
      <c r="F139" s="636" t="s">
        <v>1585</v>
      </c>
      <c r="G139" s="636" t="s">
        <v>1578</v>
      </c>
      <c r="H139" s="637">
        <v>45929</v>
      </c>
      <c r="I139" s="637">
        <v>47710</v>
      </c>
      <c r="J139" s="638" t="s">
        <v>447</v>
      </c>
      <c r="K139" s="639">
        <v>2.0736689814814073</v>
      </c>
      <c r="L139" s="637" t="s">
        <v>1586</v>
      </c>
      <c r="M139" s="640">
        <v>-4741.1889473683987</v>
      </c>
    </row>
    <row r="140" spans="3:13">
      <c r="C140" s="635" t="s">
        <v>119</v>
      </c>
      <c r="D140" s="539" t="s">
        <v>1583</v>
      </c>
      <c r="E140" s="539" t="s">
        <v>1584</v>
      </c>
      <c r="F140" s="636" t="s">
        <v>1585</v>
      </c>
      <c r="G140" s="636" t="s">
        <v>1578</v>
      </c>
      <c r="H140" s="637">
        <v>45960</v>
      </c>
      <c r="I140" s="637">
        <v>48502</v>
      </c>
      <c r="J140" s="638" t="s">
        <v>447</v>
      </c>
      <c r="K140" s="639">
        <v>3.2573099415205031</v>
      </c>
      <c r="L140" s="637" t="s">
        <v>1586</v>
      </c>
      <c r="M140" s="640">
        <v>-5916445.6346225329</v>
      </c>
    </row>
    <row r="141" spans="3:13">
      <c r="C141" s="635" t="s">
        <v>1637</v>
      </c>
      <c r="D141" s="539" t="s">
        <v>1573</v>
      </c>
      <c r="E141" s="539" t="s">
        <v>1636</v>
      </c>
      <c r="F141" s="636" t="s">
        <v>1575</v>
      </c>
      <c r="G141" s="636" t="s">
        <v>1576</v>
      </c>
      <c r="H141" s="637">
        <v>44558</v>
      </c>
      <c r="I141" s="637">
        <v>46384</v>
      </c>
      <c r="J141" s="638" t="s">
        <v>2415</v>
      </c>
      <c r="K141" s="639">
        <v>0.51111111111111107</v>
      </c>
      <c r="L141" s="637" t="s">
        <v>1577</v>
      </c>
      <c r="M141" s="640">
        <v>9039721.2540126294</v>
      </c>
    </row>
    <row r="142" spans="3:13">
      <c r="C142" s="635" t="s">
        <v>1637</v>
      </c>
      <c r="D142" s="539" t="s">
        <v>1592</v>
      </c>
      <c r="E142" s="539" t="s">
        <v>1584</v>
      </c>
      <c r="F142" s="636" t="s">
        <v>1585</v>
      </c>
      <c r="G142" s="636" t="s">
        <v>1578</v>
      </c>
      <c r="H142" s="637">
        <v>45107</v>
      </c>
      <c r="I142" s="637">
        <v>46384</v>
      </c>
      <c r="J142" s="638" t="s">
        <v>447</v>
      </c>
      <c r="K142" s="639">
        <v>0.2986111111110909</v>
      </c>
      <c r="L142" s="637" t="s">
        <v>1586</v>
      </c>
      <c r="M142" s="640">
        <v>-4426.0200000000023</v>
      </c>
    </row>
    <row r="143" spans="3:13">
      <c r="C143" s="635" t="s">
        <v>1527</v>
      </c>
      <c r="D143" s="539" t="s">
        <v>1573</v>
      </c>
      <c r="E143" s="539" t="s">
        <v>1636</v>
      </c>
      <c r="F143" s="636" t="s">
        <v>1575</v>
      </c>
      <c r="G143" s="636" t="s">
        <v>1576</v>
      </c>
      <c r="H143" s="637">
        <v>45460</v>
      </c>
      <c r="I143" s="637">
        <v>46555</v>
      </c>
      <c r="J143" s="638" t="s">
        <v>2416</v>
      </c>
      <c r="K143" s="639">
        <v>1.001620055092826</v>
      </c>
      <c r="L143" s="637" t="s">
        <v>1577</v>
      </c>
      <c r="M143" s="640">
        <v>25566060.299267992</v>
      </c>
    </row>
    <row r="144" spans="3:13">
      <c r="C144" s="635" t="s">
        <v>1527</v>
      </c>
      <c r="D144" s="539" t="s">
        <v>1592</v>
      </c>
      <c r="E144" s="539" t="s">
        <v>1584</v>
      </c>
      <c r="F144" s="636" t="s">
        <v>1585</v>
      </c>
      <c r="G144" s="636" t="s">
        <v>1578</v>
      </c>
      <c r="H144" s="637">
        <v>45460</v>
      </c>
      <c r="I144" s="637">
        <v>46555</v>
      </c>
      <c r="J144" s="638" t="s">
        <v>447</v>
      </c>
      <c r="K144" s="639">
        <v>0.55115740740742092</v>
      </c>
      <c r="L144" s="637" t="s">
        <v>1586</v>
      </c>
      <c r="M144" s="640">
        <v>-281339.51999999996</v>
      </c>
    </row>
    <row r="145" spans="3:13">
      <c r="C145" s="635" t="s">
        <v>1019</v>
      </c>
      <c r="D145" s="539" t="s">
        <v>1588</v>
      </c>
      <c r="E145" s="539" t="s">
        <v>1593</v>
      </c>
      <c r="F145" s="636" t="s">
        <v>1505</v>
      </c>
      <c r="G145" s="636" t="s">
        <v>1578</v>
      </c>
      <c r="H145" s="637">
        <v>44924</v>
      </c>
      <c r="I145" s="637">
        <v>54072</v>
      </c>
      <c r="J145" s="638" t="s">
        <v>2417</v>
      </c>
      <c r="K145" s="639">
        <v>11.792526659233953</v>
      </c>
      <c r="L145" s="637" t="s">
        <v>1586</v>
      </c>
      <c r="M145" s="640">
        <v>29297096.259453084</v>
      </c>
    </row>
    <row r="146" spans="3:13">
      <c r="C146" s="635" t="s">
        <v>1019</v>
      </c>
      <c r="D146" s="539" t="s">
        <v>1588</v>
      </c>
      <c r="E146" s="539" t="s">
        <v>1593</v>
      </c>
      <c r="F146" s="636" t="s">
        <v>1505</v>
      </c>
      <c r="G146" s="636" t="s">
        <v>1578</v>
      </c>
      <c r="H146" s="637">
        <v>44924</v>
      </c>
      <c r="I146" s="637">
        <v>54072</v>
      </c>
      <c r="J146" s="638" t="s">
        <v>2418</v>
      </c>
      <c r="K146" s="639">
        <v>11.790368857627294</v>
      </c>
      <c r="L146" s="637" t="s">
        <v>1586</v>
      </c>
      <c r="M146" s="640">
        <v>106486964.57955198</v>
      </c>
    </row>
    <row r="147" spans="3:13">
      <c r="C147" s="635" t="s">
        <v>1019</v>
      </c>
      <c r="D147" s="539" t="s">
        <v>1107</v>
      </c>
      <c r="E147" s="539" t="s">
        <v>1107</v>
      </c>
      <c r="F147" s="636" t="s">
        <v>1505</v>
      </c>
      <c r="G147" s="636" t="s">
        <v>1578</v>
      </c>
      <c r="H147" s="637">
        <v>45240</v>
      </c>
      <c r="I147" s="637">
        <v>55807</v>
      </c>
      <c r="J147" s="638" t="s">
        <v>2419</v>
      </c>
      <c r="K147" s="639">
        <v>10.426795939207295</v>
      </c>
      <c r="L147" s="637" t="s">
        <v>1594</v>
      </c>
      <c r="M147" s="640">
        <v>1292872638.070349</v>
      </c>
    </row>
    <row r="148" spans="3:13">
      <c r="C148" s="635" t="s">
        <v>1019</v>
      </c>
      <c r="D148" s="539" t="s">
        <v>1583</v>
      </c>
      <c r="E148" s="539" t="s">
        <v>1584</v>
      </c>
      <c r="F148" s="636" t="s">
        <v>1585</v>
      </c>
      <c r="G148" s="636" t="s">
        <v>1578</v>
      </c>
      <c r="H148" s="637">
        <v>45240</v>
      </c>
      <c r="I148" s="637">
        <v>55807</v>
      </c>
      <c r="J148" s="638" t="s">
        <v>447</v>
      </c>
      <c r="K148" s="639">
        <v>12.515439623876732</v>
      </c>
      <c r="L148" s="637" t="s">
        <v>1586</v>
      </c>
      <c r="M148" s="640">
        <v>-5858584.7998117497</v>
      </c>
    </row>
    <row r="149" spans="3:13">
      <c r="C149" s="635" t="s">
        <v>1019</v>
      </c>
      <c r="D149" s="539" t="s">
        <v>1592</v>
      </c>
      <c r="E149" s="539" t="s">
        <v>1584</v>
      </c>
      <c r="F149" s="636" t="s">
        <v>1585</v>
      </c>
      <c r="G149" s="636" t="s">
        <v>1578</v>
      </c>
      <c r="H149" s="637">
        <v>44965</v>
      </c>
      <c r="I149" s="637">
        <v>54072</v>
      </c>
      <c r="J149" s="638" t="s">
        <v>447</v>
      </c>
      <c r="K149" s="639">
        <v>10.993502520542583</v>
      </c>
      <c r="L149" s="637" t="s">
        <v>1586</v>
      </c>
      <c r="M149" s="640">
        <v>-763458.24509782123</v>
      </c>
    </row>
    <row r="150" spans="3:13">
      <c r="C150" s="635" t="s">
        <v>2510</v>
      </c>
      <c r="D150" s="539" t="s">
        <v>1588</v>
      </c>
      <c r="E150" s="539" t="s">
        <v>1589</v>
      </c>
      <c r="F150" s="636" t="s">
        <v>1575</v>
      </c>
      <c r="G150" s="636" t="s">
        <v>1578</v>
      </c>
      <c r="H150" s="637">
        <v>46184</v>
      </c>
      <c r="I150" s="637">
        <v>46706</v>
      </c>
      <c r="J150" s="638" t="s">
        <v>2519</v>
      </c>
      <c r="K150" s="639">
        <v>1.4388888888888889</v>
      </c>
      <c r="L150" s="637" t="s">
        <v>1579</v>
      </c>
      <c r="M150" s="640">
        <v>5121384780.7773256</v>
      </c>
    </row>
    <row r="151" spans="3:13">
      <c r="C151" s="635" t="s">
        <v>2510</v>
      </c>
      <c r="D151" s="539" t="s">
        <v>2086</v>
      </c>
      <c r="E151" s="539" t="s">
        <v>1584</v>
      </c>
      <c r="F151" s="636" t="s">
        <v>1585</v>
      </c>
      <c r="G151" s="636" t="s">
        <v>1578</v>
      </c>
      <c r="H151" s="637">
        <v>46184</v>
      </c>
      <c r="I151" s="637">
        <v>46706</v>
      </c>
      <c r="J151" s="638" t="s">
        <v>447</v>
      </c>
      <c r="K151" s="639">
        <v>1.4388888888888889</v>
      </c>
      <c r="L151" s="637" t="s">
        <v>1579</v>
      </c>
      <c r="M151" s="640">
        <v>-27184841.893333331</v>
      </c>
    </row>
    <row r="152" spans="3:13">
      <c r="C152" s="635" t="s">
        <v>122</v>
      </c>
      <c r="D152" s="539" t="s">
        <v>1573</v>
      </c>
      <c r="E152" s="539" t="s">
        <v>1574</v>
      </c>
      <c r="F152" s="636" t="s">
        <v>1575</v>
      </c>
      <c r="G152" s="636" t="s">
        <v>1576</v>
      </c>
      <c r="H152" s="637">
        <v>44559</v>
      </c>
      <c r="I152" s="637">
        <v>46385</v>
      </c>
      <c r="J152" s="638" t="s">
        <v>2406</v>
      </c>
      <c r="K152" s="639">
        <v>0.51111111111111107</v>
      </c>
      <c r="L152" s="637" t="s">
        <v>1577</v>
      </c>
      <c r="M152" s="640">
        <v>113442314.85074027</v>
      </c>
    </row>
    <row r="153" spans="3:13">
      <c r="C153" s="635" t="s">
        <v>122</v>
      </c>
      <c r="D153" s="539" t="s">
        <v>1107</v>
      </c>
      <c r="E153" s="539" t="s">
        <v>1107</v>
      </c>
      <c r="F153" s="636" t="s">
        <v>1505</v>
      </c>
      <c r="G153" s="636" t="s">
        <v>1578</v>
      </c>
      <c r="H153" s="637">
        <v>45145</v>
      </c>
      <c r="I153" s="637">
        <v>47679</v>
      </c>
      <c r="J153" s="638" t="s">
        <v>2411</v>
      </c>
      <c r="K153" s="639">
        <v>3.4753611670601456</v>
      </c>
      <c r="L153" s="637" t="s">
        <v>1577</v>
      </c>
      <c r="M153" s="640">
        <v>230518010.04537702</v>
      </c>
    </row>
    <row r="154" spans="3:13">
      <c r="C154" s="635" t="s">
        <v>122</v>
      </c>
      <c r="D154" s="539" t="s">
        <v>1107</v>
      </c>
      <c r="E154" s="539" t="s">
        <v>1107</v>
      </c>
      <c r="F154" s="636" t="s">
        <v>1505</v>
      </c>
      <c r="G154" s="636" t="s">
        <v>1578</v>
      </c>
      <c r="H154" s="637">
        <v>45288</v>
      </c>
      <c r="I154" s="637">
        <v>48928</v>
      </c>
      <c r="J154" s="638" t="s">
        <v>2420</v>
      </c>
      <c r="K154" s="639">
        <v>6.4613359678722997</v>
      </c>
      <c r="L154" s="637" t="s">
        <v>1577</v>
      </c>
      <c r="M154" s="640">
        <v>227631206.34589466</v>
      </c>
    </row>
    <row r="155" spans="3:13">
      <c r="C155" s="635" t="s">
        <v>122</v>
      </c>
      <c r="D155" s="539" t="s">
        <v>1107</v>
      </c>
      <c r="E155" s="539" t="s">
        <v>1107</v>
      </c>
      <c r="F155" s="636" t="s">
        <v>1575</v>
      </c>
      <c r="G155" s="636" t="s">
        <v>1578</v>
      </c>
      <c r="H155" s="637">
        <v>45453</v>
      </c>
      <c r="I155" s="637">
        <v>47252</v>
      </c>
      <c r="J155" s="638" t="s">
        <v>2421</v>
      </c>
      <c r="K155" s="639">
        <v>2.4169144499912161</v>
      </c>
      <c r="L155" s="637" t="s">
        <v>1577</v>
      </c>
      <c r="M155" s="640">
        <v>275049463.09436774</v>
      </c>
    </row>
    <row r="156" spans="3:13">
      <c r="C156" s="635" t="s">
        <v>122</v>
      </c>
      <c r="D156" s="539" t="s">
        <v>1107</v>
      </c>
      <c r="E156" s="539" t="s">
        <v>1107</v>
      </c>
      <c r="F156" s="636" t="s">
        <v>1575</v>
      </c>
      <c r="G156" s="636" t="s">
        <v>1578</v>
      </c>
      <c r="H156" s="637">
        <v>45546</v>
      </c>
      <c r="I156" s="637">
        <v>47370</v>
      </c>
      <c r="J156" s="638" t="s">
        <v>2421</v>
      </c>
      <c r="K156" s="639">
        <v>2.681245999514168</v>
      </c>
      <c r="L156" s="637" t="s">
        <v>1577</v>
      </c>
      <c r="M156" s="640">
        <v>287675825.13497382</v>
      </c>
    </row>
    <row r="157" spans="3:13">
      <c r="C157" s="635" t="s">
        <v>122</v>
      </c>
      <c r="D157" s="539" t="s">
        <v>1107</v>
      </c>
      <c r="E157" s="539" t="s">
        <v>1107</v>
      </c>
      <c r="F157" s="636" t="s">
        <v>1575</v>
      </c>
      <c r="G157" s="636" t="s">
        <v>1578</v>
      </c>
      <c r="H157" s="637">
        <v>45646</v>
      </c>
      <c r="I157" s="637">
        <v>50024</v>
      </c>
      <c r="J157" s="638" t="s">
        <v>2422</v>
      </c>
      <c r="K157" s="639">
        <v>8.9828255876996792</v>
      </c>
      <c r="L157" s="637" t="s">
        <v>1577</v>
      </c>
      <c r="M157" s="640">
        <v>259368630.57260028</v>
      </c>
    </row>
    <row r="158" spans="3:13">
      <c r="C158" s="635" t="s">
        <v>122</v>
      </c>
      <c r="D158" s="539" t="s">
        <v>1107</v>
      </c>
      <c r="E158" s="539" t="s">
        <v>1107</v>
      </c>
      <c r="F158" s="636" t="s">
        <v>1575</v>
      </c>
      <c r="G158" s="636" t="s">
        <v>1578</v>
      </c>
      <c r="H158" s="637">
        <v>45849</v>
      </c>
      <c r="I158" s="637">
        <v>46579</v>
      </c>
      <c r="J158" s="638" t="s">
        <v>2423</v>
      </c>
      <c r="K158" s="639">
        <v>1.0652424731558616</v>
      </c>
      <c r="L158" s="637" t="s">
        <v>1579</v>
      </c>
      <c r="M158" s="640">
        <v>566689974</v>
      </c>
    </row>
    <row r="159" spans="3:13">
      <c r="C159" s="635" t="s">
        <v>122</v>
      </c>
      <c r="D159" s="539" t="s">
        <v>1107</v>
      </c>
      <c r="E159" s="539" t="s">
        <v>1107</v>
      </c>
      <c r="F159" s="636" t="s">
        <v>1575</v>
      </c>
      <c r="G159" s="636" t="s">
        <v>1578</v>
      </c>
      <c r="H159" s="637">
        <v>45839</v>
      </c>
      <c r="I159" s="637">
        <v>50206</v>
      </c>
      <c r="J159" s="638" t="s">
        <v>2424</v>
      </c>
      <c r="K159" s="639">
        <v>9.5355092480128913</v>
      </c>
      <c r="L159" s="637" t="s">
        <v>1577</v>
      </c>
      <c r="M159" s="640">
        <v>149710898.92485005</v>
      </c>
    </row>
    <row r="160" spans="3:13">
      <c r="C160" s="635" t="s">
        <v>122</v>
      </c>
      <c r="D160" s="539" t="s">
        <v>1588</v>
      </c>
      <c r="E160" s="539" t="s">
        <v>1590</v>
      </c>
      <c r="F160" s="636" t="s">
        <v>1575</v>
      </c>
      <c r="G160" s="636" t="s">
        <v>1578</v>
      </c>
      <c r="H160" s="637">
        <v>45840</v>
      </c>
      <c r="I160" s="637">
        <v>52458</v>
      </c>
      <c r="J160" s="638" t="s">
        <v>2425</v>
      </c>
      <c r="K160" s="639">
        <v>8.7248928980515803</v>
      </c>
      <c r="L160" s="637" t="s">
        <v>1586</v>
      </c>
      <c r="M160" s="640">
        <v>207208020.93809333</v>
      </c>
    </row>
    <row r="161" spans="3:13">
      <c r="C161" s="635" t="s">
        <v>122</v>
      </c>
      <c r="D161" s="539" t="s">
        <v>1573</v>
      </c>
      <c r="E161" s="539" t="s">
        <v>1580</v>
      </c>
      <c r="F161" s="636" t="s">
        <v>1575</v>
      </c>
      <c r="G161" s="636" t="s">
        <v>1576</v>
      </c>
      <c r="H161" s="637">
        <v>45894</v>
      </c>
      <c r="I161" s="637">
        <v>46989</v>
      </c>
      <c r="J161" s="638" t="s">
        <v>2426</v>
      </c>
      <c r="K161" s="639">
        <v>2.1641168981726273</v>
      </c>
      <c r="L161" s="637">
        <v>0</v>
      </c>
      <c r="M161" s="640">
        <v>250007348.19590193</v>
      </c>
    </row>
    <row r="162" spans="3:13">
      <c r="C162" s="635" t="s">
        <v>122</v>
      </c>
      <c r="D162" s="539" t="s">
        <v>1107</v>
      </c>
      <c r="E162" s="539" t="s">
        <v>1107</v>
      </c>
      <c r="F162" s="636" t="s">
        <v>1575</v>
      </c>
      <c r="G162" s="636" t="s">
        <v>1578</v>
      </c>
      <c r="H162" s="637">
        <v>46141</v>
      </c>
      <c r="I162" s="637">
        <v>48319</v>
      </c>
      <c r="J162" s="638" t="s">
        <v>2474</v>
      </c>
      <c r="K162" s="639">
        <v>4.7961664274334499</v>
      </c>
      <c r="L162" s="637" t="s">
        <v>1577</v>
      </c>
      <c r="M162" s="640">
        <v>512070634.42163414</v>
      </c>
    </row>
    <row r="163" spans="3:13">
      <c r="C163" s="635" t="s">
        <v>122</v>
      </c>
      <c r="D163" s="539" t="s">
        <v>1583</v>
      </c>
      <c r="E163" s="539" t="s">
        <v>1584</v>
      </c>
      <c r="F163" s="636" t="s">
        <v>1585</v>
      </c>
      <c r="G163" s="636" t="s">
        <v>1578</v>
      </c>
      <c r="H163" s="637">
        <v>45291</v>
      </c>
      <c r="I163" s="637">
        <v>47679</v>
      </c>
      <c r="J163" s="638" t="s">
        <v>447</v>
      </c>
      <c r="K163" s="639">
        <v>2.1159297052153203</v>
      </c>
      <c r="L163" s="637" t="s">
        <v>1586</v>
      </c>
      <c r="M163" s="640">
        <v>-3708843.2517738361</v>
      </c>
    </row>
    <row r="164" spans="3:13">
      <c r="C164" s="635" t="s">
        <v>122</v>
      </c>
      <c r="D164" s="539" t="s">
        <v>1583</v>
      </c>
      <c r="E164" s="539" t="s">
        <v>1584</v>
      </c>
      <c r="F164" s="636" t="s">
        <v>1585</v>
      </c>
      <c r="G164" s="636" t="s">
        <v>1578</v>
      </c>
      <c r="H164" s="637">
        <v>45291</v>
      </c>
      <c r="I164" s="637">
        <v>48928</v>
      </c>
      <c r="J164" s="638" t="s">
        <v>447</v>
      </c>
      <c r="K164" s="639">
        <v>3.8492592592593105</v>
      </c>
      <c r="L164" s="637" t="s">
        <v>1586</v>
      </c>
      <c r="M164" s="640">
        <v>-5528680.6725715911</v>
      </c>
    </row>
    <row r="165" spans="3:13">
      <c r="C165" s="635" t="s">
        <v>122</v>
      </c>
      <c r="D165" s="539" t="s">
        <v>1583</v>
      </c>
      <c r="E165" s="539" t="s">
        <v>1584</v>
      </c>
      <c r="F165" s="636" t="s">
        <v>1585</v>
      </c>
      <c r="G165" s="636" t="s">
        <v>1578</v>
      </c>
      <c r="H165" s="637">
        <v>45453</v>
      </c>
      <c r="I165" s="637">
        <v>47252</v>
      </c>
      <c r="J165" s="638" t="s">
        <v>447</v>
      </c>
      <c r="K165" s="639">
        <v>1.5241269841270171</v>
      </c>
      <c r="L165" s="637" t="s">
        <v>1586</v>
      </c>
      <c r="M165" s="640">
        <v>-650678.70151011925</v>
      </c>
    </row>
    <row r="166" spans="3:13">
      <c r="C166" s="635" t="s">
        <v>122</v>
      </c>
      <c r="D166" s="539" t="s">
        <v>1583</v>
      </c>
      <c r="E166" s="539" t="s">
        <v>1584</v>
      </c>
      <c r="F166" s="636" t="s">
        <v>1585</v>
      </c>
      <c r="G166" s="636" t="s">
        <v>1578</v>
      </c>
      <c r="H166" s="637">
        <v>45546</v>
      </c>
      <c r="I166" s="637">
        <v>47370</v>
      </c>
      <c r="J166" s="638" t="s">
        <v>447</v>
      </c>
      <c r="K166" s="639">
        <v>1.6932336182336156</v>
      </c>
      <c r="L166" s="637" t="s">
        <v>1586</v>
      </c>
      <c r="M166" s="640">
        <v>-723996.10735087795</v>
      </c>
    </row>
    <row r="167" spans="3:13">
      <c r="C167" s="635" t="s">
        <v>122</v>
      </c>
      <c r="D167" s="539" t="s">
        <v>1583</v>
      </c>
      <c r="E167" s="539" t="s">
        <v>1584</v>
      </c>
      <c r="F167" s="636" t="s">
        <v>1585</v>
      </c>
      <c r="G167" s="636" t="s">
        <v>1578</v>
      </c>
      <c r="H167" s="637">
        <v>45646</v>
      </c>
      <c r="I167" s="637">
        <v>50024</v>
      </c>
      <c r="J167" s="638" t="s">
        <v>447</v>
      </c>
      <c r="K167" s="639">
        <v>5.3710758377421577</v>
      </c>
      <c r="L167" s="637" t="s">
        <v>1586</v>
      </c>
      <c r="M167" s="640">
        <v>-9608873.0364141855</v>
      </c>
    </row>
    <row r="168" spans="3:13">
      <c r="C168" s="635" t="s">
        <v>122</v>
      </c>
      <c r="D168" s="539" t="s">
        <v>1583</v>
      </c>
      <c r="E168" s="539" t="s">
        <v>1584</v>
      </c>
      <c r="F168" s="636" t="s">
        <v>1585</v>
      </c>
      <c r="G168" s="636" t="s">
        <v>1578</v>
      </c>
      <c r="H168" s="637">
        <v>45930</v>
      </c>
      <c r="I168" s="637">
        <v>46579</v>
      </c>
      <c r="J168" s="638" t="s">
        <v>447</v>
      </c>
      <c r="K168" s="639">
        <v>0.59337606837608392</v>
      </c>
      <c r="L168" s="637" t="s">
        <v>1586</v>
      </c>
      <c r="M168" s="640">
        <v>-234202.68745001586</v>
      </c>
    </row>
    <row r="169" spans="3:13">
      <c r="C169" s="635" t="s">
        <v>122</v>
      </c>
      <c r="D169" s="539" t="s">
        <v>1583</v>
      </c>
      <c r="E169" s="539" t="s">
        <v>1584</v>
      </c>
      <c r="F169" s="636" t="s">
        <v>1585</v>
      </c>
      <c r="G169" s="636" t="s">
        <v>1578</v>
      </c>
      <c r="H169" s="637">
        <v>45839</v>
      </c>
      <c r="I169" s="637">
        <v>50206</v>
      </c>
      <c r="J169" s="638" t="s">
        <v>447</v>
      </c>
      <c r="K169" s="639">
        <v>5.6247053872056005</v>
      </c>
      <c r="L169" s="637" t="s">
        <v>1586</v>
      </c>
      <c r="M169" s="640">
        <v>-3919003.4110494484</v>
      </c>
    </row>
    <row r="170" spans="3:13">
      <c r="C170" s="635" t="s">
        <v>122</v>
      </c>
      <c r="D170" s="539" t="s">
        <v>1592</v>
      </c>
      <c r="E170" s="539" t="s">
        <v>1584</v>
      </c>
      <c r="F170" s="636" t="s">
        <v>1585</v>
      </c>
      <c r="G170" s="636" t="s">
        <v>1578</v>
      </c>
      <c r="H170" s="637">
        <v>45839</v>
      </c>
      <c r="I170" s="637">
        <v>50206</v>
      </c>
      <c r="J170" s="638" t="s">
        <v>447</v>
      </c>
      <c r="K170" s="639">
        <v>8.752966558792286</v>
      </c>
      <c r="L170" s="637" t="s">
        <v>1586</v>
      </c>
      <c r="M170" s="640">
        <v>-1466044.4967831965</v>
      </c>
    </row>
    <row r="171" spans="3:13">
      <c r="C171" s="635" t="s">
        <v>2427</v>
      </c>
      <c r="D171" s="539" t="s">
        <v>1588</v>
      </c>
      <c r="E171" s="539" t="s">
        <v>1590</v>
      </c>
      <c r="F171" s="636" t="s">
        <v>1595</v>
      </c>
      <c r="G171" s="636" t="s">
        <v>1578</v>
      </c>
      <c r="H171" s="637">
        <v>44545</v>
      </c>
      <c r="I171" s="637">
        <v>47406</v>
      </c>
      <c r="J171" s="638" t="s">
        <v>1596</v>
      </c>
      <c r="K171" s="639">
        <v>1.7300717054755701</v>
      </c>
      <c r="L171" s="637">
        <v>0</v>
      </c>
      <c r="M171" s="640">
        <v>2778410.711788855</v>
      </c>
    </row>
    <row r="172" spans="3:13">
      <c r="C172" s="635" t="s">
        <v>2427</v>
      </c>
      <c r="D172" s="539" t="s">
        <v>1588</v>
      </c>
      <c r="E172" s="539" t="s">
        <v>1597</v>
      </c>
      <c r="F172" s="636" t="s">
        <v>1585</v>
      </c>
      <c r="G172" s="636" t="s">
        <v>1578</v>
      </c>
      <c r="H172" s="637">
        <v>43431</v>
      </c>
      <c r="I172" s="637">
        <v>48726</v>
      </c>
      <c r="J172" s="638">
        <v>2.5000000000000001E-2</v>
      </c>
      <c r="K172" s="639">
        <v>4.1864054221371489</v>
      </c>
      <c r="L172" s="637">
        <v>0</v>
      </c>
      <c r="M172" s="640">
        <v>15169328.244865419</v>
      </c>
    </row>
    <row r="173" spans="3:13">
      <c r="C173" s="635" t="s">
        <v>2427</v>
      </c>
      <c r="D173" s="539" t="s">
        <v>1592</v>
      </c>
      <c r="E173" s="539" t="s">
        <v>1584</v>
      </c>
      <c r="F173" s="636" t="s">
        <v>1585</v>
      </c>
      <c r="G173" s="636" t="s">
        <v>1578</v>
      </c>
      <c r="H173" s="637">
        <v>44742</v>
      </c>
      <c r="I173" s="637">
        <v>47422</v>
      </c>
      <c r="J173" s="638" t="s">
        <v>447</v>
      </c>
      <c r="K173" s="639">
        <v>1.7355555555554625</v>
      </c>
      <c r="L173" s="637">
        <v>0</v>
      </c>
      <c r="M173" s="640">
        <v>-19354.456931818291</v>
      </c>
    </row>
    <row r="174" spans="3:13">
      <c r="C174" s="635" t="s">
        <v>2427</v>
      </c>
      <c r="D174" s="539" t="s">
        <v>1592</v>
      </c>
      <c r="E174" s="539" t="s">
        <v>1584</v>
      </c>
      <c r="F174" s="636" t="s">
        <v>1585</v>
      </c>
      <c r="G174" s="636" t="s">
        <v>1578</v>
      </c>
      <c r="H174" s="637">
        <v>44742</v>
      </c>
      <c r="I174" s="637">
        <v>48730</v>
      </c>
      <c r="J174" s="638" t="s">
        <v>447</v>
      </c>
      <c r="K174" s="639">
        <v>3.5532797858101022</v>
      </c>
      <c r="L174" s="637">
        <v>0</v>
      </c>
      <c r="M174" s="640">
        <v>-98959.652824427467</v>
      </c>
    </row>
    <row r="175" spans="3:13">
      <c r="C175" s="635" t="s">
        <v>2428</v>
      </c>
      <c r="D175" s="539" t="s">
        <v>1588</v>
      </c>
      <c r="E175" s="539" t="s">
        <v>1590</v>
      </c>
      <c r="F175" s="636" t="s">
        <v>1595</v>
      </c>
      <c r="G175" s="636" t="s">
        <v>1578</v>
      </c>
      <c r="H175" s="637">
        <v>43084</v>
      </c>
      <c r="I175" s="637">
        <v>47406</v>
      </c>
      <c r="J175" s="638" t="s">
        <v>1598</v>
      </c>
      <c r="K175" s="639">
        <v>1.7302746857519702</v>
      </c>
      <c r="L175" s="637">
        <v>0</v>
      </c>
      <c r="M175" s="640">
        <v>4402108.7576160766</v>
      </c>
    </row>
    <row r="176" spans="3:13">
      <c r="C176" s="635" t="s">
        <v>2428</v>
      </c>
      <c r="D176" s="539" t="s">
        <v>1588</v>
      </c>
      <c r="E176" s="539" t="s">
        <v>1597</v>
      </c>
      <c r="F176" s="636" t="s">
        <v>1585</v>
      </c>
      <c r="G176" s="636" t="s">
        <v>1578</v>
      </c>
      <c r="H176" s="637">
        <v>43431</v>
      </c>
      <c r="I176" s="637">
        <v>48361</v>
      </c>
      <c r="J176" s="638">
        <v>2.5000000000000001E-2</v>
      </c>
      <c r="K176" s="639">
        <v>3.5644837277126298</v>
      </c>
      <c r="L176" s="637">
        <v>0</v>
      </c>
      <c r="M176" s="640">
        <v>23619679.551781967</v>
      </c>
    </row>
    <row r="177" spans="3:13">
      <c r="C177" s="635" t="s">
        <v>2428</v>
      </c>
      <c r="D177" s="539" t="s">
        <v>1592</v>
      </c>
      <c r="E177" s="539" t="s">
        <v>1584</v>
      </c>
      <c r="F177" s="636" t="s">
        <v>1585</v>
      </c>
      <c r="G177" s="636" t="s">
        <v>1578</v>
      </c>
      <c r="H177" s="637">
        <v>44742</v>
      </c>
      <c r="I177" s="637">
        <v>47422</v>
      </c>
      <c r="J177" s="638" t="s">
        <v>447</v>
      </c>
      <c r="K177" s="639">
        <v>1.7355555555556244</v>
      </c>
      <c r="L177" s="637">
        <v>0</v>
      </c>
      <c r="M177" s="640">
        <v>-16768.543977272697</v>
      </c>
    </row>
    <row r="178" spans="3:13">
      <c r="C178" s="635" t="s">
        <v>2428</v>
      </c>
      <c r="D178" s="539" t="s">
        <v>1592</v>
      </c>
      <c r="E178" s="539" t="s">
        <v>1584</v>
      </c>
      <c r="F178" s="636" t="s">
        <v>1585</v>
      </c>
      <c r="G178" s="636" t="s">
        <v>1578</v>
      </c>
      <c r="H178" s="637">
        <v>44742</v>
      </c>
      <c r="I178" s="637">
        <v>48365</v>
      </c>
      <c r="J178" s="638" t="s">
        <v>447</v>
      </c>
      <c r="K178" s="639">
        <v>3.0458528951487502</v>
      </c>
      <c r="L178" s="637">
        <v>0</v>
      </c>
      <c r="M178" s="640">
        <v>-82724.630840336205</v>
      </c>
    </row>
    <row r="179" spans="3:13">
      <c r="C179" s="635" t="s">
        <v>2429</v>
      </c>
      <c r="D179" s="539" t="s">
        <v>1588</v>
      </c>
      <c r="E179" s="539" t="s">
        <v>1597</v>
      </c>
      <c r="F179" s="636" t="s">
        <v>1585</v>
      </c>
      <c r="G179" s="636" t="s">
        <v>1578</v>
      </c>
      <c r="H179" s="637">
        <v>43431</v>
      </c>
      <c r="I179" s="637">
        <v>48726</v>
      </c>
      <c r="J179" s="638">
        <v>2.5000000000000001E-2</v>
      </c>
      <c r="K179" s="639">
        <v>4.1016761990482538</v>
      </c>
      <c r="L179" s="637">
        <v>0</v>
      </c>
      <c r="M179" s="640">
        <v>20750065.55634727</v>
      </c>
    </row>
    <row r="180" spans="3:13">
      <c r="C180" s="635" t="s">
        <v>2429</v>
      </c>
      <c r="D180" s="539" t="s">
        <v>1588</v>
      </c>
      <c r="E180" s="539" t="s">
        <v>1590</v>
      </c>
      <c r="F180" s="636" t="s">
        <v>1595</v>
      </c>
      <c r="G180" s="636" t="s">
        <v>1578</v>
      </c>
      <c r="H180" s="637">
        <v>43084</v>
      </c>
      <c r="I180" s="637">
        <v>47406</v>
      </c>
      <c r="J180" s="638" t="s">
        <v>1598</v>
      </c>
      <c r="K180" s="639">
        <v>1.7296329645883413</v>
      </c>
      <c r="L180" s="637">
        <v>0</v>
      </c>
      <c r="M180" s="640">
        <v>1573171.4394746101</v>
      </c>
    </row>
    <row r="181" spans="3:13">
      <c r="C181" s="635" t="s">
        <v>2429</v>
      </c>
      <c r="D181" s="539" t="s">
        <v>1592</v>
      </c>
      <c r="E181" s="539" t="s">
        <v>1584</v>
      </c>
      <c r="F181" s="636" t="s">
        <v>1585</v>
      </c>
      <c r="G181" s="636" t="s">
        <v>1578</v>
      </c>
      <c r="H181" s="637">
        <v>44742</v>
      </c>
      <c r="I181" s="637">
        <v>47422</v>
      </c>
      <c r="J181" s="638" t="s">
        <v>447</v>
      </c>
      <c r="K181" s="639">
        <v>1.7355555555556446</v>
      </c>
      <c r="L181" s="637">
        <v>0</v>
      </c>
      <c r="M181" s="640">
        <v>-8301.2569318182977</v>
      </c>
    </row>
    <row r="182" spans="3:13">
      <c r="C182" s="635" t="s">
        <v>2429</v>
      </c>
      <c r="D182" s="539" t="s">
        <v>1592</v>
      </c>
      <c r="E182" s="539" t="s">
        <v>1584</v>
      </c>
      <c r="F182" s="636" t="s">
        <v>1585</v>
      </c>
      <c r="G182" s="636" t="s">
        <v>1578</v>
      </c>
      <c r="H182" s="637">
        <v>44742</v>
      </c>
      <c r="I182" s="637">
        <v>48730</v>
      </c>
      <c r="J182" s="638" t="s">
        <v>447</v>
      </c>
      <c r="K182" s="639">
        <v>3.553279785810163</v>
      </c>
      <c r="L182" s="637">
        <v>0</v>
      </c>
      <c r="M182" s="640">
        <v>-102913.88916030538</v>
      </c>
    </row>
    <row r="183" spans="3:13">
      <c r="C183" s="635" t="s">
        <v>2430</v>
      </c>
      <c r="D183" s="539" t="s">
        <v>1588</v>
      </c>
      <c r="E183" s="539" t="s">
        <v>1590</v>
      </c>
      <c r="F183" s="636" t="s">
        <v>1595</v>
      </c>
      <c r="G183" s="636" t="s">
        <v>1578</v>
      </c>
      <c r="H183" s="637">
        <v>44545</v>
      </c>
      <c r="I183" s="637">
        <v>47406</v>
      </c>
      <c r="J183" s="638" t="s">
        <v>1598</v>
      </c>
      <c r="K183" s="639">
        <v>1.7302468797633588</v>
      </c>
      <c r="L183" s="637">
        <v>0</v>
      </c>
      <c r="M183" s="640">
        <v>9062643.386282254</v>
      </c>
    </row>
    <row r="184" spans="3:13">
      <c r="C184" s="635" t="s">
        <v>2430</v>
      </c>
      <c r="D184" s="539" t="s">
        <v>1588</v>
      </c>
      <c r="E184" s="539" t="s">
        <v>1597</v>
      </c>
      <c r="F184" s="636" t="s">
        <v>1585</v>
      </c>
      <c r="G184" s="636" t="s">
        <v>1578</v>
      </c>
      <c r="H184" s="637">
        <v>43431</v>
      </c>
      <c r="I184" s="637">
        <v>48361</v>
      </c>
      <c r="J184" s="638">
        <v>2.5000000000000001E-2</v>
      </c>
      <c r="K184" s="639">
        <v>3.6542686627165799</v>
      </c>
      <c r="L184" s="637">
        <v>0</v>
      </c>
      <c r="M184" s="640">
        <v>29363430.563679144</v>
      </c>
    </row>
    <row r="185" spans="3:13">
      <c r="C185" s="635" t="s">
        <v>2430</v>
      </c>
      <c r="D185" s="539" t="s">
        <v>1592</v>
      </c>
      <c r="E185" s="539" t="s">
        <v>1584</v>
      </c>
      <c r="F185" s="636" t="s">
        <v>1585</v>
      </c>
      <c r="G185" s="636" t="s">
        <v>1578</v>
      </c>
      <c r="H185" s="637">
        <v>44742</v>
      </c>
      <c r="I185" s="637">
        <v>48365</v>
      </c>
      <c r="J185" s="638" t="s">
        <v>447</v>
      </c>
      <c r="K185" s="639">
        <v>3.045852895148629</v>
      </c>
      <c r="L185" s="637">
        <v>0</v>
      </c>
      <c r="M185" s="640">
        <v>-77726.317815125934</v>
      </c>
    </row>
    <row r="186" spans="3:13">
      <c r="C186" s="635" t="s">
        <v>2430</v>
      </c>
      <c r="D186" s="539" t="s">
        <v>1592</v>
      </c>
      <c r="E186" s="539" t="s">
        <v>1584</v>
      </c>
      <c r="F186" s="636" t="s">
        <v>1585</v>
      </c>
      <c r="G186" s="636" t="s">
        <v>1578</v>
      </c>
      <c r="H186" s="637">
        <v>44742</v>
      </c>
      <c r="I186" s="637">
        <v>47422</v>
      </c>
      <c r="J186" s="638" t="s">
        <v>447</v>
      </c>
      <c r="K186" s="639">
        <v>1.7355555555556244</v>
      </c>
      <c r="L186" s="637">
        <v>0</v>
      </c>
      <c r="M186" s="640">
        <v>-27241.962045454609</v>
      </c>
    </row>
    <row r="187" spans="3:13">
      <c r="C187" s="635" t="s">
        <v>2431</v>
      </c>
      <c r="D187" s="539" t="s">
        <v>1588</v>
      </c>
      <c r="E187" s="539" t="s">
        <v>1590</v>
      </c>
      <c r="F187" s="636" t="s">
        <v>1595</v>
      </c>
      <c r="G187" s="636" t="s">
        <v>1578</v>
      </c>
      <c r="H187" s="637">
        <v>43449</v>
      </c>
      <c r="I187" s="637">
        <v>48502</v>
      </c>
      <c r="J187" s="638" t="s">
        <v>1599</v>
      </c>
      <c r="K187" s="639">
        <v>3.5254387038637609</v>
      </c>
      <c r="L187" s="637">
        <v>0</v>
      </c>
      <c r="M187" s="640">
        <v>39156858.611812308</v>
      </c>
    </row>
    <row r="188" spans="3:13">
      <c r="C188" s="635" t="s">
        <v>2431</v>
      </c>
      <c r="D188" s="539" t="s">
        <v>1588</v>
      </c>
      <c r="E188" s="539" t="s">
        <v>1590</v>
      </c>
      <c r="F188" s="636" t="s">
        <v>1595</v>
      </c>
      <c r="G188" s="636" t="s">
        <v>1578</v>
      </c>
      <c r="H188" s="637">
        <v>44484</v>
      </c>
      <c r="I188" s="637">
        <v>48502</v>
      </c>
      <c r="J188" s="638" t="s">
        <v>1599</v>
      </c>
      <c r="K188" s="639">
        <v>3.4462875973978955</v>
      </c>
      <c r="L188" s="637">
        <v>0</v>
      </c>
      <c r="M188" s="640">
        <v>360620.92690916517</v>
      </c>
    </row>
    <row r="189" spans="3:13">
      <c r="C189" s="635" t="s">
        <v>2431</v>
      </c>
      <c r="D189" s="539" t="s">
        <v>1588</v>
      </c>
      <c r="E189" s="539" t="s">
        <v>1590</v>
      </c>
      <c r="F189" s="636" t="s">
        <v>1595</v>
      </c>
      <c r="G189" s="636" t="s">
        <v>1578</v>
      </c>
      <c r="H189" s="637">
        <v>44545</v>
      </c>
      <c r="I189" s="637">
        <v>48502</v>
      </c>
      <c r="J189" s="638" t="s">
        <v>1599</v>
      </c>
      <c r="K189" s="639">
        <v>3.4466419255465652</v>
      </c>
      <c r="L189" s="637">
        <v>0</v>
      </c>
      <c r="M189" s="640">
        <v>62813.146484963283</v>
      </c>
    </row>
    <row r="190" spans="3:13">
      <c r="C190" s="635" t="s">
        <v>2431</v>
      </c>
      <c r="D190" s="539" t="s">
        <v>1592</v>
      </c>
      <c r="E190" s="539" t="s">
        <v>1584</v>
      </c>
      <c r="F190" s="636" t="s">
        <v>1585</v>
      </c>
      <c r="G190" s="636" t="s">
        <v>1578</v>
      </c>
      <c r="H190" s="637">
        <v>44742</v>
      </c>
      <c r="I190" s="637">
        <v>48518</v>
      </c>
      <c r="J190" s="638" t="s">
        <v>447</v>
      </c>
      <c r="K190" s="639">
        <v>3.2573099415204223</v>
      </c>
      <c r="L190" s="637">
        <v>0</v>
      </c>
      <c r="M190" s="640">
        <v>-35620.015161290394</v>
      </c>
    </row>
    <row r="191" spans="3:13">
      <c r="C191" s="635" t="s">
        <v>2432</v>
      </c>
      <c r="D191" s="539" t="s">
        <v>1588</v>
      </c>
      <c r="E191" s="539" t="s">
        <v>1590</v>
      </c>
      <c r="F191" s="636" t="s">
        <v>1595</v>
      </c>
      <c r="G191" s="636" t="s">
        <v>1578</v>
      </c>
      <c r="H191" s="637">
        <v>43449</v>
      </c>
      <c r="I191" s="637">
        <v>48502</v>
      </c>
      <c r="J191" s="638" t="s">
        <v>1599</v>
      </c>
      <c r="K191" s="639">
        <v>3.5254173796793111</v>
      </c>
      <c r="L191" s="636">
        <v>0</v>
      </c>
      <c r="M191" s="640">
        <v>62172993.513385609</v>
      </c>
    </row>
    <row r="192" spans="3:13">
      <c r="C192" s="635" t="s">
        <v>2432</v>
      </c>
      <c r="D192" s="539" t="s">
        <v>1592</v>
      </c>
      <c r="E192" s="539" t="s">
        <v>1584</v>
      </c>
      <c r="F192" s="636" t="s">
        <v>1585</v>
      </c>
      <c r="G192" s="636" t="s">
        <v>1578</v>
      </c>
      <c r="H192" s="637">
        <v>44742</v>
      </c>
      <c r="I192" s="637">
        <v>48518</v>
      </c>
      <c r="J192" s="638" t="s">
        <v>447</v>
      </c>
      <c r="K192" s="639">
        <v>3.257309941520341</v>
      </c>
      <c r="L192" s="637">
        <v>0</v>
      </c>
      <c r="M192" s="640">
        <v>-49517.388387096762</v>
      </c>
    </row>
    <row r="193" spans="3:13">
      <c r="C193" s="635" t="s">
        <v>2433</v>
      </c>
      <c r="D193" s="539" t="s">
        <v>1588</v>
      </c>
      <c r="E193" s="539" t="s">
        <v>1590</v>
      </c>
      <c r="F193" s="636" t="s">
        <v>1595</v>
      </c>
      <c r="G193" s="636" t="s">
        <v>1578</v>
      </c>
      <c r="H193" s="637">
        <v>43449</v>
      </c>
      <c r="I193" s="637">
        <v>48502</v>
      </c>
      <c r="J193" s="638" t="s">
        <v>1599</v>
      </c>
      <c r="K193" s="639">
        <v>3.4549956010492071</v>
      </c>
      <c r="L193" s="637">
        <v>0</v>
      </c>
      <c r="M193" s="640">
        <v>670828.42293264368</v>
      </c>
    </row>
    <row r="194" spans="3:13">
      <c r="C194" s="635" t="s">
        <v>2433</v>
      </c>
      <c r="D194" s="539" t="s">
        <v>1588</v>
      </c>
      <c r="E194" s="539" t="s">
        <v>1590</v>
      </c>
      <c r="F194" s="636" t="s">
        <v>1595</v>
      </c>
      <c r="G194" s="636" t="s">
        <v>1578</v>
      </c>
      <c r="H194" s="637">
        <v>43449</v>
      </c>
      <c r="I194" s="637">
        <v>48502</v>
      </c>
      <c r="J194" s="638" t="s">
        <v>1599</v>
      </c>
      <c r="K194" s="639">
        <v>3.5254218725608655</v>
      </c>
      <c r="L194" s="637">
        <v>0</v>
      </c>
      <c r="M194" s="640">
        <v>60943753.523730524</v>
      </c>
    </row>
    <row r="195" spans="3:13">
      <c r="C195" s="635" t="s">
        <v>2433</v>
      </c>
      <c r="D195" s="539" t="s">
        <v>1588</v>
      </c>
      <c r="E195" s="539" t="s">
        <v>1590</v>
      </c>
      <c r="F195" s="636" t="s">
        <v>1595</v>
      </c>
      <c r="G195" s="636" t="s">
        <v>1578</v>
      </c>
      <c r="H195" s="637">
        <v>44545</v>
      </c>
      <c r="I195" s="637">
        <v>48502</v>
      </c>
      <c r="J195" s="638" t="s">
        <v>1599</v>
      </c>
      <c r="K195" s="639">
        <v>3.4450448001218521</v>
      </c>
      <c r="L195" s="637">
        <v>0</v>
      </c>
      <c r="M195" s="640">
        <v>112080.38063077102</v>
      </c>
    </row>
    <row r="196" spans="3:13">
      <c r="C196" s="635" t="s">
        <v>2433</v>
      </c>
      <c r="D196" s="539" t="s">
        <v>1592</v>
      </c>
      <c r="E196" s="539" t="s">
        <v>1584</v>
      </c>
      <c r="F196" s="636" t="s">
        <v>1585</v>
      </c>
      <c r="G196" s="636" t="s">
        <v>1578</v>
      </c>
      <c r="H196" s="637">
        <v>44742</v>
      </c>
      <c r="I196" s="637">
        <v>48518</v>
      </c>
      <c r="J196" s="638" t="s">
        <v>447</v>
      </c>
      <c r="K196" s="639">
        <v>3.2573099415202402</v>
      </c>
      <c r="L196" s="637">
        <v>0</v>
      </c>
      <c r="M196" s="640">
        <v>-48633.542903225753</v>
      </c>
    </row>
    <row r="197" spans="3:13">
      <c r="C197" s="635" t="s">
        <v>2434</v>
      </c>
      <c r="D197" s="539" t="s">
        <v>1588</v>
      </c>
      <c r="E197" s="539" t="s">
        <v>1590</v>
      </c>
      <c r="F197" s="636" t="s">
        <v>1595</v>
      </c>
      <c r="G197" s="636" t="s">
        <v>1578</v>
      </c>
      <c r="H197" s="637">
        <v>44454</v>
      </c>
      <c r="I197" s="637">
        <v>48380</v>
      </c>
      <c r="J197" s="638" t="s">
        <v>1599</v>
      </c>
      <c r="K197" s="639">
        <v>3.0777562438025901</v>
      </c>
      <c r="L197" s="637">
        <v>0</v>
      </c>
      <c r="M197" s="640">
        <v>23292490.902237494</v>
      </c>
    </row>
    <row r="198" spans="3:13">
      <c r="C198" s="635" t="s">
        <v>2434</v>
      </c>
      <c r="D198" s="539" t="s">
        <v>1592</v>
      </c>
      <c r="E198" s="539" t="s">
        <v>1584</v>
      </c>
      <c r="F198" s="636" t="s">
        <v>1585</v>
      </c>
      <c r="G198" s="636" t="s">
        <v>1578</v>
      </c>
      <c r="H198" s="637">
        <v>44742</v>
      </c>
      <c r="I198" s="637">
        <v>48395</v>
      </c>
      <c r="J198" s="638" t="s">
        <v>447</v>
      </c>
      <c r="K198" s="639">
        <v>3.0881172839505475</v>
      </c>
      <c r="L198" s="637">
        <v>0</v>
      </c>
      <c r="M198" s="640">
        <v>-34762.673666666626</v>
      </c>
    </row>
    <row r="199" spans="3:13">
      <c r="C199" s="635" t="s">
        <v>2435</v>
      </c>
      <c r="D199" s="539" t="s">
        <v>1588</v>
      </c>
      <c r="E199" s="539" t="s">
        <v>1590</v>
      </c>
      <c r="F199" s="636" t="s">
        <v>1595</v>
      </c>
      <c r="G199" s="636" t="s">
        <v>1578</v>
      </c>
      <c r="H199" s="637">
        <v>44454</v>
      </c>
      <c r="I199" s="637">
        <v>48380</v>
      </c>
      <c r="J199" s="638" t="s">
        <v>1599</v>
      </c>
      <c r="K199" s="639">
        <v>3.0777572045529573</v>
      </c>
      <c r="L199" s="637">
        <v>0</v>
      </c>
      <c r="M199" s="640">
        <v>33402465.968284544</v>
      </c>
    </row>
    <row r="200" spans="3:13">
      <c r="C200" s="635" t="s">
        <v>2435</v>
      </c>
      <c r="D200" s="539" t="s">
        <v>1592</v>
      </c>
      <c r="E200" s="539" t="s">
        <v>1584</v>
      </c>
      <c r="F200" s="636" t="s">
        <v>1585</v>
      </c>
      <c r="G200" s="636" t="s">
        <v>1578</v>
      </c>
      <c r="H200" s="637">
        <v>44742</v>
      </c>
      <c r="I200" s="637">
        <v>48395</v>
      </c>
      <c r="J200" s="638" t="s">
        <v>447</v>
      </c>
      <c r="K200" s="639">
        <v>3.0881172839505679</v>
      </c>
      <c r="L200" s="636">
        <v>0</v>
      </c>
      <c r="M200" s="640">
        <v>-45607.976333333369</v>
      </c>
    </row>
    <row r="201" spans="3:13">
      <c r="C201" s="635" t="s">
        <v>2436</v>
      </c>
      <c r="D201" s="539" t="s">
        <v>1107</v>
      </c>
      <c r="E201" s="539" t="s">
        <v>1107</v>
      </c>
      <c r="F201" s="636" t="s">
        <v>1505</v>
      </c>
      <c r="G201" s="636" t="s">
        <v>1578</v>
      </c>
      <c r="H201" s="637">
        <v>43316</v>
      </c>
      <c r="I201" s="637">
        <v>48426</v>
      </c>
      <c r="J201" s="638" t="s">
        <v>1600</v>
      </c>
      <c r="K201" s="639">
        <v>2.455384436049139</v>
      </c>
      <c r="L201" s="636">
        <v>0</v>
      </c>
      <c r="M201" s="640">
        <v>39725698.389599994</v>
      </c>
    </row>
    <row r="202" spans="3:13">
      <c r="C202" s="635" t="s">
        <v>2436</v>
      </c>
      <c r="D202" s="539" t="s">
        <v>1583</v>
      </c>
      <c r="E202" s="539" t="s">
        <v>1584</v>
      </c>
      <c r="F202" s="636" t="s">
        <v>1585</v>
      </c>
      <c r="G202" s="636" t="s">
        <v>1578</v>
      </c>
      <c r="H202" s="637">
        <v>44742</v>
      </c>
      <c r="I202" s="637">
        <v>48426</v>
      </c>
      <c r="J202" s="638" t="s">
        <v>447</v>
      </c>
      <c r="K202" s="639">
        <v>3.1304033485541165</v>
      </c>
      <c r="L202" s="637">
        <v>0</v>
      </c>
      <c r="M202" s="640">
        <v>-278706.49925619818</v>
      </c>
    </row>
    <row r="203" spans="3:13">
      <c r="C203" s="635" t="s">
        <v>424</v>
      </c>
      <c r="D203" s="539" t="s">
        <v>1588</v>
      </c>
      <c r="E203" s="539" t="s">
        <v>1597</v>
      </c>
      <c r="F203" s="636" t="s">
        <v>1505</v>
      </c>
      <c r="G203" s="636" t="s">
        <v>1578</v>
      </c>
      <c r="H203" s="637">
        <v>44545</v>
      </c>
      <c r="I203" s="637">
        <v>50754</v>
      </c>
      <c r="J203" s="638" t="s">
        <v>1601</v>
      </c>
      <c r="K203" s="639">
        <v>6.5390965739846152</v>
      </c>
      <c r="L203" s="637">
        <v>0</v>
      </c>
      <c r="M203" s="640">
        <v>63481872.76523371</v>
      </c>
    </row>
    <row r="204" spans="3:13">
      <c r="C204" s="635" t="s">
        <v>424</v>
      </c>
      <c r="D204" s="539" t="s">
        <v>1592</v>
      </c>
      <c r="E204" s="539" t="s">
        <v>1584</v>
      </c>
      <c r="F204" s="636" t="s">
        <v>1585</v>
      </c>
      <c r="G204" s="636" t="s">
        <v>1578</v>
      </c>
      <c r="H204" s="637">
        <v>44742</v>
      </c>
      <c r="I204" s="637">
        <v>50770</v>
      </c>
      <c r="J204" s="638" t="s">
        <v>447</v>
      </c>
      <c r="K204" s="639">
        <v>6.3856666666666371</v>
      </c>
      <c r="L204" s="636">
        <v>0</v>
      </c>
      <c r="M204" s="640">
        <v>-164992.22500000003</v>
      </c>
    </row>
    <row r="205" spans="3:13">
      <c r="C205" s="635" t="s">
        <v>425</v>
      </c>
      <c r="D205" s="539" t="s">
        <v>1592</v>
      </c>
      <c r="E205" s="539" t="s">
        <v>1584</v>
      </c>
      <c r="F205" s="636" t="s">
        <v>1585</v>
      </c>
      <c r="G205" s="636" t="s">
        <v>1578</v>
      </c>
      <c r="H205" s="637">
        <v>44742</v>
      </c>
      <c r="I205" s="637">
        <v>50770</v>
      </c>
      <c r="J205" s="638" t="s">
        <v>447</v>
      </c>
      <c r="K205" s="639">
        <v>6.3856666666664141</v>
      </c>
      <c r="L205" s="636">
        <v>0</v>
      </c>
      <c r="M205" s="640">
        <v>-228323.75454545446</v>
      </c>
    </row>
    <row r="206" spans="3:13">
      <c r="C206" s="635" t="s">
        <v>425</v>
      </c>
      <c r="D206" s="539" t="s">
        <v>1588</v>
      </c>
      <c r="E206" s="539" t="s">
        <v>1597</v>
      </c>
      <c r="F206" s="636" t="s">
        <v>1505</v>
      </c>
      <c r="G206" s="636" t="s">
        <v>1578</v>
      </c>
      <c r="H206" s="637">
        <v>44545</v>
      </c>
      <c r="I206" s="637">
        <v>50754</v>
      </c>
      <c r="J206" s="638" t="s">
        <v>1601</v>
      </c>
      <c r="K206" s="639">
        <v>6.8360413658472678</v>
      </c>
      <c r="L206" s="637">
        <v>0</v>
      </c>
      <c r="M206" s="640">
        <v>102222594.61035725</v>
      </c>
    </row>
    <row r="207" spans="3:13">
      <c r="C207" s="635" t="s">
        <v>423</v>
      </c>
      <c r="D207" s="539" t="s">
        <v>1588</v>
      </c>
      <c r="E207" s="539" t="s">
        <v>1597</v>
      </c>
      <c r="F207" s="636" t="s">
        <v>1505</v>
      </c>
      <c r="G207" s="636" t="s">
        <v>1578</v>
      </c>
      <c r="H207" s="637">
        <v>44545</v>
      </c>
      <c r="I207" s="637">
        <v>50754</v>
      </c>
      <c r="J207" s="638" t="s">
        <v>1602</v>
      </c>
      <c r="K207" s="639">
        <v>7.2359018341579535</v>
      </c>
      <c r="L207" s="637">
        <v>0</v>
      </c>
      <c r="M207" s="640">
        <v>113084545.81805152</v>
      </c>
    </row>
    <row r="208" spans="3:13">
      <c r="C208" s="635" t="s">
        <v>423</v>
      </c>
      <c r="D208" s="539" t="s">
        <v>1592</v>
      </c>
      <c r="E208" s="539" t="s">
        <v>1584</v>
      </c>
      <c r="F208" s="636" t="s">
        <v>1585</v>
      </c>
      <c r="G208" s="636" t="s">
        <v>1578</v>
      </c>
      <c r="H208" s="637">
        <v>44742</v>
      </c>
      <c r="I208" s="637">
        <v>50770</v>
      </c>
      <c r="J208" s="638" t="s">
        <v>447</v>
      </c>
      <c r="K208" s="639">
        <v>6.3856666666670616</v>
      </c>
      <c r="L208" s="636">
        <v>0</v>
      </c>
      <c r="M208" s="640">
        <v>-208849.81424242439</v>
      </c>
    </row>
    <row r="209" spans="3:13">
      <c r="C209" s="635" t="s">
        <v>2437</v>
      </c>
      <c r="D209" s="539" t="s">
        <v>1588</v>
      </c>
      <c r="E209" s="539" t="s">
        <v>1597</v>
      </c>
      <c r="F209" s="636" t="s">
        <v>1505</v>
      </c>
      <c r="G209" s="636" t="s">
        <v>1578</v>
      </c>
      <c r="H209" s="637">
        <v>44545</v>
      </c>
      <c r="I209" s="637">
        <v>50328</v>
      </c>
      <c r="J209" s="638" t="s">
        <v>1603</v>
      </c>
      <c r="K209" s="639">
        <v>6.696872946351565</v>
      </c>
      <c r="L209" s="636">
        <v>0</v>
      </c>
      <c r="M209" s="640">
        <v>68644655.069158494</v>
      </c>
    </row>
    <row r="210" spans="3:13">
      <c r="C210" s="635" t="s">
        <v>2437</v>
      </c>
      <c r="D210" s="539" t="s">
        <v>1592</v>
      </c>
      <c r="E210" s="539" t="s">
        <v>1584</v>
      </c>
      <c r="F210" s="636" t="s">
        <v>1585</v>
      </c>
      <c r="G210" s="636" t="s">
        <v>1578</v>
      </c>
      <c r="H210" s="637">
        <v>44742</v>
      </c>
      <c r="I210" s="637">
        <v>50344</v>
      </c>
      <c r="J210" s="638" t="s">
        <v>447</v>
      </c>
      <c r="K210" s="639">
        <v>5.7938316993466694</v>
      </c>
      <c r="L210" s="637">
        <v>0</v>
      </c>
      <c r="M210" s="640">
        <v>-1107748.4816304354</v>
      </c>
    </row>
    <row r="211" spans="3:13">
      <c r="C211" s="635" t="s">
        <v>2438</v>
      </c>
      <c r="D211" s="539" t="s">
        <v>1588</v>
      </c>
      <c r="E211" s="539" t="s">
        <v>1597</v>
      </c>
      <c r="F211" s="636" t="s">
        <v>1505</v>
      </c>
      <c r="G211" s="636" t="s">
        <v>1578</v>
      </c>
      <c r="H211" s="637">
        <v>44545</v>
      </c>
      <c r="I211" s="637">
        <v>50359</v>
      </c>
      <c r="J211" s="638" t="s">
        <v>1603</v>
      </c>
      <c r="K211" s="639">
        <v>6.4540656532065741</v>
      </c>
      <c r="L211" s="637">
        <v>0</v>
      </c>
      <c r="M211" s="640">
        <v>58773563.842352144</v>
      </c>
    </row>
    <row r="212" spans="3:13">
      <c r="C212" s="635" t="s">
        <v>2438</v>
      </c>
      <c r="D212" s="539" t="s">
        <v>1592</v>
      </c>
      <c r="E212" s="539" t="s">
        <v>1584</v>
      </c>
      <c r="F212" s="636" t="s">
        <v>1585</v>
      </c>
      <c r="G212" s="636" t="s">
        <v>1578</v>
      </c>
      <c r="H212" s="637">
        <v>44742</v>
      </c>
      <c r="I212" s="637">
        <v>50374</v>
      </c>
      <c r="J212" s="638" t="s">
        <v>447</v>
      </c>
      <c r="K212" s="639">
        <v>5.8361111111108892</v>
      </c>
      <c r="L212" s="636">
        <v>0</v>
      </c>
      <c r="M212" s="640">
        <v>-1000358.8711351348</v>
      </c>
    </row>
    <row r="213" spans="3:13">
      <c r="C213" s="635" t="s">
        <v>2439</v>
      </c>
      <c r="D213" s="539" t="s">
        <v>1588</v>
      </c>
      <c r="E213" s="539" t="s">
        <v>1597</v>
      </c>
      <c r="F213" s="636" t="s">
        <v>1505</v>
      </c>
      <c r="G213" s="636" t="s">
        <v>1578</v>
      </c>
      <c r="H213" s="637">
        <v>44545</v>
      </c>
      <c r="I213" s="637">
        <v>50145</v>
      </c>
      <c r="J213" s="638" t="s">
        <v>1604</v>
      </c>
      <c r="K213" s="639">
        <v>6.1347747744409284</v>
      </c>
      <c r="L213" s="636">
        <v>0</v>
      </c>
      <c r="M213" s="640">
        <v>80953960.20437932</v>
      </c>
    </row>
    <row r="214" spans="3:13">
      <c r="C214" s="635" t="s">
        <v>2439</v>
      </c>
      <c r="D214" s="539" t="s">
        <v>1592</v>
      </c>
      <c r="E214" s="539" t="s">
        <v>1584</v>
      </c>
      <c r="F214" s="636" t="s">
        <v>1585</v>
      </c>
      <c r="G214" s="636" t="s">
        <v>1578</v>
      </c>
      <c r="H214" s="637">
        <v>44742</v>
      </c>
      <c r="I214" s="637">
        <v>50160</v>
      </c>
      <c r="J214" s="638" t="s">
        <v>447</v>
      </c>
      <c r="K214" s="639">
        <v>5.5401709401711035</v>
      </c>
      <c r="L214" s="637">
        <v>0</v>
      </c>
      <c r="M214" s="640">
        <v>-1055695.7199438203</v>
      </c>
    </row>
    <row r="215" spans="3:13">
      <c r="C215" s="635" t="s">
        <v>2440</v>
      </c>
      <c r="D215" s="539" t="s">
        <v>1588</v>
      </c>
      <c r="E215" s="539" t="s">
        <v>1597</v>
      </c>
      <c r="F215" s="636" t="s">
        <v>1505</v>
      </c>
      <c r="G215" s="636" t="s">
        <v>1578</v>
      </c>
      <c r="H215" s="637">
        <v>44545</v>
      </c>
      <c r="I215" s="637">
        <v>50145</v>
      </c>
      <c r="J215" s="638" t="s">
        <v>1603</v>
      </c>
      <c r="K215" s="639">
        <v>6.1351555845240808</v>
      </c>
      <c r="L215" s="637">
        <v>0</v>
      </c>
      <c r="M215" s="640">
        <v>50004736.441125534</v>
      </c>
    </row>
    <row r="216" spans="3:13">
      <c r="C216" s="635" t="s">
        <v>2440</v>
      </c>
      <c r="D216" s="539" t="s">
        <v>1592</v>
      </c>
      <c r="E216" s="539" t="s">
        <v>1584</v>
      </c>
      <c r="F216" s="636" t="s">
        <v>1585</v>
      </c>
      <c r="G216" s="636" t="s">
        <v>1578</v>
      </c>
      <c r="H216" s="637">
        <v>44742</v>
      </c>
      <c r="I216" s="637">
        <v>50160</v>
      </c>
      <c r="J216" s="638" t="s">
        <v>447</v>
      </c>
      <c r="K216" s="639">
        <v>5.5401709401709009</v>
      </c>
      <c r="L216" s="636">
        <v>0</v>
      </c>
      <c r="M216" s="640">
        <v>-307510.30955056136</v>
      </c>
    </row>
    <row r="217" spans="3:13">
      <c r="C217" s="635" t="s">
        <v>2441</v>
      </c>
      <c r="D217" s="539" t="s">
        <v>1588</v>
      </c>
      <c r="E217" s="539" t="s">
        <v>1597</v>
      </c>
      <c r="F217" s="636" t="s">
        <v>1505</v>
      </c>
      <c r="G217" s="636" t="s">
        <v>1578</v>
      </c>
      <c r="H217" s="637">
        <v>44545</v>
      </c>
      <c r="I217" s="637">
        <v>50479</v>
      </c>
      <c r="J217" s="638" t="s">
        <v>1604</v>
      </c>
      <c r="K217" s="639">
        <v>6.3453053298133861</v>
      </c>
      <c r="L217" s="636">
        <v>0</v>
      </c>
      <c r="M217" s="640">
        <v>57231452.737815693</v>
      </c>
    </row>
    <row r="218" spans="3:13">
      <c r="C218" s="635" t="s">
        <v>2442</v>
      </c>
      <c r="D218" s="539" t="s">
        <v>1588</v>
      </c>
      <c r="E218" s="539" t="s">
        <v>1597</v>
      </c>
      <c r="F218" s="636" t="s">
        <v>1505</v>
      </c>
      <c r="G218" s="636" t="s">
        <v>1578</v>
      </c>
      <c r="H218" s="637">
        <v>44545</v>
      </c>
      <c r="I218" s="637">
        <v>50479</v>
      </c>
      <c r="J218" s="638" t="s">
        <v>1604</v>
      </c>
      <c r="K218" s="639">
        <v>6.8229840925859513</v>
      </c>
      <c r="L218" s="636">
        <v>0</v>
      </c>
      <c r="M218" s="640">
        <v>82222862.327080637</v>
      </c>
    </row>
    <row r="219" spans="3:13">
      <c r="C219" s="635" t="s">
        <v>2442</v>
      </c>
      <c r="D219" s="539" t="s">
        <v>1592</v>
      </c>
      <c r="E219" s="539" t="s">
        <v>1584</v>
      </c>
      <c r="F219" s="636" t="s">
        <v>1585</v>
      </c>
      <c r="G219" s="636" t="s">
        <v>1578</v>
      </c>
      <c r="H219" s="637">
        <v>44742</v>
      </c>
      <c r="I219" s="637">
        <v>50495</v>
      </c>
      <c r="J219" s="638" t="s">
        <v>447</v>
      </c>
      <c r="K219" s="639">
        <v>6.0052206461781479</v>
      </c>
      <c r="L219" s="637">
        <v>0</v>
      </c>
      <c r="M219" s="640">
        <v>-630168.97603174578</v>
      </c>
    </row>
    <row r="220" spans="3:13">
      <c r="C220" s="635" t="s">
        <v>2441</v>
      </c>
      <c r="D220" s="539" t="s">
        <v>1592</v>
      </c>
      <c r="E220" s="539" t="s">
        <v>1584</v>
      </c>
      <c r="F220" s="636" t="s">
        <v>1585</v>
      </c>
      <c r="G220" s="636" t="s">
        <v>1578</v>
      </c>
      <c r="H220" s="637">
        <v>44742</v>
      </c>
      <c r="I220" s="637">
        <v>50495</v>
      </c>
      <c r="J220" s="638" t="s">
        <v>447</v>
      </c>
      <c r="K220" s="639">
        <v>6.0052206461782083</v>
      </c>
      <c r="L220" s="636">
        <v>0</v>
      </c>
      <c r="M220" s="640">
        <v>-794019.61047619057</v>
      </c>
    </row>
    <row r="221" spans="3:13">
      <c r="C221" s="635" t="s">
        <v>433</v>
      </c>
      <c r="D221" s="539" t="s">
        <v>1588</v>
      </c>
      <c r="E221" s="539" t="s">
        <v>1597</v>
      </c>
      <c r="F221" s="636" t="s">
        <v>1505</v>
      </c>
      <c r="G221" s="636" t="s">
        <v>1578</v>
      </c>
      <c r="H221" s="637">
        <v>43444</v>
      </c>
      <c r="I221" s="637">
        <v>49658</v>
      </c>
      <c r="J221" s="638" t="s">
        <v>1601</v>
      </c>
      <c r="K221" s="639">
        <v>5.2671806940889132</v>
      </c>
      <c r="L221" s="637">
        <v>0</v>
      </c>
      <c r="M221" s="640">
        <v>85359132.269180059</v>
      </c>
    </row>
    <row r="222" spans="3:13">
      <c r="C222" s="635" t="s">
        <v>433</v>
      </c>
      <c r="D222" s="539" t="s">
        <v>1592</v>
      </c>
      <c r="E222" s="539" t="s">
        <v>1584</v>
      </c>
      <c r="F222" s="636" t="s">
        <v>1585</v>
      </c>
      <c r="G222" s="636" t="s">
        <v>1578</v>
      </c>
      <c r="H222" s="637">
        <v>44742</v>
      </c>
      <c r="I222" s="637">
        <v>49674</v>
      </c>
      <c r="J222" s="638" t="s">
        <v>447</v>
      </c>
      <c r="K222" s="639">
        <v>4.8636939571146485</v>
      </c>
      <c r="L222" s="636">
        <v>0</v>
      </c>
      <c r="M222" s="640">
        <v>-261695.02543209877</v>
      </c>
    </row>
    <row r="223" spans="3:13">
      <c r="C223" s="635" t="s">
        <v>434</v>
      </c>
      <c r="D223" s="539" t="s">
        <v>1588</v>
      </c>
      <c r="E223" s="539" t="s">
        <v>1597</v>
      </c>
      <c r="F223" s="636" t="s">
        <v>1505</v>
      </c>
      <c r="G223" s="636" t="s">
        <v>1578</v>
      </c>
      <c r="H223" s="637">
        <v>43446</v>
      </c>
      <c r="I223" s="637">
        <v>49658</v>
      </c>
      <c r="J223" s="638" t="s">
        <v>1601</v>
      </c>
      <c r="K223" s="639">
        <v>5.2454687086004519</v>
      </c>
      <c r="L223" s="636">
        <v>0</v>
      </c>
      <c r="M223" s="640">
        <v>38936511.902181759</v>
      </c>
    </row>
    <row r="224" spans="3:13">
      <c r="C224" s="635" t="s">
        <v>434</v>
      </c>
      <c r="D224" s="539" t="s">
        <v>1592</v>
      </c>
      <c r="E224" s="539" t="s">
        <v>1584</v>
      </c>
      <c r="F224" s="636" t="s">
        <v>1585</v>
      </c>
      <c r="G224" s="636" t="s">
        <v>1578</v>
      </c>
      <c r="H224" s="637">
        <v>44742</v>
      </c>
      <c r="I224" s="637">
        <v>49674</v>
      </c>
      <c r="J224" s="638" t="s">
        <v>447</v>
      </c>
      <c r="K224" s="639">
        <v>4.8636939571148305</v>
      </c>
      <c r="L224" s="636">
        <v>0</v>
      </c>
      <c r="M224" s="640">
        <v>-141423.2980246915</v>
      </c>
    </row>
    <row r="225" spans="3:13">
      <c r="C225" s="635" t="s">
        <v>2443</v>
      </c>
      <c r="D225" s="539" t="s">
        <v>1107</v>
      </c>
      <c r="E225" s="539" t="s">
        <v>1107</v>
      </c>
      <c r="F225" s="636" t="s">
        <v>1505</v>
      </c>
      <c r="G225" s="636" t="s">
        <v>1578</v>
      </c>
      <c r="H225" s="637">
        <v>44042</v>
      </c>
      <c r="I225" s="637">
        <v>49475</v>
      </c>
      <c r="J225" s="638" t="s">
        <v>1605</v>
      </c>
      <c r="K225" s="639">
        <v>5.2889043933786324</v>
      </c>
      <c r="L225" s="637">
        <v>0</v>
      </c>
      <c r="M225" s="640">
        <v>33858032.106483616</v>
      </c>
    </row>
    <row r="226" spans="3:13">
      <c r="C226" s="635" t="s">
        <v>2443</v>
      </c>
      <c r="D226" s="539" t="s">
        <v>1588</v>
      </c>
      <c r="E226" s="539" t="s">
        <v>1606</v>
      </c>
      <c r="F226" s="636" t="s">
        <v>1505</v>
      </c>
      <c r="G226" s="636" t="s">
        <v>1578</v>
      </c>
      <c r="H226" s="637">
        <v>44409</v>
      </c>
      <c r="I226" s="637">
        <v>50983</v>
      </c>
      <c r="J226" s="638" t="s">
        <v>1607</v>
      </c>
      <c r="K226" s="639">
        <v>6.5438029419432695</v>
      </c>
      <c r="L226" s="636">
        <v>0</v>
      </c>
      <c r="M226" s="640">
        <v>71905027.114056647</v>
      </c>
    </row>
    <row r="227" spans="3:13">
      <c r="C227" s="635" t="s">
        <v>2443</v>
      </c>
      <c r="D227" s="539" t="s">
        <v>1583</v>
      </c>
      <c r="E227" s="539" t="s">
        <v>1584</v>
      </c>
      <c r="F227" s="636" t="s">
        <v>1585</v>
      </c>
      <c r="G227" s="636" t="s">
        <v>1578</v>
      </c>
      <c r="H227" s="637">
        <v>44742</v>
      </c>
      <c r="I227" s="637">
        <v>49490</v>
      </c>
      <c r="J227" s="638" t="s">
        <v>447</v>
      </c>
      <c r="K227" s="639">
        <v>4.6100565843623471</v>
      </c>
      <c r="L227" s="637">
        <v>0</v>
      </c>
      <c r="M227" s="640">
        <v>-167357.47205128218</v>
      </c>
    </row>
    <row r="228" spans="3:13">
      <c r="C228" s="635" t="s">
        <v>2443</v>
      </c>
      <c r="D228" s="539" t="s">
        <v>1592</v>
      </c>
      <c r="E228" s="539" t="s">
        <v>1584</v>
      </c>
      <c r="F228" s="636" t="s">
        <v>1585</v>
      </c>
      <c r="G228" s="636" t="s">
        <v>1578</v>
      </c>
      <c r="H228" s="637">
        <v>44742</v>
      </c>
      <c r="I228" s="637">
        <v>51013</v>
      </c>
      <c r="J228" s="638" t="s">
        <v>447</v>
      </c>
      <c r="K228" s="639">
        <v>6.7237869198317437</v>
      </c>
      <c r="L228" s="636">
        <v>0</v>
      </c>
      <c r="M228" s="640">
        <v>-765623.93592233025</v>
      </c>
    </row>
    <row r="229" spans="3:13">
      <c r="C229" s="635" t="s">
        <v>2444</v>
      </c>
      <c r="D229" s="539" t="s">
        <v>1107</v>
      </c>
      <c r="E229" s="539" t="s">
        <v>1107</v>
      </c>
      <c r="F229" s="636" t="s">
        <v>1505</v>
      </c>
      <c r="G229" s="636" t="s">
        <v>1578</v>
      </c>
      <c r="H229" s="637">
        <v>44042</v>
      </c>
      <c r="I229" s="637">
        <v>49475</v>
      </c>
      <c r="J229" s="638" t="s">
        <v>1605</v>
      </c>
      <c r="K229" s="639">
        <v>5.018342570380951</v>
      </c>
      <c r="L229" s="637">
        <v>0</v>
      </c>
      <c r="M229" s="640">
        <v>35424894.823773116</v>
      </c>
    </row>
    <row r="230" spans="3:13">
      <c r="C230" s="635" t="s">
        <v>2444</v>
      </c>
      <c r="D230" s="539" t="s">
        <v>1588</v>
      </c>
      <c r="E230" s="539" t="s">
        <v>1606</v>
      </c>
      <c r="F230" s="636" t="s">
        <v>1505</v>
      </c>
      <c r="G230" s="636" t="s">
        <v>1578</v>
      </c>
      <c r="H230" s="637">
        <v>44439</v>
      </c>
      <c r="I230" s="637">
        <v>51014</v>
      </c>
      <c r="J230" s="638" t="s">
        <v>1607</v>
      </c>
      <c r="K230" s="639">
        <v>6.6520436190142895</v>
      </c>
      <c r="L230" s="636">
        <v>0</v>
      </c>
      <c r="M230" s="640">
        <v>70520928.89136529</v>
      </c>
    </row>
    <row r="231" spans="3:13">
      <c r="C231" s="635" t="s">
        <v>2444</v>
      </c>
      <c r="D231" s="539" t="s">
        <v>1583</v>
      </c>
      <c r="E231" s="539" t="s">
        <v>1584</v>
      </c>
      <c r="F231" s="636" t="s">
        <v>1585</v>
      </c>
      <c r="G231" s="636" t="s">
        <v>1578</v>
      </c>
      <c r="H231" s="637">
        <v>44742</v>
      </c>
      <c r="I231" s="637">
        <v>49490</v>
      </c>
      <c r="J231" s="638" t="s">
        <v>447</v>
      </c>
      <c r="K231" s="639">
        <v>4.6100565843622263</v>
      </c>
      <c r="L231" s="637">
        <v>0</v>
      </c>
      <c r="M231" s="640">
        <v>-156522.08051282045</v>
      </c>
    </row>
    <row r="232" spans="3:13">
      <c r="C232" s="635" t="s">
        <v>2444</v>
      </c>
      <c r="D232" s="539" t="s">
        <v>1592</v>
      </c>
      <c r="E232" s="539" t="s">
        <v>1584</v>
      </c>
      <c r="F232" s="636" t="s">
        <v>1585</v>
      </c>
      <c r="G232" s="636" t="s">
        <v>1578</v>
      </c>
      <c r="H232" s="637">
        <v>44742</v>
      </c>
      <c r="I232" s="637">
        <v>51043</v>
      </c>
      <c r="J232" s="638" t="s">
        <v>447</v>
      </c>
      <c r="K232" s="639">
        <v>6.7660552061496775</v>
      </c>
      <c r="L232" s="636">
        <v>0</v>
      </c>
      <c r="M232" s="640">
        <v>-741332.54898550757</v>
      </c>
    </row>
    <row r="233" spans="3:13">
      <c r="C233" s="635" t="s">
        <v>2445</v>
      </c>
      <c r="D233" s="539" t="s">
        <v>1588</v>
      </c>
      <c r="E233" s="539" t="s">
        <v>1597</v>
      </c>
      <c r="F233" s="636" t="s">
        <v>1505</v>
      </c>
      <c r="G233" s="636" t="s">
        <v>1578</v>
      </c>
      <c r="H233" s="637">
        <v>43440</v>
      </c>
      <c r="I233" s="637">
        <v>49658</v>
      </c>
      <c r="J233" s="638" t="s">
        <v>1601</v>
      </c>
      <c r="K233" s="639">
        <v>5.3584879014096156</v>
      </c>
      <c r="L233" s="637">
        <v>0</v>
      </c>
      <c r="M233" s="640">
        <v>97746915.682060137</v>
      </c>
    </row>
    <row r="234" spans="3:13">
      <c r="C234" s="635" t="s">
        <v>2445</v>
      </c>
      <c r="D234" s="539" t="s">
        <v>1592</v>
      </c>
      <c r="E234" s="539" t="s">
        <v>1584</v>
      </c>
      <c r="F234" s="636" t="s">
        <v>1585</v>
      </c>
      <c r="G234" s="636" t="s">
        <v>1578</v>
      </c>
      <c r="H234" s="637">
        <v>44742</v>
      </c>
      <c r="I234" s="637">
        <v>49674</v>
      </c>
      <c r="J234" s="638" t="s">
        <v>447</v>
      </c>
      <c r="K234" s="639">
        <v>4.8636939571151947</v>
      </c>
      <c r="L234" s="637">
        <v>0</v>
      </c>
      <c r="M234" s="640">
        <v>-198672.63259259268</v>
      </c>
    </row>
    <row r="235" spans="3:13">
      <c r="C235" s="635" t="s">
        <v>2446</v>
      </c>
      <c r="D235" s="539" t="s">
        <v>1107</v>
      </c>
      <c r="E235" s="539" t="s">
        <v>1107</v>
      </c>
      <c r="F235" s="636" t="s">
        <v>1505</v>
      </c>
      <c r="G235" s="636" t="s">
        <v>1578</v>
      </c>
      <c r="H235" s="637">
        <v>44279</v>
      </c>
      <c r="I235" s="637">
        <v>49658</v>
      </c>
      <c r="J235" s="638" t="s">
        <v>1608</v>
      </c>
      <c r="K235" s="639">
        <v>7.2145031137958844</v>
      </c>
      <c r="L235" s="636">
        <v>0</v>
      </c>
      <c r="M235" s="640">
        <v>139464545.22715241</v>
      </c>
    </row>
    <row r="236" spans="3:13">
      <c r="C236" s="635" t="s">
        <v>2446</v>
      </c>
      <c r="D236" s="539" t="s">
        <v>1583</v>
      </c>
      <c r="E236" s="539" t="s">
        <v>1584</v>
      </c>
      <c r="F236" s="636" t="s">
        <v>1585</v>
      </c>
      <c r="G236" s="636" t="s">
        <v>1578</v>
      </c>
      <c r="H236" s="637">
        <v>44742</v>
      </c>
      <c r="I236" s="637">
        <v>49674</v>
      </c>
      <c r="J236" s="638" t="s">
        <v>447</v>
      </c>
      <c r="K236" s="639">
        <v>4.8636939571151743</v>
      </c>
      <c r="L236" s="636">
        <v>0</v>
      </c>
      <c r="M236" s="640">
        <v>-3878556.0851851869</v>
      </c>
    </row>
    <row r="237" spans="3:13">
      <c r="C237" s="635" t="s">
        <v>437</v>
      </c>
      <c r="D237" s="539" t="s">
        <v>1588</v>
      </c>
      <c r="E237" s="539" t="s">
        <v>1606</v>
      </c>
      <c r="F237" s="636" t="s">
        <v>1505</v>
      </c>
      <c r="G237" s="636" t="s">
        <v>1578</v>
      </c>
      <c r="H237" s="637">
        <v>44295</v>
      </c>
      <c r="I237" s="637">
        <v>51318</v>
      </c>
      <c r="J237" s="638" t="s">
        <v>1609</v>
      </c>
      <c r="K237" s="639">
        <v>6.9300911818243751</v>
      </c>
      <c r="L237" s="637">
        <v>0</v>
      </c>
      <c r="M237" s="640">
        <v>54200823.886520676</v>
      </c>
    </row>
    <row r="238" spans="3:13">
      <c r="C238" s="635" t="s">
        <v>437</v>
      </c>
      <c r="D238" s="539" t="s">
        <v>1592</v>
      </c>
      <c r="E238" s="539" t="s">
        <v>1584</v>
      </c>
      <c r="F238" s="636" t="s">
        <v>1585</v>
      </c>
      <c r="G238" s="636" t="s">
        <v>1578</v>
      </c>
      <c r="H238" s="637">
        <v>44742</v>
      </c>
      <c r="I238" s="637">
        <v>51348</v>
      </c>
      <c r="J238" s="638" t="s">
        <v>447</v>
      </c>
      <c r="K238" s="639">
        <v>7.188806706113974</v>
      </c>
      <c r="L238" s="636">
        <v>0</v>
      </c>
      <c r="M238" s="640">
        <v>-216293.78411438607</v>
      </c>
    </row>
    <row r="239" spans="3:13">
      <c r="C239" s="635" t="s">
        <v>2447</v>
      </c>
      <c r="D239" s="539" t="s">
        <v>1588</v>
      </c>
      <c r="E239" s="539" t="s">
        <v>1606</v>
      </c>
      <c r="F239" s="636" t="s">
        <v>1505</v>
      </c>
      <c r="G239" s="636" t="s">
        <v>1578</v>
      </c>
      <c r="H239" s="637">
        <v>44295</v>
      </c>
      <c r="I239" s="637">
        <v>51318</v>
      </c>
      <c r="J239" s="638" t="s">
        <v>1609</v>
      </c>
      <c r="K239" s="639">
        <v>6.9305700457481079</v>
      </c>
      <c r="L239" s="637">
        <v>0</v>
      </c>
      <c r="M239" s="640">
        <v>101995324.05463167</v>
      </c>
    </row>
    <row r="240" spans="3:13">
      <c r="C240" s="635" t="s">
        <v>2447</v>
      </c>
      <c r="D240" s="539" t="s">
        <v>1592</v>
      </c>
      <c r="E240" s="539" t="s">
        <v>1584</v>
      </c>
      <c r="F240" s="636" t="s">
        <v>1585</v>
      </c>
      <c r="G240" s="636" t="s">
        <v>1578</v>
      </c>
      <c r="H240" s="637">
        <v>44742</v>
      </c>
      <c r="I240" s="637">
        <v>51348</v>
      </c>
      <c r="J240" s="638" t="s">
        <v>447</v>
      </c>
      <c r="K240" s="639">
        <v>7.1888067061144181</v>
      </c>
      <c r="L240" s="636">
        <v>0</v>
      </c>
      <c r="M240" s="640">
        <v>-334109.59054820496</v>
      </c>
    </row>
    <row r="241" spans="3:13">
      <c r="C241" s="635" t="s">
        <v>2448</v>
      </c>
      <c r="D241" s="539" t="s">
        <v>1588</v>
      </c>
      <c r="E241" s="539" t="s">
        <v>1606</v>
      </c>
      <c r="F241" s="636" t="s">
        <v>1505</v>
      </c>
      <c r="G241" s="636" t="s">
        <v>1578</v>
      </c>
      <c r="H241" s="637">
        <v>44295</v>
      </c>
      <c r="I241" s="637">
        <v>51318</v>
      </c>
      <c r="J241" s="638" t="s">
        <v>1609</v>
      </c>
      <c r="K241" s="639">
        <v>6.9304406708965773</v>
      </c>
      <c r="L241" s="637">
        <v>0</v>
      </c>
      <c r="M241" s="640">
        <v>88063757.747709855</v>
      </c>
    </row>
    <row r="242" spans="3:13">
      <c r="C242" s="635" t="s">
        <v>2448</v>
      </c>
      <c r="D242" s="539" t="s">
        <v>1592</v>
      </c>
      <c r="E242" s="539" t="s">
        <v>1584</v>
      </c>
      <c r="F242" s="636" t="s">
        <v>1585</v>
      </c>
      <c r="G242" s="636" t="s">
        <v>1578</v>
      </c>
      <c r="H242" s="637">
        <v>44742</v>
      </c>
      <c r="I242" s="637">
        <v>51348</v>
      </c>
      <c r="J242" s="638" t="s">
        <v>447</v>
      </c>
      <c r="K242" s="639">
        <v>7.188806706114196</v>
      </c>
      <c r="L242" s="636">
        <v>0</v>
      </c>
      <c r="M242" s="640">
        <v>-359283.3582415476</v>
      </c>
    </row>
    <row r="243" spans="3:13">
      <c r="C243" s="635" t="s">
        <v>2449</v>
      </c>
      <c r="D243" s="539" t="s">
        <v>1588</v>
      </c>
      <c r="E243" s="539" t="s">
        <v>1597</v>
      </c>
      <c r="F243" s="636" t="s">
        <v>1505</v>
      </c>
      <c r="G243" s="636" t="s">
        <v>1578</v>
      </c>
      <c r="H243" s="637">
        <v>44287</v>
      </c>
      <c r="I243" s="637">
        <v>51332</v>
      </c>
      <c r="J243" s="638" t="s">
        <v>1610</v>
      </c>
      <c r="K243" s="639">
        <v>6.5470760826558436</v>
      </c>
      <c r="L243" s="637">
        <v>0</v>
      </c>
      <c r="M243" s="640">
        <v>82214791.564269215</v>
      </c>
    </row>
    <row r="244" spans="3:13">
      <c r="C244" s="635" t="s">
        <v>2449</v>
      </c>
      <c r="D244" s="539" t="s">
        <v>1592</v>
      </c>
      <c r="E244" s="539" t="s">
        <v>1584</v>
      </c>
      <c r="F244" s="636" t="s">
        <v>1585</v>
      </c>
      <c r="G244" s="636" t="s">
        <v>1578</v>
      </c>
      <c r="H244" s="637">
        <v>44742</v>
      </c>
      <c r="I244" s="637">
        <v>51348</v>
      </c>
      <c r="J244" s="638" t="s">
        <v>447</v>
      </c>
      <c r="K244" s="639">
        <v>7.1888067061141356</v>
      </c>
      <c r="L244" s="636">
        <v>0</v>
      </c>
      <c r="M244" s="640">
        <v>-906184.81903225742</v>
      </c>
    </row>
    <row r="245" spans="3:13">
      <c r="C245" s="635" t="s">
        <v>2450</v>
      </c>
      <c r="D245" s="539" t="s">
        <v>1588</v>
      </c>
      <c r="E245" s="539" t="s">
        <v>1590</v>
      </c>
      <c r="F245" s="636" t="s">
        <v>1595</v>
      </c>
      <c r="G245" s="636" t="s">
        <v>1578</v>
      </c>
      <c r="H245" s="637">
        <v>44883</v>
      </c>
      <c r="I245" s="637">
        <v>48745</v>
      </c>
      <c r="J245" s="638" t="s">
        <v>1611</v>
      </c>
      <c r="K245" s="639">
        <v>3.9204075597940675</v>
      </c>
      <c r="L245" s="637">
        <v>0</v>
      </c>
      <c r="M245" s="640">
        <v>440822.8092674872</v>
      </c>
    </row>
    <row r="246" spans="3:13">
      <c r="C246" s="635" t="s">
        <v>2450</v>
      </c>
      <c r="D246" s="539" t="s">
        <v>1588</v>
      </c>
      <c r="E246" s="539" t="s">
        <v>1590</v>
      </c>
      <c r="F246" s="636" t="s">
        <v>1595</v>
      </c>
      <c r="G246" s="636" t="s">
        <v>1578</v>
      </c>
      <c r="H246" s="637">
        <v>44545</v>
      </c>
      <c r="I246" s="637">
        <v>48745</v>
      </c>
      <c r="J246" s="638" t="s">
        <v>1611</v>
      </c>
      <c r="K246" s="639">
        <v>3.8271551669772332</v>
      </c>
      <c r="L246" s="636">
        <v>0</v>
      </c>
      <c r="M246" s="640">
        <v>844027.88741683785</v>
      </c>
    </row>
    <row r="247" spans="3:13">
      <c r="C247" s="635" t="s">
        <v>2450</v>
      </c>
      <c r="D247" s="539" t="s">
        <v>1588</v>
      </c>
      <c r="E247" s="539" t="s">
        <v>1590</v>
      </c>
      <c r="F247" s="636" t="s">
        <v>1595</v>
      </c>
      <c r="G247" s="636" t="s">
        <v>1578</v>
      </c>
      <c r="H247" s="637">
        <v>44545</v>
      </c>
      <c r="I247" s="637">
        <v>48745</v>
      </c>
      <c r="J247" s="638" t="s">
        <v>1611</v>
      </c>
      <c r="K247" s="639">
        <v>3.8271516921788136</v>
      </c>
      <c r="L247" s="636">
        <v>0</v>
      </c>
      <c r="M247" s="640">
        <v>428415.3688866559</v>
      </c>
    </row>
    <row r="248" spans="3:13">
      <c r="C248" s="635" t="s">
        <v>2450</v>
      </c>
      <c r="D248" s="539" t="s">
        <v>1588</v>
      </c>
      <c r="E248" s="539" t="s">
        <v>1590</v>
      </c>
      <c r="F248" s="636" t="s">
        <v>1595</v>
      </c>
      <c r="G248" s="636" t="s">
        <v>1578</v>
      </c>
      <c r="H248" s="637">
        <v>44545</v>
      </c>
      <c r="I248" s="637">
        <v>48745</v>
      </c>
      <c r="J248" s="638" t="s">
        <v>1611</v>
      </c>
      <c r="K248" s="639">
        <v>3.9204075404384637</v>
      </c>
      <c r="L248" s="637">
        <v>0</v>
      </c>
      <c r="M248" s="640">
        <v>27236386.934785314</v>
      </c>
    </row>
    <row r="249" spans="3:13">
      <c r="C249" s="635" t="s">
        <v>2450</v>
      </c>
      <c r="D249" s="539" t="s">
        <v>1588</v>
      </c>
      <c r="E249" s="539" t="s">
        <v>1590</v>
      </c>
      <c r="F249" s="636" t="s">
        <v>1595</v>
      </c>
      <c r="G249" s="636" t="s">
        <v>1578</v>
      </c>
      <c r="H249" s="637">
        <v>44545</v>
      </c>
      <c r="I249" s="637">
        <v>48745</v>
      </c>
      <c r="J249" s="638" t="s">
        <v>1611</v>
      </c>
      <c r="K249" s="639">
        <v>3.8271556317551587</v>
      </c>
      <c r="L249" s="637">
        <v>0</v>
      </c>
      <c r="M249" s="640">
        <v>1184386.1069187569</v>
      </c>
    </row>
    <row r="250" spans="3:13">
      <c r="C250" s="635" t="s">
        <v>2450</v>
      </c>
      <c r="D250" s="539" t="s">
        <v>1592</v>
      </c>
      <c r="E250" s="539" t="s">
        <v>1584</v>
      </c>
      <c r="F250" s="636" t="s">
        <v>1585</v>
      </c>
      <c r="G250" s="636" t="s">
        <v>1578</v>
      </c>
      <c r="H250" s="637">
        <v>44742</v>
      </c>
      <c r="I250" s="637">
        <v>48760</v>
      </c>
      <c r="J250" s="638" t="s">
        <v>447</v>
      </c>
      <c r="K250" s="639">
        <v>3.595535714286052</v>
      </c>
      <c r="L250" s="636">
        <v>0</v>
      </c>
      <c r="M250" s="640">
        <v>-503136.68863636378</v>
      </c>
    </row>
    <row r="251" spans="3:13">
      <c r="C251" s="635" t="s">
        <v>2451</v>
      </c>
      <c r="D251" s="539" t="s">
        <v>1588</v>
      </c>
      <c r="E251" s="539" t="s">
        <v>1590</v>
      </c>
      <c r="F251" s="636" t="s">
        <v>1595</v>
      </c>
      <c r="G251" s="636" t="s">
        <v>1578</v>
      </c>
      <c r="H251" s="637">
        <v>44545</v>
      </c>
      <c r="I251" s="637">
        <v>48745</v>
      </c>
      <c r="J251" s="638" t="s">
        <v>1611</v>
      </c>
      <c r="K251" s="639">
        <v>3.9204018944555474</v>
      </c>
      <c r="L251" s="637">
        <v>0</v>
      </c>
      <c r="M251" s="640">
        <v>39194097.216071703</v>
      </c>
    </row>
    <row r="252" spans="3:13">
      <c r="C252" s="635" t="s">
        <v>2451</v>
      </c>
      <c r="D252" s="539" t="s">
        <v>1592</v>
      </c>
      <c r="E252" s="539" t="s">
        <v>1584</v>
      </c>
      <c r="F252" s="636" t="s">
        <v>1585</v>
      </c>
      <c r="G252" s="636" t="s">
        <v>1578</v>
      </c>
      <c r="H252" s="637">
        <v>44742</v>
      </c>
      <c r="I252" s="637">
        <v>48760</v>
      </c>
      <c r="J252" s="638" t="s">
        <v>447</v>
      </c>
      <c r="K252" s="639">
        <v>3.5955341770069129</v>
      </c>
      <c r="L252" s="636">
        <v>0</v>
      </c>
      <c r="M252" s="640">
        <v>-656796.88454545429</v>
      </c>
    </row>
    <row r="253" spans="3:13">
      <c r="C253" s="635" t="s">
        <v>2452</v>
      </c>
      <c r="D253" s="539" t="s">
        <v>1588</v>
      </c>
      <c r="E253" s="539" t="s">
        <v>1590</v>
      </c>
      <c r="F253" s="636" t="s">
        <v>1595</v>
      </c>
      <c r="G253" s="636" t="s">
        <v>1578</v>
      </c>
      <c r="H253" s="637">
        <v>44545</v>
      </c>
      <c r="I253" s="637">
        <v>48745</v>
      </c>
      <c r="J253" s="638" t="s">
        <v>1611</v>
      </c>
      <c r="K253" s="639">
        <v>3.9204019639436711</v>
      </c>
      <c r="L253" s="637">
        <v>0</v>
      </c>
      <c r="M253" s="640">
        <v>59382305.009970911</v>
      </c>
    </row>
    <row r="254" spans="3:13">
      <c r="C254" s="635" t="s">
        <v>2452</v>
      </c>
      <c r="D254" s="539" t="s">
        <v>1592</v>
      </c>
      <c r="E254" s="539" t="s">
        <v>1584</v>
      </c>
      <c r="F254" s="636" t="s">
        <v>1585</v>
      </c>
      <c r="G254" s="636" t="s">
        <v>1578</v>
      </c>
      <c r="H254" s="637">
        <v>44742</v>
      </c>
      <c r="I254" s="637">
        <v>48760</v>
      </c>
      <c r="J254" s="638" t="s">
        <v>447</v>
      </c>
      <c r="K254" s="639">
        <v>3.5955357142855062</v>
      </c>
      <c r="L254" s="636">
        <v>0</v>
      </c>
      <c r="M254" s="640">
        <v>-1546260.7709090908</v>
      </c>
    </row>
    <row r="255" spans="3:13">
      <c r="C255" s="635" t="s">
        <v>2453</v>
      </c>
      <c r="D255" s="539" t="s">
        <v>1588</v>
      </c>
      <c r="E255" s="539" t="s">
        <v>1590</v>
      </c>
      <c r="F255" s="636" t="s">
        <v>1595</v>
      </c>
      <c r="G255" s="636" t="s">
        <v>1578</v>
      </c>
      <c r="H255" s="637">
        <v>44545</v>
      </c>
      <c r="I255" s="637">
        <v>48745</v>
      </c>
      <c r="J255" s="638" t="s">
        <v>1611</v>
      </c>
      <c r="K255" s="639">
        <v>3.9203969609408484</v>
      </c>
      <c r="L255" s="636">
        <v>0</v>
      </c>
      <c r="M255" s="640">
        <v>54081230.921167016</v>
      </c>
    </row>
    <row r="256" spans="3:13">
      <c r="C256" s="635" t="s">
        <v>2453</v>
      </c>
      <c r="D256" s="539" t="s">
        <v>1592</v>
      </c>
      <c r="E256" s="539" t="s">
        <v>1584</v>
      </c>
      <c r="F256" s="636" t="s">
        <v>1585</v>
      </c>
      <c r="G256" s="636" t="s">
        <v>1578</v>
      </c>
      <c r="H256" s="637">
        <v>44742</v>
      </c>
      <c r="I256" s="637">
        <v>48760</v>
      </c>
      <c r="J256" s="638" t="s">
        <v>447</v>
      </c>
      <c r="K256" s="639">
        <v>3.5955357142856679</v>
      </c>
      <c r="L256" s="637">
        <v>0</v>
      </c>
      <c r="M256" s="640">
        <v>-1009176.9461363638</v>
      </c>
    </row>
    <row r="257" spans="3:13">
      <c r="C257" s="635" t="s">
        <v>2454</v>
      </c>
      <c r="D257" s="539" t="s">
        <v>1588</v>
      </c>
      <c r="E257" s="539" t="s">
        <v>1590</v>
      </c>
      <c r="F257" s="636" t="s">
        <v>1595</v>
      </c>
      <c r="G257" s="636" t="s">
        <v>1578</v>
      </c>
      <c r="H257" s="637">
        <v>44545</v>
      </c>
      <c r="I257" s="637">
        <v>48745</v>
      </c>
      <c r="J257" s="638" t="s">
        <v>1611</v>
      </c>
      <c r="K257" s="639">
        <v>3.9204015526439737</v>
      </c>
      <c r="L257" s="637">
        <v>0</v>
      </c>
      <c r="M257" s="640">
        <v>42493480.894604743</v>
      </c>
    </row>
    <row r="258" spans="3:13">
      <c r="C258" s="635" t="s">
        <v>2454</v>
      </c>
      <c r="D258" s="539" t="s">
        <v>1592</v>
      </c>
      <c r="E258" s="539" t="s">
        <v>1584</v>
      </c>
      <c r="F258" s="636" t="s">
        <v>1585</v>
      </c>
      <c r="G258" s="636" t="s">
        <v>1578</v>
      </c>
      <c r="H258" s="637">
        <v>44742</v>
      </c>
      <c r="I258" s="637">
        <v>48760</v>
      </c>
      <c r="J258" s="638" t="s">
        <v>447</v>
      </c>
      <c r="K258" s="639">
        <v>3.5955357142858704</v>
      </c>
      <c r="L258" s="636">
        <v>0</v>
      </c>
      <c r="M258" s="640">
        <v>-1018583.1115909091</v>
      </c>
    </row>
    <row r="259" spans="3:13">
      <c r="C259" s="635" t="s">
        <v>2455</v>
      </c>
      <c r="D259" s="539" t="s">
        <v>1588</v>
      </c>
      <c r="E259" s="539" t="s">
        <v>1590</v>
      </c>
      <c r="F259" s="636" t="s">
        <v>1595</v>
      </c>
      <c r="G259" s="636" t="s">
        <v>1578</v>
      </c>
      <c r="H259" s="637">
        <v>44545</v>
      </c>
      <c r="I259" s="637">
        <v>48745</v>
      </c>
      <c r="J259" s="638" t="s">
        <v>1611</v>
      </c>
      <c r="K259" s="639">
        <v>3.92052980082897</v>
      </c>
      <c r="L259" s="636">
        <v>0</v>
      </c>
      <c r="M259" s="640">
        <v>23762303.361470379</v>
      </c>
    </row>
    <row r="260" spans="3:13">
      <c r="C260" s="635" t="s">
        <v>2455</v>
      </c>
      <c r="D260" s="539" t="s">
        <v>1592</v>
      </c>
      <c r="E260" s="539" t="s">
        <v>1584</v>
      </c>
      <c r="F260" s="636" t="s">
        <v>1585</v>
      </c>
      <c r="G260" s="636" t="s">
        <v>1578</v>
      </c>
      <c r="H260" s="637">
        <v>44742</v>
      </c>
      <c r="I260" s="637">
        <v>48760</v>
      </c>
      <c r="J260" s="638" t="s">
        <v>447</v>
      </c>
      <c r="K260" s="639">
        <v>3.5955357142856679</v>
      </c>
      <c r="L260" s="637">
        <v>0</v>
      </c>
      <c r="M260" s="640">
        <v>-599083.28727272735</v>
      </c>
    </row>
    <row r="261" spans="3:13">
      <c r="C261" s="635" t="s">
        <v>2456</v>
      </c>
      <c r="D261" s="539" t="s">
        <v>1588</v>
      </c>
      <c r="E261" s="539" t="s">
        <v>1590</v>
      </c>
      <c r="F261" s="636" t="s">
        <v>1595</v>
      </c>
      <c r="G261" s="636" t="s">
        <v>1578</v>
      </c>
      <c r="H261" s="637">
        <v>44545</v>
      </c>
      <c r="I261" s="637">
        <v>48745</v>
      </c>
      <c r="J261" s="638" t="s">
        <v>1611</v>
      </c>
      <c r="K261" s="639">
        <v>3.9204021736296353</v>
      </c>
      <c r="L261" s="637">
        <v>0</v>
      </c>
      <c r="M261" s="640">
        <v>37560816.364288025</v>
      </c>
    </row>
    <row r="262" spans="3:13">
      <c r="C262" s="635" t="s">
        <v>2456</v>
      </c>
      <c r="D262" s="539" t="s">
        <v>1592</v>
      </c>
      <c r="E262" s="539" t="s">
        <v>1584</v>
      </c>
      <c r="F262" s="636" t="s">
        <v>1585</v>
      </c>
      <c r="G262" s="636" t="s">
        <v>1578</v>
      </c>
      <c r="H262" s="637">
        <v>44742</v>
      </c>
      <c r="I262" s="637">
        <v>48760</v>
      </c>
      <c r="J262" s="638" t="s">
        <v>447</v>
      </c>
      <c r="K262" s="639">
        <v>3.5955357142857691</v>
      </c>
      <c r="L262" s="636">
        <v>0</v>
      </c>
      <c r="M262" s="640">
        <v>-2004385.6168181822</v>
      </c>
    </row>
    <row r="263" spans="3:13">
      <c r="C263" s="635" t="s">
        <v>2457</v>
      </c>
      <c r="D263" s="539" t="s">
        <v>1588</v>
      </c>
      <c r="E263" s="539" t="s">
        <v>1590</v>
      </c>
      <c r="F263" s="636" t="s">
        <v>1595</v>
      </c>
      <c r="G263" s="636" t="s">
        <v>1578</v>
      </c>
      <c r="H263" s="637">
        <v>44545</v>
      </c>
      <c r="I263" s="637">
        <v>48745</v>
      </c>
      <c r="J263" s="638" t="s">
        <v>1611</v>
      </c>
      <c r="K263" s="639">
        <v>3.9204009965344491</v>
      </c>
      <c r="L263" s="637">
        <v>0</v>
      </c>
      <c r="M263" s="640">
        <v>2010434.4947295371</v>
      </c>
    </row>
    <row r="264" spans="3:13">
      <c r="C264" s="635" t="s">
        <v>2458</v>
      </c>
      <c r="D264" s="539" t="s">
        <v>1107</v>
      </c>
      <c r="E264" s="539" t="s">
        <v>1107</v>
      </c>
      <c r="F264" s="636" t="s">
        <v>1505</v>
      </c>
      <c r="G264" s="636" t="s">
        <v>1578</v>
      </c>
      <c r="H264" s="637">
        <v>43930</v>
      </c>
      <c r="I264" s="637">
        <v>47467</v>
      </c>
      <c r="J264" s="638" t="s">
        <v>1612</v>
      </c>
      <c r="K264" s="639">
        <v>2.3371572322213776</v>
      </c>
      <c r="L264" s="636">
        <v>0</v>
      </c>
      <c r="M264" s="640">
        <v>14007860.633192528</v>
      </c>
    </row>
    <row r="265" spans="3:13">
      <c r="C265" s="635" t="s">
        <v>2458</v>
      </c>
      <c r="D265" s="539" t="s">
        <v>1107</v>
      </c>
      <c r="E265" s="539" t="s">
        <v>1107</v>
      </c>
      <c r="F265" s="636" t="s">
        <v>1505</v>
      </c>
      <c r="G265" s="636" t="s">
        <v>1578</v>
      </c>
      <c r="H265" s="637">
        <v>42853</v>
      </c>
      <c r="I265" s="637">
        <v>47771</v>
      </c>
      <c r="J265" s="638" t="s">
        <v>1613</v>
      </c>
      <c r="K265" s="639">
        <v>2.6104242484788807</v>
      </c>
      <c r="L265" s="637">
        <v>0</v>
      </c>
      <c r="M265" s="640">
        <v>164359870.4645969</v>
      </c>
    </row>
    <row r="266" spans="3:13">
      <c r="C266" s="635" t="s">
        <v>2458</v>
      </c>
      <c r="D266" s="539" t="s">
        <v>1583</v>
      </c>
      <c r="E266" s="539" t="s">
        <v>1584</v>
      </c>
      <c r="F266" s="636" t="s">
        <v>1585</v>
      </c>
      <c r="G266" s="636" t="s">
        <v>1578</v>
      </c>
      <c r="H266" s="637">
        <v>44742</v>
      </c>
      <c r="I266" s="637">
        <v>47483</v>
      </c>
      <c r="J266" s="638" t="s">
        <v>447</v>
      </c>
      <c r="K266" s="639">
        <v>1.8201719576719066</v>
      </c>
      <c r="L266" s="636">
        <v>0</v>
      </c>
      <c r="M266" s="640">
        <v>-76027.859940159688</v>
      </c>
    </row>
    <row r="267" spans="3:13">
      <c r="C267" s="635" t="s">
        <v>2458</v>
      </c>
      <c r="D267" s="539" t="s">
        <v>1583</v>
      </c>
      <c r="E267" s="539" t="s">
        <v>1584</v>
      </c>
      <c r="F267" s="636" t="s">
        <v>1585</v>
      </c>
      <c r="G267" s="636" t="s">
        <v>1578</v>
      </c>
      <c r="H267" s="637">
        <v>44742</v>
      </c>
      <c r="I267" s="637">
        <v>47787</v>
      </c>
      <c r="J267" s="638" t="s">
        <v>447</v>
      </c>
      <c r="K267" s="639">
        <v>2.2427884615383746</v>
      </c>
      <c r="L267" s="637">
        <v>0</v>
      </c>
      <c r="M267" s="640">
        <v>-14299.941915499998</v>
      </c>
    </row>
    <row r="268" spans="3:13">
      <c r="C268" s="635" t="s">
        <v>2459</v>
      </c>
      <c r="D268" s="539" t="s">
        <v>1588</v>
      </c>
      <c r="E268" s="539" t="s">
        <v>1590</v>
      </c>
      <c r="F268" s="636" t="s">
        <v>1505</v>
      </c>
      <c r="G268" s="636" t="s">
        <v>1578</v>
      </c>
      <c r="H268" s="637">
        <v>45076</v>
      </c>
      <c r="I268" s="637">
        <v>53676</v>
      </c>
      <c r="J268" s="638" t="s">
        <v>1614</v>
      </c>
      <c r="K268" s="639">
        <v>10.410983824477848</v>
      </c>
      <c r="L268" s="636">
        <v>0</v>
      </c>
      <c r="M268" s="640">
        <v>565946734.23000002</v>
      </c>
    </row>
    <row r="269" spans="3:13">
      <c r="C269" s="635" t="s">
        <v>2459</v>
      </c>
      <c r="D269" s="539" t="s">
        <v>1592</v>
      </c>
      <c r="E269" s="539" t="s">
        <v>1584</v>
      </c>
      <c r="F269" s="636" t="s">
        <v>1585</v>
      </c>
      <c r="G269" s="636" t="s">
        <v>1578</v>
      </c>
      <c r="H269" s="637">
        <v>45077</v>
      </c>
      <c r="I269" s="637">
        <v>53692</v>
      </c>
      <c r="J269" s="638" t="s">
        <v>447</v>
      </c>
      <c r="K269" s="639">
        <v>10.443992113864928</v>
      </c>
      <c r="L269" s="637">
        <v>0</v>
      </c>
      <c r="M269" s="640">
        <v>-9777940.0690764096</v>
      </c>
    </row>
    <row r="270" spans="3:13">
      <c r="C270" s="635" t="s">
        <v>2459</v>
      </c>
      <c r="D270" s="539" t="s">
        <v>1107</v>
      </c>
      <c r="E270" s="539" t="s">
        <v>1107</v>
      </c>
      <c r="F270" s="636" t="s">
        <v>1505</v>
      </c>
      <c r="G270" s="636" t="s">
        <v>1578</v>
      </c>
      <c r="H270" s="637">
        <v>45559</v>
      </c>
      <c r="I270" s="637">
        <v>51820</v>
      </c>
      <c r="J270" s="638" t="s">
        <v>1615</v>
      </c>
      <c r="K270" s="639">
        <v>10.948246470081257</v>
      </c>
      <c r="L270" s="636">
        <v>0</v>
      </c>
      <c r="M270" s="640">
        <v>95648440.101999998</v>
      </c>
    </row>
    <row r="271" spans="3:13">
      <c r="C271" s="635" t="s">
        <v>2459</v>
      </c>
      <c r="D271" s="539" t="s">
        <v>1583</v>
      </c>
      <c r="E271" s="539" t="s">
        <v>1584</v>
      </c>
      <c r="F271" s="636" t="s">
        <v>1585</v>
      </c>
      <c r="G271" s="636" t="s">
        <v>1578</v>
      </c>
      <c r="H271" s="637">
        <v>45559</v>
      </c>
      <c r="I271" s="637">
        <v>51820</v>
      </c>
      <c r="J271" s="638" t="s">
        <v>447</v>
      </c>
      <c r="K271" s="639">
        <v>8.5417159763314174</v>
      </c>
      <c r="L271" s="637">
        <v>0</v>
      </c>
      <c r="M271" s="640">
        <v>-2772882.57</v>
      </c>
    </row>
    <row r="272" spans="3:13">
      <c r="C272" s="635" t="s">
        <v>2460</v>
      </c>
      <c r="D272" s="539" t="s">
        <v>1588</v>
      </c>
      <c r="E272" s="539" t="s">
        <v>1597</v>
      </c>
      <c r="F272" s="636" t="s">
        <v>1505</v>
      </c>
      <c r="G272" s="636" t="s">
        <v>1578</v>
      </c>
      <c r="H272" s="637">
        <v>45716</v>
      </c>
      <c r="I272" s="637">
        <v>54011</v>
      </c>
      <c r="J272" s="638" t="s">
        <v>2461</v>
      </c>
      <c r="K272" s="639">
        <v>13.227035742726569</v>
      </c>
      <c r="L272" s="636">
        <v>0</v>
      </c>
      <c r="M272" s="640">
        <v>57467566.970707953</v>
      </c>
    </row>
    <row r="273" spans="3:13">
      <c r="C273" s="635" t="s">
        <v>2460</v>
      </c>
      <c r="D273" s="539" t="s">
        <v>1592</v>
      </c>
      <c r="E273" s="539" t="s">
        <v>1584</v>
      </c>
      <c r="F273" s="636" t="s">
        <v>1585</v>
      </c>
      <c r="G273" s="636" t="s">
        <v>1578</v>
      </c>
      <c r="H273" s="637">
        <v>45716</v>
      </c>
      <c r="I273" s="637">
        <v>54011</v>
      </c>
      <c r="J273" s="638" t="s">
        <v>447</v>
      </c>
      <c r="K273" s="639">
        <v>21.730555555555554</v>
      </c>
      <c r="L273" s="637">
        <v>0</v>
      </c>
      <c r="M273" s="640">
        <v>-820209.34</v>
      </c>
    </row>
    <row r="274" spans="3:13">
      <c r="C274" s="635" t="s">
        <v>2462</v>
      </c>
      <c r="D274" s="539" t="s">
        <v>1588</v>
      </c>
      <c r="E274" s="539" t="s">
        <v>1597</v>
      </c>
      <c r="F274" s="636" t="s">
        <v>1505</v>
      </c>
      <c r="G274" s="636" t="s">
        <v>1578</v>
      </c>
      <c r="H274" s="637">
        <v>45771</v>
      </c>
      <c r="I274" s="637">
        <v>54011</v>
      </c>
      <c r="J274" s="638" t="s">
        <v>2461</v>
      </c>
      <c r="K274" s="639">
        <v>11.178970214050787</v>
      </c>
      <c r="L274" s="636">
        <v>0</v>
      </c>
      <c r="M274" s="640">
        <v>140930071.68364298</v>
      </c>
    </row>
    <row r="275" spans="3:13">
      <c r="C275" s="635" t="s">
        <v>2462</v>
      </c>
      <c r="D275" s="539" t="s">
        <v>1592</v>
      </c>
      <c r="E275" s="539" t="s">
        <v>1584</v>
      </c>
      <c r="F275" s="636" t="s">
        <v>1585</v>
      </c>
      <c r="G275" s="636" t="s">
        <v>1578</v>
      </c>
      <c r="H275" s="637">
        <v>45771</v>
      </c>
      <c r="I275" s="637">
        <v>54011</v>
      </c>
      <c r="J275" s="638" t="s">
        <v>447</v>
      </c>
      <c r="K275" s="639">
        <v>10.908952906813385</v>
      </c>
      <c r="L275" s="636">
        <v>0</v>
      </c>
      <c r="M275" s="640">
        <v>-800730.73269372643</v>
      </c>
    </row>
    <row r="276" spans="3:13">
      <c r="C276" s="635" t="s">
        <v>2463</v>
      </c>
      <c r="D276" s="539" t="s">
        <v>1107</v>
      </c>
      <c r="E276" s="539" t="s">
        <v>1107</v>
      </c>
      <c r="F276" s="636" t="s">
        <v>1505</v>
      </c>
      <c r="G276" s="636" t="s">
        <v>1578</v>
      </c>
      <c r="H276" s="637">
        <v>43845</v>
      </c>
      <c r="I276" s="637">
        <v>46949</v>
      </c>
      <c r="J276" s="638" t="s">
        <v>1616</v>
      </c>
      <c r="K276" s="639">
        <v>1.1675342979146686</v>
      </c>
      <c r="L276" s="636">
        <v>0</v>
      </c>
      <c r="M276" s="640">
        <v>51200668.212402061</v>
      </c>
    </row>
    <row r="277" spans="3:13">
      <c r="C277" s="635" t="s">
        <v>2463</v>
      </c>
      <c r="D277" s="539" t="s">
        <v>1583</v>
      </c>
      <c r="E277" s="539" t="s">
        <v>1584</v>
      </c>
      <c r="F277" s="636" t="s">
        <v>1585</v>
      </c>
      <c r="G277" s="636" t="s">
        <v>1578</v>
      </c>
      <c r="H277" s="637">
        <v>44742</v>
      </c>
      <c r="I277" s="637">
        <v>46965</v>
      </c>
      <c r="J277" s="638" t="s">
        <v>447</v>
      </c>
      <c r="K277" s="639">
        <v>1.1010000000000015</v>
      </c>
      <c r="L277" s="636">
        <v>0</v>
      </c>
      <c r="M277" s="640">
        <v>-19172.591369862901</v>
      </c>
    </row>
    <row r="278" spans="3:13">
      <c r="C278" s="635" t="s">
        <v>2464</v>
      </c>
      <c r="D278" s="539" t="s">
        <v>1588</v>
      </c>
      <c r="E278" s="539" t="s">
        <v>1590</v>
      </c>
      <c r="F278" s="636" t="s">
        <v>1595</v>
      </c>
      <c r="G278" s="636" t="s">
        <v>1578</v>
      </c>
      <c r="H278" s="637">
        <v>43084</v>
      </c>
      <c r="I278" s="637">
        <v>48714</v>
      </c>
      <c r="J278" s="638" t="s">
        <v>1617</v>
      </c>
      <c r="K278" s="639">
        <v>3.5410123176184949</v>
      </c>
      <c r="L278" s="636">
        <v>0</v>
      </c>
      <c r="M278" s="640">
        <v>55360927.372571543</v>
      </c>
    </row>
    <row r="279" spans="3:13">
      <c r="C279" s="635" t="s">
        <v>2464</v>
      </c>
      <c r="D279" s="539" t="s">
        <v>1592</v>
      </c>
      <c r="E279" s="539" t="s">
        <v>1584</v>
      </c>
      <c r="F279" s="636" t="s">
        <v>1585</v>
      </c>
      <c r="G279" s="636" t="s">
        <v>1578</v>
      </c>
      <c r="H279" s="637">
        <v>44742</v>
      </c>
      <c r="I279" s="637">
        <v>48730</v>
      </c>
      <c r="J279" s="638" t="s">
        <v>447</v>
      </c>
      <c r="K279" s="639">
        <v>3.5532797858099001</v>
      </c>
      <c r="L279" s="637">
        <v>0</v>
      </c>
      <c r="M279" s="640">
        <v>-1431992.4377099238</v>
      </c>
    </row>
    <row r="280" spans="3:13">
      <c r="C280" s="635" t="s">
        <v>2465</v>
      </c>
      <c r="D280" s="539" t="s">
        <v>1588</v>
      </c>
      <c r="E280" s="539" t="s">
        <v>1590</v>
      </c>
      <c r="F280" s="636" t="s">
        <v>1595</v>
      </c>
      <c r="G280" s="636" t="s">
        <v>1578</v>
      </c>
      <c r="H280" s="637">
        <v>44519</v>
      </c>
      <c r="I280" s="637">
        <v>48714</v>
      </c>
      <c r="J280" s="638" t="s">
        <v>1617</v>
      </c>
      <c r="K280" s="639">
        <v>3.5448720792909727</v>
      </c>
      <c r="L280" s="636">
        <v>0</v>
      </c>
      <c r="M280" s="640">
        <v>163566.02517678292</v>
      </c>
    </row>
    <row r="281" spans="3:13">
      <c r="C281" s="635" t="s">
        <v>2465</v>
      </c>
      <c r="D281" s="539" t="s">
        <v>1588</v>
      </c>
      <c r="E281" s="539" t="s">
        <v>1590</v>
      </c>
      <c r="F281" s="636" t="s">
        <v>1595</v>
      </c>
      <c r="G281" s="636" t="s">
        <v>1578</v>
      </c>
      <c r="H281" s="637">
        <v>43084</v>
      </c>
      <c r="I281" s="637">
        <v>48714</v>
      </c>
      <c r="J281" s="638" t="s">
        <v>1617</v>
      </c>
      <c r="K281" s="639">
        <v>3.5410100841364613</v>
      </c>
      <c r="L281" s="637">
        <v>0</v>
      </c>
      <c r="M281" s="640">
        <v>55409294.166486204</v>
      </c>
    </row>
    <row r="282" spans="3:13">
      <c r="C282" s="635" t="s">
        <v>2465</v>
      </c>
      <c r="D282" s="539" t="s">
        <v>1588</v>
      </c>
      <c r="E282" s="539" t="s">
        <v>1590</v>
      </c>
      <c r="F282" s="636" t="s">
        <v>1595</v>
      </c>
      <c r="G282" s="636" t="s">
        <v>1578</v>
      </c>
      <c r="H282" s="637">
        <v>43449</v>
      </c>
      <c r="I282" s="637">
        <v>48714</v>
      </c>
      <c r="J282" s="638" t="s">
        <v>1617</v>
      </c>
      <c r="K282" s="639">
        <v>3.5448721695143024</v>
      </c>
      <c r="L282" s="636">
        <v>0</v>
      </c>
      <c r="M282" s="640">
        <v>938779.95228586695</v>
      </c>
    </row>
    <row r="283" spans="3:13">
      <c r="C283" s="635" t="s">
        <v>2465</v>
      </c>
      <c r="D283" s="539" t="s">
        <v>1588</v>
      </c>
      <c r="E283" s="539" t="s">
        <v>1590</v>
      </c>
      <c r="F283" s="636" t="s">
        <v>1595</v>
      </c>
      <c r="G283" s="636" t="s">
        <v>1578</v>
      </c>
      <c r="H283" s="637">
        <v>43814</v>
      </c>
      <c r="I283" s="637">
        <v>48714</v>
      </c>
      <c r="J283" s="638" t="s">
        <v>1617</v>
      </c>
      <c r="K283" s="639">
        <v>3.5619597039040958</v>
      </c>
      <c r="L283" s="637">
        <v>0</v>
      </c>
      <c r="M283" s="640">
        <v>470297.33172683662</v>
      </c>
    </row>
    <row r="284" spans="3:13">
      <c r="C284" s="635" t="s">
        <v>2465</v>
      </c>
      <c r="D284" s="539" t="s">
        <v>1592</v>
      </c>
      <c r="E284" s="539" t="s">
        <v>1584</v>
      </c>
      <c r="F284" s="636" t="s">
        <v>1585</v>
      </c>
      <c r="G284" s="636" t="s">
        <v>1578</v>
      </c>
      <c r="H284" s="637">
        <v>44742</v>
      </c>
      <c r="I284" s="637">
        <v>48730</v>
      </c>
      <c r="J284" s="638" t="s">
        <v>447</v>
      </c>
      <c r="K284" s="639">
        <v>3.5532797858097385</v>
      </c>
      <c r="L284" s="636">
        <v>0</v>
      </c>
      <c r="M284" s="640">
        <v>-1463540.8151145035</v>
      </c>
    </row>
    <row r="285" spans="3:13">
      <c r="C285" s="635" t="s">
        <v>2466</v>
      </c>
      <c r="D285" s="539" t="s">
        <v>1588</v>
      </c>
      <c r="E285" s="539" t="s">
        <v>1590</v>
      </c>
      <c r="F285" s="636" t="s">
        <v>1595</v>
      </c>
      <c r="G285" s="636" t="s">
        <v>1578</v>
      </c>
      <c r="H285" s="637">
        <v>43084</v>
      </c>
      <c r="I285" s="637">
        <v>48714</v>
      </c>
      <c r="J285" s="638" t="s">
        <v>1617</v>
      </c>
      <c r="K285" s="639">
        <v>3.5410120311658626</v>
      </c>
      <c r="L285" s="637">
        <v>0</v>
      </c>
      <c r="M285" s="640">
        <v>59052211.183255479</v>
      </c>
    </row>
    <row r="286" spans="3:13">
      <c r="C286" s="635" t="s">
        <v>2466</v>
      </c>
      <c r="D286" s="539" t="s">
        <v>1592</v>
      </c>
      <c r="E286" s="539" t="s">
        <v>1584</v>
      </c>
      <c r="F286" s="636" t="s">
        <v>1585</v>
      </c>
      <c r="G286" s="636" t="s">
        <v>1578</v>
      </c>
      <c r="H286" s="637">
        <v>44742</v>
      </c>
      <c r="I286" s="637">
        <v>48730</v>
      </c>
      <c r="J286" s="638" t="s">
        <v>447</v>
      </c>
      <c r="K286" s="639">
        <v>3.5532797858098397</v>
      </c>
      <c r="L286" s="636">
        <v>0</v>
      </c>
      <c r="M286" s="640">
        <v>-2289416.9667175571</v>
      </c>
    </row>
    <row r="287" spans="3:13">
      <c r="C287" s="635" t="s">
        <v>2467</v>
      </c>
      <c r="D287" s="539" t="s">
        <v>1588</v>
      </c>
      <c r="E287" s="539" t="s">
        <v>1590</v>
      </c>
      <c r="F287" s="636" t="s">
        <v>1595</v>
      </c>
      <c r="G287" s="636" t="s">
        <v>1578</v>
      </c>
      <c r="H287" s="637">
        <v>43084</v>
      </c>
      <c r="I287" s="637">
        <v>48714</v>
      </c>
      <c r="J287" s="638" t="s">
        <v>1617</v>
      </c>
      <c r="K287" s="639">
        <v>3.5410106050518557</v>
      </c>
      <c r="L287" s="637">
        <v>0</v>
      </c>
      <c r="M287" s="640">
        <v>55361449.114285395</v>
      </c>
    </row>
    <row r="288" spans="3:13">
      <c r="C288" s="635" t="s">
        <v>2467</v>
      </c>
      <c r="D288" s="539" t="s">
        <v>1592</v>
      </c>
      <c r="E288" s="539" t="s">
        <v>1584</v>
      </c>
      <c r="F288" s="636" t="s">
        <v>1585</v>
      </c>
      <c r="G288" s="636" t="s">
        <v>1578</v>
      </c>
      <c r="H288" s="637">
        <v>44742</v>
      </c>
      <c r="I288" s="637">
        <v>48730</v>
      </c>
      <c r="J288" s="638" t="s">
        <v>447</v>
      </c>
      <c r="K288" s="639">
        <v>3.5532797858102438</v>
      </c>
      <c r="L288" s="636">
        <v>0</v>
      </c>
      <c r="M288" s="640">
        <v>-1475527.3719083969</v>
      </c>
    </row>
    <row r="289" spans="3:13">
      <c r="C289" s="635" t="s">
        <v>2468</v>
      </c>
      <c r="D289" s="539" t="s">
        <v>1588</v>
      </c>
      <c r="E289" s="539" t="s">
        <v>1590</v>
      </c>
      <c r="F289" s="636" t="s">
        <v>1595</v>
      </c>
      <c r="G289" s="636" t="s">
        <v>1578</v>
      </c>
      <c r="H289" s="637">
        <v>43084</v>
      </c>
      <c r="I289" s="637">
        <v>48714</v>
      </c>
      <c r="J289" s="638" t="s">
        <v>1617</v>
      </c>
      <c r="K289" s="639">
        <v>3.5410093701563001</v>
      </c>
      <c r="L289" s="637">
        <v>0</v>
      </c>
      <c r="M289" s="640">
        <v>59052242.043255478</v>
      </c>
    </row>
    <row r="290" spans="3:13">
      <c r="C290" s="635" t="s">
        <v>2468</v>
      </c>
      <c r="D290" s="539" t="s">
        <v>1592</v>
      </c>
      <c r="E290" s="539" t="s">
        <v>1584</v>
      </c>
      <c r="F290" s="636" t="s">
        <v>1585</v>
      </c>
      <c r="G290" s="636" t="s">
        <v>1578</v>
      </c>
      <c r="H290" s="637">
        <v>44742</v>
      </c>
      <c r="I290" s="637">
        <v>48730</v>
      </c>
      <c r="J290" s="638" t="s">
        <v>447</v>
      </c>
      <c r="K290" s="639">
        <v>3.5532797858101426</v>
      </c>
      <c r="L290" s="636">
        <v>0</v>
      </c>
      <c r="M290" s="640">
        <v>-1577410.3000000003</v>
      </c>
    </row>
    <row r="291" spans="3:13">
      <c r="C291" s="635" t="s">
        <v>2469</v>
      </c>
      <c r="D291" s="539" t="s">
        <v>1107</v>
      </c>
      <c r="E291" s="539" t="s">
        <v>1107</v>
      </c>
      <c r="F291" s="636" t="s">
        <v>1505</v>
      </c>
      <c r="G291" s="636" t="s">
        <v>1578</v>
      </c>
      <c r="H291" s="637">
        <v>45384</v>
      </c>
      <c r="I291" s="637">
        <v>52671</v>
      </c>
      <c r="J291" s="638" t="s">
        <v>1618</v>
      </c>
      <c r="K291" s="639">
        <v>11.752279953462635</v>
      </c>
      <c r="L291" s="637">
        <v>0</v>
      </c>
      <c r="M291" s="640">
        <v>1056890702.1130588</v>
      </c>
    </row>
    <row r="292" spans="3:13">
      <c r="C292" s="635" t="s">
        <v>2469</v>
      </c>
      <c r="D292" s="539" t="s">
        <v>1583</v>
      </c>
      <c r="E292" s="539" t="s">
        <v>1584</v>
      </c>
      <c r="F292" s="636" t="s">
        <v>1585</v>
      </c>
      <c r="G292" s="636" t="s">
        <v>1578</v>
      </c>
      <c r="H292" s="637">
        <v>45384</v>
      </c>
      <c r="I292" s="637">
        <v>52671</v>
      </c>
      <c r="J292" s="638" t="s">
        <v>447</v>
      </c>
      <c r="K292" s="639">
        <v>9.0488914971307164</v>
      </c>
      <c r="L292" s="636">
        <v>0</v>
      </c>
      <c r="M292" s="640">
        <v>-51698896.439763367</v>
      </c>
    </row>
    <row r="293" spans="3:13">
      <c r="C293" s="635" t="s">
        <v>2469</v>
      </c>
      <c r="D293" s="539" t="s">
        <v>2086</v>
      </c>
      <c r="E293" s="539" t="s">
        <v>1584</v>
      </c>
      <c r="F293" s="636" t="s">
        <v>1585</v>
      </c>
      <c r="G293" s="636" t="s">
        <v>1578</v>
      </c>
      <c r="H293" s="637">
        <v>45554</v>
      </c>
      <c r="I293" s="637">
        <v>47379</v>
      </c>
      <c r="J293" s="638" t="s">
        <v>447</v>
      </c>
      <c r="K293" s="639">
        <v>2.875</v>
      </c>
      <c r="L293" s="637">
        <v>0</v>
      </c>
      <c r="M293" s="640">
        <v>-1092735</v>
      </c>
    </row>
    <row r="294" spans="3:13">
      <c r="C294" s="635" t="s">
        <v>2470</v>
      </c>
      <c r="D294" s="539" t="s">
        <v>1588</v>
      </c>
      <c r="E294" s="539" t="s">
        <v>1597</v>
      </c>
      <c r="F294" s="636" t="s">
        <v>1505</v>
      </c>
      <c r="G294" s="636" t="s">
        <v>1578</v>
      </c>
      <c r="H294" s="637">
        <v>45457</v>
      </c>
      <c r="I294" s="637">
        <v>54163</v>
      </c>
      <c r="J294" s="638" t="s">
        <v>1619</v>
      </c>
      <c r="K294" s="639">
        <v>13.606874720255655</v>
      </c>
      <c r="L294" s="636">
        <v>0</v>
      </c>
      <c r="M294" s="640">
        <v>119671537.45663311</v>
      </c>
    </row>
    <row r="295" spans="3:13">
      <c r="C295" s="635" t="s">
        <v>2470</v>
      </c>
      <c r="D295" s="539" t="s">
        <v>1588</v>
      </c>
      <c r="E295" s="539" t="s">
        <v>1597</v>
      </c>
      <c r="F295" s="636" t="s">
        <v>1505</v>
      </c>
      <c r="G295" s="636" t="s">
        <v>1578</v>
      </c>
      <c r="H295" s="637">
        <v>45457</v>
      </c>
      <c r="I295" s="637">
        <v>48136</v>
      </c>
      <c r="J295" s="638" t="s">
        <v>1620</v>
      </c>
      <c r="K295" s="639">
        <v>2.7378748009664884</v>
      </c>
      <c r="L295" s="636">
        <v>0</v>
      </c>
      <c r="M295" s="640">
        <v>12279713.958571427</v>
      </c>
    </row>
    <row r="296" spans="3:13">
      <c r="C296" s="635" t="s">
        <v>2470</v>
      </c>
      <c r="D296" s="539" t="s">
        <v>2086</v>
      </c>
      <c r="E296" s="539" t="s">
        <v>1584</v>
      </c>
      <c r="F296" s="636" t="s">
        <v>1585</v>
      </c>
      <c r="G296" s="636" t="s">
        <v>1578</v>
      </c>
      <c r="H296" s="637">
        <v>45457</v>
      </c>
      <c r="I296" s="637">
        <v>50570</v>
      </c>
      <c r="J296" s="638" t="s">
        <v>447</v>
      </c>
      <c r="K296" s="639">
        <v>22.152777777777779</v>
      </c>
      <c r="L296" s="637">
        <v>0</v>
      </c>
      <c r="M296" s="640">
        <v>-728456.92</v>
      </c>
    </row>
    <row r="297" spans="3:13">
      <c r="C297" s="635" t="s">
        <v>2471</v>
      </c>
      <c r="D297" s="539" t="s">
        <v>1588</v>
      </c>
      <c r="E297" s="539" t="s">
        <v>1597</v>
      </c>
      <c r="F297" s="636" t="s">
        <v>1505</v>
      </c>
      <c r="G297" s="636" t="s">
        <v>1578</v>
      </c>
      <c r="H297" s="637">
        <v>45457</v>
      </c>
      <c r="I297" s="637">
        <v>54163</v>
      </c>
      <c r="J297" s="638" t="s">
        <v>1619</v>
      </c>
      <c r="K297" s="639">
        <v>13.492538397003026</v>
      </c>
      <c r="L297" s="637">
        <v>0</v>
      </c>
      <c r="M297" s="640">
        <v>118282182.35400353</v>
      </c>
    </row>
    <row r="298" spans="3:13">
      <c r="C298" s="635" t="s">
        <v>2471</v>
      </c>
      <c r="D298" s="539" t="s">
        <v>1588</v>
      </c>
      <c r="E298" s="539" t="s">
        <v>1597</v>
      </c>
      <c r="F298" s="636" t="s">
        <v>1505</v>
      </c>
      <c r="G298" s="636" t="s">
        <v>1578</v>
      </c>
      <c r="H298" s="637">
        <v>45457</v>
      </c>
      <c r="I298" s="637">
        <v>48136</v>
      </c>
      <c r="J298" s="638" t="s">
        <v>1620</v>
      </c>
      <c r="K298" s="639">
        <v>3.0185325094539319</v>
      </c>
      <c r="L298" s="636">
        <v>0</v>
      </c>
      <c r="M298" s="640">
        <v>12279713.958571428</v>
      </c>
    </row>
    <row r="299" spans="3:13">
      <c r="C299" s="635" t="s">
        <v>2471</v>
      </c>
      <c r="D299" s="539" t="s">
        <v>1592</v>
      </c>
      <c r="E299" s="539" t="s">
        <v>1584</v>
      </c>
      <c r="F299" s="636" t="s">
        <v>1585</v>
      </c>
      <c r="G299" s="636" t="s">
        <v>1578</v>
      </c>
      <c r="H299" s="637">
        <v>45457</v>
      </c>
      <c r="I299" s="637">
        <v>50570</v>
      </c>
      <c r="J299" s="638" t="s">
        <v>447</v>
      </c>
      <c r="K299" s="639">
        <v>22.152777777777779</v>
      </c>
      <c r="L299" s="637">
        <v>0</v>
      </c>
      <c r="M299" s="640">
        <v>-703894.74</v>
      </c>
    </row>
    <row r="300" spans="3:13">
      <c r="C300" s="635" t="s">
        <v>2472</v>
      </c>
      <c r="D300" s="539" t="s">
        <v>1588</v>
      </c>
      <c r="E300" s="539" t="s">
        <v>1597</v>
      </c>
      <c r="F300" s="636" t="s">
        <v>1505</v>
      </c>
      <c r="G300" s="636" t="s">
        <v>1578</v>
      </c>
      <c r="H300" s="637">
        <v>45457</v>
      </c>
      <c r="I300" s="637">
        <v>54163</v>
      </c>
      <c r="J300" s="638" t="s">
        <v>1619</v>
      </c>
      <c r="K300" s="639">
        <v>12.740954450400668</v>
      </c>
      <c r="L300" s="636">
        <v>0</v>
      </c>
      <c r="M300" s="640">
        <v>126826964.69254997</v>
      </c>
    </row>
    <row r="301" spans="3:13">
      <c r="C301" s="635" t="s">
        <v>2472</v>
      </c>
      <c r="D301" s="539" t="s">
        <v>1592</v>
      </c>
      <c r="E301" s="539" t="s">
        <v>1584</v>
      </c>
      <c r="F301" s="636" t="s">
        <v>1585</v>
      </c>
      <c r="G301" s="636" t="s">
        <v>1578</v>
      </c>
      <c r="H301" s="637">
        <v>45457</v>
      </c>
      <c r="I301" s="637">
        <v>50570</v>
      </c>
      <c r="J301" s="638" t="s">
        <v>447</v>
      </c>
      <c r="K301" s="639">
        <v>22.152777777777757</v>
      </c>
      <c r="L301" s="637">
        <v>0</v>
      </c>
      <c r="M301" s="640">
        <v>-691210.52</v>
      </c>
    </row>
    <row r="302" spans="3:13">
      <c r="C302" s="635" t="s">
        <v>2473</v>
      </c>
      <c r="D302" s="539" t="s">
        <v>1107</v>
      </c>
      <c r="E302" s="539" t="s">
        <v>1107</v>
      </c>
      <c r="F302" s="636" t="s">
        <v>1505</v>
      </c>
      <c r="G302" s="636" t="s">
        <v>1578</v>
      </c>
      <c r="H302" s="637">
        <v>43997</v>
      </c>
      <c r="I302" s="637">
        <v>47651</v>
      </c>
      <c r="J302" s="638" t="s">
        <v>1621</v>
      </c>
      <c r="K302" s="639">
        <v>2.4949731294107349</v>
      </c>
      <c r="L302" s="636">
        <v>0</v>
      </c>
      <c r="M302" s="640">
        <v>176498251.46809784</v>
      </c>
    </row>
    <row r="303" spans="3:13">
      <c r="C303" s="635" t="s">
        <v>2473</v>
      </c>
      <c r="D303" s="539" t="s">
        <v>1107</v>
      </c>
      <c r="E303" s="539" t="s">
        <v>1107</v>
      </c>
      <c r="F303" s="636" t="s">
        <v>1505</v>
      </c>
      <c r="G303" s="636" t="s">
        <v>1578</v>
      </c>
      <c r="H303" s="637">
        <v>44224</v>
      </c>
      <c r="I303" s="637">
        <v>47863</v>
      </c>
      <c r="J303" s="638" t="s">
        <v>1622</v>
      </c>
      <c r="K303" s="639">
        <v>2.2515346495016071</v>
      </c>
      <c r="L303" s="637">
        <v>0</v>
      </c>
      <c r="M303" s="640">
        <v>74939394.437593207</v>
      </c>
    </row>
    <row r="304" spans="3:13">
      <c r="C304" s="635" t="s">
        <v>2473</v>
      </c>
      <c r="D304" s="539" t="s">
        <v>1107</v>
      </c>
      <c r="E304" s="539" t="s">
        <v>1107</v>
      </c>
      <c r="F304" s="636" t="s">
        <v>1505</v>
      </c>
      <c r="G304" s="636" t="s">
        <v>1578</v>
      </c>
      <c r="H304" s="637">
        <v>44224</v>
      </c>
      <c r="I304" s="637">
        <v>47833</v>
      </c>
      <c r="J304" s="638" t="s">
        <v>1622</v>
      </c>
      <c r="K304" s="639">
        <v>2.2581393301221397</v>
      </c>
      <c r="L304" s="636">
        <v>0</v>
      </c>
      <c r="M304" s="640">
        <v>56204545.830694892</v>
      </c>
    </row>
    <row r="305" spans="3:13">
      <c r="C305" s="635" t="s">
        <v>2473</v>
      </c>
      <c r="D305" s="539" t="s">
        <v>1583</v>
      </c>
      <c r="E305" s="539" t="s">
        <v>1584</v>
      </c>
      <c r="F305" s="636" t="s">
        <v>1585</v>
      </c>
      <c r="G305" s="636" t="s">
        <v>1578</v>
      </c>
      <c r="H305" s="637">
        <v>44742</v>
      </c>
      <c r="I305" s="637">
        <v>47879</v>
      </c>
      <c r="J305" s="638" t="s">
        <v>447</v>
      </c>
      <c r="K305" s="639">
        <v>2.3696969696968155</v>
      </c>
      <c r="L305" s="637">
        <v>0</v>
      </c>
      <c r="M305" s="640">
        <v>-808645.05815533956</v>
      </c>
    </row>
    <row r="306" spans="3:13">
      <c r="C306" s="635" t="s">
        <v>2473</v>
      </c>
      <c r="D306" s="539" t="s">
        <v>1583</v>
      </c>
      <c r="E306" s="539" t="s">
        <v>1584</v>
      </c>
      <c r="F306" s="636" t="s">
        <v>1585</v>
      </c>
      <c r="G306" s="636" t="s">
        <v>1578</v>
      </c>
      <c r="H306" s="637">
        <v>44742</v>
      </c>
      <c r="I306" s="637">
        <v>47664</v>
      </c>
      <c r="J306" s="638" t="s">
        <v>447</v>
      </c>
      <c r="K306" s="639">
        <v>2.0736689814814477</v>
      </c>
      <c r="L306" s="636">
        <v>0</v>
      </c>
      <c r="M306" s="640">
        <v>-4893992.7337500034</v>
      </c>
    </row>
    <row r="307" spans="3:13">
      <c r="C307" s="635" t="s">
        <v>2473</v>
      </c>
      <c r="D307" s="539" t="s">
        <v>1573</v>
      </c>
      <c r="E307" s="539" t="s">
        <v>2087</v>
      </c>
      <c r="F307" s="636" t="s">
        <v>1575</v>
      </c>
      <c r="G307" s="636" t="s">
        <v>1576</v>
      </c>
      <c r="H307" s="637">
        <v>45923</v>
      </c>
      <c r="I307" s="637">
        <v>46653</v>
      </c>
      <c r="J307" s="638" t="s">
        <v>2474</v>
      </c>
      <c r="K307" s="639">
        <v>1.2694444444444444</v>
      </c>
      <c r="L307" s="637">
        <v>0</v>
      </c>
      <c r="M307" s="640">
        <v>101475157.78337425</v>
      </c>
    </row>
    <row r="308" spans="3:13">
      <c r="C308" s="635" t="s">
        <v>1541</v>
      </c>
      <c r="D308" s="539" t="s">
        <v>1588</v>
      </c>
      <c r="E308" s="539" t="s">
        <v>1626</v>
      </c>
      <c r="F308" s="636" t="s">
        <v>1585</v>
      </c>
      <c r="G308" s="636" t="s">
        <v>1578</v>
      </c>
      <c r="H308" s="637">
        <v>41899</v>
      </c>
      <c r="I308" s="637">
        <v>46675</v>
      </c>
      <c r="J308" s="638">
        <v>6.8000000000000005E-2</v>
      </c>
      <c r="K308" s="639">
        <v>0.72838465881260261</v>
      </c>
      <c r="L308" s="636" t="s">
        <v>1586</v>
      </c>
      <c r="M308" s="640">
        <v>23154496.424599029</v>
      </c>
    </row>
    <row r="309" spans="3:13">
      <c r="C309" s="635" t="s">
        <v>1541</v>
      </c>
      <c r="D309" s="539" t="s">
        <v>1588</v>
      </c>
      <c r="E309" s="539" t="s">
        <v>1591</v>
      </c>
      <c r="F309" s="636" t="s">
        <v>1575</v>
      </c>
      <c r="G309" s="636" t="s">
        <v>1578</v>
      </c>
      <c r="H309" s="637">
        <v>45625</v>
      </c>
      <c r="I309" s="637">
        <v>46720</v>
      </c>
      <c r="J309" s="638" t="s">
        <v>2408</v>
      </c>
      <c r="K309" s="639">
        <v>1.4267829493052584</v>
      </c>
      <c r="L309" s="637">
        <v>0</v>
      </c>
      <c r="M309" s="640">
        <v>182175190.87126184</v>
      </c>
    </row>
    <row r="310" spans="3:13">
      <c r="C310" s="635" t="s">
        <v>1541</v>
      </c>
      <c r="D310" s="539" t="s">
        <v>1588</v>
      </c>
      <c r="E310" s="539" t="s">
        <v>1590</v>
      </c>
      <c r="F310" s="636" t="s">
        <v>1575</v>
      </c>
      <c r="G310" s="636" t="s">
        <v>1578</v>
      </c>
      <c r="H310" s="637">
        <v>45776</v>
      </c>
      <c r="I310" s="637">
        <v>52458</v>
      </c>
      <c r="J310" s="638" t="s">
        <v>2475</v>
      </c>
      <c r="K310" s="639">
        <v>8.7247038684301508</v>
      </c>
      <c r="L310" s="636" t="s">
        <v>1586</v>
      </c>
      <c r="M310" s="640">
        <v>287631669.58236742</v>
      </c>
    </row>
    <row r="311" spans="3:13">
      <c r="C311" s="635" t="s">
        <v>1541</v>
      </c>
      <c r="D311" s="539" t="s">
        <v>1588</v>
      </c>
      <c r="E311" s="539" t="s">
        <v>1590</v>
      </c>
      <c r="F311" s="636" t="s">
        <v>1575</v>
      </c>
      <c r="G311" s="636" t="s">
        <v>1578</v>
      </c>
      <c r="H311" s="637">
        <v>45895</v>
      </c>
      <c r="I311" s="637">
        <v>52458</v>
      </c>
      <c r="J311" s="638" t="s">
        <v>2390</v>
      </c>
      <c r="K311" s="639">
        <v>8.7257615185088877</v>
      </c>
      <c r="L311" s="636" t="s">
        <v>1586</v>
      </c>
      <c r="M311" s="640">
        <v>592991114.34451914</v>
      </c>
    </row>
    <row r="312" spans="3:13">
      <c r="C312" s="635" t="s">
        <v>1541</v>
      </c>
      <c r="D312" s="539" t="s">
        <v>1107</v>
      </c>
      <c r="E312" s="539" t="s">
        <v>1107</v>
      </c>
      <c r="F312" s="636" t="s">
        <v>1505</v>
      </c>
      <c r="G312" s="636" t="s">
        <v>1578</v>
      </c>
      <c r="H312" s="637">
        <v>45054</v>
      </c>
      <c r="I312" s="637">
        <v>47953</v>
      </c>
      <c r="J312" s="638" t="s">
        <v>2476</v>
      </c>
      <c r="K312" s="639">
        <v>3.8399874386834401</v>
      </c>
      <c r="L312" s="636" t="s">
        <v>1581</v>
      </c>
      <c r="M312" s="640">
        <v>1170305583.6583717</v>
      </c>
    </row>
    <row r="313" spans="3:13">
      <c r="C313" s="635" t="s">
        <v>1541</v>
      </c>
      <c r="D313" s="539" t="s">
        <v>1107</v>
      </c>
      <c r="E313" s="539" t="s">
        <v>1107</v>
      </c>
      <c r="F313" s="636" t="s">
        <v>1505</v>
      </c>
      <c r="G313" s="636" t="s">
        <v>1578</v>
      </c>
      <c r="H313" s="637">
        <v>45226</v>
      </c>
      <c r="I313" s="637">
        <v>48136</v>
      </c>
      <c r="J313" s="638" t="s">
        <v>2477</v>
      </c>
      <c r="K313" s="639">
        <v>4.224311274728219</v>
      </c>
      <c r="L313" s="636" t="s">
        <v>1581</v>
      </c>
      <c r="M313" s="640">
        <v>555291972.60999787</v>
      </c>
    </row>
    <row r="314" spans="3:13">
      <c r="C314" s="635" t="s">
        <v>1541</v>
      </c>
      <c r="D314" s="539" t="s">
        <v>1107</v>
      </c>
      <c r="E314" s="539" t="s">
        <v>1107</v>
      </c>
      <c r="F314" s="636" t="s">
        <v>1505</v>
      </c>
      <c r="G314" s="636" t="s">
        <v>1578</v>
      </c>
      <c r="H314" s="637">
        <v>45226</v>
      </c>
      <c r="I314" s="637">
        <v>49597</v>
      </c>
      <c r="J314" s="638" t="s">
        <v>2478</v>
      </c>
      <c r="K314" s="639">
        <v>7.665433439627769</v>
      </c>
      <c r="L314" s="637" t="s">
        <v>1581</v>
      </c>
      <c r="M314" s="640">
        <v>833314861.47749889</v>
      </c>
    </row>
    <row r="315" spans="3:13">
      <c r="C315" s="635" t="s">
        <v>1541</v>
      </c>
      <c r="D315" s="539" t="s">
        <v>1107</v>
      </c>
      <c r="E315" s="539" t="s">
        <v>1107</v>
      </c>
      <c r="F315" s="636" t="s">
        <v>1575</v>
      </c>
      <c r="G315" s="636" t="s">
        <v>1578</v>
      </c>
      <c r="H315" s="637">
        <v>45385</v>
      </c>
      <c r="I315" s="637">
        <v>47562</v>
      </c>
      <c r="J315" s="638" t="s">
        <v>2384</v>
      </c>
      <c r="K315" s="639">
        <v>2.6939674646209824</v>
      </c>
      <c r="L315" s="636" t="s">
        <v>1581</v>
      </c>
      <c r="M315" s="640">
        <v>2085877134.0500751</v>
      </c>
    </row>
    <row r="316" spans="3:13">
      <c r="C316" s="635" t="s">
        <v>1541</v>
      </c>
      <c r="D316" s="539" t="s">
        <v>1107</v>
      </c>
      <c r="E316" s="539" t="s">
        <v>1107</v>
      </c>
      <c r="F316" s="636" t="s">
        <v>1575</v>
      </c>
      <c r="G316" s="636" t="s">
        <v>1578</v>
      </c>
      <c r="H316" s="637">
        <v>45456</v>
      </c>
      <c r="I316" s="637">
        <v>49810</v>
      </c>
      <c r="J316" s="638" t="s">
        <v>2479</v>
      </c>
      <c r="K316" s="639">
        <v>8.4659086790104379</v>
      </c>
      <c r="L316" s="637" t="s">
        <v>1581</v>
      </c>
      <c r="M316" s="640">
        <v>962084983.0240463</v>
      </c>
    </row>
    <row r="317" spans="3:13">
      <c r="C317" s="635" t="s">
        <v>1541</v>
      </c>
      <c r="D317" s="539" t="s">
        <v>1107</v>
      </c>
      <c r="E317" s="539" t="s">
        <v>1107</v>
      </c>
      <c r="F317" s="636" t="s">
        <v>1575</v>
      </c>
      <c r="G317" s="636" t="s">
        <v>1578</v>
      </c>
      <c r="H317" s="637">
        <v>45513</v>
      </c>
      <c r="I317" s="637">
        <v>47700</v>
      </c>
      <c r="J317" s="638" t="s">
        <v>2396</v>
      </c>
      <c r="K317" s="639">
        <v>3.0500825012727848</v>
      </c>
      <c r="L317" s="636" t="s">
        <v>1581</v>
      </c>
      <c r="M317" s="640">
        <v>1057884906.2103399</v>
      </c>
    </row>
    <row r="318" spans="3:13">
      <c r="C318" s="635" t="s">
        <v>1541</v>
      </c>
      <c r="D318" s="539" t="s">
        <v>1107</v>
      </c>
      <c r="E318" s="539" t="s">
        <v>1107</v>
      </c>
      <c r="F318" s="636" t="s">
        <v>1575</v>
      </c>
      <c r="G318" s="636" t="s">
        <v>1578</v>
      </c>
      <c r="H318" s="637">
        <v>45573</v>
      </c>
      <c r="I318" s="637">
        <v>47741</v>
      </c>
      <c r="J318" s="638" t="s">
        <v>2396</v>
      </c>
      <c r="K318" s="639">
        <v>3.1762253800574198</v>
      </c>
      <c r="L318" s="637">
        <v>0</v>
      </c>
      <c r="M318" s="640">
        <v>1451147711.9943712</v>
      </c>
    </row>
    <row r="319" spans="3:13">
      <c r="C319" s="635" t="s">
        <v>1541</v>
      </c>
      <c r="D319" s="539" t="s">
        <v>1107</v>
      </c>
      <c r="E319" s="539" t="s">
        <v>1107</v>
      </c>
      <c r="F319" s="636" t="s">
        <v>1575</v>
      </c>
      <c r="G319" s="636" t="s">
        <v>1578</v>
      </c>
      <c r="H319" s="637">
        <v>45573</v>
      </c>
      <c r="I319" s="637">
        <v>49933</v>
      </c>
      <c r="J319" s="638" t="s">
        <v>2480</v>
      </c>
      <c r="K319" s="639">
        <v>8.6924124851439046</v>
      </c>
      <c r="L319" s="636">
        <v>0</v>
      </c>
      <c r="M319" s="640">
        <v>825715939.82546449</v>
      </c>
    </row>
    <row r="320" spans="3:13">
      <c r="C320" s="635" t="s">
        <v>1541</v>
      </c>
      <c r="D320" s="539" t="s">
        <v>1107</v>
      </c>
      <c r="E320" s="539" t="s">
        <v>1107</v>
      </c>
      <c r="F320" s="636" t="s">
        <v>1575</v>
      </c>
      <c r="G320" s="636" t="s">
        <v>1578</v>
      </c>
      <c r="H320" s="637">
        <v>45625</v>
      </c>
      <c r="I320" s="637">
        <v>48177</v>
      </c>
      <c r="J320" s="638" t="s">
        <v>2423</v>
      </c>
      <c r="K320" s="639">
        <v>5.4257782458077699</v>
      </c>
      <c r="L320" s="637">
        <v>0</v>
      </c>
      <c r="M320" s="640">
        <v>1014286571.5807071</v>
      </c>
    </row>
    <row r="321" spans="3:13">
      <c r="C321" s="635" t="s">
        <v>1541</v>
      </c>
      <c r="D321" s="539" t="s">
        <v>1107</v>
      </c>
      <c r="E321" s="539" t="s">
        <v>1107</v>
      </c>
      <c r="F321" s="636" t="s">
        <v>1575</v>
      </c>
      <c r="G321" s="636" t="s">
        <v>1578</v>
      </c>
      <c r="H321" s="637">
        <v>45909</v>
      </c>
      <c r="I321" s="637">
        <v>50267</v>
      </c>
      <c r="J321" s="638" t="s">
        <v>2398</v>
      </c>
      <c r="K321" s="639">
        <v>9.5107161944965313</v>
      </c>
      <c r="L321" s="636" t="s">
        <v>1581</v>
      </c>
      <c r="M321" s="640">
        <v>801166251.38286209</v>
      </c>
    </row>
    <row r="322" spans="3:13">
      <c r="C322" s="635" t="s">
        <v>1541</v>
      </c>
      <c r="D322" s="539" t="s">
        <v>1107</v>
      </c>
      <c r="E322" s="539" t="s">
        <v>1107</v>
      </c>
      <c r="F322" s="636" t="s">
        <v>1575</v>
      </c>
      <c r="G322" s="636" t="s">
        <v>1578</v>
      </c>
      <c r="H322" s="637">
        <v>45909</v>
      </c>
      <c r="I322" s="637">
        <v>50267</v>
      </c>
      <c r="J322" s="638" t="s">
        <v>2481</v>
      </c>
      <c r="K322" s="639">
        <v>9.5107161944965313</v>
      </c>
      <c r="L322" s="637" t="s">
        <v>1581</v>
      </c>
      <c r="M322" s="640">
        <v>801166251.38286197</v>
      </c>
    </row>
    <row r="323" spans="3:13">
      <c r="C323" s="635" t="s">
        <v>1541</v>
      </c>
      <c r="D323" s="539" t="s">
        <v>1107</v>
      </c>
      <c r="E323" s="539" t="s">
        <v>1107</v>
      </c>
      <c r="F323" s="636" t="s">
        <v>1575</v>
      </c>
      <c r="G323" s="636" t="s">
        <v>1578</v>
      </c>
      <c r="H323" s="637">
        <v>45960</v>
      </c>
      <c r="I323" s="637">
        <v>48502</v>
      </c>
      <c r="J323" s="638" t="s">
        <v>2379</v>
      </c>
      <c r="K323" s="639">
        <v>5.17350951217007</v>
      </c>
      <c r="L323" s="636">
        <v>0</v>
      </c>
      <c r="M323" s="640">
        <v>1337656611.8243706</v>
      </c>
    </row>
    <row r="324" spans="3:13">
      <c r="C324" s="635" t="s">
        <v>1541</v>
      </c>
      <c r="D324" s="539" t="s">
        <v>1107</v>
      </c>
      <c r="E324" s="539" t="s">
        <v>1107</v>
      </c>
      <c r="F324" s="636" t="s">
        <v>1575</v>
      </c>
      <c r="G324" s="636" t="s">
        <v>1578</v>
      </c>
      <c r="H324" s="637">
        <v>46066</v>
      </c>
      <c r="I324" s="637">
        <v>50420</v>
      </c>
      <c r="J324" s="638" t="s">
        <v>2380</v>
      </c>
      <c r="K324" s="639">
        <v>9.9839305816804575</v>
      </c>
      <c r="L324" s="636">
        <v>0</v>
      </c>
      <c r="M324" s="640">
        <v>1657032687.5834436</v>
      </c>
    </row>
    <row r="325" spans="3:13">
      <c r="C325" s="635" t="s">
        <v>1541</v>
      </c>
      <c r="D325" s="539" t="s">
        <v>1573</v>
      </c>
      <c r="E325" s="539" t="s">
        <v>1587</v>
      </c>
      <c r="F325" s="636" t="s">
        <v>1575</v>
      </c>
      <c r="G325" s="636" t="s">
        <v>1576</v>
      </c>
      <c r="H325" s="637">
        <v>45495</v>
      </c>
      <c r="I325" s="637">
        <v>46590</v>
      </c>
      <c r="J325" s="638" t="s">
        <v>2421</v>
      </c>
      <c r="K325" s="639">
        <v>1.0734763228028088</v>
      </c>
      <c r="L325" s="637" t="s">
        <v>1579</v>
      </c>
      <c r="M325" s="640">
        <v>371585810.83579278</v>
      </c>
    </row>
    <row r="326" spans="3:13">
      <c r="C326" s="635" t="s">
        <v>1541</v>
      </c>
      <c r="D326" s="539" t="s">
        <v>1573</v>
      </c>
      <c r="E326" s="539" t="s">
        <v>1574</v>
      </c>
      <c r="F326" s="636" t="s">
        <v>1575</v>
      </c>
      <c r="G326" s="636" t="s">
        <v>1576</v>
      </c>
      <c r="H326" s="637">
        <v>45887</v>
      </c>
      <c r="I326" s="637">
        <v>46983</v>
      </c>
      <c r="J326" s="638" t="s">
        <v>2396</v>
      </c>
      <c r="K326" s="639">
        <v>2.1688305035240569</v>
      </c>
      <c r="L326" s="636">
        <v>0</v>
      </c>
      <c r="M326" s="640">
        <v>184087108.76127529</v>
      </c>
    </row>
    <row r="327" spans="3:13">
      <c r="C327" s="635" t="s">
        <v>1541</v>
      </c>
      <c r="D327" s="539" t="s">
        <v>1573</v>
      </c>
      <c r="E327" s="539" t="s">
        <v>1625</v>
      </c>
      <c r="F327" s="636" t="s">
        <v>1575</v>
      </c>
      <c r="G327" s="636" t="s">
        <v>1576</v>
      </c>
      <c r="H327" s="637">
        <v>46199</v>
      </c>
      <c r="I327" s="637">
        <v>49841</v>
      </c>
      <c r="J327" s="638" t="s">
        <v>2520</v>
      </c>
      <c r="K327" s="639">
        <v>6.8464895777012824</v>
      </c>
      <c r="L327" s="636" t="s">
        <v>2521</v>
      </c>
      <c r="M327" s="640">
        <v>780948490.13863158</v>
      </c>
    </row>
    <row r="328" spans="3:13">
      <c r="C328" s="635" t="s">
        <v>1541</v>
      </c>
      <c r="D328" s="539" t="s">
        <v>1583</v>
      </c>
      <c r="E328" s="539" t="s">
        <v>1584</v>
      </c>
      <c r="F328" s="636" t="s">
        <v>1585</v>
      </c>
      <c r="G328" s="636" t="s">
        <v>1578</v>
      </c>
      <c r="H328" s="637">
        <v>45054</v>
      </c>
      <c r="I328" s="637">
        <v>47953</v>
      </c>
      <c r="J328" s="638" t="s">
        <v>447</v>
      </c>
      <c r="K328" s="639">
        <v>2.4963601532565818</v>
      </c>
      <c r="L328" s="637" t="s">
        <v>1586</v>
      </c>
      <c r="M328" s="640">
        <v>-24252321.823648743</v>
      </c>
    </row>
    <row r="329" spans="3:13">
      <c r="C329" s="635" t="s">
        <v>1541</v>
      </c>
      <c r="D329" s="539" t="s">
        <v>1583</v>
      </c>
      <c r="E329" s="539" t="s">
        <v>1584</v>
      </c>
      <c r="F329" s="636" t="s">
        <v>1585</v>
      </c>
      <c r="G329" s="636" t="s">
        <v>1578</v>
      </c>
      <c r="H329" s="637">
        <v>45237</v>
      </c>
      <c r="I329" s="637">
        <v>47406</v>
      </c>
      <c r="J329" s="638" t="s">
        <v>447</v>
      </c>
      <c r="K329" s="639">
        <v>1.7355555555556446</v>
      </c>
      <c r="L329" s="636" t="s">
        <v>1586</v>
      </c>
      <c r="M329" s="640">
        <v>-27730625.652311902</v>
      </c>
    </row>
    <row r="330" spans="3:13">
      <c r="C330" s="635" t="s">
        <v>1541</v>
      </c>
      <c r="D330" s="539" t="s">
        <v>1583</v>
      </c>
      <c r="E330" s="539" t="s">
        <v>1584</v>
      </c>
      <c r="F330" s="636" t="s">
        <v>1585</v>
      </c>
      <c r="G330" s="636" t="s">
        <v>1578</v>
      </c>
      <c r="H330" s="637">
        <v>45444</v>
      </c>
      <c r="I330" s="637">
        <v>47562</v>
      </c>
      <c r="J330" s="638" t="s">
        <v>447</v>
      </c>
      <c r="K330" s="639">
        <v>1.946975308641878</v>
      </c>
      <c r="L330" s="637" t="s">
        <v>1586</v>
      </c>
      <c r="M330" s="640">
        <v>-4392066.8346608914</v>
      </c>
    </row>
    <row r="331" spans="3:13">
      <c r="C331" s="635" t="s">
        <v>1541</v>
      </c>
      <c r="D331" s="539" t="s">
        <v>1583</v>
      </c>
      <c r="E331" s="539" t="s">
        <v>1584</v>
      </c>
      <c r="F331" s="636" t="s">
        <v>1585</v>
      </c>
      <c r="G331" s="636" t="s">
        <v>1578</v>
      </c>
      <c r="H331" s="637">
        <v>45444</v>
      </c>
      <c r="I331" s="637">
        <v>49810</v>
      </c>
      <c r="J331" s="638" t="s">
        <v>447</v>
      </c>
      <c r="K331" s="639">
        <v>5.0750700280113756</v>
      </c>
      <c r="L331" s="636" t="s">
        <v>1586</v>
      </c>
      <c r="M331" s="640">
        <v>-30140779.883202478</v>
      </c>
    </row>
    <row r="332" spans="3:13">
      <c r="C332" s="635" t="s">
        <v>1541</v>
      </c>
      <c r="D332" s="539" t="s">
        <v>1583</v>
      </c>
      <c r="E332" s="539" t="s">
        <v>1584</v>
      </c>
      <c r="F332" s="636" t="s">
        <v>1585</v>
      </c>
      <c r="G332" s="636" t="s">
        <v>1578</v>
      </c>
      <c r="H332" s="637">
        <v>45564</v>
      </c>
      <c r="I332" s="637">
        <v>47700</v>
      </c>
      <c r="J332" s="638" t="s">
        <v>447</v>
      </c>
      <c r="K332" s="639">
        <v>2.15822222222226</v>
      </c>
      <c r="L332" s="636" t="s">
        <v>1586</v>
      </c>
      <c r="M332" s="640">
        <v>-2783177.434589895</v>
      </c>
    </row>
    <row r="333" spans="3:13">
      <c r="C333" s="635" t="s">
        <v>1541</v>
      </c>
      <c r="D333" s="539" t="s">
        <v>1583</v>
      </c>
      <c r="E333" s="539" t="s">
        <v>1584</v>
      </c>
      <c r="F333" s="636" t="s">
        <v>1585</v>
      </c>
      <c r="G333" s="636" t="s">
        <v>1578</v>
      </c>
      <c r="H333" s="637">
        <v>45657</v>
      </c>
      <c r="I333" s="637">
        <v>49933</v>
      </c>
      <c r="J333" s="638" t="s">
        <v>447</v>
      </c>
      <c r="K333" s="639">
        <v>5.244196025293645</v>
      </c>
      <c r="L333" s="636" t="s">
        <v>1586</v>
      </c>
      <c r="M333" s="640">
        <v>-19703500.311985835</v>
      </c>
    </row>
    <row r="334" spans="3:13">
      <c r="C334" s="635" t="s">
        <v>1541</v>
      </c>
      <c r="D334" s="539" t="s">
        <v>1583</v>
      </c>
      <c r="E334" s="539" t="s">
        <v>1584</v>
      </c>
      <c r="F334" s="636" t="s">
        <v>1585</v>
      </c>
      <c r="G334" s="636" t="s">
        <v>1578</v>
      </c>
      <c r="H334" s="637">
        <v>45930</v>
      </c>
      <c r="I334" s="637">
        <v>50267</v>
      </c>
      <c r="J334" s="638" t="s">
        <v>447</v>
      </c>
      <c r="K334" s="639">
        <v>5.7092661691544384</v>
      </c>
      <c r="L334" s="636" t="s">
        <v>1586</v>
      </c>
      <c r="M334" s="640">
        <v>-50970748.275898278</v>
      </c>
    </row>
    <row r="335" spans="3:13">
      <c r="C335" s="635" t="s">
        <v>1541</v>
      </c>
      <c r="D335" s="539" t="s">
        <v>1583</v>
      </c>
      <c r="E335" s="539" t="s">
        <v>1584</v>
      </c>
      <c r="F335" s="636" t="s">
        <v>1585</v>
      </c>
      <c r="G335" s="636" t="s">
        <v>1578</v>
      </c>
      <c r="H335" s="637">
        <v>45657</v>
      </c>
      <c r="I335" s="637">
        <v>48177</v>
      </c>
      <c r="J335" s="638" t="s">
        <v>447</v>
      </c>
      <c r="K335" s="639">
        <v>2.7921794871792573</v>
      </c>
      <c r="L335" s="636" t="s">
        <v>1586</v>
      </c>
      <c r="M335" s="640">
        <v>-3415391.850190389</v>
      </c>
    </row>
    <row r="336" spans="3:13">
      <c r="C336" s="635" t="s">
        <v>1541</v>
      </c>
      <c r="D336" s="539" t="s">
        <v>1583</v>
      </c>
      <c r="E336" s="539" t="s">
        <v>1584</v>
      </c>
      <c r="F336" s="636" t="s">
        <v>1585</v>
      </c>
      <c r="G336" s="636" t="s">
        <v>1578</v>
      </c>
      <c r="H336" s="637">
        <v>45657</v>
      </c>
      <c r="I336" s="637">
        <v>48177</v>
      </c>
      <c r="J336" s="638" t="s">
        <v>447</v>
      </c>
      <c r="K336" s="639">
        <v>3.2573099415204019</v>
      </c>
      <c r="L336" s="636" t="s">
        <v>1586</v>
      </c>
      <c r="M336" s="640">
        <v>-1348215.7085714287</v>
      </c>
    </row>
    <row r="337" spans="3:13">
      <c r="C337" s="635" t="s">
        <v>1541</v>
      </c>
      <c r="D337" s="539" t="s">
        <v>1583</v>
      </c>
      <c r="E337" s="539" t="s">
        <v>1584</v>
      </c>
      <c r="F337" s="636" t="s">
        <v>1585</v>
      </c>
      <c r="G337" s="636" t="s">
        <v>1578</v>
      </c>
      <c r="H337" s="637">
        <v>46066</v>
      </c>
      <c r="I337" s="637">
        <v>50420</v>
      </c>
      <c r="J337" s="638" t="s">
        <v>447</v>
      </c>
      <c r="K337" s="639">
        <v>6.0052206461778646</v>
      </c>
      <c r="L337" s="636" t="s">
        <v>1586</v>
      </c>
      <c r="M337" s="640">
        <v>-55057336.09708333</v>
      </c>
    </row>
    <row r="338" spans="3:13">
      <c r="C338" s="635" t="s">
        <v>1541</v>
      </c>
      <c r="D338" s="539" t="s">
        <v>2086</v>
      </c>
      <c r="E338" s="539" t="s">
        <v>1584</v>
      </c>
      <c r="F338" s="636" t="s">
        <v>1585</v>
      </c>
      <c r="G338" s="636" t="s">
        <v>1578</v>
      </c>
      <c r="H338" s="637">
        <v>45411</v>
      </c>
      <c r="I338" s="637">
        <v>52458</v>
      </c>
      <c r="J338" s="638" t="s">
        <v>447</v>
      </c>
      <c r="K338" s="639">
        <v>8.7529665587922452</v>
      </c>
      <c r="L338" s="636">
        <v>0</v>
      </c>
      <c r="M338" s="640">
        <v>-6975909.0545454584</v>
      </c>
    </row>
    <row r="339" spans="3:13">
      <c r="C339" s="773" t="s">
        <v>1541</v>
      </c>
      <c r="D339" s="774" t="s">
        <v>1633</v>
      </c>
      <c r="E339" s="774" t="s">
        <v>1584</v>
      </c>
      <c r="F339" s="775" t="s">
        <v>1585</v>
      </c>
      <c r="G339" s="775" t="s">
        <v>1578</v>
      </c>
      <c r="H339" s="776">
        <v>41899</v>
      </c>
      <c r="I339" s="776">
        <v>46675</v>
      </c>
      <c r="J339" s="777" t="s">
        <v>447</v>
      </c>
      <c r="K339" s="778">
        <v>0.73087124193326514</v>
      </c>
      <c r="L339" s="775" t="s">
        <v>1586</v>
      </c>
      <c r="M339" s="779">
        <v>-4128520.9357231599</v>
      </c>
    </row>
  </sheetData>
  <mergeCells count="11">
    <mergeCell ref="J7:J8"/>
    <mergeCell ref="K7:K8"/>
    <mergeCell ref="L7:L8"/>
    <mergeCell ref="M7:M8"/>
    <mergeCell ref="C7:C8"/>
    <mergeCell ref="E7:E8"/>
    <mergeCell ref="F7:F8"/>
    <mergeCell ref="G7:G8"/>
    <mergeCell ref="H7:H8"/>
    <mergeCell ref="I7:I8"/>
    <mergeCell ref="D7:D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tabColor theme="9" tint="0.79998168889431442"/>
  </sheetPr>
  <dimension ref="B7:AP85"/>
  <sheetViews>
    <sheetView topLeftCell="C1" zoomScale="70" zoomScaleNormal="70" workbookViewId="0">
      <pane ySplit="7" topLeftCell="A8" activePane="bottomLeft" state="frozen"/>
      <selection pane="bottomLeft" activeCell="AQ13" sqref="AQ13"/>
    </sheetView>
  </sheetViews>
  <sheetFormatPr defaultColWidth="9.21875" defaultRowHeight="14.4" outlineLevelCol="1"/>
  <cols>
    <col min="1" max="1" width="9.21875" style="35"/>
    <col min="2" max="2" width="28.5546875" style="35" customWidth="1"/>
    <col min="3" max="3" width="39.21875" style="35" bestFit="1" customWidth="1"/>
    <col min="4" max="4" width="1.77734375" style="36" hidden="1" customWidth="1" outlineLevel="1"/>
    <col min="5" max="7" width="9.21875" style="36" hidden="1" customWidth="1" outlineLevel="1"/>
    <col min="8" max="11" width="9.21875" style="37" hidden="1" customWidth="1" outlineLevel="1"/>
    <col min="12" max="23" width="9.21875" style="35" hidden="1" customWidth="1" outlineLevel="1"/>
    <col min="24" max="24" width="9.21875" style="35" customWidth="1" collapsed="1"/>
    <col min="25" max="27" width="9.21875" style="35" customWidth="1"/>
    <col min="28" max="16384" width="9.21875" style="35"/>
  </cols>
  <sheetData>
    <row r="7" spans="2:42">
      <c r="B7" s="106" t="s">
        <v>1638</v>
      </c>
      <c r="C7" s="106" t="s">
        <v>1639</v>
      </c>
      <c r="E7" s="107" t="s">
        <v>55</v>
      </c>
      <c r="F7" s="107" t="s">
        <v>56</v>
      </c>
      <c r="G7" s="107" t="s">
        <v>57</v>
      </c>
      <c r="H7" s="107" t="s">
        <v>58</v>
      </c>
      <c r="I7" s="108" t="s">
        <v>59</v>
      </c>
      <c r="J7" s="108" t="s">
        <v>60</v>
      </c>
      <c r="K7" s="108" t="s">
        <v>61</v>
      </c>
      <c r="L7" s="108" t="s">
        <v>62</v>
      </c>
      <c r="M7" s="108" t="s">
        <v>63</v>
      </c>
      <c r="N7" s="108" t="s">
        <v>64</v>
      </c>
      <c r="O7" s="109" t="s">
        <v>65</v>
      </c>
      <c r="P7" s="109" t="s">
        <v>66</v>
      </c>
      <c r="Q7" s="109" t="s">
        <v>67</v>
      </c>
      <c r="R7" s="109" t="s">
        <v>68</v>
      </c>
      <c r="S7" s="109" t="s">
        <v>69</v>
      </c>
      <c r="T7" s="109" t="s">
        <v>70</v>
      </c>
      <c r="U7" s="109" t="s">
        <v>71</v>
      </c>
      <c r="V7" s="109" t="s">
        <v>72</v>
      </c>
      <c r="W7" s="109" t="s">
        <v>73</v>
      </c>
      <c r="X7" s="109" t="s">
        <v>74</v>
      </c>
      <c r="Y7" s="109" t="s">
        <v>75</v>
      </c>
      <c r="Z7" s="109" t="s">
        <v>76</v>
      </c>
      <c r="AA7" s="109" t="s">
        <v>77</v>
      </c>
      <c r="AB7" s="109" t="s">
        <v>78</v>
      </c>
      <c r="AC7" s="109" t="s">
        <v>79</v>
      </c>
      <c r="AD7" s="109" t="s">
        <v>80</v>
      </c>
      <c r="AE7" s="109" t="s">
        <v>81</v>
      </c>
      <c r="AF7" s="109" t="s">
        <v>82</v>
      </c>
      <c r="AG7" s="109" t="s">
        <v>83</v>
      </c>
      <c r="AH7" s="109" t="s">
        <v>84</v>
      </c>
      <c r="AI7" s="109" t="s">
        <v>85</v>
      </c>
      <c r="AJ7" s="109" t="s">
        <v>86</v>
      </c>
      <c r="AK7" s="109" t="s">
        <v>87</v>
      </c>
      <c r="AL7" s="109" t="s">
        <v>88</v>
      </c>
      <c r="AM7" s="109" t="s">
        <v>2074</v>
      </c>
      <c r="AN7" s="109" t="s">
        <v>2127</v>
      </c>
      <c r="AO7" s="109" t="s">
        <v>2360</v>
      </c>
      <c r="AP7" s="109" t="s">
        <v>2494</v>
      </c>
    </row>
    <row r="8" spans="2:42">
      <c r="B8" s="38" t="s">
        <v>89</v>
      </c>
      <c r="C8" s="38" t="s">
        <v>89</v>
      </c>
      <c r="E8" s="39"/>
      <c r="F8" s="39"/>
      <c r="G8" s="39"/>
      <c r="H8" s="39"/>
      <c r="I8" s="40"/>
      <c r="J8" s="40"/>
      <c r="K8" s="40"/>
      <c r="L8" s="40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</row>
    <row r="9" spans="2:42">
      <c r="B9" s="42" t="s">
        <v>1640</v>
      </c>
      <c r="C9" s="42" t="s">
        <v>1641</v>
      </c>
      <c r="E9" s="43">
        <v>96</v>
      </c>
      <c r="F9" s="43">
        <v>60</v>
      </c>
      <c r="G9" s="43">
        <v>69</v>
      </c>
      <c r="H9" s="43">
        <v>84</v>
      </c>
      <c r="I9" s="44">
        <v>49</v>
      </c>
      <c r="J9" s="44">
        <v>73</v>
      </c>
      <c r="K9" s="44">
        <v>66</v>
      </c>
      <c r="L9" s="44">
        <v>77</v>
      </c>
      <c r="M9" s="43">
        <v>55</v>
      </c>
      <c r="N9" s="43">
        <v>73</v>
      </c>
      <c r="O9" s="43">
        <v>67</v>
      </c>
      <c r="P9" s="43">
        <v>104.46841546536238</v>
      </c>
      <c r="Q9" s="43">
        <v>95.364845699084697</v>
      </c>
      <c r="R9" s="43">
        <v>89.146019206331786</v>
      </c>
      <c r="S9" s="43">
        <v>88.844957441120499</v>
      </c>
      <c r="T9" s="43">
        <v>159.59506640406497</v>
      </c>
      <c r="U9" s="43">
        <v>123.1594957720167</v>
      </c>
      <c r="V9" s="43">
        <v>58.84020273919193</v>
      </c>
      <c r="W9" s="43">
        <v>139.669389</v>
      </c>
      <c r="X9" s="43">
        <v>130.46975078446599</v>
      </c>
      <c r="Y9" s="43">
        <v>113.89663555851203</v>
      </c>
      <c r="Z9" s="43">
        <v>206.06306611000107</v>
      </c>
      <c r="AA9" s="43">
        <v>250.31138707042891</v>
      </c>
      <c r="AB9" s="43">
        <v>224.52380130515513</v>
      </c>
      <c r="AC9" s="43">
        <v>179.31565297612525</v>
      </c>
      <c r="AD9" s="43">
        <v>197.19350523250168</v>
      </c>
      <c r="AE9" s="43">
        <v>175.74303670199998</v>
      </c>
      <c r="AF9" s="43">
        <v>338.26597275499807</v>
      </c>
      <c r="AG9" s="43">
        <v>206.59365970499749</v>
      </c>
      <c r="AH9" s="43">
        <v>261.63961557103943</v>
      </c>
      <c r="AI9" s="43">
        <v>270.99698462188007</v>
      </c>
      <c r="AJ9" s="43">
        <v>283.68528475300502</v>
      </c>
      <c r="AK9" s="43">
        <v>275.412861970005</v>
      </c>
      <c r="AL9" s="43">
        <v>269.53548077155085</v>
      </c>
      <c r="AM9" s="43">
        <v>287.82646484498349</v>
      </c>
      <c r="AN9" s="43">
        <v>195.0457343505779</v>
      </c>
      <c r="AO9" s="43">
        <v>219.01166272200004</v>
      </c>
      <c r="AP9" s="43">
        <v>279.02674993800332</v>
      </c>
    </row>
    <row r="10" spans="2:42">
      <c r="B10" s="42" t="s">
        <v>1642</v>
      </c>
      <c r="C10" s="42" t="s">
        <v>1643</v>
      </c>
      <c r="E10" s="43">
        <v>27</v>
      </c>
      <c r="F10" s="43">
        <v>13</v>
      </c>
      <c r="G10" s="43">
        <v>11</v>
      </c>
      <c r="H10" s="43">
        <v>9</v>
      </c>
      <c r="I10" s="44">
        <v>8</v>
      </c>
      <c r="J10" s="44">
        <v>18</v>
      </c>
      <c r="K10" s="44">
        <v>15</v>
      </c>
      <c r="L10" s="44">
        <v>23</v>
      </c>
      <c r="M10" s="43">
        <v>21</v>
      </c>
      <c r="N10" s="43">
        <v>15</v>
      </c>
      <c r="O10" s="43">
        <v>22</v>
      </c>
      <c r="P10" s="43">
        <v>22.482088220000133</v>
      </c>
      <c r="Q10" s="43">
        <v>19.842214920000018</v>
      </c>
      <c r="R10" s="43">
        <v>24.203259429999942</v>
      </c>
      <c r="S10" s="43">
        <v>4.4164028245000075</v>
      </c>
      <c r="T10" s="43">
        <v>9.7861058939999683</v>
      </c>
      <c r="U10" s="43">
        <v>7.1152895739999993</v>
      </c>
      <c r="V10" s="43">
        <v>6.5211451590000094</v>
      </c>
      <c r="W10" s="43">
        <v>10.950634000000001</v>
      </c>
      <c r="X10" s="43">
        <v>11.770364744500007</v>
      </c>
      <c r="Y10" s="43">
        <v>17.760598165000001</v>
      </c>
      <c r="Z10" s="43">
        <v>21.471118650000086</v>
      </c>
      <c r="AA10" s="43">
        <v>13.768502686360769</v>
      </c>
      <c r="AB10" s="43">
        <v>20.816778915</v>
      </c>
      <c r="AC10" s="43">
        <v>8.709117599000006</v>
      </c>
      <c r="AD10" s="43">
        <v>20.9363355475001</v>
      </c>
      <c r="AE10" s="43">
        <v>3.2091994320000019</v>
      </c>
      <c r="AF10" s="43">
        <v>4.1999590110000078</v>
      </c>
      <c r="AG10" s="43">
        <v>5.9257001049999989</v>
      </c>
      <c r="AH10" s="43">
        <v>6.4094756400238877</v>
      </c>
      <c r="AI10" s="43">
        <v>6.4077803028925659</v>
      </c>
      <c r="AJ10" s="43">
        <v>19.134722286000098</v>
      </c>
      <c r="AK10" s="43">
        <v>11.37784342</v>
      </c>
      <c r="AL10" s="43">
        <v>16.565404062322102</v>
      </c>
      <c r="AM10" s="43">
        <v>26.125079542387731</v>
      </c>
      <c r="AN10" s="43">
        <v>51.337158393906897</v>
      </c>
      <c r="AO10" s="43">
        <v>33.221707887999983</v>
      </c>
      <c r="AP10" s="43">
        <v>29.969834592000183</v>
      </c>
    </row>
    <row r="11" spans="2:42">
      <c r="B11" s="42" t="s">
        <v>1644</v>
      </c>
      <c r="C11" s="42" t="s">
        <v>1645</v>
      </c>
      <c r="E11" s="43">
        <v>17</v>
      </c>
      <c r="F11" s="43">
        <v>12</v>
      </c>
      <c r="G11" s="43">
        <v>9</v>
      </c>
      <c r="H11" s="43">
        <v>17</v>
      </c>
      <c r="I11" s="44">
        <v>13</v>
      </c>
      <c r="J11" s="44">
        <v>11</v>
      </c>
      <c r="K11" s="44">
        <v>21</v>
      </c>
      <c r="L11" s="44">
        <v>11</v>
      </c>
      <c r="M11" s="43">
        <v>4</v>
      </c>
      <c r="N11" s="43">
        <v>13</v>
      </c>
      <c r="O11" s="43">
        <v>4</v>
      </c>
      <c r="P11" s="43">
        <v>8.2137164046375002</v>
      </c>
      <c r="Q11" s="43">
        <v>19.25839868890008</v>
      </c>
      <c r="R11" s="43">
        <v>16.890761873668207</v>
      </c>
      <c r="S11" s="43">
        <v>14.993139183829735</v>
      </c>
      <c r="T11" s="43">
        <v>18.403828434500113</v>
      </c>
      <c r="U11" s="43">
        <v>6.566214653983284</v>
      </c>
      <c r="V11" s="43">
        <v>7.0886521018080808</v>
      </c>
      <c r="W11" s="43">
        <v>8.5636349999999997</v>
      </c>
      <c r="X11" s="43">
        <v>32.918778551033981</v>
      </c>
      <c r="Y11" s="43">
        <v>8.9807662164879858</v>
      </c>
      <c r="Z11" s="43">
        <v>15.235814629999997</v>
      </c>
      <c r="AA11" s="43">
        <v>21.817899913209043</v>
      </c>
      <c r="AB11" s="43">
        <v>37.991573969845071</v>
      </c>
      <c r="AC11" s="43">
        <v>9.8715017148746895</v>
      </c>
      <c r="AD11" s="43">
        <v>14.042153409999999</v>
      </c>
      <c r="AE11" s="43">
        <v>44.069572479999998</v>
      </c>
      <c r="AF11" s="43">
        <v>48.98762456</v>
      </c>
      <c r="AG11" s="43">
        <v>7.622281580000001</v>
      </c>
      <c r="AH11" s="43">
        <v>22.436339338936655</v>
      </c>
      <c r="AI11" s="43">
        <v>22.885366845224098</v>
      </c>
      <c r="AJ11" s="43">
        <v>32.132903499999998</v>
      </c>
      <c r="AK11" s="43">
        <v>19.80713815</v>
      </c>
      <c r="AL11" s="43">
        <v>17.192352086129144</v>
      </c>
      <c r="AM11" s="43">
        <v>23.578038742628735</v>
      </c>
      <c r="AN11" s="43">
        <v>46.073355085515246</v>
      </c>
      <c r="AO11" s="43">
        <v>20.850307490000002</v>
      </c>
      <c r="AP11" s="43">
        <v>21.498828589999995</v>
      </c>
    </row>
    <row r="12" spans="2:42">
      <c r="B12" s="711" t="s">
        <v>2345</v>
      </c>
      <c r="C12" s="711" t="s">
        <v>2346</v>
      </c>
      <c r="E12" s="43"/>
      <c r="F12" s="43"/>
      <c r="G12" s="43"/>
      <c r="H12" s="43"/>
      <c r="I12" s="44"/>
      <c r="J12" s="44"/>
      <c r="K12" s="44"/>
      <c r="L12" s="44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>
        <v>0</v>
      </c>
      <c r="Z12" s="43">
        <v>0.89900000000000002</v>
      </c>
      <c r="AA12" s="43">
        <v>0.10295776</v>
      </c>
      <c r="AB12" s="43">
        <v>18.54733731</v>
      </c>
      <c r="AC12" s="43">
        <v>0.68476065000000008</v>
      </c>
      <c r="AD12" s="43">
        <v>1.4138668000000001</v>
      </c>
      <c r="AE12" s="43">
        <v>2.0906539800000004</v>
      </c>
      <c r="AF12" s="43">
        <v>6.1886056299999996</v>
      </c>
      <c r="AG12" s="43">
        <v>1.2560173400000001</v>
      </c>
      <c r="AH12" s="43">
        <v>2.5958540500000002</v>
      </c>
      <c r="AI12" s="43">
        <v>3.0348205499999996</v>
      </c>
      <c r="AJ12" s="43">
        <v>10.169489760000001</v>
      </c>
      <c r="AK12" s="43">
        <v>3.5616155600000003</v>
      </c>
      <c r="AL12" s="43">
        <v>4.4793934200000001</v>
      </c>
      <c r="AM12" s="43">
        <v>8.3374910999999976</v>
      </c>
      <c r="AN12" s="43">
        <v>6.3276343499999994</v>
      </c>
      <c r="AO12" s="43">
        <v>10.294466170000002</v>
      </c>
      <c r="AP12" s="43">
        <v>6.7337286300000008</v>
      </c>
    </row>
    <row r="13" spans="2:42">
      <c r="B13" s="708" t="s">
        <v>220</v>
      </c>
      <c r="C13" s="708" t="s">
        <v>220</v>
      </c>
      <c r="D13" s="709"/>
      <c r="E13" s="710">
        <f t="shared" ref="E13:AP13" si="0">SUM(E9:E11)</f>
        <v>140</v>
      </c>
      <c r="F13" s="710">
        <f t="shared" si="0"/>
        <v>85</v>
      </c>
      <c r="G13" s="710">
        <f t="shared" si="0"/>
        <v>89</v>
      </c>
      <c r="H13" s="710">
        <f t="shared" si="0"/>
        <v>110</v>
      </c>
      <c r="I13" s="710">
        <f t="shared" si="0"/>
        <v>70</v>
      </c>
      <c r="J13" s="710">
        <f t="shared" si="0"/>
        <v>102</v>
      </c>
      <c r="K13" s="710">
        <f t="shared" si="0"/>
        <v>102</v>
      </c>
      <c r="L13" s="710">
        <f t="shared" si="0"/>
        <v>111</v>
      </c>
      <c r="M13" s="710">
        <f t="shared" si="0"/>
        <v>80</v>
      </c>
      <c r="N13" s="710">
        <f t="shared" si="0"/>
        <v>101</v>
      </c>
      <c r="O13" s="710">
        <f t="shared" si="0"/>
        <v>93</v>
      </c>
      <c r="P13" s="710">
        <f t="shared" si="0"/>
        <v>135.16422009000001</v>
      </c>
      <c r="Q13" s="710">
        <f t="shared" si="0"/>
        <v>134.46545930798479</v>
      </c>
      <c r="R13" s="710">
        <f t="shared" si="0"/>
        <v>130.24004050999994</v>
      </c>
      <c r="S13" s="710">
        <f t="shared" si="0"/>
        <v>108.25449944945025</v>
      </c>
      <c r="T13" s="710">
        <f t="shared" si="0"/>
        <v>187.78500073256504</v>
      </c>
      <c r="U13" s="710">
        <f t="shared" si="0"/>
        <v>136.84099999999998</v>
      </c>
      <c r="V13" s="710">
        <f t="shared" si="0"/>
        <v>72.450000000000017</v>
      </c>
      <c r="W13" s="710">
        <f t="shared" si="0"/>
        <v>159.18365800000001</v>
      </c>
      <c r="X13" s="710">
        <f t="shared" si="0"/>
        <v>175.15889407999998</v>
      </c>
      <c r="Y13" s="710">
        <f t="shared" si="0"/>
        <v>140.63799994000001</v>
      </c>
      <c r="Z13" s="710">
        <f t="shared" si="0"/>
        <v>242.76999939000115</v>
      </c>
      <c r="AA13" s="710">
        <f t="shared" si="0"/>
        <v>285.8977896699987</v>
      </c>
      <c r="AB13" s="710">
        <f t="shared" si="0"/>
        <v>283.33215419000021</v>
      </c>
      <c r="AC13" s="710">
        <f t="shared" si="0"/>
        <v>197.89627228999993</v>
      </c>
      <c r="AD13" s="710">
        <f t="shared" si="0"/>
        <v>232.17199419000178</v>
      </c>
      <c r="AE13" s="710">
        <f t="shared" si="0"/>
        <v>223.02180861399998</v>
      </c>
      <c r="AF13" s="710">
        <f t="shared" si="0"/>
        <v>391.45355632599808</v>
      </c>
      <c r="AG13" s="710">
        <f t="shared" si="0"/>
        <v>220.14164138999749</v>
      </c>
      <c r="AH13" s="710">
        <f t="shared" si="0"/>
        <v>290.48543054999999</v>
      </c>
      <c r="AI13" s="710">
        <f t="shared" si="0"/>
        <v>300.29013176999672</v>
      </c>
      <c r="AJ13" s="710">
        <f t="shared" si="0"/>
        <v>334.95291053900513</v>
      </c>
      <c r="AK13" s="710">
        <f t="shared" si="0"/>
        <v>306.59784354000499</v>
      </c>
      <c r="AL13" s="710">
        <f t="shared" si="0"/>
        <v>303.29323692000207</v>
      </c>
      <c r="AM13" s="710">
        <f t="shared" si="0"/>
        <v>337.52958312999993</v>
      </c>
      <c r="AN13" s="710">
        <f t="shared" si="0"/>
        <v>292.45624783000005</v>
      </c>
      <c r="AO13" s="710">
        <f t="shared" si="0"/>
        <v>273.08367809999999</v>
      </c>
      <c r="AP13" s="710">
        <f t="shared" si="0"/>
        <v>330.49541312000349</v>
      </c>
    </row>
    <row r="14" spans="2:42">
      <c r="E14" s="43"/>
      <c r="F14" s="43"/>
      <c r="G14" s="43"/>
      <c r="H14" s="43"/>
      <c r="I14" s="44"/>
      <c r="J14" s="44"/>
      <c r="K14" s="44"/>
      <c r="L14" s="44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</row>
    <row r="15" spans="2:42">
      <c r="B15" s="38" t="s">
        <v>110</v>
      </c>
      <c r="C15" s="38" t="s">
        <v>110</v>
      </c>
      <c r="E15" s="50"/>
      <c r="F15" s="50"/>
      <c r="G15" s="50"/>
      <c r="H15" s="50"/>
      <c r="I15" s="51"/>
      <c r="J15" s="51"/>
      <c r="K15" s="51"/>
      <c r="L15" s="51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</row>
    <row r="16" spans="2:42">
      <c r="B16" s="42" t="s">
        <v>1640</v>
      </c>
      <c r="C16" s="42" t="s">
        <v>1641</v>
      </c>
      <c r="E16" s="43">
        <v>128</v>
      </c>
      <c r="F16" s="43">
        <v>142</v>
      </c>
      <c r="G16" s="43">
        <v>156</v>
      </c>
      <c r="H16" s="43">
        <v>255</v>
      </c>
      <c r="I16" s="44">
        <v>143</v>
      </c>
      <c r="J16" s="44">
        <v>155</v>
      </c>
      <c r="K16" s="44">
        <v>137</v>
      </c>
      <c r="L16" s="44">
        <v>171</v>
      </c>
      <c r="M16" s="43">
        <v>183</v>
      </c>
      <c r="N16" s="43">
        <v>99</v>
      </c>
      <c r="O16" s="43">
        <v>111</v>
      </c>
      <c r="P16" s="43">
        <v>166.99032960999975</v>
      </c>
      <c r="Q16" s="43">
        <v>83.842555169999983</v>
      </c>
      <c r="R16" s="43">
        <v>92.839179369999997</v>
      </c>
      <c r="S16" s="43">
        <v>105.31711408599881</v>
      </c>
      <c r="T16" s="43">
        <v>117.69100631748562</v>
      </c>
      <c r="U16" s="43">
        <v>139.52010496399996</v>
      </c>
      <c r="V16" s="43">
        <v>165.24612886244935</v>
      </c>
      <c r="W16" s="43">
        <v>275.49819489005063</v>
      </c>
      <c r="X16" s="43">
        <v>308.75830371998603</v>
      </c>
      <c r="Y16" s="43">
        <v>174.05547469787979</v>
      </c>
      <c r="Z16" s="43">
        <v>302.84574810000527</v>
      </c>
      <c r="AA16" s="43">
        <v>344.4181562804726</v>
      </c>
      <c r="AB16" s="43">
        <v>412.41912048491463</v>
      </c>
      <c r="AC16" s="43">
        <v>455.88645255001774</v>
      </c>
      <c r="AD16" s="43">
        <v>318.83306208997072</v>
      </c>
      <c r="AE16" s="43">
        <v>304.78141817003132</v>
      </c>
      <c r="AF16" s="43">
        <v>399.24701182397479</v>
      </c>
      <c r="AG16" s="43">
        <v>349.98271222099959</v>
      </c>
      <c r="AH16" s="43">
        <v>315.75890057649968</v>
      </c>
      <c r="AI16" s="43">
        <v>251.45712476999975</v>
      </c>
      <c r="AJ16" s="43">
        <v>241.66997710396475</v>
      </c>
      <c r="AK16" s="43">
        <v>433.1520582755</v>
      </c>
      <c r="AL16" s="43">
        <v>463.03650969850014</v>
      </c>
      <c r="AM16" s="43">
        <v>531.20182357099964</v>
      </c>
      <c r="AN16" s="43">
        <v>451.55668486499985</v>
      </c>
      <c r="AO16" s="43">
        <v>402.62091109300019</v>
      </c>
      <c r="AP16" s="43">
        <v>361.84215059600103</v>
      </c>
    </row>
    <row r="17" spans="2:42">
      <c r="B17" s="42" t="s">
        <v>1642</v>
      </c>
      <c r="C17" s="42" t="s">
        <v>1643</v>
      </c>
      <c r="E17" s="43">
        <v>39</v>
      </c>
      <c r="F17" s="43">
        <v>39</v>
      </c>
      <c r="G17" s="43">
        <v>43</v>
      </c>
      <c r="H17" s="43">
        <v>23</v>
      </c>
      <c r="I17" s="44">
        <v>25</v>
      </c>
      <c r="J17" s="44">
        <v>30</v>
      </c>
      <c r="K17" s="44">
        <v>59</v>
      </c>
      <c r="L17" s="44">
        <v>42</v>
      </c>
      <c r="M17" s="43">
        <v>1</v>
      </c>
      <c r="N17" s="43">
        <v>50</v>
      </c>
      <c r="O17" s="43">
        <v>76</v>
      </c>
      <c r="P17" s="43">
        <v>43.825146609999997</v>
      </c>
      <c r="Q17" s="43">
        <v>60.562057259999989</v>
      </c>
      <c r="R17" s="43">
        <v>34.143632229999916</v>
      </c>
      <c r="S17" s="43">
        <v>32.762534623999969</v>
      </c>
      <c r="T17" s="43">
        <v>86.633186182499969</v>
      </c>
      <c r="U17" s="43">
        <v>29.980615676000024</v>
      </c>
      <c r="V17" s="43">
        <v>54.957152327499983</v>
      </c>
      <c r="W17" s="43">
        <v>59.419368860000013</v>
      </c>
      <c r="X17" s="43">
        <v>64.413387019999988</v>
      </c>
      <c r="Y17" s="43">
        <v>123.50721390999999</v>
      </c>
      <c r="Z17" s="43">
        <v>118.51523322999937</v>
      </c>
      <c r="AA17" s="43">
        <v>137.6080994594999</v>
      </c>
      <c r="AB17" s="43">
        <v>115.95925981081459</v>
      </c>
      <c r="AC17" s="43">
        <v>129.84959649999999</v>
      </c>
      <c r="AD17" s="43">
        <v>134.09267495</v>
      </c>
      <c r="AE17" s="43">
        <v>281.44468195000002</v>
      </c>
      <c r="AF17" s="43">
        <v>329.04125276600001</v>
      </c>
      <c r="AG17" s="43">
        <v>160.40105477899962</v>
      </c>
      <c r="AH17" s="43">
        <v>215.9458876234994</v>
      </c>
      <c r="AI17" s="43">
        <v>408.96053359400008</v>
      </c>
      <c r="AJ17" s="43">
        <v>520.47261339199974</v>
      </c>
      <c r="AK17" s="43">
        <v>253.12456102249999</v>
      </c>
      <c r="AL17" s="43">
        <v>358.23664020149982</v>
      </c>
      <c r="AM17" s="43">
        <v>360.56753867400039</v>
      </c>
      <c r="AN17" s="43">
        <v>474.45212549500013</v>
      </c>
      <c r="AO17" s="43">
        <v>357.47846715699984</v>
      </c>
      <c r="AP17" s="43">
        <v>329.1074300640002</v>
      </c>
    </row>
    <row r="18" spans="2:42">
      <c r="B18" s="42" t="str">
        <f>B11</f>
        <v>Ativos não elétricos</v>
      </c>
      <c r="C18" s="42" t="s">
        <v>1645</v>
      </c>
      <c r="E18" s="43">
        <v>33</v>
      </c>
      <c r="F18" s="43">
        <v>31</v>
      </c>
      <c r="G18" s="43">
        <v>1</v>
      </c>
      <c r="H18" s="43">
        <v>-6</v>
      </c>
      <c r="I18" s="44">
        <v>2</v>
      </c>
      <c r="J18" s="44">
        <v>19</v>
      </c>
      <c r="K18" s="44">
        <v>-2</v>
      </c>
      <c r="L18" s="44">
        <v>32</v>
      </c>
      <c r="M18" s="43">
        <v>10</v>
      </c>
      <c r="N18" s="43">
        <v>11</v>
      </c>
      <c r="O18" s="43">
        <v>16</v>
      </c>
      <c r="P18" s="43">
        <v>11.375147430000181</v>
      </c>
      <c r="Q18" s="43">
        <v>16.214937869999815</v>
      </c>
      <c r="R18" s="43">
        <v>9.5364326600000027</v>
      </c>
      <c r="S18" s="43">
        <v>10.727524510000011</v>
      </c>
      <c r="T18" s="43">
        <v>30.482199879999399</v>
      </c>
      <c r="U18" s="43">
        <v>16.503804500000026</v>
      </c>
      <c r="V18" s="43">
        <v>2.8480725899999979</v>
      </c>
      <c r="W18" s="43">
        <v>7.5805573300000004</v>
      </c>
      <c r="X18" s="43">
        <v>16.680971950000004</v>
      </c>
      <c r="Y18" s="43">
        <v>7.0371431799999993</v>
      </c>
      <c r="Z18" s="43">
        <v>16.674844139999998</v>
      </c>
      <c r="AA18" s="43">
        <v>15.321790359999994</v>
      </c>
      <c r="AB18" s="43">
        <v>68.036650236314571</v>
      </c>
      <c r="AC18" s="43">
        <v>27.541975999999998</v>
      </c>
      <c r="AD18" s="43">
        <v>24.770872000000001</v>
      </c>
      <c r="AE18" s="43">
        <v>17.572108999999998</v>
      </c>
      <c r="AF18" s="43">
        <v>46.277479569999976</v>
      </c>
      <c r="AG18" s="43">
        <v>10.292910546754431</v>
      </c>
      <c r="AH18" s="43">
        <v>31.596118570000002</v>
      </c>
      <c r="AI18" s="43">
        <v>30.93580622</v>
      </c>
      <c r="AJ18" s="43">
        <v>66.826425599999865</v>
      </c>
      <c r="AK18" s="43">
        <v>33.522167230000001</v>
      </c>
      <c r="AL18" s="43">
        <v>34.892420960000003</v>
      </c>
      <c r="AM18" s="43">
        <v>28.403827199999991</v>
      </c>
      <c r="AN18" s="43">
        <v>46.449137589999985</v>
      </c>
      <c r="AO18" s="43">
        <v>26.601701470000005</v>
      </c>
      <c r="AP18" s="43">
        <v>25.103195809999995</v>
      </c>
    </row>
    <row r="19" spans="2:42">
      <c r="B19" s="711" t="s">
        <v>2345</v>
      </c>
      <c r="C19" s="711" t="s">
        <v>2346</v>
      </c>
      <c r="E19" s="43"/>
      <c r="F19" s="43"/>
      <c r="G19" s="43"/>
      <c r="H19" s="43"/>
      <c r="I19" s="44"/>
      <c r="J19" s="44"/>
      <c r="K19" s="44"/>
      <c r="L19" s="44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>
        <v>0</v>
      </c>
      <c r="Z19" s="43">
        <v>0</v>
      </c>
      <c r="AA19" s="43">
        <v>0.28039142</v>
      </c>
      <c r="AB19" s="43">
        <v>5.7012351299999997</v>
      </c>
      <c r="AC19" s="43">
        <v>0.71835715000000011</v>
      </c>
      <c r="AD19" s="43">
        <v>1.62497515</v>
      </c>
      <c r="AE19" s="43">
        <v>5.8749010399999992</v>
      </c>
      <c r="AF19" s="43">
        <v>7.3130880500000011</v>
      </c>
      <c r="AG19" s="43">
        <v>1.2566879099999999</v>
      </c>
      <c r="AH19" s="43">
        <v>6.46921049</v>
      </c>
      <c r="AI19" s="43">
        <v>6.6142486800000002</v>
      </c>
      <c r="AJ19" s="43">
        <v>37.742921100000004</v>
      </c>
      <c r="AK19" s="43">
        <v>7.8637700199999987</v>
      </c>
      <c r="AL19" s="43">
        <v>10.99330893</v>
      </c>
      <c r="AM19" s="43">
        <v>9.2836218499999976</v>
      </c>
      <c r="AN19" s="43">
        <v>11.65480842</v>
      </c>
      <c r="AO19" s="43">
        <v>13.752092650000002</v>
      </c>
      <c r="AP19" s="43">
        <v>7.746166989999999</v>
      </c>
    </row>
    <row r="20" spans="2:42">
      <c r="B20" s="708" t="s">
        <v>220</v>
      </c>
      <c r="C20" s="708" t="s">
        <v>220</v>
      </c>
      <c r="D20" s="709"/>
      <c r="E20" s="710">
        <f>SUM(E16:E18)</f>
        <v>200</v>
      </c>
      <c r="F20" s="710">
        <f t="shared" ref="F20:AL20" si="1">SUM(F16:F18)</f>
        <v>212</v>
      </c>
      <c r="G20" s="710">
        <f t="shared" si="1"/>
        <v>200</v>
      </c>
      <c r="H20" s="710">
        <f t="shared" si="1"/>
        <v>272</v>
      </c>
      <c r="I20" s="710">
        <f t="shared" si="1"/>
        <v>170</v>
      </c>
      <c r="J20" s="710">
        <f t="shared" si="1"/>
        <v>204</v>
      </c>
      <c r="K20" s="710">
        <f t="shared" si="1"/>
        <v>194</v>
      </c>
      <c r="L20" s="710">
        <f t="shared" si="1"/>
        <v>245</v>
      </c>
      <c r="M20" s="710">
        <f t="shared" si="1"/>
        <v>194</v>
      </c>
      <c r="N20" s="710">
        <f t="shared" si="1"/>
        <v>160</v>
      </c>
      <c r="O20" s="710">
        <f t="shared" si="1"/>
        <v>203</v>
      </c>
      <c r="P20" s="710">
        <f t="shared" si="1"/>
        <v>222.19062364999991</v>
      </c>
      <c r="Q20" s="710">
        <f t="shared" si="1"/>
        <v>160.61955029999979</v>
      </c>
      <c r="R20" s="710">
        <f t="shared" si="1"/>
        <v>136.51924425999991</v>
      </c>
      <c r="S20" s="710">
        <f t="shared" si="1"/>
        <v>148.80717321999879</v>
      </c>
      <c r="T20" s="710">
        <f t="shared" si="1"/>
        <v>234.806392379985</v>
      </c>
      <c r="U20" s="710">
        <f t="shared" si="1"/>
        <v>186.00452514</v>
      </c>
      <c r="V20" s="710">
        <f t="shared" si="1"/>
        <v>223.05135377994932</v>
      </c>
      <c r="W20" s="710">
        <f t="shared" si="1"/>
        <v>342.49812108005062</v>
      </c>
      <c r="X20" s="710">
        <f t="shared" si="1"/>
        <v>389.85266268998606</v>
      </c>
      <c r="Y20" s="710">
        <f t="shared" si="1"/>
        <v>304.59983178787974</v>
      </c>
      <c r="Z20" s="710">
        <f t="shared" si="1"/>
        <v>438.03582547000462</v>
      </c>
      <c r="AA20" s="710">
        <f t="shared" si="1"/>
        <v>497.34804609997252</v>
      </c>
      <c r="AB20" s="710">
        <f t="shared" si="1"/>
        <v>596.41503053204383</v>
      </c>
      <c r="AC20" s="710">
        <f t="shared" si="1"/>
        <v>613.27802505001773</v>
      </c>
      <c r="AD20" s="710">
        <f t="shared" si="1"/>
        <v>477.69660903997072</v>
      </c>
      <c r="AE20" s="710">
        <f t="shared" si="1"/>
        <v>603.79820912003129</v>
      </c>
      <c r="AF20" s="710">
        <f t="shared" si="1"/>
        <v>774.56574415997477</v>
      </c>
      <c r="AG20" s="710">
        <f t="shared" si="1"/>
        <v>520.67667754675369</v>
      </c>
      <c r="AH20" s="710">
        <f t="shared" si="1"/>
        <v>563.30090676999907</v>
      </c>
      <c r="AI20" s="710">
        <f t="shared" si="1"/>
        <v>691.35346458399988</v>
      </c>
      <c r="AJ20" s="710">
        <f t="shared" si="1"/>
        <v>828.96901609596432</v>
      </c>
      <c r="AK20" s="710">
        <f t="shared" si="1"/>
        <v>719.79878652800005</v>
      </c>
      <c r="AL20" s="710">
        <f t="shared" si="1"/>
        <v>856.16557085999989</v>
      </c>
      <c r="AM20" s="710">
        <f t="shared" ref="AM20:AP20" si="2">SUM(AM16:AM18)</f>
        <v>920.17318944500005</v>
      </c>
      <c r="AN20" s="710">
        <f t="shared" si="2"/>
        <v>972.45794794999995</v>
      </c>
      <c r="AO20" s="710">
        <f t="shared" si="2"/>
        <v>786.70107971999994</v>
      </c>
      <c r="AP20" s="710">
        <f t="shared" si="2"/>
        <v>716.05277647000116</v>
      </c>
    </row>
    <row r="21" spans="2:42">
      <c r="E21" s="43"/>
      <c r="F21" s="43"/>
      <c r="G21" s="43"/>
      <c r="H21" s="43"/>
      <c r="I21" s="44"/>
      <c r="J21" s="44"/>
      <c r="K21" s="44"/>
      <c r="L21" s="44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792"/>
      <c r="Z21" s="792"/>
      <c r="AA21" s="792"/>
      <c r="AB21" s="792"/>
      <c r="AC21" s="792"/>
      <c r="AD21" s="792"/>
      <c r="AE21" s="792"/>
      <c r="AF21" s="792"/>
      <c r="AG21" s="792"/>
      <c r="AH21" s="792"/>
      <c r="AI21" s="792"/>
      <c r="AJ21" s="792"/>
      <c r="AK21" s="792"/>
      <c r="AL21" s="792"/>
      <c r="AM21" s="792"/>
      <c r="AN21" s="792"/>
      <c r="AO21" s="792"/>
      <c r="AP21" s="792"/>
    </row>
    <row r="22" spans="2:42">
      <c r="B22" s="38" t="s">
        <v>113</v>
      </c>
      <c r="C22" s="38" t="s">
        <v>113</v>
      </c>
      <c r="E22" s="50"/>
      <c r="F22" s="50"/>
      <c r="G22" s="50"/>
      <c r="H22" s="50"/>
      <c r="I22" s="51"/>
      <c r="J22" s="51"/>
      <c r="K22" s="51"/>
      <c r="L22" s="51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</row>
    <row r="23" spans="2:42">
      <c r="B23" s="42" t="s">
        <v>1640</v>
      </c>
      <c r="C23" s="42" t="s">
        <v>1641</v>
      </c>
      <c r="E23" s="43"/>
      <c r="F23" s="43"/>
      <c r="G23" s="43"/>
      <c r="H23" s="43"/>
      <c r="I23" s="44"/>
      <c r="J23" s="44"/>
      <c r="K23" s="44"/>
      <c r="L23" s="44"/>
      <c r="M23" s="43">
        <v>9</v>
      </c>
      <c r="N23" s="43">
        <v>262</v>
      </c>
      <c r="O23" s="43">
        <v>47</v>
      </c>
      <c r="P23" s="43">
        <v>43.672655839999891</v>
      </c>
      <c r="Q23" s="43">
        <v>40.799971230000011</v>
      </c>
      <c r="R23" s="43">
        <v>64.105012519999988</v>
      </c>
      <c r="S23" s="43">
        <v>66.012458557404045</v>
      </c>
      <c r="T23" s="43">
        <v>105.74948137814052</v>
      </c>
      <c r="U23" s="43">
        <v>54.07866602499999</v>
      </c>
      <c r="V23" s="43">
        <v>51.100565979999992</v>
      </c>
      <c r="W23" s="43">
        <v>114.001780803</v>
      </c>
      <c r="X23" s="43">
        <v>118.58106483800003</v>
      </c>
      <c r="Y23" s="43">
        <v>70.417172044467463</v>
      </c>
      <c r="Z23" s="43">
        <v>140.15428201539802</v>
      </c>
      <c r="AA23" s="43">
        <v>173.74348686493241</v>
      </c>
      <c r="AB23" s="43">
        <v>197.46753788799012</v>
      </c>
      <c r="AC23" s="43">
        <v>141.2162241169996</v>
      </c>
      <c r="AD23" s="43">
        <v>218.68934320599908</v>
      </c>
      <c r="AE23" s="43">
        <v>117.7814664190002</v>
      </c>
      <c r="AF23" s="43">
        <v>162.58374485100032</v>
      </c>
      <c r="AG23" s="43">
        <v>104.18899999999999</v>
      </c>
      <c r="AH23" s="43">
        <v>160.22770028900007</v>
      </c>
      <c r="AI23" s="43">
        <v>154.23228154499989</v>
      </c>
      <c r="AJ23" s="43">
        <v>160.03603066400001</v>
      </c>
      <c r="AK23" s="43">
        <v>160.685533604</v>
      </c>
      <c r="AL23" s="43">
        <v>187.79721101369995</v>
      </c>
      <c r="AM23" s="43">
        <v>211.28874013299011</v>
      </c>
      <c r="AN23" s="43">
        <v>158.32335291300001</v>
      </c>
      <c r="AO23" s="43">
        <v>181.09637879399989</v>
      </c>
      <c r="AP23" s="43">
        <v>179.38918544600136</v>
      </c>
    </row>
    <row r="24" spans="2:42">
      <c r="B24" s="42" t="s">
        <v>1642</v>
      </c>
      <c r="C24" s="42" t="s">
        <v>1643</v>
      </c>
      <c r="E24" s="43"/>
      <c r="F24" s="43"/>
      <c r="G24" s="43"/>
      <c r="H24" s="43"/>
      <c r="I24" s="44"/>
      <c r="J24" s="44"/>
      <c r="K24" s="44"/>
      <c r="L24" s="44"/>
      <c r="M24" s="43">
        <v>12</v>
      </c>
      <c r="N24" s="43">
        <v>21</v>
      </c>
      <c r="O24" s="43">
        <v>17</v>
      </c>
      <c r="P24" s="43">
        <v>27.698670120000003</v>
      </c>
      <c r="Q24" s="43">
        <v>20.887042829999995</v>
      </c>
      <c r="R24" s="43">
        <v>24.088909719999993</v>
      </c>
      <c r="S24" s="43">
        <v>14.120175102595971</v>
      </c>
      <c r="T24" s="43">
        <v>16.939863691859447</v>
      </c>
      <c r="U24" s="43">
        <v>8.3860750550000134</v>
      </c>
      <c r="V24" s="43">
        <v>14.652865699999991</v>
      </c>
      <c r="W24" s="43">
        <v>14.668599987000016</v>
      </c>
      <c r="X24" s="43">
        <v>17.194146741999997</v>
      </c>
      <c r="Y24" s="43">
        <v>11.199528345532535</v>
      </c>
      <c r="Z24" s="43">
        <v>19.98686245460166</v>
      </c>
      <c r="AA24" s="43">
        <v>27.002937985066783</v>
      </c>
      <c r="AB24" s="43">
        <v>36.234261592008977</v>
      </c>
      <c r="AC24" s="43">
        <v>30.929678703000068</v>
      </c>
      <c r="AD24" s="43">
        <v>49.384154484000142</v>
      </c>
      <c r="AE24" s="43">
        <v>22.769053040999964</v>
      </c>
      <c r="AF24" s="43">
        <v>27.262286359000001</v>
      </c>
      <c r="AG24" s="43">
        <v>22.850999999999999</v>
      </c>
      <c r="AH24" s="43">
        <v>19.974683140999925</v>
      </c>
      <c r="AI24" s="43">
        <v>23.368360505000101</v>
      </c>
      <c r="AJ24" s="43">
        <v>20.72952068599999</v>
      </c>
      <c r="AK24" s="43">
        <v>19.039871325999989</v>
      </c>
      <c r="AL24" s="43">
        <v>24.59817746629998</v>
      </c>
      <c r="AM24" s="43">
        <v>32.152313337009993</v>
      </c>
      <c r="AN24" s="43">
        <v>56.653282646999898</v>
      </c>
      <c r="AO24" s="43">
        <v>38.726253216000096</v>
      </c>
      <c r="AP24" s="43">
        <v>49.013150903999858</v>
      </c>
    </row>
    <row r="25" spans="2:42">
      <c r="B25" s="42" t="str">
        <f>B18</f>
        <v>Ativos não elétricos</v>
      </c>
      <c r="C25" s="42" t="s">
        <v>1645</v>
      </c>
      <c r="E25" s="43"/>
      <c r="F25" s="43"/>
      <c r="G25" s="43"/>
      <c r="H25" s="43"/>
      <c r="I25" s="44"/>
      <c r="J25" s="44"/>
      <c r="K25" s="44"/>
      <c r="L25" s="44"/>
      <c r="M25" s="43">
        <v>14</v>
      </c>
      <c r="N25" s="43">
        <v>12</v>
      </c>
      <c r="O25" s="43">
        <v>12</v>
      </c>
      <c r="P25" s="43">
        <v>42.61967404</v>
      </c>
      <c r="Q25" s="43">
        <v>12.573985940000002</v>
      </c>
      <c r="R25" s="43">
        <v>6.9566499200000003</v>
      </c>
      <c r="S25" s="43">
        <v>11.315794179999999</v>
      </c>
      <c r="T25" s="43">
        <v>19.790654929999995</v>
      </c>
      <c r="U25" s="43">
        <v>14.839258920000001</v>
      </c>
      <c r="V25" s="43">
        <v>7.5975683200000006</v>
      </c>
      <c r="W25" s="43">
        <v>9.4246192099999977</v>
      </c>
      <c r="X25" s="43">
        <v>13.142788420000002</v>
      </c>
      <c r="Y25" s="43">
        <v>9.3842996099999993</v>
      </c>
      <c r="Z25" s="43">
        <v>12.45862655</v>
      </c>
      <c r="AA25" s="43">
        <v>16.842503030000003</v>
      </c>
      <c r="AB25" s="43">
        <v>17.28270294</v>
      </c>
      <c r="AC25" s="43">
        <v>7.6219584399999993</v>
      </c>
      <c r="AD25" s="43">
        <v>6.93710644</v>
      </c>
      <c r="AE25" s="43">
        <v>9.8731896499999987</v>
      </c>
      <c r="AF25" s="43">
        <v>31.05170047</v>
      </c>
      <c r="AG25" s="43">
        <v>5.0529999999999999</v>
      </c>
      <c r="AH25" s="43">
        <v>16.370333949999999</v>
      </c>
      <c r="AI25" s="43">
        <v>13.825119540000003</v>
      </c>
      <c r="AJ25" s="43">
        <v>24.963507290000006</v>
      </c>
      <c r="AK25" s="43">
        <v>10.773740980000001</v>
      </c>
      <c r="AL25" s="43">
        <v>11.63183166</v>
      </c>
      <c r="AM25" s="43">
        <v>14.079378139999978</v>
      </c>
      <c r="AN25" s="43">
        <v>30.027878459999901</v>
      </c>
      <c r="AO25" s="43">
        <v>11.413926020000002</v>
      </c>
      <c r="AP25" s="43">
        <v>10.557955730000003</v>
      </c>
    </row>
    <row r="26" spans="2:42">
      <c r="B26" s="711" t="s">
        <v>2345</v>
      </c>
      <c r="C26" s="711" t="s">
        <v>2346</v>
      </c>
      <c r="E26" s="43"/>
      <c r="F26" s="43"/>
      <c r="G26" s="43"/>
      <c r="H26" s="43"/>
      <c r="I26" s="44"/>
      <c r="J26" s="44"/>
      <c r="K26" s="44"/>
      <c r="L26" s="44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>
        <v>0</v>
      </c>
      <c r="Z26" s="43">
        <v>5.7793499999999998E-2</v>
      </c>
      <c r="AA26" s="43">
        <v>5.2626930000000002E-2</v>
      </c>
      <c r="AB26" s="43">
        <v>3.87881681</v>
      </c>
      <c r="AC26" s="43">
        <v>0.27661999999999998</v>
      </c>
      <c r="AD26" s="43">
        <v>0.89727478000000016</v>
      </c>
      <c r="AE26" s="43">
        <v>3.2569464400000006</v>
      </c>
      <c r="AF26" s="43">
        <v>2.9403798700000001</v>
      </c>
      <c r="AG26" s="43">
        <v>0.61276978000000004</v>
      </c>
      <c r="AH26" s="43">
        <v>2.9377398000000001</v>
      </c>
      <c r="AI26" s="43">
        <v>2.5786155000000002</v>
      </c>
      <c r="AJ26" s="43">
        <v>6.14429406</v>
      </c>
      <c r="AK26" s="43">
        <v>2.31798605</v>
      </c>
      <c r="AL26" s="43">
        <v>3.1289679000000006</v>
      </c>
      <c r="AM26" s="43">
        <v>3.6176526</v>
      </c>
      <c r="AN26" s="43">
        <v>5.1182529799999994</v>
      </c>
      <c r="AO26" s="43">
        <v>6.0988644000000001</v>
      </c>
      <c r="AP26" s="43">
        <v>2.7359011200000003</v>
      </c>
    </row>
    <row r="27" spans="2:42">
      <c r="B27" s="708" t="s">
        <v>220</v>
      </c>
      <c r="C27" s="708" t="s">
        <v>220</v>
      </c>
      <c r="D27" s="709"/>
      <c r="E27" s="710">
        <f>SUM(E23:E25)</f>
        <v>0</v>
      </c>
      <c r="F27" s="710">
        <f t="shared" ref="F27:AL27" si="3">SUM(F23:F25)</f>
        <v>0</v>
      </c>
      <c r="G27" s="710">
        <f t="shared" si="3"/>
        <v>0</v>
      </c>
      <c r="H27" s="710">
        <f t="shared" si="3"/>
        <v>0</v>
      </c>
      <c r="I27" s="710">
        <f t="shared" si="3"/>
        <v>0</v>
      </c>
      <c r="J27" s="710">
        <f t="shared" si="3"/>
        <v>0</v>
      </c>
      <c r="K27" s="710">
        <f t="shared" si="3"/>
        <v>0</v>
      </c>
      <c r="L27" s="710">
        <f t="shared" si="3"/>
        <v>0</v>
      </c>
      <c r="M27" s="710">
        <f t="shared" si="3"/>
        <v>35</v>
      </c>
      <c r="N27" s="710">
        <f t="shared" si="3"/>
        <v>295</v>
      </c>
      <c r="O27" s="710">
        <f t="shared" si="3"/>
        <v>76</v>
      </c>
      <c r="P27" s="710">
        <f t="shared" si="3"/>
        <v>113.9909999999999</v>
      </c>
      <c r="Q27" s="710">
        <f t="shared" si="3"/>
        <v>74.26100000000001</v>
      </c>
      <c r="R27" s="710">
        <f t="shared" si="3"/>
        <v>95.150572159999982</v>
      </c>
      <c r="S27" s="710">
        <f t="shared" si="3"/>
        <v>91.448427840000008</v>
      </c>
      <c r="T27" s="710">
        <f t="shared" si="3"/>
        <v>142.47999999999996</v>
      </c>
      <c r="U27" s="710">
        <f t="shared" si="3"/>
        <v>77.304000000000002</v>
      </c>
      <c r="V27" s="710">
        <f t="shared" si="3"/>
        <v>73.350999999999971</v>
      </c>
      <c r="W27" s="710">
        <f t="shared" si="3"/>
        <v>138.09500000000003</v>
      </c>
      <c r="X27" s="710">
        <f t="shared" si="3"/>
        <v>148.91800000000001</v>
      </c>
      <c r="Y27" s="710">
        <f t="shared" si="3"/>
        <v>91.001000000000005</v>
      </c>
      <c r="Z27" s="710">
        <f t="shared" si="3"/>
        <v>172.59977101999968</v>
      </c>
      <c r="AA27" s="710">
        <f t="shared" si="3"/>
        <v>217.58892787999918</v>
      </c>
      <c r="AB27" s="710">
        <f t="shared" si="3"/>
        <v>250.9845024199991</v>
      </c>
      <c r="AC27" s="710">
        <f t="shared" si="3"/>
        <v>179.76786125999965</v>
      </c>
      <c r="AD27" s="710">
        <f t="shared" si="3"/>
        <v>275.01060412999919</v>
      </c>
      <c r="AE27" s="710">
        <f t="shared" si="3"/>
        <v>150.42370911000015</v>
      </c>
      <c r="AF27" s="710">
        <f t="shared" si="3"/>
        <v>220.89773168000033</v>
      </c>
      <c r="AG27" s="710">
        <f t="shared" si="3"/>
        <v>132.09299999999999</v>
      </c>
      <c r="AH27" s="710">
        <f t="shared" si="3"/>
        <v>196.57271738</v>
      </c>
      <c r="AI27" s="710">
        <f t="shared" si="3"/>
        <v>191.42576159000001</v>
      </c>
      <c r="AJ27" s="710">
        <f t="shared" si="3"/>
        <v>205.72905864000001</v>
      </c>
      <c r="AK27" s="710">
        <f t="shared" si="3"/>
        <v>190.49914591000001</v>
      </c>
      <c r="AL27" s="710">
        <f t="shared" si="3"/>
        <v>224.02722013999991</v>
      </c>
      <c r="AM27" s="710">
        <f t="shared" ref="AM27:AP27" si="4">SUM(AM23:AM25)</f>
        <v>257.52043161000006</v>
      </c>
      <c r="AN27" s="710">
        <f t="shared" si="4"/>
        <v>245.00451401999982</v>
      </c>
      <c r="AO27" s="710">
        <f t="shared" si="4"/>
        <v>231.23655802999997</v>
      </c>
      <c r="AP27" s="710">
        <f t="shared" si="4"/>
        <v>238.96029208000124</v>
      </c>
    </row>
    <row r="28" spans="2:42">
      <c r="E28" s="43"/>
      <c r="F28" s="43"/>
      <c r="G28" s="43"/>
      <c r="H28" s="43"/>
      <c r="I28" s="44"/>
      <c r="J28" s="44"/>
      <c r="K28" s="44"/>
      <c r="L28" s="44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</row>
    <row r="29" spans="2:42">
      <c r="B29" s="38" t="s">
        <v>116</v>
      </c>
      <c r="C29" s="38" t="s">
        <v>116</v>
      </c>
      <c r="E29" s="50"/>
      <c r="F29" s="50"/>
      <c r="G29" s="50"/>
      <c r="H29" s="50"/>
      <c r="I29" s="51"/>
      <c r="J29" s="51"/>
      <c r="K29" s="51"/>
      <c r="L29" s="51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</row>
    <row r="30" spans="2:42">
      <c r="B30" s="42" t="s">
        <v>1640</v>
      </c>
      <c r="C30" s="42" t="s">
        <v>1641</v>
      </c>
      <c r="E30" s="43"/>
      <c r="F30" s="43"/>
      <c r="G30" s="43"/>
      <c r="H30" s="43"/>
      <c r="I30" s="44"/>
      <c r="J30" s="44"/>
      <c r="K30" s="44"/>
      <c r="L30" s="44"/>
      <c r="M30" s="43"/>
      <c r="N30" s="43">
        <v>16</v>
      </c>
      <c r="O30" s="43">
        <v>37</v>
      </c>
      <c r="P30" s="43">
        <v>66.523681609999983</v>
      </c>
      <c r="Q30" s="43">
        <v>30.418543579999987</v>
      </c>
      <c r="R30" s="43">
        <v>41.586033670000035</v>
      </c>
      <c r="S30" s="43">
        <v>33.948352880000009</v>
      </c>
      <c r="T30" s="43">
        <v>62.261696839999971</v>
      </c>
      <c r="U30" s="43">
        <v>38.471585539999985</v>
      </c>
      <c r="V30" s="43">
        <v>52.96314071999997</v>
      </c>
      <c r="W30" s="43">
        <v>76.313072000000005</v>
      </c>
      <c r="X30" s="43">
        <v>94.338921840000012</v>
      </c>
      <c r="Y30" s="43">
        <v>65.948067259999974</v>
      </c>
      <c r="Z30" s="43">
        <v>94.060595880000179</v>
      </c>
      <c r="AA30" s="43">
        <v>91.13067243999879</v>
      </c>
      <c r="AB30" s="43">
        <v>150.60394858000049</v>
      </c>
      <c r="AC30" s="43">
        <v>116.79680941999948</v>
      </c>
      <c r="AD30" s="43">
        <v>153.152431970002</v>
      </c>
      <c r="AE30" s="43">
        <v>160.59700000000001</v>
      </c>
      <c r="AF30" s="43">
        <v>190.19553744000001</v>
      </c>
      <c r="AG30" s="43">
        <v>90.22137029000001</v>
      </c>
      <c r="AH30" s="43">
        <v>112.97364200000001</v>
      </c>
      <c r="AI30" s="43">
        <v>127.16524947999999</v>
      </c>
      <c r="AJ30" s="43">
        <v>98.479554699999994</v>
      </c>
      <c r="AK30" s="43">
        <v>151.08715047999999</v>
      </c>
      <c r="AL30" s="43">
        <v>164.71785883000001</v>
      </c>
      <c r="AM30" s="43">
        <v>149.93236730000001</v>
      </c>
      <c r="AN30" s="43">
        <v>132.88530843000001</v>
      </c>
      <c r="AO30" s="43">
        <v>157.70159151999999</v>
      </c>
      <c r="AP30" s="43">
        <v>168.63757894000005</v>
      </c>
    </row>
    <row r="31" spans="2:42">
      <c r="B31" s="42" t="s">
        <v>1642</v>
      </c>
      <c r="C31" s="42" t="s">
        <v>1643</v>
      </c>
      <c r="E31" s="43"/>
      <c r="F31" s="43"/>
      <c r="G31" s="43"/>
      <c r="H31" s="43"/>
      <c r="I31" s="44"/>
      <c r="J31" s="44"/>
      <c r="K31" s="44"/>
      <c r="L31" s="44"/>
      <c r="M31" s="43"/>
      <c r="N31" s="43">
        <v>0</v>
      </c>
      <c r="O31" s="43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0</v>
      </c>
      <c r="Y31" s="43">
        <v>0</v>
      </c>
      <c r="Z31" s="43">
        <v>0</v>
      </c>
      <c r="AA31" s="43">
        <v>0</v>
      </c>
      <c r="AB31" s="43">
        <v>0</v>
      </c>
      <c r="AC31" s="43">
        <v>0.32185559000000002</v>
      </c>
      <c r="AD31" s="43">
        <v>3.1612649099999999</v>
      </c>
      <c r="AE31" s="43">
        <v>0.878</v>
      </c>
      <c r="AF31" s="43">
        <v>1.9135615399999999</v>
      </c>
      <c r="AG31" s="43">
        <v>0.54492370999999984</v>
      </c>
      <c r="AH31" s="43">
        <v>7.3019999999999995E-3</v>
      </c>
      <c r="AI31" s="43">
        <v>0.94574464000000003</v>
      </c>
      <c r="AJ31" s="43">
        <v>1.1850222800000001</v>
      </c>
      <c r="AK31" s="43">
        <v>1.8886147600000001</v>
      </c>
      <c r="AL31" s="43">
        <v>2.8653928199999998</v>
      </c>
      <c r="AM31" s="43">
        <v>2.5196506300000001</v>
      </c>
      <c r="AN31" s="43">
        <v>9.2124128499999998</v>
      </c>
      <c r="AO31" s="43">
        <v>2.5539550199999992</v>
      </c>
      <c r="AP31" s="43">
        <v>9.5196855900000017</v>
      </c>
    </row>
    <row r="32" spans="2:42">
      <c r="B32" s="42" t="str">
        <f>B25</f>
        <v>Ativos não elétricos</v>
      </c>
      <c r="C32" s="42" t="s">
        <v>1645</v>
      </c>
      <c r="E32" s="43"/>
      <c r="F32" s="43"/>
      <c r="G32" s="43"/>
      <c r="H32" s="43"/>
      <c r="I32" s="44"/>
      <c r="J32" s="44"/>
      <c r="K32" s="44"/>
      <c r="L32" s="44"/>
      <c r="M32" s="43"/>
      <c r="N32" s="43">
        <v>11</v>
      </c>
      <c r="O32" s="43">
        <v>19</v>
      </c>
      <c r="P32" s="43">
        <v>7.1605568899999978</v>
      </c>
      <c r="Q32" s="43">
        <v>3.9550589999999999</v>
      </c>
      <c r="R32" s="43">
        <v>3.1231</v>
      </c>
      <c r="S32" s="43">
        <v>5.8552749999999998</v>
      </c>
      <c r="T32" s="43">
        <v>17.147469999999998</v>
      </c>
      <c r="U32" s="43">
        <v>10.957217999999999</v>
      </c>
      <c r="V32" s="43">
        <v>5.7209099999999999</v>
      </c>
      <c r="W32" s="43">
        <v>6.842536</v>
      </c>
      <c r="X32" s="43">
        <v>8.7634992599999979</v>
      </c>
      <c r="Y32" s="43">
        <v>4.24772587</v>
      </c>
      <c r="Z32" s="43">
        <v>10.427542429999999</v>
      </c>
      <c r="AA32" s="43">
        <v>18.814729899999939</v>
      </c>
      <c r="AB32" s="43">
        <v>-9.1187431199997562</v>
      </c>
      <c r="AC32" s="43">
        <v>3.0796196399999984</v>
      </c>
      <c r="AD32" s="43">
        <v>11.88904256</v>
      </c>
      <c r="AE32" s="43">
        <v>4.4939999999999998</v>
      </c>
      <c r="AF32" s="43">
        <v>24.528305150000001</v>
      </c>
      <c r="AG32" s="43">
        <v>8.3710534099999983</v>
      </c>
      <c r="AH32" s="43">
        <v>18.586970000000001</v>
      </c>
      <c r="AI32" s="43">
        <v>22.082474870000002</v>
      </c>
      <c r="AJ32" s="43">
        <v>27.810424139999999</v>
      </c>
      <c r="AK32" s="43">
        <v>6.8078381800000001</v>
      </c>
      <c r="AL32" s="43">
        <v>11.04973313</v>
      </c>
      <c r="AM32" s="43">
        <v>9.9563658000000004</v>
      </c>
      <c r="AN32" s="43">
        <v>18.381222020000003</v>
      </c>
      <c r="AO32" s="43">
        <v>8.4174337599999998</v>
      </c>
      <c r="AP32" s="43">
        <v>9.6867162199999992</v>
      </c>
    </row>
    <row r="33" spans="2:42">
      <c r="B33" s="711" t="s">
        <v>2345</v>
      </c>
      <c r="C33" s="711" t="s">
        <v>2346</v>
      </c>
      <c r="E33" s="43"/>
      <c r="F33" s="43"/>
      <c r="G33" s="43"/>
      <c r="H33" s="43"/>
      <c r="I33" s="44"/>
      <c r="J33" s="44"/>
      <c r="K33" s="44"/>
      <c r="L33" s="44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>
        <v>0</v>
      </c>
      <c r="Z33" s="43">
        <v>7.1725079999999997E-2</v>
      </c>
      <c r="AA33" s="43">
        <v>5.0391839999999993E-2</v>
      </c>
      <c r="AB33" s="43">
        <v>2.2128928600000002</v>
      </c>
      <c r="AC33" s="43">
        <v>0.56259422000000003</v>
      </c>
      <c r="AD33" s="43">
        <v>0.46929094999999998</v>
      </c>
      <c r="AE33" s="43">
        <v>0.72677614000000001</v>
      </c>
      <c r="AF33" s="43">
        <v>2.9802196900000002</v>
      </c>
      <c r="AG33" s="43">
        <v>4.9905174600000004</v>
      </c>
      <c r="AH33" s="43">
        <v>6.9271002700000004</v>
      </c>
      <c r="AI33" s="43">
        <v>8.1980709400000009</v>
      </c>
      <c r="AJ33" s="43">
        <v>11.838671669999979</v>
      </c>
      <c r="AK33" s="43">
        <v>1.15298598</v>
      </c>
      <c r="AL33" s="43">
        <v>2.5962558999999996</v>
      </c>
      <c r="AM33" s="43">
        <v>2.1658041899999998</v>
      </c>
      <c r="AN33" s="43">
        <v>3.0094687100000002</v>
      </c>
      <c r="AO33" s="43">
        <v>3.6669593100000002</v>
      </c>
      <c r="AP33" s="43">
        <v>3.28793325</v>
      </c>
    </row>
    <row r="34" spans="2:42">
      <c r="B34" s="708" t="s">
        <v>220</v>
      </c>
      <c r="C34" s="708" t="s">
        <v>220</v>
      </c>
      <c r="D34" s="709"/>
      <c r="E34" s="710">
        <f>SUM(E30:E32)</f>
        <v>0</v>
      </c>
      <c r="F34" s="710">
        <f t="shared" ref="F34:AL34" si="5">SUM(F30:F32)</f>
        <v>0</v>
      </c>
      <c r="G34" s="710">
        <f t="shared" si="5"/>
        <v>0</v>
      </c>
      <c r="H34" s="710">
        <f t="shared" si="5"/>
        <v>0</v>
      </c>
      <c r="I34" s="710">
        <f t="shared" si="5"/>
        <v>0</v>
      </c>
      <c r="J34" s="710">
        <f t="shared" si="5"/>
        <v>0</v>
      </c>
      <c r="K34" s="710">
        <f t="shared" si="5"/>
        <v>0</v>
      </c>
      <c r="L34" s="710">
        <f t="shared" si="5"/>
        <v>0</v>
      </c>
      <c r="M34" s="710">
        <f t="shared" si="5"/>
        <v>0</v>
      </c>
      <c r="N34" s="710">
        <f t="shared" si="5"/>
        <v>27</v>
      </c>
      <c r="O34" s="710">
        <f t="shared" si="5"/>
        <v>56</v>
      </c>
      <c r="P34" s="710">
        <f t="shared" si="5"/>
        <v>73.684238499999978</v>
      </c>
      <c r="Q34" s="710">
        <f t="shared" si="5"/>
        <v>34.373602579999989</v>
      </c>
      <c r="R34" s="710">
        <f t="shared" si="5"/>
        <v>44.709133670000035</v>
      </c>
      <c r="S34" s="710">
        <f t="shared" si="5"/>
        <v>39.803627880000008</v>
      </c>
      <c r="T34" s="710">
        <f t="shared" si="5"/>
        <v>79.409166839999969</v>
      </c>
      <c r="U34" s="710">
        <f t="shared" si="5"/>
        <v>49.428803539999983</v>
      </c>
      <c r="V34" s="710">
        <f t="shared" si="5"/>
        <v>58.684050719999973</v>
      </c>
      <c r="W34" s="710">
        <f t="shared" si="5"/>
        <v>83.155608000000001</v>
      </c>
      <c r="X34" s="710">
        <f t="shared" si="5"/>
        <v>103.10242110000002</v>
      </c>
      <c r="Y34" s="710">
        <f t="shared" si="5"/>
        <v>70.19579312999997</v>
      </c>
      <c r="Z34" s="710">
        <f t="shared" si="5"/>
        <v>104.48813831000018</v>
      </c>
      <c r="AA34" s="710">
        <f t="shared" si="5"/>
        <v>109.94540233999874</v>
      </c>
      <c r="AB34" s="710">
        <f t="shared" si="5"/>
        <v>141.48520546000074</v>
      </c>
      <c r="AC34" s="710">
        <f t="shared" si="5"/>
        <v>120.19828464999948</v>
      </c>
      <c r="AD34" s="710">
        <f t="shared" si="5"/>
        <v>168.20273944000201</v>
      </c>
      <c r="AE34" s="710">
        <f t="shared" si="5"/>
        <v>165.96899999999999</v>
      </c>
      <c r="AF34" s="710">
        <f t="shared" si="5"/>
        <v>216.63740412999999</v>
      </c>
      <c r="AG34" s="710">
        <f t="shared" si="5"/>
        <v>99.137347410000018</v>
      </c>
      <c r="AH34" s="710">
        <f t="shared" si="5"/>
        <v>131.567914</v>
      </c>
      <c r="AI34" s="710">
        <f t="shared" si="5"/>
        <v>150.19346898999999</v>
      </c>
      <c r="AJ34" s="710">
        <f t="shared" si="5"/>
        <v>127.47500111999999</v>
      </c>
      <c r="AK34" s="710">
        <f t="shared" si="5"/>
        <v>159.78360341999999</v>
      </c>
      <c r="AL34" s="710">
        <f t="shared" si="5"/>
        <v>178.63298478000002</v>
      </c>
      <c r="AM34" s="710">
        <f t="shared" ref="AM34:AP34" si="6">SUM(AM30:AM32)</f>
        <v>162.40838373000003</v>
      </c>
      <c r="AN34" s="710">
        <f t="shared" si="6"/>
        <v>160.4789433</v>
      </c>
      <c r="AO34" s="710">
        <f t="shared" si="6"/>
        <v>168.67298029999998</v>
      </c>
      <c r="AP34" s="710">
        <f t="shared" si="6"/>
        <v>187.84398075000004</v>
      </c>
    </row>
    <row r="35" spans="2:42">
      <c r="B35" s="48"/>
      <c r="C35" s="48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</row>
    <row r="36" spans="2:42">
      <c r="B36" s="38" t="s">
        <v>119</v>
      </c>
      <c r="C36" s="38" t="s">
        <v>119</v>
      </c>
      <c r="E36" s="50"/>
      <c r="F36" s="50"/>
      <c r="G36" s="50"/>
      <c r="H36" s="50"/>
      <c r="I36" s="51"/>
      <c r="J36" s="51"/>
      <c r="K36" s="51"/>
      <c r="L36" s="51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</row>
    <row r="37" spans="2:42">
      <c r="B37" s="42" t="s">
        <v>1640</v>
      </c>
      <c r="C37" s="42" t="s">
        <v>1641</v>
      </c>
      <c r="E37" s="43"/>
      <c r="F37" s="43"/>
      <c r="G37" s="43"/>
      <c r="H37" s="43"/>
      <c r="I37" s="44"/>
      <c r="J37" s="44"/>
      <c r="K37" s="44"/>
      <c r="L37" s="44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>
        <v>60.148325119999704</v>
      </c>
      <c r="X37" s="43">
        <v>60.949689120000009</v>
      </c>
      <c r="Y37" s="43">
        <v>62.602916220000012</v>
      </c>
      <c r="Z37" s="43">
        <v>59.898631979999912</v>
      </c>
      <c r="AA37" s="43">
        <v>291.37523237000005</v>
      </c>
      <c r="AB37" s="43">
        <v>231.31458005000002</v>
      </c>
      <c r="AC37" s="43">
        <v>188.29408105000007</v>
      </c>
      <c r="AD37" s="43">
        <v>188.02021411000001</v>
      </c>
      <c r="AE37" s="43">
        <v>153.75846698000001</v>
      </c>
      <c r="AF37" s="43">
        <v>-3.5269518199999599</v>
      </c>
      <c r="AG37" s="43">
        <v>114</v>
      </c>
      <c r="AH37" s="43">
        <v>175</v>
      </c>
      <c r="AI37" s="43">
        <v>181.76518547999999</v>
      </c>
      <c r="AJ37" s="43">
        <v>295.89211375999997</v>
      </c>
      <c r="AK37" s="43">
        <v>286.91839321999998</v>
      </c>
      <c r="AL37" s="43">
        <v>274.09750876999999</v>
      </c>
      <c r="AM37" s="43">
        <v>360.35113726999992</v>
      </c>
      <c r="AN37" s="43">
        <v>306.87877514999997</v>
      </c>
      <c r="AO37" s="43">
        <v>286.77940432999998</v>
      </c>
      <c r="AP37" s="43">
        <v>261.54995145000134</v>
      </c>
    </row>
    <row r="38" spans="2:42">
      <c r="B38" s="42" t="s">
        <v>1642</v>
      </c>
      <c r="C38" s="42" t="s">
        <v>1643</v>
      </c>
      <c r="E38" s="43"/>
      <c r="F38" s="43"/>
      <c r="G38" s="43"/>
      <c r="H38" s="43"/>
      <c r="I38" s="44"/>
      <c r="J38" s="44"/>
      <c r="K38" s="44"/>
      <c r="L38" s="44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>
        <v>0</v>
      </c>
      <c r="X38" s="43">
        <v>1.4259202</v>
      </c>
      <c r="Y38" s="43">
        <v>0.7727851899999999</v>
      </c>
      <c r="Z38" s="43">
        <v>11.938904229999999</v>
      </c>
      <c r="AA38" s="43">
        <v>19.548000260000002</v>
      </c>
      <c r="AB38" s="43">
        <v>0.74118633999999994</v>
      </c>
      <c r="AC38" s="43">
        <v>0.45465657999999998</v>
      </c>
      <c r="AD38" s="43">
        <v>1.3695862999999999</v>
      </c>
      <c r="AE38" s="43">
        <v>2.3545698200000005</v>
      </c>
      <c r="AF38" s="43">
        <v>2.3007135099999996</v>
      </c>
      <c r="AG38" s="43">
        <v>3</v>
      </c>
      <c r="AH38" s="43">
        <v>1.7</v>
      </c>
      <c r="AI38" s="43">
        <v>2.9378925699999998</v>
      </c>
      <c r="AJ38" s="43">
        <v>8.4618678499999991</v>
      </c>
      <c r="AK38" s="43">
        <v>0</v>
      </c>
      <c r="AL38" s="43">
        <v>7.5519674000000006</v>
      </c>
      <c r="AM38" s="43">
        <v>2.4779643699999996</v>
      </c>
      <c r="AN38" s="43">
        <v>12.205698310000001</v>
      </c>
      <c r="AO38" s="43">
        <v>0</v>
      </c>
      <c r="AP38" s="43">
        <v>0</v>
      </c>
    </row>
    <row r="39" spans="2:42">
      <c r="B39" s="42" t="str">
        <f>B32</f>
        <v>Ativos não elétricos</v>
      </c>
      <c r="C39" s="42" t="s">
        <v>1645</v>
      </c>
      <c r="E39" s="43"/>
      <c r="F39" s="43"/>
      <c r="G39" s="43"/>
      <c r="H39" s="43"/>
      <c r="I39" s="44"/>
      <c r="J39" s="44"/>
      <c r="K39" s="44"/>
      <c r="L39" s="44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>
        <v>7.462408999999999E-2</v>
      </c>
      <c r="X39" s="43">
        <v>2.1813906799999994</v>
      </c>
      <c r="Y39" s="43">
        <v>5.9202985899999998</v>
      </c>
      <c r="Z39" s="43">
        <v>10.754541370000005</v>
      </c>
      <c r="AA39" s="43">
        <v>31.226689369999988</v>
      </c>
      <c r="AB39" s="43">
        <v>24.833233610000001</v>
      </c>
      <c r="AC39" s="43">
        <v>19.018262369999999</v>
      </c>
      <c r="AD39" s="43">
        <v>21.321199589999999</v>
      </c>
      <c r="AE39" s="43">
        <v>19.008963200000004</v>
      </c>
      <c r="AF39" s="43">
        <v>38.552238309999986</v>
      </c>
      <c r="AG39" s="43">
        <v>10</v>
      </c>
      <c r="AH39" s="43">
        <v>36</v>
      </c>
      <c r="AI39" s="43">
        <v>40.406403689999983</v>
      </c>
      <c r="AJ39" s="43">
        <v>49.855715379999978</v>
      </c>
      <c r="AK39" s="43">
        <v>21.275639949999999</v>
      </c>
      <c r="AL39" s="43">
        <v>20.658121319999999</v>
      </c>
      <c r="AM39" s="43">
        <v>23.147514799999993</v>
      </c>
      <c r="AN39" s="43">
        <v>52.374641620000006</v>
      </c>
      <c r="AO39" s="43">
        <v>21.244621549999998</v>
      </c>
      <c r="AP39" s="43">
        <v>20.199605210000001</v>
      </c>
    </row>
    <row r="40" spans="2:42">
      <c r="B40" s="711" t="s">
        <v>2345</v>
      </c>
      <c r="C40" s="711" t="s">
        <v>2346</v>
      </c>
      <c r="E40" s="43"/>
      <c r="F40" s="43"/>
      <c r="G40" s="43"/>
      <c r="H40" s="43"/>
      <c r="I40" s="44"/>
      <c r="J40" s="44"/>
      <c r="K40" s="44"/>
      <c r="L40" s="44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>
        <v>0</v>
      </c>
      <c r="Z40" s="43">
        <v>0</v>
      </c>
      <c r="AA40" s="43">
        <v>0</v>
      </c>
      <c r="AB40" s="43">
        <v>0.14247984</v>
      </c>
      <c r="AC40" s="43">
        <v>0.15412338</v>
      </c>
      <c r="AD40" s="43">
        <v>10.639045749999999</v>
      </c>
      <c r="AE40" s="43">
        <v>2.8290976499999996</v>
      </c>
      <c r="AF40" s="43">
        <v>2.7995950000000001</v>
      </c>
      <c r="AG40" s="43">
        <v>1.1831383100000004</v>
      </c>
      <c r="AH40" s="43">
        <v>19.811891770000003</v>
      </c>
      <c r="AI40" s="43">
        <v>12.170437129999996</v>
      </c>
      <c r="AJ40" s="43">
        <v>15.862479299999405</v>
      </c>
      <c r="AK40" s="43">
        <v>8.6428876700000004</v>
      </c>
      <c r="AL40" s="43">
        <v>11.254165279999995</v>
      </c>
      <c r="AM40" s="43">
        <v>9.9928294199999996</v>
      </c>
      <c r="AN40" s="43">
        <v>24.238712019999987</v>
      </c>
      <c r="AO40" s="43">
        <v>11.255369499999997</v>
      </c>
      <c r="AP40" s="43">
        <v>6.0816215900000001</v>
      </c>
    </row>
    <row r="41" spans="2:42">
      <c r="B41" s="708" t="s">
        <v>220</v>
      </c>
      <c r="C41" s="708" t="s">
        <v>220</v>
      </c>
      <c r="D41" s="709"/>
      <c r="E41" s="710">
        <f>SUM(E37:E39)</f>
        <v>0</v>
      </c>
      <c r="F41" s="710">
        <f t="shared" ref="F41:AL41" si="7">SUM(F37:F39)</f>
        <v>0</v>
      </c>
      <c r="G41" s="710">
        <f t="shared" si="7"/>
        <v>0</v>
      </c>
      <c r="H41" s="710">
        <f t="shared" si="7"/>
        <v>0</v>
      </c>
      <c r="I41" s="710">
        <f t="shared" si="7"/>
        <v>0</v>
      </c>
      <c r="J41" s="710">
        <f t="shared" si="7"/>
        <v>0</v>
      </c>
      <c r="K41" s="710">
        <f t="shared" si="7"/>
        <v>0</v>
      </c>
      <c r="L41" s="710">
        <f t="shared" si="7"/>
        <v>0</v>
      </c>
      <c r="M41" s="710">
        <f t="shared" si="7"/>
        <v>0</v>
      </c>
      <c r="N41" s="710">
        <f t="shared" si="7"/>
        <v>0</v>
      </c>
      <c r="O41" s="710">
        <f t="shared" si="7"/>
        <v>0</v>
      </c>
      <c r="P41" s="710">
        <f t="shared" si="7"/>
        <v>0</v>
      </c>
      <c r="Q41" s="710">
        <f t="shared" si="7"/>
        <v>0</v>
      </c>
      <c r="R41" s="710">
        <f t="shared" si="7"/>
        <v>0</v>
      </c>
      <c r="S41" s="710">
        <f t="shared" si="7"/>
        <v>0</v>
      </c>
      <c r="T41" s="710">
        <f t="shared" si="7"/>
        <v>0</v>
      </c>
      <c r="U41" s="710">
        <f t="shared" si="7"/>
        <v>0</v>
      </c>
      <c r="V41" s="710">
        <f t="shared" si="7"/>
        <v>0</v>
      </c>
      <c r="W41" s="710">
        <f t="shared" si="7"/>
        <v>60.222949209999705</v>
      </c>
      <c r="X41" s="710">
        <f t="shared" si="7"/>
        <v>64.557000000000002</v>
      </c>
      <c r="Y41" s="710">
        <f t="shared" si="7"/>
        <v>69.296000000000006</v>
      </c>
      <c r="Z41" s="710">
        <f t="shared" si="7"/>
        <v>82.592077579999909</v>
      </c>
      <c r="AA41" s="710">
        <f t="shared" si="7"/>
        <v>342.149922</v>
      </c>
      <c r="AB41" s="710">
        <f t="shared" si="7"/>
        <v>256.88900000000001</v>
      </c>
      <c r="AC41" s="710">
        <f t="shared" si="7"/>
        <v>207.76700000000008</v>
      </c>
      <c r="AD41" s="710">
        <f t="shared" si="7"/>
        <v>210.71100000000001</v>
      </c>
      <c r="AE41" s="710">
        <f t="shared" si="7"/>
        <v>175.12200000000001</v>
      </c>
      <c r="AF41" s="710">
        <f t="shared" si="7"/>
        <v>37.326000000000022</v>
      </c>
      <c r="AG41" s="710">
        <f t="shared" si="7"/>
        <v>127</v>
      </c>
      <c r="AH41" s="710">
        <f t="shared" si="7"/>
        <v>212.7</v>
      </c>
      <c r="AI41" s="710">
        <f t="shared" si="7"/>
        <v>225.10948173999998</v>
      </c>
      <c r="AJ41" s="710">
        <f t="shared" si="7"/>
        <v>354.20969698999994</v>
      </c>
      <c r="AK41" s="710">
        <f t="shared" si="7"/>
        <v>308.19403317000001</v>
      </c>
      <c r="AL41" s="710">
        <f t="shared" si="7"/>
        <v>302.30759749000003</v>
      </c>
      <c r="AM41" s="710">
        <f t="shared" ref="AM41:AP41" si="8">SUM(AM37:AM39)</f>
        <v>385.97661643999993</v>
      </c>
      <c r="AN41" s="710">
        <f t="shared" si="8"/>
        <v>371.45911507999995</v>
      </c>
      <c r="AO41" s="710">
        <f t="shared" si="8"/>
        <v>308.02402587999995</v>
      </c>
      <c r="AP41" s="710">
        <f t="shared" si="8"/>
        <v>281.74955666000136</v>
      </c>
    </row>
    <row r="42" spans="2:42">
      <c r="E42" s="43"/>
      <c r="F42" s="43"/>
      <c r="G42" s="43"/>
      <c r="H42" s="43"/>
      <c r="I42" s="44"/>
      <c r="J42" s="44"/>
      <c r="K42" s="44"/>
      <c r="L42" s="44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</row>
    <row r="43" spans="2:42">
      <c r="B43" s="38" t="s">
        <v>122</v>
      </c>
      <c r="C43" s="38" t="s">
        <v>122</v>
      </c>
      <c r="E43" s="50"/>
      <c r="F43" s="50"/>
      <c r="G43" s="50"/>
      <c r="H43" s="50"/>
      <c r="I43" s="51"/>
      <c r="J43" s="51"/>
      <c r="K43" s="51"/>
      <c r="L43" s="51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</row>
    <row r="44" spans="2:42">
      <c r="B44" s="42" t="s">
        <v>1640</v>
      </c>
      <c r="C44" s="42" t="s">
        <v>1641</v>
      </c>
      <c r="E44" s="43"/>
      <c r="F44" s="43"/>
      <c r="G44" s="43"/>
      <c r="H44" s="43"/>
      <c r="I44" s="44"/>
      <c r="J44" s="44"/>
      <c r="K44" s="44"/>
      <c r="L44" s="44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>
        <v>94.879679849999988</v>
      </c>
      <c r="AA44" s="43">
        <v>130.20509097000007</v>
      </c>
      <c r="AB44" s="43">
        <v>78.668828640000015</v>
      </c>
      <c r="AC44" s="43">
        <v>84.116924040000299</v>
      </c>
      <c r="AD44" s="43">
        <v>132.11493401999988</v>
      </c>
      <c r="AE44" s="43">
        <v>66.993620437006996</v>
      </c>
      <c r="AF44" s="43">
        <v>22.257558636000599</v>
      </c>
      <c r="AG44" s="43">
        <v>56.83155938400003</v>
      </c>
      <c r="AH44" s="43">
        <v>55.358733759999993</v>
      </c>
      <c r="AI44" s="43">
        <v>39.831869846257284</v>
      </c>
      <c r="AJ44" s="43">
        <v>82</v>
      </c>
      <c r="AK44" s="43">
        <v>51</v>
      </c>
      <c r="AL44" s="43">
        <v>79.80495148000017</v>
      </c>
      <c r="AM44" s="43">
        <v>76.695776189999691</v>
      </c>
      <c r="AN44" s="43">
        <v>23.581968</v>
      </c>
      <c r="AO44" s="43">
        <v>103.16741921300002</v>
      </c>
      <c r="AP44" s="43">
        <v>70.648614689999448</v>
      </c>
    </row>
    <row r="45" spans="2:42">
      <c r="B45" s="42" t="s">
        <v>1642</v>
      </c>
      <c r="C45" s="42" t="s">
        <v>1643</v>
      </c>
      <c r="E45" s="43"/>
      <c r="F45" s="43"/>
      <c r="G45" s="43"/>
      <c r="H45" s="43"/>
      <c r="I45" s="44"/>
      <c r="J45" s="44"/>
      <c r="K45" s="44"/>
      <c r="L45" s="44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>
        <v>-0.37043746</v>
      </c>
      <c r="AA45" s="43">
        <v>1.6962571000000002</v>
      </c>
      <c r="AB45" s="43">
        <v>1.5338515299999993</v>
      </c>
      <c r="AC45" s="43">
        <v>18.689098749999971</v>
      </c>
      <c r="AD45" s="43">
        <v>12.064766700000007</v>
      </c>
      <c r="AE45" s="43">
        <v>26.001340783000003</v>
      </c>
      <c r="AF45" s="43">
        <v>57.803288413999994</v>
      </c>
      <c r="AG45" s="43">
        <v>27.859039576000043</v>
      </c>
      <c r="AH45" s="43">
        <v>17.025734249999974</v>
      </c>
      <c r="AI45" s="43">
        <v>17.604271163583331</v>
      </c>
      <c r="AJ45" s="43">
        <v>18</v>
      </c>
      <c r="AK45" s="43">
        <v>24</v>
      </c>
      <c r="AL45" s="43">
        <v>12.958182009999991</v>
      </c>
      <c r="AM45" s="43">
        <v>31.776193980000002</v>
      </c>
      <c r="AN45" s="43">
        <v>32.670160000000003</v>
      </c>
      <c r="AO45" s="43">
        <v>23.837312456999989</v>
      </c>
      <c r="AP45" s="43">
        <v>23.353785810000009</v>
      </c>
    </row>
    <row r="46" spans="2:42">
      <c r="B46" s="42" t="str">
        <f>B39</f>
        <v>Ativos não elétricos</v>
      </c>
      <c r="C46" s="42" t="s">
        <v>1645</v>
      </c>
      <c r="E46" s="43"/>
      <c r="F46" s="43"/>
      <c r="G46" s="43"/>
      <c r="H46" s="43"/>
      <c r="I46" s="44"/>
      <c r="J46" s="44"/>
      <c r="K46" s="44"/>
      <c r="L46" s="44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>
        <v>14.588474479999984</v>
      </c>
      <c r="AA46" s="43">
        <v>52.280697499999974</v>
      </c>
      <c r="AB46" s="43">
        <v>14.428974919999993</v>
      </c>
      <c r="AC46" s="43">
        <v>4.2330304500000011</v>
      </c>
      <c r="AD46" s="43">
        <v>5.3312311199999938</v>
      </c>
      <c r="AE46" s="43">
        <v>5.8595842199999906</v>
      </c>
      <c r="AF46" s="43">
        <v>14.659705170000001</v>
      </c>
      <c r="AG46" s="43">
        <v>3.20306969</v>
      </c>
      <c r="AH46" s="43">
        <v>11.286327509999996</v>
      </c>
      <c r="AI46" s="43">
        <v>6.7563103901593795</v>
      </c>
      <c r="AJ46" s="43">
        <v>14</v>
      </c>
      <c r="AK46" s="43">
        <v>7</v>
      </c>
      <c r="AL46" s="43">
        <v>9.0212616699999995</v>
      </c>
      <c r="AM46" s="43">
        <v>8.5851639899999999</v>
      </c>
      <c r="AN46" s="43">
        <v>10.268966000000001</v>
      </c>
      <c r="AO46" s="43">
        <v>3.7746884600000001</v>
      </c>
      <c r="AP46" s="43">
        <v>3.1625295800000019</v>
      </c>
    </row>
    <row r="47" spans="2:42">
      <c r="B47" s="711" t="s">
        <v>2345</v>
      </c>
      <c r="C47" s="711" t="s">
        <v>2346</v>
      </c>
      <c r="E47" s="43"/>
      <c r="F47" s="43"/>
      <c r="G47" s="43"/>
      <c r="H47" s="43"/>
      <c r="I47" s="44"/>
      <c r="J47" s="44"/>
      <c r="K47" s="44"/>
      <c r="L47" s="44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>
        <v>0</v>
      </c>
      <c r="AA47" s="43">
        <v>0</v>
      </c>
      <c r="AB47" s="43">
        <v>0.28228818999999999</v>
      </c>
      <c r="AC47" s="43">
        <v>0.32952207999999999</v>
      </c>
      <c r="AD47" s="43">
        <v>1.39609878</v>
      </c>
      <c r="AE47" s="43">
        <v>2.4064921900000003</v>
      </c>
      <c r="AF47" s="43">
        <v>1.4808969599999999</v>
      </c>
      <c r="AG47" s="43">
        <v>0.80679669000000009</v>
      </c>
      <c r="AH47" s="43">
        <v>5.6836404700000003</v>
      </c>
      <c r="AI47" s="43">
        <v>3.6866060399999996</v>
      </c>
      <c r="AJ47" s="43">
        <v>18.614974500000006</v>
      </c>
      <c r="AK47" s="43">
        <v>5.3551370600000014</v>
      </c>
      <c r="AL47" s="43">
        <v>5.5382985599999994</v>
      </c>
      <c r="AM47" s="43">
        <v>3.3010057599999998</v>
      </c>
      <c r="AN47" s="43">
        <v>5.4443350100000005</v>
      </c>
      <c r="AO47" s="43">
        <v>1.5554398800000002</v>
      </c>
      <c r="AP47" s="43">
        <v>0.74557867999999994</v>
      </c>
    </row>
    <row r="48" spans="2:42">
      <c r="B48" s="708" t="s">
        <v>220</v>
      </c>
      <c r="C48" s="708" t="s">
        <v>220</v>
      </c>
      <c r="D48" s="709"/>
      <c r="E48" s="710">
        <f>SUM(E44:E46)</f>
        <v>0</v>
      </c>
      <c r="F48" s="710">
        <f t="shared" ref="F48:AL48" si="9">SUM(F44:F46)</f>
        <v>0</v>
      </c>
      <c r="G48" s="710">
        <f t="shared" si="9"/>
        <v>0</v>
      </c>
      <c r="H48" s="710">
        <f t="shared" si="9"/>
        <v>0</v>
      </c>
      <c r="I48" s="710">
        <f t="shared" si="9"/>
        <v>0</v>
      </c>
      <c r="J48" s="710">
        <f t="shared" si="9"/>
        <v>0</v>
      </c>
      <c r="K48" s="710">
        <f t="shared" si="9"/>
        <v>0</v>
      </c>
      <c r="L48" s="710">
        <f t="shared" si="9"/>
        <v>0</v>
      </c>
      <c r="M48" s="710">
        <f t="shared" si="9"/>
        <v>0</v>
      </c>
      <c r="N48" s="710">
        <f t="shared" si="9"/>
        <v>0</v>
      </c>
      <c r="O48" s="710">
        <f t="shared" si="9"/>
        <v>0</v>
      </c>
      <c r="P48" s="710">
        <f t="shared" si="9"/>
        <v>0</v>
      </c>
      <c r="Q48" s="710">
        <f t="shared" si="9"/>
        <v>0</v>
      </c>
      <c r="R48" s="710">
        <f t="shared" si="9"/>
        <v>0</v>
      </c>
      <c r="S48" s="710">
        <f t="shared" si="9"/>
        <v>0</v>
      </c>
      <c r="T48" s="710">
        <f t="shared" si="9"/>
        <v>0</v>
      </c>
      <c r="U48" s="710">
        <f t="shared" si="9"/>
        <v>0</v>
      </c>
      <c r="V48" s="710">
        <f t="shared" si="9"/>
        <v>0</v>
      </c>
      <c r="W48" s="710">
        <f t="shared" si="9"/>
        <v>0</v>
      </c>
      <c r="X48" s="710">
        <f t="shared" si="9"/>
        <v>0</v>
      </c>
      <c r="Y48" s="710">
        <f t="shared" si="9"/>
        <v>0</v>
      </c>
      <c r="Z48" s="710">
        <f t="shared" si="9"/>
        <v>109.09771686999997</v>
      </c>
      <c r="AA48" s="710">
        <f t="shared" si="9"/>
        <v>184.18204557000004</v>
      </c>
      <c r="AB48" s="710">
        <f t="shared" si="9"/>
        <v>94.631655089999995</v>
      </c>
      <c r="AC48" s="710">
        <f t="shared" si="9"/>
        <v>107.03905324000027</v>
      </c>
      <c r="AD48" s="710">
        <f t="shared" si="9"/>
        <v>149.51093183999987</v>
      </c>
      <c r="AE48" s="710">
        <f t="shared" si="9"/>
        <v>98.854545440006987</v>
      </c>
      <c r="AF48" s="710">
        <f t="shared" si="9"/>
        <v>94.720552220000584</v>
      </c>
      <c r="AG48" s="710">
        <f t="shared" si="9"/>
        <v>87.89366865000008</v>
      </c>
      <c r="AH48" s="710">
        <f t="shared" si="9"/>
        <v>83.670795519999956</v>
      </c>
      <c r="AI48" s="710">
        <f t="shared" si="9"/>
        <v>64.192451399999996</v>
      </c>
      <c r="AJ48" s="710">
        <f t="shared" si="9"/>
        <v>114</v>
      </c>
      <c r="AK48" s="710">
        <f t="shared" si="9"/>
        <v>82</v>
      </c>
      <c r="AL48" s="710">
        <f t="shared" si="9"/>
        <v>101.78439516000016</v>
      </c>
      <c r="AM48" s="710">
        <f t="shared" ref="AM48:AP48" si="10">SUM(AM44:AM46)</f>
        <v>117.05713415999969</v>
      </c>
      <c r="AN48" s="710">
        <f t="shared" si="10"/>
        <v>66.521094000000005</v>
      </c>
      <c r="AO48" s="710">
        <f t="shared" si="10"/>
        <v>130.77942013000001</v>
      </c>
      <c r="AP48" s="710">
        <f t="shared" si="10"/>
        <v>97.164930079999451</v>
      </c>
    </row>
    <row r="50" spans="2:42">
      <c r="B50" s="38" t="s">
        <v>125</v>
      </c>
      <c r="C50" s="38" t="s">
        <v>125</v>
      </c>
      <c r="E50" s="50"/>
      <c r="F50" s="50"/>
      <c r="G50" s="50"/>
      <c r="H50" s="50"/>
      <c r="I50" s="51"/>
      <c r="J50" s="51"/>
      <c r="K50" s="51"/>
      <c r="L50" s="51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</row>
    <row r="51" spans="2:42">
      <c r="B51" s="42" t="s">
        <v>1640</v>
      </c>
      <c r="C51" s="42" t="s">
        <v>1641</v>
      </c>
      <c r="E51" s="43"/>
      <c r="F51" s="43"/>
      <c r="G51" s="43"/>
      <c r="H51" s="43"/>
      <c r="I51" s="44"/>
      <c r="J51" s="44"/>
      <c r="K51" s="44"/>
      <c r="L51" s="44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>
        <v>887.35068996999996</v>
      </c>
      <c r="AD51" s="43">
        <v>417.59843761000013</v>
      </c>
      <c r="AE51" s="43">
        <v>331.49490078000002</v>
      </c>
      <c r="AF51" s="43">
        <v>219.3283543000006</v>
      </c>
      <c r="AG51" s="43">
        <v>323.28048455999999</v>
      </c>
      <c r="AH51" s="43">
        <v>442.49346129000008</v>
      </c>
      <c r="AI51" s="43">
        <v>581.92320255000004</v>
      </c>
      <c r="AJ51" s="43">
        <v>575.04894175000004</v>
      </c>
      <c r="AK51" s="43">
        <v>447.5014375099999</v>
      </c>
      <c r="AL51" s="43">
        <v>661.82846307</v>
      </c>
      <c r="AM51" s="43">
        <v>699.73366215999999</v>
      </c>
      <c r="AN51" s="43">
        <v>551.28008399999999</v>
      </c>
      <c r="AO51" s="43">
        <v>580.26192873800005</v>
      </c>
      <c r="AP51" s="43">
        <v>611.46515892600792</v>
      </c>
    </row>
    <row r="52" spans="2:42">
      <c r="B52" s="42" t="s">
        <v>1642</v>
      </c>
      <c r="C52" s="42" t="s">
        <v>1643</v>
      </c>
      <c r="E52" s="43"/>
      <c r="F52" s="43"/>
      <c r="G52" s="43"/>
      <c r="H52" s="43"/>
      <c r="I52" s="44"/>
      <c r="J52" s="44"/>
      <c r="K52" s="44"/>
      <c r="L52" s="44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>
        <v>-47.069095980000007</v>
      </c>
      <c r="AD52" s="43">
        <v>-24.051163129999971</v>
      </c>
      <c r="AE52" s="43">
        <v>-4.0625264400000001</v>
      </c>
      <c r="AF52" s="43">
        <v>-25.571504710000006</v>
      </c>
      <c r="AG52" s="43">
        <v>-28.525457609999997</v>
      </c>
      <c r="AH52" s="43">
        <v>-40.691637400000097</v>
      </c>
      <c r="AI52" s="43">
        <v>69.217095009999994</v>
      </c>
      <c r="AJ52" s="43">
        <v>0</v>
      </c>
      <c r="AK52" s="43">
        <v>8.1628112500000025</v>
      </c>
      <c r="AL52" s="43">
        <v>7.1281241700000022</v>
      </c>
      <c r="AM52" s="43">
        <v>5.4647400000000133</v>
      </c>
      <c r="AN52" s="43">
        <v>9.8317300000000003</v>
      </c>
      <c r="AO52" s="43">
        <v>8.0502663519999977</v>
      </c>
      <c r="AP52" s="43">
        <v>19.513829864000016</v>
      </c>
    </row>
    <row r="53" spans="2:42">
      <c r="B53" s="42" t="str">
        <f>B46</f>
        <v>Ativos não elétricos</v>
      </c>
      <c r="C53" s="42" t="s">
        <v>1645</v>
      </c>
      <c r="E53" s="43"/>
      <c r="F53" s="43"/>
      <c r="G53" s="43"/>
      <c r="H53" s="43"/>
      <c r="I53" s="44"/>
      <c r="J53" s="44"/>
      <c r="K53" s="44"/>
      <c r="L53" s="44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>
        <v>61.852406009999982</v>
      </c>
      <c r="AD53" s="43">
        <v>81.864533550000019</v>
      </c>
      <c r="AE53" s="43">
        <v>79.044480539999967</v>
      </c>
      <c r="AF53" s="43">
        <v>95.892104020000005</v>
      </c>
      <c r="AG53" s="43">
        <v>28.552640239999992</v>
      </c>
      <c r="AH53" s="43">
        <v>37.583858339999999</v>
      </c>
      <c r="AI53" s="43">
        <v>56.671221939999995</v>
      </c>
      <c r="AJ53" s="43">
        <v>78.982976690000001</v>
      </c>
      <c r="AK53" s="43">
        <v>29.873659789999998</v>
      </c>
      <c r="AL53" s="43">
        <v>39.065071090000004</v>
      </c>
      <c r="AM53" s="43">
        <v>46.162035470000006</v>
      </c>
      <c r="AN53" s="43">
        <v>111.503649</v>
      </c>
      <c r="AO53" s="43">
        <v>49.337559179999992</v>
      </c>
      <c r="AP53" s="43">
        <v>44.03893707000001</v>
      </c>
    </row>
    <row r="54" spans="2:42">
      <c r="B54" s="711" t="s">
        <v>2345</v>
      </c>
      <c r="C54" s="711" t="s">
        <v>2346</v>
      </c>
      <c r="E54" s="43"/>
      <c r="F54" s="43"/>
      <c r="G54" s="43"/>
      <c r="H54" s="43"/>
      <c r="I54" s="44"/>
      <c r="J54" s="44"/>
      <c r="K54" s="44"/>
      <c r="L54" s="44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>
        <v>0</v>
      </c>
      <c r="AD54" s="43">
        <v>0</v>
      </c>
      <c r="AE54" s="43">
        <v>7.3966929999999986E-2</v>
      </c>
      <c r="AF54" s="43">
        <v>8.039879449999999</v>
      </c>
      <c r="AG54" s="43">
        <v>0</v>
      </c>
      <c r="AH54" s="43">
        <v>0.46270639999999996</v>
      </c>
      <c r="AI54" s="43">
        <v>6.4353703700000011</v>
      </c>
      <c r="AJ54" s="43">
        <v>3.7808842999999994</v>
      </c>
      <c r="AK54" s="43">
        <v>8.8785290100000012</v>
      </c>
      <c r="AL54" s="43">
        <v>2.9099653400000003</v>
      </c>
      <c r="AM54" s="43">
        <v>7.5094977499999995</v>
      </c>
      <c r="AN54" s="43">
        <v>42.080990739999997</v>
      </c>
      <c r="AO54" s="43">
        <v>26.155427739999997</v>
      </c>
      <c r="AP54" s="43">
        <v>18.386756810000001</v>
      </c>
    </row>
    <row r="55" spans="2:42">
      <c r="B55" s="708" t="s">
        <v>220</v>
      </c>
      <c r="C55" s="708" t="s">
        <v>220</v>
      </c>
      <c r="D55" s="709"/>
      <c r="E55" s="710">
        <f>SUM(E51:E53)</f>
        <v>0</v>
      </c>
      <c r="F55" s="710">
        <f t="shared" ref="F55:AL55" si="11">SUM(F51:F53)</f>
        <v>0</v>
      </c>
      <c r="G55" s="710">
        <f t="shared" si="11"/>
        <v>0</v>
      </c>
      <c r="H55" s="710">
        <f t="shared" si="11"/>
        <v>0</v>
      </c>
      <c r="I55" s="710">
        <f t="shared" si="11"/>
        <v>0</v>
      </c>
      <c r="J55" s="710">
        <f t="shared" si="11"/>
        <v>0</v>
      </c>
      <c r="K55" s="710">
        <f t="shared" si="11"/>
        <v>0</v>
      </c>
      <c r="L55" s="710">
        <f t="shared" si="11"/>
        <v>0</v>
      </c>
      <c r="M55" s="710">
        <f t="shared" si="11"/>
        <v>0</v>
      </c>
      <c r="N55" s="710">
        <f t="shared" si="11"/>
        <v>0</v>
      </c>
      <c r="O55" s="710">
        <f t="shared" si="11"/>
        <v>0</v>
      </c>
      <c r="P55" s="710">
        <f t="shared" si="11"/>
        <v>0</v>
      </c>
      <c r="Q55" s="710">
        <f t="shared" si="11"/>
        <v>0</v>
      </c>
      <c r="R55" s="710">
        <f t="shared" si="11"/>
        <v>0</v>
      </c>
      <c r="S55" s="710">
        <f t="shared" si="11"/>
        <v>0</v>
      </c>
      <c r="T55" s="710">
        <f t="shared" si="11"/>
        <v>0</v>
      </c>
      <c r="U55" s="710">
        <f t="shared" si="11"/>
        <v>0</v>
      </c>
      <c r="V55" s="710">
        <f t="shared" si="11"/>
        <v>0</v>
      </c>
      <c r="W55" s="710">
        <f t="shared" si="11"/>
        <v>0</v>
      </c>
      <c r="X55" s="710">
        <f t="shared" si="11"/>
        <v>0</v>
      </c>
      <c r="Y55" s="710">
        <f t="shared" si="11"/>
        <v>0</v>
      </c>
      <c r="Z55" s="710">
        <f t="shared" si="11"/>
        <v>0</v>
      </c>
      <c r="AA55" s="710">
        <f t="shared" si="11"/>
        <v>0</v>
      </c>
      <c r="AB55" s="710">
        <f t="shared" si="11"/>
        <v>0</v>
      </c>
      <c r="AC55" s="710">
        <f t="shared" si="11"/>
        <v>902.1339999999999</v>
      </c>
      <c r="AD55" s="710">
        <f t="shared" si="11"/>
        <v>475.4118080300002</v>
      </c>
      <c r="AE55" s="710">
        <f t="shared" si="11"/>
        <v>406.47685488000002</v>
      </c>
      <c r="AF55" s="710">
        <f t="shared" si="11"/>
        <v>289.6489536100006</v>
      </c>
      <c r="AG55" s="710">
        <f t="shared" si="11"/>
        <v>323.30766719000002</v>
      </c>
      <c r="AH55" s="710">
        <f t="shared" si="11"/>
        <v>439.38568222999999</v>
      </c>
      <c r="AI55" s="710">
        <f t="shared" si="11"/>
        <v>707.81151950000003</v>
      </c>
      <c r="AJ55" s="710">
        <f t="shared" si="11"/>
        <v>654.03191844000003</v>
      </c>
      <c r="AK55" s="710">
        <f t="shared" si="11"/>
        <v>485.53790854999988</v>
      </c>
      <c r="AL55" s="710">
        <f t="shared" si="11"/>
        <v>708.02165833000004</v>
      </c>
      <c r="AM55" s="710">
        <f t="shared" ref="AM55:AP55" si="12">SUM(AM51:AM53)</f>
        <v>751.36043762999998</v>
      </c>
      <c r="AN55" s="710">
        <f t="shared" si="12"/>
        <v>672.61546299999998</v>
      </c>
      <c r="AO55" s="710">
        <f t="shared" si="12"/>
        <v>637.64975427000002</v>
      </c>
      <c r="AP55" s="710">
        <f t="shared" si="12"/>
        <v>675.01792586000795</v>
      </c>
    </row>
    <row r="56" spans="2:42">
      <c r="E56" s="43"/>
      <c r="F56" s="43"/>
      <c r="G56" s="43"/>
      <c r="H56" s="43"/>
      <c r="I56" s="44"/>
      <c r="J56" s="44"/>
      <c r="K56" s="44"/>
      <c r="L56" s="44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</row>
    <row r="57" spans="2:42">
      <c r="B57" s="52" t="s">
        <v>1646</v>
      </c>
      <c r="C57" s="52" t="s">
        <v>1646</v>
      </c>
      <c r="E57" s="53"/>
      <c r="F57" s="53"/>
      <c r="G57" s="53"/>
      <c r="H57" s="53"/>
      <c r="I57" s="54"/>
      <c r="J57" s="54"/>
      <c r="K57" s="54"/>
      <c r="L57" s="54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</row>
    <row r="58" spans="2:42">
      <c r="B58" s="45" t="s">
        <v>1647</v>
      </c>
      <c r="C58" s="45" t="s">
        <v>1648</v>
      </c>
      <c r="E58" s="46">
        <v>1</v>
      </c>
      <c r="F58" s="46">
        <v>1</v>
      </c>
      <c r="G58" s="46">
        <v>0</v>
      </c>
      <c r="H58" s="46">
        <v>0</v>
      </c>
      <c r="I58" s="47">
        <v>2</v>
      </c>
      <c r="J58" s="47">
        <v>2</v>
      </c>
      <c r="K58" s="47">
        <v>1</v>
      </c>
      <c r="L58" s="47">
        <v>1</v>
      </c>
      <c r="M58" s="46">
        <v>1</v>
      </c>
      <c r="N58" s="46">
        <v>2</v>
      </c>
      <c r="O58" s="46">
        <v>0</v>
      </c>
      <c r="P58" s="46">
        <v>0</v>
      </c>
      <c r="Q58" s="46">
        <v>0</v>
      </c>
      <c r="R58" s="46">
        <v>3.3034985800000003</v>
      </c>
      <c r="S58" s="46">
        <v>0.20582987</v>
      </c>
      <c r="T58" s="46">
        <v>0.20204969</v>
      </c>
      <c r="U58" s="46">
        <v>7.0943050000000021E-2</v>
      </c>
      <c r="V58" s="46">
        <v>1.1787434500000002</v>
      </c>
      <c r="W58" s="46">
        <v>7.0943050000000021E-2</v>
      </c>
      <c r="X58" s="46">
        <v>2.8377680499998332</v>
      </c>
      <c r="Y58" s="46">
        <v>5.2548748100000617</v>
      </c>
      <c r="Z58" s="46">
        <v>0</v>
      </c>
      <c r="AA58" s="46">
        <v>0</v>
      </c>
      <c r="AB58" s="46">
        <v>0</v>
      </c>
      <c r="AC58" s="46">
        <v>0</v>
      </c>
      <c r="AD58" s="46">
        <v>0</v>
      </c>
      <c r="AE58" s="46">
        <v>0</v>
      </c>
      <c r="AF58" s="46"/>
      <c r="AG58" s="46"/>
      <c r="AH58" s="46"/>
      <c r="AI58" s="46"/>
      <c r="AJ58" s="46"/>
      <c r="AK58" s="46"/>
      <c r="AL58" s="46"/>
      <c r="AM58" s="46"/>
      <c r="AN58" s="46"/>
      <c r="AO58" s="46"/>
      <c r="AP58" s="772"/>
    </row>
    <row r="59" spans="2:42">
      <c r="B59" s="48" t="s">
        <v>220</v>
      </c>
      <c r="C59" s="48" t="s">
        <v>220</v>
      </c>
      <c r="E59" s="49">
        <f>E58</f>
        <v>1</v>
      </c>
      <c r="F59" s="49">
        <f t="shared" ref="F59:AA59" si="13">F58</f>
        <v>1</v>
      </c>
      <c r="G59" s="49">
        <f t="shared" si="13"/>
        <v>0</v>
      </c>
      <c r="H59" s="49">
        <f t="shared" si="13"/>
        <v>0</v>
      </c>
      <c r="I59" s="49">
        <f t="shared" si="13"/>
        <v>2</v>
      </c>
      <c r="J59" s="49">
        <f t="shared" si="13"/>
        <v>2</v>
      </c>
      <c r="K59" s="49">
        <f t="shared" si="13"/>
        <v>1</v>
      </c>
      <c r="L59" s="49">
        <f t="shared" si="13"/>
        <v>1</v>
      </c>
      <c r="M59" s="49">
        <f t="shared" si="13"/>
        <v>1</v>
      </c>
      <c r="N59" s="49">
        <f t="shared" si="13"/>
        <v>2</v>
      </c>
      <c r="O59" s="49">
        <f t="shared" si="13"/>
        <v>0</v>
      </c>
      <c r="P59" s="49">
        <f t="shared" si="13"/>
        <v>0</v>
      </c>
      <c r="Q59" s="49">
        <f t="shared" si="13"/>
        <v>0</v>
      </c>
      <c r="R59" s="49">
        <f t="shared" si="13"/>
        <v>3.3034985800000003</v>
      </c>
      <c r="S59" s="49">
        <f t="shared" si="13"/>
        <v>0.20582987</v>
      </c>
      <c r="T59" s="49">
        <f t="shared" si="13"/>
        <v>0.20204969</v>
      </c>
      <c r="U59" s="49">
        <f t="shared" si="13"/>
        <v>7.0943050000000021E-2</v>
      </c>
      <c r="V59" s="49">
        <f t="shared" si="13"/>
        <v>1.1787434500000002</v>
      </c>
      <c r="W59" s="49">
        <f t="shared" si="13"/>
        <v>7.0943050000000021E-2</v>
      </c>
      <c r="X59" s="49">
        <f t="shared" si="13"/>
        <v>2.8377680499998332</v>
      </c>
      <c r="Y59" s="49">
        <f t="shared" si="13"/>
        <v>5.2548748100000617</v>
      </c>
      <c r="Z59" s="49">
        <f t="shared" si="13"/>
        <v>0</v>
      </c>
      <c r="AA59" s="49">
        <f t="shared" si="13"/>
        <v>0</v>
      </c>
      <c r="AB59" s="49">
        <v>0</v>
      </c>
      <c r="AC59" s="49">
        <v>0</v>
      </c>
      <c r="AD59" s="49">
        <v>0</v>
      </c>
      <c r="AE59" s="49">
        <f>+AD59</f>
        <v>0</v>
      </c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</row>
    <row r="60" spans="2:42">
      <c r="E60" s="43"/>
      <c r="F60" s="43"/>
      <c r="G60" s="43"/>
      <c r="H60" s="43"/>
      <c r="I60" s="44"/>
      <c r="J60" s="44"/>
      <c r="K60" s="44"/>
      <c r="L60" s="44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</row>
    <row r="61" spans="2:42">
      <c r="B61" s="38" t="s">
        <v>577</v>
      </c>
      <c r="C61" s="38" t="s">
        <v>577</v>
      </c>
      <c r="E61" s="50"/>
      <c r="F61" s="50"/>
      <c r="G61" s="50"/>
      <c r="H61" s="50"/>
      <c r="I61" s="51"/>
      <c r="J61" s="51"/>
      <c r="K61" s="51"/>
      <c r="L61" s="51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</row>
    <row r="62" spans="2:42">
      <c r="B62" s="42" t="s">
        <v>1649</v>
      </c>
      <c r="C62" s="42" t="s">
        <v>1649</v>
      </c>
      <c r="E62" s="43"/>
      <c r="F62" s="43"/>
      <c r="G62" s="43">
        <v>25</v>
      </c>
      <c r="H62" s="43">
        <v>104</v>
      </c>
      <c r="I62" s="44">
        <v>124</v>
      </c>
      <c r="J62" s="44">
        <v>123</v>
      </c>
      <c r="K62" s="44">
        <v>193</v>
      </c>
      <c r="L62" s="44">
        <v>338</v>
      </c>
      <c r="M62" s="43">
        <v>600</v>
      </c>
      <c r="N62" s="43">
        <v>687</v>
      </c>
      <c r="O62" s="43">
        <v>1023</v>
      </c>
      <c r="P62" s="43">
        <v>577.95859102000031</v>
      </c>
      <c r="Q62" s="43">
        <v>401.23710040000003</v>
      </c>
      <c r="R62" s="43">
        <v>179.3653357499999</v>
      </c>
      <c r="S62" s="43">
        <v>185.77535340000026</v>
      </c>
      <c r="T62" s="43">
        <v>261.22210652000007</v>
      </c>
      <c r="U62" s="43">
        <v>178.22353462000001</v>
      </c>
      <c r="V62" s="43">
        <v>43.179429290000002</v>
      </c>
      <c r="W62" s="43">
        <v>31.545454660000001</v>
      </c>
      <c r="X62" s="43">
        <v>77.912912657999996</v>
      </c>
      <c r="Y62" s="43">
        <v>5.8105297600000005</v>
      </c>
      <c r="Z62" s="43">
        <v>7.6362745199999988</v>
      </c>
      <c r="AA62" s="43">
        <v>3.133933589999959</v>
      </c>
      <c r="AB62" s="43">
        <v>9.8480355900000411</v>
      </c>
      <c r="AC62" s="43">
        <v>5.2013183699999992</v>
      </c>
      <c r="AD62" s="43">
        <v>15.417274490000002</v>
      </c>
      <c r="AE62" s="43">
        <v>53.58645912999998</v>
      </c>
      <c r="AF62" s="43">
        <v>28.223562910000002</v>
      </c>
      <c r="AG62" s="43">
        <v>8.1785374400000013</v>
      </c>
      <c r="AH62" s="43">
        <v>1.7079487299999998</v>
      </c>
      <c r="AI62" s="43">
        <v>8.3662649900000012</v>
      </c>
      <c r="AJ62" s="43">
        <v>5.7100543100000003</v>
      </c>
      <c r="AK62" s="43">
        <v>6.5468363499999995</v>
      </c>
      <c r="AL62" s="43">
        <v>12.625</v>
      </c>
      <c r="AM62" s="43">
        <v>11.642999999999999</v>
      </c>
      <c r="AN62" s="43">
        <v>2.1138721900000004</v>
      </c>
      <c r="AO62" s="43"/>
      <c r="AP62" s="43"/>
    </row>
    <row r="63" spans="2:42">
      <c r="B63" s="45" t="s">
        <v>1030</v>
      </c>
      <c r="C63" s="45" t="s">
        <v>1030</v>
      </c>
      <c r="E63" s="46"/>
      <c r="F63" s="46"/>
      <c r="G63" s="46"/>
      <c r="H63" s="46">
        <v>8</v>
      </c>
      <c r="I63" s="47">
        <v>6</v>
      </c>
      <c r="J63" s="47">
        <v>6</v>
      </c>
      <c r="K63" s="47">
        <v>15</v>
      </c>
      <c r="L63" s="47">
        <v>13</v>
      </c>
      <c r="M63" s="46">
        <v>26</v>
      </c>
      <c r="N63" s="46">
        <v>5</v>
      </c>
      <c r="O63" s="46">
        <v>18</v>
      </c>
      <c r="P63" s="46">
        <v>-7.8797971300000018</v>
      </c>
      <c r="Q63" s="46">
        <v>9.1900872900000081</v>
      </c>
      <c r="R63" s="46">
        <v>11.586275540000001</v>
      </c>
      <c r="S63" s="46">
        <v>1.2165108300000003</v>
      </c>
      <c r="T63" s="46">
        <v>11.226126339999997</v>
      </c>
      <c r="U63" s="46">
        <v>3.1274636899999995</v>
      </c>
      <c r="V63" s="46">
        <v>1.15039234</v>
      </c>
      <c r="W63" s="46">
        <v>0.46363064999999998</v>
      </c>
      <c r="X63" s="46">
        <v>1.9610294800000001</v>
      </c>
      <c r="Y63" s="46">
        <v>0.19904063999999999</v>
      </c>
      <c r="Z63" s="46">
        <v>0.40443847000000011</v>
      </c>
      <c r="AA63" s="46">
        <v>2.70236695</v>
      </c>
      <c r="AB63" s="46">
        <v>2.5142308799999999</v>
      </c>
      <c r="AC63" s="46">
        <v>0.77546482000000005</v>
      </c>
      <c r="AD63" s="46">
        <v>0.12206424999999999</v>
      </c>
      <c r="AE63" s="46">
        <v>0.14529311999999389</v>
      </c>
      <c r="AF63" s="46">
        <v>-3.0944723800000005</v>
      </c>
      <c r="AG63" s="46">
        <v>0</v>
      </c>
      <c r="AH63" s="46"/>
      <c r="AI63" s="46"/>
      <c r="AJ63" s="46"/>
      <c r="AK63" s="46"/>
      <c r="AL63" s="46"/>
      <c r="AM63" s="46">
        <v>0</v>
      </c>
      <c r="AN63" s="46">
        <v>0</v>
      </c>
      <c r="AO63" s="46"/>
      <c r="AP63" s="772"/>
    </row>
    <row r="64" spans="2:42">
      <c r="B64" s="48" t="s">
        <v>220</v>
      </c>
      <c r="C64" s="48" t="s">
        <v>220</v>
      </c>
      <c r="E64" s="49">
        <f>SUM(E62:E63)</f>
        <v>0</v>
      </c>
      <c r="F64" s="49">
        <f t="shared" ref="F64:AH64" si="14">SUM(F62:F63)</f>
        <v>0</v>
      </c>
      <c r="G64" s="49">
        <f t="shared" si="14"/>
        <v>25</v>
      </c>
      <c r="H64" s="49">
        <f t="shared" si="14"/>
        <v>112</v>
      </c>
      <c r="I64" s="49">
        <f t="shared" si="14"/>
        <v>130</v>
      </c>
      <c r="J64" s="49">
        <f t="shared" si="14"/>
        <v>129</v>
      </c>
      <c r="K64" s="49">
        <f t="shared" si="14"/>
        <v>208</v>
      </c>
      <c r="L64" s="49">
        <f t="shared" si="14"/>
        <v>351</v>
      </c>
      <c r="M64" s="49">
        <f t="shared" si="14"/>
        <v>626</v>
      </c>
      <c r="N64" s="49">
        <f t="shared" si="14"/>
        <v>692</v>
      </c>
      <c r="O64" s="49">
        <f t="shared" si="14"/>
        <v>1041</v>
      </c>
      <c r="P64" s="49">
        <f t="shared" si="14"/>
        <v>570.07879389000027</v>
      </c>
      <c r="Q64" s="49">
        <f t="shared" si="14"/>
        <v>410.42718769000004</v>
      </c>
      <c r="R64" s="49">
        <f t="shared" si="14"/>
        <v>190.9516112899999</v>
      </c>
      <c r="S64" s="49">
        <f t="shared" si="14"/>
        <v>186.99186423000026</v>
      </c>
      <c r="T64" s="49">
        <f t="shared" si="14"/>
        <v>272.44823286000008</v>
      </c>
      <c r="U64" s="49">
        <f t="shared" si="14"/>
        <v>181.35099831000002</v>
      </c>
      <c r="V64" s="49">
        <f t="shared" si="14"/>
        <v>44.329821630000005</v>
      </c>
      <c r="W64" s="49">
        <f t="shared" si="14"/>
        <v>32.009085310000003</v>
      </c>
      <c r="X64" s="49">
        <f t="shared" si="14"/>
        <v>79.87394213799999</v>
      </c>
      <c r="Y64" s="49">
        <f t="shared" si="14"/>
        <v>6.0095704000000003</v>
      </c>
      <c r="Z64" s="49">
        <f t="shared" si="14"/>
        <v>8.0407129899999994</v>
      </c>
      <c r="AA64" s="49">
        <f t="shared" si="14"/>
        <v>5.836300539999959</v>
      </c>
      <c r="AB64" s="49">
        <f t="shared" si="14"/>
        <v>12.362266470000041</v>
      </c>
      <c r="AC64" s="49">
        <f t="shared" si="14"/>
        <v>5.976783189999999</v>
      </c>
      <c r="AD64" s="49">
        <f t="shared" si="14"/>
        <v>15.539338740000002</v>
      </c>
      <c r="AE64" s="49">
        <f t="shared" si="14"/>
        <v>53.731752249999971</v>
      </c>
      <c r="AF64" s="49">
        <f t="shared" si="14"/>
        <v>25.129090530000003</v>
      </c>
      <c r="AG64" s="49">
        <f t="shared" si="14"/>
        <v>8.1785374400000013</v>
      </c>
      <c r="AH64" s="49">
        <f t="shared" si="14"/>
        <v>1.7079487299999998</v>
      </c>
      <c r="AI64" s="49">
        <f t="shared" ref="AI64:AN64" si="15">SUM(AI61:AI63)</f>
        <v>8.3662649900000012</v>
      </c>
      <c r="AJ64" s="49">
        <f t="shared" si="15"/>
        <v>5.7100543100000003</v>
      </c>
      <c r="AK64" s="49">
        <f t="shared" si="15"/>
        <v>6.5468363499999995</v>
      </c>
      <c r="AL64" s="49">
        <f t="shared" si="15"/>
        <v>12.625</v>
      </c>
      <c r="AM64" s="49">
        <f t="shared" si="15"/>
        <v>11.642999999999999</v>
      </c>
      <c r="AN64" s="49">
        <f t="shared" si="15"/>
        <v>2.1138721900000004</v>
      </c>
      <c r="AO64" s="49"/>
      <c r="AP64" s="49"/>
    </row>
    <row r="66" spans="2:42">
      <c r="B66" s="38" t="s">
        <v>1018</v>
      </c>
      <c r="C66" s="38" t="s">
        <v>1018</v>
      </c>
      <c r="E66" s="50"/>
      <c r="F66" s="50"/>
      <c r="G66" s="50"/>
      <c r="H66" s="50"/>
      <c r="I66" s="51"/>
      <c r="J66" s="51"/>
      <c r="K66" s="51"/>
      <c r="L66" s="51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</row>
    <row r="67" spans="2:42">
      <c r="B67" s="42" t="s">
        <v>1533</v>
      </c>
      <c r="C67" s="42" t="s">
        <v>1533</v>
      </c>
      <c r="E67" s="43"/>
      <c r="F67" s="43"/>
      <c r="G67" s="43"/>
      <c r="H67" s="43"/>
      <c r="I67" s="55"/>
      <c r="J67" s="55"/>
      <c r="K67" s="55"/>
      <c r="L67" s="55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>
        <v>0</v>
      </c>
      <c r="Z67" s="43">
        <v>6.4705154387399988</v>
      </c>
      <c r="AA67" s="43">
        <v>3.8429066499999998</v>
      </c>
      <c r="AB67" s="43">
        <v>0</v>
      </c>
      <c r="AC67" s="43">
        <v>2.3504277700000005</v>
      </c>
      <c r="AD67" s="43">
        <v>3.397265</v>
      </c>
      <c r="AE67" s="43">
        <v>2.9</v>
      </c>
      <c r="AF67" s="43">
        <v>-2.479660230000003</v>
      </c>
      <c r="AG67" s="43">
        <v>3.1988799999999991</v>
      </c>
      <c r="AH67" s="43">
        <v>4.2732146100000001</v>
      </c>
      <c r="AI67" s="43">
        <v>0.5</v>
      </c>
      <c r="AJ67" s="43">
        <v>2.0100559299999903</v>
      </c>
      <c r="AK67" s="43">
        <v>1.56695761</v>
      </c>
      <c r="AL67" s="43">
        <v>1.064386209999999</v>
      </c>
      <c r="AM67" s="43">
        <v>0.27600000000000002</v>
      </c>
      <c r="AN67" s="43">
        <v>0.68300000000000005</v>
      </c>
      <c r="AO67" s="43">
        <v>0.60399999999999998</v>
      </c>
      <c r="AP67" s="43">
        <v>2.3730000000000002</v>
      </c>
    </row>
    <row r="68" spans="2:42">
      <c r="B68" s="42" t="s">
        <v>1650</v>
      </c>
      <c r="C68" s="42" t="s">
        <v>1650</v>
      </c>
      <c r="E68" s="43"/>
      <c r="F68" s="43"/>
      <c r="G68" s="43"/>
      <c r="H68" s="43"/>
      <c r="I68" s="55"/>
      <c r="J68" s="55"/>
      <c r="K68" s="55"/>
      <c r="L68" s="55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>
        <v>0</v>
      </c>
      <c r="Z68" s="43">
        <v>2.3320972800000002</v>
      </c>
      <c r="AA68" s="43">
        <v>0.44659300000000002</v>
      </c>
      <c r="AB68" s="43">
        <v>0</v>
      </c>
      <c r="AC68" s="43">
        <v>9.2149831000000013</v>
      </c>
      <c r="AD68" s="43">
        <v>15.72636528</v>
      </c>
      <c r="AE68" s="43">
        <v>21.01</v>
      </c>
      <c r="AF68" s="43">
        <v>43.376098930000076</v>
      </c>
      <c r="AG68" s="43">
        <v>0.89335611000000026</v>
      </c>
      <c r="AH68" s="43">
        <v>5.6453165299999988</v>
      </c>
      <c r="AI68" s="43">
        <v>0.93</v>
      </c>
      <c r="AJ68" s="43">
        <v>2.1</v>
      </c>
      <c r="AK68" s="43">
        <v>3.28</v>
      </c>
      <c r="AL68" s="43">
        <v>2.1601497500000004</v>
      </c>
      <c r="AM68" s="43">
        <v>2.2330000000000001</v>
      </c>
      <c r="AN68" s="43">
        <v>2.2999999999999998</v>
      </c>
      <c r="AO68" s="43">
        <v>0</v>
      </c>
      <c r="AP68" s="43">
        <v>0.69</v>
      </c>
    </row>
    <row r="69" spans="2:42">
      <c r="B69" s="45" t="s">
        <v>1018</v>
      </c>
      <c r="C69" s="45" t="s">
        <v>1018</v>
      </c>
      <c r="E69" s="46"/>
      <c r="F69" s="46"/>
      <c r="G69" s="46"/>
      <c r="H69" s="46"/>
      <c r="I69" s="47"/>
      <c r="J69" s="47"/>
      <c r="K69" s="47"/>
      <c r="L69" s="47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>
        <v>13.92295015</v>
      </c>
      <c r="Z69" s="46">
        <v>0</v>
      </c>
      <c r="AA69" s="46">
        <v>0.32340741000000001</v>
      </c>
      <c r="AB69" s="46">
        <v>8.8274114500000014</v>
      </c>
      <c r="AC69" s="46">
        <v>9.0081220000000004E-2</v>
      </c>
      <c r="AD69" s="46">
        <v>7.6499999999999999E-2</v>
      </c>
      <c r="AE69" s="46">
        <v>8.6999999999999993</v>
      </c>
      <c r="AF69" s="46">
        <v>6.1659005300000018</v>
      </c>
      <c r="AG69" s="46">
        <v>0</v>
      </c>
      <c r="AH69" s="46">
        <v>0</v>
      </c>
      <c r="AI69" s="46">
        <v>4</v>
      </c>
      <c r="AJ69" s="46">
        <v>5.3810000000000002</v>
      </c>
      <c r="AK69" s="46">
        <v>4.2331641399999995</v>
      </c>
      <c r="AL69" s="46">
        <v>2.8770716099999998</v>
      </c>
      <c r="AM69" s="46">
        <v>5.4939999999999998</v>
      </c>
      <c r="AN69" s="46">
        <v>7.0010000000000003</v>
      </c>
      <c r="AO69" s="46">
        <v>4</v>
      </c>
      <c r="AP69" s="772">
        <v>9.7379999999999995</v>
      </c>
    </row>
    <row r="70" spans="2:42">
      <c r="B70" s="48" t="s">
        <v>220</v>
      </c>
      <c r="C70" s="48" t="s">
        <v>220</v>
      </c>
      <c r="E70" s="49">
        <f>E67</f>
        <v>0</v>
      </c>
      <c r="F70" s="49">
        <f t="shared" ref="F70:L70" si="16">F67</f>
        <v>0</v>
      </c>
      <c r="G70" s="49">
        <f t="shared" si="16"/>
        <v>0</v>
      </c>
      <c r="H70" s="49">
        <f t="shared" si="16"/>
        <v>0</v>
      </c>
      <c r="I70" s="49">
        <f t="shared" si="16"/>
        <v>0</v>
      </c>
      <c r="J70" s="49">
        <f t="shared" si="16"/>
        <v>0</v>
      </c>
      <c r="K70" s="49">
        <f t="shared" si="16"/>
        <v>0</v>
      </c>
      <c r="L70" s="49">
        <f t="shared" si="16"/>
        <v>0</v>
      </c>
      <c r="M70" s="49">
        <f t="shared" ref="M70:AD70" si="17">SUM(M67:M69)</f>
        <v>0</v>
      </c>
      <c r="N70" s="49">
        <f t="shared" si="17"/>
        <v>0</v>
      </c>
      <c r="O70" s="49">
        <f t="shared" si="17"/>
        <v>0</v>
      </c>
      <c r="P70" s="49">
        <f t="shared" si="17"/>
        <v>0</v>
      </c>
      <c r="Q70" s="49">
        <f t="shared" si="17"/>
        <v>0</v>
      </c>
      <c r="R70" s="49">
        <f t="shared" si="17"/>
        <v>0</v>
      </c>
      <c r="S70" s="49">
        <f t="shared" si="17"/>
        <v>0</v>
      </c>
      <c r="T70" s="49">
        <f t="shared" si="17"/>
        <v>0</v>
      </c>
      <c r="U70" s="49">
        <f t="shared" si="17"/>
        <v>0</v>
      </c>
      <c r="V70" s="49">
        <f t="shared" si="17"/>
        <v>0</v>
      </c>
      <c r="W70" s="49">
        <f t="shared" si="17"/>
        <v>0</v>
      </c>
      <c r="X70" s="49">
        <f t="shared" si="17"/>
        <v>0</v>
      </c>
      <c r="Y70" s="49">
        <f t="shared" si="17"/>
        <v>13.92295015</v>
      </c>
      <c r="Z70" s="49">
        <f t="shared" si="17"/>
        <v>8.802612718739999</v>
      </c>
      <c r="AA70" s="49">
        <f t="shared" si="17"/>
        <v>4.6129070599999995</v>
      </c>
      <c r="AB70" s="49">
        <f t="shared" si="17"/>
        <v>8.8274114500000014</v>
      </c>
      <c r="AC70" s="49">
        <f t="shared" si="17"/>
        <v>11.655492090000001</v>
      </c>
      <c r="AD70" s="49">
        <f t="shared" si="17"/>
        <v>19.20013028</v>
      </c>
      <c r="AE70" s="49">
        <f t="shared" ref="AE70:AL70" si="18">SUM(AE67:AE69)</f>
        <v>32.61</v>
      </c>
      <c r="AF70" s="49">
        <f t="shared" si="18"/>
        <v>47.062339230000077</v>
      </c>
      <c r="AG70" s="49">
        <f t="shared" si="18"/>
        <v>4.0922361099999991</v>
      </c>
      <c r="AH70" s="49">
        <f t="shared" si="18"/>
        <v>9.9185311399999989</v>
      </c>
      <c r="AI70" s="49">
        <f t="shared" si="18"/>
        <v>5.43</v>
      </c>
      <c r="AJ70" s="49">
        <f t="shared" si="18"/>
        <v>9.491055929999991</v>
      </c>
      <c r="AK70" s="49">
        <f t="shared" si="18"/>
        <v>9.08012175</v>
      </c>
      <c r="AL70" s="49">
        <f t="shared" si="18"/>
        <v>6.1016075699999988</v>
      </c>
      <c r="AM70" s="49">
        <f t="shared" ref="AM70:AP70" si="19">SUM(AM67:AM69)</f>
        <v>8.0030000000000001</v>
      </c>
      <c r="AN70" s="49">
        <f t="shared" si="19"/>
        <v>9.984</v>
      </c>
      <c r="AO70" s="49">
        <f t="shared" si="19"/>
        <v>4.6040000000000001</v>
      </c>
      <c r="AP70" s="49">
        <f t="shared" si="19"/>
        <v>12.801</v>
      </c>
    </row>
    <row r="71" spans="2:42">
      <c r="B71" s="42"/>
      <c r="C71" s="42"/>
      <c r="E71" s="43"/>
      <c r="F71" s="43"/>
      <c r="G71" s="43"/>
      <c r="H71" s="43"/>
      <c r="I71" s="44"/>
      <c r="J71" s="44"/>
      <c r="K71" s="44"/>
      <c r="L71" s="44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</row>
    <row r="72" spans="2:42">
      <c r="B72" s="38" t="s">
        <v>1017</v>
      </c>
      <c r="C72" s="38" t="s">
        <v>1017</v>
      </c>
      <c r="E72" s="50"/>
      <c r="F72" s="50"/>
      <c r="G72" s="50"/>
      <c r="H72" s="50"/>
      <c r="I72" s="51"/>
      <c r="J72" s="51"/>
      <c r="K72" s="51"/>
      <c r="L72" s="51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  <c r="AP72" s="50"/>
    </row>
    <row r="73" spans="2:42">
      <c r="B73" s="42" t="s">
        <v>1651</v>
      </c>
      <c r="C73" s="42" t="s">
        <v>1652</v>
      </c>
      <c r="E73" s="43"/>
      <c r="F73" s="43"/>
      <c r="G73" s="43"/>
      <c r="H73" s="43"/>
      <c r="I73" s="55"/>
      <c r="J73" s="55"/>
      <c r="K73" s="55"/>
      <c r="L73" s="55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>
        <v>1.39782121</v>
      </c>
      <c r="Z73" s="43">
        <v>6.7925673699999995</v>
      </c>
      <c r="AA73" s="43">
        <v>12.030800779999998</v>
      </c>
      <c r="AB73" s="43">
        <v>12.552561290000003</v>
      </c>
      <c r="AC73" s="43">
        <v>173.21340207999992</v>
      </c>
      <c r="AD73" s="43">
        <v>624.72038019000047</v>
      </c>
      <c r="AE73" s="43">
        <v>1074.0891355999993</v>
      </c>
      <c r="AF73" s="43">
        <v>487.73743363999813</v>
      </c>
      <c r="AG73" s="43">
        <v>168.92449810000008</v>
      </c>
      <c r="AH73" s="43">
        <v>67.206952749999871</v>
      </c>
      <c r="AI73" s="43">
        <v>18.308855970000028</v>
      </c>
      <c r="AJ73" s="43">
        <v>13.572335539999999</v>
      </c>
      <c r="AK73" s="43">
        <v>4.5017778600000016</v>
      </c>
      <c r="AL73" s="43">
        <v>-10.444546090000001</v>
      </c>
      <c r="AM73" s="43">
        <v>0.49313747999998059</v>
      </c>
      <c r="AN73" s="43">
        <v>1.7981153300000001</v>
      </c>
      <c r="AO73" s="43">
        <v>0.20376839999999999</v>
      </c>
      <c r="AP73" s="43">
        <v>-0.11249577000000001</v>
      </c>
    </row>
    <row r="74" spans="2:42">
      <c r="B74" s="42" t="s">
        <v>1653</v>
      </c>
      <c r="C74" s="42" t="s">
        <v>1654</v>
      </c>
      <c r="E74" s="43"/>
      <c r="F74" s="43"/>
      <c r="G74" s="43"/>
      <c r="H74" s="43"/>
      <c r="I74" s="55"/>
      <c r="J74" s="55"/>
      <c r="K74" s="55"/>
      <c r="L74" s="55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>
        <v>17.695191389999984</v>
      </c>
      <c r="Z74" s="43">
        <v>18.705192600000018</v>
      </c>
      <c r="AA74" s="43">
        <v>18.705192600000004</v>
      </c>
      <c r="AB74" s="43">
        <v>5.3485488000000005</v>
      </c>
      <c r="AC74" s="43">
        <v>7.1832351200000009</v>
      </c>
      <c r="AD74" s="43">
        <v>11.289639589999998</v>
      </c>
      <c r="AE74" s="43">
        <v>22.928847080000001</v>
      </c>
      <c r="AF74" s="43">
        <v>27.841790830000001</v>
      </c>
      <c r="AG74" s="43">
        <v>13.286790800000009</v>
      </c>
      <c r="AH74" s="43">
        <v>21.765209629999902</v>
      </c>
      <c r="AI74" s="43">
        <v>16.497370889999999</v>
      </c>
      <c r="AJ74" s="43">
        <v>34.313063149999991</v>
      </c>
      <c r="AK74" s="43">
        <v>3.9594183200000006</v>
      </c>
      <c r="AL74" s="43">
        <v>20.277135869999999</v>
      </c>
      <c r="AM74" s="43">
        <v>66.983390620000023</v>
      </c>
      <c r="AN74" s="43">
        <v>77.51978625000001</v>
      </c>
      <c r="AO74" s="43">
        <v>31.852683660000004</v>
      </c>
      <c r="AP74" s="43">
        <v>46.635890980000006</v>
      </c>
    </row>
    <row r="75" spans="2:42">
      <c r="B75" s="45" t="s">
        <v>1655</v>
      </c>
      <c r="C75" s="45" t="s">
        <v>1656</v>
      </c>
      <c r="E75" s="46"/>
      <c r="F75" s="46"/>
      <c r="G75" s="46"/>
      <c r="H75" s="46"/>
      <c r="I75" s="47"/>
      <c r="J75" s="47"/>
      <c r="K75" s="47"/>
      <c r="L75" s="47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>
        <v>6.7802210000000057E-2</v>
      </c>
      <c r="Z75" s="46">
        <v>0.63154052999999988</v>
      </c>
      <c r="AA75" s="46">
        <v>0.63154052999999999</v>
      </c>
      <c r="AB75" s="46">
        <v>8.0907032399999999</v>
      </c>
      <c r="AC75" s="46">
        <v>1.2568484900000001</v>
      </c>
      <c r="AD75" s="46">
        <v>5.5386565000000001</v>
      </c>
      <c r="AE75" s="46">
        <v>-2.0616887300000002</v>
      </c>
      <c r="AF75" s="46">
        <v>10.063006100000001</v>
      </c>
      <c r="AG75" s="46">
        <v>0.51813520000000957</v>
      </c>
      <c r="AH75" s="46">
        <v>-4.0878075299999761</v>
      </c>
      <c r="AI75" s="46">
        <v>3.1479260300000003</v>
      </c>
      <c r="AJ75" s="46">
        <v>-43.387875670000042</v>
      </c>
      <c r="AK75" s="46">
        <v>-0.70002746999999976</v>
      </c>
      <c r="AL75" s="46">
        <v>1.0664639</v>
      </c>
      <c r="AM75" s="46">
        <v>-2.6055838300000005</v>
      </c>
      <c r="AN75" s="46">
        <v>11.625000969999999</v>
      </c>
      <c r="AO75" s="46">
        <v>3.2065708399999999</v>
      </c>
      <c r="AP75" s="772">
        <v>1.5619901700000001</v>
      </c>
    </row>
    <row r="76" spans="2:42">
      <c r="B76" s="48" t="s">
        <v>220</v>
      </c>
      <c r="C76" s="48" t="s">
        <v>220</v>
      </c>
      <c r="E76" s="49">
        <f>E73</f>
        <v>0</v>
      </c>
      <c r="F76" s="49">
        <f t="shared" ref="F76:L76" si="20">F73</f>
        <v>0</v>
      </c>
      <c r="G76" s="49">
        <f t="shared" si="20"/>
        <v>0</v>
      </c>
      <c r="H76" s="49">
        <f t="shared" si="20"/>
        <v>0</v>
      </c>
      <c r="I76" s="49">
        <f t="shared" si="20"/>
        <v>0</v>
      </c>
      <c r="J76" s="49">
        <f t="shared" si="20"/>
        <v>0</v>
      </c>
      <c r="K76" s="49">
        <f t="shared" si="20"/>
        <v>0</v>
      </c>
      <c r="L76" s="49">
        <f t="shared" si="20"/>
        <v>0</v>
      </c>
      <c r="M76" s="49">
        <f t="shared" ref="M76:AD76" si="21">SUM(M73:M75)</f>
        <v>0</v>
      </c>
      <c r="N76" s="49">
        <f t="shared" si="21"/>
        <v>0</v>
      </c>
      <c r="O76" s="49">
        <f t="shared" si="21"/>
        <v>0</v>
      </c>
      <c r="P76" s="49">
        <f t="shared" si="21"/>
        <v>0</v>
      </c>
      <c r="Q76" s="49">
        <f t="shared" si="21"/>
        <v>0</v>
      </c>
      <c r="R76" s="49">
        <f t="shared" si="21"/>
        <v>0</v>
      </c>
      <c r="S76" s="49">
        <f t="shared" si="21"/>
        <v>0</v>
      </c>
      <c r="T76" s="49">
        <f t="shared" si="21"/>
        <v>0</v>
      </c>
      <c r="U76" s="49">
        <f t="shared" si="21"/>
        <v>0</v>
      </c>
      <c r="V76" s="49">
        <f t="shared" si="21"/>
        <v>0</v>
      </c>
      <c r="W76" s="49">
        <f t="shared" si="21"/>
        <v>0</v>
      </c>
      <c r="X76" s="49">
        <f t="shared" si="21"/>
        <v>0</v>
      </c>
      <c r="Y76" s="49">
        <f t="shared" si="21"/>
        <v>19.160814809999984</v>
      </c>
      <c r="Z76" s="49">
        <f t="shared" si="21"/>
        <v>26.129300500000017</v>
      </c>
      <c r="AA76" s="49">
        <f t="shared" si="21"/>
        <v>31.367533910000002</v>
      </c>
      <c r="AB76" s="49">
        <f t="shared" si="21"/>
        <v>25.991813330000003</v>
      </c>
      <c r="AC76" s="49">
        <f t="shared" si="21"/>
        <v>181.65348568999994</v>
      </c>
      <c r="AD76" s="49">
        <f t="shared" si="21"/>
        <v>641.54867628000045</v>
      </c>
      <c r="AE76" s="49">
        <f t="shared" ref="AE76:AP76" si="22">SUM(AE73:AE75)</f>
        <v>1094.9562939499992</v>
      </c>
      <c r="AF76" s="49">
        <f t="shared" si="22"/>
        <v>525.64223056999822</v>
      </c>
      <c r="AG76" s="49">
        <f t="shared" si="22"/>
        <v>182.7294241000001</v>
      </c>
      <c r="AH76" s="49">
        <f t="shared" si="22"/>
        <v>84.884354849999795</v>
      </c>
      <c r="AI76" s="49">
        <f t="shared" si="22"/>
        <v>37.954152890000024</v>
      </c>
      <c r="AJ76" s="49">
        <f t="shared" si="22"/>
        <v>4.4975230199999459</v>
      </c>
      <c r="AK76" s="49">
        <f t="shared" si="22"/>
        <v>7.7611687100000015</v>
      </c>
      <c r="AL76" s="49">
        <f t="shared" si="22"/>
        <v>10.899053679999998</v>
      </c>
      <c r="AM76" s="49">
        <f t="shared" si="22"/>
        <v>64.87094427000001</v>
      </c>
      <c r="AN76" s="49">
        <f t="shared" si="22"/>
        <v>90.942902550000014</v>
      </c>
      <c r="AO76" s="49">
        <f t="shared" si="22"/>
        <v>35.263022900000003</v>
      </c>
      <c r="AP76" s="49">
        <f t="shared" si="22"/>
        <v>48.085385380000005</v>
      </c>
    </row>
    <row r="77" spans="2:42">
      <c r="B77" s="42"/>
      <c r="C77" s="42"/>
      <c r="E77" s="43"/>
      <c r="F77" s="43"/>
      <c r="G77" s="43"/>
      <c r="H77" s="43"/>
      <c r="I77" s="44"/>
      <c r="J77" s="44"/>
      <c r="K77" s="44"/>
      <c r="L77" s="44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</row>
    <row r="78" spans="2:42">
      <c r="B78" s="38" t="s">
        <v>32</v>
      </c>
      <c r="C78" s="38" t="s">
        <v>36</v>
      </c>
      <c r="E78" s="50"/>
      <c r="F78" s="50"/>
      <c r="G78" s="50"/>
      <c r="H78" s="50"/>
      <c r="I78" s="51"/>
      <c r="J78" s="51"/>
      <c r="K78" s="51"/>
      <c r="L78" s="51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</row>
    <row r="79" spans="2:42">
      <c r="B79" s="42" t="s">
        <v>2075</v>
      </c>
      <c r="C79" s="42" t="s">
        <v>1654</v>
      </c>
      <c r="E79" s="43"/>
      <c r="F79" s="43"/>
      <c r="G79" s="43"/>
      <c r="H79" s="43"/>
      <c r="I79" s="55"/>
      <c r="J79" s="55"/>
      <c r="K79" s="55"/>
      <c r="L79" s="55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>
        <v>2.2766121000000004</v>
      </c>
      <c r="AB79" s="43">
        <v>5.3485487999999979</v>
      </c>
      <c r="AC79" s="43">
        <v>3.96374709</v>
      </c>
      <c r="AD79" s="43">
        <v>13.011926939999997</v>
      </c>
      <c r="AE79" s="43">
        <v>10.31309362</v>
      </c>
      <c r="AF79" s="43">
        <v>2.6413147399999999</v>
      </c>
      <c r="AG79" s="43">
        <v>5.5761791099999902</v>
      </c>
      <c r="AH79" s="43">
        <v>6.2389999999999999</v>
      </c>
      <c r="AI79" s="43">
        <v>8.3732467033333293</v>
      </c>
      <c r="AJ79" s="43">
        <v>9.3253071133333503</v>
      </c>
      <c r="AK79" s="43">
        <v>3</v>
      </c>
      <c r="AL79" s="43">
        <v>8.2361089856771255</v>
      </c>
      <c r="AM79" s="43">
        <v>10.054655869999998</v>
      </c>
      <c r="AN79" s="43">
        <v>38.585971999999998</v>
      </c>
      <c r="AO79" s="43">
        <v>10.949946260000001</v>
      </c>
      <c r="AP79" s="43">
        <v>9.8671564099999998</v>
      </c>
    </row>
    <row r="80" spans="2:42">
      <c r="B80" s="42" t="s">
        <v>1655</v>
      </c>
      <c r="C80" s="42" t="s">
        <v>1656</v>
      </c>
      <c r="E80" s="43"/>
      <c r="F80" s="43"/>
      <c r="G80" s="43"/>
      <c r="H80" s="43"/>
      <c r="I80" s="55"/>
      <c r="J80" s="55"/>
      <c r="K80" s="55"/>
      <c r="L80" s="55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>
        <v>6.3496337300000008</v>
      </c>
      <c r="AB80" s="43">
        <v>21.004908010000005</v>
      </c>
      <c r="AC80" s="43">
        <v>4.7314949199999958</v>
      </c>
      <c r="AD80" s="43">
        <v>-0.12848553666665569</v>
      </c>
      <c r="AE80" s="43">
        <v>2.6332080800000002</v>
      </c>
      <c r="AF80" s="43">
        <v>2.6150740899999998</v>
      </c>
      <c r="AG80" s="43">
        <v>4.7252059300000004</v>
      </c>
      <c r="AH80" s="43">
        <v>2.9020000000000001</v>
      </c>
      <c r="AI80" s="43">
        <v>1.11208910333333</v>
      </c>
      <c r="AJ80" s="43">
        <v>4.61979593333335</v>
      </c>
      <c r="AK80" s="43">
        <v>4</v>
      </c>
      <c r="AL80" s="43">
        <v>2.9160091725944124</v>
      </c>
      <c r="AM80" s="43">
        <v>-3.2780040600000002</v>
      </c>
      <c r="AN80" s="43">
        <v>2.1975718899999999</v>
      </c>
      <c r="AO80" s="43">
        <v>-5.3275208699999999</v>
      </c>
      <c r="AP80" s="43">
        <v>1.69690568</v>
      </c>
    </row>
    <row r="81" spans="2:42">
      <c r="B81" s="45" t="s">
        <v>1651</v>
      </c>
      <c r="C81" s="45" t="s">
        <v>1652</v>
      </c>
      <c r="E81" s="46"/>
      <c r="F81" s="46"/>
      <c r="G81" s="46"/>
      <c r="H81" s="46"/>
      <c r="I81" s="47"/>
      <c r="J81" s="47"/>
      <c r="K81" s="47"/>
      <c r="L81" s="47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>
        <v>13.923736069999997</v>
      </c>
      <c r="AB81" s="46">
        <v>12.552561290000003</v>
      </c>
      <c r="AC81" s="46">
        <v>6.5238137600000039</v>
      </c>
      <c r="AD81" s="46">
        <v>11.688166303333341</v>
      </c>
      <c r="AE81" s="46">
        <v>5.1367106400000102</v>
      </c>
      <c r="AF81" s="46">
        <v>9.9050773599999893</v>
      </c>
      <c r="AG81" s="46">
        <v>9.8961854700000007</v>
      </c>
      <c r="AH81" s="46">
        <v>28.623999999999999</v>
      </c>
      <c r="AI81" s="46">
        <v>31.258255873333301</v>
      </c>
      <c r="AJ81" s="46">
        <v>42.9277869133333</v>
      </c>
      <c r="AK81" s="46">
        <v>28</v>
      </c>
      <c r="AL81" s="46">
        <v>1.7147343917285591</v>
      </c>
      <c r="AM81" s="46">
        <v>7.3584453100000013</v>
      </c>
      <c r="AN81" s="46">
        <v>1.92062563</v>
      </c>
      <c r="AO81" s="46">
        <v>3.53429562</v>
      </c>
      <c r="AP81" s="772">
        <v>0.42752780000000001</v>
      </c>
    </row>
    <row r="82" spans="2:42">
      <c r="B82" s="48" t="s">
        <v>220</v>
      </c>
      <c r="C82" s="48" t="s">
        <v>220</v>
      </c>
      <c r="E82" s="49">
        <f>E79</f>
        <v>0</v>
      </c>
      <c r="F82" s="49">
        <f t="shared" ref="F82:L82" si="23">F79</f>
        <v>0</v>
      </c>
      <c r="G82" s="49">
        <f t="shared" si="23"/>
        <v>0</v>
      </c>
      <c r="H82" s="49">
        <f t="shared" si="23"/>
        <v>0</v>
      </c>
      <c r="I82" s="49">
        <f t="shared" si="23"/>
        <v>0</v>
      </c>
      <c r="J82" s="49">
        <f t="shared" si="23"/>
        <v>0</v>
      </c>
      <c r="K82" s="49">
        <f t="shared" si="23"/>
        <v>0</v>
      </c>
      <c r="L82" s="49">
        <f t="shared" si="23"/>
        <v>0</v>
      </c>
      <c r="M82" s="49">
        <f t="shared" ref="M82:AD82" si="24">SUM(M79:M81)</f>
        <v>0</v>
      </c>
      <c r="N82" s="49">
        <f t="shared" si="24"/>
        <v>0</v>
      </c>
      <c r="O82" s="49">
        <f t="shared" si="24"/>
        <v>0</v>
      </c>
      <c r="P82" s="49">
        <f t="shared" si="24"/>
        <v>0</v>
      </c>
      <c r="Q82" s="49">
        <f t="shared" si="24"/>
        <v>0</v>
      </c>
      <c r="R82" s="49">
        <f t="shared" si="24"/>
        <v>0</v>
      </c>
      <c r="S82" s="49">
        <f t="shared" si="24"/>
        <v>0</v>
      </c>
      <c r="T82" s="49">
        <f t="shared" si="24"/>
        <v>0</v>
      </c>
      <c r="U82" s="49">
        <f t="shared" si="24"/>
        <v>0</v>
      </c>
      <c r="V82" s="49">
        <f t="shared" si="24"/>
        <v>0</v>
      </c>
      <c r="W82" s="49">
        <f t="shared" si="24"/>
        <v>0</v>
      </c>
      <c r="X82" s="49">
        <f t="shared" si="24"/>
        <v>0</v>
      </c>
      <c r="Y82" s="49">
        <f t="shared" si="24"/>
        <v>0</v>
      </c>
      <c r="Z82" s="49">
        <f t="shared" si="24"/>
        <v>0</v>
      </c>
      <c r="AA82" s="49">
        <f t="shared" si="24"/>
        <v>22.549981899999999</v>
      </c>
      <c r="AB82" s="49">
        <f t="shared" si="24"/>
        <v>38.906018100000011</v>
      </c>
      <c r="AC82" s="49">
        <f t="shared" si="24"/>
        <v>15.219055770000001</v>
      </c>
      <c r="AD82" s="49">
        <f t="shared" si="24"/>
        <v>24.571607706666683</v>
      </c>
      <c r="AE82" s="49">
        <f t="shared" ref="AE82:AP82" si="25">SUM(AE79:AE81)</f>
        <v>18.08301234000001</v>
      </c>
      <c r="AF82" s="49">
        <f t="shared" si="25"/>
        <v>15.161466189999988</v>
      </c>
      <c r="AG82" s="49">
        <f t="shared" si="25"/>
        <v>20.197570509999991</v>
      </c>
      <c r="AH82" s="49">
        <f t="shared" si="25"/>
        <v>37.765000000000001</v>
      </c>
      <c r="AI82" s="49">
        <f t="shared" si="25"/>
        <v>40.743591679999959</v>
      </c>
      <c r="AJ82" s="49">
        <f t="shared" si="25"/>
        <v>56.872889960000002</v>
      </c>
      <c r="AK82" s="49">
        <f t="shared" si="25"/>
        <v>35</v>
      </c>
      <c r="AL82" s="49">
        <f t="shared" si="25"/>
        <v>12.866852550000097</v>
      </c>
      <c r="AM82" s="49">
        <f t="shared" si="25"/>
        <v>14.135097119999998</v>
      </c>
      <c r="AN82" s="49">
        <f t="shared" si="25"/>
        <v>42.704169519999994</v>
      </c>
      <c r="AO82" s="49">
        <f t="shared" si="25"/>
        <v>9.1567210100000018</v>
      </c>
      <c r="AP82" s="49">
        <f t="shared" si="25"/>
        <v>11.99158989</v>
      </c>
    </row>
    <row r="83" spans="2:42">
      <c r="B83" s="42"/>
      <c r="C83" s="42"/>
      <c r="E83" s="43"/>
      <c r="F83" s="43"/>
      <c r="G83" s="43"/>
      <c r="H83" s="43"/>
      <c r="I83" s="44"/>
      <c r="J83" s="44"/>
      <c r="K83" s="44"/>
      <c r="L83" s="44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</row>
    <row r="84" spans="2:42">
      <c r="B84" s="42"/>
      <c r="C84" s="42"/>
      <c r="E84" s="43"/>
      <c r="F84" s="43"/>
      <c r="G84" s="43"/>
      <c r="H84" s="43"/>
      <c r="I84" s="44"/>
      <c r="J84" s="44"/>
      <c r="K84" s="44"/>
      <c r="L84" s="44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</row>
    <row r="85" spans="2:42">
      <c r="B85" s="110"/>
      <c r="C85" s="110"/>
      <c r="E85" s="110">
        <f t="shared" ref="E85:Z85" si="26">+SUM(E13,E20,E27,E34,E41,E48,E59,E64,E70,E76)+E82</f>
        <v>341</v>
      </c>
      <c r="F85" s="110">
        <f t="shared" si="26"/>
        <v>298</v>
      </c>
      <c r="G85" s="110">
        <f t="shared" si="26"/>
        <v>314</v>
      </c>
      <c r="H85" s="110">
        <f t="shared" si="26"/>
        <v>494</v>
      </c>
      <c r="I85" s="110">
        <f t="shared" si="26"/>
        <v>372</v>
      </c>
      <c r="J85" s="110">
        <f t="shared" si="26"/>
        <v>437</v>
      </c>
      <c r="K85" s="110">
        <f t="shared" si="26"/>
        <v>505</v>
      </c>
      <c r="L85" s="110">
        <f t="shared" si="26"/>
        <v>708</v>
      </c>
      <c r="M85" s="110">
        <f t="shared" si="26"/>
        <v>936</v>
      </c>
      <c r="N85" s="110">
        <f t="shared" si="26"/>
        <v>1277</v>
      </c>
      <c r="O85" s="110">
        <f t="shared" si="26"/>
        <v>1469</v>
      </c>
      <c r="P85" s="110">
        <f t="shared" si="26"/>
        <v>1115.1088761300002</v>
      </c>
      <c r="Q85" s="110">
        <f t="shared" si="26"/>
        <v>814.14679987798468</v>
      </c>
      <c r="R85" s="110">
        <f t="shared" si="26"/>
        <v>600.8741004699998</v>
      </c>
      <c r="S85" s="110">
        <f t="shared" si="26"/>
        <v>575.51142248944939</v>
      </c>
      <c r="T85" s="110">
        <f t="shared" si="26"/>
        <v>917.13084250254997</v>
      </c>
      <c r="U85" s="110">
        <f t="shared" si="26"/>
        <v>631.00027003999992</v>
      </c>
      <c r="V85" s="110">
        <f t="shared" si="26"/>
        <v>473.04496957994934</v>
      </c>
      <c r="W85" s="110">
        <f t="shared" si="26"/>
        <v>815.23536465005043</v>
      </c>
      <c r="X85" s="110">
        <f t="shared" si="26"/>
        <v>964.30068805798589</v>
      </c>
      <c r="Y85" s="110">
        <f t="shared" si="26"/>
        <v>720.0788350278799</v>
      </c>
      <c r="Z85" s="110">
        <f t="shared" si="26"/>
        <v>1192.5561548487453</v>
      </c>
      <c r="AA85" s="110">
        <f>+SUM(AA13,AA20,AA27,AA34,AA41,AA48,AA59,AA64,AA70,AA76)+AA82</f>
        <v>1701.4788569699692</v>
      </c>
      <c r="AB85" s="110">
        <f>+SUM(AB13,AB20,AB27,AB34,AB41,AB48,AB59,AB64,AB70,AB76)+AB82</f>
        <v>1709.8250570420439</v>
      </c>
      <c r="AC85" s="110">
        <f t="shared" ref="AC85:AP85" si="27">+SUM(AC13,AC20,AC27,AC34,AC41,AC48,AC59,AC64,AC70,AC76,AC55)+AC82</f>
        <v>2542.5853132300172</v>
      </c>
      <c r="AD85" s="110">
        <f t="shared" si="27"/>
        <v>2689.5754396766411</v>
      </c>
      <c r="AE85" s="110">
        <f t="shared" si="27"/>
        <v>3023.0471857040375</v>
      </c>
      <c r="AF85" s="110">
        <f t="shared" si="27"/>
        <v>2638.2450686459729</v>
      </c>
      <c r="AG85" s="110">
        <f t="shared" si="27"/>
        <v>1725.4477703467514</v>
      </c>
      <c r="AH85" s="110">
        <f t="shared" si="27"/>
        <v>2051.9592811699986</v>
      </c>
      <c r="AI85" s="110">
        <f t="shared" si="27"/>
        <v>2422.8702891339967</v>
      </c>
      <c r="AJ85" s="110">
        <f t="shared" si="27"/>
        <v>2695.9391250449689</v>
      </c>
      <c r="AK85" s="110">
        <f t="shared" si="27"/>
        <v>2310.7994479280046</v>
      </c>
      <c r="AL85" s="110">
        <f t="shared" si="27"/>
        <v>2716.725177480002</v>
      </c>
      <c r="AM85" s="110">
        <f t="shared" si="27"/>
        <v>3030.677817535</v>
      </c>
      <c r="AN85" s="110">
        <f t="shared" si="27"/>
        <v>2926.7382694399998</v>
      </c>
      <c r="AO85" s="110">
        <f t="shared" si="27"/>
        <v>2585.1712403400002</v>
      </c>
      <c r="AP85" s="110">
        <f t="shared" si="27"/>
        <v>2600.1628502900148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tabColor theme="9" tint="0.79998168889431442"/>
  </sheetPr>
  <dimension ref="B5:J68"/>
  <sheetViews>
    <sheetView showGridLines="0" zoomScale="85" zoomScaleNormal="85" workbookViewId="0">
      <selection activeCell="I64" sqref="I64"/>
    </sheetView>
  </sheetViews>
  <sheetFormatPr defaultRowHeight="14.4"/>
  <cols>
    <col min="2" max="3" width="35.44140625" customWidth="1"/>
    <col min="4" max="10" width="14.33203125" customWidth="1"/>
  </cols>
  <sheetData>
    <row r="5" spans="2:10">
      <c r="B5" s="103" t="s">
        <v>2505</v>
      </c>
      <c r="C5" s="103" t="s">
        <v>2506</v>
      </c>
      <c r="D5" s="545"/>
      <c r="E5" s="545"/>
      <c r="F5" s="545"/>
      <c r="G5" s="545"/>
      <c r="H5" s="545"/>
      <c r="I5" s="545"/>
      <c r="J5" s="545"/>
    </row>
    <row r="6" spans="2:10">
      <c r="B6" s="475" t="s">
        <v>1657</v>
      </c>
      <c r="C6" s="475" t="s">
        <v>1658</v>
      </c>
      <c r="D6" s="478" t="s">
        <v>89</v>
      </c>
      <c r="E6" s="478" t="s">
        <v>110</v>
      </c>
      <c r="F6" s="478" t="s">
        <v>113</v>
      </c>
      <c r="G6" s="478" t="s">
        <v>116</v>
      </c>
      <c r="H6" s="478" t="s">
        <v>119</v>
      </c>
      <c r="I6" s="478" t="s">
        <v>122</v>
      </c>
      <c r="J6" s="478" t="s">
        <v>125</v>
      </c>
    </row>
    <row r="7" spans="2:10">
      <c r="B7" s="260" t="s">
        <v>1659</v>
      </c>
      <c r="C7" s="260" t="s">
        <v>1660</v>
      </c>
      <c r="D7" s="261">
        <f>D40</f>
        <v>500072</v>
      </c>
      <c r="E7" s="261">
        <f t="shared" ref="E7:J7" si="0">E40</f>
        <v>698716</v>
      </c>
      <c r="F7" s="261">
        <f t="shared" si="0"/>
        <v>850333</v>
      </c>
      <c r="G7" s="261">
        <f t="shared" si="0"/>
        <v>788958</v>
      </c>
      <c r="H7" s="261">
        <f t="shared" si="0"/>
        <v>1093170</v>
      </c>
      <c r="I7" s="261">
        <f t="shared" si="0"/>
        <v>679943</v>
      </c>
      <c r="J7" s="261">
        <f t="shared" si="0"/>
        <v>1583986</v>
      </c>
    </row>
    <row r="8" spans="2:10">
      <c r="B8" s="260" t="s">
        <v>1661</v>
      </c>
      <c r="C8" s="260" t="s">
        <v>1662</v>
      </c>
      <c r="D8" s="259">
        <f>D68</f>
        <v>-243747</v>
      </c>
      <c r="E8" s="259">
        <f t="shared" ref="E8:J8" si="1">E68</f>
        <v>-271597</v>
      </c>
      <c r="F8" s="259">
        <f t="shared" si="1"/>
        <v>-230147</v>
      </c>
      <c r="G8" s="259">
        <f t="shared" si="1"/>
        <v>-571879</v>
      </c>
      <c r="H8" s="259">
        <f t="shared" si="1"/>
        <v>-386142</v>
      </c>
      <c r="I8" s="259">
        <f t="shared" si="1"/>
        <v>-497561</v>
      </c>
      <c r="J8" s="259">
        <f t="shared" si="1"/>
        <v>-797388</v>
      </c>
    </row>
    <row r="9" spans="2:10" s="103" customFormat="1">
      <c r="B9" s="262" t="s">
        <v>1663</v>
      </c>
      <c r="C9" s="262" t="s">
        <v>1664</v>
      </c>
      <c r="D9" s="263">
        <f>SUM(D7:D8)</f>
        <v>256325</v>
      </c>
      <c r="E9" s="263">
        <f t="shared" ref="E9:J9" si="2">SUM(E7:E8)</f>
        <v>427119</v>
      </c>
      <c r="F9" s="263">
        <f t="shared" si="2"/>
        <v>620186</v>
      </c>
      <c r="G9" s="263">
        <f t="shared" si="2"/>
        <v>217079</v>
      </c>
      <c r="H9" s="263">
        <f t="shared" si="2"/>
        <v>707028</v>
      </c>
      <c r="I9" s="263">
        <f t="shared" si="2"/>
        <v>182382</v>
      </c>
      <c r="J9" s="263">
        <f t="shared" si="2"/>
        <v>786598</v>
      </c>
    </row>
    <row r="10" spans="2:10">
      <c r="B10" s="260" t="s">
        <v>1665</v>
      </c>
      <c r="C10" s="260" t="s">
        <v>1666</v>
      </c>
      <c r="D10" s="259">
        <v>-103294</v>
      </c>
      <c r="E10" s="259">
        <v>-236913</v>
      </c>
      <c r="F10" s="259">
        <v>-18087</v>
      </c>
      <c r="G10" s="259">
        <v>-16537</v>
      </c>
      <c r="H10" s="259">
        <v>-48758</v>
      </c>
      <c r="I10" s="259">
        <v>-6391</v>
      </c>
      <c r="J10" s="259">
        <v>-79201</v>
      </c>
    </row>
    <row r="11" spans="2:10" s="103" customFormat="1">
      <c r="B11" s="262" t="s">
        <v>1667</v>
      </c>
      <c r="C11" s="262" t="s">
        <v>1553</v>
      </c>
      <c r="D11" s="263">
        <f t="shared" ref="D11:J11" si="3">D9+D10</f>
        <v>153031</v>
      </c>
      <c r="E11" s="263">
        <f t="shared" si="3"/>
        <v>190206</v>
      </c>
      <c r="F11" s="263">
        <f t="shared" si="3"/>
        <v>602099</v>
      </c>
      <c r="G11" s="263">
        <f t="shared" si="3"/>
        <v>200542</v>
      </c>
      <c r="H11" s="263">
        <f t="shared" si="3"/>
        <v>658270</v>
      </c>
      <c r="I11" s="263">
        <f t="shared" si="3"/>
        <v>175991</v>
      </c>
      <c r="J11" s="263">
        <f t="shared" si="3"/>
        <v>707397</v>
      </c>
    </row>
    <row r="12" spans="2:10">
      <c r="D12" s="259"/>
      <c r="E12" s="259"/>
      <c r="F12" s="259"/>
      <c r="G12" s="259"/>
      <c r="H12" s="259"/>
      <c r="I12" s="259"/>
      <c r="J12" s="259"/>
    </row>
    <row r="13" spans="2:10">
      <c r="B13" s="475" t="s">
        <v>1668</v>
      </c>
      <c r="C13" s="475" t="s">
        <v>1660</v>
      </c>
      <c r="D13" s="478" t="s">
        <v>89</v>
      </c>
      <c r="E13" s="478" t="s">
        <v>110</v>
      </c>
      <c r="F13" s="478" t="s">
        <v>113</v>
      </c>
      <c r="G13" s="478" t="s">
        <v>116</v>
      </c>
      <c r="H13" s="478" t="s">
        <v>119</v>
      </c>
      <c r="I13" s="478" t="s">
        <v>122</v>
      </c>
      <c r="J13" s="478" t="s">
        <v>125</v>
      </c>
    </row>
    <row r="14" spans="2:10" s="103" customFormat="1">
      <c r="B14" s="262" t="s">
        <v>1669</v>
      </c>
      <c r="C14" s="262" t="s">
        <v>1670</v>
      </c>
      <c r="D14" s="263">
        <f t="shared" ref="D14:J14" si="4">SUM(D15:D24)</f>
        <v>397589</v>
      </c>
      <c r="E14" s="263">
        <f t="shared" si="4"/>
        <v>614618</v>
      </c>
      <c r="F14" s="263">
        <f t="shared" si="4"/>
        <v>731653</v>
      </c>
      <c r="G14" s="263">
        <f t="shared" si="4"/>
        <v>174023</v>
      </c>
      <c r="H14" s="263">
        <f t="shared" si="4"/>
        <v>685751</v>
      </c>
      <c r="I14" s="263">
        <f t="shared" si="4"/>
        <v>181131</v>
      </c>
      <c r="J14" s="263">
        <f t="shared" si="4"/>
        <v>1188698</v>
      </c>
    </row>
    <row r="15" spans="2:10">
      <c r="B15" s="264" t="s">
        <v>1671</v>
      </c>
      <c r="C15" s="264" t="s">
        <v>1671</v>
      </c>
      <c r="D15" s="265">
        <v>109702</v>
      </c>
      <c r="E15" s="265">
        <v>131908</v>
      </c>
      <c r="F15" s="265">
        <v>46734</v>
      </c>
      <c r="G15" s="265">
        <v>8386</v>
      </c>
      <c r="H15" s="265">
        <v>121666</v>
      </c>
      <c r="I15" s="265">
        <v>22750</v>
      </c>
      <c r="J15" s="265">
        <v>202697</v>
      </c>
    </row>
    <row r="16" spans="2:10">
      <c r="B16" s="264" t="s">
        <v>1672</v>
      </c>
      <c r="C16" s="264" t="s">
        <v>1672</v>
      </c>
      <c r="D16" s="265">
        <v>0</v>
      </c>
      <c r="E16" s="265">
        <v>0</v>
      </c>
      <c r="F16" s="265">
        <v>0</v>
      </c>
      <c r="G16" s="265">
        <v>0</v>
      </c>
      <c r="H16" s="265">
        <v>0</v>
      </c>
      <c r="I16" s="265">
        <v>357</v>
      </c>
      <c r="J16" s="265">
        <v>0</v>
      </c>
    </row>
    <row r="17" spans="2:10">
      <c r="B17" s="264" t="s">
        <v>1673</v>
      </c>
      <c r="C17" s="264" t="s">
        <v>1673</v>
      </c>
      <c r="D17" s="265">
        <v>8769</v>
      </c>
      <c r="E17" s="265">
        <v>0</v>
      </c>
      <c r="F17" s="265">
        <v>12072</v>
      </c>
      <c r="G17" s="265">
        <v>7175</v>
      </c>
      <c r="H17" s="265">
        <v>3784</v>
      </c>
      <c r="I17" s="265">
        <v>4049</v>
      </c>
      <c r="J17" s="265">
        <v>27791</v>
      </c>
    </row>
    <row r="18" spans="2:10">
      <c r="B18" s="264" t="s">
        <v>1674</v>
      </c>
      <c r="C18" s="264" t="s">
        <v>1674</v>
      </c>
      <c r="D18" s="265">
        <v>0</v>
      </c>
      <c r="E18" s="265">
        <v>0</v>
      </c>
      <c r="F18" s="265">
        <v>0</v>
      </c>
      <c r="G18" s="265">
        <v>0</v>
      </c>
      <c r="H18" s="265">
        <v>6152</v>
      </c>
      <c r="I18" s="265">
        <v>0</v>
      </c>
      <c r="J18" s="265">
        <v>10855</v>
      </c>
    </row>
    <row r="19" spans="2:10">
      <c r="B19" s="264" t="s">
        <v>1675</v>
      </c>
      <c r="C19" s="264" t="s">
        <v>1676</v>
      </c>
      <c r="D19" s="265">
        <v>26234</v>
      </c>
      <c r="E19" s="265">
        <v>75087</v>
      </c>
      <c r="F19" s="265">
        <v>17357</v>
      </c>
      <c r="G19" s="265">
        <v>16058</v>
      </c>
      <c r="H19" s="265">
        <v>55287</v>
      </c>
      <c r="I19" s="265">
        <v>5687</v>
      </c>
      <c r="J19" s="265">
        <v>55751</v>
      </c>
    </row>
    <row r="20" spans="2:10">
      <c r="B20" s="264" t="s">
        <v>1677</v>
      </c>
      <c r="C20" s="264" t="s">
        <v>1678</v>
      </c>
      <c r="D20" s="265">
        <v>252885</v>
      </c>
      <c r="E20" s="265">
        <v>407419</v>
      </c>
      <c r="F20" s="265">
        <v>111169</v>
      </c>
      <c r="G20" s="265">
        <v>111461</v>
      </c>
      <c r="H20" s="265">
        <v>389354</v>
      </c>
      <c r="I20" s="265">
        <v>133042</v>
      </c>
      <c r="J20" s="265">
        <v>423211</v>
      </c>
    </row>
    <row r="21" spans="2:10">
      <c r="B21" s="264" t="s">
        <v>95</v>
      </c>
      <c r="C21" s="264" t="s">
        <v>96</v>
      </c>
      <c r="D21" s="265">
        <v>0</v>
      </c>
      <c r="E21" s="265">
        <v>0</v>
      </c>
      <c r="F21" s="265">
        <v>514499</v>
      </c>
      <c r="G21" s="265">
        <v>0</v>
      </c>
      <c r="H21" s="265">
        <v>0</v>
      </c>
      <c r="I21" s="265">
        <v>0</v>
      </c>
      <c r="J21" s="265">
        <v>361933</v>
      </c>
    </row>
    <row r="22" spans="2:10">
      <c r="B22" s="264" t="s">
        <v>1679</v>
      </c>
      <c r="C22" s="264" t="s">
        <v>1680</v>
      </c>
      <c r="D22" s="265">
        <v>0</v>
      </c>
      <c r="E22" s="265">
        <v>0</v>
      </c>
      <c r="F22" s="265">
        <v>0</v>
      </c>
      <c r="G22" s="265">
        <v>0</v>
      </c>
      <c r="H22" s="265">
        <v>0</v>
      </c>
      <c r="I22" s="265">
        <v>0</v>
      </c>
      <c r="J22" s="265">
        <v>0</v>
      </c>
    </row>
    <row r="23" spans="2:10">
      <c r="B23" s="264" t="s">
        <v>1681</v>
      </c>
      <c r="C23" s="264" t="s">
        <v>1682</v>
      </c>
      <c r="D23" s="265">
        <v>-1</v>
      </c>
      <c r="E23" s="265">
        <v>204</v>
      </c>
      <c r="F23" s="265">
        <v>17863</v>
      </c>
      <c r="G23" s="265">
        <v>15938</v>
      </c>
      <c r="H23" s="265">
        <v>109508</v>
      </c>
      <c r="I23" s="265">
        <v>0</v>
      </c>
      <c r="J23" s="265">
        <v>106460</v>
      </c>
    </row>
    <row r="24" spans="2:10">
      <c r="B24" s="264" t="s">
        <v>1687</v>
      </c>
      <c r="C24" s="264" t="s">
        <v>1688</v>
      </c>
      <c r="D24" s="265">
        <v>0</v>
      </c>
      <c r="E24" s="265">
        <v>0</v>
      </c>
      <c r="F24" s="265">
        <v>11959</v>
      </c>
      <c r="G24" s="265">
        <v>15005</v>
      </c>
      <c r="H24" s="265">
        <v>0</v>
      </c>
      <c r="I24" s="265">
        <v>15246</v>
      </c>
      <c r="J24" s="265">
        <v>0</v>
      </c>
    </row>
    <row r="25" spans="2:10" s="103" customFormat="1">
      <c r="B25" s="262" t="s">
        <v>1683</v>
      </c>
      <c r="C25" s="262" t="s">
        <v>1684</v>
      </c>
      <c r="D25" s="263">
        <f t="shared" ref="D25:J25" si="5">SUM(D26:D32)</f>
        <v>14139</v>
      </c>
      <c r="E25" s="263">
        <f t="shared" si="5"/>
        <v>17202</v>
      </c>
      <c r="F25" s="263">
        <f t="shared" si="5"/>
        <v>87978</v>
      </c>
      <c r="G25" s="263">
        <f t="shared" si="5"/>
        <v>198497</v>
      </c>
      <c r="H25" s="263">
        <f t="shared" si="5"/>
        <v>134015</v>
      </c>
      <c r="I25" s="263">
        <f t="shared" si="5"/>
        <v>54253</v>
      </c>
      <c r="J25" s="263">
        <f t="shared" si="5"/>
        <v>196457</v>
      </c>
    </row>
    <row r="26" spans="2:10">
      <c r="B26" s="264" t="s">
        <v>1671</v>
      </c>
      <c r="C26" s="264" t="s">
        <v>1671</v>
      </c>
      <c r="D26" s="265">
        <v>394</v>
      </c>
      <c r="E26" s="265">
        <v>178</v>
      </c>
      <c r="F26" s="265">
        <v>26254</v>
      </c>
      <c r="G26" s="265">
        <v>47713</v>
      </c>
      <c r="H26" s="265">
        <v>51596</v>
      </c>
      <c r="I26" s="265">
        <v>16334</v>
      </c>
      <c r="J26" s="265">
        <v>74881</v>
      </c>
    </row>
    <row r="27" spans="2:10">
      <c r="B27" s="264" t="s">
        <v>1672</v>
      </c>
      <c r="C27" s="264" t="s">
        <v>1672</v>
      </c>
      <c r="D27" s="265">
        <v>2093</v>
      </c>
      <c r="E27" s="265">
        <v>1419</v>
      </c>
      <c r="F27" s="265">
        <v>3931</v>
      </c>
      <c r="G27" s="265">
        <v>0</v>
      </c>
      <c r="H27" s="265">
        <v>4795</v>
      </c>
      <c r="I27" s="265">
        <v>2207</v>
      </c>
      <c r="J27" s="265">
        <v>12195</v>
      </c>
    </row>
    <row r="28" spans="2:10">
      <c r="B28" s="264" t="s">
        <v>1673</v>
      </c>
      <c r="C28" s="264" t="s">
        <v>1673</v>
      </c>
      <c r="D28" s="265">
        <v>2968</v>
      </c>
      <c r="E28" s="265">
        <v>2121</v>
      </c>
      <c r="F28" s="265">
        <v>0</v>
      </c>
      <c r="G28" s="265">
        <v>0</v>
      </c>
      <c r="H28" s="265">
        <v>0</v>
      </c>
      <c r="I28" s="265">
        <v>0</v>
      </c>
      <c r="J28" s="265">
        <v>634</v>
      </c>
    </row>
    <row r="29" spans="2:10">
      <c r="B29" s="264" t="s">
        <v>1685</v>
      </c>
      <c r="C29" s="264" t="s">
        <v>1686</v>
      </c>
      <c r="D29" s="265">
        <v>0</v>
      </c>
      <c r="E29" s="265">
        <v>0</v>
      </c>
      <c r="F29" s="265">
        <v>0</v>
      </c>
      <c r="G29" s="265">
        <v>0</v>
      </c>
      <c r="H29" s="265">
        <v>0</v>
      </c>
      <c r="I29" s="265">
        <v>0</v>
      </c>
      <c r="J29" s="265">
        <v>0</v>
      </c>
    </row>
    <row r="30" spans="2:10">
      <c r="B30" s="264" t="s">
        <v>1674</v>
      </c>
      <c r="C30" s="264" t="s">
        <v>1674</v>
      </c>
      <c r="D30" s="265">
        <v>0</v>
      </c>
      <c r="E30" s="265">
        <v>0</v>
      </c>
      <c r="F30" s="265">
        <v>0</v>
      </c>
      <c r="G30" s="265">
        <v>0</v>
      </c>
      <c r="H30" s="265">
        <v>1255</v>
      </c>
      <c r="I30" s="265">
        <v>0</v>
      </c>
      <c r="J30" s="265">
        <v>1433</v>
      </c>
    </row>
    <row r="31" spans="2:10">
      <c r="B31" s="264" t="s">
        <v>1675</v>
      </c>
      <c r="C31" s="264" t="s">
        <v>1676</v>
      </c>
      <c r="D31" s="265">
        <v>5081</v>
      </c>
      <c r="E31" s="265">
        <v>4731</v>
      </c>
      <c r="F31" s="265">
        <v>3850</v>
      </c>
      <c r="G31" s="265">
        <v>40080</v>
      </c>
      <c r="H31" s="265">
        <v>20125</v>
      </c>
      <c r="I31" s="265">
        <v>3835</v>
      </c>
      <c r="J31" s="265">
        <v>22621</v>
      </c>
    </row>
    <row r="32" spans="2:10">
      <c r="B32" s="264" t="s">
        <v>1677</v>
      </c>
      <c r="C32" s="264" t="s">
        <v>1678</v>
      </c>
      <c r="D32" s="265">
        <v>3603</v>
      </c>
      <c r="E32" s="265">
        <v>8753</v>
      </c>
      <c r="F32" s="265">
        <v>53943</v>
      </c>
      <c r="G32" s="265">
        <v>110704</v>
      </c>
      <c r="H32" s="265">
        <v>56244</v>
      </c>
      <c r="I32" s="265">
        <v>31877</v>
      </c>
      <c r="J32" s="265">
        <v>84693</v>
      </c>
    </row>
    <row r="33" spans="2:10" s="103" customFormat="1">
      <c r="B33" s="262" t="s">
        <v>1687</v>
      </c>
      <c r="C33" s="262" t="s">
        <v>1688</v>
      </c>
      <c r="D33" s="263">
        <v>0</v>
      </c>
      <c r="E33" s="263">
        <v>931</v>
      </c>
      <c r="F33" s="263">
        <v>2829</v>
      </c>
      <c r="G33" s="263">
        <v>0</v>
      </c>
      <c r="H33" s="263">
        <v>0</v>
      </c>
      <c r="I33" s="263">
        <v>46987</v>
      </c>
      <c r="J33" s="263">
        <v>50947</v>
      </c>
    </row>
    <row r="34" spans="2:10" s="103" customFormat="1">
      <c r="B34" s="262" t="s">
        <v>1681</v>
      </c>
      <c r="C34" s="262" t="s">
        <v>1682</v>
      </c>
      <c r="D34" s="263">
        <v>27088</v>
      </c>
      <c r="E34" s="263">
        <v>0</v>
      </c>
      <c r="F34" s="263">
        <v>0</v>
      </c>
      <c r="G34" s="263">
        <v>37839</v>
      </c>
      <c r="H34" s="263">
        <v>43474</v>
      </c>
      <c r="I34" s="263">
        <v>854</v>
      </c>
      <c r="J34" s="263">
        <v>54323</v>
      </c>
    </row>
    <row r="35" spans="2:10" s="103" customFormat="1">
      <c r="B35" s="262" t="s">
        <v>1689</v>
      </c>
      <c r="C35" s="262" t="s">
        <v>1690</v>
      </c>
      <c r="D35" s="263">
        <v>61256</v>
      </c>
      <c r="E35" s="263">
        <v>65965</v>
      </c>
      <c r="F35" s="263">
        <v>27873</v>
      </c>
      <c r="G35" s="263">
        <v>378599</v>
      </c>
      <c r="H35" s="263">
        <v>229930</v>
      </c>
      <c r="I35" s="263">
        <v>396718</v>
      </c>
      <c r="J35" s="263">
        <v>93561</v>
      </c>
    </row>
    <row r="36" spans="2:10">
      <c r="B36" s="264" t="s">
        <v>1691</v>
      </c>
      <c r="C36" s="264" t="s">
        <v>1692</v>
      </c>
      <c r="D36" s="265">
        <v>0</v>
      </c>
      <c r="E36" s="265">
        <v>0</v>
      </c>
      <c r="F36" s="265">
        <v>0</v>
      </c>
      <c r="G36" s="265">
        <v>0</v>
      </c>
      <c r="H36" s="265">
        <v>0</v>
      </c>
      <c r="I36" s="265">
        <v>0</v>
      </c>
      <c r="J36" s="265">
        <v>0</v>
      </c>
    </row>
    <row r="37" spans="2:10">
      <c r="B37" s="264" t="s">
        <v>95</v>
      </c>
      <c r="C37" s="264" t="s">
        <v>96</v>
      </c>
      <c r="D37" s="265">
        <v>61256</v>
      </c>
      <c r="E37" s="265">
        <v>65965</v>
      </c>
      <c r="F37" s="265">
        <v>27873</v>
      </c>
      <c r="G37" s="265">
        <v>378599</v>
      </c>
      <c r="H37" s="265">
        <v>229930</v>
      </c>
      <c r="I37" s="265">
        <v>396718</v>
      </c>
      <c r="J37" s="265">
        <v>93561</v>
      </c>
    </row>
    <row r="38" spans="2:10">
      <c r="B38" s="264" t="s">
        <v>1693</v>
      </c>
      <c r="C38" s="264" t="s">
        <v>1694</v>
      </c>
      <c r="D38" s="265">
        <v>0</v>
      </c>
      <c r="E38" s="265">
        <v>0</v>
      </c>
      <c r="F38" s="265">
        <v>0</v>
      </c>
      <c r="G38" s="265">
        <v>0</v>
      </c>
      <c r="H38" s="265">
        <v>0</v>
      </c>
      <c r="I38" s="265">
        <v>0</v>
      </c>
      <c r="J38" s="265">
        <v>0</v>
      </c>
    </row>
    <row r="39" spans="2:10">
      <c r="B39" s="264" t="s">
        <v>1681</v>
      </c>
      <c r="C39" s="264" t="s">
        <v>1682</v>
      </c>
      <c r="D39" s="265">
        <v>0</v>
      </c>
      <c r="E39" s="265">
        <v>0</v>
      </c>
      <c r="F39" s="265">
        <v>0</v>
      </c>
      <c r="G39" s="265">
        <v>0</v>
      </c>
      <c r="H39" s="265">
        <v>0</v>
      </c>
      <c r="I39" s="265">
        <v>0</v>
      </c>
      <c r="J39" s="265">
        <v>0</v>
      </c>
    </row>
    <row r="40" spans="2:10" s="103" customFormat="1">
      <c r="B40" s="262" t="s">
        <v>1695</v>
      </c>
      <c r="C40" s="262" t="s">
        <v>1696</v>
      </c>
      <c r="D40" s="263">
        <f t="shared" ref="D40:J40" si="6">D14+D25+D33+D34+D35</f>
        <v>500072</v>
      </c>
      <c r="E40" s="263">
        <f t="shared" si="6"/>
        <v>698716</v>
      </c>
      <c r="F40" s="263">
        <f t="shared" si="6"/>
        <v>850333</v>
      </c>
      <c r="G40" s="263">
        <f t="shared" si="6"/>
        <v>788958</v>
      </c>
      <c r="H40" s="263">
        <f t="shared" si="6"/>
        <v>1093170</v>
      </c>
      <c r="I40" s="263">
        <f t="shared" si="6"/>
        <v>679943</v>
      </c>
      <c r="J40" s="263">
        <f t="shared" si="6"/>
        <v>1583986</v>
      </c>
    </row>
    <row r="41" spans="2:10" s="103" customFormat="1">
      <c r="B41" s="266"/>
      <c r="C41" s="266"/>
      <c r="D41" s="267"/>
      <c r="E41" s="267"/>
      <c r="F41" s="267"/>
      <c r="G41" s="267"/>
      <c r="H41" s="267"/>
      <c r="I41" s="267"/>
      <c r="J41" s="267"/>
    </row>
    <row r="42" spans="2:10">
      <c r="B42" s="475" t="s">
        <v>1697</v>
      </c>
      <c r="C42" s="475"/>
      <c r="D42" s="478" t="s">
        <v>89</v>
      </c>
      <c r="E42" s="478" t="s">
        <v>110</v>
      </c>
      <c r="F42" s="478" t="s">
        <v>113</v>
      </c>
      <c r="G42" s="478" t="s">
        <v>116</v>
      </c>
      <c r="H42" s="478" t="s">
        <v>119</v>
      </c>
      <c r="I42" s="478" t="s">
        <v>122</v>
      </c>
      <c r="J42" s="478" t="s">
        <v>125</v>
      </c>
    </row>
    <row r="43" spans="2:10" s="103" customFormat="1">
      <c r="B43" s="262" t="s">
        <v>1669</v>
      </c>
      <c r="C43" s="262" t="s">
        <v>1670</v>
      </c>
      <c r="D43" s="263">
        <f t="shared" ref="D43:J43" si="7">SUM(D44:D52)</f>
        <v>-89770</v>
      </c>
      <c r="E43" s="263">
        <f t="shared" si="7"/>
        <v>-109364</v>
      </c>
      <c r="F43" s="263">
        <f t="shared" si="7"/>
        <v>-166830</v>
      </c>
      <c r="G43" s="263">
        <f t="shared" si="7"/>
        <v>-27592</v>
      </c>
      <c r="H43" s="263">
        <f t="shared" si="7"/>
        <v>-89650</v>
      </c>
      <c r="I43" s="263">
        <f t="shared" si="7"/>
        <v>-84886</v>
      </c>
      <c r="J43" s="263">
        <f t="shared" si="7"/>
        <v>-598038</v>
      </c>
    </row>
    <row r="44" spans="2:10">
      <c r="B44" s="264" t="s">
        <v>1677</v>
      </c>
      <c r="C44" s="264" t="s">
        <v>1678</v>
      </c>
      <c r="D44" s="265">
        <v>-16001</v>
      </c>
      <c r="E44" s="265">
        <v>-17787</v>
      </c>
      <c r="F44" s="265">
        <v>-7905</v>
      </c>
      <c r="G44" s="265">
        <v>-7004</v>
      </c>
      <c r="H44" s="265">
        <v>-12251</v>
      </c>
      <c r="I44" s="265">
        <v>-8870</v>
      </c>
      <c r="J44" s="265">
        <v>-25595</v>
      </c>
    </row>
    <row r="45" spans="2:10">
      <c r="B45" s="264" t="s">
        <v>1672</v>
      </c>
      <c r="C45" s="264" t="s">
        <v>1672</v>
      </c>
      <c r="D45" s="265">
        <v>-3924</v>
      </c>
      <c r="E45" s="265">
        <v>-6454</v>
      </c>
      <c r="F45" s="265">
        <v>-2076</v>
      </c>
      <c r="G45" s="265">
        <v>-28</v>
      </c>
      <c r="H45" s="265">
        <v>-5132</v>
      </c>
      <c r="I45" s="265">
        <v>0</v>
      </c>
      <c r="J45" s="265">
        <v>-15025</v>
      </c>
    </row>
    <row r="46" spans="2:10">
      <c r="B46" s="264" t="s">
        <v>1673</v>
      </c>
      <c r="C46" s="264" t="s">
        <v>1673</v>
      </c>
      <c r="D46" s="265">
        <v>0</v>
      </c>
      <c r="E46" s="265">
        <v>-2511</v>
      </c>
      <c r="F46" s="265">
        <v>0</v>
      </c>
      <c r="G46" s="265">
        <v>0</v>
      </c>
      <c r="H46" s="265">
        <v>0</v>
      </c>
      <c r="I46" s="265">
        <v>0</v>
      </c>
      <c r="J46" s="265">
        <v>0</v>
      </c>
    </row>
    <row r="47" spans="2:10">
      <c r="B47" s="264" t="s">
        <v>1671</v>
      </c>
      <c r="C47" s="264" t="s">
        <v>1671</v>
      </c>
      <c r="D47" s="265">
        <v>-23899</v>
      </c>
      <c r="E47" s="265">
        <v>-29391</v>
      </c>
      <c r="F47" s="265">
        <v>-35368</v>
      </c>
      <c r="G47" s="265">
        <v>-20560</v>
      </c>
      <c r="H47" s="265">
        <v>-16743</v>
      </c>
      <c r="I47" s="265">
        <v>-54841</v>
      </c>
      <c r="J47" s="265">
        <v>-34903</v>
      </c>
    </row>
    <row r="48" spans="2:10">
      <c r="B48" s="264" t="s">
        <v>1675</v>
      </c>
      <c r="C48" s="264" t="s">
        <v>1676</v>
      </c>
      <c r="D48" s="265">
        <v>0</v>
      </c>
      <c r="E48" s="265">
        <v>0</v>
      </c>
      <c r="F48" s="265">
        <v>0</v>
      </c>
      <c r="G48" s="265">
        <v>0</v>
      </c>
      <c r="H48" s="265">
        <v>0</v>
      </c>
      <c r="I48" s="265">
        <v>0</v>
      </c>
      <c r="J48" s="265">
        <v>0</v>
      </c>
    </row>
    <row r="49" spans="2:10">
      <c r="B49" s="264" t="s">
        <v>1687</v>
      </c>
      <c r="C49" s="264" t="s">
        <v>1688</v>
      </c>
      <c r="D49" s="265">
        <v>-36173</v>
      </c>
      <c r="E49" s="265">
        <v>-40086</v>
      </c>
      <c r="F49" s="265">
        <v>0</v>
      </c>
      <c r="G49" s="265">
        <v>0</v>
      </c>
      <c r="H49" s="265">
        <v>-53187</v>
      </c>
      <c r="I49" s="265">
        <v>0</v>
      </c>
      <c r="J49" s="265">
        <v>-126745</v>
      </c>
    </row>
    <row r="50" spans="2:10">
      <c r="B50" s="264" t="s">
        <v>95</v>
      </c>
      <c r="C50" s="264" t="s">
        <v>96</v>
      </c>
      <c r="D50" s="265">
        <v>0</v>
      </c>
      <c r="E50" s="265">
        <v>0</v>
      </c>
      <c r="F50" s="265">
        <v>-106553</v>
      </c>
      <c r="G50" s="265">
        <v>0</v>
      </c>
      <c r="H50" s="265">
        <v>0</v>
      </c>
      <c r="I50" s="265">
        <v>0</v>
      </c>
      <c r="J50" s="265">
        <v>-388967</v>
      </c>
    </row>
    <row r="51" spans="2:10">
      <c r="B51" s="264" t="s">
        <v>1674</v>
      </c>
      <c r="C51" s="264" t="s">
        <v>1674</v>
      </c>
      <c r="D51" s="265">
        <v>0</v>
      </c>
      <c r="E51" s="265">
        <v>0</v>
      </c>
      <c r="F51" s="265">
        <v>0</v>
      </c>
      <c r="G51" s="265">
        <v>0</v>
      </c>
      <c r="H51" s="265">
        <v>0</v>
      </c>
      <c r="I51" s="265">
        <v>0</v>
      </c>
      <c r="J51" s="265">
        <v>0</v>
      </c>
    </row>
    <row r="52" spans="2:10">
      <c r="B52" s="264" t="s">
        <v>1681</v>
      </c>
      <c r="C52" s="264" t="s">
        <v>1682</v>
      </c>
      <c r="D52" s="265">
        <v>-9773</v>
      </c>
      <c r="E52" s="265">
        <v>-13135</v>
      </c>
      <c r="F52" s="265">
        <v>-14928</v>
      </c>
      <c r="G52" s="265">
        <v>0</v>
      </c>
      <c r="H52" s="265">
        <v>-2337</v>
      </c>
      <c r="I52" s="265">
        <v>-21175</v>
      </c>
      <c r="J52" s="265">
        <v>-6803</v>
      </c>
    </row>
    <row r="53" spans="2:10" s="103" customFormat="1">
      <c r="B53" s="262" t="s">
        <v>1683</v>
      </c>
      <c r="C53" s="262" t="s">
        <v>1684</v>
      </c>
      <c r="D53" s="263">
        <f t="shared" ref="D53:J53" si="8">SUM(D54:D59)</f>
        <v>-3331</v>
      </c>
      <c r="E53" s="263">
        <f t="shared" si="8"/>
        <v>-10682</v>
      </c>
      <c r="F53" s="263">
        <f t="shared" si="8"/>
        <v>-1705</v>
      </c>
      <c r="G53" s="263">
        <f t="shared" si="8"/>
        <v>-42344</v>
      </c>
      <c r="H53" s="263">
        <f t="shared" si="8"/>
        <v>-3319</v>
      </c>
      <c r="I53" s="263">
        <f t="shared" si="8"/>
        <v>-7766</v>
      </c>
      <c r="J53" s="263">
        <f t="shared" si="8"/>
        <v>-9176</v>
      </c>
    </row>
    <row r="54" spans="2:10">
      <c r="B54" s="264" t="s">
        <v>1675</v>
      </c>
      <c r="C54" s="264" t="s">
        <v>1676</v>
      </c>
      <c r="D54" s="265">
        <v>0</v>
      </c>
      <c r="E54" s="265">
        <v>0</v>
      </c>
      <c r="F54" s="265">
        <v>-244</v>
      </c>
      <c r="G54" s="265">
        <v>-30359</v>
      </c>
      <c r="H54" s="265">
        <v>-1701</v>
      </c>
      <c r="I54" s="265">
        <v>-894</v>
      </c>
      <c r="J54" s="265">
        <v>0</v>
      </c>
    </row>
    <row r="55" spans="2:10">
      <c r="B55" s="264" t="s">
        <v>1677</v>
      </c>
      <c r="C55" s="264" t="s">
        <v>1678</v>
      </c>
      <c r="D55" s="265">
        <v>-3018</v>
      </c>
      <c r="E55" s="265">
        <v>-2579</v>
      </c>
      <c r="F55" s="265">
        <v>0</v>
      </c>
      <c r="G55" s="265">
        <v>-22</v>
      </c>
      <c r="H55" s="265">
        <v>0</v>
      </c>
      <c r="I55" s="265">
        <v>-348</v>
      </c>
      <c r="J55" s="265">
        <v>-6454</v>
      </c>
    </row>
    <row r="56" spans="2:10">
      <c r="B56" s="264" t="s">
        <v>1671</v>
      </c>
      <c r="C56" s="264" t="s">
        <v>1671</v>
      </c>
      <c r="D56" s="265">
        <v>-291</v>
      </c>
      <c r="E56" s="265">
        <v>-8088</v>
      </c>
      <c r="F56" s="265">
        <v>-218</v>
      </c>
      <c r="G56" s="265">
        <v>0</v>
      </c>
      <c r="H56" s="265">
        <v>-656</v>
      </c>
      <c r="I56" s="265">
        <v>-316</v>
      </c>
      <c r="J56" s="265">
        <v>0</v>
      </c>
    </row>
    <row r="57" spans="2:10">
      <c r="B57" s="264" t="s">
        <v>1674</v>
      </c>
      <c r="C57" s="264" t="s">
        <v>1674</v>
      </c>
      <c r="D57" s="265">
        <v>0</v>
      </c>
      <c r="E57" s="265">
        <v>0</v>
      </c>
      <c r="F57" s="265">
        <v>0</v>
      </c>
      <c r="G57" s="265">
        <v>0</v>
      </c>
      <c r="H57" s="265">
        <v>0</v>
      </c>
      <c r="I57" s="265">
        <v>0</v>
      </c>
      <c r="J57" s="265">
        <v>0</v>
      </c>
    </row>
    <row r="58" spans="2:10">
      <c r="B58" s="264" t="s">
        <v>1673</v>
      </c>
      <c r="C58" s="264" t="s">
        <v>1673</v>
      </c>
      <c r="D58" s="265">
        <v>0</v>
      </c>
      <c r="E58" s="265">
        <v>0</v>
      </c>
      <c r="F58" s="265">
        <v>-1243</v>
      </c>
      <c r="G58" s="265">
        <v>-10407</v>
      </c>
      <c r="H58" s="265">
        <v>-962</v>
      </c>
      <c r="I58" s="265">
        <v>-6009</v>
      </c>
      <c r="J58" s="265">
        <v>-2712</v>
      </c>
    </row>
    <row r="59" spans="2:10">
      <c r="B59" s="264" t="s">
        <v>1672</v>
      </c>
      <c r="C59" s="264" t="s">
        <v>1672</v>
      </c>
      <c r="D59" s="265">
        <v>-22</v>
      </c>
      <c r="E59" s="265">
        <v>-15</v>
      </c>
      <c r="F59" s="265">
        <v>0</v>
      </c>
      <c r="G59" s="265">
        <v>-1556</v>
      </c>
      <c r="H59" s="265">
        <v>0</v>
      </c>
      <c r="I59" s="265">
        <v>-199</v>
      </c>
      <c r="J59" s="265">
        <v>-10</v>
      </c>
    </row>
    <row r="60" spans="2:10" s="103" customFormat="1">
      <c r="B60" s="262" t="s">
        <v>1681</v>
      </c>
      <c r="C60" s="262" t="s">
        <v>1682</v>
      </c>
      <c r="D60" s="263">
        <v>-2906</v>
      </c>
      <c r="E60" s="263">
        <v>37893</v>
      </c>
      <c r="F60" s="263">
        <v>-2382</v>
      </c>
      <c r="G60" s="263">
        <v>0</v>
      </c>
      <c r="H60" s="263">
        <v>-9159</v>
      </c>
      <c r="I60" s="263">
        <v>-20737</v>
      </c>
      <c r="J60" s="263">
        <v>0</v>
      </c>
    </row>
    <row r="61" spans="2:10" s="103" customFormat="1">
      <c r="B61" s="262" t="s">
        <v>1687</v>
      </c>
      <c r="C61" s="262" t="s">
        <v>1688</v>
      </c>
      <c r="D61" s="263">
        <v>-1875</v>
      </c>
      <c r="E61" s="263">
        <v>-2655</v>
      </c>
      <c r="F61" s="263">
        <v>0</v>
      </c>
      <c r="G61" s="263">
        <v>-33883</v>
      </c>
      <c r="H61" s="263">
        <v>-18575</v>
      </c>
      <c r="I61" s="263">
        <v>0</v>
      </c>
      <c r="J61" s="263">
        <v>0</v>
      </c>
    </row>
    <row r="62" spans="2:10" s="103" customFormat="1">
      <c r="B62" s="262" t="s">
        <v>1689</v>
      </c>
      <c r="C62" s="262" t="s">
        <v>1690</v>
      </c>
      <c r="D62" s="263">
        <f t="shared" ref="D62:J62" si="9">SUM(D63:D67)</f>
        <v>-145865</v>
      </c>
      <c r="E62" s="263">
        <f t="shared" si="9"/>
        <v>-186789</v>
      </c>
      <c r="F62" s="263">
        <f t="shared" si="9"/>
        <v>-59230</v>
      </c>
      <c r="G62" s="263">
        <f t="shared" si="9"/>
        <v>-468060</v>
      </c>
      <c r="H62" s="263">
        <f t="shared" si="9"/>
        <v>-265439</v>
      </c>
      <c r="I62" s="263">
        <f t="shared" si="9"/>
        <v>-384172</v>
      </c>
      <c r="J62" s="263">
        <f t="shared" si="9"/>
        <v>-190174</v>
      </c>
    </row>
    <row r="63" spans="2:10">
      <c r="B63" s="264" t="s">
        <v>95</v>
      </c>
      <c r="C63" s="264" t="s">
        <v>96</v>
      </c>
      <c r="D63" s="265">
        <v>-145865</v>
      </c>
      <c r="E63" s="265">
        <v>-186789</v>
      </c>
      <c r="F63" s="265">
        <v>-59230</v>
      </c>
      <c r="G63" s="265">
        <v>-468060</v>
      </c>
      <c r="H63" s="265">
        <v>-265439</v>
      </c>
      <c r="I63" s="265">
        <v>-384172</v>
      </c>
      <c r="J63" s="265">
        <v>-190174</v>
      </c>
    </row>
    <row r="64" spans="2:10">
      <c r="B64" s="264" t="s">
        <v>1698</v>
      </c>
      <c r="C64" s="264" t="s">
        <v>1699</v>
      </c>
      <c r="D64" s="265">
        <v>0</v>
      </c>
      <c r="E64" s="265">
        <v>0</v>
      </c>
      <c r="F64" s="265">
        <v>0</v>
      </c>
      <c r="G64" s="265">
        <v>0</v>
      </c>
      <c r="H64" s="265">
        <v>0</v>
      </c>
      <c r="I64" s="265">
        <v>0</v>
      </c>
      <c r="J64" s="265">
        <v>0</v>
      </c>
    </row>
    <row r="65" spans="2:10">
      <c r="B65" s="264" t="s">
        <v>1700</v>
      </c>
      <c r="C65" s="264" t="s">
        <v>1701</v>
      </c>
      <c r="D65" s="265">
        <v>0</v>
      </c>
      <c r="E65" s="265">
        <v>0</v>
      </c>
      <c r="F65" s="265">
        <v>0</v>
      </c>
      <c r="G65" s="265">
        <v>0</v>
      </c>
      <c r="H65" s="265">
        <v>0</v>
      </c>
      <c r="I65" s="265">
        <v>0</v>
      </c>
      <c r="J65" s="265">
        <v>0</v>
      </c>
    </row>
    <row r="66" spans="2:10">
      <c r="B66" s="264" t="s">
        <v>1681</v>
      </c>
      <c r="C66" s="264" t="s">
        <v>1682</v>
      </c>
      <c r="D66" s="265">
        <v>0</v>
      </c>
      <c r="E66" s="265">
        <v>0</v>
      </c>
      <c r="F66" s="265">
        <v>0</v>
      </c>
      <c r="G66" s="265">
        <v>0</v>
      </c>
      <c r="H66" s="265">
        <v>0</v>
      </c>
      <c r="I66" s="265">
        <v>0</v>
      </c>
      <c r="J66" s="265">
        <v>0</v>
      </c>
    </row>
    <row r="67" spans="2:10">
      <c r="B67" s="264" t="s">
        <v>1702</v>
      </c>
      <c r="C67" s="264" t="s">
        <v>1703</v>
      </c>
      <c r="D67" s="265">
        <v>0</v>
      </c>
      <c r="E67" s="265">
        <v>0</v>
      </c>
      <c r="F67" s="265">
        <v>0</v>
      </c>
      <c r="G67" s="265">
        <v>0</v>
      </c>
      <c r="H67" s="265">
        <v>0</v>
      </c>
      <c r="I67" s="265">
        <v>0</v>
      </c>
      <c r="J67" s="265">
        <v>0</v>
      </c>
    </row>
    <row r="68" spans="2:10" s="103" customFormat="1">
      <c r="B68" s="262" t="s">
        <v>1695</v>
      </c>
      <c r="C68" s="262" t="s">
        <v>1696</v>
      </c>
      <c r="D68" s="263">
        <f t="shared" ref="D68:J68" si="10">+D43+D53+D60+D61+D62</f>
        <v>-243747</v>
      </c>
      <c r="E68" s="263">
        <f t="shared" si="10"/>
        <v>-271597</v>
      </c>
      <c r="F68" s="263">
        <f>+F43+F53+F60+F61+F62</f>
        <v>-230147</v>
      </c>
      <c r="G68" s="263">
        <f t="shared" si="10"/>
        <v>-571879</v>
      </c>
      <c r="H68" s="263">
        <f t="shared" si="10"/>
        <v>-386142</v>
      </c>
      <c r="I68" s="263">
        <f t="shared" si="10"/>
        <v>-497561</v>
      </c>
      <c r="J68" s="263">
        <f t="shared" si="10"/>
        <v>-797388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tabColor theme="9" tint="0.79998168889431442"/>
  </sheetPr>
  <dimension ref="B6:X29"/>
  <sheetViews>
    <sheetView showGridLines="0" zoomScale="40" zoomScaleNormal="40" workbookViewId="0">
      <selection activeCell="P3" sqref="P3"/>
    </sheetView>
  </sheetViews>
  <sheetFormatPr defaultRowHeight="14.4"/>
  <cols>
    <col min="2" max="2" width="35.44140625" bestFit="1" customWidth="1"/>
    <col min="3" max="3" width="35.44140625" customWidth="1"/>
  </cols>
  <sheetData>
    <row r="6" spans="2:24">
      <c r="B6" s="475" t="s">
        <v>1704</v>
      </c>
      <c r="C6" s="475" t="s">
        <v>1705</v>
      </c>
      <c r="D6" s="476" t="s">
        <v>72</v>
      </c>
      <c r="E6" s="476" t="s">
        <v>73</v>
      </c>
      <c r="F6" s="476" t="s">
        <v>74</v>
      </c>
      <c r="G6" s="476" t="s">
        <v>75</v>
      </c>
      <c r="H6" s="476" t="s">
        <v>76</v>
      </c>
      <c r="I6" s="476" t="s">
        <v>77</v>
      </c>
      <c r="J6" s="476" t="s">
        <v>78</v>
      </c>
      <c r="K6" s="476" t="s">
        <v>79</v>
      </c>
      <c r="L6" s="476" t="s">
        <v>80</v>
      </c>
      <c r="M6" s="476" t="s">
        <v>81</v>
      </c>
      <c r="N6" s="476" t="s">
        <v>82</v>
      </c>
      <c r="O6" s="476" t="s">
        <v>83</v>
      </c>
      <c r="P6" s="476" t="s">
        <v>84</v>
      </c>
      <c r="Q6" s="476" t="s">
        <v>85</v>
      </c>
      <c r="R6" s="476" t="s">
        <v>86</v>
      </c>
      <c r="S6" s="476" t="s">
        <v>87</v>
      </c>
      <c r="T6" s="476" t="s">
        <v>88</v>
      </c>
      <c r="U6" s="476" t="s">
        <v>2074</v>
      </c>
      <c r="V6" s="476" t="s">
        <v>2127</v>
      </c>
      <c r="W6" s="476" t="s">
        <v>2360</v>
      </c>
      <c r="X6" s="476" t="s">
        <v>2494</v>
      </c>
    </row>
    <row r="7" spans="2:24">
      <c r="B7" s="268" t="s">
        <v>1706</v>
      </c>
      <c r="C7" s="268" t="s">
        <v>1707</v>
      </c>
      <c r="D7" s="269">
        <f>SUM(D8:D10)</f>
        <v>116</v>
      </c>
      <c r="E7" s="269">
        <f>SUM(E8:E10)</f>
        <v>171.09631800000002</v>
      </c>
      <c r="F7" s="269">
        <f>SUM(F8:F10)</f>
        <v>118.44234999999999</v>
      </c>
      <c r="G7" s="269">
        <f t="shared" ref="G7:N7" si="0">SUM(G8:G10)</f>
        <v>137.18355668070998</v>
      </c>
      <c r="H7" s="269">
        <f t="shared" si="0"/>
        <v>149</v>
      </c>
      <c r="I7" s="269">
        <f t="shared" si="0"/>
        <v>179.2840946329656</v>
      </c>
      <c r="J7" s="269">
        <f t="shared" si="0"/>
        <v>182.71589629970651</v>
      </c>
      <c r="K7" s="269">
        <f t="shared" si="0"/>
        <v>154.0442487990384</v>
      </c>
      <c r="L7" s="269">
        <f t="shared" si="0"/>
        <v>141.02699999999999</v>
      </c>
      <c r="M7" s="269">
        <f t="shared" si="0"/>
        <v>139.82633347779063</v>
      </c>
      <c r="N7" s="269">
        <f t="shared" si="0"/>
        <v>156.96212643669685</v>
      </c>
      <c r="O7" s="269">
        <f t="shared" ref="O7:T7" si="1">SUM(O8:O10)</f>
        <v>142.18725952858824</v>
      </c>
      <c r="P7" s="269">
        <f t="shared" si="1"/>
        <v>152.88011980087711</v>
      </c>
      <c r="Q7" s="269">
        <f t="shared" si="1"/>
        <v>175.3189948399143</v>
      </c>
      <c r="R7" s="269">
        <f t="shared" si="1"/>
        <v>184.96475904672175</v>
      </c>
      <c r="S7" s="269">
        <f t="shared" si="1"/>
        <v>167.74150976305475</v>
      </c>
      <c r="T7" s="269">
        <f t="shared" si="1"/>
        <v>171.20892949792122</v>
      </c>
      <c r="U7" s="269">
        <f t="shared" ref="U7:X7" si="2">SUM(U8:U10)</f>
        <v>174.51833829963047</v>
      </c>
      <c r="V7" s="269">
        <f t="shared" si="2"/>
        <v>195.90588565085787</v>
      </c>
      <c r="W7" s="269">
        <f t="shared" si="2"/>
        <v>145.8378222444455</v>
      </c>
      <c r="X7" s="269">
        <f t="shared" si="2"/>
        <v>171.71664837778874</v>
      </c>
    </row>
    <row r="8" spans="2:24">
      <c r="B8" t="s">
        <v>887</v>
      </c>
      <c r="C8" t="s">
        <v>1010</v>
      </c>
      <c r="D8" s="259">
        <v>91</v>
      </c>
      <c r="E8" s="259">
        <v>161.18139300000001</v>
      </c>
      <c r="F8" s="259">
        <v>107.139</v>
      </c>
      <c r="G8" s="259">
        <v>122.86864058999998</v>
      </c>
      <c r="H8" s="259">
        <v>134</v>
      </c>
      <c r="I8" s="259">
        <v>161.89907345999995</v>
      </c>
      <c r="J8" s="259">
        <v>164.30841430999999</v>
      </c>
      <c r="K8" s="259">
        <v>132.60014687</v>
      </c>
      <c r="L8" s="259">
        <v>120.499</v>
      </c>
      <c r="M8" s="259">
        <v>120.89267380000003</v>
      </c>
      <c r="N8" s="259">
        <v>135.37315559999999</v>
      </c>
      <c r="O8" s="259">
        <v>119.76061271999998</v>
      </c>
      <c r="P8" s="259">
        <v>130.06684082000004</v>
      </c>
      <c r="Q8" s="259">
        <v>150.34826534999999</v>
      </c>
      <c r="R8" s="259">
        <v>158.75279791259118</v>
      </c>
      <c r="S8" s="259">
        <v>138.82265471893317</v>
      </c>
      <c r="T8" s="259">
        <v>141.55185294</v>
      </c>
      <c r="U8" s="259">
        <v>143.90214170407455</v>
      </c>
      <c r="V8" s="259">
        <v>165.05406690999999</v>
      </c>
      <c r="W8" s="259">
        <v>112.63500067</v>
      </c>
      <c r="X8" s="259">
        <v>137.61551574936271</v>
      </c>
    </row>
    <row r="9" spans="2:24">
      <c r="B9" t="s">
        <v>1708</v>
      </c>
      <c r="C9" t="s">
        <v>1709</v>
      </c>
      <c r="D9" s="259">
        <v>17</v>
      </c>
      <c r="E9" s="259">
        <v>0</v>
      </c>
      <c r="F9" s="259">
        <v>0</v>
      </c>
      <c r="G9" s="259">
        <v>3.5429834907100028</v>
      </c>
      <c r="H9" s="259">
        <v>4</v>
      </c>
      <c r="I9" s="259">
        <v>4.1128612429656695</v>
      </c>
      <c r="J9" s="259">
        <v>4.1947274097065197</v>
      </c>
      <c r="K9" s="259">
        <v>9.0190347090384098</v>
      </c>
      <c r="L9" s="259">
        <v>9.1349999999999998</v>
      </c>
      <c r="M9" s="259">
        <v>9.2761790677905989</v>
      </c>
      <c r="N9" s="259">
        <v>9.8899775266968568</v>
      </c>
      <c r="O9" s="259">
        <v>11.955254698588249</v>
      </c>
      <c r="P9" s="259">
        <v>12.484284540877077</v>
      </c>
      <c r="Q9" s="259">
        <v>13.654759199914297</v>
      </c>
      <c r="R9" s="259">
        <v>14.148169734130569</v>
      </c>
      <c r="S9" s="259">
        <v>17.421590334121579</v>
      </c>
      <c r="T9" s="259">
        <v>18.782630367921243</v>
      </c>
      <c r="U9" s="259">
        <v>19.083740805355923</v>
      </c>
      <c r="V9" s="259">
        <v>19.158735220857899</v>
      </c>
      <c r="W9" s="259">
        <v>23.241224114445501</v>
      </c>
      <c r="X9" s="259">
        <v>23.25496151842604</v>
      </c>
    </row>
    <row r="10" spans="2:24">
      <c r="B10" t="s">
        <v>1710</v>
      </c>
      <c r="C10" t="s">
        <v>1710</v>
      </c>
      <c r="D10" s="259">
        <v>8</v>
      </c>
      <c r="E10" s="259">
        <v>9.9149250000000002</v>
      </c>
      <c r="F10" s="259">
        <v>11.30335</v>
      </c>
      <c r="G10" s="259">
        <v>10.7719326</v>
      </c>
      <c r="H10" s="259">
        <v>11</v>
      </c>
      <c r="I10" s="259">
        <v>13.272159930000001</v>
      </c>
      <c r="J10" s="259">
        <v>14.21275458</v>
      </c>
      <c r="K10" s="259">
        <v>12.425067220000001</v>
      </c>
      <c r="L10" s="259">
        <v>11.393000000000001</v>
      </c>
      <c r="M10" s="259">
        <v>9.6574806100000004</v>
      </c>
      <c r="N10" s="259">
        <v>11.698993310000001</v>
      </c>
      <c r="O10" s="259">
        <v>10.47139211</v>
      </c>
      <c r="P10" s="259">
        <v>10.328994440000001</v>
      </c>
      <c r="Q10" s="259">
        <v>11.315970290000001</v>
      </c>
      <c r="R10" s="259">
        <v>12.063791400000003</v>
      </c>
      <c r="S10" s="259">
        <v>11.49726471</v>
      </c>
      <c r="T10" s="259">
        <v>10.874446189999999</v>
      </c>
      <c r="U10" s="259">
        <v>11.532455790200002</v>
      </c>
      <c r="V10" s="259">
        <v>11.69308352</v>
      </c>
      <c r="W10" s="259">
        <v>9.9615974600000001</v>
      </c>
      <c r="X10" s="259">
        <v>10.846171110000002</v>
      </c>
    </row>
    <row r="11" spans="2:24">
      <c r="B11" s="268" t="s">
        <v>1711</v>
      </c>
      <c r="C11" s="268" t="s">
        <v>1712</v>
      </c>
      <c r="D11" s="269">
        <f>SUM(D12:D14)</f>
        <v>-120</v>
      </c>
      <c r="E11" s="269">
        <f>SUM(E12:E14)</f>
        <v>-136.52841800000002</v>
      </c>
      <c r="F11" s="269">
        <f>SUM(F12:F14)</f>
        <v>-147.02361999999999</v>
      </c>
      <c r="G11" s="269">
        <f t="shared" ref="G11:N11" si="3">SUM(G12:G14)</f>
        <v>-140.55779218999999</v>
      </c>
      <c r="H11" s="269">
        <f t="shared" si="3"/>
        <v>-154.6</v>
      </c>
      <c r="I11" s="269">
        <f t="shared" si="3"/>
        <v>-185.33302894265879</v>
      </c>
      <c r="J11" s="269">
        <f t="shared" si="3"/>
        <v>-189.08904242919007</v>
      </c>
      <c r="K11" s="269">
        <f t="shared" si="3"/>
        <v>-158.41157827000001</v>
      </c>
      <c r="L11" s="269">
        <f t="shared" si="3"/>
        <v>-142.35957270999998</v>
      </c>
      <c r="M11" s="269">
        <f t="shared" si="3"/>
        <v>-136.65751108000001</v>
      </c>
      <c r="N11" s="269">
        <f t="shared" si="3"/>
        <v>-166.54484868</v>
      </c>
      <c r="O11" s="269">
        <f t="shared" ref="O11:T11" si="4">SUM(O12:O14)</f>
        <v>-142.91502574</v>
      </c>
      <c r="P11" s="269">
        <f t="shared" si="4"/>
        <v>-154.87077549</v>
      </c>
      <c r="Q11" s="269">
        <f t="shared" si="4"/>
        <v>-176.88008224999999</v>
      </c>
      <c r="R11" s="269">
        <f t="shared" si="4"/>
        <v>-185.48403907259117</v>
      </c>
      <c r="S11" s="269">
        <f t="shared" si="4"/>
        <v>-168.75503629369229</v>
      </c>
      <c r="T11" s="269">
        <f t="shared" si="4"/>
        <v>-174.1809364899689</v>
      </c>
      <c r="U11" s="269">
        <f t="shared" ref="U11:W11" si="5">SUM(U12:U14)</f>
        <v>-173.73453689654602</v>
      </c>
      <c r="V11" s="269">
        <f t="shared" si="5"/>
        <v>-181.71342483000001</v>
      </c>
      <c r="W11" s="269">
        <f t="shared" si="5"/>
        <v>-148.46890888999999</v>
      </c>
      <c r="X11" s="269">
        <f>SUM(X12:X14)</f>
        <v>-175.43182660270128</v>
      </c>
    </row>
    <row r="12" spans="2:24">
      <c r="B12" t="s">
        <v>878</v>
      </c>
      <c r="C12" t="s">
        <v>1713</v>
      </c>
      <c r="D12" s="259">
        <v>-3</v>
      </c>
      <c r="E12" s="259">
        <v>-3.2145830000000002</v>
      </c>
      <c r="F12" s="259">
        <v>-3.7629999999999999</v>
      </c>
      <c r="G12" s="259">
        <v>-3.7083759999999999</v>
      </c>
      <c r="H12" s="259">
        <v>-5.6</v>
      </c>
      <c r="I12" s="259">
        <v>-6.6107651600000006</v>
      </c>
      <c r="J12" s="259">
        <v>-11.822062519999999</v>
      </c>
      <c r="K12" s="259">
        <v>-7.6319781500000001</v>
      </c>
      <c r="L12" s="259">
        <v>-10.192</v>
      </c>
      <c r="M12" s="259">
        <v>-15.160774719999997</v>
      </c>
      <c r="N12" s="259">
        <v>-16.219857149999999</v>
      </c>
      <c r="O12" s="259">
        <v>-18.963729929999992</v>
      </c>
      <c r="P12" s="259">
        <v>-18.289287210000001</v>
      </c>
      <c r="Q12" s="259">
        <v>-26.102834229999999</v>
      </c>
      <c r="R12" s="259">
        <v>-26.18687766</v>
      </c>
      <c r="S12" s="259">
        <v>-29.276118030000003</v>
      </c>
      <c r="T12" s="259">
        <v>-28.79393769</v>
      </c>
      <c r="U12" s="259">
        <v>-23.022470009999996</v>
      </c>
      <c r="V12" s="259">
        <v>-29.34356013</v>
      </c>
      <c r="W12" s="259">
        <v>-25.753486929999998</v>
      </c>
      <c r="X12" s="259">
        <v>-34.031517559999998</v>
      </c>
    </row>
    <row r="13" spans="2:24">
      <c r="B13" t="s">
        <v>95</v>
      </c>
      <c r="C13" t="s">
        <v>96</v>
      </c>
      <c r="D13" s="259"/>
      <c r="E13" s="259"/>
      <c r="F13" s="259">
        <v>0</v>
      </c>
      <c r="G13" s="259"/>
      <c r="H13" s="259"/>
      <c r="I13" s="259"/>
      <c r="J13" s="259">
        <v>0</v>
      </c>
      <c r="K13" s="259"/>
      <c r="L13" s="259"/>
      <c r="M13" s="259"/>
      <c r="N13" s="259">
        <v>0</v>
      </c>
      <c r="O13" s="259">
        <v>0</v>
      </c>
      <c r="P13" s="259"/>
      <c r="Q13" s="259">
        <v>0</v>
      </c>
      <c r="R13" s="259">
        <v>0</v>
      </c>
      <c r="S13" s="259">
        <v>0</v>
      </c>
      <c r="T13" s="259">
        <v>0</v>
      </c>
      <c r="U13" s="259">
        <v>0</v>
      </c>
      <c r="V13" s="259">
        <v>0</v>
      </c>
      <c r="W13" s="259">
        <v>0</v>
      </c>
      <c r="X13" s="259">
        <v>0</v>
      </c>
    </row>
    <row r="14" spans="2:24">
      <c r="B14" t="s">
        <v>885</v>
      </c>
      <c r="C14" t="s">
        <v>1714</v>
      </c>
      <c r="D14" s="259">
        <v>-117</v>
      </c>
      <c r="E14" s="259">
        <v>-133.31383500000001</v>
      </c>
      <c r="F14" s="259">
        <v>-143.26061999999999</v>
      </c>
      <c r="G14" s="259">
        <v>-136.84941619</v>
      </c>
      <c r="H14" s="259">
        <v>-149</v>
      </c>
      <c r="I14" s="259">
        <v>-178.72226378265879</v>
      </c>
      <c r="J14" s="259">
        <v>-177.26697990919007</v>
      </c>
      <c r="K14" s="259">
        <v>-150.77960012</v>
      </c>
      <c r="L14" s="259">
        <v>-132.16757270999997</v>
      </c>
      <c r="M14" s="259">
        <v>-121.49673636000001</v>
      </c>
      <c r="N14" s="259">
        <v>-150.32499153000001</v>
      </c>
      <c r="O14" s="259">
        <v>-123.95129581</v>
      </c>
      <c r="P14" s="259">
        <v>-136.58148828</v>
      </c>
      <c r="Q14" s="259">
        <v>-150.77724802</v>
      </c>
      <c r="R14" s="259">
        <v>-159.29716141259118</v>
      </c>
      <c r="S14" s="259">
        <v>-139.47891826369229</v>
      </c>
      <c r="T14" s="259">
        <v>-145.38699879996889</v>
      </c>
      <c r="U14" s="259">
        <v>-150.71206688654601</v>
      </c>
      <c r="V14" s="259">
        <v>-152.36986469999999</v>
      </c>
      <c r="W14" s="259">
        <v>-122.71542196</v>
      </c>
      <c r="X14" s="259">
        <v>-141.40030904270128</v>
      </c>
    </row>
    <row r="15" spans="2:24" s="103" customFormat="1">
      <c r="B15" s="268" t="s">
        <v>1715</v>
      </c>
      <c r="C15" s="268" t="s">
        <v>1716</v>
      </c>
      <c r="D15" s="269">
        <f>D7+D11</f>
        <v>-4</v>
      </c>
      <c r="E15" s="269">
        <f>E7+E11</f>
        <v>34.567900000000009</v>
      </c>
      <c r="F15" s="269">
        <f>F7+F11</f>
        <v>-28.581270000000004</v>
      </c>
      <c r="G15" s="269">
        <f t="shared" ref="G15:N15" si="6">G7+G11</f>
        <v>-3.3742355092900027</v>
      </c>
      <c r="H15" s="269">
        <f t="shared" si="6"/>
        <v>-5.5999999999999943</v>
      </c>
      <c r="I15" s="269">
        <f t="shared" si="6"/>
        <v>-6.0489343096931805</v>
      </c>
      <c r="J15" s="269">
        <f t="shared" si="6"/>
        <v>-6.3731461294835583</v>
      </c>
      <c r="K15" s="269">
        <f t="shared" si="6"/>
        <v>-4.3673294709616073</v>
      </c>
      <c r="L15" s="269">
        <f t="shared" si="6"/>
        <v>-1.3325727099999938</v>
      </c>
      <c r="M15" s="269">
        <f t="shared" si="6"/>
        <v>3.1688223977906205</v>
      </c>
      <c r="N15" s="269">
        <f t="shared" si="6"/>
        <v>-9.5827222433031523</v>
      </c>
      <c r="O15" s="269">
        <f t="shared" ref="O15:T15" si="7">O7+O11</f>
        <v>-0.72776621141176179</v>
      </c>
      <c r="P15" s="269">
        <f t="shared" si="7"/>
        <v>-1.9906556891228888</v>
      </c>
      <c r="Q15" s="269">
        <f t="shared" si="7"/>
        <v>-1.5610874100856904</v>
      </c>
      <c r="R15" s="269">
        <f t="shared" si="7"/>
        <v>-0.51928002586942057</v>
      </c>
      <c r="S15" s="269">
        <f t="shared" si="7"/>
        <v>-1.0135265306375345</v>
      </c>
      <c r="T15" s="269">
        <f t="shared" si="7"/>
        <v>-2.9720069920476817</v>
      </c>
      <c r="U15" s="269">
        <f t="shared" ref="U15:X15" si="8">U7+U11</f>
        <v>0.78380140308445334</v>
      </c>
      <c r="V15" s="269">
        <f t="shared" si="8"/>
        <v>14.19246082085786</v>
      </c>
      <c r="W15" s="269">
        <f t="shared" si="8"/>
        <v>-2.6310866455544897</v>
      </c>
      <c r="X15" s="269">
        <f t="shared" si="8"/>
        <v>-3.7151782249125347</v>
      </c>
    </row>
    <row r="16" spans="2:24">
      <c r="B16" t="s">
        <v>1717</v>
      </c>
      <c r="C16" t="s">
        <v>1718</v>
      </c>
      <c r="D16" s="259">
        <v>68000</v>
      </c>
      <c r="E16" s="259">
        <v>66000</v>
      </c>
      <c r="F16" s="259">
        <v>74603.02</v>
      </c>
      <c r="G16" s="259">
        <v>64628.618995060475</v>
      </c>
      <c r="H16" s="259">
        <v>66000</v>
      </c>
      <c r="I16" s="259">
        <v>75049.473430999991</v>
      </c>
      <c r="J16" s="259">
        <v>76543.327063000004</v>
      </c>
      <c r="K16" s="259">
        <v>64658.140549999996</v>
      </c>
      <c r="L16" s="259">
        <v>65489.000000000007</v>
      </c>
      <c r="M16" s="259">
        <v>65396.097866129014</v>
      </c>
      <c r="N16" s="259">
        <v>70711.185565096763</v>
      </c>
      <c r="O16" s="259">
        <v>66378.254706000007</v>
      </c>
      <c r="P16" s="259">
        <v>69315.547009999995</v>
      </c>
      <c r="Q16" s="259">
        <v>75814.28476200001</v>
      </c>
      <c r="R16" s="259">
        <v>78553.810680983457</v>
      </c>
      <c r="S16" s="259">
        <v>69768.96779435483</v>
      </c>
      <c r="T16" s="259">
        <v>75219.581456129032</v>
      </c>
      <c r="U16" s="259">
        <v>76425.450955354827</v>
      </c>
      <c r="V16" s="259">
        <v>76425.450955354827</v>
      </c>
      <c r="W16" s="259">
        <v>67816.007864999992</v>
      </c>
      <c r="X16" s="259">
        <v>67668.030508512878</v>
      </c>
    </row>
    <row r="19" spans="2:24">
      <c r="B19" s="475" t="s">
        <v>1719</v>
      </c>
      <c r="C19" s="475" t="s">
        <v>1720</v>
      </c>
      <c r="D19" s="477" t="s">
        <v>72</v>
      </c>
      <c r="E19" s="477" t="s">
        <v>73</v>
      </c>
      <c r="F19" s="477" t="s">
        <v>74</v>
      </c>
      <c r="G19" s="477" t="s">
        <v>75</v>
      </c>
      <c r="H19" s="477" t="s">
        <v>76</v>
      </c>
      <c r="I19" s="477" t="s">
        <v>77</v>
      </c>
      <c r="J19" s="477" t="s">
        <v>78</v>
      </c>
      <c r="K19" s="477" t="s">
        <v>79</v>
      </c>
      <c r="L19" s="477" t="s">
        <v>80</v>
      </c>
      <c r="M19" s="477" t="s">
        <v>81</v>
      </c>
      <c r="N19" s="476" t="s">
        <v>82</v>
      </c>
      <c r="O19" s="476" t="s">
        <v>83</v>
      </c>
      <c r="P19" s="476" t="s">
        <v>84</v>
      </c>
      <c r="Q19" s="476" t="s">
        <v>85</v>
      </c>
      <c r="R19" s="476" t="s">
        <v>86</v>
      </c>
      <c r="S19" s="476" t="s">
        <v>87</v>
      </c>
      <c r="T19" s="476" t="s">
        <v>88</v>
      </c>
      <c r="U19" s="476" t="str">
        <f>+U6</f>
        <v>3T25</v>
      </c>
      <c r="V19" s="476" t="str">
        <f>+V6</f>
        <v>4T25</v>
      </c>
      <c r="W19" s="476" t="str">
        <f>+W6</f>
        <v>1T26</v>
      </c>
      <c r="X19" s="476" t="str">
        <f>+X6</f>
        <v>2T26</v>
      </c>
    </row>
    <row r="20" spans="2:24">
      <c r="B20" s="268" t="s">
        <v>1706</v>
      </c>
      <c r="C20" s="268" t="s">
        <v>1707</v>
      </c>
      <c r="D20" s="269">
        <f t="shared" ref="D20:N20" si="9">SUM(D21:D23)</f>
        <v>0</v>
      </c>
      <c r="E20" s="269">
        <f t="shared" si="9"/>
        <v>0</v>
      </c>
      <c r="F20" s="269">
        <f t="shared" si="9"/>
        <v>0</v>
      </c>
      <c r="G20" s="269">
        <f t="shared" si="9"/>
        <v>0</v>
      </c>
      <c r="H20" s="269">
        <f t="shared" si="9"/>
        <v>0</v>
      </c>
      <c r="I20" s="269">
        <f t="shared" si="9"/>
        <v>36.942960917720001</v>
      </c>
      <c r="J20" s="269">
        <f t="shared" si="9"/>
        <v>33.940384129999998</v>
      </c>
      <c r="K20" s="269">
        <f t="shared" si="9"/>
        <v>28.707799560000002</v>
      </c>
      <c r="L20" s="269">
        <f t="shared" si="9"/>
        <v>0</v>
      </c>
      <c r="M20" s="269">
        <f t="shared" si="9"/>
        <v>30.216106889999999</v>
      </c>
      <c r="N20" s="269">
        <f t="shared" si="9"/>
        <v>35.159749210000001</v>
      </c>
      <c r="O20" s="269">
        <f t="shared" ref="O20:T20" si="10">SUM(O21:O23)</f>
        <v>31.624000829999996</v>
      </c>
      <c r="P20" s="269">
        <f t="shared" si="10"/>
        <v>38.218590069999998</v>
      </c>
      <c r="Q20" s="269">
        <f t="shared" si="10"/>
        <v>40.056693222357779</v>
      </c>
      <c r="R20" s="269">
        <f t="shared" si="10"/>
        <v>46.557247279999999</v>
      </c>
      <c r="S20" s="269">
        <f t="shared" si="10"/>
        <v>34.990772720000002</v>
      </c>
      <c r="T20" s="269">
        <f t="shared" si="10"/>
        <v>34.819978579999997</v>
      </c>
      <c r="U20" s="269">
        <f t="shared" ref="U20" si="11">SUM(U21:U23)</f>
        <v>44.703446839999998</v>
      </c>
      <c r="V20" s="269">
        <f t="shared" ref="V20:X20" si="12">SUM(V21:V23)</f>
        <v>46.023348279880004</v>
      </c>
      <c r="W20" s="269">
        <f t="shared" si="12"/>
        <v>35.366876259999998</v>
      </c>
      <c r="X20" s="269">
        <f t="shared" si="12"/>
        <v>53.013061839999985</v>
      </c>
    </row>
    <row r="21" spans="2:24">
      <c r="B21" t="s">
        <v>887</v>
      </c>
      <c r="C21" t="s">
        <v>1010</v>
      </c>
      <c r="D21" s="259"/>
      <c r="E21" s="259"/>
      <c r="F21" s="259"/>
      <c r="G21" s="259"/>
      <c r="H21" s="259"/>
      <c r="I21" s="259">
        <v>36.22675358</v>
      </c>
      <c r="J21" s="259">
        <v>33.217447659999998</v>
      </c>
      <c r="K21" s="259">
        <v>27.149731150000001</v>
      </c>
      <c r="L21" s="259"/>
      <c r="M21" s="259">
        <v>28.271729260000001</v>
      </c>
      <c r="N21" s="259">
        <v>33.151968700000005</v>
      </c>
      <c r="O21" s="259">
        <v>29.343396339999998</v>
      </c>
      <c r="P21" s="259">
        <v>35.79410369</v>
      </c>
      <c r="Q21" s="259">
        <v>37.364276842357782</v>
      </c>
      <c r="R21" s="259">
        <v>35.973456200000001</v>
      </c>
      <c r="S21" s="259">
        <v>32.094314920000002</v>
      </c>
      <c r="T21" s="259">
        <v>31.375428089999996</v>
      </c>
      <c r="U21" s="259">
        <v>40.59494754</v>
      </c>
      <c r="V21" s="259">
        <v>41.563477740000003</v>
      </c>
      <c r="W21" s="259">
        <v>30.688474190000001</v>
      </c>
      <c r="X21" s="259">
        <v>46.824025889999987</v>
      </c>
    </row>
    <row r="22" spans="2:24">
      <c r="B22" t="s">
        <v>1708</v>
      </c>
      <c r="C22" t="s">
        <v>1709</v>
      </c>
      <c r="D22" s="259"/>
      <c r="E22" s="259"/>
      <c r="F22" s="259"/>
      <c r="G22" s="259"/>
      <c r="H22" s="259"/>
      <c r="I22" s="259">
        <v>0.71620733772</v>
      </c>
      <c r="J22" s="259">
        <v>0.72293647000000005</v>
      </c>
      <c r="K22" s="259">
        <v>1.55806841</v>
      </c>
      <c r="L22" s="259"/>
      <c r="M22" s="259">
        <v>1.94437763</v>
      </c>
      <c r="N22" s="259">
        <v>2.0077805099999999</v>
      </c>
      <c r="O22" s="259">
        <v>2.2806044899999995</v>
      </c>
      <c r="P22" s="259">
        <v>2.4244863799999998</v>
      </c>
      <c r="Q22" s="259">
        <v>2.6924163799999996</v>
      </c>
      <c r="R22" s="259">
        <v>2.7086910400000002</v>
      </c>
      <c r="S22" s="259">
        <v>3.1088775099999997</v>
      </c>
      <c r="T22" s="259">
        <v>3.2905115700000001</v>
      </c>
      <c r="U22" s="259">
        <v>3.8519823400000002</v>
      </c>
      <c r="V22" s="259">
        <v>4.1628188698800006</v>
      </c>
      <c r="W22" s="259">
        <v>4.3604080100000004</v>
      </c>
      <c r="X22" s="259">
        <v>5.49601191</v>
      </c>
    </row>
    <row r="23" spans="2:24">
      <c r="B23" t="s">
        <v>1710</v>
      </c>
      <c r="C23" t="s">
        <v>1710</v>
      </c>
      <c r="D23" s="259"/>
      <c r="E23" s="259"/>
      <c r="F23" s="259"/>
      <c r="G23" s="259"/>
      <c r="H23" s="259"/>
      <c r="I23" s="259"/>
      <c r="J23" s="259">
        <v>0</v>
      </c>
      <c r="K23" s="259">
        <v>0</v>
      </c>
      <c r="L23" s="259"/>
      <c r="M23" s="259"/>
      <c r="N23" s="259">
        <v>0</v>
      </c>
      <c r="O23" s="259">
        <v>0</v>
      </c>
      <c r="P23" s="259">
        <v>0</v>
      </c>
      <c r="Q23" s="259">
        <v>0</v>
      </c>
      <c r="R23" s="259">
        <v>7.8751000400000004</v>
      </c>
      <c r="S23" s="259">
        <v>-0.21241971000000001</v>
      </c>
      <c r="T23" s="259">
        <v>0.15403892</v>
      </c>
      <c r="U23" s="259">
        <v>0.25651695999999996</v>
      </c>
      <c r="V23" s="259">
        <v>0.29705166999999999</v>
      </c>
      <c r="W23" s="259">
        <v>0.31799405999999997</v>
      </c>
      <c r="X23" s="259">
        <v>0.69302404000000029</v>
      </c>
    </row>
    <row r="24" spans="2:24">
      <c r="B24" s="268" t="s">
        <v>1711</v>
      </c>
      <c r="C24" s="268" t="s">
        <v>1712</v>
      </c>
      <c r="D24" s="269">
        <f t="shared" ref="D24:N24" si="13">SUM(D25:D27)</f>
        <v>0</v>
      </c>
      <c r="E24" s="269">
        <f t="shared" si="13"/>
        <v>0</v>
      </c>
      <c r="F24" s="269">
        <f t="shared" si="13"/>
        <v>0</v>
      </c>
      <c r="G24" s="269">
        <f t="shared" si="13"/>
        <v>0</v>
      </c>
      <c r="H24" s="269">
        <f t="shared" si="13"/>
        <v>0</v>
      </c>
      <c r="I24" s="269">
        <f t="shared" si="13"/>
        <v>-36.942960929999998</v>
      </c>
      <c r="J24" s="269">
        <f t="shared" si="13"/>
        <v>-33.940384129999998</v>
      </c>
      <c r="K24" s="269">
        <f t="shared" si="13"/>
        <v>-29.958086439999999</v>
      </c>
      <c r="L24" s="269">
        <f t="shared" si="13"/>
        <v>0</v>
      </c>
      <c r="M24" s="269">
        <f t="shared" si="13"/>
        <v>-31.592554</v>
      </c>
      <c r="N24" s="269">
        <f t="shared" si="13"/>
        <v>-36.747989189999998</v>
      </c>
      <c r="O24" s="269">
        <f t="shared" ref="O24:T24" si="14">SUM(O25:O27)</f>
        <v>-31.609330890000003</v>
      </c>
      <c r="P24" s="269">
        <f t="shared" si="14"/>
        <v>-38.218590080000006</v>
      </c>
      <c r="Q24" s="269">
        <f t="shared" si="14"/>
        <v>-40.193424300000004</v>
      </c>
      <c r="R24" s="269">
        <f t="shared" si="14"/>
        <v>-45.815320369999995</v>
      </c>
      <c r="S24" s="269">
        <f t="shared" si="14"/>
        <v>-35.117939630000002</v>
      </c>
      <c r="T24" s="269">
        <f t="shared" si="14"/>
        <v>-34.823365900000006</v>
      </c>
      <c r="U24" s="269">
        <f t="shared" ref="U24" si="15">SUM(U25:U27)</f>
        <v>-40.738601770000002</v>
      </c>
      <c r="V24" s="269">
        <f t="shared" ref="V24:X24" si="16">SUM(V25:V27)</f>
        <v>-50.121132459999998</v>
      </c>
      <c r="W24" s="269">
        <f t="shared" si="16"/>
        <v>-35.36533257</v>
      </c>
      <c r="X24" s="269">
        <f t="shared" si="16"/>
        <v>-52.214031890000001</v>
      </c>
    </row>
    <row r="25" spans="2:24">
      <c r="B25" t="s">
        <v>878</v>
      </c>
      <c r="C25" t="s">
        <v>1713</v>
      </c>
      <c r="D25" s="259"/>
      <c r="E25" s="259"/>
      <c r="F25" s="259"/>
      <c r="G25" s="259"/>
      <c r="H25" s="259"/>
      <c r="I25" s="259"/>
      <c r="J25" s="259">
        <v>0</v>
      </c>
      <c r="K25" s="259">
        <v>0</v>
      </c>
      <c r="L25" s="259"/>
      <c r="M25" s="259"/>
      <c r="N25" s="259">
        <v>0</v>
      </c>
      <c r="O25" s="259">
        <v>0</v>
      </c>
      <c r="P25" s="259">
        <v>-4.7524661000000004</v>
      </c>
      <c r="Q25" s="259">
        <v>-3.1854890299999998</v>
      </c>
      <c r="R25" s="259">
        <v>0</v>
      </c>
      <c r="S25" s="259">
        <v>0</v>
      </c>
      <c r="T25" s="259">
        <v>0</v>
      </c>
      <c r="U25" s="259">
        <v>-2.8488762000000003</v>
      </c>
      <c r="V25" s="259">
        <v>-8.6732453199999995</v>
      </c>
      <c r="W25" s="259">
        <v>0</v>
      </c>
      <c r="X25" s="259">
        <v>-8.3408764300000016</v>
      </c>
    </row>
    <row r="26" spans="2:24">
      <c r="B26" t="s">
        <v>95</v>
      </c>
      <c r="C26" t="s">
        <v>96</v>
      </c>
      <c r="D26" s="259"/>
      <c r="E26" s="259"/>
      <c r="F26" s="259"/>
      <c r="G26" s="259"/>
      <c r="H26" s="259"/>
      <c r="I26" s="259"/>
      <c r="J26" s="259">
        <v>0</v>
      </c>
      <c r="K26" s="259">
        <v>0</v>
      </c>
      <c r="L26" s="259"/>
      <c r="M26" s="259"/>
      <c r="N26" s="259">
        <v>0</v>
      </c>
      <c r="O26" s="259">
        <v>0</v>
      </c>
      <c r="P26" s="259">
        <v>0</v>
      </c>
      <c r="Q26" s="259">
        <v>0</v>
      </c>
      <c r="R26" s="259">
        <v>0</v>
      </c>
      <c r="S26" s="259">
        <v>0</v>
      </c>
      <c r="T26" s="259">
        <v>0</v>
      </c>
      <c r="U26" s="259">
        <v>0</v>
      </c>
      <c r="V26" s="259">
        <v>0</v>
      </c>
      <c r="W26" s="259">
        <v>0</v>
      </c>
      <c r="X26" s="259">
        <v>0</v>
      </c>
    </row>
    <row r="27" spans="2:24">
      <c r="B27" t="s">
        <v>885</v>
      </c>
      <c r="C27" t="s">
        <v>1714</v>
      </c>
      <c r="D27" s="259"/>
      <c r="E27" s="259"/>
      <c r="F27" s="259"/>
      <c r="G27" s="259"/>
      <c r="H27" s="259"/>
      <c r="I27" s="259">
        <v>-36.942960929999998</v>
      </c>
      <c r="J27" s="259">
        <v>-33.940384129999998</v>
      </c>
      <c r="K27" s="259">
        <v>-29.958086439999999</v>
      </c>
      <c r="L27" s="259"/>
      <c r="M27" s="259">
        <v>-31.592554</v>
      </c>
      <c r="N27" s="259">
        <v>-36.747989189999998</v>
      </c>
      <c r="O27" s="259">
        <v>-31.609330890000003</v>
      </c>
      <c r="P27" s="259">
        <v>-33.466123980000006</v>
      </c>
      <c r="Q27" s="259">
        <v>-37.007935270000004</v>
      </c>
      <c r="R27" s="259">
        <v>-45.815320369999995</v>
      </c>
      <c r="S27" s="259">
        <v>-35.117939630000002</v>
      </c>
      <c r="T27" s="259">
        <v>-34.823365900000006</v>
      </c>
      <c r="U27" s="259">
        <v>-37.889725570000003</v>
      </c>
      <c r="V27" s="259">
        <v>-41.447887139999999</v>
      </c>
      <c r="W27" s="259">
        <v>-35.36533257</v>
      </c>
      <c r="X27" s="259">
        <v>-43.87315546</v>
      </c>
    </row>
    <row r="28" spans="2:24" s="103" customFormat="1">
      <c r="B28" s="268" t="s">
        <v>1715</v>
      </c>
      <c r="C28" s="268" t="s">
        <v>1716</v>
      </c>
      <c r="D28" s="269">
        <f t="shared" ref="D28:N28" si="17">D20+D24</f>
        <v>0</v>
      </c>
      <c r="E28" s="269">
        <f t="shared" si="17"/>
        <v>0</v>
      </c>
      <c r="F28" s="269">
        <f t="shared" si="17"/>
        <v>0</v>
      </c>
      <c r="G28" s="269">
        <f t="shared" si="17"/>
        <v>0</v>
      </c>
      <c r="H28" s="269">
        <f t="shared" si="17"/>
        <v>0</v>
      </c>
      <c r="I28" s="269">
        <f t="shared" si="17"/>
        <v>-1.2279997463338077E-8</v>
      </c>
      <c r="J28" s="269">
        <f t="shared" si="17"/>
        <v>0</v>
      </c>
      <c r="K28" s="269">
        <f t="shared" si="17"/>
        <v>-1.2502868799999973</v>
      </c>
      <c r="L28" s="269">
        <f t="shared" si="17"/>
        <v>0</v>
      </c>
      <c r="M28" s="269">
        <f t="shared" si="17"/>
        <v>-1.3764471100000009</v>
      </c>
      <c r="N28" s="269">
        <f t="shared" si="17"/>
        <v>-1.5882399799999973</v>
      </c>
      <c r="O28" s="269">
        <f t="shared" ref="O28:T28" si="18">O20+O24</f>
        <v>1.4669939999993886E-2</v>
      </c>
      <c r="P28" s="269">
        <f t="shared" si="18"/>
        <v>-1.0000007932831068E-8</v>
      </c>
      <c r="Q28" s="269">
        <f t="shared" si="18"/>
        <v>-0.13673107764222436</v>
      </c>
      <c r="R28" s="269">
        <f t="shared" si="18"/>
        <v>0.74192691000000366</v>
      </c>
      <c r="S28" s="269">
        <f t="shared" si="18"/>
        <v>-0.12716690999999969</v>
      </c>
      <c r="T28" s="269">
        <f t="shared" si="18"/>
        <v>-3.3873200000087422E-3</v>
      </c>
      <c r="U28" s="269">
        <f t="shared" ref="U28:X28" si="19">U20+U24</f>
        <v>3.9648450699999955</v>
      </c>
      <c r="V28" s="269">
        <f t="shared" si="19"/>
        <v>-4.0977841801199943</v>
      </c>
      <c r="W28" s="269">
        <f t="shared" si="19"/>
        <v>1.5436899999983211E-3</v>
      </c>
      <c r="X28" s="269">
        <f t="shared" si="19"/>
        <v>0.79902994999998356</v>
      </c>
    </row>
    <row r="29" spans="2:24">
      <c r="B29" t="s">
        <v>1717</v>
      </c>
      <c r="C29" t="s">
        <v>1718</v>
      </c>
      <c r="D29" s="259"/>
      <c r="E29" s="259"/>
      <c r="F29" s="259"/>
      <c r="G29" s="259"/>
      <c r="H29" s="259"/>
      <c r="I29" s="259">
        <v>1.3069000000000001E-2</v>
      </c>
      <c r="J29" s="259">
        <v>1.319179E-2</v>
      </c>
      <c r="K29" s="259">
        <v>11.173590000000001</v>
      </c>
      <c r="L29" s="259"/>
      <c r="M29" s="259">
        <v>1.3939389999999999E-2</v>
      </c>
      <c r="N29" s="259">
        <v>1.4393930000000001E-2</v>
      </c>
      <c r="O29" s="259">
        <v>12.6862975</v>
      </c>
      <c r="P29" s="259">
        <v>13.461292</v>
      </c>
      <c r="Q29" s="259">
        <v>14.9488995</v>
      </c>
      <c r="R29" s="259">
        <v>0</v>
      </c>
      <c r="S29" s="259">
        <v>-0.12716690999999969</v>
      </c>
      <c r="T29" s="259">
        <v>13.384394400000001</v>
      </c>
      <c r="U29" s="259">
        <v>15.834980000000002</v>
      </c>
      <c r="V29" s="259">
        <v>16.562309999999997</v>
      </c>
      <c r="W29" s="259">
        <v>15.486667166333335</v>
      </c>
      <c r="X29" s="259">
        <v>16.076917300000002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tabColor theme="9" tint="0.79998168889431442"/>
  </sheetPr>
  <dimension ref="B5:AK89"/>
  <sheetViews>
    <sheetView showGridLines="0" zoomScale="55" zoomScaleNormal="55" workbookViewId="0">
      <selection activeCell="S79" sqref="S79"/>
    </sheetView>
  </sheetViews>
  <sheetFormatPr defaultRowHeight="14.4"/>
  <cols>
    <col min="2" max="2" width="23.5546875" style="104" bestFit="1" customWidth="1"/>
    <col min="3" max="3" width="22.77734375" style="104" bestFit="1" customWidth="1"/>
    <col min="4" max="4" width="8.77734375" style="104" bestFit="1" customWidth="1"/>
    <col min="5" max="9" width="8.77734375" style="104" bestFit="1"/>
    <col min="10" max="10" width="8.77734375" style="104"/>
    <col min="11" max="11" width="4.44140625" style="104" customWidth="1"/>
    <col min="12" max="12" width="23.5546875" style="104" customWidth="1"/>
    <col min="13" max="17" width="8.5546875" style="104"/>
    <col min="18" max="19" width="8.77734375" style="104"/>
    <col min="20" max="20" width="4.44140625" style="104" customWidth="1"/>
    <col min="21" max="21" width="23.5546875" style="104" customWidth="1"/>
    <col min="22" max="28" width="8.77734375" style="104"/>
    <col min="29" max="29" width="4.44140625" style="104" customWidth="1"/>
    <col min="30" max="30" width="23.5546875" style="104" customWidth="1"/>
    <col min="31" max="37" width="8.77734375" style="104"/>
  </cols>
  <sheetData>
    <row r="5" spans="2:9">
      <c r="B5" s="284"/>
      <c r="C5" s="284"/>
      <c r="D5" s="285" t="s">
        <v>1721</v>
      </c>
      <c r="E5" s="285" t="s">
        <v>1721</v>
      </c>
      <c r="F5" s="285" t="s">
        <v>1721</v>
      </c>
      <c r="G5" s="285"/>
      <c r="H5" s="285"/>
      <c r="I5" s="285"/>
    </row>
    <row r="6" spans="2:9">
      <c r="B6" s="444" t="s">
        <v>1722</v>
      </c>
      <c r="C6" s="444" t="s">
        <v>1723</v>
      </c>
      <c r="D6" s="445" t="s">
        <v>89</v>
      </c>
      <c r="E6" s="445" t="s">
        <v>110</v>
      </c>
      <c r="F6" s="445" t="s">
        <v>113</v>
      </c>
      <c r="G6" s="445" t="s">
        <v>116</v>
      </c>
      <c r="H6" s="445" t="s">
        <v>119</v>
      </c>
      <c r="I6" s="445" t="s">
        <v>122</v>
      </c>
    </row>
    <row r="7" spans="2:9">
      <c r="B7" s="272" t="s">
        <v>1724</v>
      </c>
      <c r="C7" s="272" t="s">
        <v>1725</v>
      </c>
      <c r="D7" s="273">
        <v>407.07100000000003</v>
      </c>
      <c r="E7" s="273">
        <v>389.99099999999999</v>
      </c>
      <c r="F7" s="273">
        <v>256.09100000000001</v>
      </c>
      <c r="G7" s="273">
        <v>266.19900000000001</v>
      </c>
      <c r="H7" s="273">
        <v>348.86200000000002</v>
      </c>
      <c r="I7" s="273">
        <v>-49.906999999999996</v>
      </c>
    </row>
    <row r="8" spans="2:9">
      <c r="B8" s="276" t="s">
        <v>1726</v>
      </c>
      <c r="C8" s="276" t="s">
        <v>1727</v>
      </c>
      <c r="D8" s="277">
        <v>-69.253</v>
      </c>
      <c r="E8" s="277">
        <v>-74.867999999999995</v>
      </c>
      <c r="F8" s="277">
        <v>-79.245000000000005</v>
      </c>
      <c r="G8" s="277">
        <v>-64.447000000000003</v>
      </c>
      <c r="H8" s="277">
        <v>0</v>
      </c>
      <c r="I8" s="277">
        <v>0</v>
      </c>
    </row>
    <row r="9" spans="2:9">
      <c r="B9" s="276" t="s">
        <v>1728</v>
      </c>
      <c r="C9" s="276" t="s">
        <v>1729</v>
      </c>
      <c r="D9" s="277">
        <v>76.998000000000005</v>
      </c>
      <c r="E9" s="277">
        <v>40.953000000000003</v>
      </c>
      <c r="F9" s="277">
        <v>83.093000000000004</v>
      </c>
      <c r="G9" s="277">
        <v>58.091000000000001</v>
      </c>
      <c r="H9" s="277">
        <v>0</v>
      </c>
      <c r="I9" s="277">
        <v>0</v>
      </c>
    </row>
    <row r="10" spans="2:9">
      <c r="B10" s="276" t="s">
        <v>1730</v>
      </c>
      <c r="C10" s="276" t="s">
        <v>1731</v>
      </c>
      <c r="D10" s="277">
        <v>7.7450000000000045</v>
      </c>
      <c r="E10" s="277">
        <v>-33.914999999999992</v>
      </c>
      <c r="F10" s="277">
        <v>3.847999999999999</v>
      </c>
      <c r="G10" s="277">
        <v>-6.3560000000000016</v>
      </c>
      <c r="H10" s="277">
        <v>0</v>
      </c>
      <c r="I10" s="277">
        <v>0</v>
      </c>
    </row>
    <row r="11" spans="2:9">
      <c r="B11" s="272" t="s">
        <v>1732</v>
      </c>
      <c r="C11" s="272" t="s">
        <v>1733</v>
      </c>
      <c r="D11" s="273">
        <f>D10</f>
        <v>7.7450000000000045</v>
      </c>
      <c r="E11" s="273">
        <f>E10</f>
        <v>-33.914999999999992</v>
      </c>
      <c r="F11" s="273">
        <f>F10</f>
        <v>3.847999999999999</v>
      </c>
      <c r="G11" s="273">
        <f>G10</f>
        <v>-6.3560000000000016</v>
      </c>
      <c r="H11" s="273">
        <f>H10</f>
        <v>0</v>
      </c>
      <c r="I11" s="273">
        <v>0</v>
      </c>
    </row>
    <row r="12" spans="2:9">
      <c r="B12" s="279"/>
      <c r="C12" s="279"/>
      <c r="D12" s="279"/>
      <c r="E12" s="279"/>
      <c r="F12" s="279"/>
      <c r="G12" s="279"/>
      <c r="H12" s="279"/>
      <c r="I12" s="279"/>
    </row>
    <row r="13" spans="2:9">
      <c r="B13" s="272" t="s">
        <v>1734</v>
      </c>
      <c r="C13" s="272" t="s">
        <v>1735</v>
      </c>
      <c r="D13" s="282">
        <f>-D11/D7</f>
        <v>-1.9026164968764674E-2</v>
      </c>
      <c r="E13" s="282">
        <f>-E11/E7</f>
        <v>8.6963545312584115E-2</v>
      </c>
      <c r="F13" s="282">
        <f>-F11/F7</f>
        <v>-1.5025908758995822E-2</v>
      </c>
      <c r="G13" s="282">
        <f>-G11/G7</f>
        <v>2.387687406789658E-2</v>
      </c>
      <c r="H13" s="282" t="s">
        <v>447</v>
      </c>
      <c r="I13" s="282" t="s">
        <v>447</v>
      </c>
    </row>
    <row r="14" spans="2:9">
      <c r="B14" s="279"/>
      <c r="C14" s="279"/>
      <c r="D14" s="279"/>
      <c r="E14" s="279"/>
      <c r="F14" s="279"/>
      <c r="G14" s="279"/>
      <c r="H14" s="279"/>
      <c r="I14" s="279"/>
    </row>
    <row r="15" spans="2:9">
      <c r="B15" s="272" t="s">
        <v>1736</v>
      </c>
      <c r="C15" s="272" t="s">
        <v>1737</v>
      </c>
      <c r="D15" s="273">
        <v>178</v>
      </c>
      <c r="E15" s="273">
        <v>275</v>
      </c>
      <c r="F15" s="273">
        <v>12.6067185999971</v>
      </c>
      <c r="G15" s="273">
        <v>102.70964538</v>
      </c>
      <c r="H15" s="273">
        <v>0</v>
      </c>
      <c r="I15" s="273">
        <v>0</v>
      </c>
    </row>
    <row r="17" spans="2:37">
      <c r="B17" s="272" t="s">
        <v>1738</v>
      </c>
      <c r="C17" s="272" t="s">
        <v>1739</v>
      </c>
      <c r="D17" s="282">
        <f>(D11/D15)*-1</f>
        <v>-4.3511235955056203E-2</v>
      </c>
      <c r="E17" s="282">
        <f>(E11/E15)*-1</f>
        <v>0.1233272727272727</v>
      </c>
      <c r="F17" s="282">
        <f>(F11/F15)*-1</f>
        <v>-0.30523406780896056</v>
      </c>
      <c r="G17" s="282">
        <f>(G11/G15)*-1</f>
        <v>6.1883185133045603E-2</v>
      </c>
      <c r="H17" s="282">
        <v>0</v>
      </c>
      <c r="I17" s="282">
        <v>0</v>
      </c>
      <c r="J17" s="282"/>
    </row>
    <row r="20" spans="2:37">
      <c r="B20" s="444" t="s">
        <v>1740</v>
      </c>
      <c r="C20" s="444" t="s">
        <v>1741</v>
      </c>
      <c r="D20" s="445" t="s">
        <v>89</v>
      </c>
      <c r="E20" s="445" t="s">
        <v>110</v>
      </c>
      <c r="F20" s="445" t="s">
        <v>113</v>
      </c>
      <c r="G20" s="445" t="s">
        <v>116</v>
      </c>
      <c r="H20" s="445" t="s">
        <v>119</v>
      </c>
      <c r="I20" s="445" t="s">
        <v>122</v>
      </c>
      <c r="J20" s="445" t="s">
        <v>125</v>
      </c>
      <c r="K20" s="271"/>
      <c r="L20" s="444" t="s">
        <v>1742</v>
      </c>
      <c r="M20" s="445" t="s">
        <v>89</v>
      </c>
      <c r="N20" s="445" t="s">
        <v>110</v>
      </c>
      <c r="O20" s="445" t="s">
        <v>113</v>
      </c>
      <c r="P20" s="445" t="s">
        <v>116</v>
      </c>
      <c r="Q20" s="445" t="s">
        <v>119</v>
      </c>
      <c r="R20" s="445" t="s">
        <v>122</v>
      </c>
      <c r="S20" s="445" t="s">
        <v>125</v>
      </c>
      <c r="T20" s="271"/>
      <c r="U20" s="444" t="s">
        <v>1743</v>
      </c>
      <c r="V20" s="445" t="s">
        <v>89</v>
      </c>
      <c r="W20" s="445" t="s">
        <v>110</v>
      </c>
      <c r="X20" s="445" t="s">
        <v>113</v>
      </c>
      <c r="Y20" s="445" t="s">
        <v>116</v>
      </c>
      <c r="Z20" s="445" t="s">
        <v>119</v>
      </c>
      <c r="AA20" s="445" t="s">
        <v>122</v>
      </c>
      <c r="AB20" s="445" t="s">
        <v>125</v>
      </c>
      <c r="AC20" s="271"/>
      <c r="AD20" s="444" t="s">
        <v>1744</v>
      </c>
      <c r="AE20" s="445" t="s">
        <v>89</v>
      </c>
      <c r="AF20" s="445" t="s">
        <v>110</v>
      </c>
      <c r="AG20" s="445" t="s">
        <v>113</v>
      </c>
      <c r="AH20" s="445" t="s">
        <v>116</v>
      </c>
      <c r="AI20" s="445" t="s">
        <v>119</v>
      </c>
      <c r="AJ20" s="445" t="s">
        <v>122</v>
      </c>
      <c r="AK20" s="445" t="s">
        <v>125</v>
      </c>
    </row>
    <row r="21" spans="2:37">
      <c r="B21" s="272" t="s">
        <v>1724</v>
      </c>
      <c r="C21" s="272" t="s">
        <v>1724</v>
      </c>
      <c r="D21" s="273">
        <v>161.93600000000001</v>
      </c>
      <c r="E21" s="273">
        <v>381.93400000000003</v>
      </c>
      <c r="F21" s="273">
        <v>70.808000000000007</v>
      </c>
      <c r="G21" s="273">
        <v>92.337000000000003</v>
      </c>
      <c r="H21" s="273">
        <v>16.425999999999998</v>
      </c>
      <c r="I21" s="273">
        <v>170.941</v>
      </c>
      <c r="J21" s="273">
        <v>-4.3150000000000004</v>
      </c>
      <c r="K21" s="274"/>
      <c r="L21" s="272" t="s">
        <v>1724</v>
      </c>
      <c r="M21" s="275">
        <v>-1.66</v>
      </c>
      <c r="N21" s="275">
        <v>475.51900000000001</v>
      </c>
      <c r="O21" s="275">
        <v>31.629000000000001</v>
      </c>
      <c r="P21" s="275">
        <v>123.61199999999999</v>
      </c>
      <c r="Q21" s="275">
        <v>-99.543000000000006</v>
      </c>
      <c r="R21" s="275">
        <v>115.58</v>
      </c>
      <c r="S21" s="275">
        <v>-6.4649999999999999</v>
      </c>
      <c r="T21" s="274"/>
      <c r="U21" s="272" t="s">
        <v>1724</v>
      </c>
      <c r="V21" s="275">
        <v>110.30676699999985</v>
      </c>
      <c r="W21" s="275">
        <v>400.52553299999994</v>
      </c>
      <c r="X21" s="275">
        <v>88.860734999999934</v>
      </c>
      <c r="Y21" s="275">
        <v>89.397297999999907</v>
      </c>
      <c r="Z21" s="275">
        <v>-10.21904500000015</v>
      </c>
      <c r="AA21" s="275">
        <v>214.33554600000002</v>
      </c>
      <c r="AB21" s="275">
        <v>-216.09100899999942</v>
      </c>
      <c r="AC21" s="274"/>
      <c r="AD21" s="272" t="s">
        <v>1724</v>
      </c>
      <c r="AE21" s="275">
        <v>469.61309799999975</v>
      </c>
      <c r="AF21" s="275">
        <v>477.72826400000019</v>
      </c>
      <c r="AG21" s="275">
        <v>63.30841700000019</v>
      </c>
      <c r="AH21" s="275">
        <v>83.768011000000058</v>
      </c>
      <c r="AI21" s="275">
        <v>-172.839</v>
      </c>
      <c r="AJ21" s="275">
        <v>-0.76400000000000001</v>
      </c>
      <c r="AK21" s="275">
        <v>-636.46299999999997</v>
      </c>
    </row>
    <row r="22" spans="2:37">
      <c r="B22" s="276" t="s">
        <v>1726</v>
      </c>
      <c r="C22" s="276" t="s">
        <v>1727</v>
      </c>
      <c r="D22" s="277">
        <v>-28.838999999999999</v>
      </c>
      <c r="E22" s="277">
        <v>-67.131</v>
      </c>
      <c r="F22" s="277">
        <v>-3.286</v>
      </c>
      <c r="G22" s="277">
        <v>-18.765000000000001</v>
      </c>
      <c r="H22" s="277">
        <v>0</v>
      </c>
      <c r="I22" s="277">
        <v>0</v>
      </c>
      <c r="J22" s="277">
        <v>0</v>
      </c>
      <c r="K22" s="277"/>
      <c r="L22" s="276" t="s">
        <v>1726</v>
      </c>
      <c r="M22" s="278">
        <v>31.75</v>
      </c>
      <c r="N22" s="278">
        <v>-90.266999999999996</v>
      </c>
      <c r="O22" s="278">
        <v>-11.868</v>
      </c>
      <c r="P22" s="278">
        <v>-26.364999999999998</v>
      </c>
      <c r="Q22" s="278">
        <v>-1.492</v>
      </c>
      <c r="R22" s="278">
        <v>-7.0119999999999996</v>
      </c>
      <c r="S22" s="278">
        <v>0</v>
      </c>
      <c r="T22" s="277"/>
      <c r="U22" s="276" t="s">
        <v>1726</v>
      </c>
      <c r="V22" s="278">
        <v>-17.358720000000002</v>
      </c>
      <c r="W22" s="278">
        <v>-32.410831000000009</v>
      </c>
      <c r="X22" s="278">
        <v>-17.084656000000003</v>
      </c>
      <c r="Y22" s="278">
        <v>-13.609620000000003</v>
      </c>
      <c r="Z22" s="278">
        <v>1.4916689999999999</v>
      </c>
      <c r="AA22" s="278">
        <v>-43.355927999999999</v>
      </c>
      <c r="AB22" s="278">
        <v>70.144762999999998</v>
      </c>
      <c r="AC22" s="277"/>
      <c r="AD22" s="276" t="s">
        <v>1726</v>
      </c>
      <c r="AE22" s="278">
        <v>-77.603421000000012</v>
      </c>
      <c r="AF22" s="278">
        <v>10.499527999999962</v>
      </c>
      <c r="AG22" s="278">
        <v>2.8935600000000012</v>
      </c>
      <c r="AH22" s="278">
        <v>-10.625498000000004</v>
      </c>
      <c r="AI22" s="278">
        <v>0</v>
      </c>
      <c r="AJ22" s="278">
        <v>0.53700000000000003</v>
      </c>
      <c r="AK22" s="278">
        <v>145.131</v>
      </c>
    </row>
    <row r="23" spans="2:37">
      <c r="B23" s="276" t="s">
        <v>1728</v>
      </c>
      <c r="C23" s="276" t="s">
        <v>1729</v>
      </c>
      <c r="D23" s="277">
        <v>4.2590000000000003</v>
      </c>
      <c r="E23" s="277">
        <v>-40.426000000000002</v>
      </c>
      <c r="F23" s="277">
        <v>-24.07</v>
      </c>
      <c r="G23" s="277">
        <v>15.528</v>
      </c>
      <c r="H23" s="277">
        <v>0</v>
      </c>
      <c r="I23" s="277">
        <v>0</v>
      </c>
      <c r="J23" s="277">
        <v>0</v>
      </c>
      <c r="K23" s="277"/>
      <c r="L23" s="276" t="s">
        <v>1728</v>
      </c>
      <c r="M23" s="278">
        <v>0.17399999999999999</v>
      </c>
      <c r="N23" s="278">
        <v>42.357999999999997</v>
      </c>
      <c r="O23" s="278">
        <v>9.0389999999999997</v>
      </c>
      <c r="P23" s="278">
        <v>19.265000000000001</v>
      </c>
      <c r="Q23" s="278">
        <v>0</v>
      </c>
      <c r="R23" s="278">
        <v>0</v>
      </c>
      <c r="S23" s="278">
        <v>0</v>
      </c>
      <c r="T23" s="277"/>
      <c r="U23" s="276" t="s">
        <v>1728</v>
      </c>
      <c r="V23" s="278">
        <v>5.6149290000000001</v>
      </c>
      <c r="W23" s="278">
        <v>-69.868547000000007</v>
      </c>
      <c r="X23" s="278">
        <v>10.602786</v>
      </c>
      <c r="Y23" s="278">
        <v>7.7704719999999998</v>
      </c>
      <c r="Z23" s="278">
        <v>0</v>
      </c>
      <c r="AA23" s="278">
        <v>0</v>
      </c>
      <c r="AB23" s="278">
        <v>-61.151951999999994</v>
      </c>
      <c r="AC23" s="277"/>
      <c r="AD23" s="276" t="s">
        <v>1728</v>
      </c>
      <c r="AE23" s="278">
        <v>30.012753</v>
      </c>
      <c r="AF23" s="278">
        <v>-19.362933000000002</v>
      </c>
      <c r="AG23" s="278">
        <v>-0.26826699999999998</v>
      </c>
      <c r="AH23" s="278">
        <v>-0.52517199999999997</v>
      </c>
      <c r="AI23" s="278">
        <v>0</v>
      </c>
      <c r="AJ23" s="278">
        <v>0</v>
      </c>
      <c r="AK23" s="278">
        <v>-185.036</v>
      </c>
    </row>
    <row r="24" spans="2:37">
      <c r="B24" s="276" t="s">
        <v>1730</v>
      </c>
      <c r="C24" s="276" t="s">
        <v>1731</v>
      </c>
      <c r="D24" s="277">
        <v>-24.58</v>
      </c>
      <c r="E24" s="277">
        <v>-107.557</v>
      </c>
      <c r="F24" s="277">
        <v>-27.356000000000002</v>
      </c>
      <c r="G24" s="277">
        <v>-3.2370000000000001</v>
      </c>
      <c r="H24" s="277">
        <v>0</v>
      </c>
      <c r="I24" s="277">
        <v>0</v>
      </c>
      <c r="J24" s="277">
        <v>0</v>
      </c>
      <c r="K24" s="277"/>
      <c r="L24" s="276" t="s">
        <v>1730</v>
      </c>
      <c r="M24" s="278">
        <v>31.923999999999999</v>
      </c>
      <c r="N24" s="278">
        <v>-47.908999999999999</v>
      </c>
      <c r="O24" s="278">
        <v>-2.8290000000000006</v>
      </c>
      <c r="P24" s="278">
        <v>-7.0999999999999979</v>
      </c>
      <c r="Q24" s="278">
        <v>-1.492</v>
      </c>
      <c r="R24" s="278">
        <v>-7.0119999999999996</v>
      </c>
      <c r="S24" s="278">
        <v>0</v>
      </c>
      <c r="T24" s="277"/>
      <c r="U24" s="276" t="s">
        <v>1730</v>
      </c>
      <c r="V24" s="278">
        <v>-11.743791000000002</v>
      </c>
      <c r="W24" s="278">
        <v>-102.27937800000001</v>
      </c>
      <c r="X24" s="278">
        <v>-6.4818700000000025</v>
      </c>
      <c r="Y24" s="278">
        <v>-5.8391480000000033</v>
      </c>
      <c r="Z24" s="278">
        <v>1.4916689999999999</v>
      </c>
      <c r="AA24" s="278">
        <v>-43.355927999999999</v>
      </c>
      <c r="AB24" s="278">
        <v>8.9928110000000032</v>
      </c>
      <c r="AC24" s="277"/>
      <c r="AD24" s="276" t="s">
        <v>1730</v>
      </c>
      <c r="AE24" s="278">
        <v>-47.590668000000008</v>
      </c>
      <c r="AF24" s="278">
        <v>-8.8634050000000393</v>
      </c>
      <c r="AG24" s="278">
        <v>2.6252930000000014</v>
      </c>
      <c r="AH24" s="278">
        <v>-11.150670000000003</v>
      </c>
      <c r="AI24" s="278">
        <v>0</v>
      </c>
      <c r="AJ24" s="278">
        <v>0.53700000000000003</v>
      </c>
      <c r="AK24" s="278">
        <v>-39.905000000000001</v>
      </c>
    </row>
    <row r="25" spans="2:37">
      <c r="B25" s="272" t="s">
        <v>1732</v>
      </c>
      <c r="C25" s="272" t="s">
        <v>1733</v>
      </c>
      <c r="D25" s="273">
        <f>D24</f>
        <v>-24.58</v>
      </c>
      <c r="E25" s="273">
        <f>E24</f>
        <v>-107.557</v>
      </c>
      <c r="F25" s="273">
        <f>F24</f>
        <v>-27.356000000000002</v>
      </c>
      <c r="G25" s="273">
        <f>G24</f>
        <v>-3.2370000000000001</v>
      </c>
      <c r="H25" s="273">
        <f>H24</f>
        <v>0</v>
      </c>
      <c r="I25" s="273">
        <v>0</v>
      </c>
      <c r="J25" s="273">
        <v>0</v>
      </c>
      <c r="K25" s="274"/>
      <c r="L25" s="272" t="s">
        <v>1732</v>
      </c>
      <c r="M25" s="275">
        <f>M24</f>
        <v>31.923999999999999</v>
      </c>
      <c r="N25" s="275">
        <f t="shared" ref="N25:S25" si="0">N24</f>
        <v>-47.908999999999999</v>
      </c>
      <c r="O25" s="275">
        <f t="shared" si="0"/>
        <v>-2.8290000000000006</v>
      </c>
      <c r="P25" s="275">
        <f t="shared" si="0"/>
        <v>-7.0999999999999979</v>
      </c>
      <c r="Q25" s="275">
        <f t="shared" si="0"/>
        <v>-1.492</v>
      </c>
      <c r="R25" s="275">
        <f t="shared" si="0"/>
        <v>-7.0119999999999996</v>
      </c>
      <c r="S25" s="275">
        <f t="shared" si="0"/>
        <v>0</v>
      </c>
      <c r="T25" s="274"/>
      <c r="U25" s="272" t="s">
        <v>1732</v>
      </c>
      <c r="V25" s="275">
        <f>V24</f>
        <v>-11.743791000000002</v>
      </c>
      <c r="W25" s="275">
        <f>W24</f>
        <v>-102.27937800000001</v>
      </c>
      <c r="X25" s="275">
        <f>X24</f>
        <v>-6.4818700000000025</v>
      </c>
      <c r="Y25" s="275">
        <f>Y24</f>
        <v>-5.8391480000000033</v>
      </c>
      <c r="Z25" s="275">
        <f>Z24</f>
        <v>1.4916689999999999</v>
      </c>
      <c r="AA25" s="275" t="s">
        <v>447</v>
      </c>
      <c r="AB25" s="275" t="s">
        <v>447</v>
      </c>
      <c r="AC25" s="274"/>
      <c r="AD25" s="272" t="s">
        <v>1732</v>
      </c>
      <c r="AE25" s="275">
        <v>-47.590668000000008</v>
      </c>
      <c r="AF25" s="275">
        <v>-8.8634050000000393</v>
      </c>
      <c r="AG25" s="275">
        <v>2.6252930000000014</v>
      </c>
      <c r="AH25" s="275">
        <v>-11.150670000000003</v>
      </c>
      <c r="AI25" s="275">
        <v>0</v>
      </c>
      <c r="AJ25" s="275">
        <v>0</v>
      </c>
      <c r="AK25" s="275">
        <v>0</v>
      </c>
    </row>
    <row r="26" spans="2:37">
      <c r="B26" s="279"/>
      <c r="C26" s="279"/>
      <c r="D26" s="279"/>
      <c r="E26" s="279"/>
      <c r="F26" s="279"/>
      <c r="G26" s="279"/>
      <c r="H26" s="279"/>
      <c r="I26" s="279"/>
      <c r="J26" s="279"/>
      <c r="K26" s="271"/>
      <c r="L26" s="279"/>
      <c r="M26" s="280"/>
      <c r="N26" s="280"/>
      <c r="O26" s="280"/>
      <c r="P26" s="280"/>
      <c r="Q26" s="280"/>
      <c r="R26" s="280"/>
      <c r="S26" s="280"/>
      <c r="T26" s="271"/>
      <c r="U26" s="279"/>
      <c r="V26" s="280"/>
      <c r="W26" s="280"/>
      <c r="X26" s="280"/>
      <c r="Y26" s="280"/>
      <c r="Z26" s="280"/>
      <c r="AA26" s="280"/>
      <c r="AB26" s="280"/>
      <c r="AC26" s="271"/>
      <c r="AD26" s="279"/>
      <c r="AE26" s="280"/>
      <c r="AF26" s="280"/>
      <c r="AG26" s="280"/>
      <c r="AH26" s="280"/>
      <c r="AI26" s="280"/>
      <c r="AJ26" s="280"/>
      <c r="AK26" s="280"/>
    </row>
    <row r="27" spans="2:37">
      <c r="B27" s="272" t="s">
        <v>1734</v>
      </c>
      <c r="C27" s="272" t="s">
        <v>1735</v>
      </c>
      <c r="D27" s="282">
        <f>-D25/D21</f>
        <v>0.15178836083390967</v>
      </c>
      <c r="E27" s="282">
        <f t="shared" ref="E27:J27" si="1">-E25/E21</f>
        <v>0.28161148261217905</v>
      </c>
      <c r="F27" s="282">
        <f t="shared" si="1"/>
        <v>0.38634052649418144</v>
      </c>
      <c r="G27" s="282">
        <f t="shared" si="1"/>
        <v>3.5056369602651155E-2</v>
      </c>
      <c r="H27" s="282">
        <f t="shared" si="1"/>
        <v>0</v>
      </c>
      <c r="I27" s="282">
        <f t="shared" si="1"/>
        <v>0</v>
      </c>
      <c r="J27" s="282">
        <f t="shared" si="1"/>
        <v>0</v>
      </c>
      <c r="K27" s="274"/>
      <c r="L27" s="272" t="s">
        <v>1734</v>
      </c>
      <c r="M27" s="282">
        <f t="shared" ref="M27:S27" si="2">-M25/M21</f>
        <v>19.231325301204819</v>
      </c>
      <c r="N27" s="282">
        <f t="shared" si="2"/>
        <v>0.10075096894130413</v>
      </c>
      <c r="O27" s="282">
        <f t="shared" si="2"/>
        <v>8.944323247652472E-2</v>
      </c>
      <c r="P27" s="282">
        <f t="shared" si="2"/>
        <v>5.7437789211403412E-2</v>
      </c>
      <c r="Q27" s="282">
        <f t="shared" si="2"/>
        <v>-1.4988497433270043E-2</v>
      </c>
      <c r="R27" s="282">
        <f t="shared" si="2"/>
        <v>6.0667935629001551E-2</v>
      </c>
      <c r="S27" s="282">
        <f t="shared" si="2"/>
        <v>0</v>
      </c>
      <c r="T27" s="274"/>
      <c r="U27" s="272" t="s">
        <v>1734</v>
      </c>
      <c r="V27" s="282">
        <f>-V25/V21</f>
        <v>0.10646482821856267</v>
      </c>
      <c r="W27" s="282">
        <f>-W25/W21</f>
        <v>0.25536294086899081</v>
      </c>
      <c r="X27" s="282">
        <f>-X25/X21</f>
        <v>7.2944141189019054E-2</v>
      </c>
      <c r="Y27" s="282">
        <f>-Y25/Y21</f>
        <v>6.5316828703256891E-2</v>
      </c>
      <c r="Z27" s="282" t="s">
        <v>447</v>
      </c>
      <c r="AA27" s="282" t="s">
        <v>447</v>
      </c>
      <c r="AB27" s="282" t="s">
        <v>447</v>
      </c>
      <c r="AC27" s="274"/>
      <c r="AD27" s="272" t="s">
        <v>1734</v>
      </c>
      <c r="AE27" s="282">
        <v>0.1013401632166572</v>
      </c>
      <c r="AF27" s="282">
        <v>1.8553235527216022E-2</v>
      </c>
      <c r="AG27" s="282">
        <v>-4.1468309024374969E-2</v>
      </c>
      <c r="AH27" s="282">
        <v>0.13311370136268361</v>
      </c>
      <c r="AI27" s="282">
        <v>0</v>
      </c>
      <c r="AJ27" s="282">
        <v>0</v>
      </c>
      <c r="AK27" s="282">
        <v>0</v>
      </c>
    </row>
    <row r="28" spans="2:37">
      <c r="B28" s="279"/>
      <c r="C28" s="279"/>
      <c r="D28" s="279"/>
      <c r="E28" s="279"/>
      <c r="F28" s="279"/>
      <c r="G28" s="279"/>
      <c r="H28" s="279"/>
      <c r="I28" s="279"/>
      <c r="J28" s="279"/>
      <c r="K28" s="271"/>
      <c r="L28" s="279"/>
      <c r="M28" s="280"/>
      <c r="N28" s="280"/>
      <c r="O28" s="280"/>
      <c r="P28" s="280"/>
      <c r="Q28" s="280"/>
      <c r="R28" s="280"/>
      <c r="S28" s="280"/>
      <c r="T28" s="271"/>
      <c r="U28" s="279"/>
      <c r="V28" s="280"/>
      <c r="W28" s="280"/>
      <c r="X28" s="280"/>
      <c r="Y28" s="280"/>
      <c r="Z28" s="280"/>
      <c r="AA28" s="280"/>
      <c r="AB28" s="280"/>
      <c r="AC28" s="271"/>
      <c r="AD28" s="279"/>
      <c r="AE28" s="280"/>
      <c r="AF28" s="280"/>
      <c r="AG28" s="280"/>
      <c r="AH28" s="280"/>
      <c r="AI28" s="280"/>
      <c r="AJ28" s="280"/>
      <c r="AK28" s="280"/>
    </row>
    <row r="29" spans="2:37">
      <c r="B29" s="272" t="s">
        <v>1736</v>
      </c>
      <c r="C29" s="272" t="s">
        <v>1737</v>
      </c>
      <c r="D29" s="273">
        <v>0</v>
      </c>
      <c r="E29" s="273">
        <v>0</v>
      </c>
      <c r="F29" s="273">
        <v>0</v>
      </c>
      <c r="G29" s="273">
        <v>0</v>
      </c>
      <c r="H29" s="273">
        <v>0</v>
      </c>
      <c r="I29" s="273">
        <v>0</v>
      </c>
      <c r="J29" s="273">
        <v>0</v>
      </c>
      <c r="K29" s="274"/>
      <c r="L29" s="272" t="s">
        <v>1736</v>
      </c>
      <c r="M29" s="275">
        <v>-69.899123169999996</v>
      </c>
      <c r="N29" s="275">
        <v>362.48499036999999</v>
      </c>
      <c r="O29" s="275">
        <v>31.07115027</v>
      </c>
      <c r="P29" s="275">
        <v>79.200691400000011</v>
      </c>
      <c r="Q29" s="275">
        <v>-65.914938039999996</v>
      </c>
      <c r="R29" s="275">
        <v>41.231027600000004</v>
      </c>
      <c r="S29" s="275">
        <v>0</v>
      </c>
      <c r="T29" s="274"/>
      <c r="U29" s="272" t="s">
        <v>1736</v>
      </c>
      <c r="V29" s="275">
        <v>117.961748345449</v>
      </c>
      <c r="W29" s="275">
        <v>612.77599999999995</v>
      </c>
      <c r="X29" s="275">
        <v>60.052914704999701</v>
      </c>
      <c r="Y29" s="275">
        <v>68.084844500416281</v>
      </c>
      <c r="Z29" s="275">
        <v>0</v>
      </c>
      <c r="AA29" s="275">
        <v>141.926991598</v>
      </c>
      <c r="AB29" s="275">
        <v>0</v>
      </c>
      <c r="AC29" s="274"/>
      <c r="AD29" s="272" t="s">
        <v>1736</v>
      </c>
      <c r="AE29" s="275">
        <v>384</v>
      </c>
      <c r="AF29" s="275">
        <v>475</v>
      </c>
      <c r="AG29" s="275">
        <v>44.901155025996204</v>
      </c>
      <c r="AH29" s="275">
        <v>82</v>
      </c>
      <c r="AI29" s="275">
        <v>0</v>
      </c>
      <c r="AJ29" s="275">
        <v>18.011208459999899</v>
      </c>
      <c r="AK29" s="275">
        <v>0</v>
      </c>
    </row>
    <row r="30" spans="2:37">
      <c r="B30" s="279"/>
      <c r="C30" s="279"/>
      <c r="D30" s="279"/>
      <c r="E30" s="279"/>
      <c r="F30" s="279"/>
      <c r="G30" s="279"/>
      <c r="H30" s="279"/>
      <c r="I30" s="279"/>
      <c r="J30" s="279"/>
      <c r="K30" s="271"/>
      <c r="L30" s="279"/>
      <c r="M30" s="280"/>
      <c r="N30" s="280"/>
      <c r="O30" s="280"/>
      <c r="P30" s="280"/>
      <c r="Q30" s="280"/>
      <c r="R30" s="280"/>
      <c r="S30" s="280"/>
      <c r="T30" s="271"/>
      <c r="U30" s="279"/>
      <c r="V30" s="280"/>
      <c r="W30" s="280"/>
      <c r="X30" s="280"/>
      <c r="Y30" s="280"/>
      <c r="Z30" s="280"/>
      <c r="AA30" s="280"/>
      <c r="AB30" s="280"/>
      <c r="AC30" s="271"/>
      <c r="AD30" s="279"/>
      <c r="AE30" s="280"/>
      <c r="AF30" s="280"/>
      <c r="AG30" s="280"/>
      <c r="AH30" s="280"/>
      <c r="AI30" s="280"/>
      <c r="AJ30" s="280"/>
      <c r="AK30" s="280"/>
    </row>
    <row r="31" spans="2:37">
      <c r="B31" s="272" t="s">
        <v>1738</v>
      </c>
      <c r="C31" s="272" t="s">
        <v>1739</v>
      </c>
      <c r="D31" s="282" t="str">
        <f>IFERROR((D25/D29)*-1,"N/A")</f>
        <v>N/A</v>
      </c>
      <c r="E31" s="282" t="str">
        <f t="shared" ref="E31:J31" si="3">IFERROR((E25/E29)*-1,"N/A")</f>
        <v>N/A</v>
      </c>
      <c r="F31" s="282" t="str">
        <f t="shared" si="3"/>
        <v>N/A</v>
      </c>
      <c r="G31" s="282" t="str">
        <f t="shared" si="3"/>
        <v>N/A</v>
      </c>
      <c r="H31" s="282" t="str">
        <f t="shared" si="3"/>
        <v>N/A</v>
      </c>
      <c r="I31" s="282" t="str">
        <f t="shared" si="3"/>
        <v>N/A</v>
      </c>
      <c r="J31" s="282" t="str">
        <f t="shared" si="3"/>
        <v>N/A</v>
      </c>
      <c r="K31" s="283"/>
      <c r="L31" s="272" t="s">
        <v>1738</v>
      </c>
      <c r="M31" s="282">
        <f t="shared" ref="M31:S31" si="4">IFERROR((M25/M29)*-1,"N/A")</f>
        <v>0.45671531418725236</v>
      </c>
      <c r="N31" s="282">
        <f t="shared" si="4"/>
        <v>0.13216823116206206</v>
      </c>
      <c r="O31" s="282">
        <f t="shared" si="4"/>
        <v>9.10490913730823E-2</v>
      </c>
      <c r="P31" s="282">
        <f t="shared" si="4"/>
        <v>8.9645682057770487E-2</v>
      </c>
      <c r="Q31" s="282">
        <v>0</v>
      </c>
      <c r="R31" s="282">
        <v>0</v>
      </c>
      <c r="S31" s="282" t="str">
        <f t="shared" si="4"/>
        <v>N/A</v>
      </c>
      <c r="T31" s="283"/>
      <c r="U31" s="272" t="s">
        <v>1738</v>
      </c>
      <c r="V31" s="282">
        <f>(V25/V29)*-1</f>
        <v>9.9555925244584439E-2</v>
      </c>
      <c r="W31" s="282">
        <f>(W25/W29)*-1</f>
        <v>0.16691152721385957</v>
      </c>
      <c r="X31" s="282">
        <f>(X25/X29)*-1</f>
        <v>0.10793597666060253</v>
      </c>
      <c r="Y31" s="282">
        <f>(Y25/Y29)*-1</f>
        <v>8.5762816128107655E-2</v>
      </c>
      <c r="Z31" s="282">
        <v>0</v>
      </c>
      <c r="AA31" s="282">
        <v>0</v>
      </c>
      <c r="AB31" s="282">
        <v>0</v>
      </c>
      <c r="AC31" s="283"/>
      <c r="AD31" s="272" t="s">
        <v>1738</v>
      </c>
      <c r="AE31" s="282">
        <v>0.12393403125000002</v>
      </c>
      <c r="AF31" s="282">
        <v>1.8659800000000084E-2</v>
      </c>
      <c r="AG31" s="282">
        <v>-5.8468273221035143E-2</v>
      </c>
      <c r="AH31" s="282">
        <v>0.13598378048780491</v>
      </c>
      <c r="AI31" s="282">
        <v>0</v>
      </c>
      <c r="AJ31" s="282">
        <v>0</v>
      </c>
      <c r="AK31" s="282">
        <v>0</v>
      </c>
    </row>
    <row r="34" spans="2:37">
      <c r="B34" s="444" t="s">
        <v>1745</v>
      </c>
      <c r="C34" s="444" t="s">
        <v>1746</v>
      </c>
      <c r="D34" s="445" t="s">
        <v>89</v>
      </c>
      <c r="E34" s="445" t="s">
        <v>110</v>
      </c>
      <c r="F34" s="445" t="s">
        <v>113</v>
      </c>
      <c r="G34" s="445" t="s">
        <v>116</v>
      </c>
      <c r="H34" s="445" t="s">
        <v>119</v>
      </c>
      <c r="I34" s="445" t="s">
        <v>122</v>
      </c>
      <c r="J34" s="445" t="s">
        <v>125</v>
      </c>
      <c r="K34" s="271"/>
      <c r="L34" s="444" t="s">
        <v>1747</v>
      </c>
      <c r="M34" s="445" t="s">
        <v>89</v>
      </c>
      <c r="N34" s="445" t="s">
        <v>110</v>
      </c>
      <c r="O34" s="445" t="s">
        <v>113</v>
      </c>
      <c r="P34" s="445" t="s">
        <v>116</v>
      </c>
      <c r="Q34" s="445" t="s">
        <v>119</v>
      </c>
      <c r="R34" s="445" t="s">
        <v>122</v>
      </c>
      <c r="S34" s="445" t="s">
        <v>125</v>
      </c>
      <c r="T34" s="271"/>
      <c r="U34" s="444" t="s">
        <v>1748</v>
      </c>
      <c r="V34" s="445" t="s">
        <v>89</v>
      </c>
      <c r="W34" s="445" t="s">
        <v>110</v>
      </c>
      <c r="X34" s="445" t="s">
        <v>113</v>
      </c>
      <c r="Y34" s="445" t="s">
        <v>116</v>
      </c>
      <c r="Z34" s="445" t="s">
        <v>119</v>
      </c>
      <c r="AA34" s="445" t="s">
        <v>122</v>
      </c>
      <c r="AB34" s="445" t="s">
        <v>125</v>
      </c>
      <c r="AC34" s="271"/>
      <c r="AD34" s="444" t="s">
        <v>1749</v>
      </c>
      <c r="AE34" s="445" t="s">
        <v>89</v>
      </c>
      <c r="AF34" s="445" t="s">
        <v>110</v>
      </c>
      <c r="AG34" s="445" t="s">
        <v>113</v>
      </c>
      <c r="AH34" s="445" t="s">
        <v>116</v>
      </c>
      <c r="AI34" s="445" t="s">
        <v>119</v>
      </c>
      <c r="AJ34" s="445" t="s">
        <v>122</v>
      </c>
      <c r="AK34" s="445" t="s">
        <v>125</v>
      </c>
    </row>
    <row r="35" spans="2:37">
      <c r="B35" s="272" t="s">
        <v>1724</v>
      </c>
      <c r="C35" s="272" t="s">
        <v>1724</v>
      </c>
      <c r="D35" s="273">
        <v>152.06869099999989</v>
      </c>
      <c r="E35" s="273">
        <v>473.24560299999956</v>
      </c>
      <c r="F35" s="273">
        <v>32.807425000000045</v>
      </c>
      <c r="G35" s="273">
        <v>104.11744300000018</v>
      </c>
      <c r="H35" s="273">
        <v>41.524999999999999</v>
      </c>
      <c r="I35" s="273">
        <v>-4.3150000000000004</v>
      </c>
      <c r="J35" s="273">
        <v>-29.884</v>
      </c>
      <c r="K35" s="274"/>
      <c r="L35" s="272" t="s">
        <v>1724</v>
      </c>
      <c r="M35" s="273">
        <v>197.61835599999998</v>
      </c>
      <c r="N35" s="273">
        <v>629.46062200000063</v>
      </c>
      <c r="O35" s="273">
        <v>87.080187000000109</v>
      </c>
      <c r="P35" s="273">
        <v>93.601910999999774</v>
      </c>
      <c r="Q35" s="273">
        <v>-159.98400000000001</v>
      </c>
      <c r="R35" s="273">
        <v>-6.4649999999999999</v>
      </c>
      <c r="S35" s="273">
        <v>-627.01599999999996</v>
      </c>
      <c r="T35" s="274"/>
      <c r="U35" s="272" t="s">
        <v>1724</v>
      </c>
      <c r="V35" s="273">
        <v>240.71043700000004</v>
      </c>
      <c r="W35" s="273">
        <v>847.99344999999971</v>
      </c>
      <c r="X35" s="273">
        <v>74.567514000000159</v>
      </c>
      <c r="Y35" s="273">
        <v>141.71320500000007</v>
      </c>
      <c r="Z35" s="273">
        <v>-102.14700000000001</v>
      </c>
      <c r="AA35" s="273">
        <v>3.0139999999999998</v>
      </c>
      <c r="AB35" s="273">
        <v>-118.651</v>
      </c>
      <c r="AC35" s="274"/>
      <c r="AD35" s="272" t="s">
        <v>1724</v>
      </c>
      <c r="AE35" s="273">
        <v>228.61004200000013</v>
      </c>
      <c r="AF35" s="273">
        <v>602.36869100000058</v>
      </c>
      <c r="AG35" s="273">
        <v>99.332705000000033</v>
      </c>
      <c r="AH35" s="273">
        <v>72.663287000000039</v>
      </c>
      <c r="AI35" s="273">
        <v>-230.95500000000001</v>
      </c>
      <c r="AJ35" s="273">
        <v>62.851999999999997</v>
      </c>
      <c r="AK35" s="273">
        <v>-291.37200000000024</v>
      </c>
    </row>
    <row r="36" spans="2:37">
      <c r="B36" s="276" t="s">
        <v>1726</v>
      </c>
      <c r="C36" s="276" t="s">
        <v>1727</v>
      </c>
      <c r="D36" s="277">
        <v>9.5985839999999953</v>
      </c>
      <c r="E36" s="277">
        <v>-48.273359999999983</v>
      </c>
      <c r="F36" s="277">
        <v>-3.8354200000000001</v>
      </c>
      <c r="G36" s="277">
        <v>-18.423317000000001</v>
      </c>
      <c r="H36" s="277">
        <v>-0.53704199999999991</v>
      </c>
      <c r="I36" s="277">
        <v>-1.9390000000000001</v>
      </c>
      <c r="J36" s="277">
        <v>-30.239000000000001</v>
      </c>
      <c r="K36" s="277"/>
      <c r="L36" s="276" t="s">
        <v>1726</v>
      </c>
      <c r="M36" s="277">
        <v>-28.306039999999999</v>
      </c>
      <c r="N36" s="277">
        <v>-110.20438999999998</v>
      </c>
      <c r="O36" s="277">
        <v>-13.5242</v>
      </c>
      <c r="P36" s="277">
        <v>-16.092661</v>
      </c>
      <c r="Q36" s="277">
        <v>0.53704199999999991</v>
      </c>
      <c r="R36" s="277">
        <v>-4.2919999999999998</v>
      </c>
      <c r="S36" s="277">
        <v>204.34200000000001</v>
      </c>
      <c r="T36" s="277"/>
      <c r="U36" s="276" t="s">
        <v>1726</v>
      </c>
      <c r="V36" s="277">
        <v>-38.075993000000004</v>
      </c>
      <c r="W36" s="277">
        <v>-170.33980299999996</v>
      </c>
      <c r="X36" s="277">
        <v>-12.681223999999997</v>
      </c>
      <c r="Y36" s="277">
        <v>-25.184036000000003</v>
      </c>
      <c r="Z36" s="277">
        <v>0</v>
      </c>
      <c r="AA36" s="277">
        <v>4.32</v>
      </c>
      <c r="AB36" s="277">
        <v>39.954000000000001</v>
      </c>
      <c r="AC36" s="277"/>
      <c r="AD36" s="276" t="s">
        <v>1726</v>
      </c>
      <c r="AE36" s="277">
        <v>15.168228000000003</v>
      </c>
      <c r="AF36" s="277">
        <v>1.5597329999999783</v>
      </c>
      <c r="AG36" s="277">
        <v>-8.9778689999999983</v>
      </c>
      <c r="AH36" s="277">
        <v>24.449373000000001</v>
      </c>
      <c r="AI36" s="277">
        <v>0</v>
      </c>
      <c r="AJ36" s="277">
        <v>23.808</v>
      </c>
      <c r="AK36" s="277">
        <v>238.91499999999999</v>
      </c>
    </row>
    <row r="37" spans="2:37">
      <c r="B37" s="276" t="s">
        <v>1728</v>
      </c>
      <c r="C37" s="276" t="s">
        <v>1729</v>
      </c>
      <c r="D37" s="277">
        <v>14.190395000000001</v>
      </c>
      <c r="E37" s="277">
        <v>-34.553853000000004</v>
      </c>
      <c r="F37" s="277">
        <v>-4.639202</v>
      </c>
      <c r="G37" s="277">
        <v>9.706218999999999</v>
      </c>
      <c r="H37" s="277">
        <v>0.39226499999999997</v>
      </c>
      <c r="I37" s="277">
        <v>0</v>
      </c>
      <c r="J37" s="277">
        <v>-11.034000000000001</v>
      </c>
      <c r="K37" s="277"/>
      <c r="L37" s="276" t="s">
        <v>1728</v>
      </c>
      <c r="M37" s="277">
        <v>-14.687329</v>
      </c>
      <c r="N37" s="277">
        <v>-19.211182000000001</v>
      </c>
      <c r="O37" s="277">
        <v>4.9528980000000002</v>
      </c>
      <c r="P37" s="277">
        <v>8.7937000000000012</v>
      </c>
      <c r="Q37" s="277">
        <v>-0.39226499999999997</v>
      </c>
      <c r="R37" s="277">
        <v>0</v>
      </c>
      <c r="S37" s="277">
        <v>-184.96199999999999</v>
      </c>
      <c r="T37" s="277"/>
      <c r="U37" s="276" t="s">
        <v>1728</v>
      </c>
      <c r="V37" s="277">
        <v>7.1210789999999999</v>
      </c>
      <c r="W37" s="277">
        <v>90.904820999999998</v>
      </c>
      <c r="X37" s="277">
        <v>7.2009590000000001</v>
      </c>
      <c r="Y37" s="277">
        <v>17.778063</v>
      </c>
      <c r="Z37" s="277">
        <v>0</v>
      </c>
      <c r="AA37" s="277">
        <v>0</v>
      </c>
      <c r="AB37" s="277">
        <v>-39.954000000000001</v>
      </c>
      <c r="AC37" s="277"/>
      <c r="AD37" s="276" t="s">
        <v>1728</v>
      </c>
      <c r="AE37" s="277">
        <v>45.756872999999999</v>
      </c>
      <c r="AF37" s="277">
        <v>185.658929</v>
      </c>
      <c r="AG37" s="277">
        <v>11.27121</v>
      </c>
      <c r="AH37" s="277">
        <v>-12.834403</v>
      </c>
      <c r="AI37" s="277">
        <v>0</v>
      </c>
      <c r="AJ37" s="277">
        <v>0</v>
      </c>
      <c r="AK37" s="277">
        <v>-200.39400000000001</v>
      </c>
    </row>
    <row r="38" spans="2:37">
      <c r="B38" s="276" t="s">
        <v>1730</v>
      </c>
      <c r="C38" s="276" t="s">
        <v>1731</v>
      </c>
      <c r="D38" s="277">
        <v>23.788978999999998</v>
      </c>
      <c r="E38" s="277">
        <v>-82.827212999999986</v>
      </c>
      <c r="F38" s="277">
        <v>-8.4746220000000001</v>
      </c>
      <c r="G38" s="277">
        <v>-8.7170980000000018</v>
      </c>
      <c r="H38" s="277">
        <v>-0.14477699999999993</v>
      </c>
      <c r="I38" s="277">
        <v>-1.9390000000000001</v>
      </c>
      <c r="J38" s="277">
        <v>-41.273000000000003</v>
      </c>
      <c r="K38" s="277"/>
      <c r="L38" s="276" t="s">
        <v>1730</v>
      </c>
      <c r="M38" s="277">
        <v>-42.993369000000001</v>
      </c>
      <c r="N38" s="277">
        <v>-129.41557199999997</v>
      </c>
      <c r="O38" s="277">
        <v>-8.5713019999999993</v>
      </c>
      <c r="P38" s="277">
        <v>-7.2989609999999985</v>
      </c>
      <c r="Q38" s="277">
        <v>0.14477699999999993</v>
      </c>
      <c r="R38" s="277">
        <v>-4.2919999999999998</v>
      </c>
      <c r="S38" s="277">
        <v>19.380000000000024</v>
      </c>
      <c r="T38" s="277"/>
      <c r="U38" s="276" t="s">
        <v>1730</v>
      </c>
      <c r="V38" s="277">
        <v>-30.954914000000002</v>
      </c>
      <c r="W38" s="277">
        <v>-79.434981999999962</v>
      </c>
      <c r="X38" s="277">
        <v>-5.4802649999999966</v>
      </c>
      <c r="Y38" s="277">
        <v>-7.405973000000003</v>
      </c>
      <c r="Z38" s="277">
        <v>0</v>
      </c>
      <c r="AA38" s="277">
        <v>4.32</v>
      </c>
      <c r="AB38" s="277">
        <v>0</v>
      </c>
      <c r="AC38" s="277"/>
      <c r="AD38" s="276" t="s">
        <v>1730</v>
      </c>
      <c r="AE38" s="277">
        <v>0</v>
      </c>
      <c r="AF38" s="277">
        <v>0</v>
      </c>
      <c r="AG38" s="277">
        <v>0</v>
      </c>
      <c r="AH38" s="277">
        <v>0</v>
      </c>
      <c r="AI38" s="277">
        <v>0</v>
      </c>
      <c r="AJ38" s="277">
        <v>0</v>
      </c>
      <c r="AK38" s="277">
        <v>0</v>
      </c>
    </row>
    <row r="39" spans="2:37">
      <c r="B39" s="272" t="s">
        <v>1732</v>
      </c>
      <c r="C39" s="272" t="s">
        <v>1733</v>
      </c>
      <c r="D39" s="273">
        <v>23.788978999999998</v>
      </c>
      <c r="E39" s="273">
        <v>-82.827212999999986</v>
      </c>
      <c r="F39" s="273">
        <v>-8.4746220000000001</v>
      </c>
      <c r="G39" s="273">
        <v>-8.7170980000000018</v>
      </c>
      <c r="H39" s="273">
        <v>-0.14477699999999993</v>
      </c>
      <c r="I39" s="273">
        <v>-1.9390000000000001</v>
      </c>
      <c r="J39" s="273">
        <v>-41.273000000000003</v>
      </c>
      <c r="K39" s="274"/>
      <c r="L39" s="272" t="s">
        <v>1732</v>
      </c>
      <c r="M39" s="273">
        <f>+M38</f>
        <v>-42.993369000000001</v>
      </c>
      <c r="N39" s="273">
        <f t="shared" ref="N39:S39" si="5">+N38</f>
        <v>-129.41557199999997</v>
      </c>
      <c r="O39" s="273">
        <f t="shared" si="5"/>
        <v>-8.5713019999999993</v>
      </c>
      <c r="P39" s="273">
        <f t="shared" si="5"/>
        <v>-7.2989609999999985</v>
      </c>
      <c r="Q39" s="273">
        <f t="shared" si="5"/>
        <v>0.14477699999999993</v>
      </c>
      <c r="R39" s="273">
        <f t="shared" si="5"/>
        <v>-4.2919999999999998</v>
      </c>
      <c r="S39" s="273">
        <f t="shared" si="5"/>
        <v>19.380000000000024</v>
      </c>
      <c r="T39" s="274"/>
      <c r="U39" s="272" t="s">
        <v>1732</v>
      </c>
      <c r="V39" s="273">
        <f>+V38</f>
        <v>-30.954914000000002</v>
      </c>
      <c r="W39" s="273">
        <f t="shared" ref="W39:AB39" si="6">+W38</f>
        <v>-79.434981999999962</v>
      </c>
      <c r="X39" s="273">
        <f t="shared" si="6"/>
        <v>-5.4802649999999966</v>
      </c>
      <c r="Y39" s="273">
        <f t="shared" si="6"/>
        <v>-7.405973000000003</v>
      </c>
      <c r="Z39" s="273">
        <f t="shared" si="6"/>
        <v>0</v>
      </c>
      <c r="AA39" s="273">
        <f t="shared" si="6"/>
        <v>4.32</v>
      </c>
      <c r="AB39" s="273">
        <f t="shared" si="6"/>
        <v>0</v>
      </c>
      <c r="AC39" s="274"/>
      <c r="AD39" s="272" t="s">
        <v>1732</v>
      </c>
      <c r="AE39" s="273">
        <f>SUM(AE36:AE38)</f>
        <v>60.925100999999998</v>
      </c>
      <c r="AF39" s="273">
        <f t="shared" ref="AF39:AK39" si="7">SUM(AF36:AF38)</f>
        <v>187.21866199999997</v>
      </c>
      <c r="AG39" s="273">
        <f t="shared" si="7"/>
        <v>2.2933410000000016</v>
      </c>
      <c r="AH39" s="273">
        <f t="shared" si="7"/>
        <v>11.614970000000001</v>
      </c>
      <c r="AI39" s="273">
        <f t="shared" si="7"/>
        <v>0</v>
      </c>
      <c r="AJ39" s="273">
        <f t="shared" si="7"/>
        <v>23.808</v>
      </c>
      <c r="AK39" s="273">
        <f t="shared" si="7"/>
        <v>38.520999999999987</v>
      </c>
    </row>
    <row r="40" spans="2:37">
      <c r="B40" s="279"/>
      <c r="C40" s="279"/>
      <c r="D40" s="279"/>
      <c r="E40" s="279"/>
      <c r="F40" s="279"/>
      <c r="G40" s="279"/>
      <c r="H40" s="279"/>
      <c r="I40" s="279"/>
      <c r="J40" s="279"/>
      <c r="K40" s="271"/>
      <c r="L40" s="279"/>
      <c r="M40" s="279"/>
      <c r="N40" s="279"/>
      <c r="O40" s="279"/>
      <c r="P40" s="279"/>
      <c r="Q40" s="279"/>
      <c r="R40" s="279"/>
      <c r="S40" s="279"/>
      <c r="T40" s="271"/>
      <c r="U40" s="279"/>
      <c r="V40" s="279"/>
      <c r="W40" s="279"/>
      <c r="X40" s="279"/>
      <c r="Y40" s="279"/>
      <c r="Z40" s="279"/>
      <c r="AA40" s="279"/>
      <c r="AB40" s="279"/>
      <c r="AC40" s="271"/>
      <c r="AD40" s="279"/>
      <c r="AE40" s="279"/>
      <c r="AF40" s="279"/>
      <c r="AG40" s="279"/>
      <c r="AH40" s="279"/>
      <c r="AI40" s="279"/>
      <c r="AJ40" s="279"/>
      <c r="AK40" s="279"/>
    </row>
    <row r="41" spans="2:37">
      <c r="B41" s="272" t="s">
        <v>1734</v>
      </c>
      <c r="C41" s="272" t="s">
        <v>1735</v>
      </c>
      <c r="D41" s="282">
        <v>-0.1564357452120109</v>
      </c>
      <c r="E41" s="282">
        <v>0.17501950884475531</v>
      </c>
      <c r="F41" s="282">
        <v>0.25831414687376375</v>
      </c>
      <c r="G41" s="282">
        <v>8.3723704201994154E-2</v>
      </c>
      <c r="H41" s="282">
        <v>3.4865021071643575E-3</v>
      </c>
      <c r="I41" s="282">
        <v>-0.44936268829663961</v>
      </c>
      <c r="J41" s="282">
        <v>-1.3811069468611967</v>
      </c>
      <c r="K41" s="274"/>
      <c r="L41" s="272" t="s">
        <v>1734</v>
      </c>
      <c r="M41" s="282">
        <f>-M39/M35</f>
        <v>0.21755756838701767</v>
      </c>
      <c r="N41" s="282">
        <f t="shared" ref="N41:S41" si="8">-N39/N35</f>
        <v>0.20559756635578683</v>
      </c>
      <c r="O41" s="282">
        <f t="shared" si="8"/>
        <v>9.8429990739454756E-2</v>
      </c>
      <c r="P41" s="282">
        <f t="shared" si="8"/>
        <v>7.7978760497742577E-2</v>
      </c>
      <c r="Q41" s="282">
        <f t="shared" si="8"/>
        <v>9.0494674467446695E-4</v>
      </c>
      <c r="R41" s="282">
        <f t="shared" si="8"/>
        <v>-0.66388244392884765</v>
      </c>
      <c r="S41" s="282">
        <f t="shared" si="8"/>
        <v>3.0908302180486662E-2</v>
      </c>
      <c r="T41" s="274"/>
      <c r="U41" s="272" t="s">
        <v>1734</v>
      </c>
      <c r="V41" s="282">
        <f>-V39/V35</f>
        <v>0.12859813801925007</v>
      </c>
      <c r="W41" s="282">
        <f t="shared" ref="W41:AB41" si="9">-W39/W35</f>
        <v>9.3674051373863781E-2</v>
      </c>
      <c r="X41" s="282">
        <f t="shared" si="9"/>
        <v>7.349400169087017E-2</v>
      </c>
      <c r="Y41" s="282">
        <f t="shared" si="9"/>
        <v>5.2260288658350501E-2</v>
      </c>
      <c r="Z41" s="282">
        <f t="shared" si="9"/>
        <v>0</v>
      </c>
      <c r="AA41" s="282">
        <f t="shared" si="9"/>
        <v>-1.4333112143331124</v>
      </c>
      <c r="AB41" s="282">
        <f t="shared" si="9"/>
        <v>0</v>
      </c>
      <c r="AC41" s="274"/>
      <c r="AD41" s="272" t="s">
        <v>1734</v>
      </c>
      <c r="AE41" s="282">
        <f>-AE39/AE35</f>
        <v>-0.2665022956428133</v>
      </c>
      <c r="AF41" s="282">
        <f t="shared" ref="AF41:AK41" si="10">-AF39/AF35</f>
        <v>-0.31080410518879342</v>
      </c>
      <c r="AG41" s="282">
        <f t="shared" si="10"/>
        <v>-2.3087471543234435E-2</v>
      </c>
      <c r="AH41" s="282">
        <f t="shared" si="10"/>
        <v>-0.15984647102463168</v>
      </c>
      <c r="AI41" s="282">
        <f t="shared" si="10"/>
        <v>0</v>
      </c>
      <c r="AJ41" s="282">
        <f t="shared" si="10"/>
        <v>-0.37879462865143515</v>
      </c>
      <c r="AK41" s="282">
        <f t="shared" si="10"/>
        <v>0.13220556539406653</v>
      </c>
    </row>
    <row r="42" spans="2:37">
      <c r="B42" s="279"/>
      <c r="C42" s="279"/>
      <c r="D42" s="279"/>
      <c r="E42" s="279"/>
      <c r="F42" s="279"/>
      <c r="G42" s="279"/>
      <c r="H42" s="279"/>
      <c r="I42" s="279"/>
      <c r="J42" s="279"/>
      <c r="K42" s="271"/>
      <c r="L42" s="279"/>
      <c r="M42" s="279"/>
      <c r="N42" s="279"/>
      <c r="O42" s="279"/>
      <c r="P42" s="279"/>
      <c r="Q42" s="279"/>
      <c r="R42" s="279"/>
      <c r="S42" s="279"/>
      <c r="T42" s="271"/>
      <c r="U42" s="279"/>
      <c r="V42" s="279"/>
      <c r="W42" s="279"/>
      <c r="X42" s="279"/>
      <c r="Y42" s="279"/>
      <c r="Z42" s="279"/>
      <c r="AA42" s="279"/>
      <c r="AB42" s="279"/>
      <c r="AC42" s="271"/>
      <c r="AD42" s="279"/>
      <c r="AE42" s="279"/>
      <c r="AF42" s="279"/>
      <c r="AG42" s="279"/>
      <c r="AH42" s="279"/>
      <c r="AI42" s="279"/>
      <c r="AJ42" s="279"/>
      <c r="AK42" s="279"/>
    </row>
    <row r="43" spans="2:37">
      <c r="B43" s="272" t="s">
        <v>1736</v>
      </c>
      <c r="C43" s="272" t="s">
        <v>1737</v>
      </c>
      <c r="D43" s="273">
        <v>118</v>
      </c>
      <c r="E43" s="273">
        <v>573</v>
      </c>
      <c r="F43" s="273">
        <v>49.890205287996395</v>
      </c>
      <c r="G43" s="273">
        <v>76</v>
      </c>
      <c r="H43" s="273">
        <v>1.609</v>
      </c>
      <c r="I43" s="273">
        <v>5.8780000000000001</v>
      </c>
      <c r="J43" s="273">
        <v>57</v>
      </c>
      <c r="K43" s="274"/>
      <c r="L43" s="272" t="s">
        <v>1736</v>
      </c>
      <c r="M43" s="273">
        <v>256</v>
      </c>
      <c r="N43" s="273">
        <v>690.07267917999991</v>
      </c>
      <c r="O43" s="273">
        <v>77.131220733346893</v>
      </c>
      <c r="P43" s="273">
        <v>72.36552417</v>
      </c>
      <c r="Q43" s="273">
        <v>-78</v>
      </c>
      <c r="R43" s="273">
        <v>24</v>
      </c>
      <c r="S43" s="273">
        <v>-431.51043559012402</v>
      </c>
      <c r="T43" s="274"/>
      <c r="U43" s="272" t="s">
        <v>1736</v>
      </c>
      <c r="V43" s="273">
        <v>202.38455683000402</v>
      </c>
      <c r="W43" s="273">
        <v>566.39456560999304</v>
      </c>
      <c r="X43" s="273">
        <v>52.2497657008158</v>
      </c>
      <c r="Y43" s="273">
        <v>88</v>
      </c>
      <c r="Z43" s="273">
        <v>-89</v>
      </c>
      <c r="AA43" s="273">
        <v>-13.0665713149995</v>
      </c>
      <c r="AB43" s="273">
        <v>-141.16900000000001</v>
      </c>
      <c r="AC43" s="274"/>
      <c r="AD43" s="272" t="s">
        <v>1736</v>
      </c>
      <c r="AE43" s="273">
        <v>42.405202265995001</v>
      </c>
      <c r="AF43" s="273">
        <v>34</v>
      </c>
      <c r="AG43" s="273">
        <v>34</v>
      </c>
      <c r="AH43" s="273">
        <v>33</v>
      </c>
      <c r="AI43" s="273">
        <v>-141</v>
      </c>
      <c r="AJ43" s="273">
        <v>32</v>
      </c>
      <c r="AK43" s="273">
        <v>-98</v>
      </c>
    </row>
    <row r="44" spans="2:37">
      <c r="B44" s="279"/>
      <c r="C44" s="279"/>
      <c r="D44" s="279"/>
      <c r="E44" s="279"/>
      <c r="F44" s="279"/>
      <c r="G44" s="279"/>
      <c r="H44" s="279"/>
      <c r="I44" s="279"/>
      <c r="J44" s="279"/>
      <c r="K44" s="271"/>
      <c r="L44" s="279"/>
      <c r="M44" s="279"/>
      <c r="N44" s="279"/>
      <c r="O44" s="279"/>
      <c r="P44" s="279"/>
      <c r="Q44" s="279"/>
      <c r="R44" s="279"/>
      <c r="S44" s="279"/>
      <c r="T44" s="271"/>
      <c r="U44" s="279"/>
      <c r="V44" s="279"/>
      <c r="W44" s="279"/>
      <c r="X44" s="279"/>
      <c r="Y44" s="279"/>
      <c r="Z44" s="279"/>
      <c r="AA44" s="279"/>
      <c r="AB44" s="279"/>
      <c r="AC44" s="271"/>
      <c r="AD44" s="279"/>
      <c r="AE44" s="279"/>
      <c r="AF44" s="279"/>
      <c r="AG44" s="279"/>
      <c r="AH44" s="279"/>
      <c r="AI44" s="279"/>
      <c r="AJ44" s="279"/>
      <c r="AK44" s="279"/>
    </row>
    <row r="45" spans="2:37">
      <c r="B45" s="272" t="s">
        <v>1738</v>
      </c>
      <c r="C45" s="272" t="s">
        <v>1739</v>
      </c>
      <c r="D45" s="282">
        <v>-0.20160151694915251</v>
      </c>
      <c r="E45" s="282">
        <v>0.14455010994764395</v>
      </c>
      <c r="F45" s="282">
        <v>0.1698654465556789</v>
      </c>
      <c r="G45" s="282">
        <v>0.11469865789473686</v>
      </c>
      <c r="H45" s="282">
        <v>8.9979490366687342E-2</v>
      </c>
      <c r="I45" s="282">
        <v>0.32987410683906093</v>
      </c>
      <c r="J45" s="282">
        <v>0.72408771929824567</v>
      </c>
      <c r="K45" s="283"/>
      <c r="L45" s="272" t="s">
        <v>1738</v>
      </c>
      <c r="M45" s="282">
        <f>+M39/M43*-1</f>
        <v>0.16794284765625</v>
      </c>
      <c r="N45" s="282">
        <f t="shared" ref="N45:S45" si="11">+N39/N43*-1</f>
        <v>0.18753904611001554</v>
      </c>
      <c r="O45" s="282">
        <f t="shared" si="11"/>
        <v>0.11112623291198974</v>
      </c>
      <c r="P45" s="282">
        <f t="shared" si="11"/>
        <v>0.10086240766878699</v>
      </c>
      <c r="Q45" s="282">
        <f t="shared" si="11"/>
        <v>1.8561153846153838E-3</v>
      </c>
      <c r="R45" s="282">
        <f t="shared" si="11"/>
        <v>0.17883333333333332</v>
      </c>
      <c r="S45" s="282">
        <f t="shared" si="11"/>
        <v>4.4912007686433747E-2</v>
      </c>
      <c r="T45" s="283"/>
      <c r="U45" s="272" t="s">
        <v>1738</v>
      </c>
      <c r="V45" s="282">
        <f>+V39/V43*-1</f>
        <v>0.15295096861565902</v>
      </c>
      <c r="W45" s="282">
        <f t="shared" ref="W45:AB45" si="12">+W39/W43*-1</f>
        <v>0.14024672343819267</v>
      </c>
      <c r="X45" s="282">
        <f t="shared" si="12"/>
        <v>0.10488592487438524</v>
      </c>
      <c r="Y45" s="282">
        <f t="shared" si="12"/>
        <v>8.4158784090909128E-2</v>
      </c>
      <c r="Z45" s="282">
        <f t="shared" si="12"/>
        <v>0</v>
      </c>
      <c r="AA45" s="282">
        <f t="shared" si="12"/>
        <v>0.33061465749939661</v>
      </c>
      <c r="AB45" s="282">
        <f t="shared" si="12"/>
        <v>0</v>
      </c>
      <c r="AC45" s="283"/>
      <c r="AD45" s="272" t="s">
        <v>1738</v>
      </c>
      <c r="AE45" s="282">
        <f>+AE39/AE43*-1</f>
        <v>-1.4367364791195967</v>
      </c>
      <c r="AF45" s="282">
        <f t="shared" ref="AF45:AK45" si="13">+AF39/AF43*-1</f>
        <v>-5.5064312352941167</v>
      </c>
      <c r="AG45" s="282">
        <f t="shared" si="13"/>
        <v>-6.7451205882352983E-2</v>
      </c>
      <c r="AH45" s="282">
        <f t="shared" si="13"/>
        <v>-0.35196878787878794</v>
      </c>
      <c r="AI45" s="282">
        <f t="shared" si="13"/>
        <v>0</v>
      </c>
      <c r="AJ45" s="282">
        <f t="shared" si="13"/>
        <v>-0.74399999999999999</v>
      </c>
      <c r="AK45" s="282">
        <f t="shared" si="13"/>
        <v>0.39307142857142846</v>
      </c>
    </row>
    <row r="48" spans="2:37">
      <c r="B48" s="444" t="s">
        <v>1750</v>
      </c>
      <c r="C48" s="444" t="s">
        <v>1751</v>
      </c>
      <c r="D48" s="445" t="s">
        <v>89</v>
      </c>
      <c r="E48" s="445" t="s">
        <v>110</v>
      </c>
      <c r="F48" s="445" t="s">
        <v>113</v>
      </c>
      <c r="G48" s="445" t="s">
        <v>116</v>
      </c>
      <c r="H48" s="445" t="s">
        <v>119</v>
      </c>
      <c r="I48" s="445" t="s">
        <v>122</v>
      </c>
      <c r="J48" s="445" t="s">
        <v>125</v>
      </c>
      <c r="L48" s="444" t="s">
        <v>1752</v>
      </c>
      <c r="M48" s="445" t="s">
        <v>89</v>
      </c>
      <c r="N48" s="445" t="s">
        <v>110</v>
      </c>
      <c r="O48" s="445" t="s">
        <v>113</v>
      </c>
      <c r="P48" s="445" t="s">
        <v>116</v>
      </c>
      <c r="Q48" s="445" t="s">
        <v>119</v>
      </c>
      <c r="R48" s="445" t="s">
        <v>122</v>
      </c>
      <c r="S48" s="445" t="s">
        <v>125</v>
      </c>
      <c r="T48" s="271"/>
      <c r="U48" s="444" t="s">
        <v>1753</v>
      </c>
      <c r="V48" s="445" t="s">
        <v>89</v>
      </c>
      <c r="W48" s="445" t="s">
        <v>110</v>
      </c>
      <c r="X48" s="445" t="s">
        <v>113</v>
      </c>
      <c r="Y48" s="445" t="s">
        <v>116</v>
      </c>
      <c r="Z48" s="445" t="s">
        <v>119</v>
      </c>
      <c r="AA48" s="445" t="s">
        <v>122</v>
      </c>
      <c r="AB48" s="445" t="s">
        <v>125</v>
      </c>
      <c r="AC48" s="271"/>
      <c r="AD48" s="444" t="s">
        <v>1754</v>
      </c>
      <c r="AE48" s="445" t="s">
        <v>89</v>
      </c>
      <c r="AF48" s="445" t="s">
        <v>110</v>
      </c>
      <c r="AG48" s="445" t="s">
        <v>113</v>
      </c>
      <c r="AH48" s="445" t="s">
        <v>116</v>
      </c>
      <c r="AI48" s="445" t="s">
        <v>119</v>
      </c>
      <c r="AJ48" s="445" t="s">
        <v>122</v>
      </c>
      <c r="AK48" s="445" t="s">
        <v>125</v>
      </c>
    </row>
    <row r="49" spans="2:37">
      <c r="B49" s="272" t="s">
        <v>1724</v>
      </c>
      <c r="C49" s="272" t="s">
        <v>1724</v>
      </c>
      <c r="D49" s="273">
        <v>193.03126500000027</v>
      </c>
      <c r="E49" s="273">
        <v>524.59791599999937</v>
      </c>
      <c r="F49" s="273">
        <v>74.936887000000183</v>
      </c>
      <c r="G49" s="273">
        <v>122.27421999999987</v>
      </c>
      <c r="H49" s="273">
        <v>-15.997</v>
      </c>
      <c r="I49" s="273">
        <v>-22.045999999999999</v>
      </c>
      <c r="J49" s="273">
        <v>-77.353999999999999</v>
      </c>
      <c r="L49" s="272" t="s">
        <v>1724</v>
      </c>
      <c r="M49" s="273">
        <v>185.44638099999995</v>
      </c>
      <c r="N49" s="273">
        <v>585.357891</v>
      </c>
      <c r="O49" s="273">
        <v>99.346475000000098</v>
      </c>
      <c r="P49" s="273">
        <v>130.22024199999993</v>
      </c>
      <c r="Q49" s="273">
        <v>-215.982</v>
      </c>
      <c r="R49" s="273">
        <v>96.242000000000004</v>
      </c>
      <c r="S49" s="273">
        <v>-81.197000000000003</v>
      </c>
      <c r="T49" s="274"/>
      <c r="U49" s="272" t="s">
        <v>1724</v>
      </c>
      <c r="V49" s="273">
        <v>244.88109300000013</v>
      </c>
      <c r="W49" s="273">
        <v>658.96963300000016</v>
      </c>
      <c r="X49" s="273">
        <v>128.52328600000004</v>
      </c>
      <c r="Y49" s="273">
        <v>122.17170399999972</v>
      </c>
      <c r="Z49" s="273">
        <v>-133.33768499999999</v>
      </c>
      <c r="AA49" s="273">
        <v>47.250561999999917</v>
      </c>
      <c r="AB49" s="273">
        <v>99.899636000000115</v>
      </c>
      <c r="AC49" s="274"/>
      <c r="AD49" s="272" t="s">
        <v>1724</v>
      </c>
      <c r="AE49" s="273">
        <v>192.38410599999983</v>
      </c>
      <c r="AF49" s="273">
        <v>425.20124000000015</v>
      </c>
      <c r="AG49" s="273">
        <v>68.999084999999823</v>
      </c>
      <c r="AH49" s="273">
        <v>-7.5233290000000634</v>
      </c>
      <c r="AI49" s="273">
        <v>-122.5597639999999</v>
      </c>
      <c r="AJ49" s="273">
        <v>79.237756000000047</v>
      </c>
      <c r="AK49" s="273">
        <v>-12.44047699999984</v>
      </c>
    </row>
    <row r="50" spans="2:37">
      <c r="B50" s="276" t="s">
        <v>1726</v>
      </c>
      <c r="C50" s="276" t="s">
        <v>1727</v>
      </c>
      <c r="D50" s="277">
        <v>0</v>
      </c>
      <c r="E50" s="277">
        <v>0</v>
      </c>
      <c r="F50" s="277">
        <v>0</v>
      </c>
      <c r="G50" s="277">
        <v>0</v>
      </c>
      <c r="H50" s="277">
        <v>0</v>
      </c>
      <c r="I50" s="277">
        <v>0</v>
      </c>
      <c r="J50" s="277">
        <v>0</v>
      </c>
      <c r="L50" s="276" t="s">
        <v>1726</v>
      </c>
      <c r="M50" s="277">
        <v>-34.815162999999998</v>
      </c>
      <c r="N50" s="277">
        <v>-101.50337400000001</v>
      </c>
      <c r="O50" s="277">
        <v>-33.329338999999997</v>
      </c>
      <c r="P50" s="277">
        <v>-29.797689000000002</v>
      </c>
      <c r="Q50" s="277">
        <v>0</v>
      </c>
      <c r="R50" s="277">
        <v>0</v>
      </c>
      <c r="S50" s="277">
        <v>-12.414</v>
      </c>
      <c r="T50" s="274"/>
      <c r="U50" s="276" t="s">
        <v>1726</v>
      </c>
      <c r="V50" s="277">
        <v>-34.197029000000008</v>
      </c>
      <c r="W50" s="277">
        <v>-102.51352799999997</v>
      </c>
      <c r="X50" s="277">
        <v>-22.814312999999999</v>
      </c>
      <c r="Y50" s="277">
        <v>-22.557890999999998</v>
      </c>
      <c r="Z50" s="277">
        <v>0</v>
      </c>
      <c r="AA50" s="277">
        <v>0</v>
      </c>
      <c r="AB50" s="277">
        <v>-30.370917000000002</v>
      </c>
      <c r="AC50" s="274"/>
      <c r="AD50" s="276" t="s">
        <v>1726</v>
      </c>
      <c r="AE50" s="277">
        <v>32.409603000000004</v>
      </c>
      <c r="AF50" s="277">
        <v>80.525483999999977</v>
      </c>
      <c r="AG50" s="277">
        <v>58.547007999999991</v>
      </c>
      <c r="AH50" s="277">
        <v>15.705575000000001</v>
      </c>
      <c r="AI50" s="277">
        <v>0</v>
      </c>
      <c r="AJ50" s="277">
        <v>0</v>
      </c>
      <c r="AK50" s="277">
        <v>452.22757000000001</v>
      </c>
    </row>
    <row r="51" spans="2:37">
      <c r="B51" s="276" t="s">
        <v>1728</v>
      </c>
      <c r="C51" s="276" t="s">
        <v>1729</v>
      </c>
      <c r="D51" s="277">
        <v>-37.803281000000005</v>
      </c>
      <c r="E51" s="277">
        <v>-94.561605</v>
      </c>
      <c r="F51" s="277">
        <v>-10.120934</v>
      </c>
      <c r="G51" s="277">
        <v>-16.636595</v>
      </c>
      <c r="H51" s="277">
        <v>48.989485999999999</v>
      </c>
      <c r="I51" s="277">
        <v>0.29599999999999999</v>
      </c>
      <c r="J51" s="277">
        <v>18.544</v>
      </c>
      <c r="L51" s="276" t="s">
        <v>1728</v>
      </c>
      <c r="M51" s="277">
        <v>25.648276999999997</v>
      </c>
      <c r="N51" s="277">
        <v>71.424945000000008</v>
      </c>
      <c r="O51" s="277">
        <v>34.069890000000001</v>
      </c>
      <c r="P51" s="277">
        <v>26.846648000000002</v>
      </c>
      <c r="Q51" s="277">
        <v>0</v>
      </c>
      <c r="R51" s="277">
        <v>0</v>
      </c>
      <c r="S51" s="277">
        <v>12.414154000000003</v>
      </c>
      <c r="T51" s="274"/>
      <c r="U51" s="276" t="s">
        <v>1728</v>
      </c>
      <c r="V51" s="277">
        <v>4.39818</v>
      </c>
      <c r="W51" s="277">
        <v>-2.6539280000000001</v>
      </c>
      <c r="X51" s="277">
        <v>13.135901</v>
      </c>
      <c r="Y51" s="277">
        <v>14.986355999999999</v>
      </c>
      <c r="Z51" s="277">
        <v>0</v>
      </c>
      <c r="AA51" s="277">
        <v>0</v>
      </c>
      <c r="AB51" s="277">
        <v>-2.56786</v>
      </c>
      <c r="AC51" s="274"/>
      <c r="AD51" s="276" t="s">
        <v>1728</v>
      </c>
      <c r="AE51" s="277">
        <v>38.537022999999998</v>
      </c>
      <c r="AF51" s="277">
        <v>64.885462000000004</v>
      </c>
      <c r="AG51" s="277">
        <v>10.77187</v>
      </c>
      <c r="AH51" s="277">
        <v>31.768623999999999</v>
      </c>
      <c r="AI51" s="277">
        <v>0</v>
      </c>
      <c r="AJ51" s="277">
        <v>0</v>
      </c>
      <c r="AK51" s="277">
        <v>-12.479940999999997</v>
      </c>
    </row>
    <row r="52" spans="2:37">
      <c r="B52" s="276" t="s">
        <v>1730</v>
      </c>
      <c r="C52" s="276" t="s">
        <v>1731</v>
      </c>
      <c r="D52" s="277">
        <v>30.818718000000001</v>
      </c>
      <c r="E52" s="277">
        <v>33.033052000000005</v>
      </c>
      <c r="F52" s="277">
        <v>5.3360259999999995</v>
      </c>
      <c r="G52" s="277">
        <v>9.8315959999999993</v>
      </c>
      <c r="H52" s="277">
        <v>-48.989485999999999</v>
      </c>
      <c r="I52" s="277">
        <v>-0.29599999999999999</v>
      </c>
      <c r="J52" s="277">
        <v>-18.544</v>
      </c>
      <c r="L52" s="276" t="s">
        <v>1730</v>
      </c>
      <c r="M52" s="277">
        <v>-9.1668860000000016</v>
      </c>
      <c r="N52" s="277">
        <v>-30.078429</v>
      </c>
      <c r="O52" s="277">
        <v>0.74055100000000351</v>
      </c>
      <c r="P52" s="277">
        <v>-2.951041</v>
      </c>
      <c r="Q52" s="277">
        <v>0</v>
      </c>
      <c r="R52" s="277">
        <v>0</v>
      </c>
      <c r="S52" s="277">
        <v>1.5400000000376224E-4</v>
      </c>
      <c r="T52" s="274"/>
      <c r="U52" s="276" t="s">
        <v>1730</v>
      </c>
      <c r="V52" s="277">
        <v>-29.798849000000008</v>
      </c>
      <c r="W52" s="277">
        <v>-105.16745599999996</v>
      </c>
      <c r="X52" s="277">
        <v>-9.678411999999998</v>
      </c>
      <c r="Y52" s="277">
        <v>-7.571534999999999</v>
      </c>
      <c r="Z52" s="277">
        <v>0</v>
      </c>
      <c r="AA52" s="277">
        <v>0</v>
      </c>
      <c r="AB52" s="277">
        <v>-32.938777000000002</v>
      </c>
      <c r="AC52" s="274"/>
      <c r="AD52" s="276" t="s">
        <v>1730</v>
      </c>
      <c r="AE52" s="277">
        <v>-66.77</v>
      </c>
      <c r="AF52" s="277">
        <v>-113.452</v>
      </c>
      <c r="AG52" s="277">
        <v>-67.308000000000007</v>
      </c>
      <c r="AH52" s="277">
        <v>-37.923999999999999</v>
      </c>
      <c r="AI52" s="277">
        <v>0</v>
      </c>
      <c r="AJ52" s="277">
        <v>0</v>
      </c>
      <c r="AK52" s="277">
        <v>-406.80900000000003</v>
      </c>
    </row>
    <row r="53" spans="2:37">
      <c r="B53" s="272" t="s">
        <v>1732</v>
      </c>
      <c r="C53" s="272" t="s">
        <v>1733</v>
      </c>
      <c r="D53" s="273">
        <f>SUM(D50:D52)</f>
        <v>-6.984563000000005</v>
      </c>
      <c r="E53" s="273">
        <f t="shared" ref="E53:J53" si="14">SUM(E50:E52)</f>
        <v>-61.528552999999995</v>
      </c>
      <c r="F53" s="273">
        <f t="shared" si="14"/>
        <v>-4.7849080000000006</v>
      </c>
      <c r="G53" s="273">
        <f t="shared" si="14"/>
        <v>-6.8049990000000005</v>
      </c>
      <c r="H53" s="273">
        <f t="shared" si="14"/>
        <v>0</v>
      </c>
      <c r="I53" s="273">
        <f t="shared" si="14"/>
        <v>0</v>
      </c>
      <c r="J53" s="273">
        <f t="shared" si="14"/>
        <v>0</v>
      </c>
      <c r="L53" s="272" t="s">
        <v>1732</v>
      </c>
      <c r="M53" s="273">
        <f>M52</f>
        <v>-9.1668860000000016</v>
      </c>
      <c r="N53" s="273">
        <f t="shared" ref="N53:S53" si="15">N52</f>
        <v>-30.078429</v>
      </c>
      <c r="O53" s="273">
        <f t="shared" si="15"/>
        <v>0.74055100000000351</v>
      </c>
      <c r="P53" s="273">
        <f t="shared" si="15"/>
        <v>-2.951041</v>
      </c>
      <c r="Q53" s="273">
        <f t="shared" si="15"/>
        <v>0</v>
      </c>
      <c r="R53" s="273">
        <f t="shared" si="15"/>
        <v>0</v>
      </c>
      <c r="S53" s="273">
        <f t="shared" si="15"/>
        <v>1.5400000000376224E-4</v>
      </c>
      <c r="T53" s="274"/>
      <c r="U53" s="272" t="s">
        <v>1732</v>
      </c>
      <c r="V53" s="273">
        <f>+V52</f>
        <v>-29.798849000000008</v>
      </c>
      <c r="W53" s="273">
        <f t="shared" ref="W53:AB53" si="16">+W52</f>
        <v>-105.16745599999996</v>
      </c>
      <c r="X53" s="273">
        <f t="shared" si="16"/>
        <v>-9.678411999999998</v>
      </c>
      <c r="Y53" s="273">
        <f t="shared" si="16"/>
        <v>-7.571534999999999</v>
      </c>
      <c r="Z53" s="273">
        <f t="shared" si="16"/>
        <v>0</v>
      </c>
      <c r="AA53" s="273">
        <f t="shared" si="16"/>
        <v>0</v>
      </c>
      <c r="AB53" s="273">
        <f t="shared" si="16"/>
        <v>-32.938777000000002</v>
      </c>
      <c r="AC53" s="274"/>
      <c r="AD53" s="272" t="s">
        <v>1732</v>
      </c>
      <c r="AE53" s="273">
        <f>SUM(AE50:AE52)</f>
        <v>4.1766260000000131</v>
      </c>
      <c r="AF53" s="273">
        <f t="shared" ref="AF53:AK53" si="17">SUM(AF50:AF52)</f>
        <v>31.958945999999969</v>
      </c>
      <c r="AG53" s="273">
        <f t="shared" si="17"/>
        <v>2.0108779999999769</v>
      </c>
      <c r="AH53" s="273">
        <f t="shared" si="17"/>
        <v>9.5501989999999992</v>
      </c>
      <c r="AI53" s="273">
        <f t="shared" si="17"/>
        <v>0</v>
      </c>
      <c r="AJ53" s="273">
        <f t="shared" si="17"/>
        <v>0</v>
      </c>
      <c r="AK53" s="273">
        <f t="shared" si="17"/>
        <v>32.938628999999992</v>
      </c>
    </row>
    <row r="54" spans="2:37">
      <c r="B54" s="279"/>
      <c r="C54" s="279"/>
      <c r="D54" s="279"/>
      <c r="E54" s="279"/>
      <c r="F54" s="279"/>
      <c r="G54" s="279"/>
      <c r="H54" s="279"/>
      <c r="I54" s="279"/>
      <c r="J54" s="279"/>
      <c r="L54" s="279"/>
      <c r="M54" s="279"/>
      <c r="N54" s="279"/>
      <c r="O54" s="279"/>
      <c r="P54" s="279"/>
      <c r="Q54" s="279"/>
      <c r="R54" s="279"/>
      <c r="S54" s="279"/>
      <c r="T54" s="271"/>
      <c r="U54" s="279"/>
      <c r="V54" s="279"/>
      <c r="W54" s="279"/>
      <c r="X54" s="279"/>
      <c r="Y54" s="279"/>
      <c r="Z54" s="279"/>
      <c r="AA54" s="279"/>
      <c r="AB54" s="279"/>
      <c r="AC54" s="271"/>
      <c r="AD54" s="279"/>
      <c r="AE54" s="279"/>
      <c r="AF54" s="279"/>
      <c r="AG54" s="279"/>
      <c r="AH54" s="279"/>
      <c r="AI54" s="279"/>
      <c r="AJ54" s="279"/>
      <c r="AK54" s="279"/>
    </row>
    <row r="55" spans="2:37">
      <c r="B55" s="272" t="s">
        <v>1734</v>
      </c>
      <c r="C55" s="272" t="s">
        <v>1735</v>
      </c>
      <c r="D55" s="282">
        <f>-D53/D49</f>
        <v>3.6183584042719687E-2</v>
      </c>
      <c r="E55" s="282">
        <f t="shared" ref="E55:J55" si="18">-E53/E49</f>
        <v>0.11728707096121989</v>
      </c>
      <c r="F55" s="282">
        <f t="shared" si="18"/>
        <v>6.3852505642514726E-2</v>
      </c>
      <c r="G55" s="282">
        <f t="shared" si="18"/>
        <v>5.5653587485571428E-2</v>
      </c>
      <c r="H55" s="282">
        <f t="shared" si="18"/>
        <v>0</v>
      </c>
      <c r="I55" s="282">
        <f t="shared" si="18"/>
        <v>0</v>
      </c>
      <c r="J55" s="282">
        <f t="shared" si="18"/>
        <v>0</v>
      </c>
      <c r="L55" s="272" t="s">
        <v>1734</v>
      </c>
      <c r="M55" s="282">
        <f>-M53/M49</f>
        <v>4.9431463426617119E-2</v>
      </c>
      <c r="N55" s="282">
        <f t="shared" ref="N55:S55" si="19">-N53/N49</f>
        <v>5.1384681854404181E-2</v>
      </c>
      <c r="O55" s="282">
        <f t="shared" si="19"/>
        <v>-7.4542252254043515E-3</v>
      </c>
      <c r="P55" s="282">
        <f t="shared" si="19"/>
        <v>2.2661922253223901E-2</v>
      </c>
      <c r="Q55" s="282">
        <f t="shared" si="19"/>
        <v>0</v>
      </c>
      <c r="R55" s="282">
        <f t="shared" si="19"/>
        <v>0</v>
      </c>
      <c r="S55" s="282">
        <f t="shared" si="19"/>
        <v>1.8966217964181218E-6</v>
      </c>
      <c r="T55" s="274"/>
      <c r="U55" s="272" t="s">
        <v>1734</v>
      </c>
      <c r="V55" s="281">
        <f>-V53/V49</f>
        <v>0.12168701403174476</v>
      </c>
      <c r="W55" s="281">
        <f t="shared" ref="W55:AB55" si="20">-W53/W49</f>
        <v>0.15959378207037947</v>
      </c>
      <c r="X55" s="281">
        <f t="shared" si="20"/>
        <v>7.5304735050113758E-2</v>
      </c>
      <c r="Y55" s="281">
        <f t="shared" si="20"/>
        <v>6.1974538719702363E-2</v>
      </c>
      <c r="Z55" s="281">
        <f t="shared" si="20"/>
        <v>0</v>
      </c>
      <c r="AA55" s="281">
        <f t="shared" si="20"/>
        <v>0</v>
      </c>
      <c r="AB55" s="281">
        <f t="shared" si="20"/>
        <v>0.32971868886489197</v>
      </c>
      <c r="AC55" s="274"/>
      <c r="AD55" s="272" t="s">
        <v>1734</v>
      </c>
      <c r="AE55" s="281">
        <f t="shared" ref="AE55:AJ55" si="21">-AE53/AE49</f>
        <v>-2.1709828773485148E-2</v>
      </c>
      <c r="AF55" s="281">
        <f t="shared" si="21"/>
        <v>-7.5161930383834147E-2</v>
      </c>
      <c r="AG55" s="281">
        <f t="shared" si="21"/>
        <v>-2.9143545889050299E-2</v>
      </c>
      <c r="AH55" s="281">
        <f t="shared" si="21"/>
        <v>1.2694113204407143</v>
      </c>
      <c r="AI55" s="281">
        <f t="shared" si="21"/>
        <v>0</v>
      </c>
      <c r="AJ55" s="281">
        <f t="shared" si="21"/>
        <v>0</v>
      </c>
      <c r="AK55" s="281">
        <v>0</v>
      </c>
    </row>
    <row r="56" spans="2:37">
      <c r="B56" s="279"/>
      <c r="C56" s="279"/>
      <c r="D56" s="279"/>
      <c r="E56" s="279"/>
      <c r="F56" s="279"/>
      <c r="G56" s="279"/>
      <c r="H56" s="279"/>
      <c r="I56" s="279"/>
      <c r="J56" s="279"/>
      <c r="L56" s="279"/>
      <c r="M56" s="279"/>
      <c r="N56" s="279"/>
      <c r="O56" s="279"/>
      <c r="P56" s="279"/>
      <c r="Q56" s="279"/>
      <c r="R56" s="279"/>
      <c r="S56" s="279"/>
      <c r="T56" s="271"/>
      <c r="U56" s="279"/>
      <c r="V56" s="279"/>
      <c r="W56" s="279"/>
      <c r="X56" s="279"/>
      <c r="Y56" s="279"/>
      <c r="Z56" s="279"/>
      <c r="AA56" s="279"/>
      <c r="AB56" s="279"/>
      <c r="AC56" s="271"/>
      <c r="AD56" s="279"/>
      <c r="AE56" s="279"/>
      <c r="AF56" s="279"/>
      <c r="AG56" s="279"/>
      <c r="AH56" s="279"/>
      <c r="AI56" s="279"/>
      <c r="AJ56" s="279"/>
      <c r="AK56" s="279"/>
    </row>
    <row r="57" spans="2:37">
      <c r="B57" s="272" t="s">
        <v>1736</v>
      </c>
      <c r="C57" s="272" t="s">
        <v>1737</v>
      </c>
      <c r="D57" s="273">
        <v>42.405202265995001</v>
      </c>
      <c r="E57" s="273">
        <v>34</v>
      </c>
      <c r="F57" s="273">
        <v>34</v>
      </c>
      <c r="G57" s="273">
        <v>33</v>
      </c>
      <c r="H57" s="273">
        <v>-141</v>
      </c>
      <c r="I57" s="273">
        <v>32</v>
      </c>
      <c r="J57" s="273">
        <v>-98</v>
      </c>
      <c r="L57" s="272" t="s">
        <v>1736</v>
      </c>
      <c r="M57" s="273">
        <v>86</v>
      </c>
      <c r="N57" s="273">
        <v>352</v>
      </c>
      <c r="O57" s="273">
        <v>-9</v>
      </c>
      <c r="P57" s="273">
        <v>32</v>
      </c>
      <c r="Q57" s="273">
        <v>-249</v>
      </c>
      <c r="R57" s="273">
        <v>16</v>
      </c>
      <c r="S57" s="273">
        <v>2</v>
      </c>
      <c r="T57" s="271"/>
      <c r="U57" s="272" t="s">
        <v>1736</v>
      </c>
      <c r="V57" s="273">
        <v>213</v>
      </c>
      <c r="W57" s="273">
        <v>645</v>
      </c>
      <c r="X57" s="273">
        <v>108</v>
      </c>
      <c r="Y57" s="273">
        <v>77</v>
      </c>
      <c r="Z57" s="273">
        <v>-103</v>
      </c>
      <c r="AA57" s="273">
        <v>40</v>
      </c>
      <c r="AB57" s="273">
        <v>142</v>
      </c>
      <c r="AC57" s="271"/>
      <c r="AD57" s="272" t="s">
        <v>1736</v>
      </c>
      <c r="AE57" s="273">
        <v>36</v>
      </c>
      <c r="AF57" s="273">
        <v>189</v>
      </c>
      <c r="AG57" s="273">
        <v>-16</v>
      </c>
      <c r="AH57" s="273">
        <v>-99</v>
      </c>
      <c r="AI57" s="273">
        <v>-338</v>
      </c>
      <c r="AJ57" s="273">
        <v>-74</v>
      </c>
      <c r="AK57" s="273">
        <v>-982</v>
      </c>
    </row>
    <row r="58" spans="2:37">
      <c r="B58" s="279"/>
      <c r="C58" s="279"/>
      <c r="D58" s="279"/>
      <c r="E58" s="279"/>
      <c r="F58" s="279"/>
      <c r="G58" s="279"/>
      <c r="H58" s="279"/>
      <c r="I58" s="279"/>
      <c r="J58" s="279"/>
      <c r="L58" s="279"/>
      <c r="M58" s="279"/>
      <c r="N58" s="279"/>
      <c r="O58" s="279"/>
      <c r="P58" s="279"/>
      <c r="Q58" s="279"/>
      <c r="R58" s="279"/>
      <c r="S58" s="279"/>
      <c r="T58" s="271"/>
      <c r="U58" s="279"/>
      <c r="V58" s="279"/>
      <c r="W58" s="279"/>
      <c r="X58" s="279"/>
      <c r="Y58" s="279"/>
      <c r="Z58" s="279"/>
      <c r="AA58" s="279"/>
      <c r="AB58" s="279"/>
      <c r="AC58" s="271"/>
      <c r="AD58" s="279"/>
      <c r="AE58" s="279"/>
      <c r="AF58" s="279"/>
      <c r="AG58" s="279"/>
      <c r="AH58" s="279"/>
      <c r="AI58" s="279"/>
      <c r="AJ58" s="279"/>
      <c r="AK58" s="279"/>
    </row>
    <row r="59" spans="2:37">
      <c r="B59" s="272" t="s">
        <v>1738</v>
      </c>
      <c r="C59" s="272" t="s">
        <v>1739</v>
      </c>
      <c r="D59" s="282">
        <f>IFERROR(D53/D57,0)*-1</f>
        <v>0.16471005034212441</v>
      </c>
      <c r="E59" s="282">
        <f t="shared" ref="E59:J59" si="22">IFERROR(E53/E57,0)*-1</f>
        <v>1.8096633235294117</v>
      </c>
      <c r="F59" s="282">
        <f t="shared" si="22"/>
        <v>0.14073258823529414</v>
      </c>
      <c r="G59" s="282">
        <f t="shared" si="22"/>
        <v>0.20621209090909093</v>
      </c>
      <c r="H59" s="282">
        <f t="shared" si="22"/>
        <v>0</v>
      </c>
      <c r="I59" s="282">
        <f t="shared" si="22"/>
        <v>0</v>
      </c>
      <c r="J59" s="282">
        <f t="shared" si="22"/>
        <v>0</v>
      </c>
      <c r="L59" s="272" t="s">
        <v>1738</v>
      </c>
      <c r="M59" s="282">
        <f>IFERROR(M53/M57,0)*-1</f>
        <v>0.10659169767441862</v>
      </c>
      <c r="N59" s="282">
        <f t="shared" ref="N59:S59" si="23">IFERROR(N53/N57,0)*-1</f>
        <v>8.5450082386363632E-2</v>
      </c>
      <c r="O59" s="282">
        <f t="shared" si="23"/>
        <v>8.2283444444444839E-2</v>
      </c>
      <c r="P59" s="282">
        <f t="shared" si="23"/>
        <v>9.2220031250000001E-2</v>
      </c>
      <c r="Q59" s="282">
        <f t="shared" si="23"/>
        <v>0</v>
      </c>
      <c r="R59" s="282">
        <f t="shared" si="23"/>
        <v>0</v>
      </c>
      <c r="S59" s="282">
        <f t="shared" si="23"/>
        <v>-7.7000000001881119E-5</v>
      </c>
      <c r="T59" s="283"/>
      <c r="U59" s="272" t="s">
        <v>1738</v>
      </c>
      <c r="V59" s="282">
        <f>+V53/V57*-1</f>
        <v>0.13990069953051648</v>
      </c>
      <c r="W59" s="282">
        <f t="shared" ref="W59:AB59" si="24">+W53/W57*-1</f>
        <v>0.1630503193798449</v>
      </c>
      <c r="X59" s="282">
        <f t="shared" si="24"/>
        <v>8.9614925925925903E-2</v>
      </c>
      <c r="Y59" s="282">
        <f t="shared" si="24"/>
        <v>9.8331623376623364E-2</v>
      </c>
      <c r="Z59" s="282">
        <f t="shared" si="24"/>
        <v>0</v>
      </c>
      <c r="AA59" s="282">
        <f t="shared" si="24"/>
        <v>0</v>
      </c>
      <c r="AB59" s="282">
        <f t="shared" si="24"/>
        <v>0.23196321830985916</v>
      </c>
      <c r="AC59" s="283"/>
      <c r="AD59" s="272" t="s">
        <v>1738</v>
      </c>
      <c r="AE59" s="282">
        <f>+AE53/AE57*-1</f>
        <v>-0.11601738888888925</v>
      </c>
      <c r="AF59" s="282">
        <f t="shared" ref="AF59:AK59" si="25">+AF53/AF57*-1</f>
        <v>-0.16909495238095221</v>
      </c>
      <c r="AG59" s="282">
        <f t="shared" si="25"/>
        <v>0.12567987499999855</v>
      </c>
      <c r="AH59" s="282">
        <f t="shared" si="25"/>
        <v>9.6466656565656561E-2</v>
      </c>
      <c r="AI59" s="282">
        <f t="shared" si="25"/>
        <v>0</v>
      </c>
      <c r="AJ59" s="282">
        <f t="shared" si="25"/>
        <v>0</v>
      </c>
      <c r="AK59" s="282">
        <f t="shared" si="25"/>
        <v>3.3542392057026471E-2</v>
      </c>
    </row>
    <row r="60" spans="2:37">
      <c r="B60" s="284"/>
      <c r="C60" s="284"/>
      <c r="D60" s="285"/>
      <c r="E60" s="285"/>
      <c r="F60" s="285"/>
      <c r="G60" s="285"/>
      <c r="H60" s="285"/>
      <c r="I60" s="285"/>
      <c r="J60" s="285"/>
      <c r="K60" s="286"/>
      <c r="L60" s="284"/>
      <c r="M60" s="285"/>
      <c r="N60" s="285"/>
      <c r="O60" s="285"/>
      <c r="P60" s="285"/>
      <c r="Q60" s="285"/>
      <c r="R60" s="285"/>
      <c r="S60" s="285"/>
      <c r="T60" s="286"/>
      <c r="U60" s="284"/>
      <c r="V60" s="285"/>
      <c r="W60" s="285"/>
      <c r="X60" s="285"/>
      <c r="Y60" s="285"/>
      <c r="Z60" s="285"/>
      <c r="AA60" s="285"/>
      <c r="AB60" s="285"/>
      <c r="AC60" s="286"/>
      <c r="AD60" s="284"/>
      <c r="AE60" s="285"/>
      <c r="AF60" s="285"/>
      <c r="AG60" s="285"/>
      <c r="AH60" s="285"/>
      <c r="AI60" s="285"/>
      <c r="AJ60" s="285"/>
      <c r="AK60" s="285"/>
    </row>
    <row r="61" spans="2:37">
      <c r="B61" s="134"/>
      <c r="C61" s="134"/>
      <c r="L61" s="134"/>
    </row>
    <row r="62" spans="2:37">
      <c r="B62" s="444" t="s">
        <v>1755</v>
      </c>
      <c r="C62" s="444" t="s">
        <v>1756</v>
      </c>
      <c r="D62" s="445" t="s">
        <v>89</v>
      </c>
      <c r="E62" s="445" t="s">
        <v>110</v>
      </c>
      <c r="F62" s="445" t="s">
        <v>113</v>
      </c>
      <c r="G62" s="445" t="s">
        <v>116</v>
      </c>
      <c r="H62" s="445" t="s">
        <v>119</v>
      </c>
      <c r="I62" s="445" t="s">
        <v>122</v>
      </c>
      <c r="J62" s="445" t="s">
        <v>125</v>
      </c>
      <c r="L62" s="444" t="s">
        <v>1757</v>
      </c>
      <c r="M62" s="445" t="s">
        <v>89</v>
      </c>
      <c r="N62" s="445" t="s">
        <v>110</v>
      </c>
      <c r="O62" s="445" t="s">
        <v>113</v>
      </c>
      <c r="P62" s="445" t="s">
        <v>116</v>
      </c>
      <c r="Q62" s="445" t="s">
        <v>119</v>
      </c>
      <c r="R62" s="445" t="s">
        <v>122</v>
      </c>
      <c r="S62" s="445" t="s">
        <v>125</v>
      </c>
      <c r="U62" s="444" t="s">
        <v>2156</v>
      </c>
      <c r="V62" s="445" t="s">
        <v>89</v>
      </c>
      <c r="W62" s="445" t="s">
        <v>110</v>
      </c>
      <c r="X62" s="445" t="s">
        <v>113</v>
      </c>
      <c r="Y62" s="445" t="s">
        <v>116</v>
      </c>
      <c r="Z62" s="445" t="s">
        <v>119</v>
      </c>
      <c r="AA62" s="445" t="s">
        <v>122</v>
      </c>
      <c r="AB62" s="445" t="s">
        <v>125</v>
      </c>
      <c r="AD62" s="444" t="s">
        <v>2157</v>
      </c>
      <c r="AE62" s="445" t="s">
        <v>89</v>
      </c>
      <c r="AF62" s="445" t="s">
        <v>110</v>
      </c>
      <c r="AG62" s="445" t="s">
        <v>113</v>
      </c>
      <c r="AH62" s="445" t="s">
        <v>116</v>
      </c>
      <c r="AI62" s="445" t="s">
        <v>119</v>
      </c>
      <c r="AJ62" s="445" t="s">
        <v>122</v>
      </c>
      <c r="AK62" s="445" t="s">
        <v>125</v>
      </c>
    </row>
    <row r="63" spans="2:37">
      <c r="B63" s="272" t="s">
        <v>1724</v>
      </c>
      <c r="C63" s="272" t="s">
        <v>1724</v>
      </c>
      <c r="D63" s="273">
        <v>177.48232600000028</v>
      </c>
      <c r="E63" s="273">
        <v>486.45355400000017</v>
      </c>
      <c r="F63" s="273">
        <v>53.482168000000065</v>
      </c>
      <c r="G63" s="273">
        <v>83.936762999999914</v>
      </c>
      <c r="H63" s="273">
        <v>-3.3815470000000496</v>
      </c>
      <c r="I63" s="273">
        <v>9.8525220000000271</v>
      </c>
      <c r="J63" s="273">
        <v>-22.878784999999976</v>
      </c>
      <c r="L63" s="272" t="s">
        <v>1724</v>
      </c>
      <c r="M63" s="273">
        <v>315.76389400000005</v>
      </c>
      <c r="N63" s="273">
        <v>424.95249899999942</v>
      </c>
      <c r="O63" s="273">
        <v>136.82016400000009</v>
      </c>
      <c r="P63" s="273">
        <v>140.12849199999974</v>
      </c>
      <c r="Q63" s="273">
        <v>-235.32805199999984</v>
      </c>
      <c r="R63" s="273">
        <v>19.557914000000018</v>
      </c>
      <c r="S63" s="273">
        <v>-3.9775119999995221</v>
      </c>
      <c r="U63" s="272" t="s">
        <v>1724</v>
      </c>
      <c r="V63" s="273">
        <v>146.87607500000004</v>
      </c>
      <c r="W63" s="273">
        <v>453.28415300000006</v>
      </c>
      <c r="X63" s="273">
        <v>133.01846499999968</v>
      </c>
      <c r="Y63" s="273">
        <v>70.06487100000011</v>
      </c>
      <c r="Z63" s="273">
        <v>-263.37718199999995</v>
      </c>
      <c r="AA63" s="273">
        <v>-26.592821999999927</v>
      </c>
      <c r="AB63" s="273">
        <v>-19.919241999999851</v>
      </c>
      <c r="AD63" s="272" t="s">
        <v>1724</v>
      </c>
      <c r="AE63" s="273">
        <v>238.23316499999956</v>
      </c>
      <c r="AF63" s="273">
        <v>439.97152499999919</v>
      </c>
      <c r="AG63" s="273">
        <v>296.04284499999977</v>
      </c>
      <c r="AH63" s="273">
        <v>60.038302999999928</v>
      </c>
      <c r="AI63" s="273">
        <v>-202.49688400000002</v>
      </c>
      <c r="AJ63" s="273">
        <v>7.7562960000000309</v>
      </c>
      <c r="AK63" s="273">
        <v>-591.93378300000006</v>
      </c>
    </row>
    <row r="64" spans="2:37">
      <c r="B64" s="276" t="s">
        <v>1726</v>
      </c>
      <c r="C64" s="276" t="s">
        <v>1727</v>
      </c>
      <c r="D64" s="277">
        <v>0</v>
      </c>
      <c r="E64" s="277">
        <v>0</v>
      </c>
      <c r="F64" s="277">
        <v>0</v>
      </c>
      <c r="G64" s="277">
        <v>0</v>
      </c>
      <c r="H64" s="277">
        <v>0</v>
      </c>
      <c r="I64" s="277">
        <v>0</v>
      </c>
      <c r="J64" s="277">
        <v>0</v>
      </c>
      <c r="L64" s="276" t="s">
        <v>1726</v>
      </c>
      <c r="M64" s="277">
        <v>-39.70641100000001</v>
      </c>
      <c r="N64" s="277">
        <v>-64.272909999999996</v>
      </c>
      <c r="O64" s="277">
        <v>-40.982342999999993</v>
      </c>
      <c r="P64" s="277">
        <v>-33.939017999999997</v>
      </c>
      <c r="Q64" s="277">
        <v>0</v>
      </c>
      <c r="R64" s="277">
        <v>-7.6099819999999996</v>
      </c>
      <c r="S64" s="277">
        <v>8.9244899999999987</v>
      </c>
      <c r="U64" s="276" t="s">
        <v>1726</v>
      </c>
      <c r="V64" s="277">
        <v>-42.544341000000003</v>
      </c>
      <c r="W64" s="277">
        <v>-64.598812000000024</v>
      </c>
      <c r="X64" s="277">
        <v>-34.987067000000003</v>
      </c>
      <c r="Y64" s="277">
        <v>-4.0558650000000016</v>
      </c>
      <c r="Z64" s="277">
        <v>0</v>
      </c>
      <c r="AA64" s="277">
        <v>-4.5164429999999989</v>
      </c>
      <c r="AB64" s="277">
        <v>23.201687</v>
      </c>
      <c r="AD64" s="276" t="s">
        <v>1726</v>
      </c>
      <c r="AE64" s="277">
        <v>-9.1300550000000005</v>
      </c>
      <c r="AF64" s="277">
        <v>-29.826542000000014</v>
      </c>
      <c r="AG64" s="277">
        <v>-21.509480000000011</v>
      </c>
      <c r="AH64" s="277">
        <v>-5.0692270000000006</v>
      </c>
      <c r="AI64" s="277">
        <v>0</v>
      </c>
      <c r="AJ64" s="277">
        <v>-8.310981</v>
      </c>
      <c r="AK64" s="277">
        <v>228.39096700000002</v>
      </c>
    </row>
    <row r="65" spans="2:37">
      <c r="B65" s="276" t="s">
        <v>1728</v>
      </c>
      <c r="C65" s="276" t="s">
        <v>1729</v>
      </c>
      <c r="D65" s="277">
        <v>-35.29501299999999</v>
      </c>
      <c r="E65" s="277">
        <v>-93.309398000000002</v>
      </c>
      <c r="F65" s="277">
        <v>-6.6205089999999984</v>
      </c>
      <c r="G65" s="277">
        <v>-28.070906999999998</v>
      </c>
      <c r="H65" s="277">
        <v>0</v>
      </c>
      <c r="I65" s="277">
        <v>-2.1699499999999996</v>
      </c>
      <c r="J65" s="277">
        <v>25.240435000000002</v>
      </c>
      <c r="L65" s="276" t="s">
        <v>1728</v>
      </c>
      <c r="M65" s="277">
        <v>-11.098447</v>
      </c>
      <c r="N65" s="277">
        <v>0.72404100000000005</v>
      </c>
      <c r="O65" s="277">
        <v>28.640034</v>
      </c>
      <c r="P65" s="277">
        <v>-2.4608910000000002</v>
      </c>
      <c r="Q65" s="277">
        <v>0</v>
      </c>
      <c r="R65" s="277">
        <v>0</v>
      </c>
      <c r="S65" s="277">
        <v>-41.063468999999998</v>
      </c>
      <c r="U65" s="276" t="s">
        <v>1728</v>
      </c>
      <c r="V65" s="277">
        <v>-37.531696000000004</v>
      </c>
      <c r="W65" s="277">
        <v>16.440586</v>
      </c>
      <c r="X65" s="277">
        <v>8.9047340000000013</v>
      </c>
      <c r="Y65" s="277">
        <v>-9.0378220000000002</v>
      </c>
      <c r="Z65" s="277">
        <v>0</v>
      </c>
      <c r="AA65" s="277">
        <v>0</v>
      </c>
      <c r="AB65" s="277">
        <v>-34.251835</v>
      </c>
      <c r="AD65" s="276" t="s">
        <v>1728</v>
      </c>
      <c r="AE65" s="277">
        <v>-34.140639999999998</v>
      </c>
      <c r="AF65" s="277">
        <v>-29.790596000000001</v>
      </c>
      <c r="AG65" s="277">
        <v>-14.339950999999999</v>
      </c>
      <c r="AH65" s="277">
        <v>0.191411</v>
      </c>
      <c r="AI65" s="277">
        <v>0</v>
      </c>
      <c r="AJ65" s="277">
        <v>0</v>
      </c>
      <c r="AK65" s="277">
        <v>-230.255582</v>
      </c>
    </row>
    <row r="66" spans="2:37">
      <c r="B66" s="276" t="s">
        <v>2076</v>
      </c>
      <c r="C66" s="276" t="s">
        <v>2077</v>
      </c>
      <c r="D66" s="277"/>
      <c r="E66" s="277"/>
      <c r="F66" s="277"/>
      <c r="G66" s="277"/>
      <c r="H66" s="277"/>
      <c r="I66" s="277"/>
      <c r="J66" s="277"/>
      <c r="L66" s="276" t="s">
        <v>2076</v>
      </c>
      <c r="M66" s="277"/>
      <c r="N66" s="277"/>
      <c r="O66" s="277"/>
      <c r="P66" s="277"/>
      <c r="Q66" s="277"/>
      <c r="R66" s="277"/>
      <c r="S66" s="277"/>
      <c r="U66" s="276" t="s">
        <v>2076</v>
      </c>
      <c r="V66" s="277">
        <v>-26.501677398689111</v>
      </c>
      <c r="W66" s="277">
        <v>-7.2144940203859953</v>
      </c>
      <c r="X66" s="277">
        <v>-6.2312434430404995</v>
      </c>
      <c r="Y66" s="277">
        <v>-9.1692814485933738</v>
      </c>
      <c r="Z66" s="277">
        <v>0</v>
      </c>
      <c r="AA66" s="277">
        <v>0</v>
      </c>
      <c r="AB66" s="277">
        <v>0</v>
      </c>
      <c r="AD66" s="276" t="s">
        <v>2076</v>
      </c>
      <c r="AE66" s="277">
        <v>0</v>
      </c>
      <c r="AF66" s="277">
        <v>0</v>
      </c>
      <c r="AG66" s="277">
        <v>0</v>
      </c>
      <c r="AH66" s="277">
        <v>0</v>
      </c>
      <c r="AI66" s="277">
        <v>0</v>
      </c>
      <c r="AJ66" s="277">
        <v>0</v>
      </c>
      <c r="AK66" s="277">
        <v>0</v>
      </c>
    </row>
    <row r="67" spans="2:37">
      <c r="B67" s="276" t="s">
        <v>1730</v>
      </c>
      <c r="C67" s="276" t="s">
        <v>1731</v>
      </c>
      <c r="D67" s="277">
        <v>28.762376</v>
      </c>
      <c r="E67" s="277">
        <v>65.165213000000008</v>
      </c>
      <c r="F67" s="277">
        <v>-31.447806</v>
      </c>
      <c r="G67" s="277">
        <v>6.9281580000000007</v>
      </c>
      <c r="H67" s="277">
        <v>0</v>
      </c>
      <c r="I67" s="277">
        <v>0</v>
      </c>
      <c r="J67" s="277">
        <v>-32.530469000000004</v>
      </c>
      <c r="L67" s="276" t="s">
        <v>1730</v>
      </c>
      <c r="M67" s="277">
        <v>-53.391888983089174</v>
      </c>
      <c r="N67" s="277">
        <v>-50.700659330386017</v>
      </c>
      <c r="O67" s="277">
        <v>5.9352996469595141</v>
      </c>
      <c r="P67" s="277">
        <v>-22.659972078162294</v>
      </c>
      <c r="Q67" s="277">
        <v>0</v>
      </c>
      <c r="R67" s="277">
        <v>-7.6099819999999996</v>
      </c>
      <c r="S67" s="277">
        <v>-32.138978999999999</v>
      </c>
      <c r="U67" s="276" t="s">
        <v>1730</v>
      </c>
      <c r="V67" s="277">
        <f>+V65+V64-V66</f>
        <v>-53.574359601310903</v>
      </c>
      <c r="W67" s="277">
        <f t="shared" ref="W67:AB67" si="26">+W65+W64-W66</f>
        <v>-40.943731979614029</v>
      </c>
      <c r="X67" s="277">
        <f t="shared" si="26"/>
        <v>-19.851089556959501</v>
      </c>
      <c r="Y67" s="277">
        <f t="shared" si="26"/>
        <v>-3.9244055514066289</v>
      </c>
      <c r="Z67" s="277">
        <f t="shared" si="26"/>
        <v>0</v>
      </c>
      <c r="AA67" s="277">
        <f t="shared" si="26"/>
        <v>-4.5164429999999989</v>
      </c>
      <c r="AB67" s="277">
        <f t="shared" si="26"/>
        <v>-11.050148</v>
      </c>
      <c r="AD67" s="276" t="s">
        <v>1730</v>
      </c>
      <c r="AE67" s="277">
        <f>+AE65+AE64-AE66</f>
        <v>-43.270694999999996</v>
      </c>
      <c r="AF67" s="277">
        <f t="shared" ref="AF67:AK67" si="27">+AF65+AF64-AF66</f>
        <v>-59.617138000000011</v>
      </c>
      <c r="AG67" s="277">
        <f t="shared" si="27"/>
        <v>-35.84943100000001</v>
      </c>
      <c r="AH67" s="277">
        <f t="shared" si="27"/>
        <v>-4.877816000000001</v>
      </c>
      <c r="AI67" s="277">
        <f t="shared" si="27"/>
        <v>0</v>
      </c>
      <c r="AJ67" s="277">
        <f t="shared" si="27"/>
        <v>-8.310981</v>
      </c>
      <c r="AK67" s="277">
        <f t="shared" si="27"/>
        <v>-1.8646149999999864</v>
      </c>
    </row>
    <row r="68" spans="2:37">
      <c r="B68" s="272" t="s">
        <v>1732</v>
      </c>
      <c r="C68" s="272" t="s">
        <v>1733</v>
      </c>
      <c r="D68" s="273">
        <f>SUM(D64:D67)</f>
        <v>-6.5326369999999905</v>
      </c>
      <c r="E68" s="273">
        <f t="shared" ref="E68:J68" si="28">SUM(E64:E67)</f>
        <v>-28.144184999999993</v>
      </c>
      <c r="F68" s="273">
        <f t="shared" si="28"/>
        <v>-38.068314999999998</v>
      </c>
      <c r="G68" s="273">
        <f t="shared" si="28"/>
        <v>-21.142748999999998</v>
      </c>
      <c r="H68" s="273">
        <f t="shared" si="28"/>
        <v>0</v>
      </c>
      <c r="I68" s="273">
        <f t="shared" si="28"/>
        <v>-2.1699499999999996</v>
      </c>
      <c r="J68" s="273">
        <f t="shared" si="28"/>
        <v>-7.2900340000000021</v>
      </c>
      <c r="L68" s="272" t="s">
        <v>1732</v>
      </c>
      <c r="M68" s="273">
        <f>M67</f>
        <v>-53.391888983089174</v>
      </c>
      <c r="N68" s="273">
        <f t="shared" ref="N68:S68" si="29">N67</f>
        <v>-50.700659330386017</v>
      </c>
      <c r="O68" s="273">
        <f t="shared" si="29"/>
        <v>5.9352996469595141</v>
      </c>
      <c r="P68" s="273">
        <f t="shared" si="29"/>
        <v>-22.659972078162294</v>
      </c>
      <c r="Q68" s="273">
        <f t="shared" si="29"/>
        <v>0</v>
      </c>
      <c r="R68" s="273">
        <f t="shared" si="29"/>
        <v>-7.6099819999999996</v>
      </c>
      <c r="S68" s="273">
        <f t="shared" si="29"/>
        <v>-32.138978999999999</v>
      </c>
      <c r="U68" s="272" t="s">
        <v>1732</v>
      </c>
      <c r="V68" s="273">
        <f>+V67</f>
        <v>-53.574359601310903</v>
      </c>
      <c r="W68" s="273">
        <f t="shared" ref="W68:AB68" si="30">+W67</f>
        <v>-40.943731979614029</v>
      </c>
      <c r="X68" s="273">
        <f t="shared" si="30"/>
        <v>-19.851089556959501</v>
      </c>
      <c r="Y68" s="273">
        <f t="shared" si="30"/>
        <v>-3.9244055514066289</v>
      </c>
      <c r="Z68" s="273">
        <f t="shared" si="30"/>
        <v>0</v>
      </c>
      <c r="AA68" s="273">
        <f t="shared" si="30"/>
        <v>-4.5164429999999989</v>
      </c>
      <c r="AB68" s="273">
        <f t="shared" si="30"/>
        <v>-11.050148</v>
      </c>
      <c r="AD68" s="272" t="s">
        <v>1732</v>
      </c>
      <c r="AE68" s="273">
        <f>+AE67</f>
        <v>-43.270694999999996</v>
      </c>
      <c r="AF68" s="273">
        <f t="shared" ref="AF68:AK68" si="31">+AF67</f>
        <v>-59.617138000000011</v>
      </c>
      <c r="AG68" s="273">
        <f t="shared" si="31"/>
        <v>-35.84943100000001</v>
      </c>
      <c r="AH68" s="273">
        <f t="shared" si="31"/>
        <v>-4.877816000000001</v>
      </c>
      <c r="AI68" s="273">
        <f t="shared" si="31"/>
        <v>0</v>
      </c>
      <c r="AJ68" s="273">
        <f t="shared" si="31"/>
        <v>-8.310981</v>
      </c>
      <c r="AK68" s="273">
        <f t="shared" si="31"/>
        <v>-1.8646149999999864</v>
      </c>
    </row>
    <row r="69" spans="2:37">
      <c r="B69" s="279"/>
      <c r="C69" s="279"/>
      <c r="D69" s="279"/>
      <c r="E69" s="279"/>
      <c r="F69" s="279"/>
      <c r="G69" s="279"/>
      <c r="H69" s="279"/>
      <c r="I69" s="279"/>
      <c r="J69" s="279"/>
      <c r="L69" s="279"/>
      <c r="M69" s="279"/>
      <c r="N69" s="279"/>
      <c r="O69" s="279"/>
      <c r="P69" s="279"/>
      <c r="Q69" s="279"/>
      <c r="R69" s="279"/>
      <c r="S69" s="279"/>
      <c r="U69" s="279"/>
      <c r="V69" s="279"/>
      <c r="W69" s="279"/>
      <c r="X69" s="279"/>
      <c r="Y69" s="279"/>
      <c r="Z69" s="279"/>
      <c r="AA69" s="279"/>
      <c r="AB69" s="279"/>
      <c r="AD69" s="279"/>
      <c r="AE69" s="279"/>
      <c r="AF69" s="279"/>
      <c r="AG69" s="279"/>
      <c r="AH69" s="279"/>
      <c r="AI69" s="279"/>
      <c r="AJ69" s="279"/>
      <c r="AK69" s="279"/>
    </row>
    <row r="70" spans="2:37">
      <c r="B70" s="272" t="s">
        <v>1734</v>
      </c>
      <c r="C70" s="272" t="s">
        <v>1735</v>
      </c>
      <c r="D70" s="281">
        <f t="shared" ref="D70:I70" si="32">-D68/D63</f>
        <v>3.6807253698038528E-2</v>
      </c>
      <c r="E70" s="281">
        <f t="shared" si="32"/>
        <v>5.7855852359545067E-2</v>
      </c>
      <c r="F70" s="281">
        <f t="shared" si="32"/>
        <v>0.71179453682580618</v>
      </c>
      <c r="G70" s="281">
        <f t="shared" si="32"/>
        <v>0.25188902030925375</v>
      </c>
      <c r="H70" s="281">
        <f t="shared" si="32"/>
        <v>0</v>
      </c>
      <c r="I70" s="281">
        <f t="shared" si="32"/>
        <v>0.22024310120799462</v>
      </c>
      <c r="J70" s="281">
        <v>0</v>
      </c>
      <c r="L70" s="272" t="s">
        <v>1734</v>
      </c>
      <c r="M70" s="281">
        <f t="shared" ref="M70:R70" si="33">-M68/M63</f>
        <v>0.16908801163659695</v>
      </c>
      <c r="N70" s="281">
        <f t="shared" si="33"/>
        <v>0.1193090038291223</v>
      </c>
      <c r="O70" s="281">
        <f t="shared" si="33"/>
        <v>-4.3380299171103975E-2</v>
      </c>
      <c r="P70" s="281">
        <f t="shared" si="33"/>
        <v>0.16170852732906266</v>
      </c>
      <c r="Q70" s="281">
        <f t="shared" si="33"/>
        <v>0</v>
      </c>
      <c r="R70" s="281">
        <f t="shared" si="33"/>
        <v>0.38909988048827665</v>
      </c>
      <c r="S70" s="281">
        <v>0</v>
      </c>
      <c r="U70" s="272" t="s">
        <v>1734</v>
      </c>
      <c r="V70" s="281">
        <f>-V68/V63</f>
        <v>0.3647589275606043</v>
      </c>
      <c r="W70" s="281">
        <f t="shared" ref="W70:AB70" si="34">-W68/W63</f>
        <v>9.0326855039236334E-2</v>
      </c>
      <c r="X70" s="281">
        <f t="shared" si="34"/>
        <v>0.14923559339644724</v>
      </c>
      <c r="Y70" s="281">
        <f t="shared" si="34"/>
        <v>5.6011029427380558E-2</v>
      </c>
      <c r="Z70" s="281">
        <f t="shared" si="34"/>
        <v>0</v>
      </c>
      <c r="AA70" s="281">
        <f t="shared" si="34"/>
        <v>-0.16983692065475456</v>
      </c>
      <c r="AB70" s="281">
        <f t="shared" si="34"/>
        <v>-0.55474741458535837</v>
      </c>
      <c r="AD70" s="272" t="s">
        <v>1734</v>
      </c>
      <c r="AE70" s="281">
        <f>-AE68/AE63</f>
        <v>0.18163170102701728</v>
      </c>
      <c r="AF70" s="281">
        <f t="shared" ref="AF70:AK70" si="35">-AF68/AF63</f>
        <v>0.13550226460678363</v>
      </c>
      <c r="AG70" s="281">
        <f t="shared" si="35"/>
        <v>0.12109541441543718</v>
      </c>
      <c r="AH70" s="281">
        <f t="shared" si="35"/>
        <v>8.1245067836111337E-2</v>
      </c>
      <c r="AI70" s="281">
        <f t="shared" si="35"/>
        <v>0</v>
      </c>
      <c r="AJ70" s="281">
        <f t="shared" si="35"/>
        <v>1.0715141608829739</v>
      </c>
      <c r="AK70" s="281">
        <f t="shared" si="35"/>
        <v>-3.1500398415340762E-3</v>
      </c>
    </row>
    <row r="71" spans="2:37">
      <c r="B71" s="279"/>
      <c r="C71" s="279"/>
      <c r="D71" s="279"/>
      <c r="E71" s="279"/>
      <c r="F71" s="279"/>
      <c r="G71" s="279"/>
      <c r="H71" s="279"/>
      <c r="I71" s="279"/>
      <c r="J71" s="279"/>
      <c r="L71" s="279"/>
      <c r="M71" s="279"/>
      <c r="N71" s="279"/>
      <c r="O71" s="279"/>
      <c r="P71" s="279"/>
      <c r="Q71" s="279"/>
      <c r="R71" s="279"/>
      <c r="S71" s="279"/>
      <c r="U71" s="279"/>
      <c r="V71" s="279"/>
      <c r="W71" s="279"/>
      <c r="X71" s="279"/>
      <c r="Y71" s="279"/>
      <c r="Z71" s="279"/>
      <c r="AA71" s="279"/>
      <c r="AB71" s="279"/>
      <c r="AD71" s="279"/>
      <c r="AE71" s="279"/>
      <c r="AF71" s="279"/>
      <c r="AG71" s="279"/>
      <c r="AH71" s="279"/>
      <c r="AI71" s="279"/>
      <c r="AJ71" s="279"/>
      <c r="AK71" s="279"/>
    </row>
    <row r="72" spans="2:37">
      <c r="B72" s="272" t="s">
        <v>1736</v>
      </c>
      <c r="C72" s="272" t="s">
        <v>1737</v>
      </c>
      <c r="D72" s="273">
        <v>72</v>
      </c>
      <c r="E72" s="273">
        <v>284</v>
      </c>
      <c r="F72" s="273">
        <v>209</v>
      </c>
      <c r="G72" s="273">
        <v>63</v>
      </c>
      <c r="H72" s="273">
        <v>-16</v>
      </c>
      <c r="I72" s="273">
        <v>-12</v>
      </c>
      <c r="J72" s="273">
        <v>21</v>
      </c>
      <c r="L72" s="272" t="s">
        <v>1736</v>
      </c>
      <c r="M72" s="273">
        <v>313</v>
      </c>
      <c r="N72" s="273">
        <v>405</v>
      </c>
      <c r="O72" s="273">
        <v>55</v>
      </c>
      <c r="P72" s="273">
        <v>148</v>
      </c>
      <c r="Q72" s="273">
        <v>-168</v>
      </c>
      <c r="R72" s="273">
        <v>40</v>
      </c>
      <c r="S72" s="273">
        <v>97.085999999999999</v>
      </c>
      <c r="U72" s="272" t="s">
        <v>1736</v>
      </c>
      <c r="V72" s="273">
        <v>251</v>
      </c>
      <c r="W72" s="273">
        <v>491</v>
      </c>
      <c r="X72" s="273">
        <v>108</v>
      </c>
      <c r="Y72" s="273">
        <v>96</v>
      </c>
      <c r="Z72" s="273">
        <v>497</v>
      </c>
      <c r="AA72" s="273">
        <v>14</v>
      </c>
      <c r="AB72" s="273">
        <v>32</v>
      </c>
      <c r="AD72" s="272" t="s">
        <v>1736</v>
      </c>
      <c r="AE72" s="273">
        <v>304</v>
      </c>
      <c r="AF72" s="273">
        <v>538</v>
      </c>
      <c r="AG72" s="273">
        <v>338</v>
      </c>
      <c r="AH72" s="273">
        <v>60</v>
      </c>
      <c r="AI72" s="273">
        <v>-834</v>
      </c>
      <c r="AJ72" s="273">
        <v>26</v>
      </c>
      <c r="AK72" s="273">
        <v>5.9140000000000015</v>
      </c>
    </row>
    <row r="73" spans="2:37">
      <c r="B73" s="279"/>
      <c r="C73" s="279"/>
      <c r="D73" s="279"/>
      <c r="E73" s="279"/>
      <c r="F73" s="279"/>
      <c r="G73" s="279"/>
      <c r="H73" s="279"/>
      <c r="I73" s="279"/>
      <c r="J73" s="279"/>
      <c r="L73" s="279"/>
      <c r="M73" s="279"/>
      <c r="N73" s="279"/>
      <c r="O73" s="279"/>
      <c r="P73" s="279"/>
      <c r="Q73" s="279"/>
      <c r="R73" s="279"/>
      <c r="S73" s="279"/>
      <c r="U73" s="279"/>
      <c r="V73" s="279"/>
      <c r="W73" s="279"/>
      <c r="X73" s="279"/>
      <c r="Y73" s="279"/>
      <c r="Z73" s="279"/>
      <c r="AA73" s="279"/>
      <c r="AB73" s="279"/>
      <c r="AD73" s="279"/>
      <c r="AE73" s="279"/>
      <c r="AF73" s="279"/>
      <c r="AG73" s="279"/>
      <c r="AH73" s="279"/>
      <c r="AI73" s="279"/>
      <c r="AJ73" s="279"/>
      <c r="AK73" s="279"/>
    </row>
    <row r="74" spans="2:37">
      <c r="B74" s="272" t="s">
        <v>1738</v>
      </c>
      <c r="C74" s="272" t="s">
        <v>1739</v>
      </c>
      <c r="D74" s="282">
        <f>IFERROR(D68/D72,0)*-1</f>
        <v>9.0731069444444312E-2</v>
      </c>
      <c r="E74" s="282">
        <f t="shared" ref="E74:J74" si="36">IFERROR(E68/E72,0)*-1</f>
        <v>9.9099242957746456E-2</v>
      </c>
      <c r="F74" s="282">
        <f t="shared" si="36"/>
        <v>0.18214504784688995</v>
      </c>
      <c r="G74" s="282">
        <f t="shared" si="36"/>
        <v>0.33559919047619047</v>
      </c>
      <c r="H74" s="282">
        <f t="shared" si="36"/>
        <v>0</v>
      </c>
      <c r="I74" s="282">
        <f t="shared" si="36"/>
        <v>-0.18082916666666662</v>
      </c>
      <c r="J74" s="282">
        <f t="shared" si="36"/>
        <v>0.34714447619047628</v>
      </c>
      <c r="L74" s="272" t="s">
        <v>1738</v>
      </c>
      <c r="M74" s="282">
        <f>IFERROR(M68/M72,0)*-1</f>
        <v>0.17058111496194625</v>
      </c>
      <c r="N74" s="282">
        <f t="shared" ref="N74:S74" si="37">IFERROR(N68/N72,0)*-1</f>
        <v>0.12518681316144695</v>
      </c>
      <c r="O74" s="282">
        <f t="shared" si="37"/>
        <v>-0.10791453903562753</v>
      </c>
      <c r="P74" s="282">
        <f t="shared" si="37"/>
        <v>0.15310791944704252</v>
      </c>
      <c r="Q74" s="282">
        <f t="shared" si="37"/>
        <v>0</v>
      </c>
      <c r="R74" s="282">
        <f t="shared" si="37"/>
        <v>0.19024954999999999</v>
      </c>
      <c r="S74" s="282">
        <f t="shared" si="37"/>
        <v>0.33103618441381866</v>
      </c>
      <c r="U74" s="272" t="s">
        <v>1738</v>
      </c>
      <c r="V74" s="282">
        <f>+V68/V72*-1</f>
        <v>0.21344366375024265</v>
      </c>
      <c r="W74" s="282">
        <f t="shared" ref="W74:AB74" si="38">+W68/W72*-1</f>
        <v>8.3388456170293335E-2</v>
      </c>
      <c r="X74" s="282">
        <f t="shared" si="38"/>
        <v>0.18380638478666203</v>
      </c>
      <c r="Y74" s="282">
        <f t="shared" si="38"/>
        <v>4.0879224493819054E-2</v>
      </c>
      <c r="Z74" s="282">
        <f t="shared" si="38"/>
        <v>0</v>
      </c>
      <c r="AA74" s="282">
        <f t="shared" si="38"/>
        <v>0.32260307142857136</v>
      </c>
      <c r="AB74" s="282">
        <f t="shared" si="38"/>
        <v>0.345317125</v>
      </c>
      <c r="AD74" s="272" t="s">
        <v>1738</v>
      </c>
      <c r="AE74" s="282">
        <f>+AE68/AE72*-1</f>
        <v>0.14233781249999999</v>
      </c>
      <c r="AF74" s="282">
        <f t="shared" ref="AF74:AK74" si="39">+AF68/AF72*-1</f>
        <v>0.11081252416356879</v>
      </c>
      <c r="AG74" s="282">
        <f t="shared" si="39"/>
        <v>0.10606340532544381</v>
      </c>
      <c r="AH74" s="282">
        <f t="shared" si="39"/>
        <v>8.1296933333333349E-2</v>
      </c>
      <c r="AI74" s="282">
        <f t="shared" si="39"/>
        <v>0</v>
      </c>
      <c r="AJ74" s="282">
        <f t="shared" si="39"/>
        <v>0.31965311538461538</v>
      </c>
      <c r="AK74" s="282">
        <f t="shared" si="39"/>
        <v>0.31528829895163779</v>
      </c>
    </row>
    <row r="75" spans="2:37">
      <c r="B75" s="284"/>
      <c r="C75" s="284"/>
      <c r="D75" s="285"/>
      <c r="E75" s="285"/>
      <c r="F75" s="285"/>
      <c r="G75" s="285"/>
      <c r="H75" s="285"/>
      <c r="I75" s="285"/>
      <c r="J75" s="285"/>
      <c r="L75" s="284"/>
      <c r="M75" s="285"/>
      <c r="N75" s="285"/>
      <c r="O75" s="285"/>
      <c r="P75" s="285"/>
      <c r="Q75" s="285"/>
      <c r="R75" s="285"/>
      <c r="S75" s="285"/>
    </row>
    <row r="77" spans="2:37">
      <c r="B77" s="444" t="s">
        <v>2485</v>
      </c>
      <c r="C77" s="444" t="s">
        <v>2486</v>
      </c>
      <c r="D77" s="445" t="s">
        <v>89</v>
      </c>
      <c r="E77" s="445" t="s">
        <v>110</v>
      </c>
      <c r="F77" s="445" t="s">
        <v>113</v>
      </c>
      <c r="G77" s="445" t="s">
        <v>116</v>
      </c>
      <c r="H77" s="445" t="s">
        <v>119</v>
      </c>
      <c r="I77" s="445" t="s">
        <v>122</v>
      </c>
      <c r="J77" s="445" t="s">
        <v>125</v>
      </c>
      <c r="L77" s="444" t="s">
        <v>2500</v>
      </c>
      <c r="M77" s="445" t="s">
        <v>89</v>
      </c>
      <c r="N77" s="445" t="s">
        <v>110</v>
      </c>
      <c r="O77" s="445" t="s">
        <v>113</v>
      </c>
      <c r="P77" s="445" t="s">
        <v>116</v>
      </c>
      <c r="Q77" s="445" t="s">
        <v>119</v>
      </c>
      <c r="R77" s="445" t="s">
        <v>122</v>
      </c>
      <c r="S77" s="445" t="s">
        <v>125</v>
      </c>
    </row>
    <row r="78" spans="2:37">
      <c r="B78" s="272" t="s">
        <v>1724</v>
      </c>
      <c r="C78" s="272" t="s">
        <v>1724</v>
      </c>
      <c r="D78" s="273">
        <v>328.86220899999955</v>
      </c>
      <c r="E78" s="273">
        <v>457.55412199999995</v>
      </c>
      <c r="F78" s="273">
        <v>98.357112999999714</v>
      </c>
      <c r="G78" s="273">
        <v>166.41347899999997</v>
      </c>
      <c r="H78" s="273">
        <v>-40.806709999999789</v>
      </c>
      <c r="I78" s="273">
        <v>0.25541500000000816</v>
      </c>
      <c r="J78" s="273">
        <v>-153.85628800000018</v>
      </c>
      <c r="L78" s="272" t="s">
        <v>1724</v>
      </c>
      <c r="M78" s="273">
        <v>300.18571000000026</v>
      </c>
      <c r="N78" s="273">
        <v>470.24844600000085</v>
      </c>
      <c r="O78" s="273">
        <v>135.78242199999988</v>
      </c>
      <c r="P78" s="273">
        <v>117.68067500000005</v>
      </c>
      <c r="Q78" s="273">
        <v>73.387726999999842</v>
      </c>
      <c r="R78" s="273">
        <v>6.0716499999999938</v>
      </c>
      <c r="S78" s="273">
        <v>-140.32230700000039</v>
      </c>
    </row>
    <row r="79" spans="2:37">
      <c r="B79" s="276" t="s">
        <v>1726</v>
      </c>
      <c r="C79" s="276" t="s">
        <v>1727</v>
      </c>
      <c r="D79" s="277">
        <v>-56.550904999999993</v>
      </c>
      <c r="E79" s="277">
        <v>-73.138918000000018</v>
      </c>
      <c r="F79" s="277">
        <v>-65.311291999999995</v>
      </c>
      <c r="G79" s="277">
        <v>-46.684950000000001</v>
      </c>
      <c r="H79" s="277">
        <v>0</v>
      </c>
      <c r="I79" s="277">
        <v>-5.0527649999999991</v>
      </c>
      <c r="J79" s="277">
        <v>66.134370000000004</v>
      </c>
      <c r="L79" s="276" t="s">
        <v>1726</v>
      </c>
      <c r="M79" s="277">
        <v>-48.893730000000005</v>
      </c>
      <c r="N79" s="277">
        <v>-83.850531999999987</v>
      </c>
      <c r="O79" s="277">
        <v>-24.339201000000006</v>
      </c>
      <c r="P79" s="277">
        <v>-61.833137999999998</v>
      </c>
      <c r="Q79" s="277">
        <v>0</v>
      </c>
      <c r="R79" s="277">
        <v>-11.695299</v>
      </c>
      <c r="S79" s="277">
        <v>56.432978000000006</v>
      </c>
    </row>
    <row r="80" spans="2:37">
      <c r="B80" s="276" t="s">
        <v>1728</v>
      </c>
      <c r="C80" s="276" t="s">
        <v>1729</v>
      </c>
      <c r="D80" s="277">
        <v>15.042468999999999</v>
      </c>
      <c r="E80" s="277">
        <v>43.922076000000004</v>
      </c>
      <c r="F80" s="277">
        <v>87.200388000000004</v>
      </c>
      <c r="G80" s="277">
        <v>34.662531000000001</v>
      </c>
      <c r="H80" s="277">
        <v>0</v>
      </c>
      <c r="I80" s="277">
        <v>0</v>
      </c>
      <c r="J80" s="277">
        <v>-85.277057999999997</v>
      </c>
      <c r="L80" s="276" t="s">
        <v>1728</v>
      </c>
      <c r="M80" s="277">
        <v>29.714276000000002</v>
      </c>
      <c r="N80" s="277">
        <v>49.212240000000001</v>
      </c>
      <c r="O80" s="277">
        <v>21.935312000000003</v>
      </c>
      <c r="P80" s="277">
        <v>91.654540999999995</v>
      </c>
      <c r="Q80" s="277">
        <v>0</v>
      </c>
      <c r="R80" s="277">
        <v>0</v>
      </c>
      <c r="S80" s="277">
        <v>-56.432978000000006</v>
      </c>
    </row>
    <row r="81" spans="2:19">
      <c r="B81" s="276" t="s">
        <v>2076</v>
      </c>
      <c r="C81" s="276" t="s">
        <v>2077</v>
      </c>
      <c r="D81" s="277">
        <v>0</v>
      </c>
      <c r="E81" s="277">
        <v>0</v>
      </c>
      <c r="F81" s="277">
        <v>-37.238999999999997</v>
      </c>
      <c r="G81" s="277">
        <v>-0.95000000000000018</v>
      </c>
      <c r="H81" s="277">
        <v>0</v>
      </c>
      <c r="I81" s="277">
        <v>0</v>
      </c>
      <c r="J81" s="277">
        <v>5.8969999999999994</v>
      </c>
      <c r="L81" s="276" t="s">
        <v>2076</v>
      </c>
      <c r="M81" s="277">
        <v>0</v>
      </c>
      <c r="N81" s="277">
        <v>0</v>
      </c>
      <c r="O81" s="277">
        <v>0</v>
      </c>
      <c r="P81" s="277">
        <v>-43</v>
      </c>
      <c r="Q81" s="277">
        <v>0</v>
      </c>
      <c r="R81" s="277">
        <v>0</v>
      </c>
      <c r="S81" s="277">
        <v>0</v>
      </c>
    </row>
    <row r="82" spans="2:19">
      <c r="B82" s="276" t="s">
        <v>1730</v>
      </c>
      <c r="C82" s="276" t="s">
        <v>1731</v>
      </c>
      <c r="D82" s="277">
        <f>+D80+D79-D81</f>
        <v>-41.508435999999996</v>
      </c>
      <c r="E82" s="277">
        <f t="shared" ref="E82" si="40">+E80+E79-E81</f>
        <v>-29.216842000000014</v>
      </c>
      <c r="F82" s="277">
        <f>+F80+F79+F81</f>
        <v>-15.349903999999988</v>
      </c>
      <c r="G82" s="277">
        <f t="shared" ref="G82:J82" si="41">+G80+G79+G81</f>
        <v>-12.972418999999999</v>
      </c>
      <c r="H82" s="277">
        <f t="shared" si="41"/>
        <v>0</v>
      </c>
      <c r="I82" s="277">
        <f t="shared" si="41"/>
        <v>-5.0527649999999991</v>
      </c>
      <c r="J82" s="277">
        <f t="shared" si="41"/>
        <v>-13.245687999999994</v>
      </c>
      <c r="K82" s="277"/>
      <c r="L82" s="276" t="s">
        <v>1730</v>
      </c>
      <c r="M82" s="277">
        <f>+M80+M79-M81</f>
        <v>-19.179454000000003</v>
      </c>
      <c r="N82" s="277">
        <f t="shared" ref="N82" si="42">+N80+N79-N81</f>
        <v>-34.638291999999986</v>
      </c>
      <c r="O82" s="277">
        <f>+O80+O79+O81</f>
        <v>-2.4038890000000031</v>
      </c>
      <c r="P82" s="277">
        <f t="shared" ref="P82:S82" si="43">+P80+P79+P81</f>
        <v>-13.178597000000003</v>
      </c>
      <c r="Q82" s="277">
        <f t="shared" si="43"/>
        <v>0</v>
      </c>
      <c r="R82" s="277">
        <f t="shared" si="43"/>
        <v>-11.695299</v>
      </c>
      <c r="S82" s="277">
        <f t="shared" si="43"/>
        <v>0</v>
      </c>
    </row>
    <row r="83" spans="2:19">
      <c r="B83" s="272" t="s">
        <v>1732</v>
      </c>
      <c r="C83" s="272" t="s">
        <v>1733</v>
      </c>
      <c r="D83" s="273">
        <f>+D82</f>
        <v>-41.508435999999996</v>
      </c>
      <c r="E83" s="273">
        <f t="shared" ref="E83:J83" si="44">+E82</f>
        <v>-29.216842000000014</v>
      </c>
      <c r="F83" s="273">
        <f t="shared" si="44"/>
        <v>-15.349903999999988</v>
      </c>
      <c r="G83" s="273">
        <f t="shared" si="44"/>
        <v>-12.972418999999999</v>
      </c>
      <c r="H83" s="273">
        <f t="shared" si="44"/>
        <v>0</v>
      </c>
      <c r="I83" s="273">
        <f t="shared" si="44"/>
        <v>-5.0527649999999991</v>
      </c>
      <c r="J83" s="273">
        <f t="shared" si="44"/>
        <v>-13.245687999999994</v>
      </c>
      <c r="L83" s="272" t="s">
        <v>1732</v>
      </c>
      <c r="M83" s="273">
        <f>+M82</f>
        <v>-19.179454000000003</v>
      </c>
      <c r="N83" s="273">
        <f t="shared" ref="N83:S83" si="45">+N82</f>
        <v>-34.638291999999986</v>
      </c>
      <c r="O83" s="273">
        <f t="shared" si="45"/>
        <v>-2.4038890000000031</v>
      </c>
      <c r="P83" s="273">
        <f t="shared" si="45"/>
        <v>-13.178597000000003</v>
      </c>
      <c r="Q83" s="273">
        <f t="shared" si="45"/>
        <v>0</v>
      </c>
      <c r="R83" s="273">
        <f t="shared" si="45"/>
        <v>-11.695299</v>
      </c>
      <c r="S83" s="273">
        <f t="shared" si="45"/>
        <v>0</v>
      </c>
    </row>
    <row r="84" spans="2:19">
      <c r="B84" s="279"/>
      <c r="C84" s="279"/>
      <c r="D84" s="279"/>
      <c r="E84" s="279"/>
      <c r="F84" s="279"/>
      <c r="G84" s="279"/>
      <c r="H84" s="279"/>
      <c r="I84" s="279"/>
      <c r="J84" s="279"/>
      <c r="L84" s="279"/>
      <c r="M84" s="279"/>
      <c r="N84" s="279"/>
      <c r="O84" s="279"/>
      <c r="P84" s="279"/>
      <c r="Q84" s="279"/>
      <c r="R84" s="279"/>
      <c r="S84" s="279"/>
    </row>
    <row r="85" spans="2:19">
      <c r="B85" s="272" t="s">
        <v>1734</v>
      </c>
      <c r="C85" s="272" t="s">
        <v>1735</v>
      </c>
      <c r="D85" s="281">
        <f>-D83/D78</f>
        <v>0.1262183214247036</v>
      </c>
      <c r="E85" s="281">
        <f t="shared" ref="E85:J85" si="46">-E83/E78</f>
        <v>6.3854395786647547E-2</v>
      </c>
      <c r="F85" s="281">
        <f t="shared" si="46"/>
        <v>0.15606297838367858</v>
      </c>
      <c r="G85" s="281">
        <f t="shared" si="46"/>
        <v>7.7952934329315965E-2</v>
      </c>
      <c r="H85" s="281">
        <f t="shared" si="46"/>
        <v>0</v>
      </c>
      <c r="I85" s="281">
        <f t="shared" si="46"/>
        <v>19.782569543683174</v>
      </c>
      <c r="J85" s="281">
        <f t="shared" si="46"/>
        <v>-8.6091300993820799E-2</v>
      </c>
      <c r="L85" s="272" t="s">
        <v>1734</v>
      </c>
      <c r="M85" s="281">
        <f>-M83/M78</f>
        <v>6.3891962079074271E-2</v>
      </c>
      <c r="N85" s="281">
        <f t="shared" ref="N85:S85" si="47">-N83/N78</f>
        <v>7.3659556548539715E-2</v>
      </c>
      <c r="O85" s="281">
        <f t="shared" si="47"/>
        <v>1.7703977912546038E-2</v>
      </c>
      <c r="P85" s="281">
        <f t="shared" si="47"/>
        <v>0.11198607587864361</v>
      </c>
      <c r="Q85" s="281">
        <f t="shared" si="47"/>
        <v>0</v>
      </c>
      <c r="R85" s="281">
        <f t="shared" si="47"/>
        <v>1.9262142910082123</v>
      </c>
      <c r="S85" s="281">
        <f t="shared" si="47"/>
        <v>0</v>
      </c>
    </row>
    <row r="86" spans="2:19">
      <c r="B86" s="279"/>
      <c r="C86" s="279"/>
      <c r="D86" s="279"/>
      <c r="E86" s="279"/>
      <c r="F86" s="279"/>
      <c r="G86" s="279"/>
      <c r="H86" s="279"/>
      <c r="I86" s="279"/>
      <c r="J86" s="279"/>
      <c r="L86" s="279"/>
      <c r="M86" s="279"/>
      <c r="N86" s="279"/>
      <c r="O86" s="279"/>
      <c r="P86" s="279"/>
      <c r="Q86" s="279"/>
      <c r="R86" s="279"/>
      <c r="S86" s="279"/>
    </row>
    <row r="87" spans="2:19">
      <c r="B87" s="272" t="s">
        <v>1736</v>
      </c>
      <c r="C87" s="272" t="s">
        <v>1737</v>
      </c>
      <c r="D87" s="273">
        <v>295</v>
      </c>
      <c r="E87" s="273">
        <v>334.59286652000253</v>
      </c>
      <c r="F87" s="273">
        <v>56</v>
      </c>
      <c r="G87" s="273">
        <v>92</v>
      </c>
      <c r="H87" s="273">
        <v>-15</v>
      </c>
      <c r="I87" s="273">
        <v>15</v>
      </c>
      <c r="J87" s="273">
        <v>-93</v>
      </c>
      <c r="L87" s="272" t="s">
        <v>1736</v>
      </c>
      <c r="M87" s="273">
        <v>221</v>
      </c>
      <c r="N87" s="273">
        <v>329</v>
      </c>
      <c r="O87" s="273">
        <v>75</v>
      </c>
      <c r="P87" s="273">
        <v>72</v>
      </c>
      <c r="Q87" s="273">
        <v>-608</v>
      </c>
      <c r="R87" s="273">
        <v>36</v>
      </c>
      <c r="S87" s="273">
        <v>-93</v>
      </c>
    </row>
    <row r="88" spans="2:19">
      <c r="B88" s="279"/>
      <c r="C88" s="279"/>
      <c r="D88" s="279"/>
      <c r="E88" s="279"/>
      <c r="F88" s="279"/>
      <c r="G88" s="279"/>
      <c r="H88" s="279"/>
      <c r="I88" s="279"/>
      <c r="J88" s="279"/>
      <c r="L88" s="279"/>
      <c r="M88" s="279"/>
      <c r="N88" s="279"/>
      <c r="O88" s="279"/>
      <c r="P88" s="279"/>
      <c r="Q88" s="279"/>
      <c r="R88" s="279"/>
      <c r="S88" s="279"/>
    </row>
    <row r="89" spans="2:19">
      <c r="B89" s="272" t="s">
        <v>1738</v>
      </c>
      <c r="C89" s="272" t="s">
        <v>1739</v>
      </c>
      <c r="D89" s="282">
        <f>+D83/D87*-1</f>
        <v>0.14070656271186438</v>
      </c>
      <c r="E89" s="282">
        <f t="shared" ref="E89:J89" si="48">+E83/E87*-1</f>
        <v>8.7320576508027201E-2</v>
      </c>
      <c r="F89" s="282">
        <f t="shared" si="48"/>
        <v>0.27410542857142833</v>
      </c>
      <c r="G89" s="282">
        <f t="shared" si="48"/>
        <v>0.14100455434782608</v>
      </c>
      <c r="H89" s="282">
        <f t="shared" si="48"/>
        <v>0</v>
      </c>
      <c r="I89" s="282">
        <f t="shared" si="48"/>
        <v>0.33685099999999996</v>
      </c>
      <c r="J89" s="282">
        <f t="shared" si="48"/>
        <v>-0.14242675268817198</v>
      </c>
      <c r="L89" s="272" t="s">
        <v>1738</v>
      </c>
      <c r="M89" s="282">
        <f>+M83/M87*-1</f>
        <v>8.6784859728506802E-2</v>
      </c>
      <c r="N89" s="282">
        <f t="shared" ref="N89:S89" si="49">+N83/N87*-1</f>
        <v>0.10528356231003035</v>
      </c>
      <c r="O89" s="282">
        <f t="shared" si="49"/>
        <v>3.2051853333333373E-2</v>
      </c>
      <c r="P89" s="282">
        <f t="shared" si="49"/>
        <v>0.1830360694444445</v>
      </c>
      <c r="Q89" s="282">
        <f t="shared" si="49"/>
        <v>0</v>
      </c>
      <c r="R89" s="282">
        <f t="shared" si="49"/>
        <v>0.32486941666666669</v>
      </c>
      <c r="S89" s="282">
        <f t="shared" si="49"/>
        <v>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tabColor rgb="FF002060"/>
  </sheetPr>
  <dimension ref="B4:G8"/>
  <sheetViews>
    <sheetView showGridLines="0" workbookViewId="0">
      <selection activeCell="D8" sqref="D8:G8"/>
    </sheetView>
  </sheetViews>
  <sheetFormatPr defaultRowHeight="14.4"/>
  <cols>
    <col min="2" max="2" width="1.44140625" customWidth="1"/>
    <col min="8" max="8" width="2" customWidth="1"/>
    <col min="13" max="13" width="2" customWidth="1"/>
    <col min="18" max="18" width="2" customWidth="1"/>
    <col min="23" max="23" width="2" customWidth="1"/>
  </cols>
  <sheetData>
    <row r="4" spans="2:7" s="2" customFormat="1" ht="32.549999999999997" customHeight="1">
      <c r="B4" s="3" t="s">
        <v>1758</v>
      </c>
    </row>
    <row r="8" spans="2:7" ht="30.3" customHeight="1">
      <c r="D8" s="806" t="s">
        <v>30</v>
      </c>
      <c r="E8" s="806"/>
      <c r="F8" s="806"/>
      <c r="G8" s="806"/>
    </row>
  </sheetData>
  <mergeCells count="1">
    <mergeCell ref="D8:G8"/>
  </mergeCells>
  <pageMargins left="0.511811024" right="0.511811024" top="0.78740157499999996" bottom="0.78740157499999996" header="0.31496062000000002" footer="0.31496062000000002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tabColor rgb="FF002060"/>
  </sheetPr>
  <dimension ref="B4:G8"/>
  <sheetViews>
    <sheetView showGridLines="0" workbookViewId="0">
      <selection activeCell="U14" sqref="U14"/>
    </sheetView>
  </sheetViews>
  <sheetFormatPr defaultRowHeight="14.4"/>
  <cols>
    <col min="2" max="2" width="1.44140625" customWidth="1"/>
    <col min="8" max="8" width="2" customWidth="1"/>
    <col min="13" max="13" width="2" customWidth="1"/>
    <col min="18" max="18" width="2" customWidth="1"/>
    <col min="23" max="23" width="2" customWidth="1"/>
  </cols>
  <sheetData>
    <row r="4" spans="2:7" s="2" customFormat="1" ht="32.549999999999997" customHeight="1">
      <c r="B4" s="3" t="s">
        <v>28</v>
      </c>
    </row>
    <row r="8" spans="2:7" ht="30.3" customHeight="1">
      <c r="D8" s="806" t="s">
        <v>34</v>
      </c>
      <c r="E8" s="806"/>
      <c r="F8" s="806"/>
      <c r="G8" s="806"/>
    </row>
  </sheetData>
  <mergeCells count="1">
    <mergeCell ref="D8:G8"/>
  </mergeCells>
  <pageMargins left="0.511811024" right="0.511811024" top="0.78740157499999996" bottom="0.78740157499999996" header="0.31496062000000002" footer="0.31496062000000002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tabColor theme="9" tint="0.79998168889431442"/>
  </sheetPr>
  <dimension ref="B6:P81"/>
  <sheetViews>
    <sheetView zoomScale="70" zoomScaleNormal="70" workbookViewId="0">
      <selection activeCell="P3" sqref="P3"/>
    </sheetView>
  </sheetViews>
  <sheetFormatPr defaultColWidth="9.21875" defaultRowHeight="12"/>
  <cols>
    <col min="1" max="1" width="9.21875" style="165"/>
    <col min="2" max="2" width="36.77734375" style="165" customWidth="1"/>
    <col min="3" max="3" width="46.5546875" style="165" customWidth="1"/>
    <col min="4" max="16384" width="9.21875" style="165"/>
  </cols>
  <sheetData>
    <row r="6" spans="2:16">
      <c r="B6" s="490"/>
      <c r="C6" s="490"/>
      <c r="D6" s="491">
        <v>2014</v>
      </c>
      <c r="E6" s="491">
        <v>2015</v>
      </c>
      <c r="F6" s="491">
        <v>2016</v>
      </c>
      <c r="G6" s="491">
        <v>2017</v>
      </c>
      <c r="H6" s="491">
        <v>2018</v>
      </c>
      <c r="I6" s="491">
        <v>2019</v>
      </c>
      <c r="J6" s="491">
        <v>2020</v>
      </c>
      <c r="K6" s="491">
        <v>2021</v>
      </c>
      <c r="L6" s="491">
        <v>2022</v>
      </c>
      <c r="M6" s="491">
        <v>2023</v>
      </c>
      <c r="N6" s="491">
        <v>2024</v>
      </c>
      <c r="O6" s="491">
        <v>2025</v>
      </c>
      <c r="P6" s="491">
        <v>2026</v>
      </c>
    </row>
    <row r="7" spans="2:16">
      <c r="B7" s="479" t="s">
        <v>1627</v>
      </c>
      <c r="C7" s="479" t="s">
        <v>1627</v>
      </c>
      <c r="D7" s="483"/>
      <c r="E7" s="483"/>
      <c r="F7" s="483"/>
      <c r="G7" s="483"/>
      <c r="H7" s="483"/>
      <c r="I7" s="483"/>
      <c r="J7" s="483"/>
      <c r="K7" s="483"/>
      <c r="L7" s="483"/>
      <c r="M7" s="483"/>
      <c r="N7" s="483"/>
      <c r="O7" s="483"/>
      <c r="P7" s="483"/>
    </row>
    <row r="8" spans="2:16" ht="14.4">
      <c r="B8" s="484" t="s">
        <v>1759</v>
      </c>
      <c r="C8" s="552" t="s">
        <v>1760</v>
      </c>
      <c r="D8" s="485">
        <v>331983</v>
      </c>
      <c r="E8" s="485">
        <v>331983</v>
      </c>
      <c r="F8" s="485">
        <v>331983</v>
      </c>
      <c r="G8" s="485">
        <v>331983</v>
      </c>
      <c r="H8" s="485">
        <v>331983</v>
      </c>
      <c r="I8" s="485">
        <v>331983</v>
      </c>
      <c r="J8" s="485">
        <v>331983</v>
      </c>
      <c r="K8" s="485">
        <v>331983</v>
      </c>
      <c r="L8" s="485">
        <v>331983</v>
      </c>
      <c r="M8" s="485">
        <v>331983</v>
      </c>
      <c r="N8" s="485">
        <v>331983</v>
      </c>
      <c r="O8" s="485">
        <v>329651</v>
      </c>
      <c r="P8" s="485">
        <v>329651</v>
      </c>
    </row>
    <row r="9" spans="2:16">
      <c r="B9" s="484" t="s">
        <v>1761</v>
      </c>
      <c r="C9" s="484" t="s">
        <v>1762</v>
      </c>
      <c r="D9" s="336">
        <v>217</v>
      </c>
      <c r="E9" s="336">
        <v>217</v>
      </c>
      <c r="F9" s="336">
        <v>217</v>
      </c>
      <c r="G9" s="336">
        <v>217</v>
      </c>
      <c r="H9" s="336">
        <v>217</v>
      </c>
      <c r="I9" s="336">
        <v>217</v>
      </c>
      <c r="J9" s="336">
        <v>217</v>
      </c>
      <c r="K9" s="336">
        <v>217</v>
      </c>
      <c r="L9" s="336">
        <v>217</v>
      </c>
      <c r="M9" s="336">
        <v>217</v>
      </c>
      <c r="N9" s="336">
        <v>217</v>
      </c>
      <c r="O9" s="336">
        <v>217</v>
      </c>
      <c r="P9" s="336">
        <v>217</v>
      </c>
    </row>
    <row r="10" spans="2:16">
      <c r="B10" s="484" t="s">
        <v>1763</v>
      </c>
      <c r="C10" s="484" t="s">
        <v>1764</v>
      </c>
      <c r="D10" s="486">
        <v>6.9</v>
      </c>
      <c r="E10" s="486">
        <v>6.9</v>
      </c>
      <c r="F10" s="486">
        <v>7</v>
      </c>
      <c r="G10" s="486">
        <v>7</v>
      </c>
      <c r="H10" s="486">
        <v>7</v>
      </c>
      <c r="I10" s="487">
        <v>7.0751809999999997</v>
      </c>
      <c r="J10" s="487">
        <v>7.0751809999999997</v>
      </c>
      <c r="K10" s="487">
        <v>7.0751809999999997</v>
      </c>
      <c r="L10" s="487">
        <v>7.0751809999999997</v>
      </c>
      <c r="M10" s="487">
        <f>7010960/1000000</f>
        <v>7.0109599999999999</v>
      </c>
      <c r="N10" s="487">
        <v>7</v>
      </c>
      <c r="O10" s="487">
        <v>7</v>
      </c>
      <c r="P10" s="487">
        <v>7.018211</v>
      </c>
    </row>
    <row r="11" spans="2:16">
      <c r="B11" s="484" t="s">
        <v>1765</v>
      </c>
      <c r="C11" s="484" t="s">
        <v>1766</v>
      </c>
      <c r="D11" s="336">
        <v>125</v>
      </c>
      <c r="E11" s="336">
        <v>127</v>
      </c>
      <c r="F11" s="336">
        <v>137</v>
      </c>
      <c r="G11" s="336">
        <v>137</v>
      </c>
      <c r="H11" s="336">
        <v>141</v>
      </c>
      <c r="I11" s="336">
        <v>138</v>
      </c>
      <c r="J11" s="336">
        <v>140</v>
      </c>
      <c r="K11" s="336">
        <v>143</v>
      </c>
      <c r="L11" s="336">
        <v>143</v>
      </c>
      <c r="M11" s="336">
        <v>144</v>
      </c>
      <c r="N11" s="336">
        <v>145</v>
      </c>
      <c r="O11" s="336">
        <v>151</v>
      </c>
      <c r="P11" s="336">
        <v>158</v>
      </c>
    </row>
    <row r="12" spans="2:16">
      <c r="B12" s="484" t="s">
        <v>2535</v>
      </c>
      <c r="C12" s="484" t="s">
        <v>1767</v>
      </c>
      <c r="D12" s="485">
        <v>2422</v>
      </c>
      <c r="E12" s="485">
        <v>2696</v>
      </c>
      <c r="F12" s="485">
        <v>2995</v>
      </c>
      <c r="G12" s="485">
        <v>3005</v>
      </c>
      <c r="H12" s="485">
        <v>3157</v>
      </c>
      <c r="I12" s="485">
        <v>3075</v>
      </c>
      <c r="J12" s="485">
        <v>3105.9</v>
      </c>
      <c r="K12" s="488">
        <v>3157.8</v>
      </c>
      <c r="L12" s="488">
        <v>3176.6</v>
      </c>
      <c r="M12" s="488">
        <v>3236.8</v>
      </c>
      <c r="N12" s="488">
        <v>3285</v>
      </c>
      <c r="O12" s="488">
        <v>3324</v>
      </c>
      <c r="P12" s="488">
        <v>2601.1</v>
      </c>
    </row>
    <row r="13" spans="2:16">
      <c r="B13" s="484" t="s">
        <v>1768</v>
      </c>
      <c r="C13" s="484" t="s">
        <v>1769</v>
      </c>
      <c r="D13" s="485">
        <v>4727</v>
      </c>
      <c r="E13" s="485">
        <v>4583</v>
      </c>
      <c r="F13" s="485">
        <v>5151</v>
      </c>
      <c r="G13" s="485">
        <v>5114</v>
      </c>
      <c r="H13" s="485">
        <v>5278</v>
      </c>
      <c r="I13" s="485">
        <v>5202</v>
      </c>
      <c r="J13" s="485">
        <v>5202</v>
      </c>
      <c r="K13" s="485">
        <v>5208.0600000000004</v>
      </c>
      <c r="L13" s="485">
        <v>5208.1000000000004</v>
      </c>
      <c r="M13" s="485">
        <v>5262</v>
      </c>
      <c r="N13" s="485">
        <v>5590</v>
      </c>
      <c r="O13" s="485">
        <v>5717</v>
      </c>
      <c r="P13" s="485">
        <v>5728.7669999999998</v>
      </c>
    </row>
    <row r="14" spans="2:16">
      <c r="B14" s="484" t="s">
        <v>1770</v>
      </c>
      <c r="C14" s="484" t="s">
        <v>1771</v>
      </c>
      <c r="D14" s="485">
        <v>123033</v>
      </c>
      <c r="E14" s="485">
        <v>93781</v>
      </c>
      <c r="F14" s="485">
        <v>99529</v>
      </c>
      <c r="G14" s="485">
        <v>103741</v>
      </c>
      <c r="H14" s="485">
        <v>106479</v>
      </c>
      <c r="I14" s="485">
        <v>141319.6</v>
      </c>
      <c r="J14" s="485">
        <v>141822.5</v>
      </c>
      <c r="K14" s="485">
        <v>145808.20000000001</v>
      </c>
      <c r="L14" s="485">
        <v>148373.79999999999</v>
      </c>
      <c r="M14" s="485">
        <v>149820</v>
      </c>
      <c r="N14" s="485">
        <v>151785</v>
      </c>
      <c r="O14" s="485">
        <f>118862+34495</f>
        <v>153357</v>
      </c>
      <c r="P14" s="485">
        <v>154145.386</v>
      </c>
    </row>
    <row r="15" spans="2:16">
      <c r="B15" s="484" t="s">
        <v>1772</v>
      </c>
      <c r="C15" s="484" t="s">
        <v>1773</v>
      </c>
      <c r="D15" s="485">
        <v>107140</v>
      </c>
      <c r="E15" s="485">
        <v>121752</v>
      </c>
      <c r="F15" s="485">
        <v>129615</v>
      </c>
      <c r="G15" s="485">
        <v>133434</v>
      </c>
      <c r="H15" s="485">
        <v>132547</v>
      </c>
      <c r="I15" s="485">
        <v>135451</v>
      </c>
      <c r="J15" s="485">
        <v>138137</v>
      </c>
      <c r="K15" s="485">
        <v>152113</v>
      </c>
      <c r="L15" s="485">
        <v>156775</v>
      </c>
      <c r="M15" s="485">
        <v>160220</v>
      </c>
      <c r="N15" s="485">
        <v>165689</v>
      </c>
      <c r="O15" s="485">
        <v>169351</v>
      </c>
      <c r="P15" s="485">
        <v>171185</v>
      </c>
    </row>
    <row r="17" spans="2:16">
      <c r="B17" s="490"/>
      <c r="C17" s="490"/>
      <c r="D17" s="491">
        <v>2014</v>
      </c>
      <c r="E17" s="491">
        <v>2015</v>
      </c>
      <c r="F17" s="491">
        <v>2016</v>
      </c>
      <c r="G17" s="491">
        <v>2017</v>
      </c>
      <c r="H17" s="491">
        <v>2018</v>
      </c>
      <c r="I17" s="491">
        <v>2019</v>
      </c>
      <c r="J17" s="491">
        <v>2020</v>
      </c>
      <c r="K17" s="491">
        <v>2021</v>
      </c>
      <c r="L17" s="491">
        <f>L6</f>
        <v>2022</v>
      </c>
      <c r="M17" s="491">
        <v>2023</v>
      </c>
      <c r="N17" s="491">
        <v>2024</v>
      </c>
      <c r="O17" s="491">
        <f>$O$6</f>
        <v>2025</v>
      </c>
      <c r="P17" s="491">
        <v>2026</v>
      </c>
    </row>
    <row r="18" spans="2:16">
      <c r="B18" s="479" t="s">
        <v>1629</v>
      </c>
      <c r="C18" s="479" t="s">
        <v>1629</v>
      </c>
      <c r="D18" s="483"/>
      <c r="E18" s="483"/>
      <c r="F18" s="483"/>
      <c r="G18" s="483"/>
      <c r="H18" s="483"/>
      <c r="I18" s="483"/>
      <c r="J18" s="483"/>
      <c r="K18" s="483"/>
      <c r="L18" s="483"/>
      <c r="M18" s="483"/>
      <c r="N18" s="483"/>
      <c r="O18" s="483"/>
      <c r="P18" s="483"/>
    </row>
    <row r="19" spans="2:16" ht="14.4">
      <c r="B19" s="484" t="s">
        <v>1759</v>
      </c>
      <c r="C19" s="552" t="s">
        <v>1760</v>
      </c>
      <c r="D19" s="485">
        <v>1248000</v>
      </c>
      <c r="E19" s="485">
        <v>1248000</v>
      </c>
      <c r="F19" s="485">
        <v>1248000</v>
      </c>
      <c r="G19" s="485">
        <v>1248000</v>
      </c>
      <c r="H19" s="485">
        <v>1248000</v>
      </c>
      <c r="I19" s="485">
        <v>1248000</v>
      </c>
      <c r="J19" s="485">
        <v>1248000</v>
      </c>
      <c r="K19" s="485">
        <v>1248000</v>
      </c>
      <c r="L19" s="485">
        <v>1248000</v>
      </c>
      <c r="M19" s="485">
        <v>1248000</v>
      </c>
      <c r="N19" s="485">
        <v>1248000</v>
      </c>
      <c r="O19" s="485">
        <v>1245829</v>
      </c>
      <c r="P19" s="485">
        <v>1245829</v>
      </c>
    </row>
    <row r="20" spans="2:16">
      <c r="B20" s="484" t="s">
        <v>1761</v>
      </c>
      <c r="C20" s="484" t="s">
        <v>1762</v>
      </c>
      <c r="D20" s="336">
        <v>144</v>
      </c>
      <c r="E20" s="336">
        <v>144</v>
      </c>
      <c r="F20" s="336">
        <v>144</v>
      </c>
      <c r="G20" s="336">
        <v>144</v>
      </c>
      <c r="H20" s="336">
        <v>144</v>
      </c>
      <c r="I20" s="336">
        <v>144</v>
      </c>
      <c r="J20" s="336">
        <v>144</v>
      </c>
      <c r="K20" s="336">
        <v>144</v>
      </c>
      <c r="L20" s="336">
        <v>144</v>
      </c>
      <c r="M20" s="336">
        <v>144</v>
      </c>
      <c r="N20" s="336">
        <v>144</v>
      </c>
      <c r="O20" s="336">
        <v>144</v>
      </c>
      <c r="P20" s="336">
        <v>144</v>
      </c>
    </row>
    <row r="21" spans="2:16">
      <c r="B21" s="484" t="s">
        <v>1763</v>
      </c>
      <c r="C21" s="484" t="s">
        <v>1764</v>
      </c>
      <c r="D21" s="486">
        <v>8.1</v>
      </c>
      <c r="E21" s="486">
        <v>8.1999999999999993</v>
      </c>
      <c r="F21" s="486">
        <v>8.3000000000000007</v>
      </c>
      <c r="G21" s="486">
        <v>8.4</v>
      </c>
      <c r="H21" s="486">
        <v>8.4</v>
      </c>
      <c r="I21" s="487">
        <v>8.6028649999999995</v>
      </c>
      <c r="J21" s="487">
        <v>8.6999999999999993</v>
      </c>
      <c r="K21" s="487">
        <v>8.6999999999999993</v>
      </c>
      <c r="L21" s="487">
        <v>8.6999999999999993</v>
      </c>
      <c r="M21" s="487">
        <f>8665306/1000000</f>
        <v>8.6653059999999993</v>
      </c>
      <c r="N21" s="487">
        <v>8.6999999999999993</v>
      </c>
      <c r="O21" s="487">
        <v>8.6999999999999993</v>
      </c>
      <c r="P21" s="487">
        <v>8.7111959999999993</v>
      </c>
    </row>
    <row r="22" spans="2:16">
      <c r="B22" s="484" t="s">
        <v>1765</v>
      </c>
      <c r="C22" s="484" t="s">
        <v>1766</v>
      </c>
      <c r="D22" s="336">
        <v>94</v>
      </c>
      <c r="E22" s="336">
        <v>112</v>
      </c>
      <c r="F22" s="336">
        <v>121</v>
      </c>
      <c r="G22" s="336">
        <v>108</v>
      </c>
      <c r="H22" s="336">
        <v>117</v>
      </c>
      <c r="I22" s="336">
        <v>132</v>
      </c>
      <c r="J22" s="336">
        <v>132</v>
      </c>
      <c r="K22" s="336">
        <v>116</v>
      </c>
      <c r="L22" s="336">
        <v>121</v>
      </c>
      <c r="M22" s="336">
        <v>127</v>
      </c>
      <c r="N22" s="336">
        <v>129</v>
      </c>
      <c r="O22" s="336">
        <v>131</v>
      </c>
      <c r="P22" s="336">
        <v>147</v>
      </c>
    </row>
    <row r="23" spans="2:16">
      <c r="B23" s="484" t="s">
        <v>2535</v>
      </c>
      <c r="C23" s="484" t="s">
        <v>1767</v>
      </c>
      <c r="D23" s="485">
        <v>3015</v>
      </c>
      <c r="E23" s="485">
        <v>3264</v>
      </c>
      <c r="F23" s="485">
        <v>3254</v>
      </c>
      <c r="G23" s="485">
        <v>3331</v>
      </c>
      <c r="H23" s="485">
        <v>3653</v>
      </c>
      <c r="I23" s="485">
        <v>4158</v>
      </c>
      <c r="J23" s="485">
        <v>4200</v>
      </c>
      <c r="K23" s="485">
        <v>3225</v>
      </c>
      <c r="L23" s="485">
        <v>3362</v>
      </c>
      <c r="M23" s="485">
        <v>3420</v>
      </c>
      <c r="N23" s="485">
        <v>3580</v>
      </c>
      <c r="O23" s="485">
        <v>3668</v>
      </c>
      <c r="P23" s="485">
        <v>4848.75</v>
      </c>
    </row>
    <row r="24" spans="2:16">
      <c r="B24" s="484" t="s">
        <v>1768</v>
      </c>
      <c r="C24" s="484" t="s">
        <v>1769</v>
      </c>
      <c r="D24" s="485">
        <v>4191</v>
      </c>
      <c r="E24" s="485">
        <v>4498</v>
      </c>
      <c r="F24" s="485">
        <v>4563</v>
      </c>
      <c r="G24" s="485">
        <v>4314</v>
      </c>
      <c r="H24" s="485">
        <v>5721</v>
      </c>
      <c r="I24" s="485">
        <v>4855</v>
      </c>
      <c r="J24" s="485">
        <v>4855</v>
      </c>
      <c r="K24" s="485">
        <v>4790</v>
      </c>
      <c r="L24" s="485">
        <v>4914</v>
      </c>
      <c r="M24" s="485">
        <v>4929</v>
      </c>
      <c r="N24" s="485">
        <v>5148</v>
      </c>
      <c r="O24" s="485">
        <v>5657</v>
      </c>
      <c r="P24" s="485">
        <v>6123.6689999999999</v>
      </c>
    </row>
    <row r="25" spans="2:16">
      <c r="B25" s="484" t="s">
        <v>1770</v>
      </c>
      <c r="C25" s="484" t="s">
        <v>1771</v>
      </c>
      <c r="D25" s="485">
        <v>121512</v>
      </c>
      <c r="E25" s="485">
        <v>127345</v>
      </c>
      <c r="F25" s="485">
        <v>132652</v>
      </c>
      <c r="G25" s="485">
        <v>139608</v>
      </c>
      <c r="H25" s="485">
        <v>149160</v>
      </c>
      <c r="I25" s="485">
        <v>158702</v>
      </c>
      <c r="J25" s="485">
        <v>158872</v>
      </c>
      <c r="K25" s="485">
        <v>163642.22</v>
      </c>
      <c r="L25" s="485">
        <v>168231.9</v>
      </c>
      <c r="M25" s="485">
        <v>170105.4</v>
      </c>
      <c r="N25" s="485">
        <v>178067</v>
      </c>
      <c r="O25" s="485">
        <f>150992+40407</f>
        <v>191399</v>
      </c>
      <c r="P25" s="485">
        <v>184716.79799999998</v>
      </c>
    </row>
    <row r="26" spans="2:16">
      <c r="B26" s="484" t="s">
        <v>1772</v>
      </c>
      <c r="C26" s="484" t="s">
        <v>1773</v>
      </c>
      <c r="D26" s="485">
        <v>139348</v>
      </c>
      <c r="E26" s="485">
        <v>155702</v>
      </c>
      <c r="F26" s="485">
        <v>178562</v>
      </c>
      <c r="G26" s="485">
        <v>168555</v>
      </c>
      <c r="H26" s="485">
        <v>157609</v>
      </c>
      <c r="I26" s="485">
        <v>156785</v>
      </c>
      <c r="J26" s="485">
        <v>161562</v>
      </c>
      <c r="K26" s="485">
        <v>199988</v>
      </c>
      <c r="L26" s="485">
        <v>209240</v>
      </c>
      <c r="M26" s="485">
        <v>216579</v>
      </c>
      <c r="N26" s="485">
        <v>221061</v>
      </c>
      <c r="O26" s="485">
        <v>235361</v>
      </c>
      <c r="P26" s="485">
        <v>241018</v>
      </c>
    </row>
    <row r="28" spans="2:16">
      <c r="B28" s="490"/>
      <c r="C28" s="490"/>
      <c r="D28" s="491">
        <v>2014</v>
      </c>
      <c r="E28" s="491">
        <v>2015</v>
      </c>
      <c r="F28" s="491">
        <v>2016</v>
      </c>
      <c r="G28" s="491">
        <v>2017</v>
      </c>
      <c r="H28" s="491">
        <v>2018</v>
      </c>
      <c r="I28" s="491">
        <v>2019</v>
      </c>
      <c r="J28" s="491">
        <v>2020</v>
      </c>
      <c r="K28" s="491">
        <v>2021</v>
      </c>
      <c r="L28" s="491">
        <f>L17</f>
        <v>2022</v>
      </c>
      <c r="M28" s="491">
        <v>2023</v>
      </c>
      <c r="N28" s="491">
        <v>2024</v>
      </c>
      <c r="O28" s="491">
        <f>$O$6</f>
        <v>2025</v>
      </c>
      <c r="P28" s="491">
        <v>2026</v>
      </c>
    </row>
    <row r="29" spans="2:16">
      <c r="B29" s="479" t="s">
        <v>1634</v>
      </c>
      <c r="C29" s="479" t="s">
        <v>1634</v>
      </c>
      <c r="D29" s="483"/>
      <c r="E29" s="483"/>
      <c r="F29" s="483"/>
      <c r="G29" s="483"/>
      <c r="H29" s="483"/>
      <c r="I29" s="483"/>
      <c r="J29" s="483"/>
      <c r="K29" s="483"/>
      <c r="L29" s="483"/>
      <c r="M29" s="483"/>
      <c r="N29" s="483"/>
      <c r="O29" s="483"/>
      <c r="P29" s="483"/>
    </row>
    <row r="30" spans="2:16" ht="14.4">
      <c r="B30" s="484" t="s">
        <v>1759</v>
      </c>
      <c r="C30" s="552" t="s">
        <v>1760</v>
      </c>
      <c r="D30" s="489" t="s">
        <v>447</v>
      </c>
      <c r="E30" s="489" t="s">
        <v>447</v>
      </c>
      <c r="F30" s="489" t="s">
        <v>447</v>
      </c>
      <c r="G30" s="489" t="s">
        <v>447</v>
      </c>
      <c r="H30" s="489" t="s">
        <v>447</v>
      </c>
      <c r="I30" s="485">
        <v>251616.823</v>
      </c>
      <c r="J30" s="485">
        <v>251616.823</v>
      </c>
      <c r="K30" s="485">
        <v>251616.823</v>
      </c>
      <c r="L30" s="485">
        <v>251616.823</v>
      </c>
      <c r="M30" s="485">
        <v>251616.823</v>
      </c>
      <c r="N30" s="485">
        <v>251617</v>
      </c>
      <c r="O30" s="485">
        <v>251755</v>
      </c>
      <c r="P30" s="485">
        <v>251755</v>
      </c>
    </row>
    <row r="31" spans="2:16">
      <c r="B31" s="484" t="s">
        <v>1761</v>
      </c>
      <c r="C31" s="484" t="s">
        <v>1762</v>
      </c>
      <c r="D31" s="489" t="s">
        <v>447</v>
      </c>
      <c r="E31" s="489" t="s">
        <v>447</v>
      </c>
      <c r="F31" s="489" t="s">
        <v>447</v>
      </c>
      <c r="G31" s="489" t="s">
        <v>447</v>
      </c>
      <c r="H31" s="489" t="s">
        <v>447</v>
      </c>
      <c r="I31" s="336">
        <v>224</v>
      </c>
      <c r="J31" s="336">
        <v>224</v>
      </c>
      <c r="K31" s="336">
        <v>224</v>
      </c>
      <c r="L31" s="336">
        <v>224</v>
      </c>
      <c r="M31" s="336">
        <v>224</v>
      </c>
      <c r="N31" s="336">
        <v>224</v>
      </c>
      <c r="O31" s="336">
        <v>224</v>
      </c>
      <c r="P31" s="336">
        <v>224</v>
      </c>
    </row>
    <row r="32" spans="2:16">
      <c r="B32" s="484" t="s">
        <v>1763</v>
      </c>
      <c r="C32" s="484" t="s">
        <v>1764</v>
      </c>
      <c r="D32" s="489" t="s">
        <v>447</v>
      </c>
      <c r="E32" s="489" t="s">
        <v>447</v>
      </c>
      <c r="F32" s="489" t="s">
        <v>447</v>
      </c>
      <c r="G32" s="489" t="s">
        <v>447</v>
      </c>
      <c r="H32" s="489" t="s">
        <v>447</v>
      </c>
      <c r="I32" s="336">
        <v>1.3</v>
      </c>
      <c r="J32" s="336">
        <v>1.3</v>
      </c>
      <c r="K32" s="336">
        <v>1.3</v>
      </c>
      <c r="L32" s="336">
        <v>1.3</v>
      </c>
      <c r="M32" s="336"/>
      <c r="N32" s="336">
        <v>3.4</v>
      </c>
      <c r="O32" s="336">
        <v>3.4</v>
      </c>
      <c r="P32" s="336">
        <v>3.384547</v>
      </c>
    </row>
    <row r="33" spans="2:16">
      <c r="B33" s="484" t="s">
        <v>1765</v>
      </c>
      <c r="C33" s="484" t="s">
        <v>1766</v>
      </c>
      <c r="D33" s="489" t="s">
        <v>447</v>
      </c>
      <c r="E33" s="489" t="s">
        <v>447</v>
      </c>
      <c r="F33" s="489" t="s">
        <v>447</v>
      </c>
      <c r="G33" s="489" t="s">
        <v>447</v>
      </c>
      <c r="H33" s="489" t="s">
        <v>447</v>
      </c>
      <c r="I33" s="336">
        <v>92</v>
      </c>
      <c r="J33" s="336">
        <v>93</v>
      </c>
      <c r="K33" s="336">
        <v>101</v>
      </c>
      <c r="L33" s="336">
        <v>102</v>
      </c>
      <c r="M33" s="336">
        <v>102</v>
      </c>
      <c r="N33" s="336">
        <v>103</v>
      </c>
      <c r="O33" s="336">
        <v>103</v>
      </c>
      <c r="P33" s="336">
        <v>103</v>
      </c>
    </row>
    <row r="34" spans="2:16">
      <c r="B34" s="484" t="s">
        <v>2535</v>
      </c>
      <c r="C34" s="484" t="s">
        <v>1767</v>
      </c>
      <c r="D34" s="489" t="s">
        <v>447</v>
      </c>
      <c r="E34" s="489" t="s">
        <v>447</v>
      </c>
      <c r="F34" s="489" t="s">
        <v>447</v>
      </c>
      <c r="G34" s="489" t="s">
        <v>447</v>
      </c>
      <c r="H34" s="489" t="s">
        <v>447</v>
      </c>
      <c r="I34" s="485">
        <v>1447.5</v>
      </c>
      <c r="J34" s="485">
        <v>1530.5</v>
      </c>
      <c r="K34" s="485">
        <v>1292.8</v>
      </c>
      <c r="L34" s="485">
        <v>1419.85</v>
      </c>
      <c r="M34" s="485">
        <v>1972.8</v>
      </c>
      <c r="N34" s="485">
        <v>1887</v>
      </c>
      <c r="O34" s="485">
        <v>1903.93</v>
      </c>
      <c r="P34" s="485">
        <v>2211.2249999999999</v>
      </c>
    </row>
    <row r="35" spans="2:16">
      <c r="B35" s="484" t="s">
        <v>1768</v>
      </c>
      <c r="C35" s="484" t="s">
        <v>1769</v>
      </c>
      <c r="D35" s="489" t="s">
        <v>447</v>
      </c>
      <c r="E35" s="489" t="s">
        <v>447</v>
      </c>
      <c r="F35" s="489" t="s">
        <v>447</v>
      </c>
      <c r="G35" s="489" t="s">
        <v>447</v>
      </c>
      <c r="H35" s="489" t="s">
        <v>447</v>
      </c>
      <c r="I35" s="485">
        <v>3176</v>
      </c>
      <c r="J35" s="485">
        <v>3178</v>
      </c>
      <c r="K35" s="485">
        <v>3017.4</v>
      </c>
      <c r="L35" s="485">
        <v>3136.9</v>
      </c>
      <c r="M35" s="485">
        <v>3340</v>
      </c>
      <c r="N35" s="485">
        <v>3415</v>
      </c>
      <c r="O35" s="485">
        <v>3575.5</v>
      </c>
      <c r="P35" s="485">
        <v>3578.5619999999999</v>
      </c>
    </row>
    <row r="36" spans="2:16">
      <c r="B36" s="484" t="s">
        <v>1770</v>
      </c>
      <c r="C36" s="484" t="s">
        <v>1771</v>
      </c>
      <c r="D36" s="489" t="s">
        <v>447</v>
      </c>
      <c r="E36" s="489" t="s">
        <v>447</v>
      </c>
      <c r="F36" s="489" t="s">
        <v>447</v>
      </c>
      <c r="G36" s="489" t="s">
        <v>447</v>
      </c>
      <c r="H36" s="489" t="s">
        <v>447</v>
      </c>
      <c r="I36" s="485">
        <v>100786.8</v>
      </c>
      <c r="J36" s="485">
        <v>101241.7</v>
      </c>
      <c r="K36" s="485">
        <v>103900.3</v>
      </c>
      <c r="L36" s="485">
        <v>105729.4</v>
      </c>
      <c r="M36" s="485">
        <v>108576.2</v>
      </c>
      <c r="N36" s="485">
        <v>109582</v>
      </c>
      <c r="O36" s="485">
        <v>112606.07</v>
      </c>
      <c r="P36" s="485">
        <v>114124.606</v>
      </c>
    </row>
    <row r="37" spans="2:16">
      <c r="B37" s="484" t="s">
        <v>1772</v>
      </c>
      <c r="C37" s="484" t="s">
        <v>1773</v>
      </c>
      <c r="D37" s="489" t="s">
        <v>447</v>
      </c>
      <c r="E37" s="489" t="s">
        <v>447</v>
      </c>
      <c r="F37" s="489" t="s">
        <v>447</v>
      </c>
      <c r="G37" s="489" t="s">
        <v>447</v>
      </c>
      <c r="H37" s="489" t="s">
        <v>447</v>
      </c>
      <c r="I37" s="485">
        <v>73226</v>
      </c>
      <c r="J37" s="485">
        <v>75206</v>
      </c>
      <c r="K37" s="485">
        <v>83037</v>
      </c>
      <c r="L37" s="485">
        <v>85461</v>
      </c>
      <c r="M37" s="485">
        <v>88649</v>
      </c>
      <c r="N37" s="485">
        <v>90128</v>
      </c>
      <c r="O37" s="485">
        <v>88543</v>
      </c>
      <c r="P37" s="485">
        <v>97378</v>
      </c>
    </row>
    <row r="39" spans="2:16">
      <c r="B39" s="490"/>
      <c r="C39" s="490"/>
      <c r="D39" s="491">
        <v>2014</v>
      </c>
      <c r="E39" s="491">
        <v>2015</v>
      </c>
      <c r="F39" s="491">
        <v>2016</v>
      </c>
      <c r="G39" s="491">
        <v>2017</v>
      </c>
      <c r="H39" s="491">
        <v>2018</v>
      </c>
      <c r="I39" s="491">
        <v>2019</v>
      </c>
      <c r="J39" s="491">
        <v>2020</v>
      </c>
      <c r="K39" s="491">
        <v>2021</v>
      </c>
      <c r="L39" s="491">
        <f>L28</f>
        <v>2022</v>
      </c>
      <c r="M39" s="491">
        <v>2023</v>
      </c>
      <c r="N39" s="491">
        <v>2024</v>
      </c>
      <c r="O39" s="491">
        <f>$O$6</f>
        <v>2025</v>
      </c>
      <c r="P39" s="491">
        <v>2026</v>
      </c>
    </row>
    <row r="40" spans="2:16">
      <c r="B40" s="479" t="s">
        <v>1623</v>
      </c>
      <c r="C40" s="479" t="s">
        <v>1623</v>
      </c>
      <c r="D40" s="483"/>
      <c r="E40" s="483"/>
      <c r="F40" s="483"/>
      <c r="G40" s="483"/>
      <c r="H40" s="483"/>
      <c r="I40" s="483"/>
      <c r="J40" s="483"/>
      <c r="K40" s="483"/>
      <c r="L40" s="483"/>
      <c r="M40" s="483"/>
      <c r="N40" s="483"/>
      <c r="O40" s="483"/>
      <c r="P40" s="483"/>
    </row>
    <row r="41" spans="2:16" ht="14.4">
      <c r="B41" s="484" t="s">
        <v>1759</v>
      </c>
      <c r="C41" s="552" t="s">
        <v>1760</v>
      </c>
      <c r="D41" s="489" t="s">
        <v>447</v>
      </c>
      <c r="E41" s="489" t="s">
        <v>447</v>
      </c>
      <c r="F41" s="489" t="s">
        <v>447</v>
      </c>
      <c r="G41" s="489" t="s">
        <v>447</v>
      </c>
      <c r="H41" s="489" t="s">
        <v>447</v>
      </c>
      <c r="I41" s="485">
        <v>27843.294999999998</v>
      </c>
      <c r="J41" s="485">
        <v>27843.294999999998</v>
      </c>
      <c r="K41" s="485">
        <v>27843.294999999998</v>
      </c>
      <c r="L41" s="485">
        <v>27843.294999999998</v>
      </c>
      <c r="M41" s="485">
        <v>27843.294999999998</v>
      </c>
      <c r="N41" s="485">
        <v>27843</v>
      </c>
      <c r="O41" s="485">
        <v>27831</v>
      </c>
      <c r="P41" s="485">
        <v>27831</v>
      </c>
    </row>
    <row r="42" spans="2:16">
      <c r="B42" s="484" t="s">
        <v>1761</v>
      </c>
      <c r="C42" s="484" t="s">
        <v>1762</v>
      </c>
      <c r="D42" s="489" t="s">
        <v>447</v>
      </c>
      <c r="E42" s="489" t="s">
        <v>447</v>
      </c>
      <c r="F42" s="489" t="s">
        <v>447</v>
      </c>
      <c r="G42" s="489" t="s">
        <v>447</v>
      </c>
      <c r="H42" s="489" t="s">
        <v>447</v>
      </c>
      <c r="I42" s="336">
        <v>102</v>
      </c>
      <c r="J42" s="336">
        <v>102</v>
      </c>
      <c r="K42" s="336">
        <v>102</v>
      </c>
      <c r="L42" s="336">
        <v>102</v>
      </c>
      <c r="M42" s="336">
        <v>102</v>
      </c>
      <c r="N42" s="336">
        <v>102</v>
      </c>
      <c r="O42" s="336">
        <v>102</v>
      </c>
      <c r="P42" s="336">
        <v>102</v>
      </c>
    </row>
    <row r="43" spans="2:16">
      <c r="B43" s="484" t="s">
        <v>1763</v>
      </c>
      <c r="C43" s="484" t="s">
        <v>1764</v>
      </c>
      <c r="D43" s="486" t="s">
        <v>447</v>
      </c>
      <c r="E43" s="486" t="s">
        <v>447</v>
      </c>
      <c r="F43" s="486" t="s">
        <v>447</v>
      </c>
      <c r="G43" s="486" t="s">
        <v>447</v>
      </c>
      <c r="H43" s="486" t="s">
        <v>447</v>
      </c>
      <c r="I43" s="487">
        <f>3337357/1000000</f>
        <v>3.3373569999999999</v>
      </c>
      <c r="J43" s="487">
        <f>3337357/1000000</f>
        <v>3.3373569999999999</v>
      </c>
      <c r="K43" s="487">
        <f>3337357/1000000</f>
        <v>3.3373569999999999</v>
      </c>
      <c r="L43" s="487">
        <f>3337357/1000000</f>
        <v>3.3373569999999999</v>
      </c>
      <c r="M43" s="487">
        <f>3220104/1000000</f>
        <v>3.2201040000000001</v>
      </c>
      <c r="N43" s="487">
        <v>3.2</v>
      </c>
      <c r="O43" s="487">
        <v>3.2</v>
      </c>
      <c r="P43" s="487">
        <v>3.2208480000000002</v>
      </c>
    </row>
    <row r="44" spans="2:16">
      <c r="B44" s="484" t="s">
        <v>1765</v>
      </c>
      <c r="C44" s="484" t="s">
        <v>1766</v>
      </c>
      <c r="D44" s="489" t="s">
        <v>447</v>
      </c>
      <c r="E44" s="489" t="s">
        <v>447</v>
      </c>
      <c r="F44" s="489" t="s">
        <v>447</v>
      </c>
      <c r="G44" s="489" t="s">
        <v>447</v>
      </c>
      <c r="H44" s="489" t="s">
        <v>447</v>
      </c>
      <c r="I44" s="336">
        <v>42</v>
      </c>
      <c r="J44" s="336">
        <v>43</v>
      </c>
      <c r="K44" s="336">
        <v>44</v>
      </c>
      <c r="L44" s="336">
        <v>44</v>
      </c>
      <c r="M44" s="336">
        <v>49</v>
      </c>
      <c r="N44" s="336">
        <v>49</v>
      </c>
      <c r="O44" s="336">
        <v>49</v>
      </c>
      <c r="P44" s="336">
        <v>50</v>
      </c>
    </row>
    <row r="45" spans="2:16">
      <c r="B45" s="484" t="s">
        <v>2535</v>
      </c>
      <c r="C45" s="484" t="s">
        <v>1767</v>
      </c>
      <c r="D45" s="489" t="s">
        <v>447</v>
      </c>
      <c r="E45" s="489" t="s">
        <v>447</v>
      </c>
      <c r="F45" s="489" t="s">
        <v>447</v>
      </c>
      <c r="G45" s="489" t="s">
        <v>447</v>
      </c>
      <c r="H45" s="489" t="s">
        <v>447</v>
      </c>
      <c r="I45" s="485">
        <v>1006.85</v>
      </c>
      <c r="J45" s="485">
        <v>1007</v>
      </c>
      <c r="K45" s="485">
        <v>1097.5</v>
      </c>
      <c r="L45" s="485">
        <v>1151.05</v>
      </c>
      <c r="M45" s="485">
        <v>1174.8</v>
      </c>
      <c r="N45" s="485">
        <v>1248</v>
      </c>
      <c r="O45" s="485">
        <v>1304</v>
      </c>
      <c r="P45" s="485">
        <v>1172.5</v>
      </c>
    </row>
    <row r="46" spans="2:16">
      <c r="B46" s="484" t="s">
        <v>1768</v>
      </c>
      <c r="C46" s="484" t="s">
        <v>1769</v>
      </c>
      <c r="D46" s="489" t="s">
        <v>447</v>
      </c>
      <c r="E46" s="489" t="s">
        <v>447</v>
      </c>
      <c r="F46" s="489" t="s">
        <v>447</v>
      </c>
      <c r="G46" s="489" t="s">
        <v>447</v>
      </c>
      <c r="H46" s="489" t="s">
        <v>447</v>
      </c>
      <c r="I46" s="485">
        <v>1945.7</v>
      </c>
      <c r="J46" s="485">
        <v>1945.7</v>
      </c>
      <c r="K46" s="485">
        <v>1948.6</v>
      </c>
      <c r="L46" s="485">
        <v>1944</v>
      </c>
      <c r="M46" s="485">
        <v>2016</v>
      </c>
      <c r="N46" s="485">
        <v>2180</v>
      </c>
      <c r="O46" s="485">
        <v>2180</v>
      </c>
      <c r="P46" s="485">
        <v>2188.61</v>
      </c>
    </row>
    <row r="47" spans="2:16">
      <c r="B47" s="484" t="s">
        <v>1770</v>
      </c>
      <c r="C47" s="484" t="s">
        <v>1771</v>
      </c>
      <c r="D47" s="489" t="s">
        <v>447</v>
      </c>
      <c r="E47" s="489" t="s">
        <v>447</v>
      </c>
      <c r="F47" s="489" t="s">
        <v>447</v>
      </c>
      <c r="G47" s="489" t="s">
        <v>447</v>
      </c>
      <c r="H47" s="489" t="s">
        <v>447</v>
      </c>
      <c r="I47" s="485">
        <v>43033.5</v>
      </c>
      <c r="J47" s="485">
        <v>43116</v>
      </c>
      <c r="K47" s="485">
        <v>43774</v>
      </c>
      <c r="L47" s="485">
        <v>44512.5</v>
      </c>
      <c r="M47" s="485">
        <v>45069.1</v>
      </c>
      <c r="N47" s="485">
        <v>45909</v>
      </c>
      <c r="O47" s="485">
        <v>48215</v>
      </c>
      <c r="P47" s="485">
        <v>46824.328999999998</v>
      </c>
    </row>
    <row r="48" spans="2:16">
      <c r="B48" s="484" t="s">
        <v>1772</v>
      </c>
      <c r="C48" s="484" t="s">
        <v>1773</v>
      </c>
      <c r="D48" s="489" t="s">
        <v>447</v>
      </c>
      <c r="E48" s="489" t="s">
        <v>447</v>
      </c>
      <c r="F48" s="489" t="s">
        <v>447</v>
      </c>
      <c r="G48" s="489" t="s">
        <v>447</v>
      </c>
      <c r="H48" s="489" t="s">
        <v>447</v>
      </c>
      <c r="I48" s="485">
        <v>31321</v>
      </c>
      <c r="J48" s="485">
        <v>31357</v>
      </c>
      <c r="K48" s="485">
        <v>40408</v>
      </c>
      <c r="L48" s="485">
        <v>41714</v>
      </c>
      <c r="M48" s="485">
        <v>42507</v>
      </c>
      <c r="N48" s="485">
        <v>33925</v>
      </c>
      <c r="O48" s="485">
        <v>37835</v>
      </c>
      <c r="P48" s="485">
        <v>46676</v>
      </c>
    </row>
    <row r="50" spans="2:16">
      <c r="B50" s="490"/>
      <c r="C50" s="490"/>
      <c r="D50" s="491">
        <v>2014</v>
      </c>
      <c r="E50" s="491">
        <v>2015</v>
      </c>
      <c r="F50" s="491">
        <v>2016</v>
      </c>
      <c r="G50" s="491">
        <v>2017</v>
      </c>
      <c r="H50" s="491">
        <v>2018</v>
      </c>
      <c r="I50" s="491">
        <v>2019</v>
      </c>
      <c r="J50" s="491">
        <v>2020</v>
      </c>
      <c r="K50" s="491">
        <v>2021</v>
      </c>
      <c r="L50" s="491">
        <f>L39</f>
        <v>2022</v>
      </c>
      <c r="M50" s="491">
        <v>2023</v>
      </c>
      <c r="N50" s="491">
        <v>2024</v>
      </c>
      <c r="O50" s="491">
        <f>$O$6</f>
        <v>2025</v>
      </c>
      <c r="P50" s="491">
        <v>2026</v>
      </c>
    </row>
    <row r="51" spans="2:16">
      <c r="B51" s="479" t="s">
        <v>119</v>
      </c>
      <c r="C51" s="479" t="s">
        <v>119</v>
      </c>
      <c r="D51" s="483"/>
      <c r="E51" s="483"/>
      <c r="F51" s="483"/>
      <c r="G51" s="483"/>
      <c r="H51" s="483"/>
      <c r="I51" s="483"/>
      <c r="J51" s="483"/>
      <c r="K51" s="483"/>
      <c r="L51" s="483"/>
      <c r="M51" s="483"/>
      <c r="N51" s="483"/>
      <c r="O51" s="483"/>
      <c r="P51" s="483"/>
    </row>
    <row r="52" spans="2:16" ht="14.4">
      <c r="B52" s="484" t="s">
        <v>1759</v>
      </c>
      <c r="C52" s="552" t="s">
        <v>1760</v>
      </c>
      <c r="D52" s="489" t="s">
        <v>447</v>
      </c>
      <c r="E52" s="489" t="s">
        <v>447</v>
      </c>
      <c r="F52" s="489" t="s">
        <v>447</v>
      </c>
      <c r="G52" s="489" t="s">
        <v>447</v>
      </c>
      <c r="H52" s="489" t="s">
        <v>447</v>
      </c>
      <c r="I52" s="489" t="s">
        <v>447</v>
      </c>
      <c r="J52" s="489" t="s">
        <v>447</v>
      </c>
      <c r="K52" s="485">
        <v>87101</v>
      </c>
      <c r="L52" s="485">
        <v>87101</v>
      </c>
      <c r="M52" s="485">
        <v>87101</v>
      </c>
      <c r="N52" s="485">
        <v>87101</v>
      </c>
      <c r="O52" s="485">
        <v>87101</v>
      </c>
      <c r="P52" s="485">
        <v>87101</v>
      </c>
    </row>
    <row r="53" spans="2:16">
      <c r="B53" s="484" t="s">
        <v>1761</v>
      </c>
      <c r="C53" s="484" t="s">
        <v>1762</v>
      </c>
      <c r="D53" s="489" t="s">
        <v>447</v>
      </c>
      <c r="E53" s="489" t="s">
        <v>447</v>
      </c>
      <c r="F53" s="489" t="s">
        <v>447</v>
      </c>
      <c r="G53" s="489" t="s">
        <v>447</v>
      </c>
      <c r="H53" s="489" t="s">
        <v>447</v>
      </c>
      <c r="I53" s="489" t="s">
        <v>447</v>
      </c>
      <c r="J53" s="489" t="s">
        <v>447</v>
      </c>
      <c r="K53" s="336">
        <v>72</v>
      </c>
      <c r="L53" s="336">
        <v>72</v>
      </c>
      <c r="M53" s="336">
        <v>72</v>
      </c>
      <c r="N53" s="336">
        <v>72</v>
      </c>
      <c r="O53" s="336">
        <v>72</v>
      </c>
      <c r="P53" s="336">
        <v>72</v>
      </c>
    </row>
    <row r="54" spans="2:16">
      <c r="B54" s="484" t="s">
        <v>1763</v>
      </c>
      <c r="C54" s="484" t="s">
        <v>1764</v>
      </c>
      <c r="D54" s="489" t="s">
        <v>447</v>
      </c>
      <c r="E54" s="489" t="s">
        <v>447</v>
      </c>
      <c r="F54" s="489" t="s">
        <v>447</v>
      </c>
      <c r="G54" s="489" t="s">
        <v>447</v>
      </c>
      <c r="H54" s="489" t="s">
        <v>447</v>
      </c>
      <c r="I54" s="336" t="s">
        <v>447</v>
      </c>
      <c r="J54" s="336" t="s">
        <v>447</v>
      </c>
      <c r="K54" s="336">
        <v>3.9</v>
      </c>
      <c r="L54" s="336">
        <v>3.9</v>
      </c>
      <c r="M54" s="336">
        <v>3.7</v>
      </c>
      <c r="N54" s="336">
        <v>3.9</v>
      </c>
      <c r="O54" s="336">
        <f>N54</f>
        <v>3.9</v>
      </c>
      <c r="P54" s="336">
        <v>3.9</v>
      </c>
    </row>
    <row r="55" spans="2:16">
      <c r="B55" s="484" t="s">
        <v>1765</v>
      </c>
      <c r="C55" s="484" t="s">
        <v>1766</v>
      </c>
      <c r="D55" s="489" t="s">
        <v>447</v>
      </c>
      <c r="E55" s="489" t="s">
        <v>447</v>
      </c>
      <c r="F55" s="489" t="s">
        <v>447</v>
      </c>
      <c r="G55" s="489" t="s">
        <v>447</v>
      </c>
      <c r="H55" s="489" t="s">
        <v>447</v>
      </c>
      <c r="I55" s="489" t="s">
        <v>447</v>
      </c>
      <c r="J55" s="489" t="s">
        <v>447</v>
      </c>
      <c r="K55" s="336">
        <v>92</v>
      </c>
      <c r="L55" s="336">
        <v>72</v>
      </c>
      <c r="M55" s="336">
        <v>73</v>
      </c>
      <c r="N55" s="336">
        <v>74</v>
      </c>
      <c r="O55" s="336">
        <v>75</v>
      </c>
      <c r="P55" s="336">
        <v>93</v>
      </c>
    </row>
    <row r="56" spans="2:16">
      <c r="B56" s="484" t="s">
        <v>2535</v>
      </c>
      <c r="C56" s="484" t="s">
        <v>1767</v>
      </c>
      <c r="D56" s="489" t="s">
        <v>447</v>
      </c>
      <c r="E56" s="489" t="s">
        <v>447</v>
      </c>
      <c r="F56" s="489" t="s">
        <v>447</v>
      </c>
      <c r="G56" s="489" t="s">
        <v>447</v>
      </c>
      <c r="H56" s="489" t="s">
        <v>447</v>
      </c>
      <c r="I56" s="489" t="s">
        <v>447</v>
      </c>
      <c r="J56" s="489" t="s">
        <v>447</v>
      </c>
      <c r="K56" s="485" t="s">
        <v>1774</v>
      </c>
      <c r="L56" s="485">
        <v>2652</v>
      </c>
      <c r="M56" s="485">
        <v>2682.6</v>
      </c>
      <c r="N56" s="485">
        <v>1745</v>
      </c>
      <c r="O56" s="485">
        <v>2752.15</v>
      </c>
      <c r="P56" s="485">
        <v>3097</v>
      </c>
    </row>
    <row r="57" spans="2:16">
      <c r="B57" s="484" t="s">
        <v>1768</v>
      </c>
      <c r="C57" s="484" t="s">
        <v>1769</v>
      </c>
      <c r="D57" s="489" t="s">
        <v>447</v>
      </c>
      <c r="E57" s="489" t="s">
        <v>447</v>
      </c>
      <c r="F57" s="489" t="s">
        <v>447</v>
      </c>
      <c r="G57" s="489" t="s">
        <v>447</v>
      </c>
      <c r="H57" s="489" t="s">
        <v>447</v>
      </c>
      <c r="I57" s="489" t="s">
        <v>447</v>
      </c>
      <c r="J57" s="489" t="s">
        <v>447</v>
      </c>
      <c r="K57" s="485">
        <v>1785.1</v>
      </c>
      <c r="L57" s="485">
        <v>1806.2</v>
      </c>
      <c r="M57" s="485">
        <v>1817.4</v>
      </c>
      <c r="N57" s="485">
        <v>1826</v>
      </c>
      <c r="O57" s="485">
        <v>1845.97</v>
      </c>
      <c r="P57" s="485">
        <v>1961.777</v>
      </c>
    </row>
    <row r="58" spans="2:16">
      <c r="B58" s="484" t="s">
        <v>1770</v>
      </c>
      <c r="C58" s="484" t="s">
        <v>1771</v>
      </c>
      <c r="D58" s="489" t="s">
        <v>447</v>
      </c>
      <c r="E58" s="489" t="s">
        <v>447</v>
      </c>
      <c r="F58" s="489" t="s">
        <v>447</v>
      </c>
      <c r="G58" s="489" t="s">
        <v>447</v>
      </c>
      <c r="H58" s="489" t="s">
        <v>447</v>
      </c>
      <c r="I58" s="489" t="s">
        <v>447</v>
      </c>
      <c r="J58" s="489" t="s">
        <v>447</v>
      </c>
      <c r="K58" s="485">
        <v>56851.43</v>
      </c>
      <c r="L58" s="485">
        <v>57271.3</v>
      </c>
      <c r="M58" s="485">
        <v>57797.7</v>
      </c>
      <c r="N58" s="485">
        <v>59400</v>
      </c>
      <c r="O58" s="485">
        <f>41984.705+19782</f>
        <v>61766.705000000002</v>
      </c>
      <c r="P58" s="485">
        <v>62894.847000000009</v>
      </c>
    </row>
    <row r="59" spans="2:16">
      <c r="B59" s="484" t="s">
        <v>1772</v>
      </c>
      <c r="C59" s="484" t="s">
        <v>1773</v>
      </c>
      <c r="D59" s="489" t="s">
        <v>447</v>
      </c>
      <c r="E59" s="489" t="s">
        <v>447</v>
      </c>
      <c r="F59" s="489" t="s">
        <v>447</v>
      </c>
      <c r="G59" s="489" t="s">
        <v>447</v>
      </c>
      <c r="H59" s="489" t="s">
        <v>447</v>
      </c>
      <c r="I59" s="489" t="s">
        <v>447</v>
      </c>
      <c r="J59" s="489" t="s">
        <v>447</v>
      </c>
      <c r="K59" s="485">
        <v>70042</v>
      </c>
      <c r="L59" s="485">
        <v>71821</v>
      </c>
      <c r="M59" s="485">
        <v>72574</v>
      </c>
      <c r="N59" s="485">
        <v>75030</v>
      </c>
      <c r="O59" s="485">
        <v>95614</v>
      </c>
      <c r="P59" s="485">
        <v>96430</v>
      </c>
    </row>
    <row r="61" spans="2:16">
      <c r="B61" s="490"/>
      <c r="C61" s="490"/>
      <c r="D61" s="491">
        <v>2014</v>
      </c>
      <c r="E61" s="491">
        <v>2015</v>
      </c>
      <c r="F61" s="491">
        <v>2016</v>
      </c>
      <c r="G61" s="491">
        <v>2017</v>
      </c>
      <c r="H61" s="491">
        <v>2018</v>
      </c>
      <c r="I61" s="491">
        <v>2019</v>
      </c>
      <c r="J61" s="491">
        <v>2020</v>
      </c>
      <c r="K61" s="491">
        <v>2021</v>
      </c>
      <c r="L61" s="491">
        <f>L50</f>
        <v>2022</v>
      </c>
      <c r="M61" s="491">
        <v>2023</v>
      </c>
      <c r="N61" s="491">
        <v>2024</v>
      </c>
      <c r="O61" s="491">
        <f>$O$6</f>
        <v>2025</v>
      </c>
      <c r="P61" s="491">
        <v>2026</v>
      </c>
    </row>
    <row r="62" spans="2:16">
      <c r="B62" s="479" t="s">
        <v>122</v>
      </c>
      <c r="C62" s="479" t="s">
        <v>122</v>
      </c>
      <c r="D62" s="483"/>
      <c r="E62" s="483"/>
      <c r="F62" s="483"/>
      <c r="G62" s="483"/>
      <c r="H62" s="483"/>
      <c r="I62" s="483"/>
      <c r="J62" s="483"/>
      <c r="K62" s="483"/>
      <c r="L62" s="483"/>
      <c r="M62" s="483"/>
      <c r="N62" s="483"/>
      <c r="O62" s="483"/>
      <c r="P62" s="483"/>
    </row>
    <row r="63" spans="2:16" ht="14.4">
      <c r="B63" s="484" t="s">
        <v>1759</v>
      </c>
      <c r="C63" s="552" t="s">
        <v>1760</v>
      </c>
      <c r="D63" s="489" t="s">
        <v>447</v>
      </c>
      <c r="E63" s="489" t="s">
        <v>447</v>
      </c>
      <c r="F63" s="489" t="s">
        <v>447</v>
      </c>
      <c r="G63" s="489" t="s">
        <v>447</v>
      </c>
      <c r="H63" s="489" t="s">
        <v>447</v>
      </c>
      <c r="I63" s="489" t="s">
        <v>447</v>
      </c>
      <c r="J63" s="489" t="s">
        <v>447</v>
      </c>
      <c r="K63" s="485">
        <v>142815</v>
      </c>
      <c r="L63" s="485">
        <v>142815</v>
      </c>
      <c r="M63" s="485">
        <v>142815</v>
      </c>
      <c r="N63" s="485">
        <v>142815</v>
      </c>
      <c r="O63" s="485">
        <v>142254</v>
      </c>
      <c r="P63" s="485">
        <v>142254</v>
      </c>
    </row>
    <row r="64" spans="2:16">
      <c r="B64" s="484" t="s">
        <v>1761</v>
      </c>
      <c r="C64" s="484" t="s">
        <v>1762</v>
      </c>
      <c r="D64" s="489" t="s">
        <v>447</v>
      </c>
      <c r="E64" s="489" t="s">
        <v>447</v>
      </c>
      <c r="F64" s="489" t="s">
        <v>447</v>
      </c>
      <c r="G64" s="489" t="s">
        <v>447</v>
      </c>
      <c r="H64" s="489" t="s">
        <v>447</v>
      </c>
      <c r="I64" s="489" t="s">
        <v>447</v>
      </c>
      <c r="J64" s="489" t="s">
        <v>447</v>
      </c>
      <c r="K64" s="336">
        <v>16</v>
      </c>
      <c r="L64" s="336">
        <v>16</v>
      </c>
      <c r="M64" s="336">
        <v>16</v>
      </c>
      <c r="N64" s="336">
        <v>16</v>
      </c>
      <c r="O64" s="336">
        <v>16</v>
      </c>
      <c r="P64" s="336">
        <v>16</v>
      </c>
    </row>
    <row r="65" spans="2:16">
      <c r="B65" s="484" t="s">
        <v>1763</v>
      </c>
      <c r="C65" s="484" t="s">
        <v>1764</v>
      </c>
      <c r="D65" s="489" t="s">
        <v>447</v>
      </c>
      <c r="E65" s="489" t="s">
        <v>447</v>
      </c>
      <c r="F65" s="489" t="s">
        <v>447</v>
      </c>
      <c r="G65" s="489" t="s">
        <v>447</v>
      </c>
      <c r="H65" s="489" t="s">
        <v>447</v>
      </c>
      <c r="I65" s="336" t="s">
        <v>447</v>
      </c>
      <c r="J65" s="336" t="s">
        <v>447</v>
      </c>
      <c r="K65" s="336">
        <v>0.9</v>
      </c>
      <c r="L65" s="336">
        <v>0.9</v>
      </c>
      <c r="M65" s="487">
        <f>802837/1000000</f>
        <v>0.80283700000000002</v>
      </c>
      <c r="N65" s="487">
        <v>0.8</v>
      </c>
      <c r="O65" s="487">
        <v>0.8</v>
      </c>
      <c r="P65" s="487">
        <v>0.80651700000000004</v>
      </c>
    </row>
    <row r="66" spans="2:16">
      <c r="B66" s="484" t="s">
        <v>1765</v>
      </c>
      <c r="C66" s="484" t="s">
        <v>1766</v>
      </c>
      <c r="D66" s="489" t="s">
        <v>447</v>
      </c>
      <c r="E66" s="489" t="s">
        <v>447</v>
      </c>
      <c r="F66" s="489" t="s">
        <v>447</v>
      </c>
      <c r="G66" s="489" t="s">
        <v>447</v>
      </c>
      <c r="H66" s="489" t="s">
        <v>447</v>
      </c>
      <c r="I66" s="489" t="s">
        <v>447</v>
      </c>
      <c r="J66" s="489" t="s">
        <v>447</v>
      </c>
      <c r="K66" s="336">
        <v>143</v>
      </c>
      <c r="L66" s="336">
        <v>18</v>
      </c>
      <c r="M66" s="336">
        <v>19</v>
      </c>
      <c r="N66" s="336">
        <v>19</v>
      </c>
      <c r="O66" s="336">
        <v>20</v>
      </c>
      <c r="P66" s="336">
        <v>23</v>
      </c>
    </row>
    <row r="67" spans="2:16">
      <c r="B67" s="484" t="s">
        <v>2535</v>
      </c>
      <c r="C67" s="484" t="s">
        <v>1767</v>
      </c>
      <c r="D67" s="489" t="s">
        <v>447</v>
      </c>
      <c r="E67" s="489" t="s">
        <v>447</v>
      </c>
      <c r="F67" s="489" t="s">
        <v>447</v>
      </c>
      <c r="G67" s="489" t="s">
        <v>447</v>
      </c>
      <c r="H67" s="489" t="s">
        <v>447</v>
      </c>
      <c r="I67" s="489" t="s">
        <v>447</v>
      </c>
      <c r="J67" s="489" t="s">
        <v>447</v>
      </c>
      <c r="K67" s="485">
        <v>416.4</v>
      </c>
      <c r="L67" s="485">
        <v>396</v>
      </c>
      <c r="M67" s="485">
        <v>464</v>
      </c>
      <c r="N67" s="485">
        <v>572</v>
      </c>
      <c r="O67" s="485">
        <v>582.29999999999995</v>
      </c>
      <c r="P67" s="485">
        <v>681</v>
      </c>
    </row>
    <row r="68" spans="2:16">
      <c r="B68" s="484" t="s">
        <v>1768</v>
      </c>
      <c r="C68" s="484" t="s">
        <v>1769</v>
      </c>
      <c r="D68" s="489" t="s">
        <v>447</v>
      </c>
      <c r="E68" s="489" t="s">
        <v>447</v>
      </c>
      <c r="F68" s="489" t="s">
        <v>447</v>
      </c>
      <c r="G68" s="489" t="s">
        <v>447</v>
      </c>
      <c r="H68" s="489" t="s">
        <v>447</v>
      </c>
      <c r="I68" s="489" t="s">
        <v>447</v>
      </c>
      <c r="J68" s="489" t="s">
        <v>447</v>
      </c>
      <c r="K68" s="485">
        <v>631.1</v>
      </c>
      <c r="L68" s="485">
        <v>631.13999999999987</v>
      </c>
      <c r="M68" s="485">
        <v>653</v>
      </c>
      <c r="N68" s="485">
        <v>653</v>
      </c>
      <c r="O68" s="485">
        <v>678.46</v>
      </c>
      <c r="P68" s="485">
        <v>681.33299999999997</v>
      </c>
    </row>
    <row r="69" spans="2:16">
      <c r="B69" s="484" t="s">
        <v>1770</v>
      </c>
      <c r="C69" s="484" t="s">
        <v>1771</v>
      </c>
      <c r="D69" s="489" t="s">
        <v>447</v>
      </c>
      <c r="E69" s="489" t="s">
        <v>447</v>
      </c>
      <c r="F69" s="489" t="s">
        <v>447</v>
      </c>
      <c r="G69" s="489" t="s">
        <v>447</v>
      </c>
      <c r="H69" s="489" t="s">
        <v>447</v>
      </c>
      <c r="I69" s="489" t="s">
        <v>447</v>
      </c>
      <c r="J69" s="489" t="s">
        <v>447</v>
      </c>
      <c r="K69" s="485"/>
      <c r="L69" s="485">
        <v>8761.9</v>
      </c>
      <c r="M69" s="485">
        <v>8911.2000000000007</v>
      </c>
      <c r="N69" s="485">
        <v>7401</v>
      </c>
      <c r="O69" s="485">
        <v>7633.21</v>
      </c>
      <c r="P69" s="485">
        <v>10123.851999999999</v>
      </c>
    </row>
    <row r="70" spans="2:16">
      <c r="B70" s="484" t="s">
        <v>1772</v>
      </c>
      <c r="C70" s="484" t="s">
        <v>1773</v>
      </c>
      <c r="D70" s="489" t="s">
        <v>447</v>
      </c>
      <c r="E70" s="489" t="s">
        <v>447</v>
      </c>
      <c r="F70" s="489" t="s">
        <v>447</v>
      </c>
      <c r="G70" s="489" t="s">
        <v>447</v>
      </c>
      <c r="H70" s="489" t="s">
        <v>447</v>
      </c>
      <c r="I70" s="489" t="s">
        <v>447</v>
      </c>
      <c r="J70" s="489" t="s">
        <v>447</v>
      </c>
      <c r="K70" s="485">
        <v>10336</v>
      </c>
      <c r="L70" s="485">
        <v>11127</v>
      </c>
      <c r="M70" s="485">
        <v>12434</v>
      </c>
      <c r="N70" s="485">
        <v>14326</v>
      </c>
      <c r="O70" s="485">
        <v>15089</v>
      </c>
      <c r="P70" s="485">
        <v>15474</v>
      </c>
    </row>
    <row r="72" spans="2:16">
      <c r="B72" s="490"/>
      <c r="C72" s="490"/>
      <c r="D72" s="491">
        <v>2014</v>
      </c>
      <c r="E72" s="491">
        <v>2015</v>
      </c>
      <c r="F72" s="491">
        <v>2016</v>
      </c>
      <c r="G72" s="491">
        <v>2017</v>
      </c>
      <c r="H72" s="491">
        <v>2018</v>
      </c>
      <c r="I72" s="491">
        <v>2019</v>
      </c>
      <c r="J72" s="491">
        <v>2020</v>
      </c>
      <c r="K72" s="491">
        <v>2021</v>
      </c>
      <c r="L72" s="491">
        <f>L61</f>
        <v>2022</v>
      </c>
      <c r="M72" s="491">
        <v>2023</v>
      </c>
      <c r="N72" s="491">
        <v>2024</v>
      </c>
      <c r="O72" s="491">
        <f>$O$6</f>
        <v>2025</v>
      </c>
      <c r="P72" s="491">
        <v>2026</v>
      </c>
    </row>
    <row r="73" spans="2:16">
      <c r="B73" s="479" t="s">
        <v>1547</v>
      </c>
      <c r="C73" s="479" t="s">
        <v>1547</v>
      </c>
      <c r="D73" s="483"/>
      <c r="E73" s="483"/>
      <c r="F73" s="483"/>
      <c r="G73" s="483"/>
      <c r="H73" s="483"/>
      <c r="I73" s="483"/>
      <c r="J73" s="483"/>
      <c r="K73" s="483"/>
      <c r="L73" s="483"/>
      <c r="M73" s="483"/>
      <c r="N73" s="483"/>
      <c r="O73" s="483"/>
      <c r="P73" s="483"/>
    </row>
    <row r="74" spans="2:16" ht="14.4">
      <c r="B74" s="484" t="s">
        <v>1759</v>
      </c>
      <c r="C74" s="552" t="s">
        <v>1760</v>
      </c>
      <c r="D74" s="489" t="s">
        <v>447</v>
      </c>
      <c r="E74" s="489" t="s">
        <v>447</v>
      </c>
      <c r="F74" s="489" t="s">
        <v>447</v>
      </c>
      <c r="G74" s="489" t="s">
        <v>447</v>
      </c>
      <c r="H74" s="489" t="s">
        <v>447</v>
      </c>
      <c r="I74" s="489" t="s">
        <v>447</v>
      </c>
      <c r="J74" s="489" t="s">
        <v>447</v>
      </c>
      <c r="K74" s="489" t="s">
        <v>447</v>
      </c>
      <c r="L74" s="485">
        <v>340242.859</v>
      </c>
      <c r="M74" s="485">
        <v>340242.859</v>
      </c>
      <c r="N74" s="485">
        <v>340243</v>
      </c>
      <c r="O74" s="485">
        <v>340242</v>
      </c>
      <c r="P74" s="485">
        <v>340242</v>
      </c>
    </row>
    <row r="75" spans="2:16">
      <c r="B75" s="484" t="s">
        <v>1761</v>
      </c>
      <c r="C75" s="484" t="s">
        <v>1762</v>
      </c>
      <c r="D75" s="489" t="s">
        <v>447</v>
      </c>
      <c r="E75" s="489" t="s">
        <v>447</v>
      </c>
      <c r="F75" s="489" t="s">
        <v>447</v>
      </c>
      <c r="G75" s="489" t="s">
        <v>447</v>
      </c>
      <c r="H75" s="489" t="s">
        <v>447</v>
      </c>
      <c r="I75" s="489" t="s">
        <v>447</v>
      </c>
      <c r="J75" s="489" t="s">
        <v>447</v>
      </c>
      <c r="K75" s="489" t="s">
        <v>447</v>
      </c>
      <c r="L75" s="336">
        <v>246</v>
      </c>
      <c r="M75" s="336">
        <v>246</v>
      </c>
      <c r="N75" s="336">
        <v>237</v>
      </c>
      <c r="O75" s="336">
        <v>246</v>
      </c>
      <c r="P75" s="336">
        <v>246</v>
      </c>
    </row>
    <row r="76" spans="2:16">
      <c r="B76" s="484" t="s">
        <v>1763</v>
      </c>
      <c r="C76" s="484" t="s">
        <v>1764</v>
      </c>
      <c r="D76" s="489" t="s">
        <v>447</v>
      </c>
      <c r="E76" s="489" t="s">
        <v>447</v>
      </c>
      <c r="F76" s="489" t="s">
        <v>447</v>
      </c>
      <c r="G76" s="489" t="s">
        <v>447</v>
      </c>
      <c r="H76" s="489" t="s">
        <v>447</v>
      </c>
      <c r="I76" s="336" t="s">
        <v>447</v>
      </c>
      <c r="J76" s="336" t="s">
        <v>447</v>
      </c>
      <c r="K76" s="336" t="s">
        <v>447</v>
      </c>
      <c r="L76" s="487">
        <f>7056495/1000000</f>
        <v>7.056495</v>
      </c>
      <c r="M76" s="487">
        <f>7352483/1000000</f>
        <v>7.3524830000000003</v>
      </c>
      <c r="N76" s="487">
        <v>7.4</v>
      </c>
      <c r="O76" s="487">
        <v>7.4</v>
      </c>
      <c r="P76" s="487">
        <v>7.423629</v>
      </c>
    </row>
    <row r="77" spans="2:16">
      <c r="B77" s="484" t="s">
        <v>1765</v>
      </c>
      <c r="C77" s="484" t="s">
        <v>1766</v>
      </c>
      <c r="D77" s="489" t="s">
        <v>447</v>
      </c>
      <c r="E77" s="489" t="s">
        <v>447</v>
      </c>
      <c r="F77" s="489" t="s">
        <v>447</v>
      </c>
      <c r="G77" s="489" t="s">
        <v>447</v>
      </c>
      <c r="H77" s="489" t="s">
        <v>447</v>
      </c>
      <c r="I77" s="489" t="s">
        <v>447</v>
      </c>
      <c r="J77" s="489" t="s">
        <v>447</v>
      </c>
      <c r="K77" s="489" t="s">
        <v>447</v>
      </c>
      <c r="L77" s="336">
        <v>370</v>
      </c>
      <c r="M77" s="336">
        <v>379</v>
      </c>
      <c r="N77" s="336">
        <v>372</v>
      </c>
      <c r="O77" s="336">
        <v>383</v>
      </c>
      <c r="P77" s="336">
        <v>357</v>
      </c>
    </row>
    <row r="78" spans="2:16">
      <c r="B78" s="484" t="s">
        <v>2535</v>
      </c>
      <c r="C78" s="484" t="s">
        <v>1767</v>
      </c>
      <c r="D78" s="489" t="s">
        <v>447</v>
      </c>
      <c r="E78" s="489" t="s">
        <v>447</v>
      </c>
      <c r="F78" s="489" t="s">
        <v>447</v>
      </c>
      <c r="G78" s="489" t="s">
        <v>447</v>
      </c>
      <c r="H78" s="489" t="s">
        <v>447</v>
      </c>
      <c r="I78" s="489" t="s">
        <v>447</v>
      </c>
      <c r="J78" s="489" t="s">
        <v>447</v>
      </c>
      <c r="K78" s="489" t="s">
        <v>447</v>
      </c>
      <c r="L78" s="485">
        <v>6799.9</v>
      </c>
      <c r="M78" s="485">
        <v>7164.8</v>
      </c>
      <c r="N78" s="485">
        <v>7195</v>
      </c>
      <c r="O78" s="485">
        <v>6560.61</v>
      </c>
      <c r="P78" s="485">
        <v>4159.7</v>
      </c>
    </row>
    <row r="79" spans="2:16">
      <c r="B79" s="484" t="s">
        <v>1768</v>
      </c>
      <c r="C79" s="484" t="s">
        <v>1769</v>
      </c>
      <c r="D79" s="489" t="s">
        <v>447</v>
      </c>
      <c r="E79" s="489" t="s">
        <v>447</v>
      </c>
      <c r="F79" s="489" t="s">
        <v>447</v>
      </c>
      <c r="G79" s="489" t="s">
        <v>447</v>
      </c>
      <c r="H79" s="489" t="s">
        <v>447</v>
      </c>
      <c r="I79" s="489" t="s">
        <v>447</v>
      </c>
      <c r="J79" s="489" t="s">
        <v>447</v>
      </c>
      <c r="K79" s="489" t="s">
        <v>447</v>
      </c>
      <c r="L79" s="485">
        <v>6247.2</v>
      </c>
      <c r="M79" s="485">
        <v>6283.6</v>
      </c>
      <c r="N79" s="485">
        <v>6383</v>
      </c>
      <c r="O79" s="485">
        <v>6440.23</v>
      </c>
      <c r="P79" s="485">
        <v>6440.32</v>
      </c>
    </row>
    <row r="80" spans="2:16">
      <c r="B80" s="484" t="s">
        <v>1770</v>
      </c>
      <c r="C80" s="484" t="s">
        <v>1771</v>
      </c>
      <c r="D80" s="489" t="s">
        <v>447</v>
      </c>
      <c r="E80" s="489" t="s">
        <v>447</v>
      </c>
      <c r="F80" s="489" t="s">
        <v>447</v>
      </c>
      <c r="G80" s="489" t="s">
        <v>447</v>
      </c>
      <c r="H80" s="489" t="s">
        <v>447</v>
      </c>
      <c r="I80" s="489" t="s">
        <v>447</v>
      </c>
      <c r="J80" s="489" t="s">
        <v>447</v>
      </c>
      <c r="K80" s="489" t="s">
        <v>447</v>
      </c>
      <c r="L80" s="485">
        <v>227621</v>
      </c>
      <c r="M80" s="485">
        <v>230428.9</v>
      </c>
      <c r="N80" s="485">
        <v>233952</v>
      </c>
      <c r="O80" s="485">
        <v>236172.08</v>
      </c>
      <c r="P80" s="485">
        <v>237424.23</v>
      </c>
    </row>
    <row r="81" spans="2:16">
      <c r="B81" s="484" t="s">
        <v>1772</v>
      </c>
      <c r="C81" s="484" t="s">
        <v>1773</v>
      </c>
      <c r="D81" s="489" t="s">
        <v>447</v>
      </c>
      <c r="E81" s="489" t="s">
        <v>447</v>
      </c>
      <c r="F81" s="489" t="s">
        <v>447</v>
      </c>
      <c r="G81" s="489" t="s">
        <v>447</v>
      </c>
      <c r="H81" s="489" t="s">
        <v>447</v>
      </c>
      <c r="I81" s="489" t="s">
        <v>447</v>
      </c>
      <c r="J81" s="489" t="s">
        <v>447</v>
      </c>
      <c r="K81" s="489" t="s">
        <v>447</v>
      </c>
      <c r="L81" s="485">
        <v>242707</v>
      </c>
      <c r="M81" s="485">
        <v>247183</v>
      </c>
      <c r="N81" s="485">
        <v>251068</v>
      </c>
      <c r="O81" s="485">
        <v>278349</v>
      </c>
      <c r="P81" s="485">
        <v>282988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tabColor theme="9" tint="0.79998168889431442"/>
  </sheetPr>
  <dimension ref="C6:S271"/>
  <sheetViews>
    <sheetView showGridLines="0" topLeftCell="C1" zoomScale="40" zoomScaleNormal="40" workbookViewId="0">
      <pane xSplit="2" topLeftCell="E1" activePane="topRight" state="frozen"/>
      <selection activeCell="C1" sqref="C1"/>
      <selection pane="topRight" activeCell="N8" sqref="N8"/>
    </sheetView>
  </sheetViews>
  <sheetFormatPr defaultColWidth="8.5546875" defaultRowHeight="12"/>
  <cols>
    <col min="1" max="1" width="8.5546875" style="4"/>
    <col min="2" max="2" width="1.77734375" style="4" customWidth="1"/>
    <col min="3" max="3" width="43.5546875" style="4" bestFit="1" customWidth="1"/>
    <col min="4" max="4" width="48.5546875" style="4" customWidth="1"/>
    <col min="5" max="5" width="0.5546875" style="4" customWidth="1"/>
    <col min="6" max="19" width="12.21875" style="4" customWidth="1"/>
    <col min="20" max="16384" width="8.5546875" style="4"/>
  </cols>
  <sheetData>
    <row r="6" spans="3:19">
      <c r="C6" s="6"/>
      <c r="D6" s="6"/>
      <c r="F6" s="7" t="s">
        <v>89</v>
      </c>
      <c r="G6" s="7" t="s">
        <v>110</v>
      </c>
      <c r="H6" s="7" t="s">
        <v>113</v>
      </c>
      <c r="I6" s="7" t="s">
        <v>116</v>
      </c>
      <c r="J6" s="7" t="s">
        <v>119</v>
      </c>
      <c r="K6" s="7" t="s">
        <v>122</v>
      </c>
      <c r="L6" s="7" t="s">
        <v>125</v>
      </c>
    </row>
    <row r="7" spans="3:19" ht="3.6" customHeight="1">
      <c r="N7" s="8"/>
    </row>
    <row r="8" spans="3:19">
      <c r="C8" s="9" t="s">
        <v>1775</v>
      </c>
      <c r="D8" s="9" t="s">
        <v>1776</v>
      </c>
      <c r="F8" s="10">
        <f>+R20</f>
        <v>7421.7483205793696</v>
      </c>
      <c r="G8" s="10">
        <f>P57</f>
        <v>8544.9870004013137</v>
      </c>
      <c r="H8" s="11">
        <f>P94</f>
        <v>3102.549072619659</v>
      </c>
      <c r="I8" s="11">
        <f>Q131</f>
        <v>2567.5198281197527</v>
      </c>
      <c r="J8" s="11">
        <f>N168</f>
        <v>2953.4600352930588</v>
      </c>
      <c r="K8" s="11">
        <f>P205</f>
        <v>940.690254745846</v>
      </c>
      <c r="L8" s="11">
        <f>P242</f>
        <v>9392.7278946522347</v>
      </c>
      <c r="M8" s="12"/>
      <c r="N8" s="8"/>
      <c r="O8" s="12"/>
      <c r="P8" s="12"/>
      <c r="Q8" s="12"/>
      <c r="R8" s="12"/>
      <c r="S8" s="12"/>
    </row>
    <row r="9" spans="3:19">
      <c r="C9" s="9" t="s">
        <v>1777</v>
      </c>
      <c r="D9" s="9" t="s">
        <v>1778</v>
      </c>
      <c r="F9" s="10">
        <f>+S40</f>
        <v>2642.8580929999998</v>
      </c>
      <c r="G9" s="10">
        <f>S77</f>
        <v>3765.5481897667132</v>
      </c>
      <c r="H9" s="10">
        <f>R114</f>
        <v>1510.0095681590967</v>
      </c>
      <c r="I9" s="10">
        <f>S151</f>
        <v>1122.3912708804601</v>
      </c>
      <c r="J9" s="10">
        <f>R188</f>
        <v>1454.8887420000001</v>
      </c>
      <c r="K9" s="10">
        <f>+R225</f>
        <v>495.30174294905822</v>
      </c>
      <c r="L9" s="10">
        <f>R262</f>
        <v>3736.079586970845</v>
      </c>
      <c r="M9" s="12"/>
      <c r="N9" s="8"/>
      <c r="O9" s="12"/>
      <c r="P9" s="12"/>
      <c r="Q9" s="12"/>
      <c r="R9" s="12"/>
      <c r="S9" s="12"/>
    </row>
    <row r="10" spans="3:19">
      <c r="C10" s="9" t="s">
        <v>1779</v>
      </c>
      <c r="D10" s="9" t="s">
        <v>1780</v>
      </c>
      <c r="F10" s="10">
        <f>+S42</f>
        <v>298.98123636454136</v>
      </c>
      <c r="G10" s="10">
        <f>S79</f>
        <v>322.57341208182885</v>
      </c>
      <c r="H10" s="10">
        <f>R116</f>
        <v>326.51808133700894</v>
      </c>
      <c r="I10" s="10">
        <f>S153</f>
        <v>236.61913290530256</v>
      </c>
      <c r="J10" s="10">
        <f>R190</f>
        <v>162.47356861007358</v>
      </c>
      <c r="K10" s="10">
        <f>+R227</f>
        <v>362.25753348536773</v>
      </c>
      <c r="L10" s="10">
        <f>R264</f>
        <v>220.21384130819641</v>
      </c>
      <c r="M10" s="12"/>
      <c r="N10" s="13"/>
      <c r="O10" s="12"/>
      <c r="P10" s="12"/>
      <c r="Q10" s="12"/>
      <c r="R10" s="12"/>
      <c r="S10" s="12"/>
    </row>
    <row r="11" spans="3:19">
      <c r="C11" s="9" t="s">
        <v>1781</v>
      </c>
      <c r="D11" s="9" t="s">
        <v>1782</v>
      </c>
      <c r="F11" s="791" t="s">
        <v>2487</v>
      </c>
      <c r="G11" s="14" t="s">
        <v>2487</v>
      </c>
      <c r="H11" s="14" t="s">
        <v>1783</v>
      </c>
      <c r="I11" s="791" t="s">
        <v>2487</v>
      </c>
      <c r="J11" s="791" t="s">
        <v>1783</v>
      </c>
      <c r="K11" s="791" t="s">
        <v>1783</v>
      </c>
      <c r="L11" s="14" t="s">
        <v>1783</v>
      </c>
      <c r="M11" s="12"/>
      <c r="N11" s="15"/>
      <c r="O11" s="12"/>
      <c r="P11" s="12"/>
      <c r="Q11" s="12"/>
      <c r="R11" s="12"/>
      <c r="S11" s="12"/>
    </row>
    <row r="12" spans="3:19">
      <c r="O12" s="5"/>
      <c r="P12" s="16"/>
      <c r="Q12" s="16"/>
      <c r="R12" s="16"/>
      <c r="S12" s="16"/>
    </row>
    <row r="14" spans="3:19">
      <c r="C14" s="6" t="s">
        <v>89</v>
      </c>
      <c r="D14" s="6" t="s">
        <v>89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3:19" ht="3.6" customHeight="1"/>
    <row r="16" spans="3:19">
      <c r="C16" s="17" t="s">
        <v>1784</v>
      </c>
      <c r="D16" s="17" t="s">
        <v>1785</v>
      </c>
      <c r="F16" s="18">
        <f>G16-1</f>
        <v>2013</v>
      </c>
      <c r="G16" s="18">
        <f>H16-1</f>
        <v>2014</v>
      </c>
      <c r="H16" s="18">
        <f>I16-1</f>
        <v>2015</v>
      </c>
      <c r="I16" s="18">
        <f>J16-1</f>
        <v>2016</v>
      </c>
      <c r="J16" s="18">
        <v>2017</v>
      </c>
      <c r="K16" s="18">
        <f>J16+1</f>
        <v>2018</v>
      </c>
      <c r="L16" s="18">
        <f t="shared" ref="L16:S16" si="0">K16+1</f>
        <v>2019</v>
      </c>
      <c r="M16" s="18">
        <f t="shared" si="0"/>
        <v>2020</v>
      </c>
      <c r="N16" s="18">
        <f t="shared" si="0"/>
        <v>2021</v>
      </c>
      <c r="O16" s="18">
        <f t="shared" si="0"/>
        <v>2022</v>
      </c>
      <c r="P16" s="18">
        <f t="shared" si="0"/>
        <v>2023</v>
      </c>
      <c r="Q16" s="18">
        <f t="shared" si="0"/>
        <v>2024</v>
      </c>
      <c r="R16" s="18">
        <f t="shared" si="0"/>
        <v>2025</v>
      </c>
      <c r="S16" s="18">
        <f t="shared" si="0"/>
        <v>2026</v>
      </c>
    </row>
    <row r="17" spans="3:19">
      <c r="C17" s="4" t="s">
        <v>1786</v>
      </c>
      <c r="D17" s="4" t="s">
        <v>1787</v>
      </c>
      <c r="F17" s="19" t="s">
        <v>1788</v>
      </c>
      <c r="G17" s="20" t="s">
        <v>1789</v>
      </c>
      <c r="H17" s="20" t="str">
        <f>G17</f>
        <v>RTA</v>
      </c>
      <c r="I17" s="20" t="str">
        <f>H17</f>
        <v>RTA</v>
      </c>
      <c r="J17" s="19" t="s">
        <v>1788</v>
      </c>
      <c r="K17" s="20" t="s">
        <v>1789</v>
      </c>
      <c r="L17" s="20" t="str">
        <f>K17</f>
        <v>RTA</v>
      </c>
      <c r="M17" s="20" t="str">
        <f>L17</f>
        <v>RTA</v>
      </c>
      <c r="N17" s="19" t="s">
        <v>1788</v>
      </c>
      <c r="O17" s="20" t="s">
        <v>1789</v>
      </c>
      <c r="P17" s="20" t="s">
        <v>1789</v>
      </c>
      <c r="Q17" s="20" t="s">
        <v>1789</v>
      </c>
      <c r="R17" s="19" t="s">
        <v>1788</v>
      </c>
      <c r="S17" s="20" t="s">
        <v>1789</v>
      </c>
    </row>
    <row r="18" spans="3:19">
      <c r="C18" s="4" t="s">
        <v>2072</v>
      </c>
      <c r="D18" s="4" t="s">
        <v>2072</v>
      </c>
      <c r="F18" s="21">
        <v>5442.2095484500005</v>
      </c>
      <c r="G18" s="22"/>
      <c r="H18" s="22"/>
      <c r="I18" s="22"/>
      <c r="J18" s="21">
        <v>7807.5686344942478</v>
      </c>
      <c r="K18" s="22"/>
      <c r="L18" s="22"/>
      <c r="M18" s="22"/>
      <c r="N18" s="21">
        <v>10276.702434958348</v>
      </c>
      <c r="O18" s="22"/>
      <c r="P18" s="22"/>
      <c r="Q18" s="22"/>
      <c r="R18" s="21">
        <v>15407.418799518231</v>
      </c>
      <c r="S18" s="21"/>
    </row>
    <row r="19" spans="3:19">
      <c r="C19" s="4" t="s">
        <v>2070</v>
      </c>
      <c r="D19" s="4" t="s">
        <v>2071</v>
      </c>
      <c r="F19" s="21">
        <v>3308.6908245300006</v>
      </c>
      <c r="G19" s="22"/>
      <c r="H19" s="22"/>
      <c r="I19" s="22"/>
      <c r="J19" s="21">
        <v>4921.565388504122</v>
      </c>
      <c r="K19" s="22"/>
      <c r="L19" s="22"/>
      <c r="M19" s="22"/>
      <c r="N19" s="21">
        <v>6421.9944607907964</v>
      </c>
      <c r="O19" s="22"/>
      <c r="P19" s="22"/>
      <c r="Q19" s="22"/>
      <c r="R19" s="21">
        <v>10589.493905315025</v>
      </c>
      <c r="S19" s="21"/>
    </row>
    <row r="20" spans="3:19">
      <c r="C20" s="4" t="s">
        <v>1790</v>
      </c>
      <c r="D20" s="4" t="s">
        <v>1791</v>
      </c>
      <c r="F20" s="21">
        <v>2069.4811228100007</v>
      </c>
      <c r="G20" s="22">
        <v>0</v>
      </c>
      <c r="H20" s="22">
        <v>0</v>
      </c>
      <c r="I20" s="22">
        <v>0</v>
      </c>
      <c r="J20" s="21">
        <v>3309.9566568925097</v>
      </c>
      <c r="K20" s="22">
        <v>0</v>
      </c>
      <c r="L20" s="22">
        <v>0</v>
      </c>
      <c r="M20" s="22">
        <v>0</v>
      </c>
      <c r="N20" s="21">
        <v>4365.6003672457146</v>
      </c>
      <c r="O20" s="22">
        <v>0</v>
      </c>
      <c r="P20" s="22">
        <v>0</v>
      </c>
      <c r="Q20" s="22">
        <v>0</v>
      </c>
      <c r="R20" s="21">
        <v>7421.7483205793696</v>
      </c>
      <c r="S20" s="21"/>
    </row>
    <row r="21" spans="3:19">
      <c r="C21" s="23" t="s">
        <v>1976</v>
      </c>
      <c r="D21" s="23" t="s">
        <v>2542</v>
      </c>
      <c r="F21" s="21"/>
      <c r="G21" s="22"/>
      <c r="H21" s="22"/>
      <c r="I21" s="22"/>
      <c r="J21" s="21"/>
      <c r="K21" s="22"/>
      <c r="L21" s="22"/>
      <c r="M21" s="22"/>
      <c r="N21" s="21"/>
      <c r="O21" s="22"/>
      <c r="P21" s="22"/>
      <c r="Q21" s="22"/>
      <c r="R21" s="22"/>
      <c r="S21" s="22"/>
    </row>
    <row r="22" spans="3:19">
      <c r="C22" s="23" t="s">
        <v>2540</v>
      </c>
      <c r="D22" s="23" t="s">
        <v>2541</v>
      </c>
      <c r="F22" s="21"/>
      <c r="G22" s="22"/>
      <c r="H22" s="22"/>
      <c r="I22" s="22"/>
      <c r="J22" s="21"/>
      <c r="K22" s="22"/>
      <c r="L22" s="22"/>
      <c r="M22" s="22"/>
      <c r="N22" s="21"/>
      <c r="O22" s="22"/>
      <c r="P22" s="22"/>
      <c r="Q22" s="22"/>
      <c r="R22" s="22"/>
      <c r="S22" s="22"/>
    </row>
    <row r="23" spans="3:19" ht="4.5" customHeight="1"/>
    <row r="24" spans="3:19">
      <c r="C24" s="24" t="s">
        <v>1792</v>
      </c>
      <c r="D24" s="24" t="s">
        <v>1793</v>
      </c>
      <c r="E24" s="23"/>
      <c r="F24" s="25">
        <f>SUM(F25:F27)</f>
        <v>427.82194355355722</v>
      </c>
      <c r="G24" s="25">
        <f>SUM(G25:G27)</f>
        <v>0</v>
      </c>
      <c r="H24" s="25">
        <f>SUM(H25:H27)</f>
        <v>0</v>
      </c>
      <c r="I24" s="25">
        <f>SUM(I25:I27)</f>
        <v>0</v>
      </c>
      <c r="J24" s="25">
        <f>SUM(J25:J27)</f>
        <v>632.5306939036883</v>
      </c>
      <c r="K24" s="25">
        <f t="shared" ref="K24:P24" si="1">SUM(K25:K27)</f>
        <v>0</v>
      </c>
      <c r="L24" s="25">
        <f t="shared" si="1"/>
        <v>0</v>
      </c>
      <c r="M24" s="25">
        <f t="shared" si="1"/>
        <v>0</v>
      </c>
      <c r="N24" s="25">
        <f t="shared" si="1"/>
        <v>815.77836056852607</v>
      </c>
      <c r="O24" s="25">
        <f t="shared" si="1"/>
        <v>0</v>
      </c>
      <c r="P24" s="25">
        <f t="shared" si="1"/>
        <v>0</v>
      </c>
      <c r="Q24" s="25">
        <f>SUM(Q25:Q27)</f>
        <v>0</v>
      </c>
      <c r="R24" s="25">
        <f>SUM(R25:R27)</f>
        <v>1102.3662883769455</v>
      </c>
      <c r="S24" s="25"/>
    </row>
    <row r="25" spans="3:19">
      <c r="C25" s="4" t="s">
        <v>1794</v>
      </c>
      <c r="D25" s="4" t="s">
        <v>1795</v>
      </c>
      <c r="F25" s="5">
        <v>409.23963935899752</v>
      </c>
      <c r="G25" s="5"/>
      <c r="H25" s="5"/>
      <c r="I25" s="5"/>
      <c r="J25" s="5">
        <v>576.83593994179819</v>
      </c>
      <c r="K25" s="5"/>
      <c r="L25" s="5"/>
      <c r="M25" s="5"/>
      <c r="N25" s="5">
        <v>738.19963611455626</v>
      </c>
      <c r="O25" s="5"/>
      <c r="P25" s="5"/>
      <c r="Q25" s="5"/>
      <c r="R25" s="5">
        <v>980.64314889071693</v>
      </c>
      <c r="S25" s="5"/>
    </row>
    <row r="26" spans="3:19">
      <c r="C26" s="4" t="s">
        <v>1796</v>
      </c>
      <c r="D26" s="4" t="s">
        <v>1797</v>
      </c>
      <c r="F26" s="5">
        <v>2.699911179040412</v>
      </c>
      <c r="G26" s="5"/>
      <c r="H26" s="5"/>
      <c r="I26" s="5"/>
      <c r="J26" s="5">
        <v>6.3320684675445502</v>
      </c>
      <c r="K26" s="5"/>
      <c r="L26" s="5"/>
      <c r="M26" s="5"/>
      <c r="N26" s="5">
        <v>9.3877705799639983</v>
      </c>
      <c r="O26" s="5"/>
      <c r="P26" s="5"/>
      <c r="Q26" s="5"/>
      <c r="R26" s="5">
        <v>25.65841123415095</v>
      </c>
      <c r="S26" s="5"/>
    </row>
    <row r="27" spans="3:19">
      <c r="C27" s="4" t="s">
        <v>1798</v>
      </c>
      <c r="D27" s="4" t="s">
        <v>1799</v>
      </c>
      <c r="F27" s="5">
        <v>15.882393015519304</v>
      </c>
      <c r="G27" s="5"/>
      <c r="H27" s="5"/>
      <c r="I27" s="5"/>
      <c r="J27" s="5">
        <v>49.362685494345577</v>
      </c>
      <c r="K27" s="5"/>
      <c r="L27" s="5"/>
      <c r="M27" s="5"/>
      <c r="N27" s="5">
        <v>68.190953874005842</v>
      </c>
      <c r="O27" s="5"/>
      <c r="P27" s="5"/>
      <c r="Q27" s="5"/>
      <c r="R27" s="5">
        <v>96.064728252077558</v>
      </c>
      <c r="S27" s="5"/>
    </row>
    <row r="28" spans="3:19">
      <c r="C28" s="24" t="s">
        <v>1800</v>
      </c>
      <c r="D28" s="24" t="s">
        <v>1801</v>
      </c>
      <c r="E28" s="23"/>
      <c r="F28" s="25">
        <f>SUM(F29:F31)</f>
        <v>385.42985380412949</v>
      </c>
      <c r="G28" s="25">
        <f>SUM(G29:G31)</f>
        <v>0</v>
      </c>
      <c r="H28" s="25">
        <f>SUM(H29:H31)</f>
        <v>0</v>
      </c>
      <c r="I28" s="25">
        <f>SUM(I29:I31)</f>
        <v>0</v>
      </c>
      <c r="J28" s="25">
        <f>SUM(J29:J31)</f>
        <v>709.0292589303815</v>
      </c>
      <c r="K28" s="25">
        <f t="shared" ref="K28:P28" si="2">SUM(K29:K31)</f>
        <v>0</v>
      </c>
      <c r="L28" s="25">
        <f t="shared" si="2"/>
        <v>0</v>
      </c>
      <c r="M28" s="25">
        <f t="shared" si="2"/>
        <v>0</v>
      </c>
      <c r="N28" s="25">
        <f t="shared" si="2"/>
        <v>869.64779027729617</v>
      </c>
      <c r="O28" s="25">
        <f t="shared" si="2"/>
        <v>0</v>
      </c>
      <c r="P28" s="25">
        <f t="shared" si="2"/>
        <v>0</v>
      </c>
      <c r="Q28" s="25">
        <f>SUM(Q29:Q31)</f>
        <v>0</v>
      </c>
      <c r="R28" s="25">
        <f>SUM(R29:R31)</f>
        <v>1543.9193492858701</v>
      </c>
      <c r="S28" s="25"/>
    </row>
    <row r="29" spans="3:19">
      <c r="C29" s="4" t="s">
        <v>1802</v>
      </c>
      <c r="D29" s="4" t="s">
        <v>1803</v>
      </c>
      <c r="F29" s="5">
        <v>215.77988597994806</v>
      </c>
      <c r="G29" s="5"/>
      <c r="H29" s="5"/>
      <c r="I29" s="5"/>
      <c r="J29" s="5">
        <v>430.0577739758383</v>
      </c>
      <c r="K29" s="5"/>
      <c r="L29" s="5"/>
      <c r="M29" s="5"/>
      <c r="N29" s="5">
        <v>515.8289017508597</v>
      </c>
      <c r="O29" s="5"/>
      <c r="P29" s="5"/>
      <c r="Q29" s="5"/>
      <c r="R29" s="5">
        <v>961.59181496781855</v>
      </c>
      <c r="S29" s="5"/>
    </row>
    <row r="30" spans="3:19">
      <c r="C30" s="4" t="s">
        <v>1804</v>
      </c>
      <c r="D30" s="4" t="s">
        <v>1805</v>
      </c>
      <c r="F30" s="5">
        <v>125.12602869</v>
      </c>
      <c r="G30" s="5"/>
      <c r="H30" s="5"/>
      <c r="I30" s="5"/>
      <c r="J30" s="5">
        <v>190.46458053510949</v>
      </c>
      <c r="K30" s="5"/>
      <c r="L30" s="5"/>
      <c r="M30" s="5"/>
      <c r="N30" s="5">
        <v>244.03578951005028</v>
      </c>
      <c r="O30" s="5"/>
      <c r="P30" s="5"/>
      <c r="Q30" s="5"/>
      <c r="R30" s="5">
        <v>415.10816108834899</v>
      </c>
      <c r="S30" s="5"/>
    </row>
    <row r="31" spans="3:19">
      <c r="C31" s="4" t="s">
        <v>1806</v>
      </c>
      <c r="D31" s="4" t="s">
        <v>1807</v>
      </c>
      <c r="F31" s="5">
        <v>44.523939134181425</v>
      </c>
      <c r="G31" s="5"/>
      <c r="H31" s="5"/>
      <c r="I31" s="5"/>
      <c r="J31" s="5">
        <v>88.506904419433639</v>
      </c>
      <c r="K31" s="5"/>
      <c r="L31" s="5"/>
      <c r="M31" s="5"/>
      <c r="N31" s="5">
        <v>109.78309901638622</v>
      </c>
      <c r="O31" s="5"/>
      <c r="P31" s="5"/>
      <c r="Q31" s="5"/>
      <c r="R31" s="5">
        <v>167.21937322970251</v>
      </c>
      <c r="S31" s="5"/>
    </row>
    <row r="32" spans="3:19">
      <c r="C32" s="24" t="s">
        <v>1808</v>
      </c>
      <c r="D32" s="24" t="s">
        <v>1808</v>
      </c>
      <c r="E32" s="23"/>
      <c r="F32" s="25">
        <f>F28+F24</f>
        <v>813.25179735768666</v>
      </c>
      <c r="G32" s="25">
        <f>G28+G24</f>
        <v>0</v>
      </c>
      <c r="H32" s="25">
        <f>H28+H24</f>
        <v>0</v>
      </c>
      <c r="I32" s="25">
        <f>I28+I24</f>
        <v>0</v>
      </c>
      <c r="J32" s="25">
        <f>J28+J24</f>
        <v>1341.5599528340699</v>
      </c>
      <c r="K32" s="25">
        <f t="shared" ref="K32:P32" si="3">K28+K24</f>
        <v>0</v>
      </c>
      <c r="L32" s="25">
        <f t="shared" si="3"/>
        <v>0</v>
      </c>
      <c r="M32" s="25">
        <f t="shared" si="3"/>
        <v>0</v>
      </c>
      <c r="N32" s="25">
        <f t="shared" si="3"/>
        <v>1685.4261508458221</v>
      </c>
      <c r="O32" s="25">
        <f t="shared" si="3"/>
        <v>0</v>
      </c>
      <c r="P32" s="25">
        <f t="shared" si="3"/>
        <v>0</v>
      </c>
      <c r="Q32" s="25">
        <f>Q28+Q24</f>
        <v>0</v>
      </c>
      <c r="R32" s="25">
        <f>R28+R24</f>
        <v>2646.2856376628156</v>
      </c>
      <c r="S32" s="25"/>
    </row>
    <row r="33" spans="3:19">
      <c r="C33" s="4" t="s">
        <v>1809</v>
      </c>
      <c r="D33" s="4" t="s">
        <v>1810</v>
      </c>
      <c r="F33" s="5">
        <f>F32*(1-F47-F49)</f>
        <v>802.63696706191206</v>
      </c>
      <c r="G33" s="5"/>
      <c r="H33" s="5"/>
      <c r="I33" s="5"/>
      <c r="J33" s="5">
        <f>J32*(1-J47-J49)</f>
        <v>1329.2178776965411</v>
      </c>
      <c r="K33" s="5"/>
      <c r="L33" s="5"/>
      <c r="M33" s="5"/>
      <c r="N33" s="5">
        <f>N32*(1-N47-N49)</f>
        <v>1673.1391245992293</v>
      </c>
      <c r="O33" s="5"/>
      <c r="P33" s="5"/>
      <c r="Q33" s="5"/>
      <c r="R33" s="5">
        <f>R32*(1-R47-R49)</f>
        <v>2612.5502780440552</v>
      </c>
      <c r="S33" s="5"/>
    </row>
    <row r="34" spans="3:19">
      <c r="C34" s="4" t="s">
        <v>1811</v>
      </c>
      <c r="D34" s="4" t="s">
        <v>1812</v>
      </c>
      <c r="F34" s="5">
        <v>0</v>
      </c>
      <c r="G34" s="5"/>
      <c r="H34" s="5"/>
      <c r="I34" s="5"/>
      <c r="J34" s="5">
        <v>0</v>
      </c>
      <c r="K34" s="5"/>
      <c r="L34" s="5"/>
      <c r="M34" s="5"/>
      <c r="N34" s="5">
        <v>0</v>
      </c>
      <c r="O34" s="5"/>
      <c r="P34" s="5"/>
      <c r="Q34" s="5"/>
      <c r="R34" s="5">
        <v>0</v>
      </c>
      <c r="S34" s="5"/>
    </row>
    <row r="35" spans="3:19">
      <c r="C35" s="500" t="s">
        <v>1813</v>
      </c>
      <c r="D35" s="500" t="s">
        <v>1814</v>
      </c>
      <c r="F35" s="501">
        <v>13.223121472635805</v>
      </c>
      <c r="G35" s="501"/>
      <c r="H35" s="501"/>
      <c r="I35" s="501"/>
      <c r="J35" s="501">
        <v>21.186149435441521</v>
      </c>
      <c r="K35" s="501"/>
      <c r="L35" s="501"/>
      <c r="M35" s="501"/>
      <c r="N35" s="501">
        <v>52.082428074161022</v>
      </c>
      <c r="O35" s="501"/>
      <c r="P35" s="501"/>
      <c r="Q35" s="5"/>
      <c r="R35" s="5">
        <v>55.484126228162083</v>
      </c>
      <c r="S35" s="5"/>
    </row>
    <row r="36" spans="3:19">
      <c r="C36" s="500" t="s">
        <v>1815</v>
      </c>
      <c r="D36" s="500" t="s">
        <v>1816</v>
      </c>
      <c r="F36" s="501">
        <v>0</v>
      </c>
      <c r="G36" s="501"/>
      <c r="H36" s="501"/>
      <c r="I36" s="501"/>
      <c r="J36" s="501">
        <v>0</v>
      </c>
      <c r="K36" s="501"/>
      <c r="L36" s="501"/>
      <c r="M36" s="501"/>
      <c r="N36" s="501">
        <v>4.4058149571406648</v>
      </c>
      <c r="O36" s="501"/>
      <c r="P36" s="501"/>
      <c r="Q36" s="5"/>
      <c r="R36" s="5">
        <v>12.148834486489664</v>
      </c>
      <c r="S36" s="5"/>
    </row>
    <row r="37" spans="3:19">
      <c r="C37" s="500" t="s">
        <v>1817</v>
      </c>
      <c r="D37" s="500" t="s">
        <v>1818</v>
      </c>
      <c r="F37" s="501">
        <v>0</v>
      </c>
      <c r="G37" s="501"/>
      <c r="H37" s="501"/>
      <c r="I37" s="501"/>
      <c r="J37" s="501">
        <v>0</v>
      </c>
      <c r="K37" s="501"/>
      <c r="L37" s="501"/>
      <c r="M37" s="501"/>
      <c r="N37" s="501">
        <v>7.6561699981912819</v>
      </c>
      <c r="O37" s="501"/>
      <c r="P37" s="501"/>
      <c r="Q37" s="5"/>
      <c r="R37" s="5">
        <v>6.8878638599819748</v>
      </c>
      <c r="S37" s="5"/>
    </row>
    <row r="38" spans="3:19">
      <c r="C38" s="4" t="s">
        <v>1819</v>
      </c>
      <c r="D38" s="4" t="s">
        <v>1819</v>
      </c>
      <c r="F38" s="5">
        <f>SUM(F35:F37)</f>
        <v>13.223121472635805</v>
      </c>
      <c r="G38" s="5"/>
      <c r="H38" s="5"/>
      <c r="I38" s="5"/>
      <c r="J38" s="5">
        <f>SUM(J35:J37)</f>
        <v>21.186149435441521</v>
      </c>
      <c r="K38" s="5"/>
      <c r="L38" s="5"/>
      <c r="M38" s="5"/>
      <c r="N38" s="5">
        <f>SUM(N35:N37)</f>
        <v>64.144413029492966</v>
      </c>
      <c r="O38" s="5"/>
      <c r="P38" s="5"/>
      <c r="Q38" s="5"/>
      <c r="R38" s="5">
        <f>SUM(R35:R37)</f>
        <v>74.520824574633721</v>
      </c>
      <c r="S38" s="5"/>
    </row>
    <row r="39" spans="3:19">
      <c r="C39" s="502" t="s">
        <v>1820</v>
      </c>
      <c r="D39" s="502" t="s">
        <v>1821</v>
      </c>
      <c r="F39" s="5">
        <f>SUM(F26:F27)</f>
        <v>18.582304194559715</v>
      </c>
      <c r="G39" s="5">
        <v>0</v>
      </c>
      <c r="H39" s="5">
        <v>0</v>
      </c>
      <c r="I39" s="5">
        <v>0</v>
      </c>
      <c r="J39" s="5">
        <f>SUM(J26:J27)</f>
        <v>55.694753961890129</v>
      </c>
      <c r="K39" s="5">
        <v>0</v>
      </c>
      <c r="L39" s="5">
        <v>0</v>
      </c>
      <c r="M39" s="5">
        <v>0</v>
      </c>
      <c r="N39" s="5">
        <f>SUM(N26:N27)</f>
        <v>77.578724453969841</v>
      </c>
      <c r="O39" s="5">
        <v>0</v>
      </c>
      <c r="P39" s="5">
        <v>0</v>
      </c>
      <c r="Q39" s="5">
        <v>0</v>
      </c>
      <c r="R39" s="5">
        <f>SUM(R26:R27)</f>
        <v>121.7231394862285</v>
      </c>
      <c r="S39" s="5"/>
    </row>
    <row r="40" spans="3:19">
      <c r="C40" s="26" t="s">
        <v>1822</v>
      </c>
      <c r="D40" s="26" t="s">
        <v>1823</v>
      </c>
      <c r="E40" s="23"/>
      <c r="F40" s="27">
        <f>F33-F38+F34</f>
        <v>789.41384558927621</v>
      </c>
      <c r="G40" s="27">
        <v>906.33587882670997</v>
      </c>
      <c r="H40" s="27">
        <v>1011.6748465768513</v>
      </c>
      <c r="I40" s="27">
        <v>1185.4574893704462</v>
      </c>
      <c r="J40" s="27">
        <f>J33-J38+J34</f>
        <v>1308.0317282610995</v>
      </c>
      <c r="K40" s="27">
        <v>1403.02623299022</v>
      </c>
      <c r="L40" s="27">
        <v>1473.0209684423601</v>
      </c>
      <c r="M40" s="27">
        <v>1641.9032979416099</v>
      </c>
      <c r="N40" s="27">
        <f>N33-N38+N34</f>
        <v>1608.9947115697364</v>
      </c>
      <c r="O40" s="27">
        <v>1794.0949846996332</v>
      </c>
      <c r="P40" s="27">
        <v>1781.6699004932386</v>
      </c>
      <c r="Q40" s="27">
        <v>2112.2606536609464</v>
      </c>
      <c r="R40" s="27">
        <f>R33-R38+R34</f>
        <v>2538.0294534694212</v>
      </c>
      <c r="S40" s="27">
        <v>2642.8580929999998</v>
      </c>
    </row>
    <row r="41" spans="3:19">
      <c r="C41" s="4" t="s">
        <v>1824</v>
      </c>
      <c r="D41" s="4" t="s">
        <v>1825</v>
      </c>
      <c r="F41" s="5">
        <v>5020.8578789999974</v>
      </c>
      <c r="G41" s="5">
        <v>5519.0481580000005</v>
      </c>
      <c r="H41" s="5">
        <v>5876.2327650000016</v>
      </c>
      <c r="I41" s="5">
        <v>6122.8068510000039</v>
      </c>
      <c r="J41" s="5">
        <v>6065.9351947499936</v>
      </c>
      <c r="K41" s="5">
        <v>6306.3137800000122</v>
      </c>
      <c r="L41" s="5">
        <v>6287.2760260000005</v>
      </c>
      <c r="M41" s="5">
        <v>6516.9830250000086</v>
      </c>
      <c r="N41" s="5">
        <v>6747.2274290000032</v>
      </c>
      <c r="O41" s="5">
        <v>6961.8698600000052</v>
      </c>
      <c r="P41" s="5">
        <v>7378.5263910000058</v>
      </c>
      <c r="Q41" s="5">
        <f>8137907.131/1000</f>
        <v>8137.9071309999999</v>
      </c>
      <c r="R41" s="5">
        <v>8364.518</v>
      </c>
      <c r="S41" s="5">
        <v>8839.5450000000001</v>
      </c>
    </row>
    <row r="42" spans="3:19">
      <c r="C42" s="26" t="s">
        <v>1826</v>
      </c>
      <c r="D42" s="26" t="s">
        <v>1827</v>
      </c>
      <c r="E42" s="23"/>
      <c r="F42" s="27">
        <f>IFERROR(F40/F41*1000,"N/A")</f>
        <v>157.22688524824437</v>
      </c>
      <c r="G42" s="27">
        <f t="shared" ref="G42:Q42" si="4">IFERROR(G40/G41*1000,"N/A")</f>
        <v>164.21959962660466</v>
      </c>
      <c r="H42" s="27">
        <f t="shared" si="4"/>
        <v>172.16384834218715</v>
      </c>
      <c r="I42" s="27">
        <f t="shared" si="4"/>
        <v>193.61340610913311</v>
      </c>
      <c r="J42" s="27">
        <f t="shared" si="4"/>
        <v>215.63562521953548</v>
      </c>
      <c r="K42" s="27">
        <f t="shared" si="4"/>
        <v>222.47961042468415</v>
      </c>
      <c r="L42" s="27">
        <f t="shared" si="4"/>
        <v>234.28603458014615</v>
      </c>
      <c r="M42" s="27">
        <f t="shared" si="4"/>
        <v>251.94223947539095</v>
      </c>
      <c r="N42" s="27">
        <f t="shared" si="4"/>
        <v>238.46753774063953</v>
      </c>
      <c r="O42" s="27">
        <f t="shared" si="4"/>
        <v>257.70303392307761</v>
      </c>
      <c r="P42" s="27">
        <f t="shared" si="4"/>
        <v>241.4669008525116</v>
      </c>
      <c r="Q42" s="27">
        <f t="shared" si="4"/>
        <v>259.55821560246636</v>
      </c>
      <c r="R42" s="27">
        <f>IFERROR(R40/R41*1000,"N/A")</f>
        <v>303.4280580745264</v>
      </c>
      <c r="S42" s="27">
        <f>IFERROR(S40/S41*1000,"N/A")</f>
        <v>298.98123636454136</v>
      </c>
    </row>
    <row r="43" spans="3:19" ht="4.5" customHeight="1"/>
    <row r="44" spans="3:19">
      <c r="C44" s="26" t="s">
        <v>2073</v>
      </c>
      <c r="D44" s="26" t="s">
        <v>2073</v>
      </c>
      <c r="E44" s="23"/>
      <c r="F44" s="27">
        <v>138.94526805846078</v>
      </c>
      <c r="G44" s="27">
        <v>131.59199934191261</v>
      </c>
      <c r="H44" s="27">
        <v>127.5247170085788</v>
      </c>
      <c r="I44" s="27">
        <v>157.70072168001704</v>
      </c>
      <c r="J44" s="27">
        <v>161.96187830762992</v>
      </c>
      <c r="K44" s="27">
        <v>185.15938399855014</v>
      </c>
      <c r="L44" s="27">
        <v>179.91038892319972</v>
      </c>
      <c r="M44" s="27">
        <v>184.6485091541671</v>
      </c>
      <c r="N44" s="27">
        <v>196.16544222007803</v>
      </c>
      <c r="O44" s="27">
        <v>225.37705474989062</v>
      </c>
      <c r="P44" s="27">
        <v>230.65475894389459</v>
      </c>
      <c r="Q44" s="27">
        <v>229.12797498346509</v>
      </c>
      <c r="R44" s="27">
        <v>245.87449673913656</v>
      </c>
      <c r="S44" s="27">
        <v>266.02</v>
      </c>
    </row>
    <row r="45" spans="3:19" ht="4.5" customHeight="1"/>
    <row r="46" spans="3:19">
      <c r="C46" s="24" t="s">
        <v>1828</v>
      </c>
      <c r="D46" s="24" t="s">
        <v>1829</v>
      </c>
      <c r="F46" s="28">
        <f>SUM(F47:F49)</f>
        <v>2.7594234679631992E-2</v>
      </c>
      <c r="G46" s="28">
        <f>SUM(G47:G49)</f>
        <v>2.2699999999999998E-2</v>
      </c>
      <c r="H46" s="28">
        <f>SUM(H47:H49)</f>
        <v>2.4299999999999999E-2</v>
      </c>
      <c r="I46" s="28">
        <f>SUM(I47:I49)</f>
        <v>1.9699999999999999E-2</v>
      </c>
      <c r="J46" s="28">
        <f>SUM(J47:J49)</f>
        <v>1.2621066326449607E-2</v>
      </c>
      <c r="K46" s="28">
        <f t="shared" ref="K46:R46" si="5">SUM(K47:K49)</f>
        <v>1.3719457488301091E-2</v>
      </c>
      <c r="L46" s="28">
        <f t="shared" si="5"/>
        <v>1.6908981156226351E-2</v>
      </c>
      <c r="M46" s="28">
        <f t="shared" si="5"/>
        <v>1.5688890930363526E-2</v>
      </c>
      <c r="N46" s="28">
        <f t="shared" si="5"/>
        <v>4.5028258011470396E-3</v>
      </c>
      <c r="O46" s="28">
        <f t="shared" si="5"/>
        <v>1.9522940465036602E-2</v>
      </c>
      <c r="P46" s="28">
        <f t="shared" si="5"/>
        <v>1.7886416381209165E-3</v>
      </c>
      <c r="Q46" s="28">
        <f t="shared" si="5"/>
        <v>-4.9204631363390736E-3</v>
      </c>
      <c r="R46" s="28">
        <f t="shared" si="5"/>
        <v>1.274819284004261E-2</v>
      </c>
      <c r="S46" s="28">
        <v>1.5389999999999999E-2</v>
      </c>
    </row>
    <row r="47" spans="3:19">
      <c r="C47" s="4" t="s">
        <v>1830</v>
      </c>
      <c r="D47" s="4" t="s">
        <v>1830</v>
      </c>
      <c r="F47" s="29">
        <v>1.3052329340387471E-2</v>
      </c>
      <c r="G47" s="29">
        <v>1.3100000000000001E-2</v>
      </c>
      <c r="H47" s="29">
        <v>1.3100000000000001E-2</v>
      </c>
      <c r="I47" s="29">
        <v>1.3100000000000001E-2</v>
      </c>
      <c r="J47" s="29">
        <v>1.5251886417567547E-2</v>
      </c>
      <c r="K47" s="29">
        <f t="shared" ref="K47:M48" si="6">J47</f>
        <v>1.5251886417567547E-2</v>
      </c>
      <c r="L47" s="29">
        <f t="shared" si="6"/>
        <v>1.5251886417567547E-2</v>
      </c>
      <c r="M47" s="29">
        <f t="shared" si="6"/>
        <v>1.5251886417567547E-2</v>
      </c>
      <c r="N47" s="29">
        <v>7.1853142466422795E-3</v>
      </c>
      <c r="O47" s="29">
        <f>N47</f>
        <v>7.1853142466422795E-3</v>
      </c>
      <c r="P47" s="29">
        <f>O47</f>
        <v>7.1853142466422795E-3</v>
      </c>
      <c r="Q47" s="29">
        <v>7.1999999999999998E-3</v>
      </c>
      <c r="R47" s="29">
        <v>1.6470889177196191E-2</v>
      </c>
      <c r="S47" s="29">
        <v>1.6469999999999999E-2</v>
      </c>
    </row>
    <row r="48" spans="3:19">
      <c r="C48" s="4" t="s">
        <v>1831</v>
      </c>
      <c r="D48" s="4" t="s">
        <v>1831</v>
      </c>
      <c r="F48" s="29">
        <v>1.4541905339244519E-2</v>
      </c>
      <c r="G48" s="29">
        <v>1.4500000000000001E-2</v>
      </c>
      <c r="H48" s="29">
        <v>1.4500000000000001E-2</v>
      </c>
      <c r="I48" s="29">
        <v>1.4500000000000001E-2</v>
      </c>
      <c r="J48" s="29">
        <v>3.4212723765363307E-3</v>
      </c>
      <c r="K48" s="29">
        <f t="shared" si="6"/>
        <v>3.4212723765363307E-3</v>
      </c>
      <c r="L48" s="29">
        <f t="shared" si="6"/>
        <v>3.4212723765363307E-3</v>
      </c>
      <c r="M48" s="29">
        <f t="shared" si="6"/>
        <v>3.4212723765363307E-3</v>
      </c>
      <c r="N48" s="29">
        <v>-2.787334162507705E-3</v>
      </c>
      <c r="O48" s="29">
        <f>N48</f>
        <v>-2.787334162507705E-3</v>
      </c>
      <c r="P48" s="29">
        <f>O48</f>
        <v>-2.787334162507705E-3</v>
      </c>
      <c r="Q48" s="29">
        <v>-2.8E-3</v>
      </c>
      <c r="R48" s="29">
        <v>0</v>
      </c>
      <c r="S48" s="29">
        <v>0</v>
      </c>
    </row>
    <row r="49" spans="3:19">
      <c r="C49" s="30" t="s">
        <v>1832</v>
      </c>
      <c r="D49" s="30" t="s">
        <v>1832</v>
      </c>
      <c r="F49" s="31">
        <v>0</v>
      </c>
      <c r="G49" s="31">
        <v>-4.8999999999999998E-3</v>
      </c>
      <c r="H49" s="31">
        <v>-3.3E-3</v>
      </c>
      <c r="I49" s="31">
        <v>-7.9000000000000008E-3</v>
      </c>
      <c r="J49" s="31">
        <v>-6.0520924676542723E-3</v>
      </c>
      <c r="K49" s="31">
        <v>-4.9537013058027872E-3</v>
      </c>
      <c r="L49" s="31">
        <v>-1.7641776378775273E-3</v>
      </c>
      <c r="M49" s="31">
        <v>-2.9842678637403523E-3</v>
      </c>
      <c r="N49" s="31">
        <v>1.0484571701246545E-4</v>
      </c>
      <c r="O49" s="31">
        <v>1.5124960380902028E-2</v>
      </c>
      <c r="P49" s="31">
        <v>-2.609338446013658E-3</v>
      </c>
      <c r="Q49" s="31">
        <v>-9.320463136339073E-3</v>
      </c>
      <c r="R49" s="31">
        <v>-3.7226963371535808E-3</v>
      </c>
      <c r="S49" s="31">
        <v>-1.08E-3</v>
      </c>
    </row>
    <row r="51" spans="3:19">
      <c r="C51" s="6" t="s">
        <v>110</v>
      </c>
      <c r="D51" s="6" t="s">
        <v>110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</row>
    <row r="52" spans="3:19" ht="3.6" customHeight="1"/>
    <row r="53" spans="3:19">
      <c r="C53" s="17" t="s">
        <v>1784</v>
      </c>
      <c r="D53" s="17" t="s">
        <v>1785</v>
      </c>
      <c r="F53" s="18">
        <f>G53-1</f>
        <v>2013</v>
      </c>
      <c r="G53" s="18">
        <f>H53-1</f>
        <v>2014</v>
      </c>
      <c r="H53" s="18">
        <f>I53-1</f>
        <v>2015</v>
      </c>
      <c r="I53" s="18">
        <f>J53-1</f>
        <v>2016</v>
      </c>
      <c r="J53" s="18">
        <v>2017</v>
      </c>
      <c r="K53" s="18">
        <f>J53+1</f>
        <v>2018</v>
      </c>
      <c r="L53" s="18">
        <f t="shared" ref="L53:S53" si="7">K53+1</f>
        <v>2019</v>
      </c>
      <c r="M53" s="18">
        <f t="shared" si="7"/>
        <v>2020</v>
      </c>
      <c r="N53" s="18">
        <f t="shared" si="7"/>
        <v>2021</v>
      </c>
      <c r="O53" s="18">
        <f t="shared" si="7"/>
        <v>2022</v>
      </c>
      <c r="P53" s="18">
        <f t="shared" si="7"/>
        <v>2023</v>
      </c>
      <c r="Q53" s="18">
        <f t="shared" si="7"/>
        <v>2024</v>
      </c>
      <c r="R53" s="18">
        <f t="shared" si="7"/>
        <v>2025</v>
      </c>
      <c r="S53" s="18">
        <f t="shared" si="7"/>
        <v>2026</v>
      </c>
    </row>
    <row r="54" spans="3:19">
      <c r="C54" s="4" t="s">
        <v>1786</v>
      </c>
      <c r="D54" s="4" t="s">
        <v>1787</v>
      </c>
      <c r="F54" s="20" t="s">
        <v>1789</v>
      </c>
      <c r="G54" s="20" t="s">
        <v>1789</v>
      </c>
      <c r="H54" s="19" t="s">
        <v>1788</v>
      </c>
      <c r="I54" s="20" t="s">
        <v>1789</v>
      </c>
      <c r="J54" s="20" t="s">
        <v>1789</v>
      </c>
      <c r="K54" s="20" t="s">
        <v>1789</v>
      </c>
      <c r="L54" s="19" t="s">
        <v>1788</v>
      </c>
      <c r="M54" s="20" t="s">
        <v>1789</v>
      </c>
      <c r="N54" s="20" t="s">
        <v>1789</v>
      </c>
      <c r="O54" s="20" t="s">
        <v>1789</v>
      </c>
      <c r="P54" s="19" t="s">
        <v>1788</v>
      </c>
      <c r="Q54" s="20" t="s">
        <v>1789</v>
      </c>
      <c r="R54" s="20" t="s">
        <v>1789</v>
      </c>
      <c r="S54" s="20" t="s">
        <v>1789</v>
      </c>
    </row>
    <row r="55" spans="3:19">
      <c r="C55" s="4" t="s">
        <v>2072</v>
      </c>
      <c r="D55" s="4" t="s">
        <v>2072</v>
      </c>
      <c r="F55" s="21"/>
      <c r="G55" s="21"/>
      <c r="H55" s="21">
        <v>6939.9004508405387</v>
      </c>
      <c r="I55" s="21"/>
      <c r="J55" s="21"/>
      <c r="K55" s="21"/>
      <c r="L55" s="21">
        <v>10876.30345777042</v>
      </c>
      <c r="M55" s="21"/>
      <c r="N55" s="21"/>
      <c r="O55" s="21"/>
      <c r="P55" s="21">
        <v>18156.359492113104</v>
      </c>
      <c r="Q55" s="21"/>
      <c r="R55" s="21"/>
      <c r="S55" s="21"/>
    </row>
    <row r="56" spans="3:19">
      <c r="C56" s="4" t="s">
        <v>2070</v>
      </c>
      <c r="D56" s="4" t="s">
        <v>2071</v>
      </c>
      <c r="F56" s="21"/>
      <c r="G56" s="21"/>
      <c r="H56" s="21">
        <v>4364.3675697579793</v>
      </c>
      <c r="I56" s="21"/>
      <c r="J56" s="21"/>
      <c r="K56" s="21"/>
      <c r="L56" s="21">
        <v>6543.6813241956961</v>
      </c>
      <c r="M56" s="21"/>
      <c r="N56" s="21"/>
      <c r="O56" s="21"/>
      <c r="P56" s="21">
        <v>11413.630979441281</v>
      </c>
      <c r="Q56" s="21"/>
      <c r="R56" s="21"/>
      <c r="S56" s="21"/>
    </row>
    <row r="57" spans="3:19">
      <c r="C57" s="4" t="s">
        <v>1790</v>
      </c>
      <c r="D57" s="4" t="s">
        <v>1791</v>
      </c>
      <c r="F57" s="22">
        <v>0</v>
      </c>
      <c r="G57" s="22">
        <v>0</v>
      </c>
      <c r="H57" s="21">
        <v>3090.0347351721193</v>
      </c>
      <c r="I57" s="22">
        <v>0</v>
      </c>
      <c r="J57" s="22">
        <v>0</v>
      </c>
      <c r="K57" s="22">
        <v>0</v>
      </c>
      <c r="L57" s="21">
        <v>5046.7551679628923</v>
      </c>
      <c r="M57" s="22">
        <v>0</v>
      </c>
      <c r="N57" s="22">
        <v>0</v>
      </c>
      <c r="O57" s="22">
        <v>0</v>
      </c>
      <c r="P57" s="21">
        <v>8544.9870004013137</v>
      </c>
      <c r="Q57" s="22">
        <v>0</v>
      </c>
      <c r="R57" s="22">
        <v>0</v>
      </c>
      <c r="S57" s="22">
        <v>0</v>
      </c>
    </row>
    <row r="58" spans="3:19">
      <c r="C58" s="23" t="s">
        <v>1833</v>
      </c>
      <c r="D58" s="23" t="s">
        <v>1834</v>
      </c>
      <c r="F58" s="21"/>
      <c r="G58" s="22"/>
      <c r="H58" s="22"/>
      <c r="I58" s="22"/>
      <c r="J58" s="21"/>
      <c r="K58" s="22"/>
      <c r="L58" s="22"/>
      <c r="M58" s="22"/>
      <c r="N58" s="21"/>
      <c r="O58" s="22"/>
      <c r="P58" s="22"/>
      <c r="Q58" s="22"/>
      <c r="R58" s="22"/>
      <c r="S58" s="22"/>
    </row>
    <row r="59" spans="3:19">
      <c r="C59" s="23" t="s">
        <v>2539</v>
      </c>
      <c r="D59" s="23" t="s">
        <v>2543</v>
      </c>
      <c r="F59" s="21"/>
      <c r="G59" s="22"/>
      <c r="H59" s="22"/>
      <c r="I59" s="22"/>
      <c r="J59" s="21"/>
      <c r="K59" s="22"/>
      <c r="L59" s="22"/>
      <c r="M59" s="22"/>
      <c r="N59" s="21"/>
      <c r="O59" s="22"/>
      <c r="P59" s="22"/>
      <c r="Q59" s="22"/>
      <c r="R59" s="22"/>
      <c r="S59" s="22"/>
    </row>
    <row r="60" spans="3:19" ht="4.5" customHeight="1"/>
    <row r="61" spans="3:19">
      <c r="C61" s="24" t="s">
        <v>1792</v>
      </c>
      <c r="D61" s="24" t="s">
        <v>1793</v>
      </c>
      <c r="E61" s="23"/>
      <c r="F61" s="25">
        <f>SUM(F62:F64)</f>
        <v>0</v>
      </c>
      <c r="G61" s="25">
        <f>SUM(G62:G64)</f>
        <v>0</v>
      </c>
      <c r="H61" s="25">
        <f>SUM(H62:H64)</f>
        <v>670.15653066493348</v>
      </c>
      <c r="I61" s="25">
        <f>SUM(I62:I64)</f>
        <v>0</v>
      </c>
      <c r="J61" s="25">
        <f>SUM(J62:J64)</f>
        <v>0</v>
      </c>
      <c r="K61" s="25">
        <f t="shared" ref="K61:P61" si="8">SUM(K62:K64)</f>
        <v>0</v>
      </c>
      <c r="L61" s="25">
        <f t="shared" si="8"/>
        <v>845.11859281323859</v>
      </c>
      <c r="M61" s="25">
        <f t="shared" si="8"/>
        <v>0</v>
      </c>
      <c r="N61" s="25">
        <f t="shared" si="8"/>
        <v>0</v>
      </c>
      <c r="O61" s="25">
        <f t="shared" si="8"/>
        <v>0</v>
      </c>
      <c r="P61" s="25">
        <f t="shared" si="8"/>
        <v>1591.0426455148943</v>
      </c>
      <c r="Q61" s="25">
        <f>SUM(Q62:Q64)</f>
        <v>0</v>
      </c>
      <c r="R61" s="25">
        <f>SUM(R62:R64)</f>
        <v>0</v>
      </c>
      <c r="S61" s="25">
        <f>SUM(S62:S64)</f>
        <v>0</v>
      </c>
    </row>
    <row r="62" spans="3:19">
      <c r="C62" s="4" t="s">
        <v>1794</v>
      </c>
      <c r="D62" s="4" t="s">
        <v>1795</v>
      </c>
      <c r="F62" s="5"/>
      <c r="G62" s="5"/>
      <c r="H62" s="5">
        <v>588.34515476664751</v>
      </c>
      <c r="I62" s="5"/>
      <c r="J62" s="5"/>
      <c r="K62" s="5"/>
      <c r="L62" s="5">
        <v>738.3017106482165</v>
      </c>
      <c r="M62" s="5"/>
      <c r="N62" s="5"/>
      <c r="O62" s="5"/>
      <c r="P62" s="5">
        <v>1432.8528183609114</v>
      </c>
      <c r="Q62" s="5"/>
      <c r="R62" s="5"/>
      <c r="S62" s="5"/>
    </row>
    <row r="63" spans="3:19">
      <c r="C63" s="4" t="s">
        <v>1796</v>
      </c>
      <c r="D63" s="4" t="s">
        <v>1797</v>
      </c>
      <c r="F63" s="5"/>
      <c r="G63" s="5"/>
      <c r="H63" s="5">
        <v>14.711370737791992</v>
      </c>
      <c r="I63" s="5"/>
      <c r="J63" s="5"/>
      <c r="K63" s="5"/>
      <c r="L63" s="5">
        <v>9.4422404953891927</v>
      </c>
      <c r="M63" s="5"/>
      <c r="N63" s="5"/>
      <c r="O63" s="5"/>
      <c r="P63" s="5">
        <v>30.147785883640594</v>
      </c>
      <c r="Q63" s="5"/>
      <c r="R63" s="5"/>
      <c r="S63" s="5"/>
    </row>
    <row r="64" spans="3:19">
      <c r="C64" s="4" t="s">
        <v>1798</v>
      </c>
      <c r="D64" s="4" t="s">
        <v>1799</v>
      </c>
      <c r="F64" s="5"/>
      <c r="G64" s="5"/>
      <c r="H64" s="5">
        <v>67.100005160493993</v>
      </c>
      <c r="I64" s="5"/>
      <c r="J64" s="5"/>
      <c r="K64" s="5"/>
      <c r="L64" s="5">
        <v>97.374641669632808</v>
      </c>
      <c r="M64" s="5"/>
      <c r="N64" s="5"/>
      <c r="O64" s="5"/>
      <c r="P64" s="5">
        <v>128.0420412703422</v>
      </c>
      <c r="Q64" s="5"/>
      <c r="R64" s="5"/>
      <c r="S64" s="5"/>
    </row>
    <row r="65" spans="3:19">
      <c r="C65" s="24" t="s">
        <v>1800</v>
      </c>
      <c r="D65" s="24" t="s">
        <v>1801</v>
      </c>
      <c r="E65" s="23"/>
      <c r="F65" s="25">
        <f>SUM(F66:F68)</f>
        <v>0</v>
      </c>
      <c r="G65" s="25">
        <f>SUM(G66:G68)</f>
        <v>0</v>
      </c>
      <c r="H65" s="25">
        <f>SUM(H66:H68)</f>
        <v>639.83337081546972</v>
      </c>
      <c r="I65" s="25">
        <f>SUM(I66:I68)</f>
        <v>0</v>
      </c>
      <c r="J65" s="25">
        <f>SUM(J66:J68)</f>
        <v>0</v>
      </c>
      <c r="K65" s="25">
        <f t="shared" ref="K65:P65" si="9">SUM(K66:K68)</f>
        <v>0</v>
      </c>
      <c r="L65" s="25">
        <f t="shared" si="9"/>
        <v>1054.2404433369645</v>
      </c>
      <c r="M65" s="25">
        <f t="shared" si="9"/>
        <v>0</v>
      </c>
      <c r="N65" s="25">
        <f t="shared" si="9"/>
        <v>0</v>
      </c>
      <c r="O65" s="25">
        <f t="shared" si="9"/>
        <v>0</v>
      </c>
      <c r="P65" s="25">
        <f t="shared" si="9"/>
        <v>1721.3083144842458</v>
      </c>
      <c r="Q65" s="25">
        <f>SUM(Q66:Q68)</f>
        <v>0</v>
      </c>
      <c r="R65" s="25">
        <f>SUM(R66:R68)</f>
        <v>0</v>
      </c>
      <c r="S65" s="25">
        <f>SUM(S66:S68)</f>
        <v>0</v>
      </c>
    </row>
    <row r="66" spans="3:19">
      <c r="C66" s="4" t="s">
        <v>1802</v>
      </c>
      <c r="D66" s="4" t="s">
        <v>1803</v>
      </c>
      <c r="F66" s="5"/>
      <c r="G66" s="5"/>
      <c r="H66" s="5">
        <v>405.18514404889731</v>
      </c>
      <c r="I66" s="5"/>
      <c r="J66" s="5"/>
      <c r="K66" s="5"/>
      <c r="L66" s="5">
        <v>660.41869300058852</v>
      </c>
      <c r="M66" s="5"/>
      <c r="N66" s="5"/>
      <c r="O66" s="5"/>
      <c r="P66" s="5">
        <v>1054.3882530466715</v>
      </c>
      <c r="Q66" s="5"/>
      <c r="R66" s="5"/>
      <c r="S66" s="5"/>
    </row>
    <row r="67" spans="3:19">
      <c r="C67" s="4" t="s">
        <v>1804</v>
      </c>
      <c r="D67" s="4" t="s">
        <v>1805</v>
      </c>
      <c r="F67" s="5"/>
      <c r="G67" s="5"/>
      <c r="H67" s="5">
        <v>178.06619684612556</v>
      </c>
      <c r="I67" s="5"/>
      <c r="J67" s="5"/>
      <c r="K67" s="5"/>
      <c r="L67" s="5">
        <v>275.28918925513113</v>
      </c>
      <c r="M67" s="5"/>
      <c r="N67" s="5"/>
      <c r="O67" s="5"/>
      <c r="P67" s="5">
        <v>482.79659043036617</v>
      </c>
      <c r="Q67" s="5"/>
      <c r="R67" s="5"/>
      <c r="S67" s="5"/>
    </row>
    <row r="68" spans="3:19">
      <c r="C68" s="4" t="s">
        <v>1806</v>
      </c>
      <c r="D68" s="4" t="s">
        <v>1807</v>
      </c>
      <c r="F68" s="5"/>
      <c r="G68" s="5"/>
      <c r="H68" s="5">
        <v>56.582029920446828</v>
      </c>
      <c r="I68" s="5"/>
      <c r="J68" s="5"/>
      <c r="K68" s="5"/>
      <c r="L68" s="5">
        <v>118.53256108124498</v>
      </c>
      <c r="M68" s="5"/>
      <c r="N68" s="5"/>
      <c r="O68" s="5"/>
      <c r="P68" s="5">
        <v>184.123471007208</v>
      </c>
      <c r="Q68" s="5"/>
      <c r="R68" s="5"/>
      <c r="S68" s="5"/>
    </row>
    <row r="69" spans="3:19">
      <c r="C69" s="24" t="s">
        <v>1808</v>
      </c>
      <c r="D69" s="24" t="s">
        <v>1808</v>
      </c>
      <c r="E69" s="23"/>
      <c r="F69" s="25">
        <f t="shared" ref="F69:P69" si="10">F65+F61</f>
        <v>0</v>
      </c>
      <c r="G69" s="25">
        <f t="shared" si="10"/>
        <v>0</v>
      </c>
      <c r="H69" s="25">
        <f t="shared" si="10"/>
        <v>1309.9899014804032</v>
      </c>
      <c r="I69" s="25">
        <f t="shared" si="10"/>
        <v>0</v>
      </c>
      <c r="J69" s="25">
        <f>J65+J61</f>
        <v>0</v>
      </c>
      <c r="K69" s="25">
        <f t="shared" si="10"/>
        <v>0</v>
      </c>
      <c r="L69" s="25">
        <f t="shared" si="10"/>
        <v>1899.3590361502031</v>
      </c>
      <c r="M69" s="25">
        <f t="shared" si="10"/>
        <v>0</v>
      </c>
      <c r="N69" s="25">
        <f t="shared" si="10"/>
        <v>0</v>
      </c>
      <c r="O69" s="25">
        <f t="shared" si="10"/>
        <v>0</v>
      </c>
      <c r="P69" s="25">
        <f t="shared" si="10"/>
        <v>3312.3509599991403</v>
      </c>
      <c r="Q69" s="25">
        <f>Q65+Q61</f>
        <v>0</v>
      </c>
      <c r="R69" s="25">
        <f>R65+R61</f>
        <v>0</v>
      </c>
      <c r="S69" s="25">
        <f>S65+S61</f>
        <v>0</v>
      </c>
    </row>
    <row r="70" spans="3:19">
      <c r="C70" s="4" t="s">
        <v>1809</v>
      </c>
      <c r="D70" s="4" t="s">
        <v>1810</v>
      </c>
      <c r="F70" s="5"/>
      <c r="G70" s="5"/>
      <c r="H70" s="5">
        <f>H69*(1-H84-H86)</f>
        <v>1296.9119972581841</v>
      </c>
      <c r="I70" s="5"/>
      <c r="J70" s="5"/>
      <c r="K70" s="5"/>
      <c r="L70" s="5">
        <f>L69*(1-L84-L86)</f>
        <v>1883.2149906070297</v>
      </c>
      <c r="M70" s="5"/>
      <c r="N70" s="5"/>
      <c r="O70" s="5"/>
      <c r="P70" s="5">
        <f>P69*(1-P84-P86)</f>
        <v>3322.4215941261846</v>
      </c>
      <c r="Q70" s="5"/>
      <c r="R70" s="5"/>
      <c r="S70" s="5"/>
    </row>
    <row r="71" spans="3:19">
      <c r="C71" s="4" t="s">
        <v>1811</v>
      </c>
      <c r="D71" s="4" t="s">
        <v>1812</v>
      </c>
      <c r="F71" s="5"/>
      <c r="G71" s="5"/>
      <c r="H71" s="5">
        <v>0</v>
      </c>
      <c r="I71" s="5"/>
      <c r="J71" s="5"/>
      <c r="K71" s="5"/>
      <c r="L71" s="5">
        <v>0</v>
      </c>
      <c r="M71" s="5"/>
      <c r="N71" s="5"/>
      <c r="O71" s="5"/>
      <c r="P71" s="5">
        <v>54.423117772415949</v>
      </c>
      <c r="Q71" s="5"/>
      <c r="R71" s="5"/>
      <c r="S71" s="5"/>
    </row>
    <row r="72" spans="3:19">
      <c r="C72" s="500" t="s">
        <v>1813</v>
      </c>
      <c r="D72" s="500" t="s">
        <v>1814</v>
      </c>
      <c r="F72" s="501"/>
      <c r="G72" s="501"/>
      <c r="H72" s="5">
        <v>19.390424970914495</v>
      </c>
      <c r="I72" s="501"/>
      <c r="J72" s="501"/>
      <c r="K72" s="501"/>
      <c r="L72" s="501">
        <v>43.500289750165813</v>
      </c>
      <c r="M72" s="501"/>
      <c r="N72" s="501"/>
      <c r="O72" s="501"/>
      <c r="P72" s="501">
        <v>59.32342919148217</v>
      </c>
      <c r="Q72" s="5"/>
      <c r="R72" s="5"/>
      <c r="S72" s="5"/>
    </row>
    <row r="73" spans="3:19">
      <c r="C73" s="500" t="s">
        <v>1815</v>
      </c>
      <c r="D73" s="500" t="s">
        <v>1816</v>
      </c>
      <c r="F73" s="501"/>
      <c r="G73" s="501"/>
      <c r="H73" s="5">
        <v>0</v>
      </c>
      <c r="I73" s="501"/>
      <c r="J73" s="501"/>
      <c r="K73" s="501"/>
      <c r="L73" s="501">
        <v>13.186833631158498</v>
      </c>
      <c r="M73" s="501"/>
      <c r="N73" s="501"/>
      <c r="O73" s="501"/>
      <c r="P73" s="501">
        <v>7.6485684617257848</v>
      </c>
      <c r="Q73" s="5"/>
      <c r="R73" s="5"/>
      <c r="S73" s="5"/>
    </row>
    <row r="74" spans="3:19">
      <c r="C74" s="500" t="s">
        <v>1817</v>
      </c>
      <c r="D74" s="500" t="s">
        <v>1818</v>
      </c>
      <c r="F74" s="501"/>
      <c r="G74" s="501"/>
      <c r="H74" s="5">
        <v>0</v>
      </c>
      <c r="I74" s="501"/>
      <c r="J74" s="501"/>
      <c r="K74" s="501"/>
      <c r="L74" s="501">
        <v>37.412058096853698</v>
      </c>
      <c r="M74" s="501"/>
      <c r="N74" s="501"/>
      <c r="O74" s="501"/>
      <c r="P74" s="501">
        <v>15.63863752584601</v>
      </c>
      <c r="Q74" s="5"/>
      <c r="R74" s="5"/>
      <c r="S74" s="5"/>
    </row>
    <row r="75" spans="3:19">
      <c r="C75" s="4" t="s">
        <v>1819</v>
      </c>
      <c r="D75" s="4" t="s">
        <v>1819</v>
      </c>
      <c r="F75" s="5"/>
      <c r="G75" s="5"/>
      <c r="H75" s="5">
        <f>SUM(H72:H74)</f>
        <v>19.390424970914495</v>
      </c>
      <c r="I75" s="5"/>
      <c r="J75" s="5"/>
      <c r="K75" s="5"/>
      <c r="L75" s="5">
        <f>SUM(L72:L74)</f>
        <v>94.099181478178011</v>
      </c>
      <c r="M75" s="5"/>
      <c r="N75" s="5"/>
      <c r="O75" s="5"/>
      <c r="P75" s="5">
        <f>SUM(P72:P74)</f>
        <v>82.610635179053958</v>
      </c>
      <c r="Q75" s="5"/>
      <c r="R75" s="5"/>
      <c r="S75" s="5"/>
    </row>
    <row r="76" spans="3:19">
      <c r="C76" s="502" t="s">
        <v>1820</v>
      </c>
      <c r="D76" s="502" t="s">
        <v>1821</v>
      </c>
      <c r="F76" s="5">
        <v>0</v>
      </c>
      <c r="G76" s="5">
        <v>0</v>
      </c>
      <c r="H76" s="5">
        <f>SUM(H63:H64)</f>
        <v>81.811375898285988</v>
      </c>
      <c r="I76" s="5">
        <v>0</v>
      </c>
      <c r="J76" s="5">
        <v>0</v>
      </c>
      <c r="K76" s="5">
        <v>0</v>
      </c>
      <c r="L76" s="5">
        <f>SUM(L63:L64)</f>
        <v>106.81688216502201</v>
      </c>
      <c r="M76" s="5">
        <v>0</v>
      </c>
      <c r="N76" s="5">
        <v>0</v>
      </c>
      <c r="O76" s="5">
        <v>0</v>
      </c>
      <c r="P76" s="5">
        <f>SUM(P63:P64)</f>
        <v>158.18982715398278</v>
      </c>
      <c r="Q76" s="5"/>
      <c r="R76" s="5"/>
      <c r="S76" s="5"/>
    </row>
    <row r="77" spans="3:19">
      <c r="C77" s="26" t="s">
        <v>1822</v>
      </c>
      <c r="D77" s="26" t="s">
        <v>1823</v>
      </c>
      <c r="E77" s="23"/>
      <c r="F77" s="27">
        <v>860.95597259825558</v>
      </c>
      <c r="G77" s="27">
        <v>1002.7007055569125</v>
      </c>
      <c r="H77" s="27">
        <f>H70-H75+H71</f>
        <v>1277.5215722872697</v>
      </c>
      <c r="I77" s="27">
        <v>1607.4404046345251</v>
      </c>
      <c r="J77" s="27">
        <v>1623.0259264737485</v>
      </c>
      <c r="K77" s="27">
        <v>1677.7774649016678</v>
      </c>
      <c r="L77" s="27">
        <f>L70-L75+L71</f>
        <v>1789.1158091288517</v>
      </c>
      <c r="M77" s="27">
        <v>2059.1592181599822</v>
      </c>
      <c r="N77" s="27">
        <v>2926.8601487178003</v>
      </c>
      <c r="O77" s="27">
        <v>3414.5081382309868</v>
      </c>
      <c r="P77" s="27">
        <f>P70-P75+P71</f>
        <v>3294.2340767195465</v>
      </c>
      <c r="Q77" s="27">
        <f>3609817237.653/1000000</f>
        <v>3609.8172376529997</v>
      </c>
      <c r="R77" s="27">
        <f>3655682536.20219/1000000</f>
        <v>3655.68253620219</v>
      </c>
      <c r="S77" s="27">
        <v>3765.5481897667132</v>
      </c>
    </row>
    <row r="78" spans="3:19">
      <c r="C78" s="4" t="s">
        <v>1824</v>
      </c>
      <c r="D78" s="4" t="s">
        <v>1825</v>
      </c>
      <c r="F78" s="5">
        <v>6918.5990340000044</v>
      </c>
      <c r="G78" s="5">
        <v>7724.3144549999997</v>
      </c>
      <c r="H78" s="5">
        <v>7965.534236999998</v>
      </c>
      <c r="I78" s="5">
        <v>8712.0818150000123</v>
      </c>
      <c r="J78" s="5">
        <v>8757.305947000008</v>
      </c>
      <c r="K78" s="5">
        <v>8821.1328720000074</v>
      </c>
      <c r="L78" s="5">
        <v>8495.4659300000003</v>
      </c>
      <c r="M78" s="5">
        <v>8631.373062000006</v>
      </c>
      <c r="N78" s="5">
        <v>9124.5278219999927</v>
      </c>
      <c r="O78" s="5">
        <v>9559.4739769999778</v>
      </c>
      <c r="P78" s="5">
        <v>9950.3172739999936</v>
      </c>
      <c r="Q78" s="5">
        <f>10762104.696/1000</f>
        <v>10762.104696</v>
      </c>
      <c r="R78" s="5">
        <f>11114633.969/1000</f>
        <v>11114.633969</v>
      </c>
      <c r="S78" s="5">
        <v>11673.461136999995</v>
      </c>
    </row>
    <row r="79" spans="3:19">
      <c r="C79" s="26" t="s">
        <v>1826</v>
      </c>
      <c r="D79" s="26" t="s">
        <v>1827</v>
      </c>
      <c r="E79" s="23"/>
      <c r="F79" s="27">
        <f t="shared" ref="F79:Q79" si="11">IFERROR(F77/F78*1000,"N/A")</f>
        <v>124.44079623161683</v>
      </c>
      <c r="G79" s="27">
        <f t="shared" si="11"/>
        <v>129.81096398889582</v>
      </c>
      <c r="H79" s="27">
        <f t="shared" si="11"/>
        <v>160.38115389086741</v>
      </c>
      <c r="I79" s="27">
        <f t="shared" si="11"/>
        <v>184.50703732682092</v>
      </c>
      <c r="J79" s="27">
        <f t="shared" si="11"/>
        <v>185.33392989767006</v>
      </c>
      <c r="K79" s="27">
        <f t="shared" si="11"/>
        <v>190.19977243821594</v>
      </c>
      <c r="L79" s="27">
        <f t="shared" si="11"/>
        <v>210.59654924998935</v>
      </c>
      <c r="M79" s="27">
        <f t="shared" si="11"/>
        <v>238.56681936568353</v>
      </c>
      <c r="N79" s="27">
        <f t="shared" si="11"/>
        <v>320.76839545175125</v>
      </c>
      <c r="O79" s="27">
        <f t="shared" si="11"/>
        <v>357.18577679548764</v>
      </c>
      <c r="P79" s="27">
        <f t="shared" si="11"/>
        <v>331.06824496213028</v>
      </c>
      <c r="Q79" s="27">
        <f t="shared" si="11"/>
        <v>335.41926413284909</v>
      </c>
      <c r="R79" s="27">
        <f>IFERROR(R77/R78*1000,"N/A")</f>
        <v>328.90714587617651</v>
      </c>
      <c r="S79" s="27">
        <f>IFERROR(S77/S78*1000,"N/A")</f>
        <v>322.57341208182885</v>
      </c>
    </row>
    <row r="81" spans="3:19">
      <c r="C81" s="26" t="s">
        <v>2073</v>
      </c>
      <c r="D81" s="26" t="s">
        <v>2073</v>
      </c>
      <c r="E81" s="23"/>
      <c r="F81" s="27">
        <v>140.79662877511799</v>
      </c>
      <c r="G81" s="27">
        <v>155.22767616980605</v>
      </c>
      <c r="H81" s="27">
        <v>143.72403136494154</v>
      </c>
      <c r="I81" s="27">
        <v>173.5158601196338</v>
      </c>
      <c r="J81" s="27">
        <v>170.18573013418043</v>
      </c>
      <c r="K81" s="27">
        <v>190.5124836706284</v>
      </c>
      <c r="L81" s="27">
        <v>190.7031776090715</v>
      </c>
      <c r="M81" s="27">
        <v>195.60549063526346</v>
      </c>
      <c r="N81" s="27">
        <v>191.57184320298023</v>
      </c>
      <c r="O81" s="27">
        <v>222.45270197767152</v>
      </c>
      <c r="P81" s="27">
        <v>232.45767112398201</v>
      </c>
      <c r="Q81" s="27">
        <v>236.82274531474087</v>
      </c>
      <c r="R81" s="27">
        <v>252.76045356797644</v>
      </c>
      <c r="S81" s="27">
        <v>276.46498684905845</v>
      </c>
    </row>
    <row r="82" spans="3:19" ht="4.5" customHeight="1"/>
    <row r="83" spans="3:19">
      <c r="C83" s="24" t="s">
        <v>1828</v>
      </c>
      <c r="D83" s="24" t="s">
        <v>1829</v>
      </c>
      <c r="F83" s="28">
        <f>SUM(F84:F86)</f>
        <v>2.464555286083684E-2</v>
      </c>
      <c r="G83" s="28">
        <f>SUM(G84:G86)</f>
        <v>1.9645552860836839E-2</v>
      </c>
      <c r="H83" s="28">
        <f>SUM(H84:H86)</f>
        <v>1.205741439637046E-2</v>
      </c>
      <c r="I83" s="28">
        <f>SUM(I84:I86)</f>
        <v>1.2681460415481093E-2</v>
      </c>
      <c r="J83" s="28">
        <f>SUM(J84:J86)</f>
        <v>1.1952771104850404E-2</v>
      </c>
      <c r="K83" s="28">
        <f t="shared" ref="K83:R83" si="12">SUM(K84:K86)</f>
        <v>1.2776032615271781E-2</v>
      </c>
      <c r="L83" s="28">
        <f t="shared" si="12"/>
        <v>7.7707066734367765E-4</v>
      </c>
      <c r="M83" s="28">
        <f t="shared" si="12"/>
        <v>-3.8439971631731504E-3</v>
      </c>
      <c r="N83" s="28">
        <f t="shared" si="12"/>
        <v>-2.8580297518768219E-3</v>
      </c>
      <c r="O83" s="28">
        <f t="shared" si="12"/>
        <v>1.3787483865457088E-2</v>
      </c>
      <c r="P83" s="28">
        <f t="shared" si="12"/>
        <v>2.8335197876847192E-2</v>
      </c>
      <c r="Q83" s="28">
        <f t="shared" si="12"/>
        <v>3.2293844500120725E-2</v>
      </c>
      <c r="R83" s="28">
        <f t="shared" si="12"/>
        <v>5.0736703925696118E-2</v>
      </c>
      <c r="S83" s="28">
        <v>2.8029418856060813E-2</v>
      </c>
    </row>
    <row r="84" spans="3:19">
      <c r="C84" s="4" t="s">
        <v>1830</v>
      </c>
      <c r="D84" s="4" t="s">
        <v>1830</v>
      </c>
      <c r="F84" s="29">
        <v>4.6455528608368383E-3</v>
      </c>
      <c r="G84" s="29">
        <v>4.6455528608368383E-3</v>
      </c>
      <c r="H84" s="29">
        <v>1.4983209952565154E-2</v>
      </c>
      <c r="I84" s="29">
        <f t="shared" ref="I84:K85" si="13">H84</f>
        <v>1.4983209952565154E-2</v>
      </c>
      <c r="J84" s="29">
        <f t="shared" si="13"/>
        <v>1.4983209952565154E-2</v>
      </c>
      <c r="K84" s="29">
        <f t="shared" si="13"/>
        <v>1.4983209952565154E-2</v>
      </c>
      <c r="L84" s="29">
        <v>1.1259559875184644E-2</v>
      </c>
      <c r="M84" s="29">
        <f t="shared" ref="M84:O85" si="14">L84</f>
        <v>1.1259559875184644E-2</v>
      </c>
      <c r="N84" s="29">
        <f t="shared" si="14"/>
        <v>1.1259559875184644E-2</v>
      </c>
      <c r="O84" s="29">
        <f t="shared" si="14"/>
        <v>1.1259559875184644E-2</v>
      </c>
      <c r="P84" s="29">
        <v>9.9373710080662512E-3</v>
      </c>
      <c r="Q84" s="29">
        <v>9.9399999999999992E-3</v>
      </c>
      <c r="R84" s="29">
        <v>9.9399999999999992E-3</v>
      </c>
      <c r="S84" s="29">
        <v>9.9373710080662512E-3</v>
      </c>
    </row>
    <row r="85" spans="3:19">
      <c r="C85" s="4" t="s">
        <v>1831</v>
      </c>
      <c r="D85" s="4" t="s">
        <v>1831</v>
      </c>
      <c r="F85" s="29">
        <v>0.02</v>
      </c>
      <c r="G85" s="29">
        <v>0.02</v>
      </c>
      <c r="H85" s="29">
        <v>2.0742044438053059E-3</v>
      </c>
      <c r="I85" s="29">
        <f t="shared" si="13"/>
        <v>2.0742044438053059E-3</v>
      </c>
      <c r="J85" s="29">
        <f t="shared" si="13"/>
        <v>2.0742044438053059E-3</v>
      </c>
      <c r="K85" s="29">
        <f t="shared" si="13"/>
        <v>2.0742044438053059E-3</v>
      </c>
      <c r="L85" s="29">
        <v>-7.7226627879463574E-3</v>
      </c>
      <c r="M85" s="29">
        <f t="shared" si="14"/>
        <v>-7.7226627879463574E-3</v>
      </c>
      <c r="N85" s="29">
        <f t="shared" si="14"/>
        <v>-7.7226627879463574E-3</v>
      </c>
      <c r="O85" s="29">
        <f t="shared" si="14"/>
        <v>-7.7226627879463574E-3</v>
      </c>
      <c r="P85" s="29">
        <v>3.1375526105546538E-2</v>
      </c>
      <c r="Q85" s="29">
        <v>3.1280000000000002E-2</v>
      </c>
      <c r="R85" s="29">
        <v>3.1280000000000002E-2</v>
      </c>
      <c r="S85" s="29">
        <v>3.1280000000000002E-2</v>
      </c>
    </row>
    <row r="86" spans="3:19">
      <c r="C86" s="30" t="s">
        <v>1832</v>
      </c>
      <c r="D86" s="30" t="s">
        <v>1832</v>
      </c>
      <c r="F86" s="31">
        <v>0</v>
      </c>
      <c r="G86" s="31">
        <v>-5.0000000000000001E-3</v>
      </c>
      <c r="H86" s="31">
        <v>-5.0000000000000001E-3</v>
      </c>
      <c r="I86" s="31">
        <v>-4.3759539808893681E-3</v>
      </c>
      <c r="J86" s="31">
        <v>-5.1046432915200579E-3</v>
      </c>
      <c r="K86" s="31">
        <v>-4.2813817810986787E-3</v>
      </c>
      <c r="L86" s="31">
        <v>-2.759826419894609E-3</v>
      </c>
      <c r="M86" s="31">
        <v>-7.3808942504114371E-3</v>
      </c>
      <c r="N86" s="31">
        <v>-6.3949268391151086E-3</v>
      </c>
      <c r="O86" s="31">
        <v>1.0250586778218801E-2</v>
      </c>
      <c r="P86" s="31">
        <v>-1.2977699236765597E-2</v>
      </c>
      <c r="Q86" s="31">
        <v>-8.9261554998792784E-3</v>
      </c>
      <c r="R86" s="31">
        <v>9.5167039256961183E-3</v>
      </c>
      <c r="S86" s="31">
        <v>-1.3187952152005439E-2</v>
      </c>
    </row>
    <row r="88" spans="3:19">
      <c r="C88" s="6" t="s">
        <v>113</v>
      </c>
      <c r="D88" s="6" t="s">
        <v>113</v>
      </c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</row>
    <row r="89" spans="3:19" ht="3.6" customHeight="1"/>
    <row r="90" spans="3:19">
      <c r="C90" s="17" t="s">
        <v>1835</v>
      </c>
      <c r="D90" s="17" t="s">
        <v>1836</v>
      </c>
      <c r="F90" s="18">
        <f>G90-1</f>
        <v>2013</v>
      </c>
      <c r="G90" s="18">
        <f>H90-1</f>
        <v>2014</v>
      </c>
      <c r="H90" s="18">
        <f>I90-1</f>
        <v>2015</v>
      </c>
      <c r="I90" s="18">
        <f>J90-1</f>
        <v>2016</v>
      </c>
      <c r="J90" s="18">
        <v>2017</v>
      </c>
      <c r="K90" s="18">
        <f>J90+1</f>
        <v>2018</v>
      </c>
      <c r="L90" s="18">
        <f t="shared" ref="L90:S90" si="15">K90+1</f>
        <v>2019</v>
      </c>
      <c r="M90" s="18">
        <f t="shared" si="15"/>
        <v>2020</v>
      </c>
      <c r="N90" s="18">
        <f t="shared" si="15"/>
        <v>2021</v>
      </c>
      <c r="O90" s="18">
        <f t="shared" si="15"/>
        <v>2022</v>
      </c>
      <c r="P90" s="18">
        <f t="shared" si="15"/>
        <v>2023</v>
      </c>
      <c r="Q90" s="18">
        <f t="shared" si="15"/>
        <v>2024</v>
      </c>
      <c r="R90" s="18">
        <f t="shared" si="15"/>
        <v>2025</v>
      </c>
      <c r="S90" s="18">
        <f t="shared" si="15"/>
        <v>2026</v>
      </c>
    </row>
    <row r="91" spans="3:19">
      <c r="C91" s="4" t="s">
        <v>1786</v>
      </c>
      <c r="D91" s="4" t="s">
        <v>1787</v>
      </c>
      <c r="F91" s="19" t="s">
        <v>1788</v>
      </c>
      <c r="G91" s="20" t="s">
        <v>1789</v>
      </c>
      <c r="H91" s="20" t="s">
        <v>1789</v>
      </c>
      <c r="I91" s="20" t="s">
        <v>1789</v>
      </c>
      <c r="J91" s="20" t="s">
        <v>1789</v>
      </c>
      <c r="K91" s="20" t="s">
        <v>1789</v>
      </c>
      <c r="L91" s="20" t="s">
        <v>1789</v>
      </c>
      <c r="M91" s="19" t="s">
        <v>1837</v>
      </c>
      <c r="N91" s="20" t="s">
        <v>1789</v>
      </c>
      <c r="O91" s="20" t="s">
        <v>1789</v>
      </c>
      <c r="P91" s="19" t="s">
        <v>1788</v>
      </c>
      <c r="Q91" s="20" t="s">
        <v>1789</v>
      </c>
      <c r="R91" s="20" t="s">
        <v>1789</v>
      </c>
      <c r="S91" s="20" t="s">
        <v>1789</v>
      </c>
    </row>
    <row r="92" spans="3:19">
      <c r="C92" s="4" t="s">
        <v>2072</v>
      </c>
      <c r="D92" s="4" t="s">
        <v>2072</v>
      </c>
      <c r="F92" s="21">
        <v>1809.6082017705767</v>
      </c>
      <c r="G92" s="21"/>
      <c r="H92" s="21"/>
      <c r="I92" s="21"/>
      <c r="J92" s="21"/>
      <c r="K92" s="21"/>
      <c r="L92" s="21"/>
      <c r="M92" s="21">
        <v>5971.7990563462499</v>
      </c>
      <c r="N92" s="21"/>
      <c r="O92" s="21"/>
      <c r="P92" s="21">
        <v>8472.870626231017</v>
      </c>
      <c r="Q92" s="21"/>
      <c r="R92" s="21"/>
      <c r="S92" s="21"/>
    </row>
    <row r="93" spans="3:19">
      <c r="C93" s="4" t="s">
        <v>2070</v>
      </c>
      <c r="D93" s="4" t="s">
        <v>2071</v>
      </c>
      <c r="F93" s="21">
        <v>617.1684249865981</v>
      </c>
      <c r="G93" s="21"/>
      <c r="H93" s="21"/>
      <c r="I93" s="21"/>
      <c r="J93" s="21"/>
      <c r="K93" s="21"/>
      <c r="L93" s="21"/>
      <c r="M93" s="21">
        <v>2701.7763821916064</v>
      </c>
      <c r="N93" s="21"/>
      <c r="O93" s="21"/>
      <c r="P93" s="21">
        <v>4253.0899149336556</v>
      </c>
      <c r="Q93" s="21"/>
      <c r="R93" s="21"/>
      <c r="S93" s="21"/>
    </row>
    <row r="94" spans="3:19">
      <c r="C94" s="4" t="s">
        <v>1790</v>
      </c>
      <c r="D94" s="4" t="s">
        <v>1791</v>
      </c>
      <c r="F94" s="21">
        <v>317.73632591177255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1671.301647107229</v>
      </c>
      <c r="N94" s="21">
        <v>0</v>
      </c>
      <c r="O94" s="21">
        <v>0</v>
      </c>
      <c r="P94" s="21">
        <v>3102.549072619659</v>
      </c>
      <c r="Q94" s="21">
        <v>0</v>
      </c>
      <c r="R94" s="21">
        <v>0</v>
      </c>
      <c r="S94" s="21">
        <v>0</v>
      </c>
    </row>
    <row r="95" spans="3:19">
      <c r="C95" s="23" t="s">
        <v>1838</v>
      </c>
      <c r="D95" s="23" t="s">
        <v>1839</v>
      </c>
      <c r="F95" s="21"/>
      <c r="G95" s="22"/>
      <c r="H95" s="22"/>
      <c r="I95" s="22"/>
      <c r="J95" s="21"/>
      <c r="K95" s="22"/>
      <c r="L95" s="22"/>
      <c r="M95" s="22"/>
      <c r="N95" s="21"/>
      <c r="O95" s="22"/>
      <c r="P95" s="22"/>
      <c r="Q95" s="22"/>
      <c r="R95" s="22"/>
      <c r="S95" s="22"/>
    </row>
    <row r="96" spans="3:19">
      <c r="C96" s="23" t="s">
        <v>1840</v>
      </c>
      <c r="D96" s="23" t="s">
        <v>1841</v>
      </c>
      <c r="F96" s="21"/>
      <c r="G96" s="22"/>
      <c r="H96" s="22"/>
      <c r="I96" s="22"/>
      <c r="J96" s="21"/>
      <c r="K96" s="22"/>
      <c r="L96" s="22"/>
      <c r="M96" s="22"/>
      <c r="N96" s="21"/>
      <c r="O96" s="22"/>
      <c r="P96" s="22"/>
      <c r="Q96" s="22"/>
      <c r="R96" s="22"/>
      <c r="S96" s="22"/>
    </row>
    <row r="98" spans="3:19">
      <c r="C98" s="24" t="s">
        <v>1792</v>
      </c>
      <c r="D98" s="24" t="s">
        <v>1793</v>
      </c>
      <c r="E98" s="23"/>
      <c r="F98" s="25">
        <f>SUM(F99:F101)</f>
        <v>294.54463629895469</v>
      </c>
      <c r="G98" s="25">
        <f>SUM(G99:G101)</f>
        <v>0</v>
      </c>
      <c r="H98" s="25">
        <f>SUM(H99:H101)</f>
        <v>0</v>
      </c>
      <c r="I98" s="25">
        <f>SUM(I99:I101)</f>
        <v>0</v>
      </c>
      <c r="J98" s="25">
        <f>SUM(J99:J101)</f>
        <v>0</v>
      </c>
      <c r="K98" s="25">
        <f t="shared" ref="K98:P98" si="16">SUM(K99:K101)</f>
        <v>0</v>
      </c>
      <c r="L98" s="25">
        <f t="shared" si="16"/>
        <v>0</v>
      </c>
      <c r="M98" s="25">
        <f t="shared" si="16"/>
        <v>486.95731739961258</v>
      </c>
      <c r="N98" s="25">
        <f t="shared" si="16"/>
        <v>0</v>
      </c>
      <c r="O98" s="25">
        <f t="shared" si="16"/>
        <v>0</v>
      </c>
      <c r="P98" s="25">
        <f t="shared" si="16"/>
        <v>609.61827390614371</v>
      </c>
      <c r="Q98" s="25">
        <f>SUM(Q99:Q101)</f>
        <v>0</v>
      </c>
      <c r="R98" s="25">
        <f>SUM(R99:R101)</f>
        <v>0</v>
      </c>
      <c r="S98" s="25">
        <f>SUM(S99:S101)</f>
        <v>0</v>
      </c>
    </row>
    <row r="99" spans="3:19">
      <c r="C99" s="4" t="s">
        <v>1794</v>
      </c>
      <c r="D99" s="4" t="s">
        <v>1795</v>
      </c>
      <c r="F99" s="5">
        <v>284.32433562990241</v>
      </c>
      <c r="G99" s="5"/>
      <c r="H99" s="5"/>
      <c r="I99" s="5"/>
      <c r="J99" s="5"/>
      <c r="K99" s="5"/>
      <c r="L99" s="5"/>
      <c r="M99" s="5">
        <v>486.95731739961258</v>
      </c>
      <c r="N99" s="5"/>
      <c r="O99" s="5"/>
      <c r="P99" s="5">
        <v>609.61827390614371</v>
      </c>
      <c r="Q99" s="5"/>
      <c r="R99" s="5"/>
      <c r="S99" s="5"/>
    </row>
    <row r="100" spans="3:19">
      <c r="C100" s="4" t="s">
        <v>1796</v>
      </c>
      <c r="D100" s="4" t="s">
        <v>1797</v>
      </c>
      <c r="F100" s="5">
        <v>1.5374332694116672</v>
      </c>
      <c r="G100" s="5"/>
      <c r="H100" s="5"/>
      <c r="I100" s="5"/>
      <c r="J100" s="5"/>
      <c r="K100" s="5"/>
      <c r="L100" s="5"/>
      <c r="M100" s="5">
        <v>0</v>
      </c>
      <c r="N100" s="5"/>
      <c r="O100" s="5"/>
      <c r="P100" s="5">
        <v>0</v>
      </c>
      <c r="Q100" s="5"/>
      <c r="R100" s="5"/>
      <c r="S100" s="5"/>
    </row>
    <row r="101" spans="3:19">
      <c r="C101" s="4" t="s">
        <v>1798</v>
      </c>
      <c r="D101" s="4" t="s">
        <v>1799</v>
      </c>
      <c r="F101" s="5">
        <v>8.6828673996406103</v>
      </c>
      <c r="G101" s="5"/>
      <c r="H101" s="5"/>
      <c r="I101" s="5"/>
      <c r="J101" s="5"/>
      <c r="K101" s="5"/>
      <c r="L101" s="5"/>
      <c r="M101" s="5">
        <v>0</v>
      </c>
      <c r="N101" s="5"/>
      <c r="O101" s="5"/>
      <c r="P101" s="5">
        <v>0</v>
      </c>
      <c r="Q101" s="5"/>
      <c r="R101" s="5"/>
      <c r="S101" s="5"/>
    </row>
    <row r="102" spans="3:19">
      <c r="C102" s="24" t="s">
        <v>1800</v>
      </c>
      <c r="D102" s="24" t="s">
        <v>1801</v>
      </c>
      <c r="E102" s="23"/>
      <c r="F102" s="25">
        <f>SUM(F103:F105)</f>
        <v>54.004041049106206</v>
      </c>
      <c r="G102" s="25">
        <f>SUM(G103:G105)</f>
        <v>0</v>
      </c>
      <c r="H102" s="25">
        <f>SUM(H103:H105)</f>
        <v>0</v>
      </c>
      <c r="I102" s="25">
        <f>SUM(I103:I105)</f>
        <v>0</v>
      </c>
      <c r="J102" s="25">
        <f>SUM(J103:J105)</f>
        <v>0</v>
      </c>
      <c r="K102" s="25">
        <f t="shared" ref="K102:P102" si="17">SUM(K103:K105)</f>
        <v>0</v>
      </c>
      <c r="L102" s="25">
        <f t="shared" si="17"/>
        <v>0</v>
      </c>
      <c r="M102" s="25">
        <f t="shared" si="17"/>
        <v>387.15327247189668</v>
      </c>
      <c r="N102" s="25">
        <f t="shared" si="17"/>
        <v>0</v>
      </c>
      <c r="O102" s="25">
        <f t="shared" si="17"/>
        <v>0</v>
      </c>
      <c r="P102" s="25">
        <f t="shared" si="17"/>
        <v>660.69813349449225</v>
      </c>
      <c r="Q102" s="25">
        <f>SUM(Q103:Q105)</f>
        <v>0</v>
      </c>
      <c r="R102" s="25">
        <f>SUM(R103:R105)</f>
        <v>0</v>
      </c>
      <c r="S102" s="25">
        <f>SUM(S103:S105)</f>
        <v>0</v>
      </c>
    </row>
    <row r="103" spans="3:19">
      <c r="C103" s="4" t="s">
        <v>1802</v>
      </c>
      <c r="D103" s="4" t="s">
        <v>1803</v>
      </c>
      <c r="F103" s="5">
        <v>10.914162063474167</v>
      </c>
      <c r="G103" s="5"/>
      <c r="H103" s="5"/>
      <c r="I103" s="5"/>
      <c r="J103" s="5"/>
      <c r="K103" s="5"/>
      <c r="L103" s="5"/>
      <c r="M103" s="5">
        <v>211.50678299050853</v>
      </c>
      <c r="N103" s="5"/>
      <c r="O103" s="5"/>
      <c r="P103" s="5">
        <v>393.76128567778176</v>
      </c>
      <c r="Q103" s="5"/>
      <c r="R103" s="5"/>
      <c r="S103" s="5"/>
    </row>
    <row r="104" spans="3:19">
      <c r="C104" s="4" t="s">
        <v>1804</v>
      </c>
      <c r="D104" s="4" t="s">
        <v>1805</v>
      </c>
      <c r="F104" s="5">
        <v>24.625020156965263</v>
      </c>
      <c r="G104" s="5"/>
      <c r="H104" s="5"/>
      <c r="I104" s="5"/>
      <c r="J104" s="5"/>
      <c r="K104" s="5"/>
      <c r="L104" s="5"/>
      <c r="M104" s="5">
        <v>105.63945654369184</v>
      </c>
      <c r="N104" s="5"/>
      <c r="O104" s="5"/>
      <c r="P104" s="5">
        <v>169.27297861435949</v>
      </c>
      <c r="Q104" s="5"/>
      <c r="R104" s="5"/>
      <c r="S104" s="5"/>
    </row>
    <row r="105" spans="3:19">
      <c r="C105" s="4" t="s">
        <v>1806</v>
      </c>
      <c r="D105" s="4" t="s">
        <v>1807</v>
      </c>
      <c r="F105" s="5">
        <v>18.464858828666777</v>
      </c>
      <c r="G105" s="5"/>
      <c r="H105" s="5"/>
      <c r="I105" s="5"/>
      <c r="J105" s="5"/>
      <c r="K105" s="5"/>
      <c r="L105" s="5"/>
      <c r="M105" s="5">
        <v>70.007032937696309</v>
      </c>
      <c r="N105" s="5"/>
      <c r="O105" s="5"/>
      <c r="P105" s="5">
        <v>97.663869202351037</v>
      </c>
      <c r="Q105" s="5"/>
      <c r="R105" s="5"/>
      <c r="S105" s="5"/>
    </row>
    <row r="106" spans="3:19">
      <c r="C106" s="24" t="s">
        <v>1808</v>
      </c>
      <c r="D106" s="24" t="s">
        <v>1808</v>
      </c>
      <c r="E106" s="23"/>
      <c r="F106" s="25">
        <f t="shared" ref="F106:P106" si="18">F102+F98</f>
        <v>348.54867734806089</v>
      </c>
      <c r="G106" s="25">
        <f t="shared" si="18"/>
        <v>0</v>
      </c>
      <c r="H106" s="25">
        <f t="shared" si="18"/>
        <v>0</v>
      </c>
      <c r="I106" s="25">
        <f t="shared" si="18"/>
        <v>0</v>
      </c>
      <c r="J106" s="25">
        <f t="shared" si="18"/>
        <v>0</v>
      </c>
      <c r="K106" s="25">
        <f t="shared" si="18"/>
        <v>0</v>
      </c>
      <c r="L106" s="25">
        <f t="shared" si="18"/>
        <v>0</v>
      </c>
      <c r="M106" s="25">
        <f t="shared" si="18"/>
        <v>874.11058987150932</v>
      </c>
      <c r="N106" s="25">
        <f t="shared" si="18"/>
        <v>0</v>
      </c>
      <c r="O106" s="25">
        <f t="shared" si="18"/>
        <v>0</v>
      </c>
      <c r="P106" s="25">
        <f t="shared" si="18"/>
        <v>1270.3164074006359</v>
      </c>
      <c r="Q106" s="25">
        <f>Q102+Q98</f>
        <v>0</v>
      </c>
      <c r="R106" s="25">
        <f>R102+R98</f>
        <v>0</v>
      </c>
      <c r="S106" s="25">
        <f>S102+S98</f>
        <v>0</v>
      </c>
    </row>
    <row r="107" spans="3:19">
      <c r="C107" s="4" t="s">
        <v>1809</v>
      </c>
      <c r="D107" s="4" t="s">
        <v>1810</v>
      </c>
      <c r="F107" s="5">
        <f>F106*(1-F121-F123)</f>
        <v>341.0707010120413</v>
      </c>
      <c r="G107" s="5"/>
      <c r="H107" s="5"/>
      <c r="I107" s="5"/>
      <c r="J107" s="5"/>
      <c r="K107" s="5"/>
      <c r="L107" s="5"/>
      <c r="M107" s="5">
        <v>867.03008774148918</v>
      </c>
      <c r="N107" s="5"/>
      <c r="O107" s="5"/>
      <c r="P107" s="5">
        <f>P106*(1-P121-P123)</f>
        <v>1260.6014016204083</v>
      </c>
      <c r="Q107" s="5"/>
      <c r="R107" s="5"/>
      <c r="S107" s="5"/>
    </row>
    <row r="108" spans="3:19">
      <c r="C108" s="4" t="s">
        <v>1811</v>
      </c>
      <c r="D108" s="4" t="s">
        <v>1812</v>
      </c>
      <c r="F108" s="5">
        <v>0</v>
      </c>
      <c r="G108" s="5"/>
      <c r="H108" s="5"/>
      <c r="I108" s="5"/>
      <c r="J108" s="5"/>
      <c r="K108" s="5"/>
      <c r="L108" s="5"/>
      <c r="M108" s="5">
        <v>0</v>
      </c>
      <c r="N108" s="5"/>
      <c r="O108" s="5"/>
      <c r="P108" s="5">
        <v>25.654544837630478</v>
      </c>
      <c r="Q108" s="5"/>
      <c r="R108" s="5"/>
      <c r="S108" s="5"/>
    </row>
    <row r="109" spans="3:19">
      <c r="C109" s="500" t="s">
        <v>1813</v>
      </c>
      <c r="D109" s="500" t="s">
        <v>1814</v>
      </c>
      <c r="F109" s="501">
        <v>7.0009513150682228</v>
      </c>
      <c r="G109" s="501"/>
      <c r="H109" s="501"/>
      <c r="I109" s="501"/>
      <c r="J109" s="501"/>
      <c r="K109" s="501"/>
      <c r="L109" s="501"/>
      <c r="M109" s="501">
        <v>12.370088395344712</v>
      </c>
      <c r="N109" s="501"/>
      <c r="O109" s="501"/>
      <c r="P109" s="501">
        <v>24.265559671512371</v>
      </c>
      <c r="Q109" s="5"/>
      <c r="R109" s="5"/>
      <c r="S109" s="5"/>
    </row>
    <row r="110" spans="3:19">
      <c r="C110" s="500" t="s">
        <v>1815</v>
      </c>
      <c r="D110" s="500" t="s">
        <v>1816</v>
      </c>
      <c r="F110" s="501">
        <v>0</v>
      </c>
      <c r="G110" s="501"/>
      <c r="H110" s="501"/>
      <c r="I110" s="501"/>
      <c r="J110" s="501"/>
      <c r="K110" s="501"/>
      <c r="L110" s="501"/>
      <c r="M110" s="501">
        <v>2.004903511214605</v>
      </c>
      <c r="N110" s="501"/>
      <c r="O110" s="501"/>
      <c r="P110" s="501">
        <v>6.0165953124255553</v>
      </c>
      <c r="Q110" s="5"/>
      <c r="R110" s="5"/>
      <c r="S110" s="5"/>
    </row>
    <row r="111" spans="3:19">
      <c r="C111" s="500" t="s">
        <v>1817</v>
      </c>
      <c r="D111" s="500" t="s">
        <v>1818</v>
      </c>
      <c r="F111" s="501">
        <v>0</v>
      </c>
      <c r="G111" s="501"/>
      <c r="H111" s="501"/>
      <c r="I111" s="501"/>
      <c r="J111" s="501"/>
      <c r="K111" s="501"/>
      <c r="L111" s="501"/>
      <c r="M111" s="501">
        <v>5.2840518841765514</v>
      </c>
      <c r="N111" s="501"/>
      <c r="O111" s="501"/>
      <c r="P111" s="501">
        <v>6.9179807315428237</v>
      </c>
      <c r="Q111" s="5"/>
      <c r="R111" s="5"/>
      <c r="S111" s="5"/>
    </row>
    <row r="112" spans="3:19">
      <c r="C112" s="4" t="s">
        <v>1819</v>
      </c>
      <c r="D112" s="4" t="s">
        <v>1819</v>
      </c>
      <c r="F112" s="5">
        <f>SUM(F109:F111)</f>
        <v>7.0009513150682228</v>
      </c>
      <c r="G112" s="5"/>
      <c r="H112" s="5"/>
      <c r="I112" s="5"/>
      <c r="J112" s="5"/>
      <c r="K112" s="5"/>
      <c r="L112" s="5"/>
      <c r="M112" s="5">
        <f>SUM(M109:M111)</f>
        <v>19.659043790735868</v>
      </c>
      <c r="N112" s="5"/>
      <c r="O112" s="5"/>
      <c r="P112" s="5">
        <f>SUM(P109:P111)</f>
        <v>37.200135715480748</v>
      </c>
      <c r="Q112" s="5"/>
      <c r="R112" s="5"/>
      <c r="S112" s="5"/>
    </row>
    <row r="113" spans="3:19">
      <c r="C113" s="502" t="s">
        <v>1820</v>
      </c>
      <c r="D113" s="502" t="s">
        <v>1821</v>
      </c>
      <c r="F113" s="5">
        <f>SUM(F100:F101)</f>
        <v>10.220300669052278</v>
      </c>
      <c r="G113" s="5">
        <v>0</v>
      </c>
      <c r="H113" s="5">
        <v>0</v>
      </c>
      <c r="I113" s="5">
        <v>0</v>
      </c>
      <c r="J113" s="5">
        <v>20.318959835833024</v>
      </c>
      <c r="K113" s="5">
        <v>24.973481188447682</v>
      </c>
      <c r="L113" s="5">
        <v>22.884466331361288</v>
      </c>
      <c r="M113" s="5">
        <v>25.117282710503282</v>
      </c>
      <c r="N113" s="5">
        <v>32.75759046574337</v>
      </c>
      <c r="O113" s="5">
        <v>23.977579322116075</v>
      </c>
      <c r="P113" s="5">
        <v>27.24787302655724</v>
      </c>
      <c r="Q113" s="5">
        <v>27.342241133290578</v>
      </c>
      <c r="R113" s="5">
        <v>34.757888995319135</v>
      </c>
      <c r="S113" s="5"/>
    </row>
    <row r="114" spans="3:19">
      <c r="C114" s="26" t="s">
        <v>1822</v>
      </c>
      <c r="D114" s="26" t="s">
        <v>1823</v>
      </c>
      <c r="E114" s="23"/>
      <c r="F114" s="27">
        <f>F107-F112+F108</f>
        <v>334.06974969697308</v>
      </c>
      <c r="G114" s="27">
        <v>363.72680019390731</v>
      </c>
      <c r="H114" s="27">
        <v>405.83930850460388</v>
      </c>
      <c r="I114" s="27">
        <v>455.66222500942314</v>
      </c>
      <c r="J114" s="27">
        <v>516.53884145230961</v>
      </c>
      <c r="K114" s="27">
        <v>498.60438726773447</v>
      </c>
      <c r="L114" s="27">
        <v>522.33639076363374</v>
      </c>
      <c r="M114" s="27">
        <f>M107-M112+M108</f>
        <v>847.37104395075335</v>
      </c>
      <c r="N114" s="27">
        <v>1001.2677042016904</v>
      </c>
      <c r="O114" s="27">
        <v>1015.4933443707814</v>
      </c>
      <c r="P114" s="27">
        <f>P107-P112+P108</f>
        <v>1249.0558107425582</v>
      </c>
      <c r="Q114" s="27">
        <v>1370.1741687282954</v>
      </c>
      <c r="R114" s="27">
        <v>1510.0095681590967</v>
      </c>
      <c r="S114" s="27"/>
    </row>
    <row r="115" spans="3:19">
      <c r="C115" s="4" t="s">
        <v>1824</v>
      </c>
      <c r="D115" s="4" t="s">
        <v>1825</v>
      </c>
      <c r="F115" s="5">
        <v>2917.5428430000024</v>
      </c>
      <c r="G115" s="5">
        <v>3104.2527025414915</v>
      </c>
      <c r="H115" s="5">
        <v>3224.5680260000013</v>
      </c>
      <c r="I115" s="5">
        <v>3434.9137370000017</v>
      </c>
      <c r="J115" s="5">
        <v>3515.8133170000033</v>
      </c>
      <c r="K115" s="5">
        <v>3681.6613679999973</v>
      </c>
      <c r="L115" s="5">
        <v>3718.9874739999973</v>
      </c>
      <c r="M115" s="5">
        <v>3759.0740119999982</v>
      </c>
      <c r="N115" s="5">
        <v>4037.8642280000031</v>
      </c>
      <c r="O115" s="5">
        <v>3909.0403820000006</v>
      </c>
      <c r="P115" s="5">
        <v>4076.3706089999964</v>
      </c>
      <c r="Q115" s="5">
        <v>4364.6845560000038</v>
      </c>
      <c r="R115" s="5">
        <v>4624.5817749999924</v>
      </c>
      <c r="S115" s="5"/>
    </row>
    <row r="116" spans="3:19">
      <c r="C116" s="26" t="s">
        <v>1826</v>
      </c>
      <c r="D116" s="26" t="s">
        <v>1827</v>
      </c>
      <c r="E116" s="23"/>
      <c r="F116" s="27">
        <f t="shared" ref="F116:R116" si="19">IFERROR(F114/F115*1000,"N/A")</f>
        <v>114.50380257431333</v>
      </c>
      <c r="G116" s="27">
        <f t="shared" si="19"/>
        <v>117.17048676356777</v>
      </c>
      <c r="H116" s="27">
        <f t="shared" si="19"/>
        <v>125.85850421894735</v>
      </c>
      <c r="I116" s="27">
        <f t="shared" si="19"/>
        <v>132.65608975886281</v>
      </c>
      <c r="J116" s="27">
        <f t="shared" si="19"/>
        <v>146.9187339824588</v>
      </c>
      <c r="K116" s="27">
        <f t="shared" si="19"/>
        <v>135.4291819452676</v>
      </c>
      <c r="L116" s="27">
        <f t="shared" si="19"/>
        <v>140.45123690664897</v>
      </c>
      <c r="M116" s="27">
        <f t="shared" si="19"/>
        <v>225.42015433740116</v>
      </c>
      <c r="N116" s="27">
        <f t="shared" si="19"/>
        <v>247.96963138545868</v>
      </c>
      <c r="O116" s="27">
        <f t="shared" si="19"/>
        <v>259.78072496944117</v>
      </c>
      <c r="P116" s="32">
        <f t="shared" si="19"/>
        <v>306.41370242068666</v>
      </c>
      <c r="Q116" s="32">
        <f t="shared" si="19"/>
        <v>313.92283935954941</v>
      </c>
      <c r="R116" s="32">
        <f t="shared" si="19"/>
        <v>326.51808133700894</v>
      </c>
      <c r="S116" s="32"/>
    </row>
    <row r="117" spans="3:19" ht="4.5" customHeight="1"/>
    <row r="118" spans="3:19">
      <c r="C118" s="26" t="s">
        <v>2073</v>
      </c>
      <c r="D118" s="26" t="s">
        <v>2073</v>
      </c>
      <c r="E118" s="23"/>
      <c r="F118" s="27">
        <v>152.71463178520639</v>
      </c>
      <c r="G118" s="27">
        <v>139.98948551019399</v>
      </c>
      <c r="H118" s="27">
        <v>136.64431185791861</v>
      </c>
      <c r="I118" s="27">
        <v>165.14028520549041</v>
      </c>
      <c r="J118" s="27">
        <v>170.015030308468</v>
      </c>
      <c r="K118" s="27">
        <v>189.89342600245251</v>
      </c>
      <c r="L118" s="27">
        <v>178.14394376772208</v>
      </c>
      <c r="M118" s="27">
        <v>185.91489349512483</v>
      </c>
      <c r="N118" s="27">
        <v>201.86324427607681</v>
      </c>
      <c r="O118" s="27">
        <v>226.6325035092799</v>
      </c>
      <c r="P118" s="27">
        <v>239.52305321199117</v>
      </c>
      <c r="Q118" s="27">
        <v>238.68217333598838</v>
      </c>
      <c r="R118" s="27">
        <v>260.10100936075725</v>
      </c>
      <c r="S118" s="27"/>
    </row>
    <row r="119" spans="3:19" ht="4.5" customHeight="1"/>
    <row r="120" spans="3:19">
      <c r="C120" s="24" t="s">
        <v>1828</v>
      </c>
      <c r="D120" s="24" t="s">
        <v>1829</v>
      </c>
      <c r="F120" s="28">
        <f>SUM(F121:F123)</f>
        <v>4.145461114044649E-2</v>
      </c>
      <c r="G120" s="28">
        <f>SUM(G121:G123)</f>
        <v>3.8299999999999994E-2</v>
      </c>
      <c r="H120" s="28">
        <f>SUM(H121:H123)</f>
        <v>4.1499999999999995E-2</v>
      </c>
      <c r="I120" s="28">
        <f>SUM(I121:I123)</f>
        <v>4.0891666666666666E-2</v>
      </c>
      <c r="J120" s="28">
        <f>SUM(J121:J123)</f>
        <v>1.3599999999999998E-2</v>
      </c>
      <c r="K120" s="28">
        <f t="shared" ref="K120:R120" si="20">SUM(K121:K123)</f>
        <v>-1.0891243024145302E-3</v>
      </c>
      <c r="L120" s="28">
        <f t="shared" si="20"/>
        <v>2.515670277148334E-3</v>
      </c>
      <c r="M120" s="28">
        <f t="shared" si="20"/>
        <v>8.2677213614064243E-3</v>
      </c>
      <c r="N120" s="28">
        <f t="shared" si="20"/>
        <v>-2.1324684712107204E-3</v>
      </c>
      <c r="O120" s="28">
        <f t="shared" si="20"/>
        <v>1.0010034343415053E-2</v>
      </c>
      <c r="P120" s="28">
        <f t="shared" si="20"/>
        <v>1.2951011235250384E-2</v>
      </c>
      <c r="Q120" s="28">
        <f t="shared" si="20"/>
        <v>1.7017892322974588E-2</v>
      </c>
      <c r="R120" s="28">
        <f t="shared" si="20"/>
        <v>1.768737218264748E-2</v>
      </c>
      <c r="S120" s="28"/>
    </row>
    <row r="121" spans="3:19">
      <c r="C121" s="4" t="s">
        <v>1830</v>
      </c>
      <c r="D121" s="4" t="s">
        <v>1830</v>
      </c>
      <c r="F121" s="29">
        <v>2.1454611140446493E-2</v>
      </c>
      <c r="G121" s="29">
        <v>2.1499999999999998E-2</v>
      </c>
      <c r="H121" s="29">
        <v>2.1499999999999998E-2</v>
      </c>
      <c r="I121" s="29">
        <v>2.3291666666666665E-2</v>
      </c>
      <c r="J121" s="29">
        <v>2.1499999999999998E-2</v>
      </c>
      <c r="K121" s="29">
        <v>0</v>
      </c>
      <c r="L121" s="29">
        <v>0</v>
      </c>
      <c r="M121" s="29">
        <v>0</v>
      </c>
      <c r="N121" s="29">
        <v>0</v>
      </c>
      <c r="O121" s="29">
        <v>0</v>
      </c>
      <c r="P121" s="29">
        <v>8.3127659055259387E-3</v>
      </c>
      <c r="Q121" s="29">
        <v>1.1148312615236303E-2</v>
      </c>
      <c r="R121" s="29">
        <v>1.3242983554546202E-2</v>
      </c>
      <c r="S121" s="29"/>
    </row>
    <row r="122" spans="3:19">
      <c r="C122" s="4" t="s">
        <v>1831</v>
      </c>
      <c r="D122" s="4" t="s">
        <v>1831</v>
      </c>
      <c r="F122" s="29">
        <v>0.02</v>
      </c>
      <c r="G122" s="29">
        <v>0.02</v>
      </c>
      <c r="H122" s="29">
        <v>0.02</v>
      </c>
      <c r="I122" s="29">
        <v>0.02</v>
      </c>
      <c r="J122" s="29">
        <v>0</v>
      </c>
      <c r="K122" s="29">
        <v>0</v>
      </c>
      <c r="L122" s="29">
        <v>0</v>
      </c>
      <c r="M122" s="29">
        <v>0</v>
      </c>
      <c r="N122" s="29">
        <v>0</v>
      </c>
      <c r="O122" s="29">
        <v>0</v>
      </c>
      <c r="P122" s="29">
        <v>5.3033057316218242E-3</v>
      </c>
      <c r="Q122" s="29">
        <v>5.3E-3</v>
      </c>
      <c r="R122" s="29">
        <v>5.3E-3</v>
      </c>
      <c r="S122" s="29"/>
    </row>
    <row r="123" spans="3:19">
      <c r="C123" s="30" t="s">
        <v>1832</v>
      </c>
      <c r="D123" s="30" t="s">
        <v>1832</v>
      </c>
      <c r="F123" s="31">
        <v>0</v>
      </c>
      <c r="G123" s="31">
        <v>-3.2000000000000002E-3</v>
      </c>
      <c r="H123" s="31">
        <v>0</v>
      </c>
      <c r="I123" s="31">
        <v>-2.3999999999999998E-3</v>
      </c>
      <c r="J123" s="31">
        <v>-7.9000000000000008E-3</v>
      </c>
      <c r="K123" s="31">
        <v>-1.0891243024145302E-3</v>
      </c>
      <c r="L123" s="31">
        <v>2.515670277148334E-3</v>
      </c>
      <c r="M123" s="31">
        <v>8.2677213614064243E-3</v>
      </c>
      <c r="N123" s="31">
        <v>-2.1324684712107204E-3</v>
      </c>
      <c r="O123" s="31">
        <v>1.0010034343415053E-2</v>
      </c>
      <c r="P123" s="31">
        <v>-6.6506040189737853E-4</v>
      </c>
      <c r="Q123" s="31">
        <v>5.6957970773828634E-4</v>
      </c>
      <c r="R123" s="31">
        <v>-8.556113718987241E-4</v>
      </c>
      <c r="S123" s="31"/>
    </row>
    <row r="125" spans="3:19">
      <c r="C125" s="6" t="s">
        <v>116</v>
      </c>
      <c r="D125" s="6" t="s">
        <v>116</v>
      </c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</row>
    <row r="126" spans="3:19" ht="3.6" customHeight="1"/>
    <row r="127" spans="3:19">
      <c r="C127" s="17" t="s">
        <v>1835</v>
      </c>
      <c r="D127" s="17" t="s">
        <v>1836</v>
      </c>
      <c r="F127" s="18">
        <f>G127-1</f>
        <v>2013</v>
      </c>
      <c r="G127" s="18">
        <f>H127-1</f>
        <v>2014</v>
      </c>
      <c r="H127" s="18">
        <f>I127-1</f>
        <v>2015</v>
      </c>
      <c r="I127" s="18">
        <f>J127-1</f>
        <v>2016</v>
      </c>
      <c r="J127" s="18">
        <v>2017</v>
      </c>
      <c r="K127" s="18">
        <f>J127+1</f>
        <v>2018</v>
      </c>
      <c r="L127" s="18">
        <f t="shared" ref="L127:S127" si="21">K127+1</f>
        <v>2019</v>
      </c>
      <c r="M127" s="18">
        <f t="shared" si="21"/>
        <v>2020</v>
      </c>
      <c r="N127" s="18">
        <f t="shared" si="21"/>
        <v>2021</v>
      </c>
      <c r="O127" s="18">
        <f t="shared" si="21"/>
        <v>2022</v>
      </c>
      <c r="P127" s="18">
        <f t="shared" si="21"/>
        <v>2023</v>
      </c>
      <c r="Q127" s="18">
        <f t="shared" si="21"/>
        <v>2024</v>
      </c>
      <c r="R127" s="18">
        <f t="shared" si="21"/>
        <v>2025</v>
      </c>
      <c r="S127" s="18">
        <f t="shared" si="21"/>
        <v>2026</v>
      </c>
    </row>
    <row r="128" spans="3:19">
      <c r="C128" s="4" t="s">
        <v>1786</v>
      </c>
      <c r="D128" s="4" t="s">
        <v>1787</v>
      </c>
      <c r="F128" s="19" t="s">
        <v>1788</v>
      </c>
      <c r="G128" s="20" t="s">
        <v>1789</v>
      </c>
      <c r="H128" s="20" t="s">
        <v>1789</v>
      </c>
      <c r="I128" s="20" t="s">
        <v>1789</v>
      </c>
      <c r="J128" s="20" t="s">
        <v>1789</v>
      </c>
      <c r="K128" s="20" t="s">
        <v>1789</v>
      </c>
      <c r="L128" s="20" t="s">
        <v>1789</v>
      </c>
      <c r="M128" s="19" t="s">
        <v>1837</v>
      </c>
      <c r="N128" s="20" t="s">
        <v>1789</v>
      </c>
      <c r="O128" s="20" t="s">
        <v>1789</v>
      </c>
      <c r="P128" s="20" t="s">
        <v>1789</v>
      </c>
      <c r="Q128" s="19" t="s">
        <v>1788</v>
      </c>
      <c r="R128" s="20" t="s">
        <v>1789</v>
      </c>
      <c r="S128" s="20" t="s">
        <v>1789</v>
      </c>
    </row>
    <row r="129" spans="3:19">
      <c r="C129" s="4" t="s">
        <v>2072</v>
      </c>
      <c r="D129" s="4" t="s">
        <v>2072</v>
      </c>
      <c r="F129" s="21">
        <v>1697.8792021917673</v>
      </c>
      <c r="G129" s="21"/>
      <c r="H129" s="21"/>
      <c r="I129" s="21"/>
      <c r="J129" s="21"/>
      <c r="K129" s="21"/>
      <c r="L129" s="21"/>
      <c r="M129" s="21">
        <v>3521.6052700344981</v>
      </c>
      <c r="N129" s="21"/>
      <c r="O129" s="21"/>
      <c r="P129" s="21"/>
      <c r="Q129" s="21">
        <v>5576.6863781166003</v>
      </c>
      <c r="R129" s="21"/>
      <c r="S129" s="21"/>
    </row>
    <row r="130" spans="3:19">
      <c r="C130" s="4" t="s">
        <v>2070</v>
      </c>
      <c r="D130" s="4" t="s">
        <v>2071</v>
      </c>
      <c r="F130" s="21">
        <v>1086.4160757678355</v>
      </c>
      <c r="G130" s="21"/>
      <c r="H130" s="21"/>
      <c r="I130" s="21"/>
      <c r="J130" s="21"/>
      <c r="K130" s="21"/>
      <c r="L130" s="21"/>
      <c r="M130" s="21">
        <v>2436.8817930497198</v>
      </c>
      <c r="N130" s="21"/>
      <c r="O130" s="21"/>
      <c r="P130" s="21"/>
      <c r="Q130" s="21">
        <v>3945.2122059320886</v>
      </c>
      <c r="R130" s="21"/>
      <c r="S130" s="21"/>
    </row>
    <row r="131" spans="3:19">
      <c r="C131" s="4" t="s">
        <v>1790</v>
      </c>
      <c r="D131" s="4" t="s">
        <v>1791</v>
      </c>
      <c r="F131" s="21">
        <v>443.83680174447778</v>
      </c>
      <c r="G131" s="21">
        <v>0</v>
      </c>
      <c r="H131" s="21">
        <v>0</v>
      </c>
      <c r="I131" s="21">
        <v>0</v>
      </c>
      <c r="J131" s="21">
        <v>0</v>
      </c>
      <c r="K131" s="21">
        <v>0</v>
      </c>
      <c r="L131" s="21">
        <v>0</v>
      </c>
      <c r="M131" s="21">
        <v>1354.0702513288197</v>
      </c>
      <c r="N131" s="21">
        <v>0</v>
      </c>
      <c r="O131" s="21">
        <v>0</v>
      </c>
      <c r="P131" s="21"/>
      <c r="Q131" s="21">
        <v>2567.5198281197527</v>
      </c>
      <c r="R131" s="21">
        <v>0</v>
      </c>
      <c r="S131" s="21">
        <v>0</v>
      </c>
    </row>
    <row r="132" spans="3:19">
      <c r="C132" s="23" t="s">
        <v>1976</v>
      </c>
      <c r="D132" s="23" t="s">
        <v>1975</v>
      </c>
      <c r="F132" s="21"/>
      <c r="G132" s="22"/>
      <c r="H132" s="22"/>
      <c r="I132" s="22"/>
      <c r="J132" s="21"/>
      <c r="K132" s="22"/>
      <c r="L132" s="22"/>
      <c r="M132" s="22"/>
      <c r="N132" s="21"/>
      <c r="O132" s="22"/>
      <c r="P132" s="22"/>
      <c r="Q132" s="22"/>
      <c r="R132" s="22"/>
      <c r="S132" s="22"/>
    </row>
    <row r="133" spans="3:19">
      <c r="C133" s="23" t="s">
        <v>1842</v>
      </c>
      <c r="D133" s="23" t="s">
        <v>1843</v>
      </c>
      <c r="F133" s="21"/>
      <c r="G133" s="22"/>
      <c r="H133" s="22"/>
      <c r="I133" s="22"/>
      <c r="J133" s="21"/>
      <c r="K133" s="22"/>
      <c r="L133" s="22"/>
      <c r="M133" s="22"/>
      <c r="N133" s="21"/>
      <c r="O133" s="22"/>
      <c r="P133" s="22"/>
      <c r="Q133" s="22"/>
      <c r="R133" s="22"/>
      <c r="S133" s="22"/>
    </row>
    <row r="134" spans="3:19" ht="4.5" customHeight="1"/>
    <row r="135" spans="3:19">
      <c r="C135" s="24" t="s">
        <v>1792</v>
      </c>
      <c r="D135" s="24" t="s">
        <v>1793</v>
      </c>
      <c r="E135" s="23"/>
      <c r="F135" s="25">
        <f>SUM(F136:F138)</f>
        <v>221.41709940006692</v>
      </c>
      <c r="G135" s="25">
        <f>SUM(G136:G138)</f>
        <v>0</v>
      </c>
      <c r="H135" s="25">
        <f>SUM(H136:H138)</f>
        <v>0</v>
      </c>
      <c r="I135" s="25">
        <f>SUM(I136:I138)</f>
        <v>0</v>
      </c>
      <c r="J135" s="25">
        <f>SUM(J136:J138)</f>
        <v>0</v>
      </c>
      <c r="K135" s="25">
        <f t="shared" ref="K135:Q135" si="22">SUM(K136:K138)</f>
        <v>0</v>
      </c>
      <c r="L135" s="25">
        <f t="shared" si="22"/>
        <v>0</v>
      </c>
      <c r="M135" s="25">
        <f t="shared" si="22"/>
        <v>377.74854972111672</v>
      </c>
      <c r="N135" s="25">
        <f t="shared" si="22"/>
        <v>0</v>
      </c>
      <c r="O135" s="25">
        <f t="shared" si="22"/>
        <v>0</v>
      </c>
      <c r="P135" s="25">
        <f t="shared" si="22"/>
        <v>0</v>
      </c>
      <c r="Q135" s="25">
        <f t="shared" si="22"/>
        <v>463.02102465007226</v>
      </c>
      <c r="R135" s="25">
        <f>SUM(R136:R138)</f>
        <v>0</v>
      </c>
      <c r="S135" s="25">
        <f>SUM(S136:S138)</f>
        <v>0</v>
      </c>
    </row>
    <row r="136" spans="3:19">
      <c r="C136" s="4" t="s">
        <v>1794</v>
      </c>
      <c r="D136" s="4" t="s">
        <v>1795</v>
      </c>
      <c r="F136" s="5">
        <v>212.88371596476739</v>
      </c>
      <c r="G136" s="5"/>
      <c r="H136" s="5"/>
      <c r="I136" s="5"/>
      <c r="J136" s="5"/>
      <c r="K136" s="5"/>
      <c r="L136" s="5"/>
      <c r="M136" s="5">
        <v>377.74854972111672</v>
      </c>
      <c r="N136" s="5"/>
      <c r="O136" s="5"/>
      <c r="P136" s="5"/>
      <c r="Q136" s="5">
        <v>463.02102465007226</v>
      </c>
      <c r="R136" s="5"/>
      <c r="S136" s="5"/>
    </row>
    <row r="137" spans="3:19">
      <c r="C137" s="4" t="s">
        <v>1796</v>
      </c>
      <c r="D137" s="4" t="s">
        <v>1797</v>
      </c>
      <c r="F137" s="5">
        <v>0.16376756299028078</v>
      </c>
      <c r="G137" s="5"/>
      <c r="H137" s="5"/>
      <c r="I137" s="5"/>
      <c r="J137" s="5"/>
      <c r="K137" s="5"/>
      <c r="L137" s="5"/>
      <c r="M137" s="5">
        <v>0</v>
      </c>
      <c r="N137" s="5"/>
      <c r="O137" s="5"/>
      <c r="P137" s="5"/>
      <c r="Q137" s="5"/>
      <c r="R137" s="5"/>
      <c r="S137" s="5"/>
    </row>
    <row r="138" spans="3:19">
      <c r="C138" s="4" t="s">
        <v>1798</v>
      </c>
      <c r="D138" s="4" t="s">
        <v>1799</v>
      </c>
      <c r="F138" s="5">
        <v>8.3696158723092502</v>
      </c>
      <c r="G138" s="5"/>
      <c r="H138" s="5"/>
      <c r="I138" s="5"/>
      <c r="J138" s="5"/>
      <c r="K138" s="5"/>
      <c r="L138" s="5"/>
      <c r="M138" s="5">
        <v>0</v>
      </c>
      <c r="N138" s="5"/>
      <c r="O138" s="5"/>
      <c r="P138" s="5"/>
      <c r="Q138" s="5"/>
      <c r="R138" s="5"/>
      <c r="S138" s="5"/>
    </row>
    <row r="139" spans="3:19">
      <c r="C139" s="24" t="s">
        <v>1800</v>
      </c>
      <c r="D139" s="24" t="s">
        <v>1801</v>
      </c>
      <c r="E139" s="23"/>
      <c r="F139" s="25">
        <f>SUM(F140:F142)</f>
        <v>93.690141096749272</v>
      </c>
      <c r="G139" s="25">
        <f>SUM(G140:G142)</f>
        <v>0</v>
      </c>
      <c r="H139" s="25">
        <f>SUM(H140:H142)</f>
        <v>0</v>
      </c>
      <c r="I139" s="25">
        <f>SUM(I140:I142)</f>
        <v>0</v>
      </c>
      <c r="J139" s="25">
        <f>SUM(J140:J142)</f>
        <v>0</v>
      </c>
      <c r="K139" s="25">
        <f t="shared" ref="K139:P139" si="23">SUM(K140:K142)</f>
        <v>0</v>
      </c>
      <c r="L139" s="25">
        <f t="shared" si="23"/>
        <v>0</v>
      </c>
      <c r="M139" s="25">
        <f t="shared" si="23"/>
        <v>298.23973319715429</v>
      </c>
      <c r="N139" s="25">
        <f t="shared" si="23"/>
        <v>0</v>
      </c>
      <c r="O139" s="25">
        <f t="shared" si="23"/>
        <v>0</v>
      </c>
      <c r="P139" s="25">
        <f t="shared" si="23"/>
        <v>0</v>
      </c>
      <c r="Q139" s="25">
        <f>SUM(Q140:Q142)</f>
        <v>548.71541485711646</v>
      </c>
      <c r="R139" s="25">
        <f>SUM(R140:R142)</f>
        <v>0</v>
      </c>
      <c r="S139" s="25">
        <f>SUM(S140:S142)</f>
        <v>0</v>
      </c>
    </row>
    <row r="140" spans="3:19">
      <c r="C140" s="4" t="s">
        <v>1802</v>
      </c>
      <c r="D140" s="4" t="s">
        <v>1803</v>
      </c>
      <c r="F140" s="5">
        <v>32.844595556635682</v>
      </c>
      <c r="G140" s="5"/>
      <c r="H140" s="5"/>
      <c r="I140" s="5"/>
      <c r="J140" s="5"/>
      <c r="K140" s="5"/>
      <c r="L140" s="5"/>
      <c r="M140" s="5">
        <v>156.48462723396435</v>
      </c>
      <c r="N140" s="5"/>
      <c r="O140" s="5"/>
      <c r="P140" s="5"/>
      <c r="Q140" s="5">
        <v>312.87902905336568</v>
      </c>
      <c r="R140" s="5"/>
      <c r="S140" s="5"/>
    </row>
    <row r="141" spans="3:19">
      <c r="C141" s="4" t="s">
        <v>1804</v>
      </c>
      <c r="D141" s="4" t="s">
        <v>1805</v>
      </c>
      <c r="F141" s="5">
        <v>43.13071820798308</v>
      </c>
      <c r="G141" s="5"/>
      <c r="H141" s="5"/>
      <c r="I141" s="5"/>
      <c r="J141" s="5"/>
      <c r="K141" s="5"/>
      <c r="L141" s="5"/>
      <c r="M141" s="5">
        <v>96.744207184073886</v>
      </c>
      <c r="N141" s="5"/>
      <c r="O141" s="5"/>
      <c r="P141" s="5"/>
      <c r="Q141" s="5">
        <v>165.69891264914776</v>
      </c>
      <c r="R141" s="5"/>
      <c r="S141" s="5"/>
    </row>
    <row r="142" spans="3:19">
      <c r="C142" s="4" t="s">
        <v>1806</v>
      </c>
      <c r="D142" s="4" t="s">
        <v>1807</v>
      </c>
      <c r="F142" s="5">
        <v>17.714827332130504</v>
      </c>
      <c r="G142" s="5"/>
      <c r="H142" s="5"/>
      <c r="I142" s="5"/>
      <c r="J142" s="5"/>
      <c r="K142" s="5"/>
      <c r="L142" s="5"/>
      <c r="M142" s="5">
        <v>45.01089877911609</v>
      </c>
      <c r="N142" s="5"/>
      <c r="O142" s="5"/>
      <c r="P142" s="5"/>
      <c r="Q142" s="5">
        <v>70.137473154603057</v>
      </c>
      <c r="R142" s="5"/>
      <c r="S142" s="5"/>
    </row>
    <row r="143" spans="3:19">
      <c r="C143" s="24" t="s">
        <v>1808</v>
      </c>
      <c r="D143" s="24" t="s">
        <v>1808</v>
      </c>
      <c r="E143" s="23"/>
      <c r="F143" s="25">
        <f t="shared" ref="F143:N143" si="24">F139+F135</f>
        <v>315.10724049681619</v>
      </c>
      <c r="G143" s="25">
        <f t="shared" si="24"/>
        <v>0</v>
      </c>
      <c r="H143" s="25">
        <f t="shared" si="24"/>
        <v>0</v>
      </c>
      <c r="I143" s="25">
        <f t="shared" si="24"/>
        <v>0</v>
      </c>
      <c r="J143" s="25">
        <f t="shared" si="24"/>
        <v>0</v>
      </c>
      <c r="K143" s="25">
        <f t="shared" si="24"/>
        <v>0</v>
      </c>
      <c r="L143" s="25">
        <f t="shared" si="24"/>
        <v>0</v>
      </c>
      <c r="M143" s="25">
        <f t="shared" si="24"/>
        <v>675.98828291827101</v>
      </c>
      <c r="N143" s="25">
        <f t="shared" si="24"/>
        <v>0</v>
      </c>
      <c r="O143" s="514" t="s">
        <v>447</v>
      </c>
      <c r="P143" s="25">
        <f>P139+P135</f>
        <v>0</v>
      </c>
      <c r="Q143" s="25">
        <f>Q139+Q135</f>
        <v>1011.7364395071887</v>
      </c>
      <c r="R143" s="25">
        <f>R139+R135</f>
        <v>0</v>
      </c>
      <c r="S143" s="25">
        <f>S139+S135</f>
        <v>0</v>
      </c>
    </row>
    <row r="144" spans="3:19">
      <c r="C144" s="4" t="s">
        <v>1809</v>
      </c>
      <c r="D144" s="4" t="s">
        <v>1810</v>
      </c>
      <c r="F144" s="5">
        <v>307.49259039095926</v>
      </c>
      <c r="G144" s="5"/>
      <c r="H144" s="5"/>
      <c r="I144" s="5"/>
      <c r="J144" s="5"/>
      <c r="K144" s="5"/>
      <c r="L144" s="5">
        <f>L143*(1-L158-L160)</f>
        <v>0</v>
      </c>
      <c r="M144" s="5">
        <v>666.19738657389462</v>
      </c>
      <c r="N144" s="5"/>
      <c r="O144" s="5"/>
      <c r="P144" s="5">
        <f>P143*(1-P158-P160)</f>
        <v>0</v>
      </c>
      <c r="Q144" s="5">
        <v>1017.1355617371709</v>
      </c>
      <c r="R144" s="5"/>
      <c r="S144" s="5"/>
    </row>
    <row r="145" spans="3:19">
      <c r="C145" s="4" t="s">
        <v>1811</v>
      </c>
      <c r="D145" s="4" t="s">
        <v>1812</v>
      </c>
      <c r="F145" s="5">
        <v>0</v>
      </c>
      <c r="G145" s="5"/>
      <c r="H145" s="5"/>
      <c r="I145" s="5"/>
      <c r="J145" s="5"/>
      <c r="K145" s="5"/>
      <c r="L145" s="5"/>
      <c r="M145" s="5">
        <v>0</v>
      </c>
      <c r="N145" s="5"/>
      <c r="O145" s="5"/>
      <c r="P145" s="5"/>
      <c r="Q145" s="5"/>
      <c r="R145" s="5"/>
      <c r="S145" s="5"/>
    </row>
    <row r="146" spans="3:19">
      <c r="C146" s="500" t="s">
        <v>1813</v>
      </c>
      <c r="D146" s="500" t="s">
        <v>1814</v>
      </c>
      <c r="F146" s="501">
        <v>6.0268193620119224</v>
      </c>
      <c r="G146" s="501"/>
      <c r="H146" s="501"/>
      <c r="I146" s="501"/>
      <c r="J146" s="501"/>
      <c r="K146" s="501"/>
      <c r="L146" s="501"/>
      <c r="M146" s="501">
        <v>15.368919830834292</v>
      </c>
      <c r="N146" s="501"/>
      <c r="O146" s="501"/>
      <c r="P146" s="501"/>
      <c r="Q146" s="5">
        <v>28.340342254686323</v>
      </c>
      <c r="R146" s="5"/>
      <c r="S146" s="5"/>
    </row>
    <row r="147" spans="3:19">
      <c r="C147" s="500" t="s">
        <v>1815</v>
      </c>
      <c r="D147" s="500" t="s">
        <v>1816</v>
      </c>
      <c r="F147" s="501">
        <v>0</v>
      </c>
      <c r="G147" s="501"/>
      <c r="H147" s="501"/>
      <c r="I147" s="501"/>
      <c r="J147" s="501"/>
      <c r="K147" s="501"/>
      <c r="L147" s="501"/>
      <c r="M147" s="501">
        <v>2.5907472043609516</v>
      </c>
      <c r="N147" s="501"/>
      <c r="O147" s="501"/>
      <c r="P147" s="501"/>
      <c r="Q147" s="5">
        <v>6.3153855759079525</v>
      </c>
      <c r="R147" s="5"/>
      <c r="S147" s="5"/>
    </row>
    <row r="148" spans="3:19">
      <c r="C148" s="500" t="s">
        <v>1817</v>
      </c>
      <c r="D148" s="500" t="s">
        <v>1818</v>
      </c>
      <c r="F148" s="501">
        <v>0</v>
      </c>
      <c r="G148" s="501"/>
      <c r="H148" s="501"/>
      <c r="I148" s="501"/>
      <c r="J148" s="501"/>
      <c r="K148" s="501"/>
      <c r="L148" s="501"/>
      <c r="M148" s="501">
        <v>6.3854702285508855</v>
      </c>
      <c r="N148" s="501"/>
      <c r="O148" s="501"/>
      <c r="P148" s="501"/>
      <c r="Q148" s="5">
        <v>8.7806830597869183</v>
      </c>
      <c r="R148" s="5"/>
      <c r="S148" s="5"/>
    </row>
    <row r="149" spans="3:19">
      <c r="C149" s="4" t="s">
        <v>1819</v>
      </c>
      <c r="D149" s="4" t="s">
        <v>1819</v>
      </c>
      <c r="F149" s="5">
        <f>SUM(F146:F148)</f>
        <v>6.0268193620119224</v>
      </c>
      <c r="G149" s="5"/>
      <c r="H149" s="5"/>
      <c r="I149" s="5"/>
      <c r="J149" s="5"/>
      <c r="K149" s="5"/>
      <c r="L149" s="5"/>
      <c r="M149" s="5">
        <f>SUM(M146:M148)</f>
        <v>24.345137263746132</v>
      </c>
      <c r="N149" s="5"/>
      <c r="O149" s="5"/>
      <c r="P149" s="5"/>
      <c r="Q149" s="5">
        <f>SUM(Q146:Q148)</f>
        <v>43.43641089038119</v>
      </c>
      <c r="R149" s="5"/>
      <c r="S149" s="5"/>
    </row>
    <row r="150" spans="3:19">
      <c r="C150" s="502" t="s">
        <v>1820</v>
      </c>
      <c r="D150" s="502" t="s">
        <v>1821</v>
      </c>
      <c r="F150" s="5">
        <f>SUM(F137:F138)</f>
        <v>8.5333834352995304</v>
      </c>
      <c r="G150" s="5">
        <v>0</v>
      </c>
      <c r="H150" s="5">
        <v>0</v>
      </c>
      <c r="I150" s="5">
        <v>0</v>
      </c>
      <c r="J150" s="5">
        <v>17.642920799456203</v>
      </c>
      <c r="K150" s="5">
        <v>23.492582193776187</v>
      </c>
      <c r="L150" s="5">
        <v>18.522710490166283</v>
      </c>
      <c r="M150" s="5">
        <v>26.00804382769909</v>
      </c>
      <c r="N150" s="5">
        <v>27.624760121901986</v>
      </c>
      <c r="O150" s="5">
        <v>31.00093530029773</v>
      </c>
      <c r="P150" s="5">
        <v>29.001278444303324</v>
      </c>
      <c r="Q150" s="5">
        <v>29.716045999999999</v>
      </c>
      <c r="R150" s="5">
        <v>30.047275675920599</v>
      </c>
      <c r="S150" s="5">
        <v>34.155778735915305</v>
      </c>
    </row>
    <row r="151" spans="3:19">
      <c r="C151" s="26" t="s">
        <v>1822</v>
      </c>
      <c r="D151" s="26" t="s">
        <v>1823</v>
      </c>
      <c r="E151" s="23"/>
      <c r="F151" s="27">
        <f>F144-F149+F145</f>
        <v>301.46577102894736</v>
      </c>
      <c r="G151" s="27">
        <v>339.71863811374203</v>
      </c>
      <c r="H151" s="27">
        <v>374.08234042702298</v>
      </c>
      <c r="I151" s="27">
        <v>390.49288582977056</v>
      </c>
      <c r="J151" s="27">
        <v>466.00760707485495</v>
      </c>
      <c r="K151" s="27">
        <v>474.6189143487785</v>
      </c>
      <c r="L151" s="27">
        <v>466.28752223750837</v>
      </c>
      <c r="M151" s="27">
        <f>M144-M149+M145</f>
        <v>641.85224931014852</v>
      </c>
      <c r="N151" s="27">
        <v>703.71761981788347</v>
      </c>
      <c r="O151" s="27">
        <v>799.02384367477475</v>
      </c>
      <c r="P151" s="27">
        <v>855.95278829565541</v>
      </c>
      <c r="Q151" s="27">
        <v>973.69915084678962</v>
      </c>
      <c r="R151" s="27">
        <f>1043510460/1000000</f>
        <v>1043.51046</v>
      </c>
      <c r="S151" s="27">
        <f>1122391270.88046/1000000</f>
        <v>1122.3912708804601</v>
      </c>
    </row>
    <row r="152" spans="3:19">
      <c r="C152" s="4" t="s">
        <v>1824</v>
      </c>
      <c r="D152" s="4" t="s">
        <v>1825</v>
      </c>
      <c r="F152" s="5">
        <v>3311.514244</v>
      </c>
      <c r="G152" s="5">
        <v>3498.3136979999981</v>
      </c>
      <c r="H152" s="5">
        <v>3604.9415400000016</v>
      </c>
      <c r="I152" s="5">
        <v>3478.5117000000009</v>
      </c>
      <c r="J152" s="5">
        <v>3601.0475950000009</v>
      </c>
      <c r="K152" s="5">
        <v>3595.3936150000009</v>
      </c>
      <c r="L152" s="5">
        <v>3692.8885480000004</v>
      </c>
      <c r="M152" s="5">
        <v>3868.8364459999993</v>
      </c>
      <c r="N152" s="5">
        <v>3933.7521589999992</v>
      </c>
      <c r="O152" s="5">
        <v>3979.4170909999998</v>
      </c>
      <c r="P152" s="5">
        <v>4045.2279619999986</v>
      </c>
      <c r="Q152" s="5">
        <v>4359.2304049999912</v>
      </c>
      <c r="R152" s="5">
        <f>4554529.51099999/1000</f>
        <v>4554.5295109999897</v>
      </c>
      <c r="S152" s="5">
        <f>4743451.035/1000</f>
        <v>4743.451035</v>
      </c>
    </row>
    <row r="153" spans="3:19">
      <c r="C153" s="26" t="s">
        <v>1826</v>
      </c>
      <c r="D153" s="26" t="s">
        <v>1827</v>
      </c>
      <c r="E153" s="23"/>
      <c r="F153" s="32">
        <f t="shared" ref="F153:Q153" si="25">IFERROR(F151/F152*1000,"N/A")</f>
        <v>91.035625643211745</v>
      </c>
      <c r="G153" s="32">
        <f t="shared" si="25"/>
        <v>97.109255327205418</v>
      </c>
      <c r="H153" s="32">
        <f t="shared" si="25"/>
        <v>103.76932226951531</v>
      </c>
      <c r="I153" s="32">
        <f t="shared" si="25"/>
        <v>112.25860928677355</v>
      </c>
      <c r="J153" s="32">
        <f t="shared" si="25"/>
        <v>129.40889971071175</v>
      </c>
      <c r="K153" s="32">
        <f t="shared" si="25"/>
        <v>132.00749769612594</v>
      </c>
      <c r="L153" s="32">
        <f t="shared" si="25"/>
        <v>126.26634033947248</v>
      </c>
      <c r="M153" s="32">
        <f t="shared" si="25"/>
        <v>165.90317483535944</v>
      </c>
      <c r="N153" s="32">
        <f t="shared" si="25"/>
        <v>178.89221063605996</v>
      </c>
      <c r="O153" s="32">
        <f t="shared" si="25"/>
        <v>200.78916720790019</v>
      </c>
      <c r="P153" s="32">
        <f t="shared" si="25"/>
        <v>211.59568665506416</v>
      </c>
      <c r="Q153" s="32">
        <f t="shared" si="25"/>
        <v>223.36492003954802</v>
      </c>
      <c r="R153" s="32">
        <f>IFERROR(R151/R152*1000,"N/A")</f>
        <v>229.11487508857692</v>
      </c>
      <c r="S153" s="32">
        <f>IFERROR(S151/S152*1000,"N/A")</f>
        <v>236.61913290530256</v>
      </c>
    </row>
    <row r="154" spans="3:19" ht="4.5" customHeight="1"/>
    <row r="155" spans="3:19">
      <c r="C155" s="26" t="s">
        <v>2073</v>
      </c>
      <c r="D155" s="26" t="s">
        <v>2073</v>
      </c>
      <c r="E155" s="23"/>
      <c r="F155" s="27">
        <v>136.94545018655074</v>
      </c>
      <c r="G155" s="27">
        <v>141.6576079299258</v>
      </c>
      <c r="H155" s="27">
        <v>136.13417894243088</v>
      </c>
      <c r="I155" s="27">
        <v>160.05684253793657</v>
      </c>
      <c r="J155" s="27">
        <v>158.46591416300728</v>
      </c>
      <c r="K155" s="27">
        <v>175.73612977362058</v>
      </c>
      <c r="L155" s="27">
        <v>179.0449354250934</v>
      </c>
      <c r="M155" s="27">
        <v>179.05606483561786</v>
      </c>
      <c r="N155" s="27">
        <v>189.16905084175406</v>
      </c>
      <c r="O155" s="27">
        <v>210.75231348810775</v>
      </c>
      <c r="P155" s="27">
        <v>231.19612366032916</v>
      </c>
      <c r="Q155" s="27">
        <v>240.74094115075124</v>
      </c>
      <c r="R155" s="27">
        <v>250.61195183352544</v>
      </c>
      <c r="S155" s="27">
        <v>269.56585873222667</v>
      </c>
    </row>
    <row r="156" spans="3:19" ht="4.5" customHeight="1"/>
    <row r="157" spans="3:19">
      <c r="C157" s="24" t="s">
        <v>1828</v>
      </c>
      <c r="D157" s="24" t="s">
        <v>1829</v>
      </c>
      <c r="F157" s="28">
        <f>SUM(F158:F160)</f>
        <v>2.284466319289119E-2</v>
      </c>
      <c r="G157" s="28">
        <f>SUM(G158:G160)</f>
        <v>2.29E-2</v>
      </c>
      <c r="H157" s="28">
        <f>SUM(H158:H160)</f>
        <v>3.2899999999999999E-2</v>
      </c>
      <c r="I157" s="28">
        <f>SUM(I158:I160)</f>
        <v>2.4366666666666665E-2</v>
      </c>
      <c r="J157" s="28">
        <f>SUM(J158:J160)</f>
        <v>1.26E-2</v>
      </c>
      <c r="K157" s="28">
        <f t="shared" ref="K157:S157" si="26">SUM(K158:K160)</f>
        <v>1.8215744594564723E-2</v>
      </c>
      <c r="L157" s="28">
        <f t="shared" si="26"/>
        <v>4.2964421304316448E-3</v>
      </c>
      <c r="M157" s="28">
        <f t="shared" si="26"/>
        <v>1.4710917771782753E-2</v>
      </c>
      <c r="N157" s="28">
        <f t="shared" si="26"/>
        <v>-5.249640356629442E-3</v>
      </c>
      <c r="O157" s="28">
        <f t="shared" si="26"/>
        <v>1.2922809203871033E-2</v>
      </c>
      <c r="P157" s="28">
        <f t="shared" si="26"/>
        <v>-1.0608049266330136E-3</v>
      </c>
      <c r="Q157" s="28">
        <f t="shared" si="26"/>
        <v>4.0441692738706229E-2</v>
      </c>
      <c r="R157" s="28">
        <f t="shared" si="26"/>
        <v>4.5429579039932243E-2</v>
      </c>
      <c r="S157" s="28">
        <f t="shared" si="26"/>
        <v>2.054970788234315E-2</v>
      </c>
    </row>
    <row r="158" spans="3:19">
      <c r="C158" s="4" t="s">
        <v>1830</v>
      </c>
      <c r="D158" s="4" t="s">
        <v>1830</v>
      </c>
      <c r="F158" s="29">
        <v>1.7563600710785596E-2</v>
      </c>
      <c r="G158" s="29">
        <v>1.7600000000000001E-2</v>
      </c>
      <c r="H158" s="29">
        <v>1.7600000000000001E-2</v>
      </c>
      <c r="I158" s="29">
        <v>1.9066666666666666E-2</v>
      </c>
      <c r="J158" s="29">
        <v>1.7600000000000001E-2</v>
      </c>
      <c r="K158" s="29">
        <v>1.7600000000000001E-2</v>
      </c>
      <c r="L158" s="29">
        <v>0</v>
      </c>
      <c r="M158" s="29">
        <v>0</v>
      </c>
      <c r="N158" s="29">
        <v>0</v>
      </c>
      <c r="O158" s="29">
        <v>0</v>
      </c>
      <c r="P158" s="29">
        <v>0</v>
      </c>
      <c r="Q158" s="29">
        <v>1.2194805303981112E-2</v>
      </c>
      <c r="R158" s="29">
        <v>1.2849155644516559E-2</v>
      </c>
      <c r="S158" s="29">
        <v>1.3756043504793813E-2</v>
      </c>
    </row>
    <row r="159" spans="3:19">
      <c r="C159" s="4" t="s">
        <v>1831</v>
      </c>
      <c r="D159" s="4" t="s">
        <v>1831</v>
      </c>
      <c r="F159" s="29">
        <v>5.2810624821055955E-3</v>
      </c>
      <c r="G159" s="29">
        <v>5.3E-3</v>
      </c>
      <c r="H159" s="29">
        <v>5.3E-3</v>
      </c>
      <c r="I159" s="29">
        <v>5.3E-3</v>
      </c>
      <c r="J159" s="29">
        <v>0</v>
      </c>
      <c r="K159" s="29">
        <v>0</v>
      </c>
      <c r="L159" s="29">
        <v>0</v>
      </c>
      <c r="M159" s="29">
        <v>0</v>
      </c>
      <c r="N159" s="29">
        <v>0</v>
      </c>
      <c r="O159" s="29">
        <v>0</v>
      </c>
      <c r="P159" s="29">
        <v>0</v>
      </c>
      <c r="Q159" s="29">
        <v>2.775060317364883E-2</v>
      </c>
      <c r="R159" s="29">
        <v>1.7330000000000002E-2</v>
      </c>
      <c r="S159" s="29">
        <v>1.7330000000000002E-2</v>
      </c>
    </row>
    <row r="160" spans="3:19">
      <c r="C160" s="30" t="s">
        <v>1832</v>
      </c>
      <c r="D160" s="30" t="s">
        <v>1832</v>
      </c>
      <c r="F160" s="31">
        <v>0</v>
      </c>
      <c r="G160" s="31">
        <v>0</v>
      </c>
      <c r="H160" s="31">
        <v>0.01</v>
      </c>
      <c r="I160" s="31">
        <v>0</v>
      </c>
      <c r="J160" s="31">
        <v>-5.0000000000000001E-3</v>
      </c>
      <c r="K160" s="31">
        <v>6.157445945647234E-4</v>
      </c>
      <c r="L160" s="31">
        <v>4.2964421304316448E-3</v>
      </c>
      <c r="M160" s="31">
        <v>1.4710917771782753E-2</v>
      </c>
      <c r="N160" s="31">
        <v>-5.249640356629442E-3</v>
      </c>
      <c r="O160" s="31">
        <v>1.2922809203871033E-2</v>
      </c>
      <c r="P160" s="31">
        <v>-1.0608049266330136E-3</v>
      </c>
      <c r="Q160" s="31">
        <v>4.9628426107628206E-4</v>
      </c>
      <c r="R160" s="31">
        <v>1.5250423395415682E-2</v>
      </c>
      <c r="S160" s="31">
        <v>-1.0536335622450665E-2</v>
      </c>
    </row>
    <row r="162" spans="3:19">
      <c r="C162" s="6" t="s">
        <v>119</v>
      </c>
      <c r="D162" s="6" t="s">
        <v>119</v>
      </c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</row>
    <row r="163" spans="3:19" ht="3.6" customHeight="1"/>
    <row r="164" spans="3:19">
      <c r="C164" s="17" t="s">
        <v>1835</v>
      </c>
      <c r="D164" s="17" t="s">
        <v>1836</v>
      </c>
      <c r="F164" s="18">
        <f>G164-1</f>
        <v>2013</v>
      </c>
      <c r="G164" s="18">
        <f>H164-1</f>
        <v>2014</v>
      </c>
      <c r="H164" s="18">
        <f>I164-1</f>
        <v>2015</v>
      </c>
      <c r="I164" s="18">
        <f>J164-1</f>
        <v>2016</v>
      </c>
      <c r="J164" s="18">
        <v>2017</v>
      </c>
      <c r="K164" s="18">
        <f>J164+1</f>
        <v>2018</v>
      </c>
      <c r="L164" s="18">
        <f t="shared" ref="L164:S164" si="27">K164+1</f>
        <v>2019</v>
      </c>
      <c r="M164" s="18">
        <f t="shared" si="27"/>
        <v>2020</v>
      </c>
      <c r="N164" s="18">
        <f t="shared" si="27"/>
        <v>2021</v>
      </c>
      <c r="O164" s="18">
        <f t="shared" si="27"/>
        <v>2022</v>
      </c>
      <c r="P164" s="18">
        <f t="shared" si="27"/>
        <v>2023</v>
      </c>
      <c r="Q164" s="18">
        <f t="shared" si="27"/>
        <v>2024</v>
      </c>
      <c r="R164" s="18">
        <f t="shared" si="27"/>
        <v>2025</v>
      </c>
      <c r="S164" s="18">
        <f t="shared" si="27"/>
        <v>2026</v>
      </c>
    </row>
    <row r="165" spans="3:19">
      <c r="C165" s="4" t="s">
        <v>1786</v>
      </c>
      <c r="D165" s="4" t="s">
        <v>1787</v>
      </c>
      <c r="F165" s="20" t="s">
        <v>1789</v>
      </c>
      <c r="G165" s="20" t="s">
        <v>1789</v>
      </c>
      <c r="H165" s="20" t="s">
        <v>1789</v>
      </c>
      <c r="I165" s="19" t="s">
        <v>1788</v>
      </c>
      <c r="J165" s="20" t="s">
        <v>1789</v>
      </c>
      <c r="K165" s="20" t="s">
        <v>1789</v>
      </c>
      <c r="L165" s="20" t="s">
        <v>1789</v>
      </c>
      <c r="M165" s="20" t="s">
        <v>1789</v>
      </c>
      <c r="N165" s="19" t="s">
        <v>1788</v>
      </c>
      <c r="O165" s="20" t="s">
        <v>1789</v>
      </c>
      <c r="P165" s="20" t="s">
        <v>1789</v>
      </c>
      <c r="Q165" s="20" t="s">
        <v>1789</v>
      </c>
      <c r="R165" s="20" t="s">
        <v>1789</v>
      </c>
      <c r="S165" s="19" t="s">
        <v>1788</v>
      </c>
    </row>
    <row r="166" spans="3:19">
      <c r="C166" s="4" t="s">
        <v>2072</v>
      </c>
      <c r="D166" s="4" t="s">
        <v>2072</v>
      </c>
      <c r="F166" s="21"/>
      <c r="G166" s="22"/>
      <c r="H166" s="22"/>
      <c r="I166" s="22">
        <v>4085.7008131771472</v>
      </c>
      <c r="J166" s="21"/>
      <c r="K166" s="22"/>
      <c r="L166" s="22"/>
      <c r="M166" s="22"/>
      <c r="N166" s="21">
        <v>6311.3017732325761</v>
      </c>
      <c r="O166" s="22"/>
      <c r="P166" s="22"/>
      <c r="Q166" s="22"/>
      <c r="R166" s="22"/>
      <c r="S166" s="22"/>
    </row>
    <row r="167" spans="3:19">
      <c r="C167" s="4" t="s">
        <v>2070</v>
      </c>
      <c r="D167" s="4" t="s">
        <v>2071</v>
      </c>
      <c r="F167" s="21"/>
      <c r="G167" s="22"/>
      <c r="H167" s="22"/>
      <c r="I167" s="22">
        <v>3107.3680762801087</v>
      </c>
      <c r="J167" s="21"/>
      <c r="K167" s="22"/>
      <c r="L167" s="22"/>
      <c r="M167" s="22"/>
      <c r="N167" s="21">
        <v>4900.0259521101098</v>
      </c>
      <c r="O167" s="22"/>
      <c r="P167" s="22"/>
      <c r="Q167" s="22"/>
      <c r="R167" s="22"/>
      <c r="S167" s="22"/>
    </row>
    <row r="168" spans="3:19">
      <c r="C168" s="4" t="s">
        <v>1790</v>
      </c>
      <c r="D168" s="4" t="s">
        <v>1791</v>
      </c>
      <c r="F168" s="22">
        <v>0</v>
      </c>
      <c r="G168" s="22">
        <v>0</v>
      </c>
      <c r="H168" s="22">
        <v>0</v>
      </c>
      <c r="I168" s="21">
        <v>1688.8905499205889</v>
      </c>
      <c r="J168" s="22">
        <v>0</v>
      </c>
      <c r="K168" s="22">
        <v>0</v>
      </c>
      <c r="L168" s="21"/>
      <c r="M168" s="22">
        <v>0</v>
      </c>
      <c r="N168" s="21">
        <v>2953.4600352930588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3:19">
      <c r="C169" s="23" t="s">
        <v>1844</v>
      </c>
      <c r="D169" s="23" t="s">
        <v>1845</v>
      </c>
      <c r="F169" s="21"/>
      <c r="G169" s="22"/>
      <c r="H169" s="22"/>
      <c r="I169" s="22"/>
      <c r="J169" s="21"/>
      <c r="K169" s="22"/>
      <c r="L169" s="22"/>
      <c r="M169" s="22"/>
      <c r="N169" s="21"/>
      <c r="O169" s="22"/>
      <c r="P169" s="22"/>
      <c r="Q169" s="22"/>
      <c r="R169" s="22"/>
      <c r="S169" s="22"/>
    </row>
    <row r="170" spans="3:19">
      <c r="C170" s="23" t="s">
        <v>1846</v>
      </c>
      <c r="D170" s="23" t="s">
        <v>1847</v>
      </c>
      <c r="F170" s="21"/>
      <c r="G170" s="22"/>
      <c r="H170" s="22"/>
      <c r="I170" s="22"/>
      <c r="J170" s="21"/>
      <c r="K170" s="22"/>
      <c r="L170" s="22"/>
      <c r="M170" s="22"/>
      <c r="N170" s="21"/>
      <c r="O170" s="22"/>
      <c r="P170" s="22"/>
      <c r="Q170" s="22"/>
      <c r="R170" s="22"/>
      <c r="S170" s="22"/>
    </row>
    <row r="171" spans="3:19" ht="4.5" customHeight="1"/>
    <row r="172" spans="3:19">
      <c r="C172" s="24" t="s">
        <v>1792</v>
      </c>
      <c r="D172" s="24" t="s">
        <v>1793</v>
      </c>
      <c r="E172" s="23"/>
      <c r="F172" s="25">
        <f>SUM(F173:F175)</f>
        <v>0</v>
      </c>
      <c r="G172" s="25">
        <f>SUM(G173:G175)</f>
        <v>0</v>
      </c>
      <c r="H172" s="25">
        <f>SUM(H173:H175)</f>
        <v>0</v>
      </c>
      <c r="I172" s="25">
        <f>SUM(I173:I175)</f>
        <v>382.2675507166087</v>
      </c>
      <c r="J172" s="25">
        <f>SUM(J173:J175)</f>
        <v>0</v>
      </c>
      <c r="K172" s="25">
        <f t="shared" ref="K172:P172" si="28">SUM(K173:K175)</f>
        <v>0</v>
      </c>
      <c r="L172" s="25">
        <f t="shared" si="28"/>
        <v>0</v>
      </c>
      <c r="M172" s="25">
        <f t="shared" si="28"/>
        <v>0</v>
      </c>
      <c r="N172" s="25">
        <f t="shared" si="28"/>
        <v>445.61939902168098</v>
      </c>
      <c r="O172" s="25">
        <f t="shared" si="28"/>
        <v>0</v>
      </c>
      <c r="P172" s="25">
        <f t="shared" si="28"/>
        <v>0</v>
      </c>
      <c r="Q172" s="25">
        <f>SUM(Q173:Q175)</f>
        <v>0</v>
      </c>
      <c r="R172" s="25">
        <f>SUM(R173:R175)</f>
        <v>0</v>
      </c>
      <c r="S172" s="25">
        <f>SUM(S173:S175)</f>
        <v>0</v>
      </c>
    </row>
    <row r="173" spans="3:19">
      <c r="C173" s="4" t="s">
        <v>1794</v>
      </c>
      <c r="D173" s="4" t="s">
        <v>1795</v>
      </c>
      <c r="F173" s="5"/>
      <c r="G173" s="5"/>
      <c r="H173" s="5"/>
      <c r="I173" s="5">
        <v>356.02983264543229</v>
      </c>
      <c r="J173" s="5"/>
      <c r="K173" s="5"/>
      <c r="L173" s="5"/>
      <c r="M173" s="5"/>
      <c r="N173" s="5">
        <v>445.61939902168098</v>
      </c>
      <c r="O173" s="5"/>
      <c r="P173" s="5"/>
      <c r="Q173" s="5"/>
      <c r="R173" s="5"/>
      <c r="S173" s="5"/>
    </row>
    <row r="174" spans="3:19">
      <c r="C174" s="4" t="s">
        <v>1796</v>
      </c>
      <c r="D174" s="4" t="s">
        <v>1797</v>
      </c>
      <c r="F174" s="5"/>
      <c r="G174" s="5"/>
      <c r="H174" s="5"/>
      <c r="I174" s="5">
        <v>7.8601822173388172</v>
      </c>
      <c r="J174" s="5"/>
      <c r="K174" s="5"/>
      <c r="L174" s="5"/>
      <c r="M174" s="5"/>
      <c r="N174" s="5">
        <v>0</v>
      </c>
      <c r="O174" s="5"/>
      <c r="P174" s="5"/>
      <c r="Q174" s="5"/>
      <c r="R174" s="5"/>
      <c r="S174" s="5"/>
    </row>
    <row r="175" spans="3:19">
      <c r="C175" s="4" t="s">
        <v>1798</v>
      </c>
      <c r="D175" s="4" t="s">
        <v>1799</v>
      </c>
      <c r="F175" s="5"/>
      <c r="G175" s="5"/>
      <c r="H175" s="5"/>
      <c r="I175" s="5">
        <v>18.377535853837546</v>
      </c>
      <c r="J175" s="5"/>
      <c r="K175" s="5"/>
      <c r="L175" s="5"/>
      <c r="M175" s="5"/>
      <c r="N175" s="5">
        <v>0</v>
      </c>
      <c r="O175" s="5"/>
      <c r="P175" s="5"/>
      <c r="Q175" s="5"/>
      <c r="R175" s="5"/>
      <c r="S175" s="5"/>
    </row>
    <row r="176" spans="3:19">
      <c r="C176" s="24" t="s">
        <v>1800</v>
      </c>
      <c r="D176" s="24" t="s">
        <v>1801</v>
      </c>
      <c r="E176" s="23"/>
      <c r="F176" s="25">
        <f>SUM(F177:F179)</f>
        <v>0</v>
      </c>
      <c r="G176" s="25">
        <f>SUM(G177:G179)</f>
        <v>0</v>
      </c>
      <c r="H176" s="25">
        <f>SUM(H177:H179)</f>
        <v>0</v>
      </c>
      <c r="I176" s="25">
        <f>SUM(I177:I179)</f>
        <v>378.67965990833198</v>
      </c>
      <c r="J176" s="25">
        <f>SUM(J177:J179)</f>
        <v>0</v>
      </c>
      <c r="K176" s="25">
        <f t="shared" ref="K176:P176" si="29">SUM(K177:K179)</f>
        <v>0</v>
      </c>
      <c r="L176" s="25">
        <f t="shared" si="29"/>
        <v>0</v>
      </c>
      <c r="M176" s="25">
        <f t="shared" si="29"/>
        <v>0</v>
      </c>
      <c r="N176" s="25">
        <f t="shared" si="29"/>
        <v>587.43939795531196</v>
      </c>
      <c r="O176" s="25">
        <f t="shared" si="29"/>
        <v>0</v>
      </c>
      <c r="P176" s="25">
        <f t="shared" si="29"/>
        <v>0</v>
      </c>
      <c r="Q176" s="25">
        <f>SUM(Q177:Q179)</f>
        <v>0</v>
      </c>
      <c r="R176" s="25">
        <f>SUM(R177:R179)</f>
        <v>0</v>
      </c>
      <c r="S176" s="25">
        <f>SUM(S177:S179)</f>
        <v>0</v>
      </c>
    </row>
    <row r="177" spans="3:19">
      <c r="C177" s="4" t="s">
        <v>1802</v>
      </c>
      <c r="D177" s="4" t="s">
        <v>1803</v>
      </c>
      <c r="F177" s="5"/>
      <c r="G177" s="5"/>
      <c r="H177" s="5"/>
      <c r="I177" s="5">
        <v>212.34458975504759</v>
      </c>
      <c r="J177" s="5"/>
      <c r="K177" s="5"/>
      <c r="L177" s="5"/>
      <c r="M177" s="5"/>
      <c r="N177" s="5">
        <v>325.29019777367989</v>
      </c>
      <c r="O177" s="5"/>
      <c r="P177" s="5"/>
      <c r="Q177" s="5"/>
      <c r="R177" s="5"/>
      <c r="S177" s="5"/>
    </row>
    <row r="178" spans="3:19">
      <c r="C178" s="4" t="s">
        <v>1804</v>
      </c>
      <c r="D178" s="4" t="s">
        <v>1805</v>
      </c>
      <c r="F178" s="5"/>
      <c r="G178" s="5"/>
      <c r="H178" s="5"/>
      <c r="I178" s="5">
        <v>115.59409243762003</v>
      </c>
      <c r="J178" s="5"/>
      <c r="K178" s="5"/>
      <c r="L178" s="5"/>
      <c r="M178" s="5"/>
      <c r="N178" s="5">
        <v>188.65099915623921</v>
      </c>
      <c r="O178" s="5"/>
      <c r="P178" s="5"/>
      <c r="Q178" s="5"/>
      <c r="R178" s="5"/>
      <c r="S178" s="5"/>
    </row>
    <row r="179" spans="3:19">
      <c r="C179" s="4" t="s">
        <v>1806</v>
      </c>
      <c r="D179" s="4" t="s">
        <v>1807</v>
      </c>
      <c r="F179" s="5"/>
      <c r="G179" s="5"/>
      <c r="H179" s="5"/>
      <c r="I179" s="5">
        <v>50.740977715664357</v>
      </c>
      <c r="J179" s="5"/>
      <c r="K179" s="5"/>
      <c r="L179" s="5"/>
      <c r="M179" s="5"/>
      <c r="N179" s="5">
        <v>73.498201025392859</v>
      </c>
      <c r="O179" s="5"/>
      <c r="P179" s="5"/>
      <c r="Q179" s="5"/>
      <c r="R179" s="5"/>
      <c r="S179" s="5"/>
    </row>
    <row r="180" spans="3:19">
      <c r="C180" s="24" t="s">
        <v>1808</v>
      </c>
      <c r="D180" s="24" t="s">
        <v>1808</v>
      </c>
      <c r="E180" s="23"/>
      <c r="F180" s="25">
        <f>F176+F172</f>
        <v>0</v>
      </c>
      <c r="G180" s="25">
        <f>G176+G172</f>
        <v>0</v>
      </c>
      <c r="H180" s="25">
        <f>H176+H172</f>
        <v>0</v>
      </c>
      <c r="I180" s="25">
        <f>I176+I172</f>
        <v>760.94721062494068</v>
      </c>
      <c r="J180" s="25">
        <f>J176+J172</f>
        <v>0</v>
      </c>
      <c r="K180" s="25"/>
      <c r="L180" s="25">
        <f>L176+L172</f>
        <v>0</v>
      </c>
      <c r="M180" s="25"/>
      <c r="N180" s="25">
        <f>N176+N172</f>
        <v>1033.0587969769929</v>
      </c>
      <c r="O180" s="25"/>
      <c r="P180" s="25">
        <f>P176+P172</f>
        <v>0</v>
      </c>
      <c r="Q180" s="25">
        <f>Q176+Q172</f>
        <v>0</v>
      </c>
      <c r="R180" s="25">
        <f>R176+R172</f>
        <v>0</v>
      </c>
      <c r="S180" s="25">
        <f>S176+S172</f>
        <v>0</v>
      </c>
    </row>
    <row r="181" spans="3:19">
      <c r="C181" s="4" t="s">
        <v>1809</v>
      </c>
      <c r="D181" s="4" t="s">
        <v>1810</v>
      </c>
      <c r="F181" s="5"/>
      <c r="G181" s="5"/>
      <c r="H181" s="5"/>
      <c r="I181" s="5">
        <f>I180*(1-I195-I197)</f>
        <v>757.24914562505205</v>
      </c>
      <c r="J181" s="5"/>
      <c r="K181" s="5"/>
      <c r="L181" s="5">
        <f>L180*(1-L195-L197)</f>
        <v>0</v>
      </c>
      <c r="M181" s="5"/>
      <c r="N181" s="5">
        <f>N180*(1-N195-N197)</f>
        <v>1026.4397924712816</v>
      </c>
      <c r="O181" s="5"/>
      <c r="P181" s="5">
        <f>P180*(1-P195-P197)</f>
        <v>0</v>
      </c>
      <c r="Q181" s="5"/>
      <c r="R181" s="5"/>
      <c r="S181" s="5"/>
    </row>
    <row r="182" spans="3:19">
      <c r="C182" s="4" t="s">
        <v>1811</v>
      </c>
      <c r="D182" s="4" t="s">
        <v>1812</v>
      </c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</row>
    <row r="183" spans="3:19">
      <c r="C183" s="500" t="s">
        <v>1813</v>
      </c>
      <c r="D183" s="500" t="s">
        <v>1814</v>
      </c>
      <c r="F183" s="501"/>
      <c r="G183" s="501"/>
      <c r="H183" s="501"/>
      <c r="I183" s="501"/>
      <c r="J183" s="501"/>
      <c r="K183" s="501"/>
      <c r="L183" s="501"/>
      <c r="M183" s="501"/>
      <c r="N183" s="501">
        <v>51.666852989334821</v>
      </c>
      <c r="O183" s="501"/>
      <c r="P183" s="501"/>
      <c r="Q183" s="5"/>
      <c r="R183" s="5"/>
      <c r="S183" s="5"/>
    </row>
    <row r="184" spans="3:19">
      <c r="C184" s="500" t="s">
        <v>1815</v>
      </c>
      <c r="D184" s="500" t="s">
        <v>1816</v>
      </c>
      <c r="F184" s="501"/>
      <c r="G184" s="501"/>
      <c r="H184" s="501"/>
      <c r="I184" s="501"/>
      <c r="J184" s="501"/>
      <c r="K184" s="501"/>
      <c r="L184" s="501"/>
      <c r="M184" s="501"/>
      <c r="N184" s="501">
        <v>9.3482583311613698</v>
      </c>
      <c r="O184" s="501"/>
      <c r="P184" s="501"/>
      <c r="Q184" s="5"/>
      <c r="R184" s="5"/>
      <c r="S184" s="5"/>
    </row>
    <row r="185" spans="3:19">
      <c r="C185" s="500" t="s">
        <v>1817</v>
      </c>
      <c r="D185" s="500" t="s">
        <v>1818</v>
      </c>
      <c r="F185" s="501"/>
      <c r="G185" s="501"/>
      <c r="H185" s="501"/>
      <c r="I185" s="501"/>
      <c r="J185" s="501"/>
      <c r="K185" s="501"/>
      <c r="L185" s="501"/>
      <c r="M185" s="501"/>
      <c r="N185" s="501">
        <v>14.874370406335213</v>
      </c>
      <c r="O185" s="501"/>
      <c r="P185" s="501"/>
      <c r="Q185" s="5"/>
      <c r="R185" s="5"/>
      <c r="S185" s="5"/>
    </row>
    <row r="186" spans="3:19">
      <c r="C186" s="4" t="s">
        <v>1819</v>
      </c>
      <c r="D186" s="4" t="s">
        <v>1819</v>
      </c>
      <c r="F186" s="5"/>
      <c r="G186" s="5"/>
      <c r="H186" s="5"/>
      <c r="I186" s="5">
        <v>23.041184356152595</v>
      </c>
      <c r="J186" s="5"/>
      <c r="K186" s="5"/>
      <c r="L186" s="5"/>
      <c r="M186" s="5"/>
      <c r="N186" s="5">
        <v>75.889481726831406</v>
      </c>
      <c r="O186" s="5"/>
      <c r="P186" s="5"/>
      <c r="Q186" s="5"/>
      <c r="R186" s="5"/>
      <c r="S186" s="5"/>
    </row>
    <row r="187" spans="3:19">
      <c r="C187" s="502" t="s">
        <v>1820</v>
      </c>
      <c r="D187" s="502" t="s">
        <v>1821</v>
      </c>
      <c r="F187" s="5">
        <v>0</v>
      </c>
      <c r="G187" s="5">
        <v>0</v>
      </c>
      <c r="H187" s="5">
        <v>0</v>
      </c>
      <c r="I187" s="5">
        <f>SUM(I174:I175)</f>
        <v>26.237718071176364</v>
      </c>
      <c r="J187" s="5">
        <v>28.783900191575199</v>
      </c>
      <c r="K187" s="5">
        <v>30.68361202692504</v>
      </c>
      <c r="L187" s="5">
        <v>28.566825370661583</v>
      </c>
      <c r="M187" s="5">
        <v>30.076662088288675</v>
      </c>
      <c r="N187" s="5">
        <v>35.557520396352949</v>
      </c>
      <c r="O187" s="5">
        <v>42.716772833768623</v>
      </c>
      <c r="P187" s="5">
        <v>36.175542517779355</v>
      </c>
      <c r="Q187" s="5">
        <v>40.504349989554946</v>
      </c>
      <c r="R187" s="5">
        <v>50.382804</v>
      </c>
      <c r="S187" s="5"/>
    </row>
    <row r="188" spans="3:19">
      <c r="C188" s="26" t="s">
        <v>1822</v>
      </c>
      <c r="D188" s="26" t="s">
        <v>1823</v>
      </c>
      <c r="E188" s="23"/>
      <c r="F188" s="27">
        <v>552.62533374183693</v>
      </c>
      <c r="G188" s="27">
        <v>591.3350722459428</v>
      </c>
      <c r="H188" s="27">
        <v>638.34159937336267</v>
      </c>
      <c r="I188" s="27">
        <f>I181-I186+I182</f>
        <v>734.20796126889945</v>
      </c>
      <c r="J188" s="27">
        <v>726.59538906296723</v>
      </c>
      <c r="K188" s="27">
        <v>738.91842983165657</v>
      </c>
      <c r="L188" s="27">
        <v>779.97403557187397</v>
      </c>
      <c r="M188" s="27">
        <v>805.68857940341059</v>
      </c>
      <c r="N188" s="27">
        <f>N181-N186+N182</f>
        <v>950.55031074445026</v>
      </c>
      <c r="O188" s="27">
        <v>1048.528272564879</v>
      </c>
      <c r="P188" s="27">
        <v>1204.0611362290501</v>
      </c>
      <c r="Q188" s="27">
        <v>1309.8039244129588</v>
      </c>
      <c r="R188" s="27">
        <v>1454.8887420000001</v>
      </c>
      <c r="S188" s="27"/>
    </row>
    <row r="189" spans="3:19">
      <c r="C189" s="4" t="s">
        <v>1824</v>
      </c>
      <c r="D189" s="4" t="s">
        <v>1825</v>
      </c>
      <c r="F189" s="5">
        <v>8570.7942300000032</v>
      </c>
      <c r="G189" s="5">
        <v>8900.2548699999988</v>
      </c>
      <c r="H189" s="5">
        <v>8794.1282850000007</v>
      </c>
      <c r="I189" s="5">
        <v>8085.6476409999987</v>
      </c>
      <c r="J189" s="5">
        <v>8142.731808999999</v>
      </c>
      <c r="K189" s="5">
        <v>8143.6930879999945</v>
      </c>
      <c r="L189" s="5">
        <v>7990.3905909999985</v>
      </c>
      <c r="M189" s="5">
        <v>7892.4498429999949</v>
      </c>
      <c r="N189" s="5">
        <v>7643.4839060000077</v>
      </c>
      <c r="O189" s="5">
        <v>7980.7688229999949</v>
      </c>
      <c r="P189" s="5">
        <v>8310.119074000002</v>
      </c>
      <c r="Q189" s="5">
        <v>8413.4159289999861</v>
      </c>
      <c r="R189" s="5">
        <v>8954.6180000000004</v>
      </c>
      <c r="S189" s="5"/>
    </row>
    <row r="190" spans="3:19">
      <c r="C190" s="26" t="s">
        <v>1826</v>
      </c>
      <c r="D190" s="26" t="s">
        <v>1827</v>
      </c>
      <c r="E190" s="23"/>
      <c r="F190" s="32">
        <f t="shared" ref="F190:R190" si="30">IFERROR(F188/F189*1000,"N/A")</f>
        <v>64.477727374145203</v>
      </c>
      <c r="G190" s="32">
        <f t="shared" si="30"/>
        <v>66.440240294595384</v>
      </c>
      <c r="H190" s="32">
        <f t="shared" si="30"/>
        <v>72.587251252881018</v>
      </c>
      <c r="I190" s="32">
        <f t="shared" si="30"/>
        <v>90.803853181276608</v>
      </c>
      <c r="J190" s="32">
        <f t="shared" si="30"/>
        <v>89.232386145872553</v>
      </c>
      <c r="K190" s="32">
        <f t="shared" si="30"/>
        <v>90.735053721569855</v>
      </c>
      <c r="L190" s="32">
        <f t="shared" si="30"/>
        <v>97.614006060029183</v>
      </c>
      <c r="M190" s="32">
        <f t="shared" si="30"/>
        <v>102.08345892980179</v>
      </c>
      <c r="N190" s="32">
        <f t="shared" si="30"/>
        <v>124.36087030919029</v>
      </c>
      <c r="O190" s="32">
        <f t="shared" si="30"/>
        <v>131.38186255227652</v>
      </c>
      <c r="P190" s="32">
        <f t="shared" si="30"/>
        <v>144.89096070791751</v>
      </c>
      <c r="Q190" s="32">
        <f t="shared" si="30"/>
        <v>155.68039610382621</v>
      </c>
      <c r="R190" s="32">
        <f t="shared" si="30"/>
        <v>162.47356861007358</v>
      </c>
      <c r="S190" s="32"/>
    </row>
    <row r="191" spans="3:19" ht="4.5" customHeight="1"/>
    <row r="192" spans="3:19">
      <c r="C192" s="26" t="s">
        <v>2073</v>
      </c>
      <c r="D192" s="26" t="s">
        <v>2073</v>
      </c>
      <c r="E192" s="23"/>
      <c r="F192" s="27">
        <v>140.80053346281872</v>
      </c>
      <c r="G192" s="27">
        <v>184.63305529693929</v>
      </c>
      <c r="H192" s="27">
        <v>186.54047957083083</v>
      </c>
      <c r="I192" s="27">
        <v>171.27665897272848</v>
      </c>
      <c r="J192" s="27">
        <v>179.9774430007709</v>
      </c>
      <c r="K192" s="27">
        <v>204.46826461752784</v>
      </c>
      <c r="L192" s="27">
        <v>200.11610595716581</v>
      </c>
      <c r="M192" s="27">
        <v>224.64546068693497</v>
      </c>
      <c r="N192" s="27">
        <v>239.37270069372906</v>
      </c>
      <c r="O192" s="27">
        <v>254.36019679566027</v>
      </c>
      <c r="P192" s="27">
        <v>255.80745393380332</v>
      </c>
      <c r="Q192" s="27">
        <v>259.99630708784724</v>
      </c>
      <c r="R192" s="27">
        <v>271.86</v>
      </c>
      <c r="S192" s="27"/>
    </row>
    <row r="194" spans="3:19">
      <c r="C194" s="24" t="s">
        <v>1828</v>
      </c>
      <c r="D194" s="24" t="s">
        <v>1829</v>
      </c>
      <c r="F194" s="28">
        <f>SUM(F195:F197)</f>
        <v>1.6827937054284821E-2</v>
      </c>
      <c r="G194" s="28">
        <f>SUM(G195:G197)</f>
        <v>2.1927937054284821E-2</v>
      </c>
      <c r="H194" s="28">
        <f>SUM(H195:H197)</f>
        <v>1.982793705428482E-2</v>
      </c>
      <c r="I194" s="28">
        <f>SUM(I195:I197)</f>
        <v>-1.2500971852715105E-2</v>
      </c>
      <c r="J194" s="28">
        <f>SUM(J195:J197)</f>
        <v>-6.0763666656657419E-3</v>
      </c>
      <c r="K194" s="28">
        <f t="shared" ref="K194:R194" si="31">SUM(K195:K197)</f>
        <v>8.9972874181680311E-4</v>
      </c>
      <c r="L194" s="28">
        <f t="shared" si="31"/>
        <v>-1.1305638373560838E-2</v>
      </c>
      <c r="M194" s="28">
        <f t="shared" si="31"/>
        <v>4.2922090217980147E-3</v>
      </c>
      <c r="N194" s="28">
        <f t="shared" si="31"/>
        <v>6.407190495914112E-3</v>
      </c>
      <c r="O194" s="28">
        <f t="shared" si="31"/>
        <v>-1.5160197706544851E-2</v>
      </c>
      <c r="P194" s="28">
        <f t="shared" si="31"/>
        <v>-1.1024642163723172E-2</v>
      </c>
      <c r="Q194" s="28">
        <f t="shared" si="31"/>
        <v>-1.0503822477539258E-2</v>
      </c>
      <c r="R194" s="28">
        <f t="shared" si="31"/>
        <v>7.62E-3</v>
      </c>
      <c r="S194" s="28"/>
    </row>
    <row r="195" spans="3:19">
      <c r="C195" s="4" t="s">
        <v>1830</v>
      </c>
      <c r="D195" s="4" t="s">
        <v>1830</v>
      </c>
      <c r="F195" s="29">
        <v>1.1927937054284819E-2</v>
      </c>
      <c r="G195" s="29">
        <v>1.1927937054284819E-2</v>
      </c>
      <c r="H195" s="29">
        <v>1.1927937054284819E-2</v>
      </c>
      <c r="I195" s="29">
        <v>1.0259818063925341E-2</v>
      </c>
      <c r="J195" s="29">
        <v>1.03E-2</v>
      </c>
      <c r="K195" s="29">
        <v>1.03E-2</v>
      </c>
      <c r="L195" s="29">
        <v>1.03E-2</v>
      </c>
      <c r="M195" s="29">
        <v>1.03E-2</v>
      </c>
      <c r="N195" s="29">
        <v>-1.0614312259113077E-3</v>
      </c>
      <c r="O195" s="29">
        <v>9.3065130615329998E-4</v>
      </c>
      <c r="P195" s="29">
        <v>3.6389792866597277E-3</v>
      </c>
      <c r="Q195" s="29">
        <v>5.2263141996825788E-3</v>
      </c>
      <c r="R195" s="29">
        <v>9.5099999999999994E-3</v>
      </c>
      <c r="S195" s="29"/>
    </row>
    <row r="196" spans="3:19">
      <c r="C196" s="4" t="s">
        <v>1831</v>
      </c>
      <c r="D196" s="4" t="s">
        <v>1831</v>
      </c>
      <c r="F196" s="29">
        <v>0</v>
      </c>
      <c r="G196" s="29">
        <v>0</v>
      </c>
      <c r="H196" s="29">
        <v>0</v>
      </c>
      <c r="I196" s="29">
        <v>-1.7360789916640446E-2</v>
      </c>
      <c r="J196" s="29">
        <v>-1.7399999999999999E-2</v>
      </c>
      <c r="K196" s="29">
        <v>-1.7399999999999999E-2</v>
      </c>
      <c r="L196" s="29">
        <v>-1.7399999999999999E-2</v>
      </c>
      <c r="M196" s="29">
        <v>-1.7399999999999999E-2</v>
      </c>
      <c r="N196" s="29">
        <v>0</v>
      </c>
      <c r="O196" s="29">
        <v>-1.6799999999999999E-2</v>
      </c>
      <c r="P196" s="29">
        <v>-1.6620055980395579E-2</v>
      </c>
      <c r="Q196" s="29">
        <v>-1.6620055980395579E-2</v>
      </c>
      <c r="R196" s="29">
        <v>-1.6799999999999999E-2</v>
      </c>
      <c r="S196" s="29"/>
    </row>
    <row r="197" spans="3:19">
      <c r="C197" s="30" t="s">
        <v>1832</v>
      </c>
      <c r="D197" s="30" t="s">
        <v>1832</v>
      </c>
      <c r="F197" s="31">
        <v>4.8999999999999998E-3</v>
      </c>
      <c r="G197" s="31">
        <v>0.01</v>
      </c>
      <c r="H197" s="31">
        <v>7.9000000000000008E-3</v>
      </c>
      <c r="I197" s="31">
        <v>-5.4000000000000003E-3</v>
      </c>
      <c r="J197" s="31">
        <v>1.023633334334257E-3</v>
      </c>
      <c r="K197" s="31">
        <v>7.9997287418168018E-3</v>
      </c>
      <c r="L197" s="31">
        <v>-4.2056383735608405E-3</v>
      </c>
      <c r="M197" s="31">
        <v>1.1392209021798013E-2</v>
      </c>
      <c r="N197" s="31">
        <v>7.4686217218254197E-3</v>
      </c>
      <c r="O197" s="31">
        <v>7.0915098730184984E-4</v>
      </c>
      <c r="P197" s="31">
        <v>1.95643453001268E-3</v>
      </c>
      <c r="Q197" s="31">
        <v>8.899193031737427E-4</v>
      </c>
      <c r="R197" s="31">
        <v>1.491E-2</v>
      </c>
      <c r="S197" s="31"/>
    </row>
    <row r="199" spans="3:19">
      <c r="C199" s="6" t="s">
        <v>122</v>
      </c>
      <c r="D199" s="6" t="s">
        <v>122</v>
      </c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</row>
    <row r="200" spans="3:19" ht="3.6" customHeight="1"/>
    <row r="201" spans="3:19">
      <c r="C201" s="17" t="s">
        <v>1835</v>
      </c>
      <c r="D201" s="17" t="s">
        <v>1836</v>
      </c>
      <c r="F201" s="18">
        <f>G201-1</f>
        <v>2013</v>
      </c>
      <c r="G201" s="18">
        <f>H201-1</f>
        <v>2014</v>
      </c>
      <c r="H201" s="18">
        <f>I201-1</f>
        <v>2015</v>
      </c>
      <c r="I201" s="18">
        <f>J201-1</f>
        <v>2016</v>
      </c>
      <c r="J201" s="18">
        <v>2017</v>
      </c>
      <c r="K201" s="18">
        <f>J201+1</f>
        <v>2018</v>
      </c>
      <c r="L201" s="18">
        <f t="shared" ref="L201:S201" si="32">K201+1</f>
        <v>2019</v>
      </c>
      <c r="M201" s="18">
        <f t="shared" si="32"/>
        <v>2020</v>
      </c>
      <c r="N201" s="18">
        <f t="shared" si="32"/>
        <v>2021</v>
      </c>
      <c r="O201" s="18">
        <f t="shared" si="32"/>
        <v>2022</v>
      </c>
      <c r="P201" s="18">
        <f t="shared" si="32"/>
        <v>2023</v>
      </c>
      <c r="Q201" s="18">
        <f t="shared" si="32"/>
        <v>2024</v>
      </c>
      <c r="R201" s="18">
        <f t="shared" si="32"/>
        <v>2025</v>
      </c>
      <c r="S201" s="18">
        <f t="shared" si="32"/>
        <v>2026</v>
      </c>
    </row>
    <row r="202" spans="3:19">
      <c r="C202" s="4" t="s">
        <v>1786</v>
      </c>
      <c r="D202" s="4" t="s">
        <v>1787</v>
      </c>
      <c r="F202" s="20" t="s">
        <v>1789</v>
      </c>
      <c r="G202" s="20" t="s">
        <v>1789</v>
      </c>
      <c r="H202" s="20" t="s">
        <v>1789</v>
      </c>
      <c r="I202" s="20" t="s">
        <v>1789</v>
      </c>
      <c r="J202" s="19" t="s">
        <v>1788</v>
      </c>
      <c r="K202" s="20" t="s">
        <v>1789</v>
      </c>
      <c r="L202" s="20" t="s">
        <v>1789</v>
      </c>
      <c r="M202" s="20" t="s">
        <v>1789</v>
      </c>
      <c r="N202" s="20" t="s">
        <v>1789</v>
      </c>
      <c r="O202" s="20" t="s">
        <v>1789</v>
      </c>
      <c r="P202" s="19" t="s">
        <v>1788</v>
      </c>
      <c r="Q202" s="20" t="s">
        <v>1789</v>
      </c>
      <c r="R202" s="20" t="s">
        <v>1789</v>
      </c>
      <c r="S202" s="19" t="s">
        <v>1788</v>
      </c>
    </row>
    <row r="203" spans="3:19">
      <c r="C203" s="4" t="s">
        <v>2072</v>
      </c>
      <c r="D203" s="4" t="s">
        <v>2072</v>
      </c>
      <c r="F203" s="21"/>
      <c r="G203" s="22"/>
      <c r="H203" s="22"/>
      <c r="I203" s="22"/>
      <c r="J203" s="21"/>
      <c r="K203" s="22"/>
      <c r="L203" s="22"/>
      <c r="M203" s="22"/>
      <c r="N203" s="21"/>
      <c r="O203" s="22"/>
      <c r="P203" s="22"/>
      <c r="Q203" s="22"/>
      <c r="R203" s="22"/>
      <c r="S203" s="22"/>
    </row>
    <row r="204" spans="3:19">
      <c r="C204" s="4" t="s">
        <v>2070</v>
      </c>
      <c r="D204" s="4" t="s">
        <v>2071</v>
      </c>
      <c r="F204" s="21"/>
      <c r="G204" s="22"/>
      <c r="H204" s="22"/>
      <c r="I204" s="22"/>
      <c r="J204" s="21"/>
      <c r="K204" s="22"/>
      <c r="L204" s="22"/>
      <c r="M204" s="22"/>
      <c r="N204" s="21"/>
      <c r="O204" s="22"/>
      <c r="P204" s="22"/>
      <c r="Q204" s="22"/>
      <c r="R204" s="22"/>
      <c r="S204" s="22"/>
    </row>
    <row r="205" spans="3:19">
      <c r="C205" s="4" t="s">
        <v>1790</v>
      </c>
      <c r="D205" s="4" t="s">
        <v>1791</v>
      </c>
      <c r="F205" s="22">
        <v>0</v>
      </c>
      <c r="G205" s="22">
        <v>0</v>
      </c>
      <c r="H205" s="21"/>
      <c r="I205" s="22">
        <v>0</v>
      </c>
      <c r="J205" s="21">
        <v>465.50859184775999</v>
      </c>
      <c r="K205" s="22">
        <v>0</v>
      </c>
      <c r="L205" s="21"/>
      <c r="M205" s="22">
        <v>0</v>
      </c>
      <c r="N205" s="22">
        <v>0</v>
      </c>
      <c r="O205" s="22">
        <v>0</v>
      </c>
      <c r="P205" s="21">
        <v>940.690254745846</v>
      </c>
      <c r="Q205" s="22">
        <v>0</v>
      </c>
      <c r="R205" s="22">
        <v>0</v>
      </c>
      <c r="S205" s="22">
        <v>0</v>
      </c>
    </row>
    <row r="206" spans="3:19">
      <c r="C206" s="23" t="s">
        <v>1844</v>
      </c>
      <c r="D206" s="23" t="s">
        <v>1845</v>
      </c>
      <c r="F206" s="21"/>
      <c r="G206" s="22"/>
      <c r="H206" s="22"/>
      <c r="I206" s="22"/>
      <c r="J206" s="21"/>
      <c r="K206" s="22"/>
      <c r="L206" s="22"/>
      <c r="M206" s="22"/>
      <c r="N206" s="21"/>
      <c r="O206" s="22"/>
      <c r="P206" s="22"/>
      <c r="Q206" s="22"/>
      <c r="R206" s="22"/>
      <c r="S206" s="22"/>
    </row>
    <row r="207" spans="3:19">
      <c r="C207" s="23" t="s">
        <v>1848</v>
      </c>
      <c r="D207" s="23" t="s">
        <v>1849</v>
      </c>
      <c r="F207" s="21"/>
      <c r="G207" s="22"/>
      <c r="H207" s="22"/>
      <c r="I207" s="22"/>
      <c r="J207" s="21"/>
      <c r="K207" s="22"/>
      <c r="L207" s="22"/>
      <c r="M207" s="22"/>
      <c r="N207" s="21"/>
      <c r="O207" s="22"/>
      <c r="P207" s="22"/>
      <c r="Q207" s="22"/>
      <c r="R207" s="22"/>
      <c r="S207" s="22"/>
    </row>
    <row r="209" spans="3:19">
      <c r="C209" s="24" t="s">
        <v>1792</v>
      </c>
      <c r="D209" s="24" t="s">
        <v>1793</v>
      </c>
      <c r="E209" s="23"/>
      <c r="F209" s="25">
        <f>SUM(F210:F212)</f>
        <v>0</v>
      </c>
      <c r="G209" s="25">
        <f>SUM(G210:G212)</f>
        <v>0</v>
      </c>
      <c r="H209" s="25">
        <f>SUM(H210:H212)</f>
        <v>0</v>
      </c>
      <c r="I209" s="25">
        <f>SUM(I210:I212)</f>
        <v>0</v>
      </c>
      <c r="J209" s="25">
        <f>SUM(J210:J212)</f>
        <v>128.23068192202902</v>
      </c>
      <c r="K209" s="25">
        <f t="shared" ref="K209:R209" si="33">SUM(K210:K212)</f>
        <v>0</v>
      </c>
      <c r="L209" s="25">
        <f t="shared" si="33"/>
        <v>0</v>
      </c>
      <c r="M209" s="25">
        <f t="shared" si="33"/>
        <v>0</v>
      </c>
      <c r="N209" s="25">
        <f t="shared" si="33"/>
        <v>0</v>
      </c>
      <c r="O209" s="25">
        <f t="shared" si="33"/>
        <v>0</v>
      </c>
      <c r="P209" s="25">
        <f t="shared" si="33"/>
        <v>176.4248041897211</v>
      </c>
      <c r="Q209" s="25">
        <f t="shared" si="33"/>
        <v>0</v>
      </c>
      <c r="R209" s="25">
        <f t="shared" si="33"/>
        <v>0</v>
      </c>
      <c r="S209" s="25">
        <f t="shared" ref="S209" si="34">SUM(S210:S212)</f>
        <v>0</v>
      </c>
    </row>
    <row r="210" spans="3:19">
      <c r="C210" s="4" t="s">
        <v>1794</v>
      </c>
      <c r="D210" s="4" t="s">
        <v>1795</v>
      </c>
      <c r="F210" s="5"/>
      <c r="G210" s="5"/>
      <c r="H210" s="5"/>
      <c r="I210" s="5"/>
      <c r="J210" s="5">
        <v>128.23068192202902</v>
      </c>
      <c r="K210" s="5"/>
      <c r="L210" s="5"/>
      <c r="M210" s="5"/>
      <c r="N210" s="5"/>
      <c r="O210" s="5"/>
      <c r="P210" s="5">
        <v>176.4248041897211</v>
      </c>
      <c r="Q210" s="5"/>
      <c r="R210" s="5"/>
      <c r="S210" s="5"/>
    </row>
    <row r="211" spans="3:19">
      <c r="C211" s="4" t="s">
        <v>1796</v>
      </c>
      <c r="D211" s="4" t="s">
        <v>1797</v>
      </c>
      <c r="F211" s="5"/>
      <c r="G211" s="5"/>
      <c r="H211" s="5"/>
      <c r="I211" s="5"/>
      <c r="J211" s="5">
        <v>0</v>
      </c>
      <c r="K211" s="5"/>
      <c r="L211" s="5"/>
      <c r="M211" s="5"/>
      <c r="N211" s="5"/>
      <c r="O211" s="5"/>
      <c r="P211" s="5"/>
      <c r="Q211" s="5"/>
      <c r="R211" s="5"/>
      <c r="S211" s="5"/>
    </row>
    <row r="212" spans="3:19">
      <c r="C212" s="4" t="s">
        <v>1798</v>
      </c>
      <c r="D212" s="4" t="s">
        <v>1799</v>
      </c>
      <c r="F212" s="5"/>
      <c r="G212" s="5"/>
      <c r="H212" s="5"/>
      <c r="I212" s="5"/>
      <c r="J212" s="5">
        <v>0</v>
      </c>
      <c r="K212" s="5"/>
      <c r="L212" s="5"/>
      <c r="M212" s="5"/>
      <c r="N212" s="5"/>
      <c r="O212" s="5"/>
      <c r="P212" s="5"/>
      <c r="Q212" s="5"/>
      <c r="R212" s="5"/>
      <c r="S212" s="5"/>
    </row>
    <row r="213" spans="3:19">
      <c r="C213" s="24" t="s">
        <v>1800</v>
      </c>
      <c r="D213" s="24" t="s">
        <v>1801</v>
      </c>
      <c r="E213" s="23"/>
      <c r="F213" s="25">
        <f>SUM(F214:F216)</f>
        <v>0</v>
      </c>
      <c r="G213" s="25">
        <f>SUM(G214:G216)</f>
        <v>0</v>
      </c>
      <c r="H213" s="25">
        <f>SUM(H214:H216)</f>
        <v>0</v>
      </c>
      <c r="I213" s="25">
        <f>SUM(I214:I216)</f>
        <v>0</v>
      </c>
      <c r="J213" s="25">
        <f>SUM(J214:J216)</f>
        <v>101.92293213402512</v>
      </c>
      <c r="K213" s="25">
        <f t="shared" ref="K213:R213" si="35">SUM(K214:K216)</f>
        <v>0</v>
      </c>
      <c r="L213" s="25">
        <f t="shared" si="35"/>
        <v>0</v>
      </c>
      <c r="M213" s="25">
        <f t="shared" si="35"/>
        <v>0</v>
      </c>
      <c r="N213" s="25">
        <f t="shared" si="35"/>
        <v>0</v>
      </c>
      <c r="O213" s="25">
        <f t="shared" si="35"/>
        <v>0</v>
      </c>
      <c r="P213" s="25">
        <f t="shared" si="35"/>
        <v>196.6853459253478</v>
      </c>
      <c r="Q213" s="25">
        <f t="shared" si="35"/>
        <v>0</v>
      </c>
      <c r="R213" s="25">
        <f t="shared" si="35"/>
        <v>0</v>
      </c>
      <c r="S213" s="25">
        <f t="shared" ref="S213" si="36">SUM(S214:S216)</f>
        <v>0</v>
      </c>
    </row>
    <row r="214" spans="3:19">
      <c r="C214" s="4" t="s">
        <v>1802</v>
      </c>
      <c r="D214" s="4" t="s">
        <v>1803</v>
      </c>
      <c r="F214" s="5"/>
      <c r="G214" s="5"/>
      <c r="H214" s="5"/>
      <c r="I214" s="5"/>
      <c r="J214" s="5">
        <v>57.906333675048359</v>
      </c>
      <c r="K214" s="5"/>
      <c r="L214" s="5"/>
      <c r="M214" s="5"/>
      <c r="N214" s="5"/>
      <c r="O214" s="5"/>
      <c r="P214" s="5">
        <v>108.22093331661388</v>
      </c>
      <c r="Q214" s="5"/>
      <c r="R214" s="5"/>
      <c r="S214" s="5"/>
    </row>
    <row r="215" spans="3:19">
      <c r="C215" s="4" t="s">
        <v>1804</v>
      </c>
      <c r="D215" s="4" t="s">
        <v>1805</v>
      </c>
      <c r="F215" s="5"/>
      <c r="G215" s="5"/>
      <c r="H215" s="5"/>
      <c r="I215" s="5"/>
      <c r="J215" s="5">
        <v>29.5023232059932</v>
      </c>
      <c r="K215" s="5"/>
      <c r="L215" s="5"/>
      <c r="M215" s="5"/>
      <c r="N215" s="5"/>
      <c r="O215" s="5"/>
      <c r="P215" s="5">
        <v>59.14807865799397</v>
      </c>
      <c r="Q215" s="5"/>
      <c r="R215" s="5"/>
      <c r="S215" s="5"/>
    </row>
    <row r="216" spans="3:19">
      <c r="C216" s="4" t="s">
        <v>1806</v>
      </c>
      <c r="D216" s="4" t="s">
        <v>1807</v>
      </c>
      <c r="F216" s="5"/>
      <c r="G216" s="5"/>
      <c r="H216" s="5"/>
      <c r="I216" s="5"/>
      <c r="J216" s="5">
        <v>14.514275252983554</v>
      </c>
      <c r="K216" s="5"/>
      <c r="L216" s="5"/>
      <c r="M216" s="5"/>
      <c r="N216" s="5"/>
      <c r="O216" s="5"/>
      <c r="P216" s="5">
        <v>29.316333950739974</v>
      </c>
      <c r="Q216" s="5"/>
      <c r="R216" s="5"/>
      <c r="S216" s="5"/>
    </row>
    <row r="217" spans="3:19">
      <c r="C217" s="24" t="s">
        <v>1808</v>
      </c>
      <c r="D217" s="24" t="s">
        <v>1808</v>
      </c>
      <c r="E217" s="23"/>
      <c r="F217" s="25">
        <f t="shared" ref="F217:R217" si="37">F213+F209</f>
        <v>0</v>
      </c>
      <c r="G217" s="25">
        <f t="shared" si="37"/>
        <v>0</v>
      </c>
      <c r="H217" s="25">
        <f t="shared" si="37"/>
        <v>0</v>
      </c>
      <c r="I217" s="25">
        <f t="shared" si="37"/>
        <v>0</v>
      </c>
      <c r="J217" s="25">
        <f t="shared" si="37"/>
        <v>230.15361405605415</v>
      </c>
      <c r="K217" s="25">
        <f t="shared" si="37"/>
        <v>0</v>
      </c>
      <c r="L217" s="25">
        <f t="shared" si="37"/>
        <v>0</v>
      </c>
      <c r="M217" s="25">
        <f t="shared" si="37"/>
        <v>0</v>
      </c>
      <c r="N217" s="25">
        <f t="shared" si="37"/>
        <v>0</v>
      </c>
      <c r="O217" s="25">
        <f t="shared" si="37"/>
        <v>0</v>
      </c>
      <c r="P217" s="25">
        <f t="shared" si="37"/>
        <v>373.1101501150689</v>
      </c>
      <c r="Q217" s="25">
        <f t="shared" si="37"/>
        <v>0</v>
      </c>
      <c r="R217" s="25">
        <f t="shared" si="37"/>
        <v>0</v>
      </c>
      <c r="S217" s="25">
        <f t="shared" ref="S217" si="38">S213+S209</f>
        <v>0</v>
      </c>
    </row>
    <row r="218" spans="3:19">
      <c r="C218" s="4" t="s">
        <v>1809</v>
      </c>
      <c r="D218" s="4" t="s">
        <v>1810</v>
      </c>
      <c r="F218" s="5"/>
      <c r="G218" s="5"/>
      <c r="H218" s="5"/>
      <c r="I218" s="5"/>
      <c r="J218" s="5">
        <f>J217*(1-J232-J234)</f>
        <v>229.21227314815991</v>
      </c>
      <c r="K218" s="5"/>
      <c r="L218" s="5"/>
      <c r="M218" s="5"/>
      <c r="N218" s="5"/>
      <c r="O218" s="5"/>
      <c r="P218" s="5">
        <f>P217*(1-P232-P234)</f>
        <v>367.44890953823801</v>
      </c>
      <c r="Q218" s="5"/>
      <c r="R218" s="5"/>
      <c r="S218" s="5"/>
    </row>
    <row r="219" spans="3:19">
      <c r="C219" s="4" t="s">
        <v>1811</v>
      </c>
      <c r="D219" s="4" t="s">
        <v>1812</v>
      </c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3:19">
      <c r="C220" s="500" t="s">
        <v>1813</v>
      </c>
      <c r="D220" s="500" t="s">
        <v>1814</v>
      </c>
      <c r="F220" s="501"/>
      <c r="G220" s="501"/>
      <c r="H220" s="501"/>
      <c r="I220" s="501"/>
      <c r="J220" s="501">
        <v>4.5750292488396216</v>
      </c>
      <c r="K220" s="501"/>
      <c r="L220" s="501"/>
      <c r="M220" s="501"/>
      <c r="N220" s="501"/>
      <c r="O220" s="501"/>
      <c r="P220" s="501">
        <v>8.2815767568507361</v>
      </c>
      <c r="Q220" s="5"/>
      <c r="R220" s="5"/>
      <c r="S220" s="5"/>
    </row>
    <row r="221" spans="3:19">
      <c r="C221" s="500" t="s">
        <v>1815</v>
      </c>
      <c r="D221" s="500" t="s">
        <v>1816</v>
      </c>
      <c r="F221" s="501"/>
      <c r="G221" s="501"/>
      <c r="H221" s="501"/>
      <c r="I221" s="501"/>
      <c r="J221" s="501">
        <v>2.2281387873726892</v>
      </c>
      <c r="K221" s="501"/>
      <c r="L221" s="501"/>
      <c r="M221" s="501"/>
      <c r="N221" s="501"/>
      <c r="O221" s="501"/>
      <c r="P221" s="501">
        <v>1.941542656746079</v>
      </c>
      <c r="Q221" s="5"/>
      <c r="R221" s="5"/>
      <c r="S221" s="5"/>
    </row>
    <row r="222" spans="3:19">
      <c r="C222" s="500" t="s">
        <v>1817</v>
      </c>
      <c r="D222" s="500" t="s">
        <v>1818</v>
      </c>
      <c r="F222" s="501"/>
      <c r="G222" s="501"/>
      <c r="H222" s="501"/>
      <c r="I222" s="501"/>
      <c r="J222" s="501">
        <v>1.5009117268747112</v>
      </c>
      <c r="K222" s="501"/>
      <c r="L222" s="501"/>
      <c r="M222" s="501"/>
      <c r="N222" s="501"/>
      <c r="O222" s="501"/>
      <c r="P222" s="501">
        <v>1.1064156624762114</v>
      </c>
      <c r="Q222" s="5"/>
      <c r="R222" s="5"/>
      <c r="S222" s="5"/>
    </row>
    <row r="223" spans="3:19">
      <c r="C223" s="4" t="s">
        <v>1819</v>
      </c>
      <c r="D223" s="4" t="s">
        <v>1819</v>
      </c>
      <c r="F223" s="5"/>
      <c r="G223" s="5"/>
      <c r="H223" s="5"/>
      <c r="I223" s="5"/>
      <c r="J223" s="5">
        <f>SUM(J220:J222)</f>
        <v>8.3040797630870227</v>
      </c>
      <c r="K223" s="5"/>
      <c r="L223" s="5"/>
      <c r="M223" s="5"/>
      <c r="N223" s="5"/>
      <c r="O223" s="5"/>
      <c r="P223" s="5">
        <f>SUM(P220:P222)</f>
        <v>11.329535076073027</v>
      </c>
      <c r="Q223" s="5"/>
      <c r="R223" s="5"/>
      <c r="S223" s="5"/>
    </row>
    <row r="224" spans="3:19">
      <c r="C224" s="502" t="s">
        <v>1820</v>
      </c>
      <c r="D224" s="502" t="s">
        <v>1821</v>
      </c>
      <c r="F224" s="5">
        <v>0</v>
      </c>
      <c r="G224" s="5">
        <v>0</v>
      </c>
      <c r="H224" s="5">
        <v>0</v>
      </c>
      <c r="I224" s="5">
        <v>0</v>
      </c>
      <c r="J224" s="5">
        <v>11.468931768905232</v>
      </c>
      <c r="K224" s="5">
        <v>11.821928424828865</v>
      </c>
      <c r="L224" s="5">
        <v>10.627220150071668</v>
      </c>
      <c r="M224" s="5">
        <v>9.6860573611982375</v>
      </c>
      <c r="N224" s="5">
        <v>13.049256001577712</v>
      </c>
      <c r="O224" s="5">
        <v>13.671788874339724</v>
      </c>
      <c r="P224" s="5">
        <v>19.138931687192141</v>
      </c>
      <c r="Q224" s="5">
        <v>19.334745775352925</v>
      </c>
      <c r="R224" s="5">
        <v>21.847796446966257</v>
      </c>
      <c r="S224" s="5"/>
    </row>
    <row r="225" spans="3:19">
      <c r="C225" s="26" t="s">
        <v>1822</v>
      </c>
      <c r="D225" s="26" t="s">
        <v>1823</v>
      </c>
      <c r="E225" s="23"/>
      <c r="F225" s="27">
        <v>70.860985745777498</v>
      </c>
      <c r="G225" s="27">
        <v>79.005282501959627</v>
      </c>
      <c r="H225" s="27">
        <v>93.900537813699671</v>
      </c>
      <c r="I225" s="27">
        <v>113.39807762167263</v>
      </c>
      <c r="J225" s="27">
        <f>J218-J223+J219</f>
        <v>220.90819338507288</v>
      </c>
      <c r="K225" s="27">
        <v>215.82779383877005</v>
      </c>
      <c r="L225" s="27">
        <v>211.75052620600101</v>
      </c>
      <c r="M225" s="27">
        <v>208.33441088346407</v>
      </c>
      <c r="N225" s="27">
        <v>267.78879991172539</v>
      </c>
      <c r="O225" s="27">
        <v>276.30216334839128</v>
      </c>
      <c r="P225" s="27">
        <f>P218-P223+P219</f>
        <v>356.11937446216501</v>
      </c>
      <c r="Q225" s="27">
        <v>482.60571667258932</v>
      </c>
      <c r="R225" s="27">
        <v>495.30174294905822</v>
      </c>
      <c r="S225" s="27"/>
    </row>
    <row r="226" spans="3:19">
      <c r="C226" s="4" t="s">
        <v>1824</v>
      </c>
      <c r="D226" s="4" t="s">
        <v>1825</v>
      </c>
      <c r="F226" s="5">
        <v>942.72224900000072</v>
      </c>
      <c r="G226" s="5">
        <v>1018.3133540000002</v>
      </c>
      <c r="H226" s="5">
        <v>1042.5407998100004</v>
      </c>
      <c r="I226" s="5">
        <v>1115.092773000001</v>
      </c>
      <c r="J226" s="5">
        <v>1087.4676420000012</v>
      </c>
      <c r="K226" s="5">
        <v>1056.6356070000004</v>
      </c>
      <c r="L226" s="5">
        <v>1057.9382130000001</v>
      </c>
      <c r="M226" s="5">
        <v>1030.5998610000004</v>
      </c>
      <c r="N226" s="5">
        <v>1133.6671120000001</v>
      </c>
      <c r="O226" s="5">
        <v>1081.9438849999999</v>
      </c>
      <c r="P226" s="5">
        <v>1130.6517220000017</v>
      </c>
      <c r="Q226" s="5">
        <v>1398.8692900000003</v>
      </c>
      <c r="R226" s="5">
        <v>1367.2641619999999</v>
      </c>
      <c r="S226" s="5"/>
    </row>
    <row r="227" spans="3:19">
      <c r="C227" s="26" t="s">
        <v>1826</v>
      </c>
      <c r="D227" s="26" t="s">
        <v>1827</v>
      </c>
      <c r="E227" s="23"/>
      <c r="F227" s="32">
        <f t="shared" ref="F227:P227" si="39">IFERROR(F225/F226*1000,"N/A")</f>
        <v>75.1663449345168</v>
      </c>
      <c r="G227" s="32">
        <f t="shared" si="39"/>
        <v>77.584450986154522</v>
      </c>
      <c r="H227" s="32">
        <f t="shared" si="39"/>
        <v>90.068933350917987</v>
      </c>
      <c r="I227" s="32">
        <f t="shared" si="39"/>
        <v>101.693850383938</v>
      </c>
      <c r="J227" s="32">
        <f t="shared" si="39"/>
        <v>203.14001525488391</v>
      </c>
      <c r="K227" s="32">
        <f t="shared" si="39"/>
        <v>204.25943665815717</v>
      </c>
      <c r="L227" s="32">
        <f t="shared" si="39"/>
        <v>200.15396325040484</v>
      </c>
      <c r="M227" s="32">
        <f t="shared" si="39"/>
        <v>202.14868909580031</v>
      </c>
      <c r="N227" s="32">
        <f t="shared" si="39"/>
        <v>236.21466749555432</v>
      </c>
      <c r="O227" s="32">
        <f t="shared" si="39"/>
        <v>255.37568738917665</v>
      </c>
      <c r="P227" s="32">
        <f t="shared" si="39"/>
        <v>314.96823250950172</v>
      </c>
      <c r="Q227" s="32">
        <f>IFERROR(Q225/Q226*1000,"N/A")</f>
        <v>344.99700588365135</v>
      </c>
      <c r="R227" s="32">
        <f>IFERROR(R225/R226*1000,"N/A")</f>
        <v>362.25753348536773</v>
      </c>
      <c r="S227" s="32"/>
    </row>
    <row r="228" spans="3:19" ht="4.5" customHeight="1"/>
    <row r="229" spans="3:19">
      <c r="C229" s="26" t="s">
        <v>2073</v>
      </c>
      <c r="D229" s="26" t="s">
        <v>2073</v>
      </c>
      <c r="E229" s="23"/>
      <c r="F229" s="27">
        <v>157.29833333333335</v>
      </c>
      <c r="G229" s="27">
        <v>178.76862348462737</v>
      </c>
      <c r="H229" s="27">
        <v>145.39454504680594</v>
      </c>
      <c r="I229" s="27">
        <v>165.07868351144799</v>
      </c>
      <c r="J229" s="27">
        <v>138.86194128833466</v>
      </c>
      <c r="K229" s="27">
        <v>153.03533127729881</v>
      </c>
      <c r="L229" s="27">
        <v>159.91673734045969</v>
      </c>
      <c r="M229" s="27">
        <v>162.89880853621386</v>
      </c>
      <c r="N229" s="27">
        <v>174.83046648198354</v>
      </c>
      <c r="O229" s="27">
        <v>196.76612749558893</v>
      </c>
      <c r="P229" s="27">
        <v>207.57926993010042</v>
      </c>
      <c r="Q229" s="27">
        <v>219.75953912319937</v>
      </c>
      <c r="R229" s="27">
        <v>255.94445908054888</v>
      </c>
      <c r="S229" s="27"/>
    </row>
    <row r="230" spans="3:19" ht="4.5" customHeight="1"/>
    <row r="231" spans="3:19">
      <c r="C231" s="24" t="s">
        <v>1828</v>
      </c>
      <c r="D231" s="24" t="s">
        <v>1829</v>
      </c>
      <c r="F231" s="28">
        <f>SUM(F232:F234)</f>
        <v>0</v>
      </c>
      <c r="G231" s="28">
        <f>SUM(G232:G234)</f>
        <v>0</v>
      </c>
      <c r="H231" s="28">
        <f>SUM(H232:H234)</f>
        <v>0</v>
      </c>
      <c r="I231" s="28">
        <f>SUM(I232:I234)</f>
        <v>0</v>
      </c>
      <c r="J231" s="28">
        <f>SUM(J232:J234)</f>
        <v>4.0900548607721698E-3</v>
      </c>
      <c r="K231" s="28">
        <f t="shared" ref="K231:P231" si="40">SUM(K232:K234)</f>
        <v>-3.8440248281332674E-3</v>
      </c>
      <c r="L231" s="28">
        <f t="shared" si="40"/>
        <v>7.0196606720970712E-3</v>
      </c>
      <c r="M231" s="28">
        <f t="shared" si="40"/>
        <v>-2.9064234674670919E-3</v>
      </c>
      <c r="N231" s="28">
        <f t="shared" si="40"/>
        <v>4.8679483573069301E-3</v>
      </c>
      <c r="O231" s="28">
        <f t="shared" si="40"/>
        <v>-1.3188273792392225E-2</v>
      </c>
      <c r="P231" s="28">
        <f t="shared" si="40"/>
        <v>1.5173107928275219E-2</v>
      </c>
      <c r="Q231" s="28">
        <f>SUM(Q232:Q234)</f>
        <v>-1.2402131500366202E-2</v>
      </c>
      <c r="R231" s="28">
        <f>SUM(R232:R234)</f>
        <v>2.5373976622580985E-3</v>
      </c>
      <c r="S231" s="28"/>
    </row>
    <row r="232" spans="3:19">
      <c r="C232" s="4" t="s">
        <v>1830</v>
      </c>
      <c r="D232" s="4" t="s">
        <v>1830</v>
      </c>
      <c r="F232" s="29">
        <v>0</v>
      </c>
      <c r="G232" s="29">
        <v>0</v>
      </c>
      <c r="H232" s="29">
        <v>0</v>
      </c>
      <c r="I232" s="29">
        <v>0</v>
      </c>
      <c r="J232" s="29">
        <v>5.7400548607721702E-3</v>
      </c>
      <c r="K232" s="29">
        <v>1.9123457512028525E-3</v>
      </c>
      <c r="L232" s="29">
        <v>9.9743211564911165E-3</v>
      </c>
      <c r="M232" s="29">
        <v>-3.3287610666087025E-3</v>
      </c>
      <c r="N232" s="29">
        <v>0</v>
      </c>
      <c r="O232" s="29">
        <v>0</v>
      </c>
      <c r="P232" s="29">
        <v>0</v>
      </c>
      <c r="Q232" s="29">
        <v>0</v>
      </c>
      <c r="R232" s="29">
        <v>0</v>
      </c>
      <c r="S232" s="29"/>
    </row>
    <row r="233" spans="3:19">
      <c r="C233" s="4" t="s">
        <v>1831</v>
      </c>
      <c r="D233" s="4" t="s">
        <v>1831</v>
      </c>
      <c r="F233" s="29">
        <v>0</v>
      </c>
      <c r="G233" s="29">
        <v>0</v>
      </c>
      <c r="H233" s="29">
        <v>0</v>
      </c>
      <c r="I233" s="29">
        <v>0</v>
      </c>
      <c r="J233" s="29">
        <v>0</v>
      </c>
      <c r="K233" s="29">
        <v>0</v>
      </c>
      <c r="L233" s="29">
        <v>0</v>
      </c>
      <c r="M233" s="29">
        <v>0</v>
      </c>
      <c r="N233" s="29">
        <v>0</v>
      </c>
      <c r="O233" s="29">
        <v>0</v>
      </c>
      <c r="P233" s="29">
        <v>0</v>
      </c>
      <c r="Q233" s="29">
        <v>0</v>
      </c>
      <c r="R233" s="29">
        <v>0</v>
      </c>
      <c r="S233" s="29"/>
    </row>
    <row r="234" spans="3:19">
      <c r="C234" s="30" t="s">
        <v>1832</v>
      </c>
      <c r="D234" s="30" t="s">
        <v>1832</v>
      </c>
      <c r="F234" s="31">
        <v>0</v>
      </c>
      <c r="G234" s="31">
        <v>0</v>
      </c>
      <c r="H234" s="31">
        <v>0</v>
      </c>
      <c r="I234" s="31">
        <v>0</v>
      </c>
      <c r="J234" s="31">
        <v>-1.65E-3</v>
      </c>
      <c r="K234" s="31">
        <v>-5.7563705793361201E-3</v>
      </c>
      <c r="L234" s="31">
        <v>-2.9546604843940457E-3</v>
      </c>
      <c r="M234" s="31">
        <v>4.2233759914161041E-4</v>
      </c>
      <c r="N234" s="31">
        <v>4.8679483573069301E-3</v>
      </c>
      <c r="O234" s="31">
        <v>-1.3188273792392225E-2</v>
      </c>
      <c r="P234" s="31">
        <v>1.5173107928275219E-2</v>
      </c>
      <c r="Q234" s="31">
        <v>-1.2402131500366202E-2</v>
      </c>
      <c r="R234" s="31">
        <v>2.5373976622580985E-3</v>
      </c>
      <c r="S234" s="31"/>
    </row>
    <row r="236" spans="3:19">
      <c r="C236" s="6" t="s">
        <v>125</v>
      </c>
      <c r="D236" s="6" t="s">
        <v>125</v>
      </c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</row>
    <row r="237" spans="3:19" ht="3.6" customHeight="1"/>
    <row r="238" spans="3:19">
      <c r="C238" s="17" t="s">
        <v>1835</v>
      </c>
      <c r="D238" s="17" t="s">
        <v>1836</v>
      </c>
      <c r="F238" s="18">
        <f>G238-1</f>
        <v>2013</v>
      </c>
      <c r="G238" s="18">
        <f>H238-1</f>
        <v>2014</v>
      </c>
      <c r="H238" s="18">
        <f>I238-1</f>
        <v>2015</v>
      </c>
      <c r="I238" s="18">
        <f>J238-1</f>
        <v>2016</v>
      </c>
      <c r="J238" s="18">
        <v>2017</v>
      </c>
      <c r="K238" s="18">
        <f>J238+1</f>
        <v>2018</v>
      </c>
      <c r="L238" s="18">
        <f t="shared" ref="L238:S238" si="41">K238+1</f>
        <v>2019</v>
      </c>
      <c r="M238" s="18">
        <f t="shared" si="41"/>
        <v>2020</v>
      </c>
      <c r="N238" s="18">
        <f t="shared" si="41"/>
        <v>2021</v>
      </c>
      <c r="O238" s="18">
        <f t="shared" si="41"/>
        <v>2022</v>
      </c>
      <c r="P238" s="18">
        <f t="shared" si="41"/>
        <v>2023</v>
      </c>
      <c r="Q238" s="18">
        <f t="shared" si="41"/>
        <v>2024</v>
      </c>
      <c r="R238" s="18">
        <f t="shared" si="41"/>
        <v>2025</v>
      </c>
      <c r="S238" s="18">
        <f t="shared" si="41"/>
        <v>2026</v>
      </c>
    </row>
    <row r="239" spans="3:19">
      <c r="C239" s="4" t="s">
        <v>1786</v>
      </c>
      <c r="D239" s="4" t="s">
        <v>1787</v>
      </c>
      <c r="F239" s="19" t="s">
        <v>1788</v>
      </c>
      <c r="G239" s="20" t="s">
        <v>1789</v>
      </c>
      <c r="H239" s="20" t="s">
        <v>1789</v>
      </c>
      <c r="I239" s="20" t="s">
        <v>1789</v>
      </c>
      <c r="J239" s="20" t="s">
        <v>1789</v>
      </c>
      <c r="K239" s="19" t="s">
        <v>1788</v>
      </c>
      <c r="L239" s="20" t="s">
        <v>1789</v>
      </c>
      <c r="M239" s="20" t="s">
        <v>1789</v>
      </c>
      <c r="N239" s="20" t="s">
        <v>1789</v>
      </c>
      <c r="O239" s="20" t="s">
        <v>1789</v>
      </c>
      <c r="P239" s="19" t="s">
        <v>1788</v>
      </c>
      <c r="Q239" s="20" t="s">
        <v>1789</v>
      </c>
      <c r="R239" s="20" t="s">
        <v>1789</v>
      </c>
      <c r="S239" s="20" t="s">
        <v>1789</v>
      </c>
    </row>
    <row r="240" spans="3:19">
      <c r="C240" s="4" t="s">
        <v>2072</v>
      </c>
      <c r="D240" s="4" t="s">
        <v>2072</v>
      </c>
      <c r="F240" s="21"/>
      <c r="G240" s="22"/>
      <c r="H240" s="22"/>
      <c r="I240" s="22"/>
      <c r="J240" s="21"/>
      <c r="K240" s="22"/>
      <c r="L240" s="22"/>
      <c r="M240" s="22"/>
      <c r="N240" s="21"/>
      <c r="O240" s="22"/>
      <c r="P240" s="22"/>
      <c r="Q240" s="22"/>
      <c r="R240" s="22"/>
      <c r="S240" s="22"/>
    </row>
    <row r="241" spans="3:19">
      <c r="C241" s="4" t="s">
        <v>2070</v>
      </c>
      <c r="D241" s="4" t="s">
        <v>2071</v>
      </c>
      <c r="F241" s="21"/>
      <c r="G241" s="22"/>
      <c r="H241" s="22"/>
      <c r="I241" s="22"/>
      <c r="J241" s="21"/>
      <c r="K241" s="22"/>
      <c r="L241" s="22"/>
      <c r="M241" s="22"/>
      <c r="N241" s="21"/>
      <c r="O241" s="22"/>
      <c r="P241" s="22"/>
      <c r="Q241" s="22"/>
      <c r="R241" s="22"/>
      <c r="S241" s="22"/>
    </row>
    <row r="242" spans="3:19">
      <c r="C242" s="4" t="s">
        <v>1790</v>
      </c>
      <c r="D242" s="4" t="s">
        <v>1791</v>
      </c>
      <c r="F242" s="21">
        <v>1530.7731036404844</v>
      </c>
      <c r="G242" s="22">
        <v>0</v>
      </c>
      <c r="H242" s="21">
        <v>0</v>
      </c>
      <c r="I242" s="22">
        <v>0</v>
      </c>
      <c r="J242" s="22">
        <v>0</v>
      </c>
      <c r="K242" s="21">
        <v>2961.1713410207099</v>
      </c>
      <c r="L242" s="21">
        <v>0</v>
      </c>
      <c r="M242" s="22">
        <v>0</v>
      </c>
      <c r="N242" s="22">
        <v>0</v>
      </c>
      <c r="O242" s="22">
        <v>0</v>
      </c>
      <c r="P242" s="21">
        <v>9392.7278946522347</v>
      </c>
      <c r="Q242" s="22">
        <v>0</v>
      </c>
      <c r="R242" s="22">
        <v>0</v>
      </c>
      <c r="S242" s="22">
        <v>0</v>
      </c>
    </row>
    <row r="243" spans="3:19">
      <c r="C243" s="23" t="s">
        <v>1838</v>
      </c>
      <c r="D243" s="23" t="s">
        <v>1839</v>
      </c>
      <c r="F243" s="21"/>
      <c r="G243" s="22"/>
      <c r="H243" s="22"/>
      <c r="I243" s="22"/>
      <c r="J243" s="21"/>
      <c r="K243" s="22"/>
      <c r="L243" s="22"/>
      <c r="M243" s="22"/>
      <c r="N243" s="21"/>
      <c r="O243" s="22"/>
      <c r="P243" s="22"/>
      <c r="Q243" s="22"/>
      <c r="R243" s="22"/>
      <c r="S243" s="22"/>
    </row>
    <row r="244" spans="3:19">
      <c r="C244" s="23" t="s">
        <v>1850</v>
      </c>
      <c r="D244" s="23" t="s">
        <v>1847</v>
      </c>
      <c r="F244" s="21"/>
      <c r="G244" s="22"/>
      <c r="H244" s="22"/>
      <c r="I244" s="22"/>
      <c r="J244" s="21"/>
      <c r="K244" s="22"/>
      <c r="L244" s="22"/>
      <c r="M244" s="22"/>
      <c r="N244" s="21"/>
      <c r="O244" s="22"/>
      <c r="P244" s="22"/>
      <c r="Q244" s="22"/>
      <c r="R244" s="22"/>
      <c r="S244" s="22"/>
    </row>
    <row r="245" spans="3:19" ht="4.5" customHeight="1"/>
    <row r="246" spans="3:19">
      <c r="C246" s="24" t="s">
        <v>1792</v>
      </c>
      <c r="D246" s="24" t="s">
        <v>1793</v>
      </c>
      <c r="E246" s="23"/>
      <c r="F246" s="25">
        <f>SUM(F247:F249)</f>
        <v>662.2722718936003</v>
      </c>
      <c r="G246" s="25">
        <f>SUM(G247:G249)</f>
        <v>0</v>
      </c>
      <c r="H246" s="25">
        <f>SUM(H247:H249)</f>
        <v>0</v>
      </c>
      <c r="I246" s="25">
        <f>SUM(I247:I249)</f>
        <v>0</v>
      </c>
      <c r="J246" s="25">
        <f>SUM(J247:J249)</f>
        <v>0</v>
      </c>
      <c r="K246" s="25">
        <f t="shared" ref="K246:P246" si="42">SUM(K247:K249)</f>
        <v>928.55792135135255</v>
      </c>
      <c r="L246" s="25">
        <f t="shared" si="42"/>
        <v>0</v>
      </c>
      <c r="M246" s="25">
        <f t="shared" si="42"/>
        <v>0</v>
      </c>
      <c r="N246" s="25">
        <f t="shared" si="42"/>
        <v>0</v>
      </c>
      <c r="O246" s="25">
        <f t="shared" si="42"/>
        <v>0</v>
      </c>
      <c r="P246" s="25">
        <f t="shared" si="42"/>
        <v>1425.2214858587524</v>
      </c>
      <c r="Q246" s="25">
        <f>SUM(Q247:Q249)</f>
        <v>0</v>
      </c>
      <c r="R246" s="25">
        <f>SUM(R247:R249)</f>
        <v>0</v>
      </c>
      <c r="S246" s="25">
        <f>SUM(S247:S249)</f>
        <v>0</v>
      </c>
    </row>
    <row r="247" spans="3:19">
      <c r="C247" s="4" t="s">
        <v>1794</v>
      </c>
      <c r="D247" s="4" t="s">
        <v>1795</v>
      </c>
      <c r="F247" s="5">
        <v>642.38263100286269</v>
      </c>
      <c r="G247" s="5"/>
      <c r="H247" s="5"/>
      <c r="I247" s="5"/>
      <c r="J247" s="5"/>
      <c r="K247" s="5">
        <v>928.55792135135255</v>
      </c>
      <c r="L247" s="5"/>
      <c r="M247" s="5"/>
      <c r="N247" s="5"/>
      <c r="O247" s="5"/>
      <c r="P247" s="5">
        <v>1425.2214858587524</v>
      </c>
      <c r="Q247" s="5"/>
      <c r="R247" s="5"/>
      <c r="S247" s="5"/>
    </row>
    <row r="248" spans="3:19">
      <c r="C248" s="4" t="s">
        <v>1796</v>
      </c>
      <c r="D248" s="4" t="s">
        <v>1797</v>
      </c>
      <c r="F248" s="5">
        <v>2.2099606721820408</v>
      </c>
      <c r="G248" s="5"/>
      <c r="H248" s="5"/>
      <c r="I248" s="5"/>
      <c r="J248" s="5"/>
      <c r="K248" s="5">
        <v>0</v>
      </c>
      <c r="L248" s="5"/>
      <c r="M248" s="5"/>
      <c r="N248" s="5"/>
      <c r="O248" s="5"/>
      <c r="P248" s="5">
        <v>0</v>
      </c>
      <c r="Q248" s="5"/>
      <c r="R248" s="5"/>
      <c r="S248" s="5"/>
    </row>
    <row r="249" spans="3:19">
      <c r="C249" s="4" t="s">
        <v>1798</v>
      </c>
      <c r="D249" s="4" t="s">
        <v>1799</v>
      </c>
      <c r="F249" s="5">
        <v>17.679680218555486</v>
      </c>
      <c r="G249" s="5"/>
      <c r="H249" s="5"/>
      <c r="I249" s="5"/>
      <c r="J249" s="5"/>
      <c r="K249" s="5">
        <v>0</v>
      </c>
      <c r="L249" s="5"/>
      <c r="M249" s="5"/>
      <c r="N249" s="5"/>
      <c r="O249" s="5"/>
      <c r="P249" s="5">
        <v>0</v>
      </c>
      <c r="Q249" s="5"/>
      <c r="R249" s="5"/>
      <c r="S249" s="5"/>
    </row>
    <row r="250" spans="3:19">
      <c r="C250" s="24" t="s">
        <v>1800</v>
      </c>
      <c r="D250" s="24" t="s">
        <v>1801</v>
      </c>
      <c r="E250" s="23"/>
      <c r="F250" s="25">
        <f>SUM(F251:F253)</f>
        <v>340.41665597801455</v>
      </c>
      <c r="G250" s="25">
        <f>SUM(G251:G253)</f>
        <v>0</v>
      </c>
      <c r="H250" s="25">
        <f>SUM(H251:H253)</f>
        <v>0</v>
      </c>
      <c r="I250" s="25">
        <f>SUM(I251:I253)</f>
        <v>0</v>
      </c>
      <c r="J250" s="25">
        <f>SUM(J251:J253)</f>
        <v>0</v>
      </c>
      <c r="K250" s="25">
        <f t="shared" ref="K250:P250" si="43">SUM(K251:K253)</f>
        <v>723.44486126035383</v>
      </c>
      <c r="L250" s="25">
        <f t="shared" si="43"/>
        <v>0</v>
      </c>
      <c r="M250" s="25">
        <f t="shared" si="43"/>
        <v>0</v>
      </c>
      <c r="N250" s="25">
        <f t="shared" si="43"/>
        <v>0</v>
      </c>
      <c r="O250" s="25">
        <f t="shared" si="43"/>
        <v>0</v>
      </c>
      <c r="P250" s="25">
        <f t="shared" si="43"/>
        <v>1814.9102922742372</v>
      </c>
      <c r="Q250" s="25">
        <f>SUM(Q251:Q253)</f>
        <v>0</v>
      </c>
      <c r="R250" s="25">
        <f>SUM(R251:R253)</f>
        <v>0</v>
      </c>
      <c r="S250" s="25">
        <f>SUM(S251:S253)</f>
        <v>0</v>
      </c>
    </row>
    <row r="251" spans="3:19">
      <c r="C251" s="4" t="s">
        <v>1802</v>
      </c>
      <c r="D251" s="4" t="s">
        <v>1803</v>
      </c>
      <c r="F251" s="5">
        <v>168.95009294071701</v>
      </c>
      <c r="G251" s="5"/>
      <c r="H251" s="5"/>
      <c r="I251" s="5"/>
      <c r="J251" s="5"/>
      <c r="K251" s="5">
        <v>403.63544849262502</v>
      </c>
      <c r="L251" s="5"/>
      <c r="M251" s="5"/>
      <c r="N251" s="5"/>
      <c r="O251" s="5"/>
      <c r="P251" s="5">
        <v>1112.2229571619218</v>
      </c>
      <c r="Q251" s="5"/>
      <c r="R251" s="5"/>
      <c r="S251" s="5"/>
    </row>
    <row r="252" spans="3:19">
      <c r="C252" s="4" t="s">
        <v>1804</v>
      </c>
      <c r="D252" s="4" t="s">
        <v>1805</v>
      </c>
      <c r="F252" s="5">
        <v>126.25227814276897</v>
      </c>
      <c r="G252" s="5"/>
      <c r="H252" s="5"/>
      <c r="I252" s="5"/>
      <c r="J252" s="5"/>
      <c r="K252" s="5">
        <v>212.24876236648652</v>
      </c>
      <c r="L252" s="5"/>
      <c r="M252" s="5"/>
      <c r="N252" s="5"/>
      <c r="O252" s="5"/>
      <c r="P252" s="5">
        <v>509.51833554387741</v>
      </c>
      <c r="Q252" s="5"/>
      <c r="R252" s="5"/>
      <c r="S252" s="5"/>
    </row>
    <row r="253" spans="3:19">
      <c r="C253" s="4" t="s">
        <v>1806</v>
      </c>
      <c r="D253" s="4" t="s">
        <v>1807</v>
      </c>
      <c r="F253" s="5">
        <v>45.214284894528511</v>
      </c>
      <c r="G253" s="5"/>
      <c r="H253" s="5"/>
      <c r="I253" s="5"/>
      <c r="J253" s="5"/>
      <c r="K253" s="5">
        <v>107.5606504012422</v>
      </c>
      <c r="L253" s="5"/>
      <c r="M253" s="5"/>
      <c r="N253" s="5"/>
      <c r="O253" s="5"/>
      <c r="P253" s="5">
        <v>193.16899956843798</v>
      </c>
      <c r="Q253" s="5"/>
      <c r="R253" s="5"/>
      <c r="S253" s="5"/>
    </row>
    <row r="254" spans="3:19">
      <c r="C254" s="24" t="s">
        <v>1808</v>
      </c>
      <c r="D254" s="24" t="s">
        <v>1808</v>
      </c>
      <c r="E254" s="23"/>
      <c r="F254" s="25">
        <f>F250+F246</f>
        <v>1002.6889278716149</v>
      </c>
      <c r="G254" s="25">
        <f>G250+G246</f>
        <v>0</v>
      </c>
      <c r="H254" s="25">
        <f>H250+H246</f>
        <v>0</v>
      </c>
      <c r="I254" s="25">
        <f>I250+I246</f>
        <v>0</v>
      </c>
      <c r="J254" s="25">
        <f>J250+J246</f>
        <v>0</v>
      </c>
      <c r="K254" s="25">
        <f t="shared" ref="K254:P254" si="44">K250+K246</f>
        <v>1652.0027826117064</v>
      </c>
      <c r="L254" s="25">
        <f t="shared" si="44"/>
        <v>0</v>
      </c>
      <c r="M254" s="25">
        <f t="shared" si="44"/>
        <v>0</v>
      </c>
      <c r="N254" s="25">
        <f t="shared" si="44"/>
        <v>0</v>
      </c>
      <c r="O254" s="25">
        <f t="shared" si="44"/>
        <v>0</v>
      </c>
      <c r="P254" s="25">
        <f t="shared" si="44"/>
        <v>3240.1317781329899</v>
      </c>
      <c r="Q254" s="25">
        <f>Q250+Q246</f>
        <v>0</v>
      </c>
      <c r="R254" s="25">
        <f>R250+R246</f>
        <v>0</v>
      </c>
      <c r="S254" s="25">
        <f>S250+S246</f>
        <v>0</v>
      </c>
    </row>
    <row r="255" spans="3:19">
      <c r="C255" s="4" t="s">
        <v>1809</v>
      </c>
      <c r="D255" s="4" t="s">
        <v>1810</v>
      </c>
      <c r="F255" s="5">
        <f>F254*(1-F269-F271)</f>
        <v>989.71441329438312</v>
      </c>
      <c r="G255" s="5"/>
      <c r="H255" s="5"/>
      <c r="I255" s="5"/>
      <c r="J255" s="5"/>
      <c r="K255" s="5">
        <f>K254*(1-K269-K271)</f>
        <v>1619.1559538182184</v>
      </c>
      <c r="L255" s="5"/>
      <c r="M255" s="5"/>
      <c r="N255" s="5"/>
      <c r="O255" s="5"/>
      <c r="P255" s="5">
        <f>P254*(1-P269-P271)</f>
        <v>3173.4896390942881</v>
      </c>
      <c r="Q255" s="5"/>
      <c r="R255" s="5"/>
      <c r="S255" s="5"/>
    </row>
    <row r="256" spans="3:19">
      <c r="C256" s="4" t="s">
        <v>1811</v>
      </c>
      <c r="D256" s="4" t="s">
        <v>1812</v>
      </c>
      <c r="F256" s="5">
        <v>0</v>
      </c>
      <c r="G256" s="5"/>
      <c r="H256" s="5"/>
      <c r="I256" s="5"/>
      <c r="J256" s="5"/>
      <c r="K256" s="5">
        <v>0</v>
      </c>
      <c r="L256" s="5"/>
      <c r="M256" s="5"/>
      <c r="N256" s="5"/>
      <c r="O256" s="5"/>
      <c r="P256" s="5">
        <v>0</v>
      </c>
      <c r="Q256" s="5"/>
      <c r="R256" s="5"/>
      <c r="S256" s="5"/>
    </row>
    <row r="257" spans="3:19">
      <c r="C257" s="500" t="s">
        <v>1813</v>
      </c>
      <c r="D257" s="500" t="s">
        <v>1814</v>
      </c>
      <c r="F257" s="501">
        <v>31.597840555392217</v>
      </c>
      <c r="G257" s="501"/>
      <c r="H257" s="501"/>
      <c r="I257" s="501"/>
      <c r="J257" s="501"/>
      <c r="K257" s="501">
        <v>43.154422348055384</v>
      </c>
      <c r="L257" s="501"/>
      <c r="M257" s="501"/>
      <c r="N257" s="501"/>
      <c r="O257" s="501"/>
      <c r="P257" s="501">
        <v>77.459760770483172</v>
      </c>
      <c r="Q257" s="5"/>
      <c r="R257" s="5"/>
      <c r="S257" s="5"/>
    </row>
    <row r="258" spans="3:19">
      <c r="C258" s="500" t="s">
        <v>1815</v>
      </c>
      <c r="D258" s="500" t="s">
        <v>1816</v>
      </c>
      <c r="F258" s="501">
        <v>0</v>
      </c>
      <c r="G258" s="501"/>
      <c r="H258" s="501"/>
      <c r="I258" s="501"/>
      <c r="J258" s="501"/>
      <c r="K258" s="501">
        <v>10.461697151303161</v>
      </c>
      <c r="L258" s="501"/>
      <c r="M258" s="501"/>
      <c r="N258" s="501"/>
      <c r="O258" s="501"/>
      <c r="P258" s="501">
        <v>24.049377312196725</v>
      </c>
      <c r="Q258" s="5"/>
      <c r="R258" s="5"/>
      <c r="S258" s="5"/>
    </row>
    <row r="259" spans="3:19">
      <c r="C259" s="500" t="s">
        <v>1817</v>
      </c>
      <c r="D259" s="500" t="s">
        <v>1818</v>
      </c>
      <c r="F259" s="501">
        <v>0</v>
      </c>
      <c r="G259" s="501"/>
      <c r="H259" s="501"/>
      <c r="I259" s="501"/>
      <c r="J259" s="501"/>
      <c r="K259" s="501">
        <v>15.905422461763969</v>
      </c>
      <c r="L259" s="501"/>
      <c r="M259" s="501"/>
      <c r="N259" s="501"/>
      <c r="O259" s="501"/>
      <c r="P259" s="501">
        <v>26.11201961308592</v>
      </c>
      <c r="Q259" s="5"/>
      <c r="R259" s="5"/>
      <c r="S259" s="5"/>
    </row>
    <row r="260" spans="3:19">
      <c r="C260" s="4" t="s">
        <v>1819</v>
      </c>
      <c r="D260" s="4" t="s">
        <v>1819</v>
      </c>
      <c r="F260" s="5">
        <f>SUM(F257:F259)</f>
        <v>31.597840555392217</v>
      </c>
      <c r="G260" s="5"/>
      <c r="H260" s="5"/>
      <c r="I260" s="5"/>
      <c r="J260" s="5"/>
      <c r="K260" s="5">
        <f>SUM(K257:K259)</f>
        <v>69.521541961122523</v>
      </c>
      <c r="L260" s="5"/>
      <c r="M260" s="5"/>
      <c r="N260" s="5"/>
      <c r="O260" s="5"/>
      <c r="P260" s="5">
        <f>SUM(P257:P259)</f>
        <v>127.62115769576582</v>
      </c>
      <c r="Q260" s="5"/>
      <c r="R260" s="5"/>
      <c r="S260" s="5"/>
    </row>
    <row r="261" spans="3:19">
      <c r="C261" s="502" t="s">
        <v>1820</v>
      </c>
      <c r="D261" s="502" t="s">
        <v>1821</v>
      </c>
      <c r="F261" s="5">
        <f>SUM(F248:F249)</f>
        <v>19.889640890737528</v>
      </c>
      <c r="G261" s="5">
        <v>0</v>
      </c>
      <c r="H261" s="5">
        <v>0</v>
      </c>
      <c r="I261" s="5">
        <v>0</v>
      </c>
      <c r="J261" s="5">
        <v>33.523152229564225</v>
      </c>
      <c r="K261" s="5">
        <v>33.709118036888057</v>
      </c>
      <c r="L261" s="5">
        <v>30.678666337684067</v>
      </c>
      <c r="M261" s="5">
        <v>31.716023131299988</v>
      </c>
      <c r="N261" s="5">
        <v>38.402500475273719</v>
      </c>
      <c r="O261" s="5">
        <v>54.601737982205776</v>
      </c>
      <c r="P261" s="5">
        <v>46.121413260733704</v>
      </c>
      <c r="Q261" s="5">
        <v>56.54418103115561</v>
      </c>
      <c r="R261" s="5">
        <v>68.924724130762598</v>
      </c>
      <c r="S261" s="5"/>
    </row>
    <row r="262" spans="3:19">
      <c r="C262" s="26" t="s">
        <v>1822</v>
      </c>
      <c r="D262" s="26" t="s">
        <v>1823</v>
      </c>
      <c r="E262" s="23"/>
      <c r="F262" s="27">
        <f>F255-F260+F256</f>
        <v>958.11657273899095</v>
      </c>
      <c r="G262" s="27">
        <v>1066.7135897573523</v>
      </c>
      <c r="H262" s="27">
        <v>1143.4285052888945</v>
      </c>
      <c r="I262" s="27">
        <v>1246.3802478446437</v>
      </c>
      <c r="J262" s="27">
        <v>1223.3399553757149</v>
      </c>
      <c r="K262" s="27">
        <f>K255-K260+K256</f>
        <v>1549.634411857096</v>
      </c>
      <c r="L262" s="27">
        <v>1644.1786845921843</v>
      </c>
      <c r="M262" s="27">
        <v>1753.5282568627258</v>
      </c>
      <c r="N262" s="27">
        <v>2028.0777685259509</v>
      </c>
      <c r="O262" s="27">
        <v>2217.3058373902563</v>
      </c>
      <c r="P262" s="27">
        <f>P255-P260+P256</f>
        <v>3045.8684813985224</v>
      </c>
      <c r="Q262" s="27">
        <f>3568058810.59601/1000000</f>
        <v>3568.0588105960101</v>
      </c>
      <c r="R262" s="27">
        <v>3736.079586970845</v>
      </c>
      <c r="S262" s="27"/>
    </row>
    <row r="263" spans="3:19">
      <c r="C263" s="4" t="s">
        <v>1824</v>
      </c>
      <c r="D263" s="4" t="s">
        <v>1825</v>
      </c>
      <c r="F263" s="5">
        <v>11774.699159999998</v>
      </c>
      <c r="G263" s="5">
        <v>12557.970876000005</v>
      </c>
      <c r="H263" s="5">
        <v>12913.158119</v>
      </c>
      <c r="I263" s="5">
        <v>13101.978676999999</v>
      </c>
      <c r="J263" s="5">
        <v>13215.351187710005</v>
      </c>
      <c r="K263" s="5">
        <v>13593.722972999998</v>
      </c>
      <c r="L263" s="5">
        <v>14008.756441999996</v>
      </c>
      <c r="M263" s="5">
        <v>14194.349310000007</v>
      </c>
      <c r="N263" s="5">
        <v>14540.041284000008</v>
      </c>
      <c r="O263" s="5">
        <v>14875.012024999998</v>
      </c>
      <c r="P263" s="5">
        <v>15018.955016999998</v>
      </c>
      <c r="Q263" s="5">
        <f>16872281.038/1000</f>
        <v>16872.281037999997</v>
      </c>
      <c r="R263" s="5">
        <v>16965.689190000008</v>
      </c>
      <c r="S263" s="5"/>
    </row>
    <row r="264" spans="3:19">
      <c r="C264" s="26" t="s">
        <v>1826</v>
      </c>
      <c r="D264" s="26" t="s">
        <v>1827</v>
      </c>
      <c r="E264" s="23"/>
      <c r="F264" s="32">
        <f t="shared" ref="F264:Q264" si="45">IFERROR(F262/F263*1000,"N/A")</f>
        <v>81.370790006578062</v>
      </c>
      <c r="G264" s="32">
        <f t="shared" si="45"/>
        <v>84.943148880523964</v>
      </c>
      <c r="H264" s="32">
        <f t="shared" si="45"/>
        <v>88.547549309915979</v>
      </c>
      <c r="I264" s="32">
        <f t="shared" si="45"/>
        <v>95.129161676366834</v>
      </c>
      <c r="J264" s="32">
        <f t="shared" si="45"/>
        <v>92.569613777149954</v>
      </c>
      <c r="K264" s="32">
        <f t="shared" si="45"/>
        <v>113.99632131204946</v>
      </c>
      <c r="L264" s="32">
        <f t="shared" si="45"/>
        <v>117.36792565418097</v>
      </c>
      <c r="M264" s="32">
        <f t="shared" si="45"/>
        <v>123.53706524802475</v>
      </c>
      <c r="N264" s="32">
        <f t="shared" si="45"/>
        <v>139.4822565433611</v>
      </c>
      <c r="O264" s="32">
        <f t="shared" si="45"/>
        <v>149.06245680095554</v>
      </c>
      <c r="P264" s="32">
        <f t="shared" si="45"/>
        <v>202.80162487675707</v>
      </c>
      <c r="Q264" s="32">
        <f t="shared" si="45"/>
        <v>211.47459567322142</v>
      </c>
      <c r="R264" s="32">
        <f>IFERROR(R262/R263*1000,"N/A")</f>
        <v>220.21384130819641</v>
      </c>
      <c r="S264" s="32"/>
    </row>
    <row r="265" spans="3:19" ht="4.5" customHeight="1"/>
    <row r="266" spans="3:19">
      <c r="C266" s="26" t="s">
        <v>2073</v>
      </c>
      <c r="D266" s="26" t="s">
        <v>2073</v>
      </c>
      <c r="E266" s="23"/>
      <c r="F266" s="27">
        <v>123.18998618879021</v>
      </c>
      <c r="G266" s="27">
        <v>155.8271657724969</v>
      </c>
      <c r="H266" s="27">
        <v>170.52539794409745</v>
      </c>
      <c r="I266" s="27">
        <v>165.73979779338913</v>
      </c>
      <c r="J266" s="27">
        <v>169.97455412698307</v>
      </c>
      <c r="K266" s="27">
        <v>196.8891822113666</v>
      </c>
      <c r="L266" s="27">
        <v>199.77750765606066</v>
      </c>
      <c r="M266" s="27">
        <v>222.35520847082157</v>
      </c>
      <c r="N266" s="27">
        <v>233.68909751327942</v>
      </c>
      <c r="O266" s="27">
        <v>249.43311612290884</v>
      </c>
      <c r="P266" s="27">
        <v>248.32142880205973</v>
      </c>
      <c r="Q266" s="27">
        <v>254.56490348780778</v>
      </c>
      <c r="R266" s="27">
        <v>270.40738113831287</v>
      </c>
      <c r="S266" s="27"/>
    </row>
    <row r="267" spans="3:19" ht="4.5" customHeight="1"/>
    <row r="268" spans="3:19">
      <c r="C268" s="24" t="s">
        <v>1828</v>
      </c>
      <c r="D268" s="24" t="s">
        <v>1829</v>
      </c>
      <c r="F268" s="28">
        <f>SUM(F269:F271)</f>
        <v>1.2939720601854401E-2</v>
      </c>
      <c r="G268" s="28">
        <f>SUM(G269:G271)</f>
        <v>1.9339720601854401E-2</v>
      </c>
      <c r="H268" s="28">
        <f>SUM(H269:H271)</f>
        <v>1.6239720601854402E-2</v>
      </c>
      <c r="I268" s="28">
        <f>SUM(I269:I271)</f>
        <v>1.8167295707234382E-2</v>
      </c>
      <c r="J268" s="28">
        <f>SUM(J269:J271)</f>
        <v>7.9000000000000008E-3</v>
      </c>
      <c r="K268" s="28">
        <f t="shared" ref="K268:R268" si="46">SUM(K269:K271)</f>
        <v>1.4741432024472359E-3</v>
      </c>
      <c r="L268" s="28">
        <f t="shared" si="46"/>
        <v>-6.8047744431090768E-3</v>
      </c>
      <c r="M268" s="28">
        <f t="shared" si="46"/>
        <v>-1.4286919951676014E-2</v>
      </c>
      <c r="N268" s="28">
        <f t="shared" si="46"/>
        <v>-1.5270537236471156E-2</v>
      </c>
      <c r="O268" s="28">
        <f t="shared" si="46"/>
        <v>4.4219699325560666E-3</v>
      </c>
      <c r="P268" s="28">
        <f t="shared" si="46"/>
        <v>1.6297712979857115E-2</v>
      </c>
      <c r="Q268" s="28">
        <f t="shared" si="46"/>
        <v>2.2238428624351003E-2</v>
      </c>
      <c r="R268" s="28">
        <f t="shared" si="46"/>
        <v>3.6258163893931185E-3</v>
      </c>
      <c r="S268" s="28"/>
    </row>
    <row r="269" spans="3:19">
      <c r="C269" s="4" t="s">
        <v>1830</v>
      </c>
      <c r="D269" s="4" t="s">
        <v>1830</v>
      </c>
      <c r="F269" s="29">
        <v>1.2939720601854401E-2</v>
      </c>
      <c r="G269" s="29">
        <v>1.2939720601854401E-2</v>
      </c>
      <c r="H269" s="29">
        <v>1.2939720601854401E-2</v>
      </c>
      <c r="I269" s="29">
        <v>1.3975E-2</v>
      </c>
      <c r="J269" s="29">
        <v>1.29E-2</v>
      </c>
      <c r="K269" s="29">
        <v>1.3802571816401838E-2</v>
      </c>
      <c r="L269" s="29">
        <v>1.3094045102967201E-2</v>
      </c>
      <c r="M269" s="29">
        <v>7.47002881082727E-3</v>
      </c>
      <c r="N269" s="29">
        <v>8.0829841334638126E-3</v>
      </c>
      <c r="O269" s="29">
        <v>8.8267221956754623E-3</v>
      </c>
      <c r="P269" s="29">
        <v>7.4566873687131373E-3</v>
      </c>
      <c r="Q269" s="29">
        <v>1.2096929788010233E-2</v>
      </c>
      <c r="R269" s="29">
        <v>1.1450826181372421E-2</v>
      </c>
      <c r="S269" s="29"/>
    </row>
    <row r="270" spans="3:19">
      <c r="C270" s="4" t="s">
        <v>1831</v>
      </c>
      <c r="D270" s="4" t="s">
        <v>1831</v>
      </c>
      <c r="F270" s="29">
        <v>0</v>
      </c>
      <c r="G270" s="29">
        <v>0</v>
      </c>
      <c r="H270" s="29">
        <v>0</v>
      </c>
      <c r="I270" s="29">
        <v>0</v>
      </c>
      <c r="J270" s="29">
        <v>0</v>
      </c>
      <c r="K270" s="29">
        <v>-1.8408891583704443E-2</v>
      </c>
      <c r="L270" s="29">
        <v>-1.8408891583704443E-2</v>
      </c>
      <c r="M270" s="29">
        <v>-1.8408891583704443E-2</v>
      </c>
      <c r="N270" s="29">
        <v>-1.8408891583704443E-2</v>
      </c>
      <c r="O270" s="29">
        <v>-1.8408891583704443E-2</v>
      </c>
      <c r="P270" s="29">
        <v>-4.2700119159191459E-3</v>
      </c>
      <c r="Q270" s="29">
        <v>-4.2700000000000004E-3</v>
      </c>
      <c r="R270" s="29">
        <v>-4.2700000000000004E-3</v>
      </c>
      <c r="S270" s="29"/>
    </row>
    <row r="271" spans="3:19">
      <c r="C271" s="30" t="s">
        <v>1832</v>
      </c>
      <c r="D271" s="30" t="s">
        <v>1832</v>
      </c>
      <c r="F271" s="31">
        <v>0</v>
      </c>
      <c r="G271" s="31">
        <v>6.4000000000000003E-3</v>
      </c>
      <c r="H271" s="31">
        <v>3.3E-3</v>
      </c>
      <c r="I271" s="31">
        <v>4.1922957072343817E-3</v>
      </c>
      <c r="J271" s="31">
        <v>-5.0000000000000001E-3</v>
      </c>
      <c r="K271" s="31">
        <v>6.0804629697498403E-3</v>
      </c>
      <c r="L271" s="31">
        <v>-1.4899279623718355E-3</v>
      </c>
      <c r="M271" s="31">
        <v>-3.3480571787988414E-3</v>
      </c>
      <c r="N271" s="31">
        <v>-4.9446297862305259E-3</v>
      </c>
      <c r="O271" s="31">
        <v>1.4004139320585047E-2</v>
      </c>
      <c r="P271" s="31">
        <v>1.3111037527063123E-2</v>
      </c>
      <c r="Q271" s="31">
        <v>1.4411498836340769E-2</v>
      </c>
      <c r="R271" s="31">
        <v>-3.5550097919793025E-3</v>
      </c>
      <c r="S271" s="31"/>
    </row>
  </sheetData>
  <hyperlinks>
    <hyperlink ref="F11" r:id="rId1" display="RTP 2025" xr:uid="{00000000-0004-0000-5D00-000000000000}"/>
    <hyperlink ref="L11" r:id="rId2" display="RTA 2024" xr:uid="{00000000-0004-0000-5D00-000001000000}"/>
    <hyperlink ref="K11" r:id="rId3" display="RTA 2024" xr:uid="{00000000-0004-0000-5D00-000002000000}"/>
    <hyperlink ref="H11" r:id="rId4" display="RTA 2024" xr:uid="{00000000-0004-0000-5D00-000003000000}"/>
    <hyperlink ref="G11" r:id="rId5" display="RTA 2025" xr:uid="{00000000-0004-0000-5D00-000006000000}"/>
    <hyperlink ref="I11" r:id="rId6" xr:uid="{00000000-0004-0000-5D00-000005000000}"/>
    <hyperlink ref="J11" r:id="rId7" xr:uid="{9A508FE2-35D2-40DB-98AE-C3187818E1AE}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tabColor theme="9" tint="0.79998168889431442"/>
  </sheetPr>
  <dimension ref="C5:I15"/>
  <sheetViews>
    <sheetView topLeftCell="A5" zoomScale="115" zoomScaleNormal="115" workbookViewId="0">
      <selection activeCell="H24" sqref="H24"/>
    </sheetView>
  </sheetViews>
  <sheetFormatPr defaultColWidth="9.21875" defaultRowHeight="14.4"/>
  <cols>
    <col min="1" max="2" width="9.21875" style="35"/>
    <col min="3" max="3" width="28.44140625" style="334" bestFit="1" customWidth="1"/>
    <col min="4" max="8" width="14.44140625" style="335" customWidth="1"/>
    <col min="9" max="9" width="14.44140625" style="301" customWidth="1"/>
    <col min="10" max="16384" width="9.21875" style="35"/>
  </cols>
  <sheetData>
    <row r="5" spans="3:8" ht="19.2" customHeight="1">
      <c r="C5" s="822" t="s">
        <v>1851</v>
      </c>
      <c r="D5" s="822"/>
      <c r="E5" s="822"/>
      <c r="F5" s="822"/>
      <c r="G5" s="822"/>
      <c r="H5" s="822"/>
    </row>
    <row r="6" spans="3:8" ht="19.2" customHeight="1">
      <c r="C6" s="822" t="s">
        <v>1852</v>
      </c>
      <c r="D6" s="822" t="s">
        <v>1853</v>
      </c>
      <c r="E6" s="822" t="s">
        <v>1854</v>
      </c>
      <c r="F6" s="823" t="s">
        <v>1855</v>
      </c>
      <c r="G6" s="822" t="s">
        <v>1856</v>
      </c>
      <c r="H6" s="824"/>
    </row>
    <row r="7" spans="3:8" ht="19.5" customHeight="1">
      <c r="C7" s="822"/>
      <c r="D7" s="822"/>
      <c r="E7" s="822"/>
      <c r="F7" s="823"/>
      <c r="G7" s="415" t="s">
        <v>1857</v>
      </c>
      <c r="H7" s="415" t="s">
        <v>1858</v>
      </c>
    </row>
    <row r="8" spans="3:8" ht="19.5" customHeight="1">
      <c r="C8" s="504" t="s">
        <v>1861</v>
      </c>
      <c r="D8" s="506" t="s">
        <v>1859</v>
      </c>
      <c r="E8" s="508" t="s">
        <v>1862</v>
      </c>
      <c r="F8" s="510">
        <v>1</v>
      </c>
      <c r="G8" s="512">
        <v>2023</v>
      </c>
      <c r="H8" s="512">
        <v>2032</v>
      </c>
    </row>
    <row r="9" spans="3:8" ht="19.5" customHeight="1">
      <c r="C9" s="505" t="s">
        <v>1863</v>
      </c>
      <c r="D9" s="507" t="s">
        <v>1860</v>
      </c>
      <c r="E9" s="644" t="s">
        <v>2111</v>
      </c>
      <c r="F9" s="511">
        <v>1</v>
      </c>
      <c r="G9" s="513">
        <v>2025</v>
      </c>
      <c r="H9" s="513">
        <v>2034</v>
      </c>
    </row>
    <row r="10" spans="3:8" ht="19.5" customHeight="1">
      <c r="C10" s="504" t="s">
        <v>1864</v>
      </c>
      <c r="D10" s="506" t="s">
        <v>1859</v>
      </c>
      <c r="E10" s="508" t="s">
        <v>1865</v>
      </c>
      <c r="F10" s="510">
        <v>1</v>
      </c>
      <c r="G10" s="512">
        <v>2023</v>
      </c>
      <c r="H10" s="512">
        <v>2032</v>
      </c>
    </row>
    <row r="11" spans="3:8" ht="19.5" customHeight="1">
      <c r="C11" s="505" t="s">
        <v>1866</v>
      </c>
      <c r="D11" s="538" t="s">
        <v>1859</v>
      </c>
      <c r="E11" s="509" t="s">
        <v>1867</v>
      </c>
      <c r="F11" s="511">
        <v>1</v>
      </c>
      <c r="G11" s="513">
        <v>2023</v>
      </c>
      <c r="H11" s="513">
        <v>2032</v>
      </c>
    </row>
    <row r="12" spans="3:8" ht="19.5" customHeight="1">
      <c r="C12" s="504" t="s">
        <v>122</v>
      </c>
      <c r="D12" s="506" t="s">
        <v>1860</v>
      </c>
      <c r="E12" s="508" t="s">
        <v>1868</v>
      </c>
      <c r="F12" s="510">
        <v>1</v>
      </c>
      <c r="G12" s="512">
        <v>2023</v>
      </c>
      <c r="H12" s="512">
        <v>2032</v>
      </c>
    </row>
    <row r="13" spans="3:8" ht="14.55" customHeight="1">
      <c r="C13" s="820" t="s">
        <v>1869</v>
      </c>
      <c r="D13" s="530" t="s">
        <v>1859</v>
      </c>
      <c r="E13" s="531" t="s">
        <v>1870</v>
      </c>
      <c r="F13" s="532" t="s">
        <v>1871</v>
      </c>
      <c r="G13" s="533">
        <v>2023</v>
      </c>
      <c r="H13" s="533">
        <v>2032</v>
      </c>
    </row>
    <row r="14" spans="3:8">
      <c r="C14" s="821"/>
      <c r="D14" s="534" t="s">
        <v>1860</v>
      </c>
      <c r="E14" s="535" t="s">
        <v>1872</v>
      </c>
      <c r="F14" s="536" t="s">
        <v>1871</v>
      </c>
      <c r="G14" s="537">
        <v>2024</v>
      </c>
      <c r="H14" s="537">
        <v>2033</v>
      </c>
    </row>
    <row r="15" spans="3:8">
      <c r="C15" s="503" t="s">
        <v>2348</v>
      </c>
    </row>
  </sheetData>
  <dataConsolidate link="1"/>
  <mergeCells count="7">
    <mergeCell ref="C13:C14"/>
    <mergeCell ref="C5:H5"/>
    <mergeCell ref="C6:C7"/>
    <mergeCell ref="D6:D7"/>
    <mergeCell ref="E6:E7"/>
    <mergeCell ref="F6:F7"/>
    <mergeCell ref="G6:H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tabColor theme="9" tint="0.79998168889431442"/>
  </sheetPr>
  <dimension ref="C6:AG72"/>
  <sheetViews>
    <sheetView showGridLines="0" topLeftCell="A17" zoomScale="70" zoomScaleNormal="70" workbookViewId="0">
      <pane xSplit="4" topLeftCell="E1" activePane="topRight" state="frozen"/>
      <selection pane="topRight" activeCell="E36" sqref="E36"/>
    </sheetView>
  </sheetViews>
  <sheetFormatPr defaultColWidth="8.44140625" defaultRowHeight="13.8"/>
  <cols>
    <col min="1" max="1" width="8.44140625" style="104"/>
    <col min="2" max="2" width="1.21875" style="104" customWidth="1"/>
    <col min="3" max="3" width="49.6640625" style="104" customWidth="1"/>
    <col min="4" max="4" width="48.5546875" style="104" customWidth="1"/>
    <col min="5" max="31" width="7.44140625" style="104" customWidth="1"/>
    <col min="32" max="32" width="8.44140625" style="104"/>
    <col min="33" max="33" width="16.44140625" style="104" bestFit="1" customWidth="1"/>
    <col min="34" max="16384" width="8.44140625" style="104"/>
  </cols>
  <sheetData>
    <row r="6" spans="3:33">
      <c r="C6" s="441" t="s">
        <v>1873</v>
      </c>
      <c r="D6" s="441" t="s">
        <v>1874</v>
      </c>
      <c r="E6" s="412" t="s">
        <v>66</v>
      </c>
      <c r="F6" s="412" t="s">
        <v>67</v>
      </c>
      <c r="G6" s="412" t="s">
        <v>68</v>
      </c>
      <c r="H6" s="412" t="s">
        <v>69</v>
      </c>
      <c r="I6" s="412" t="s">
        <v>70</v>
      </c>
      <c r="J6" s="412" t="s">
        <v>71</v>
      </c>
      <c r="K6" s="412" t="s">
        <v>72</v>
      </c>
      <c r="L6" s="412" t="s">
        <v>73</v>
      </c>
      <c r="M6" s="412" t="s">
        <v>74</v>
      </c>
      <c r="N6" s="412" t="s">
        <v>75</v>
      </c>
      <c r="O6" s="412" t="s">
        <v>76</v>
      </c>
      <c r="P6" s="412" t="s">
        <v>77</v>
      </c>
      <c r="Q6" s="412" t="s">
        <v>78</v>
      </c>
      <c r="R6" s="412" t="s">
        <v>79</v>
      </c>
      <c r="S6" s="412" t="s">
        <v>80</v>
      </c>
      <c r="T6" s="412" t="s">
        <v>81</v>
      </c>
      <c r="U6" s="412" t="s">
        <v>82</v>
      </c>
      <c r="V6" s="412" t="s">
        <v>83</v>
      </c>
      <c r="W6" s="412" t="s">
        <v>84</v>
      </c>
      <c r="X6" s="412" t="s">
        <v>85</v>
      </c>
      <c r="Y6" s="412" t="s">
        <v>86</v>
      </c>
      <c r="Z6" s="412" t="s">
        <v>87</v>
      </c>
      <c r="AA6" s="412" t="s">
        <v>88</v>
      </c>
      <c r="AB6" s="412" t="s">
        <v>2074</v>
      </c>
      <c r="AC6" s="412" t="s">
        <v>2127</v>
      </c>
      <c r="AD6" s="412" t="s">
        <v>2360</v>
      </c>
      <c r="AE6" s="412" t="s">
        <v>2494</v>
      </c>
      <c r="AG6" s="605" t="s">
        <v>1875</v>
      </c>
    </row>
    <row r="7" spans="3:33">
      <c r="C7" s="104" t="s">
        <v>1876</v>
      </c>
      <c r="D7" s="104" t="s">
        <v>1877</v>
      </c>
      <c r="E7" s="608">
        <v>1000</v>
      </c>
      <c r="F7" s="608">
        <v>0</v>
      </c>
      <c r="G7" s="608">
        <v>0</v>
      </c>
      <c r="H7" s="608">
        <v>0</v>
      </c>
      <c r="I7" s="608">
        <v>0</v>
      </c>
      <c r="J7" s="608">
        <v>0</v>
      </c>
      <c r="K7" s="608">
        <v>0</v>
      </c>
      <c r="L7" s="608">
        <v>0</v>
      </c>
      <c r="M7" s="608">
        <v>0</v>
      </c>
      <c r="N7" s="608">
        <v>0</v>
      </c>
      <c r="O7" s="608">
        <v>0</v>
      </c>
      <c r="P7" s="608">
        <v>0</v>
      </c>
      <c r="Q7" s="608">
        <v>0</v>
      </c>
      <c r="R7" s="608">
        <v>0</v>
      </c>
      <c r="S7" s="608">
        <v>0</v>
      </c>
      <c r="T7" s="608">
        <v>0</v>
      </c>
      <c r="U7" s="608">
        <v>0</v>
      </c>
      <c r="V7" s="608">
        <v>0</v>
      </c>
      <c r="W7" s="608">
        <v>0</v>
      </c>
      <c r="X7" s="608">
        <v>0</v>
      </c>
      <c r="Y7" s="608">
        <v>0</v>
      </c>
      <c r="Z7" s="608">
        <v>0</v>
      </c>
      <c r="AA7" s="608">
        <v>0</v>
      </c>
      <c r="AB7" s="608">
        <v>0</v>
      </c>
      <c r="AC7" s="608"/>
      <c r="AD7" s="608"/>
      <c r="AE7" s="757"/>
      <c r="AG7" s="606"/>
    </row>
    <row r="8" spans="3:33">
      <c r="C8" s="104" t="s">
        <v>1878</v>
      </c>
      <c r="D8" s="609" t="s">
        <v>1879</v>
      </c>
      <c r="E8" s="608">
        <v>6.4181926684901702</v>
      </c>
      <c r="F8" s="608">
        <v>10.186053826597499</v>
      </c>
      <c r="G8" s="608">
        <v>7.4610486232704103</v>
      </c>
      <c r="H8" s="608">
        <v>5.1010366331680999</v>
      </c>
      <c r="I8" s="608">
        <v>4.6818302066658504</v>
      </c>
      <c r="J8" s="608">
        <v>4.3606545366642298</v>
      </c>
      <c r="K8" s="608">
        <v>6.8655286503698001</v>
      </c>
      <c r="L8" s="608">
        <v>10.5310591847949</v>
      </c>
      <c r="M8" s="608">
        <v>14.231135221158899</v>
      </c>
      <c r="N8" s="608">
        <v>17.729348027965099</v>
      </c>
      <c r="O8" s="608">
        <v>21.547144625506199</v>
      </c>
      <c r="P8" s="608">
        <v>22.972428101066299</v>
      </c>
      <c r="Q8" s="608">
        <v>21.518643678276</v>
      </c>
      <c r="R8" s="608">
        <v>17.6101077519425</v>
      </c>
      <c r="S8" s="608">
        <v>17.561484594614701</v>
      </c>
      <c r="T8" s="608">
        <v>17.6417514615515</v>
      </c>
      <c r="U8" s="608">
        <v>16.767555794096101</v>
      </c>
      <c r="V8" s="608">
        <v>14.8488462362552</v>
      </c>
      <c r="W8" s="608">
        <v>12.990471304059042</v>
      </c>
      <c r="X8" s="608">
        <v>14.612016540954983</v>
      </c>
      <c r="Y8" s="608">
        <v>14.874627847275432</v>
      </c>
      <c r="Z8" s="608">
        <v>15.414596875187385</v>
      </c>
      <c r="AA8" s="608">
        <v>17.686121017937094</v>
      </c>
      <c r="AB8" s="608">
        <v>20.359041466491352</v>
      </c>
      <c r="AC8" s="608">
        <v>11.519257509599974</v>
      </c>
      <c r="AD8" s="608">
        <v>7.795503776477257E-2</v>
      </c>
      <c r="AE8" s="757">
        <v>0</v>
      </c>
      <c r="AG8" s="606"/>
    </row>
    <row r="9" spans="3:33">
      <c r="C9" s="104" t="s">
        <v>1880</v>
      </c>
      <c r="D9" s="104" t="s">
        <v>1881</v>
      </c>
      <c r="E9" s="608">
        <v>0</v>
      </c>
      <c r="F9" s="608">
        <v>0</v>
      </c>
      <c r="G9" s="608">
        <v>-27.904250439999998</v>
      </c>
      <c r="H9" s="608">
        <v>0</v>
      </c>
      <c r="I9" s="608">
        <v>-108.44226345</v>
      </c>
      <c r="J9" s="608">
        <v>0</v>
      </c>
      <c r="K9" s="608">
        <v>-52.933753226100002</v>
      </c>
      <c r="L9" s="608">
        <v>-80.916529269999998</v>
      </c>
      <c r="M9" s="608">
        <v>-71.156214790000007</v>
      </c>
      <c r="N9" s="608">
        <v>0</v>
      </c>
      <c r="O9" s="608">
        <v>-74.157569719999998</v>
      </c>
      <c r="P9" s="608">
        <v>0</v>
      </c>
      <c r="Q9" s="608">
        <v>-163.08933173</v>
      </c>
      <c r="R9" s="608">
        <v>-34.353000000000002</v>
      </c>
      <c r="S9" s="608">
        <v>0</v>
      </c>
      <c r="T9" s="608">
        <v>0</v>
      </c>
      <c r="U9" s="608">
        <v>-82.824761267070002</v>
      </c>
      <c r="V9" s="608">
        <v>0</v>
      </c>
      <c r="W9" s="608">
        <v>0</v>
      </c>
      <c r="X9" s="608">
        <v>0</v>
      </c>
      <c r="Y9" s="608">
        <v>-68.275138778840002</v>
      </c>
      <c r="Z9" s="608">
        <v>0</v>
      </c>
      <c r="AA9" s="608">
        <v>0</v>
      </c>
      <c r="AB9" s="608">
        <v>0</v>
      </c>
      <c r="AC9" s="608">
        <v>-76.236552000000003</v>
      </c>
      <c r="AD9" s="608">
        <v>-28.214572749713902</v>
      </c>
      <c r="AE9" s="757">
        <v>0</v>
      </c>
      <c r="AG9" s="607"/>
    </row>
    <row r="10" spans="3:33">
      <c r="C10" s="104" t="s">
        <v>2158</v>
      </c>
      <c r="D10" s="609" t="s">
        <v>2618</v>
      </c>
      <c r="E10" s="608"/>
      <c r="F10" s="608"/>
      <c r="G10" s="608"/>
      <c r="H10" s="608"/>
      <c r="I10" s="608"/>
      <c r="J10" s="608"/>
      <c r="K10" s="608"/>
      <c r="L10" s="608"/>
      <c r="M10" s="608"/>
      <c r="N10" s="608"/>
      <c r="O10" s="608"/>
      <c r="P10" s="608"/>
      <c r="Q10" s="608"/>
      <c r="R10" s="608"/>
      <c r="S10" s="608"/>
      <c r="T10" s="608"/>
      <c r="U10" s="608"/>
      <c r="V10" s="608"/>
      <c r="W10" s="608"/>
      <c r="X10" s="608"/>
      <c r="Y10" s="608"/>
      <c r="Z10" s="608"/>
      <c r="AA10" s="608"/>
      <c r="AB10" s="608"/>
      <c r="AC10" s="608">
        <v>-392</v>
      </c>
      <c r="AD10" s="608">
        <v>-85.063999999999993</v>
      </c>
      <c r="AE10" s="757">
        <v>0</v>
      </c>
      <c r="AG10" s="607"/>
    </row>
    <row r="11" spans="3:33">
      <c r="C11" s="610" t="s">
        <v>1882</v>
      </c>
      <c r="D11" s="610" t="s">
        <v>1883</v>
      </c>
      <c r="E11" s="611">
        <f>SUM(E7:E9)</f>
        <v>1006.4181926684902</v>
      </c>
      <c r="F11" s="611">
        <f>SUM(F7:F9,E11)</f>
        <v>1016.6042464950876</v>
      </c>
      <c r="G11" s="611">
        <f t="shared" ref="G11:AA11" si="0">SUM(G7:G9,F11)</f>
        <v>996.16104467835805</v>
      </c>
      <c r="H11" s="611">
        <f t="shared" si="0"/>
        <v>1001.2620813115261</v>
      </c>
      <c r="I11" s="611">
        <f t="shared" si="0"/>
        <v>897.50164806819203</v>
      </c>
      <c r="J11" s="611">
        <f t="shared" si="0"/>
        <v>901.86230260485627</v>
      </c>
      <c r="K11" s="611">
        <f t="shared" si="0"/>
        <v>855.79407802912601</v>
      </c>
      <c r="L11" s="611">
        <f t="shared" si="0"/>
        <v>785.40860794392097</v>
      </c>
      <c r="M11" s="611">
        <f t="shared" si="0"/>
        <v>728.48352837507991</v>
      </c>
      <c r="N11" s="611">
        <f t="shared" si="0"/>
        <v>746.21287640304502</v>
      </c>
      <c r="O11" s="611">
        <f t="shared" si="0"/>
        <v>693.60245130855117</v>
      </c>
      <c r="P11" s="611">
        <f t="shared" si="0"/>
        <v>716.57487940961744</v>
      </c>
      <c r="Q11" s="611">
        <f t="shared" si="0"/>
        <v>575.00419135789343</v>
      </c>
      <c r="R11" s="611">
        <f t="shared" si="0"/>
        <v>558.26129910983593</v>
      </c>
      <c r="S11" s="611">
        <f t="shared" si="0"/>
        <v>575.82278370445067</v>
      </c>
      <c r="T11" s="611">
        <f t="shared" si="0"/>
        <v>593.46453516600218</v>
      </c>
      <c r="U11" s="611">
        <f t="shared" si="0"/>
        <v>527.40732969302826</v>
      </c>
      <c r="V11" s="611">
        <f t="shared" si="0"/>
        <v>542.25617592928347</v>
      </c>
      <c r="W11" s="611">
        <f t="shared" si="0"/>
        <v>555.24664723334251</v>
      </c>
      <c r="X11" s="611">
        <f t="shared" si="0"/>
        <v>569.8586637742975</v>
      </c>
      <c r="Y11" s="611">
        <f t="shared" si="0"/>
        <v>516.45815284273294</v>
      </c>
      <c r="Z11" s="611">
        <f t="shared" si="0"/>
        <v>531.87274971792033</v>
      </c>
      <c r="AA11" s="611">
        <f t="shared" si="0"/>
        <v>549.55887073585745</v>
      </c>
      <c r="AB11" s="611">
        <f>SUM(AB7:AB9,AA11)</f>
        <v>569.91791220234882</v>
      </c>
      <c r="AC11" s="611">
        <v>113.20061771194878</v>
      </c>
      <c r="AD11" s="611">
        <v>-3.4106051316484809E-13</v>
      </c>
      <c r="AE11" s="611">
        <v>-3.4106051316484809E-13</v>
      </c>
      <c r="AG11" s="606"/>
    </row>
    <row r="12" spans="3:33" ht="4.5" customHeight="1">
      <c r="AG12" s="606"/>
    </row>
    <row r="13" spans="3:33">
      <c r="C13" s="104" t="s">
        <v>1884</v>
      </c>
      <c r="D13" s="104" t="s">
        <v>1885</v>
      </c>
      <c r="E13" s="612"/>
      <c r="F13" s="612"/>
      <c r="G13" s="612"/>
      <c r="H13" s="612"/>
      <c r="I13" s="612"/>
      <c r="J13" s="612"/>
      <c r="K13" s="612"/>
      <c r="L13" s="612"/>
      <c r="M13" s="613">
        <f>M11+M14</f>
        <v>1141.4835283750799</v>
      </c>
      <c r="N13" s="613">
        <f t="shared" ref="N13:V13" si="1">N11+N14</f>
        <v>1198.2128764030449</v>
      </c>
      <c r="O13" s="613">
        <f t="shared" si="1"/>
        <v>1185.6024513085513</v>
      </c>
      <c r="P13" s="613">
        <f t="shared" si="1"/>
        <v>1247.5748794096176</v>
      </c>
      <c r="Q13" s="613">
        <f t="shared" si="1"/>
        <v>1160.0041913578934</v>
      </c>
      <c r="R13" s="613">
        <f t="shared" si="1"/>
        <v>596.26129910983593</v>
      </c>
      <c r="S13" s="613">
        <f t="shared" si="1"/>
        <v>603.82278370445067</v>
      </c>
      <c r="T13" s="613">
        <f t="shared" si="1"/>
        <v>611.46453516600218</v>
      </c>
      <c r="U13" s="613">
        <f t="shared" si="1"/>
        <v>668.87126248189725</v>
      </c>
      <c r="V13" s="613">
        <f t="shared" si="1"/>
        <v>668.88088287928349</v>
      </c>
      <c r="W13" s="613">
        <f>W11+W14</f>
        <v>666.13328499914178</v>
      </c>
      <c r="X13" s="613">
        <f>X11+X14</f>
        <v>674.62187100683354</v>
      </c>
      <c r="Y13" s="608">
        <v>585.2208432385587</v>
      </c>
      <c r="Z13" s="608">
        <v>615.2012636129557</v>
      </c>
      <c r="AA13" s="608">
        <v>628.2633051448023</v>
      </c>
      <c r="AB13" s="608">
        <v>642.70855152879096</v>
      </c>
      <c r="AC13" s="608">
        <v>121.17733676202832</v>
      </c>
      <c r="AD13" s="608">
        <v>-3.4106051316484809E-13</v>
      </c>
      <c r="AE13" s="757">
        <v>0</v>
      </c>
      <c r="AG13" s="606"/>
    </row>
    <row r="14" spans="3:33">
      <c r="C14" s="610" t="s">
        <v>1886</v>
      </c>
      <c r="D14" s="610" t="s">
        <v>1887</v>
      </c>
      <c r="E14" s="611"/>
      <c r="F14" s="611"/>
      <c r="G14" s="611"/>
      <c r="H14" s="611"/>
      <c r="I14" s="611"/>
      <c r="J14" s="611"/>
      <c r="K14" s="611"/>
      <c r="L14" s="611"/>
      <c r="M14" s="611">
        <v>413</v>
      </c>
      <c r="N14" s="611">
        <v>452</v>
      </c>
      <c r="O14" s="611">
        <v>492</v>
      </c>
      <c r="P14" s="611">
        <v>531</v>
      </c>
      <c r="Q14" s="611">
        <v>585</v>
      </c>
      <c r="R14" s="611">
        <v>38</v>
      </c>
      <c r="S14" s="611">
        <v>28</v>
      </c>
      <c r="T14" s="611">
        <v>18</v>
      </c>
      <c r="U14" s="611">
        <v>141.46393278886899</v>
      </c>
      <c r="V14" s="611">
        <v>126.62470695</v>
      </c>
      <c r="W14" s="611">
        <v>110.88663776579926</v>
      </c>
      <c r="X14" s="611">
        <v>104.76320723253605</v>
      </c>
      <c r="Y14" s="611">
        <v>68.762690395825985</v>
      </c>
      <c r="Z14" s="611">
        <v>83.328513895035371</v>
      </c>
      <c r="AA14" s="611">
        <v>78.704434408944849</v>
      </c>
      <c r="AB14" s="611">
        <v>72.790639326441919</v>
      </c>
      <c r="AC14" s="611">
        <v>7.976719050079538</v>
      </c>
      <c r="AD14" s="611">
        <v>0</v>
      </c>
      <c r="AE14" s="611">
        <v>0</v>
      </c>
      <c r="AG14" s="606"/>
    </row>
    <row r="15" spans="3:33" ht="4.5" customHeight="1">
      <c r="E15" s="134"/>
      <c r="F15" s="134"/>
      <c r="G15" s="134"/>
      <c r="H15" s="134"/>
      <c r="I15" s="134"/>
      <c r="J15" s="134"/>
      <c r="K15" s="134"/>
      <c r="L15" s="134"/>
      <c r="M15" s="612"/>
      <c r="N15" s="612"/>
      <c r="O15" s="612"/>
      <c r="P15" s="612"/>
      <c r="Q15" s="612"/>
      <c r="R15" s="612"/>
      <c r="S15" s="612"/>
      <c r="T15" s="612"/>
      <c r="U15" s="614"/>
      <c r="V15" s="612"/>
      <c r="W15" s="612"/>
      <c r="X15" s="612"/>
      <c r="Y15" s="612"/>
      <c r="Z15" s="612"/>
      <c r="AA15" s="612"/>
      <c r="AB15" s="612"/>
      <c r="AC15" s="612"/>
      <c r="AD15" s="612"/>
      <c r="AE15" s="612"/>
      <c r="AG15" s="606"/>
    </row>
    <row r="16" spans="3:33">
      <c r="C16" s="610" t="s">
        <v>1888</v>
      </c>
      <c r="D16" s="610" t="s">
        <v>1889</v>
      </c>
      <c r="E16" s="611"/>
      <c r="F16" s="611"/>
      <c r="G16" s="611"/>
      <c r="H16" s="611"/>
      <c r="I16" s="611"/>
      <c r="J16" s="611"/>
      <c r="K16" s="611"/>
      <c r="L16" s="611"/>
      <c r="M16" s="611">
        <f>M14</f>
        <v>413</v>
      </c>
      <c r="N16" s="611">
        <f t="shared" ref="N16:AB16" si="2">N14-M14</f>
        <v>39</v>
      </c>
      <c r="O16" s="611">
        <f t="shared" si="2"/>
        <v>40</v>
      </c>
      <c r="P16" s="611">
        <f t="shared" si="2"/>
        <v>39</v>
      </c>
      <c r="Q16" s="611">
        <f t="shared" si="2"/>
        <v>54</v>
      </c>
      <c r="R16" s="611">
        <f t="shared" si="2"/>
        <v>-547</v>
      </c>
      <c r="S16" s="611">
        <f t="shared" si="2"/>
        <v>-10</v>
      </c>
      <c r="T16" s="611">
        <f t="shared" si="2"/>
        <v>-10</v>
      </c>
      <c r="U16" s="611">
        <f t="shared" si="2"/>
        <v>123.46393278886899</v>
      </c>
      <c r="V16" s="611">
        <f t="shared" si="2"/>
        <v>-14.839225838868984</v>
      </c>
      <c r="W16" s="611">
        <f t="shared" si="2"/>
        <v>-15.738069184200739</v>
      </c>
      <c r="X16" s="611">
        <f t="shared" si="2"/>
        <v>-6.1234305332632175</v>
      </c>
      <c r="Y16" s="611">
        <f t="shared" si="2"/>
        <v>-36.000516836710062</v>
      </c>
      <c r="Z16" s="611">
        <f t="shared" si="2"/>
        <v>14.565823499209387</v>
      </c>
      <c r="AA16" s="611">
        <f t="shared" si="2"/>
        <v>-4.6240794860905226</v>
      </c>
      <c r="AB16" s="611">
        <f t="shared" si="2"/>
        <v>-5.9137950825029293</v>
      </c>
      <c r="AC16" s="611">
        <v>-19.613920276362379</v>
      </c>
      <c r="AD16" s="611">
        <v>-2.7878072089588981</v>
      </c>
      <c r="AE16" s="611">
        <v>0</v>
      </c>
      <c r="AG16" s="606"/>
    </row>
    <row r="18" spans="3:31">
      <c r="C18" s="615" t="s">
        <v>1890</v>
      </c>
      <c r="D18" s="615" t="s">
        <v>1891</v>
      </c>
      <c r="E18" s="616">
        <v>0.15</v>
      </c>
      <c r="F18" s="616">
        <v>0.15</v>
      </c>
      <c r="G18" s="616">
        <v>0.15</v>
      </c>
      <c r="H18" s="616">
        <v>0.15</v>
      </c>
      <c r="I18" s="616">
        <v>0.15</v>
      </c>
      <c r="J18" s="616">
        <v>0.15</v>
      </c>
      <c r="K18" s="616">
        <v>0.15</v>
      </c>
      <c r="L18" s="616">
        <v>0.15</v>
      </c>
      <c r="M18" s="616">
        <v>0.15</v>
      </c>
      <c r="N18" s="616">
        <v>0.15</v>
      </c>
      <c r="O18" s="616">
        <v>0.15</v>
      </c>
      <c r="P18" s="616">
        <v>0.15</v>
      </c>
      <c r="Q18" s="616">
        <v>0.15</v>
      </c>
      <c r="R18" s="616">
        <v>2.9399999999999999E-2</v>
      </c>
      <c r="S18" s="616">
        <v>2.9399999999999999E-2</v>
      </c>
      <c r="T18" s="616">
        <v>2.9399999999999999E-2</v>
      </c>
      <c r="U18" s="616">
        <v>2.9399999999999999E-2</v>
      </c>
      <c r="V18" s="616">
        <v>2.9399999999999999E-2</v>
      </c>
      <c r="W18" s="616">
        <v>2.9399999999999999E-2</v>
      </c>
      <c r="X18" s="616">
        <v>2.9399999999999999E-2</v>
      </c>
      <c r="Y18" s="616">
        <v>2.9399999999999999E-2</v>
      </c>
      <c r="Z18" s="616">
        <v>2.9399999999999999E-2</v>
      </c>
      <c r="AA18" s="616">
        <v>2.9399999999999999E-2</v>
      </c>
      <c r="AB18" s="616">
        <v>2.9399999999999999E-2</v>
      </c>
      <c r="AC18" s="669">
        <v>2.9399999999999999E-2</v>
      </c>
      <c r="AD18" s="669">
        <v>0</v>
      </c>
      <c r="AE18" s="669">
        <v>0</v>
      </c>
    </row>
    <row r="19" spans="3:31">
      <c r="E19" s="617"/>
      <c r="F19" s="617"/>
      <c r="G19" s="617"/>
      <c r="H19" s="617"/>
      <c r="I19" s="617"/>
      <c r="J19" s="617"/>
      <c r="K19" s="617"/>
      <c r="L19" s="617"/>
      <c r="M19" s="617"/>
      <c r="N19" s="617"/>
      <c r="O19" s="617"/>
      <c r="P19" s="617"/>
      <c r="Q19" s="617"/>
      <c r="R19" s="617"/>
      <c r="S19" s="617"/>
      <c r="T19" s="617"/>
      <c r="U19" s="617"/>
      <c r="V19" s="617"/>
      <c r="W19" s="617"/>
      <c r="X19" s="617"/>
      <c r="Y19" s="617"/>
      <c r="Z19" s="617"/>
      <c r="AA19" s="617"/>
      <c r="AB19" s="617"/>
      <c r="AC19" s="617"/>
      <c r="AD19" s="617"/>
      <c r="AE19" s="758"/>
    </row>
    <row r="20" spans="3:31">
      <c r="C20" s="441" t="s">
        <v>1892</v>
      </c>
      <c r="D20" s="441" t="s">
        <v>1893</v>
      </c>
      <c r="E20" s="412" t="s">
        <v>66</v>
      </c>
      <c r="F20" s="412" t="s">
        <v>67</v>
      </c>
      <c r="G20" s="412" t="s">
        <v>68</v>
      </c>
      <c r="H20" s="412" t="s">
        <v>69</v>
      </c>
      <c r="I20" s="412" t="s">
        <v>70</v>
      </c>
      <c r="J20" s="412" t="s">
        <v>71</v>
      </c>
      <c r="K20" s="412" t="s">
        <v>72</v>
      </c>
      <c r="L20" s="412" t="s">
        <v>73</v>
      </c>
      <c r="M20" s="412" t="s">
        <v>74</v>
      </c>
      <c r="N20" s="412" t="s">
        <v>75</v>
      </c>
      <c r="O20" s="412" t="s">
        <v>76</v>
      </c>
      <c r="P20" s="412" t="s">
        <v>77</v>
      </c>
      <c r="Q20" s="412" t="s">
        <v>78</v>
      </c>
      <c r="R20" s="412" t="s">
        <v>79</v>
      </c>
      <c r="S20" s="412" t="s">
        <v>80</v>
      </c>
      <c r="T20" s="412" t="s">
        <v>81</v>
      </c>
      <c r="U20" s="412" t="s">
        <v>82</v>
      </c>
      <c r="V20" s="412" t="s">
        <v>83</v>
      </c>
      <c r="W20" s="412" t="s">
        <v>84</v>
      </c>
      <c r="X20" s="412" t="s">
        <v>85</v>
      </c>
      <c r="Y20" s="412" t="str">
        <f>+$Y$6</f>
        <v>4T24</v>
      </c>
      <c r="Z20" s="412" t="s">
        <v>87</v>
      </c>
      <c r="AA20" s="412" t="str">
        <f>AA6</f>
        <v>2T25</v>
      </c>
      <c r="AB20" s="412" t="str">
        <f>AB6</f>
        <v>3T25</v>
      </c>
      <c r="AC20" s="412" t="s">
        <v>2127</v>
      </c>
      <c r="AD20" s="412" t="s">
        <v>2360</v>
      </c>
      <c r="AE20" s="412" t="s">
        <v>2494</v>
      </c>
    </row>
    <row r="21" spans="3:31">
      <c r="C21" s="104" t="s">
        <v>1876</v>
      </c>
      <c r="D21" s="104" t="s">
        <v>1877</v>
      </c>
      <c r="E21" s="608"/>
      <c r="F21" s="608"/>
      <c r="G21" s="608"/>
      <c r="H21" s="608"/>
      <c r="I21" s="608"/>
      <c r="J21" s="608"/>
      <c r="K21" s="608"/>
      <c r="L21" s="608"/>
      <c r="M21" s="608"/>
      <c r="N21" s="608"/>
      <c r="O21" s="608"/>
      <c r="P21" s="608"/>
      <c r="Q21" s="608"/>
      <c r="R21" s="608">
        <v>2103.0000013600002</v>
      </c>
      <c r="S21" s="608"/>
      <c r="T21" s="608"/>
      <c r="U21" s="608">
        <v>300.00000077999999</v>
      </c>
      <c r="V21" s="608"/>
      <c r="W21" s="608"/>
      <c r="X21" s="608">
        <v>0</v>
      </c>
      <c r="Y21" s="608">
        <v>0</v>
      </c>
      <c r="Z21" s="608">
        <v>0</v>
      </c>
      <c r="AA21" s="608">
        <v>0</v>
      </c>
      <c r="AB21" s="608">
        <v>0</v>
      </c>
      <c r="AC21" s="608"/>
      <c r="AD21" s="608"/>
      <c r="AE21" s="757"/>
    </row>
    <row r="22" spans="3:31">
      <c r="C22" s="104" t="s">
        <v>1894</v>
      </c>
      <c r="D22" s="609" t="s">
        <v>1895</v>
      </c>
      <c r="E22" s="608"/>
      <c r="F22" s="608"/>
      <c r="G22" s="608"/>
      <c r="H22" s="608"/>
      <c r="I22" s="608"/>
      <c r="J22" s="608"/>
      <c r="K22" s="608"/>
      <c r="L22" s="608"/>
      <c r="M22" s="608"/>
      <c r="N22" s="608"/>
      <c r="O22" s="608"/>
      <c r="P22" s="608"/>
      <c r="Q22" s="608"/>
      <c r="R22" s="608">
        <v>6.4808201544595798</v>
      </c>
      <c r="S22" s="608">
        <v>67.032766906749501</v>
      </c>
      <c r="T22" s="608">
        <v>70.711851195566098</v>
      </c>
      <c r="U22" s="608">
        <v>64.546466282204094</v>
      </c>
      <c r="V22" s="608">
        <v>64.274045388313695</v>
      </c>
      <c r="W22" s="608">
        <v>66.022649775952686</v>
      </c>
      <c r="X22" s="608">
        <v>63.220376002574085</v>
      </c>
      <c r="Y22" s="608">
        <v>62.214102699608951</v>
      </c>
      <c r="Z22" s="608">
        <v>64.557336704619956</v>
      </c>
      <c r="AA22" s="608">
        <v>74.093625487867939</v>
      </c>
      <c r="AB22" s="608">
        <v>85.320938147926654</v>
      </c>
      <c r="AC22" s="608">
        <v>48.729392098903944</v>
      </c>
      <c r="AD22" s="608">
        <v>0.35511831100397079</v>
      </c>
      <c r="AE22" s="757">
        <v>0</v>
      </c>
    </row>
    <row r="23" spans="3:31">
      <c r="C23" s="104" t="s">
        <v>1880</v>
      </c>
      <c r="D23" s="609" t="s">
        <v>1881</v>
      </c>
      <c r="E23" s="608"/>
      <c r="F23" s="608"/>
      <c r="G23" s="608"/>
      <c r="H23" s="608"/>
      <c r="I23" s="608"/>
      <c r="J23" s="608"/>
      <c r="K23" s="608"/>
      <c r="L23" s="608"/>
      <c r="M23" s="608"/>
      <c r="N23" s="608"/>
      <c r="O23" s="608"/>
      <c r="P23" s="608"/>
      <c r="Q23" s="608"/>
      <c r="R23" s="608"/>
      <c r="S23" s="608"/>
      <c r="T23" s="608"/>
      <c r="U23" s="608"/>
      <c r="V23" s="608"/>
      <c r="W23" s="608"/>
      <c r="X23" s="608"/>
      <c r="Y23" s="608"/>
      <c r="Z23" s="608"/>
      <c r="AA23" s="608"/>
      <c r="AB23" s="608"/>
      <c r="AC23" s="608">
        <v>-312.72544800000009</v>
      </c>
      <c r="AD23" s="608">
        <v>-144.62873516666002</v>
      </c>
      <c r="AE23" s="757">
        <v>0</v>
      </c>
    </row>
    <row r="24" spans="3:31">
      <c r="C24" s="104" t="s">
        <v>2158</v>
      </c>
      <c r="D24" s="104" t="s">
        <v>2618</v>
      </c>
      <c r="E24" s="608"/>
      <c r="F24" s="608"/>
      <c r="G24" s="608"/>
      <c r="H24" s="608"/>
      <c r="I24" s="608"/>
      <c r="J24" s="608"/>
      <c r="K24" s="608"/>
      <c r="L24" s="608"/>
      <c r="M24" s="608"/>
      <c r="N24" s="608"/>
      <c r="O24" s="608"/>
      <c r="P24" s="608"/>
      <c r="Q24" s="608"/>
      <c r="R24" s="608">
        <v>0</v>
      </c>
      <c r="S24" s="608">
        <v>0</v>
      </c>
      <c r="T24" s="608">
        <v>0</v>
      </c>
      <c r="U24" s="608">
        <v>-146.22965711793</v>
      </c>
      <c r="V24" s="608">
        <v>0</v>
      </c>
      <c r="W24" s="608">
        <v>0</v>
      </c>
      <c r="X24" s="608">
        <v>-300</v>
      </c>
      <c r="Y24" s="608">
        <v>-280.03965016116007</v>
      </c>
      <c r="Z24" s="608">
        <v>0</v>
      </c>
      <c r="AA24" s="608">
        <v>0</v>
      </c>
      <c r="AB24" s="608">
        <v>0</v>
      </c>
      <c r="AC24" s="608">
        <v>-1608.0000008499999</v>
      </c>
      <c r="AD24" s="608">
        <v>-348.93599999999998</v>
      </c>
      <c r="AE24" s="757">
        <v>0</v>
      </c>
    </row>
    <row r="25" spans="3:31">
      <c r="C25" s="610" t="s">
        <v>1896</v>
      </c>
      <c r="D25" s="610" t="s">
        <v>1897</v>
      </c>
      <c r="E25" s="611"/>
      <c r="F25" s="611"/>
      <c r="G25" s="611"/>
      <c r="H25" s="611"/>
      <c r="I25" s="611"/>
      <c r="J25" s="611"/>
      <c r="K25" s="611"/>
      <c r="L25" s="611"/>
      <c r="M25" s="611"/>
      <c r="N25" s="611"/>
      <c r="O25" s="611"/>
      <c r="P25" s="611"/>
      <c r="Q25" s="611"/>
      <c r="R25" s="611">
        <f>SUM(R21:R24)</f>
        <v>2109.4808215144599</v>
      </c>
      <c r="S25" s="611">
        <f t="shared" ref="S25:AA25" si="3">SUM(S21:S24,R25)</f>
        <v>2176.5135884212095</v>
      </c>
      <c r="T25" s="611">
        <f t="shared" si="3"/>
        <v>2247.2254396167755</v>
      </c>
      <c r="U25" s="611">
        <f t="shared" si="3"/>
        <v>2465.5422495610496</v>
      </c>
      <c r="V25" s="611">
        <f t="shared" si="3"/>
        <v>2529.8162949493635</v>
      </c>
      <c r="W25" s="611">
        <f t="shared" si="3"/>
        <v>2595.8389447253162</v>
      </c>
      <c r="X25" s="611">
        <f t="shared" si="3"/>
        <v>2359.0593207278903</v>
      </c>
      <c r="Y25" s="611">
        <f t="shared" si="3"/>
        <v>2141.2337732663391</v>
      </c>
      <c r="Z25" s="611">
        <f t="shared" si="3"/>
        <v>2205.791109970959</v>
      </c>
      <c r="AA25" s="611">
        <f t="shared" si="3"/>
        <v>2279.884735458827</v>
      </c>
      <c r="AB25" s="611">
        <f>SUM(AB21:AB24,AA25)</f>
        <v>2365.2056736067534</v>
      </c>
      <c r="AC25" s="611">
        <v>493.20961685565726</v>
      </c>
      <c r="AD25" s="611">
        <v>1.2505552149377763E-12</v>
      </c>
      <c r="AE25" s="611">
        <v>1.2505552149377763E-12</v>
      </c>
    </row>
    <row r="26" spans="3:31" ht="4.5" customHeight="1"/>
    <row r="27" spans="3:31">
      <c r="C27" s="104" t="s">
        <v>1884</v>
      </c>
      <c r="D27" s="104" t="s">
        <v>1885</v>
      </c>
      <c r="E27" s="612"/>
      <c r="F27" s="612"/>
      <c r="G27" s="612"/>
      <c r="H27" s="612"/>
      <c r="I27" s="612"/>
      <c r="J27" s="612"/>
      <c r="K27" s="612"/>
      <c r="L27" s="612"/>
      <c r="M27" s="613"/>
      <c r="N27" s="613"/>
      <c r="O27" s="613"/>
      <c r="P27" s="613"/>
      <c r="Q27" s="613"/>
      <c r="R27" s="613">
        <f t="shared" ref="R27:X27" si="4">R25+R28</f>
        <v>2361.5380008666457</v>
      </c>
      <c r="S27" s="613">
        <f t="shared" si="4"/>
        <v>2386.3682518869928</v>
      </c>
      <c r="T27" s="613">
        <f t="shared" si="4"/>
        <v>2412.7003613928023</v>
      </c>
      <c r="U27" s="613">
        <f t="shared" si="4"/>
        <v>2541.786575295022</v>
      </c>
      <c r="V27" s="613">
        <f t="shared" si="4"/>
        <v>2541.7931364993633</v>
      </c>
      <c r="W27" s="613">
        <f t="shared" si="4"/>
        <v>2656.3105114274595</v>
      </c>
      <c r="X27" s="613">
        <f t="shared" si="4"/>
        <v>2428.6508038497</v>
      </c>
      <c r="Y27" s="608">
        <v>2157.0653251091817</v>
      </c>
      <c r="Z27" s="608">
        <v>2251.3936780020454</v>
      </c>
      <c r="AA27" s="608">
        <v>2318.2558636400086</v>
      </c>
      <c r="AB27" s="608">
        <v>2392.83685255103</v>
      </c>
      <c r="AC27" s="608">
        <v>499.91639022203225</v>
      </c>
      <c r="AD27" s="608">
        <v>1.2505552149377763E-12</v>
      </c>
      <c r="AE27" s="757">
        <v>1.2505552149377763E-12</v>
      </c>
    </row>
    <row r="28" spans="3:31">
      <c r="C28" s="610" t="s">
        <v>1898</v>
      </c>
      <c r="D28" s="610" t="s">
        <v>1899</v>
      </c>
      <c r="E28" s="611"/>
      <c r="F28" s="611"/>
      <c r="G28" s="611"/>
      <c r="H28" s="611"/>
      <c r="I28" s="611"/>
      <c r="J28" s="611"/>
      <c r="K28" s="611"/>
      <c r="L28" s="611"/>
      <c r="M28" s="611"/>
      <c r="N28" s="611"/>
      <c r="O28" s="611"/>
      <c r="P28" s="611"/>
      <c r="Q28" s="611"/>
      <c r="R28" s="611">
        <v>252.05717935218601</v>
      </c>
      <c r="S28" s="611">
        <v>209.85466346578301</v>
      </c>
      <c r="T28" s="611">
        <v>165.474921776027</v>
      </c>
      <c r="U28" s="611">
        <v>76.244325733972346</v>
      </c>
      <c r="V28" s="611">
        <v>11.97684155</v>
      </c>
      <c r="W28" s="611">
        <v>60.471566702143264</v>
      </c>
      <c r="X28" s="611">
        <v>69.591483121809688</v>
      </c>
      <c r="Y28" s="611">
        <v>15.83155184284351</v>
      </c>
      <c r="Z28" s="611">
        <v>45.602568031086321</v>
      </c>
      <c r="AA28" s="611">
        <v>38.371128181181575</v>
      </c>
      <c r="AB28" s="611">
        <v>27.631178944272961</v>
      </c>
      <c r="AC28" s="611">
        <v>6.7067733663749891</v>
      </c>
      <c r="AD28" s="611">
        <v>0</v>
      </c>
      <c r="AE28" s="611">
        <v>0</v>
      </c>
    </row>
    <row r="29" spans="3:31" ht="4.5" customHeight="1">
      <c r="E29" s="134"/>
      <c r="F29" s="134"/>
      <c r="G29" s="134"/>
      <c r="H29" s="134"/>
      <c r="I29" s="134"/>
      <c r="J29" s="134"/>
      <c r="K29" s="134"/>
      <c r="L29" s="134"/>
      <c r="M29" s="612"/>
      <c r="N29" s="612"/>
      <c r="O29" s="612"/>
      <c r="P29" s="612"/>
      <c r="Q29" s="612"/>
      <c r="R29" s="612"/>
      <c r="S29" s="612"/>
      <c r="T29" s="612"/>
      <c r="U29" s="614"/>
      <c r="V29" s="612"/>
      <c r="W29" s="612"/>
      <c r="X29" s="612"/>
      <c r="Y29" s="612"/>
      <c r="Z29" s="612">
        <v>0</v>
      </c>
      <c r="AA29" s="612"/>
      <c r="AB29" s="612"/>
      <c r="AC29" s="612"/>
      <c r="AD29" s="612"/>
      <c r="AE29" s="612"/>
    </row>
    <row r="30" spans="3:31">
      <c r="C30" s="610" t="s">
        <v>1888</v>
      </c>
      <c r="D30" s="610" t="s">
        <v>1889</v>
      </c>
      <c r="E30" s="611"/>
      <c r="F30" s="611"/>
      <c r="G30" s="611"/>
      <c r="H30" s="611"/>
      <c r="I30" s="611"/>
      <c r="J30" s="611"/>
      <c r="K30" s="611"/>
      <c r="L30" s="611"/>
      <c r="M30" s="611"/>
      <c r="N30" s="611"/>
      <c r="O30" s="611"/>
      <c r="P30" s="611"/>
      <c r="Q30" s="611"/>
      <c r="R30" s="611">
        <f t="shared" ref="R30:AB30" si="5">R28-Q28</f>
        <v>252.05717935218601</v>
      </c>
      <c r="S30" s="611">
        <f t="shared" si="5"/>
        <v>-42.202515886403006</v>
      </c>
      <c r="T30" s="611">
        <f t="shared" si="5"/>
        <v>-44.379741689756003</v>
      </c>
      <c r="U30" s="611">
        <f t="shared" si="5"/>
        <v>-89.230596042054657</v>
      </c>
      <c r="V30" s="611">
        <f t="shared" si="5"/>
        <v>-64.267484183972343</v>
      </c>
      <c r="W30" s="611">
        <f t="shared" si="5"/>
        <v>48.494725152143261</v>
      </c>
      <c r="X30" s="611">
        <f t="shared" si="5"/>
        <v>9.1199164196664242</v>
      </c>
      <c r="Y30" s="611">
        <f t="shared" si="5"/>
        <v>-53.759931278966178</v>
      </c>
      <c r="Z30" s="611">
        <f t="shared" si="5"/>
        <v>29.771016188242811</v>
      </c>
      <c r="AA30" s="611">
        <f t="shared" si="5"/>
        <v>-7.2314398499047456</v>
      </c>
      <c r="AB30" s="611">
        <f t="shared" si="5"/>
        <v>-10.739949236908615</v>
      </c>
      <c r="AC30" s="611">
        <v>-20.924405577897971</v>
      </c>
      <c r="AD30" s="611">
        <v>-3.0293855655661992</v>
      </c>
      <c r="AE30" s="611">
        <v>0</v>
      </c>
    </row>
    <row r="31" spans="3:31" ht="4.5" customHeight="1"/>
    <row r="32" spans="3:31">
      <c r="C32" s="615" t="s">
        <v>1890</v>
      </c>
      <c r="D32" s="615" t="s">
        <v>1891</v>
      </c>
      <c r="E32" s="618"/>
      <c r="F32" s="618"/>
      <c r="G32" s="618"/>
      <c r="H32" s="618"/>
      <c r="I32" s="618"/>
      <c r="J32" s="618"/>
      <c r="K32" s="618"/>
      <c r="L32" s="618"/>
      <c r="M32" s="618"/>
      <c r="N32" s="618"/>
      <c r="O32" s="618"/>
      <c r="P32" s="618"/>
      <c r="Q32" s="618"/>
      <c r="R32" s="619">
        <v>0.1206</v>
      </c>
      <c r="S32" s="619">
        <v>0.1206</v>
      </c>
      <c r="T32" s="619">
        <v>0.1206</v>
      </c>
      <c r="U32" s="619">
        <v>0.1206</v>
      </c>
      <c r="V32" s="619">
        <v>0.1206</v>
      </c>
      <c r="W32" s="619">
        <v>0.1206</v>
      </c>
      <c r="X32" s="616">
        <v>0.1206</v>
      </c>
      <c r="Y32" s="616">
        <v>0.1206</v>
      </c>
      <c r="Z32" s="616">
        <v>0.1206</v>
      </c>
      <c r="AA32" s="616">
        <v>0.1206</v>
      </c>
      <c r="AB32" s="616">
        <v>0.1206</v>
      </c>
      <c r="AC32" s="669">
        <v>0.1206</v>
      </c>
      <c r="AD32" s="669">
        <v>0</v>
      </c>
      <c r="AE32" s="669">
        <v>0</v>
      </c>
    </row>
    <row r="34" spans="3:31">
      <c r="C34" s="441" t="s">
        <v>1900</v>
      </c>
      <c r="D34" s="441" t="s">
        <v>1901</v>
      </c>
      <c r="E34" s="412" t="s">
        <v>66</v>
      </c>
      <c r="F34" s="412" t="s">
        <v>67</v>
      </c>
      <c r="G34" s="412" t="s">
        <v>68</v>
      </c>
      <c r="H34" s="412" t="s">
        <v>69</v>
      </c>
      <c r="I34" s="412" t="s">
        <v>70</v>
      </c>
      <c r="J34" s="412" t="s">
        <v>71</v>
      </c>
      <c r="K34" s="412" t="s">
        <v>72</v>
      </c>
      <c r="L34" s="412" t="s">
        <v>73</v>
      </c>
      <c r="M34" s="412" t="s">
        <v>74</v>
      </c>
      <c r="N34" s="412" t="s">
        <v>75</v>
      </c>
      <c r="O34" s="412" t="s">
        <v>76</v>
      </c>
      <c r="P34" s="412" t="s">
        <v>77</v>
      </c>
      <c r="Q34" s="412" t="s">
        <v>78</v>
      </c>
      <c r="R34" s="412" t="s">
        <v>79</v>
      </c>
      <c r="S34" s="412" t="s">
        <v>80</v>
      </c>
      <c r="T34" s="412" t="s">
        <v>81</v>
      </c>
      <c r="U34" s="412" t="s">
        <v>82</v>
      </c>
      <c r="V34" s="412" t="s">
        <v>83</v>
      </c>
      <c r="W34" s="412" t="s">
        <v>84</v>
      </c>
      <c r="X34" s="412" t="s">
        <v>85</v>
      </c>
      <c r="Y34" s="412" t="str">
        <f>+$Y$6</f>
        <v>4T24</v>
      </c>
      <c r="Z34" s="412" t="s">
        <v>87</v>
      </c>
      <c r="AA34" s="412" t="str">
        <f>AA20</f>
        <v>2T25</v>
      </c>
      <c r="AB34" s="412" t="str">
        <f>AB20</f>
        <v>3T25</v>
      </c>
      <c r="AC34" s="412" t="s">
        <v>2127</v>
      </c>
      <c r="AD34" s="412" t="s">
        <v>2360</v>
      </c>
      <c r="AE34" s="412" t="s">
        <v>2494</v>
      </c>
    </row>
    <row r="35" spans="3:31">
      <c r="C35" s="104" t="s">
        <v>1876</v>
      </c>
      <c r="D35" s="104" t="s">
        <v>1877</v>
      </c>
      <c r="E35" s="608"/>
      <c r="F35" s="608"/>
      <c r="G35" s="608"/>
      <c r="H35" s="608"/>
      <c r="I35" s="608"/>
      <c r="J35" s="608"/>
      <c r="K35" s="608"/>
      <c r="L35" s="608"/>
      <c r="M35" s="608"/>
      <c r="N35" s="608"/>
      <c r="O35" s="608"/>
      <c r="P35" s="608"/>
      <c r="Q35" s="608"/>
      <c r="R35" s="608"/>
      <c r="S35" s="608"/>
      <c r="T35" s="608"/>
      <c r="U35" s="608">
        <v>1000.0000026</v>
      </c>
      <c r="V35" s="608">
        <v>0</v>
      </c>
      <c r="W35" s="608">
        <v>0</v>
      </c>
      <c r="X35" s="608">
        <v>0</v>
      </c>
      <c r="Y35" s="608">
        <v>0</v>
      </c>
      <c r="Z35" s="608">
        <v>0</v>
      </c>
      <c r="AA35" s="608">
        <v>0</v>
      </c>
      <c r="AB35" s="608">
        <v>0</v>
      </c>
      <c r="AC35" s="608"/>
      <c r="AD35" s="608"/>
      <c r="AE35" s="757"/>
    </row>
    <row r="36" spans="3:31">
      <c r="C36" s="104" t="s">
        <v>2619</v>
      </c>
      <c r="D36" s="609" t="s">
        <v>2620</v>
      </c>
      <c r="E36" s="608"/>
      <c r="F36" s="608"/>
      <c r="G36" s="608"/>
      <c r="H36" s="608"/>
      <c r="I36" s="608"/>
      <c r="J36" s="608"/>
      <c r="K36" s="608"/>
      <c r="L36" s="608"/>
      <c r="M36" s="608"/>
      <c r="N36" s="608"/>
      <c r="O36" s="608"/>
      <c r="P36" s="608"/>
      <c r="Q36" s="608"/>
      <c r="R36" s="608"/>
      <c r="S36" s="608"/>
      <c r="T36" s="608"/>
      <c r="U36" s="608">
        <v>1.8383140987148601</v>
      </c>
      <c r="V36" s="608">
        <v>28.5895012139461</v>
      </c>
      <c r="W36" s="608">
        <v>26.404537144240294</v>
      </c>
      <c r="X36" s="608">
        <v>29.221234578817757</v>
      </c>
      <c r="Y36" s="608">
        <v>30.160160600282257</v>
      </c>
      <c r="Z36" s="608">
        <v>33.154475748268169</v>
      </c>
      <c r="AA36" s="608">
        <v>38.099272619569092</v>
      </c>
      <c r="AB36" s="608">
        <v>43.933077684654648</v>
      </c>
      <c r="AC36" s="608">
        <v>42.945418278223457</v>
      </c>
      <c r="AD36" s="608">
        <v>38.369839700094893</v>
      </c>
      <c r="AE36" s="757">
        <v>38.292474384961267</v>
      </c>
    </row>
    <row r="37" spans="3:31">
      <c r="C37" s="104" t="s">
        <v>1880</v>
      </c>
      <c r="D37" s="104" t="s">
        <v>1881</v>
      </c>
      <c r="E37" s="608"/>
      <c r="F37" s="608"/>
      <c r="G37" s="608"/>
      <c r="H37" s="608"/>
      <c r="I37" s="608"/>
      <c r="J37" s="608"/>
      <c r="K37" s="608"/>
      <c r="L37" s="608"/>
      <c r="M37" s="608"/>
      <c r="N37" s="608"/>
      <c r="O37" s="608"/>
      <c r="P37" s="608"/>
      <c r="Q37" s="608"/>
      <c r="R37" s="608"/>
      <c r="S37" s="608"/>
      <c r="T37" s="608"/>
      <c r="U37" s="608">
        <v>0</v>
      </c>
      <c r="V37" s="608">
        <v>0</v>
      </c>
      <c r="W37" s="608">
        <v>0</v>
      </c>
      <c r="X37" s="608">
        <v>0</v>
      </c>
      <c r="Y37" s="608">
        <v>-59.054926000000009</v>
      </c>
      <c r="Z37" s="608">
        <v>0</v>
      </c>
      <c r="AA37" s="608">
        <v>0</v>
      </c>
      <c r="AB37" s="608">
        <v>0</v>
      </c>
      <c r="AC37" s="608">
        <v>-90.757800000000003</v>
      </c>
      <c r="AD37" s="608"/>
      <c r="AE37" s="757">
        <v>-123.87192783099999</v>
      </c>
    </row>
    <row r="38" spans="3:31">
      <c r="C38" s="104" t="s">
        <v>2158</v>
      </c>
      <c r="D38" s="104" t="s">
        <v>2618</v>
      </c>
      <c r="E38" s="608"/>
      <c r="F38" s="608"/>
      <c r="G38" s="608"/>
      <c r="H38" s="608"/>
      <c r="I38" s="608"/>
      <c r="J38" s="608"/>
      <c r="K38" s="608"/>
      <c r="L38" s="608"/>
      <c r="M38" s="608"/>
      <c r="N38" s="608"/>
      <c r="O38" s="608"/>
      <c r="P38" s="608"/>
      <c r="Q38" s="608"/>
      <c r="R38" s="608"/>
      <c r="S38" s="608"/>
      <c r="T38" s="608"/>
      <c r="U38" s="608"/>
      <c r="V38" s="608"/>
      <c r="W38" s="608"/>
      <c r="X38" s="608"/>
      <c r="Y38" s="608"/>
      <c r="Z38" s="608"/>
      <c r="AA38" s="608"/>
      <c r="AB38" s="608"/>
      <c r="AC38" s="608"/>
      <c r="AD38" s="608"/>
      <c r="AE38" s="757"/>
    </row>
    <row r="39" spans="3:31">
      <c r="C39" s="610" t="s">
        <v>1902</v>
      </c>
      <c r="D39" s="610" t="s">
        <v>1903</v>
      </c>
      <c r="E39" s="611"/>
      <c r="F39" s="611"/>
      <c r="G39" s="611"/>
      <c r="H39" s="611"/>
      <c r="I39" s="611"/>
      <c r="J39" s="611"/>
      <c r="K39" s="611"/>
      <c r="L39" s="611"/>
      <c r="M39" s="611"/>
      <c r="N39" s="611"/>
      <c r="O39" s="611"/>
      <c r="P39" s="611"/>
      <c r="Q39" s="611"/>
      <c r="R39" s="611"/>
      <c r="S39" s="611"/>
      <c r="T39" s="611"/>
      <c r="U39" s="611">
        <f>SUM(U35:U37)</f>
        <v>1001.8383166987148</v>
      </c>
      <c r="V39" s="611">
        <f t="shared" ref="V39:AB39" si="6">SUM(V35:V37,U39)</f>
        <v>1030.4278179126609</v>
      </c>
      <c r="W39" s="611">
        <f t="shared" si="6"/>
        <v>1056.8323550569012</v>
      </c>
      <c r="X39" s="611">
        <f t="shared" si="6"/>
        <v>1086.0535896357189</v>
      </c>
      <c r="Y39" s="611">
        <f t="shared" si="6"/>
        <v>1057.1588242360012</v>
      </c>
      <c r="Z39" s="611">
        <f t="shared" si="6"/>
        <v>1090.3132999842694</v>
      </c>
      <c r="AA39" s="611">
        <f t="shared" si="6"/>
        <v>1128.4125726038385</v>
      </c>
      <c r="AB39" s="611">
        <f t="shared" si="6"/>
        <v>1172.3456502884931</v>
      </c>
      <c r="AC39" s="611">
        <v>1124.5332685667165</v>
      </c>
      <c r="AD39" s="611">
        <v>1162.9031082668114</v>
      </c>
      <c r="AE39" s="611">
        <v>1077.3236548207726</v>
      </c>
    </row>
    <row r="40" spans="3:31" ht="4.5" customHeight="1"/>
    <row r="41" spans="3:31">
      <c r="C41" s="104" t="s">
        <v>1884</v>
      </c>
      <c r="D41" s="104" t="s">
        <v>1885</v>
      </c>
      <c r="E41" s="612"/>
      <c r="F41" s="612"/>
      <c r="G41" s="612"/>
      <c r="H41" s="612"/>
      <c r="I41" s="612"/>
      <c r="J41" s="612"/>
      <c r="K41" s="612"/>
      <c r="L41" s="612"/>
      <c r="M41" s="613"/>
      <c r="N41" s="613"/>
      <c r="O41" s="613"/>
      <c r="P41" s="613"/>
      <c r="Q41" s="613"/>
      <c r="R41" s="613"/>
      <c r="S41" s="613"/>
      <c r="T41" s="613"/>
      <c r="U41" s="613">
        <f>U39+U42</f>
        <v>1005.1160384805562</v>
      </c>
      <c r="V41" s="613">
        <f>V39+V42</f>
        <v>1006.1160384826609</v>
      </c>
      <c r="W41" s="613">
        <f>W39+W42</f>
        <v>1075.8530451511999</v>
      </c>
      <c r="X41" s="613">
        <f>X39+X42</f>
        <v>1127.3133988961711</v>
      </c>
      <c r="Y41" s="613">
        <f>Y39+Y42</f>
        <v>1054.4739816515892</v>
      </c>
      <c r="Z41" s="613">
        <v>1097.9981116859519</v>
      </c>
      <c r="AA41" s="613">
        <v>1129.1110961668917</v>
      </c>
      <c r="AB41" s="613">
        <v>1163.7680673701327</v>
      </c>
      <c r="AC41" s="613">
        <v>1112.0395379681015</v>
      </c>
      <c r="AD41" s="613">
        <v>1144.3241824645456</v>
      </c>
      <c r="AE41" s="613">
        <v>1052.3368559482476</v>
      </c>
    </row>
    <row r="42" spans="3:31">
      <c r="C42" s="610" t="s">
        <v>1904</v>
      </c>
      <c r="D42" s="610" t="s">
        <v>1905</v>
      </c>
      <c r="E42" s="610"/>
      <c r="F42" s="610"/>
      <c r="G42" s="610"/>
      <c r="H42" s="610"/>
      <c r="I42" s="610"/>
      <c r="J42" s="610"/>
      <c r="K42" s="610"/>
      <c r="L42" s="610"/>
      <c r="M42" s="620"/>
      <c r="N42" s="620"/>
      <c r="O42" s="620"/>
      <c r="P42" s="620"/>
      <c r="Q42" s="620"/>
      <c r="R42" s="620"/>
      <c r="S42" s="620"/>
      <c r="T42" s="620"/>
      <c r="U42" s="620">
        <v>3.2777217818413646</v>
      </c>
      <c r="V42" s="620">
        <v>-24.311779430000001</v>
      </c>
      <c r="W42" s="620">
        <v>19.020690094298743</v>
      </c>
      <c r="X42" s="620">
        <v>41.25980926045213</v>
      </c>
      <c r="Y42" s="620">
        <v>-2.6848425844120811</v>
      </c>
      <c r="Z42" s="620">
        <v>7.6848117016825199</v>
      </c>
      <c r="AA42" s="620">
        <v>0.69852356305318608</v>
      </c>
      <c r="AB42" s="620">
        <v>-8.5775829183603491</v>
      </c>
      <c r="AC42" s="620">
        <v>-12.493730598615002</v>
      </c>
      <c r="AD42" s="620">
        <v>0</v>
      </c>
      <c r="AE42" s="620">
        <v>0</v>
      </c>
    </row>
    <row r="43" spans="3:31" ht="4.5" customHeight="1">
      <c r="E43" s="134"/>
      <c r="F43" s="134"/>
      <c r="G43" s="134"/>
      <c r="H43" s="134"/>
      <c r="I43" s="134"/>
      <c r="J43" s="134"/>
      <c r="K43" s="134"/>
      <c r="L43" s="134"/>
      <c r="M43" s="612"/>
      <c r="N43" s="612"/>
      <c r="O43" s="612"/>
      <c r="P43" s="612"/>
      <c r="Q43" s="612"/>
      <c r="R43" s="612"/>
      <c r="S43" s="612"/>
      <c r="T43" s="612"/>
      <c r="U43" s="614"/>
      <c r="V43" s="612"/>
      <c r="W43" s="612"/>
      <c r="X43" s="612"/>
      <c r="Y43" s="612"/>
      <c r="Z43" s="612"/>
      <c r="AA43" s="612"/>
      <c r="AB43" s="612"/>
      <c r="AC43" s="612"/>
      <c r="AD43" s="612"/>
      <c r="AE43" s="612"/>
    </row>
    <row r="44" spans="3:31">
      <c r="C44" s="610" t="s">
        <v>1888</v>
      </c>
      <c r="D44" s="610" t="s">
        <v>1889</v>
      </c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>
        <f t="shared" ref="U44:AB44" si="7">U42-T42</f>
        <v>3.2777217818413646</v>
      </c>
      <c r="V44" s="621">
        <f t="shared" si="7"/>
        <v>-27.589501211841366</v>
      </c>
      <c r="W44" s="621">
        <f t="shared" si="7"/>
        <v>43.332469524298745</v>
      </c>
      <c r="X44" s="621">
        <f t="shared" si="7"/>
        <v>22.239119166153387</v>
      </c>
      <c r="Y44" s="621">
        <f t="shared" si="7"/>
        <v>-43.944651844864211</v>
      </c>
      <c r="Z44" s="621">
        <f t="shared" si="7"/>
        <v>10.369654286094601</v>
      </c>
      <c r="AA44" s="621">
        <f t="shared" si="7"/>
        <v>-6.9862881386293338</v>
      </c>
      <c r="AB44" s="621">
        <f t="shared" si="7"/>
        <v>-9.2761064814135352</v>
      </c>
      <c r="AC44" s="621">
        <v>-3.9161476802546531</v>
      </c>
      <c r="AD44" s="621">
        <v>12.493730598615002</v>
      </c>
      <c r="AE44" s="621">
        <v>0</v>
      </c>
    </row>
    <row r="45" spans="3:31" ht="4.5" customHeight="1"/>
    <row r="46" spans="3:31">
      <c r="C46" s="615" t="s">
        <v>1890</v>
      </c>
      <c r="D46" s="615" t="s">
        <v>1891</v>
      </c>
      <c r="E46" s="622"/>
      <c r="F46" s="622"/>
      <c r="G46" s="622"/>
      <c r="H46" s="622"/>
      <c r="I46" s="622"/>
      <c r="J46" s="622"/>
      <c r="K46" s="622"/>
      <c r="L46" s="622"/>
      <c r="M46" s="622"/>
      <c r="N46" s="622"/>
      <c r="O46" s="622"/>
      <c r="P46" s="622"/>
      <c r="Q46" s="622"/>
      <c r="R46" s="622"/>
      <c r="S46" s="622"/>
      <c r="T46" s="622"/>
      <c r="U46" s="623">
        <v>3.5000000000000003E-2</v>
      </c>
      <c r="V46" s="623">
        <v>3.5000000000000003E-2</v>
      </c>
      <c r="W46" s="623">
        <v>3.5000000000000003E-2</v>
      </c>
      <c r="X46" s="616">
        <v>3.5000000000000003E-2</v>
      </c>
      <c r="Y46" s="616">
        <v>3.5000000000000003E-2</v>
      </c>
      <c r="Z46" s="616">
        <v>3.5000000000000003E-2</v>
      </c>
      <c r="AA46" s="616">
        <v>3.5000000000000003E-2</v>
      </c>
      <c r="AB46" s="616">
        <v>3.5000000000000003E-2</v>
      </c>
      <c r="AC46" s="669">
        <v>3.5000000000000003E-2</v>
      </c>
      <c r="AD46" s="669">
        <v>0.05</v>
      </c>
      <c r="AE46" s="669">
        <v>0.05</v>
      </c>
    </row>
    <row r="47" spans="3:31">
      <c r="M47" s="270"/>
      <c r="N47" s="270"/>
      <c r="O47" s="270"/>
      <c r="P47" s="270"/>
      <c r="Q47" s="270"/>
      <c r="R47" s="270"/>
      <c r="S47" s="270"/>
      <c r="T47" s="270"/>
      <c r="U47" s="270"/>
      <c r="V47" s="270"/>
      <c r="W47" s="270"/>
      <c r="X47" s="270"/>
      <c r="Y47" s="270"/>
      <c r="Z47" s="270"/>
      <c r="AA47" s="270"/>
      <c r="AB47" s="270"/>
      <c r="AC47" s="270"/>
      <c r="AD47" s="270"/>
      <c r="AE47" s="270"/>
    </row>
    <row r="48" spans="3:31">
      <c r="C48" s="441" t="s">
        <v>1024</v>
      </c>
      <c r="D48" s="441" t="s">
        <v>1906</v>
      </c>
      <c r="E48" s="412" t="s">
        <v>66</v>
      </c>
      <c r="F48" s="412" t="s">
        <v>67</v>
      </c>
      <c r="G48" s="412" t="s">
        <v>68</v>
      </c>
      <c r="H48" s="412" t="s">
        <v>69</v>
      </c>
      <c r="I48" s="412" t="s">
        <v>70</v>
      </c>
      <c r="J48" s="412" t="s">
        <v>71</v>
      </c>
      <c r="K48" s="412" t="s">
        <v>72</v>
      </c>
      <c r="L48" s="412" t="s">
        <v>73</v>
      </c>
      <c r="M48" s="412" t="s">
        <v>74</v>
      </c>
      <c r="N48" s="412" t="s">
        <v>75</v>
      </c>
      <c r="O48" s="412" t="s">
        <v>76</v>
      </c>
      <c r="P48" s="412" t="s">
        <v>77</v>
      </c>
      <c r="Q48" s="412" t="s">
        <v>78</v>
      </c>
      <c r="R48" s="412" t="s">
        <v>79</v>
      </c>
      <c r="S48" s="412" t="s">
        <v>80</v>
      </c>
      <c r="T48" s="412" t="s">
        <v>81</v>
      </c>
      <c r="U48" s="412" t="s">
        <v>82</v>
      </c>
      <c r="V48" s="412" t="s">
        <v>83</v>
      </c>
      <c r="W48" s="412" t="s">
        <v>84</v>
      </c>
      <c r="X48" s="412" t="s">
        <v>85</v>
      </c>
      <c r="Y48" s="412" t="str">
        <f>+$Y$6</f>
        <v>4T24</v>
      </c>
      <c r="Z48" s="412" t="s">
        <v>87</v>
      </c>
      <c r="AA48" s="412" t="str">
        <f>AA34</f>
        <v>2T25</v>
      </c>
      <c r="AB48" s="412" t="str">
        <f>AB34</f>
        <v>3T25</v>
      </c>
      <c r="AC48" s="412" t="s">
        <v>2127</v>
      </c>
      <c r="AD48" s="412" t="s">
        <v>2360</v>
      </c>
      <c r="AE48" s="412" t="s">
        <v>2494</v>
      </c>
    </row>
    <row r="49" spans="3:31">
      <c r="C49" s="104" t="s">
        <v>1876</v>
      </c>
      <c r="D49" s="104" t="s">
        <v>1877</v>
      </c>
      <c r="E49" s="608">
        <f t="shared" ref="E49:AB49" si="8">E7+E21+E35</f>
        <v>1000</v>
      </c>
      <c r="F49" s="608">
        <f t="shared" si="8"/>
        <v>0</v>
      </c>
      <c r="G49" s="608">
        <f t="shared" si="8"/>
        <v>0</v>
      </c>
      <c r="H49" s="608">
        <f t="shared" si="8"/>
        <v>0</v>
      </c>
      <c r="I49" s="608">
        <f t="shared" si="8"/>
        <v>0</v>
      </c>
      <c r="J49" s="608">
        <f t="shared" si="8"/>
        <v>0</v>
      </c>
      <c r="K49" s="608">
        <f t="shared" si="8"/>
        <v>0</v>
      </c>
      <c r="L49" s="608">
        <f t="shared" si="8"/>
        <v>0</v>
      </c>
      <c r="M49" s="608">
        <f t="shared" si="8"/>
        <v>0</v>
      </c>
      <c r="N49" s="608">
        <f t="shared" si="8"/>
        <v>0</v>
      </c>
      <c r="O49" s="608">
        <f t="shared" si="8"/>
        <v>0</v>
      </c>
      <c r="P49" s="608">
        <f t="shared" si="8"/>
        <v>0</v>
      </c>
      <c r="Q49" s="608">
        <f t="shared" si="8"/>
        <v>0</v>
      </c>
      <c r="R49" s="608">
        <f t="shared" si="8"/>
        <v>2103.0000013600002</v>
      </c>
      <c r="S49" s="608">
        <f t="shared" si="8"/>
        <v>0</v>
      </c>
      <c r="T49" s="608">
        <f t="shared" si="8"/>
        <v>0</v>
      </c>
      <c r="U49" s="608">
        <f t="shared" si="8"/>
        <v>1300.00000338</v>
      </c>
      <c r="V49" s="608">
        <f t="shared" si="8"/>
        <v>0</v>
      </c>
      <c r="W49" s="608">
        <f t="shared" si="8"/>
        <v>0</v>
      </c>
      <c r="X49" s="608">
        <f t="shared" si="8"/>
        <v>0</v>
      </c>
      <c r="Y49" s="608">
        <f t="shared" si="8"/>
        <v>0</v>
      </c>
      <c r="Z49" s="608">
        <f t="shared" si="8"/>
        <v>0</v>
      </c>
      <c r="AA49" s="608">
        <f t="shared" si="8"/>
        <v>0</v>
      </c>
      <c r="AB49" s="608">
        <f t="shared" si="8"/>
        <v>0</v>
      </c>
      <c r="AC49" s="608">
        <v>0</v>
      </c>
      <c r="AD49" s="608">
        <v>0</v>
      </c>
      <c r="AE49" s="757">
        <v>0</v>
      </c>
    </row>
    <row r="50" spans="3:31">
      <c r="C50" s="104" t="s">
        <v>1907</v>
      </c>
      <c r="D50" s="104" t="s">
        <v>1908</v>
      </c>
      <c r="E50" s="608">
        <f t="shared" ref="E50:AD50" si="9">E8+E22+E36</f>
        <v>6.4181926684901702</v>
      </c>
      <c r="F50" s="608">
        <f t="shared" si="9"/>
        <v>10.186053826597499</v>
      </c>
      <c r="G50" s="608">
        <f t="shared" si="9"/>
        <v>7.4610486232704103</v>
      </c>
      <c r="H50" s="608">
        <f t="shared" si="9"/>
        <v>5.1010366331680999</v>
      </c>
      <c r="I50" s="608">
        <f t="shared" si="9"/>
        <v>4.6818302066658504</v>
      </c>
      <c r="J50" s="608">
        <f t="shared" si="9"/>
        <v>4.3606545366642298</v>
      </c>
      <c r="K50" s="608">
        <f t="shared" si="9"/>
        <v>6.8655286503698001</v>
      </c>
      <c r="L50" s="608">
        <f t="shared" si="9"/>
        <v>10.5310591847949</v>
      </c>
      <c r="M50" s="608">
        <f t="shared" si="9"/>
        <v>14.231135221158899</v>
      </c>
      <c r="N50" s="608">
        <f t="shared" si="9"/>
        <v>17.729348027965099</v>
      </c>
      <c r="O50" s="608">
        <f t="shared" si="9"/>
        <v>21.547144625506199</v>
      </c>
      <c r="P50" s="608">
        <f t="shared" si="9"/>
        <v>22.972428101066299</v>
      </c>
      <c r="Q50" s="608">
        <f t="shared" si="9"/>
        <v>21.518643678276</v>
      </c>
      <c r="R50" s="608">
        <f t="shared" si="9"/>
        <v>24.090927906402079</v>
      </c>
      <c r="S50" s="608">
        <f t="shared" si="9"/>
        <v>84.594251501364198</v>
      </c>
      <c r="T50" s="608">
        <f t="shared" si="9"/>
        <v>88.353602657117591</v>
      </c>
      <c r="U50" s="608">
        <f t="shared" si="9"/>
        <v>83.152336175015051</v>
      </c>
      <c r="V50" s="608">
        <f t="shared" si="9"/>
        <v>107.712392838515</v>
      </c>
      <c r="W50" s="608">
        <f t="shared" si="9"/>
        <v>105.41765822425202</v>
      </c>
      <c r="X50" s="608">
        <f t="shared" si="9"/>
        <v>107.05362712234682</v>
      </c>
      <c r="Y50" s="608">
        <f t="shared" si="9"/>
        <v>107.24889114716663</v>
      </c>
      <c r="Z50" s="608">
        <f t="shared" si="9"/>
        <v>113.12640932807551</v>
      </c>
      <c r="AA50" s="608">
        <f t="shared" si="9"/>
        <v>129.87901912537413</v>
      </c>
      <c r="AB50" s="608">
        <f t="shared" si="9"/>
        <v>149.61305729907264</v>
      </c>
      <c r="AC50" s="608">
        <f t="shared" si="9"/>
        <v>103.19406788672737</v>
      </c>
      <c r="AD50" s="608">
        <f t="shared" si="9"/>
        <v>38.802913048863637</v>
      </c>
      <c r="AE50" s="757">
        <v>38.292474384961267</v>
      </c>
    </row>
    <row r="51" spans="3:31">
      <c r="C51" s="104" t="s">
        <v>1880</v>
      </c>
      <c r="D51" s="104" t="s">
        <v>1881</v>
      </c>
      <c r="E51" s="608">
        <f t="shared" ref="E51:AB51" si="10">E9+E24+E37</f>
        <v>0</v>
      </c>
      <c r="F51" s="608">
        <f t="shared" si="10"/>
        <v>0</v>
      </c>
      <c r="G51" s="608">
        <f t="shared" si="10"/>
        <v>-27.904250439999998</v>
      </c>
      <c r="H51" s="608">
        <f t="shared" si="10"/>
        <v>0</v>
      </c>
      <c r="I51" s="608">
        <f t="shared" si="10"/>
        <v>-108.44226345</v>
      </c>
      <c r="J51" s="608">
        <f t="shared" si="10"/>
        <v>0</v>
      </c>
      <c r="K51" s="608">
        <f t="shared" si="10"/>
        <v>-52.933753226100002</v>
      </c>
      <c r="L51" s="608">
        <f t="shared" si="10"/>
        <v>-80.916529269999998</v>
      </c>
      <c r="M51" s="608">
        <f t="shared" si="10"/>
        <v>-71.156214790000007</v>
      </c>
      <c r="N51" s="608">
        <f t="shared" si="10"/>
        <v>0</v>
      </c>
      <c r="O51" s="608">
        <f t="shared" si="10"/>
        <v>-74.157569719999998</v>
      </c>
      <c r="P51" s="608">
        <f t="shared" si="10"/>
        <v>0</v>
      </c>
      <c r="Q51" s="608">
        <f t="shared" si="10"/>
        <v>-163.08933173</v>
      </c>
      <c r="R51" s="608">
        <f t="shared" si="10"/>
        <v>-34.353000000000002</v>
      </c>
      <c r="S51" s="608">
        <f t="shared" si="10"/>
        <v>0</v>
      </c>
      <c r="T51" s="608">
        <f t="shared" si="10"/>
        <v>0</v>
      </c>
      <c r="U51" s="608">
        <f t="shared" si="10"/>
        <v>-229.05441838500002</v>
      </c>
      <c r="V51" s="608">
        <f t="shared" si="10"/>
        <v>0</v>
      </c>
      <c r="W51" s="608">
        <f t="shared" si="10"/>
        <v>0</v>
      </c>
      <c r="X51" s="608">
        <f t="shared" si="10"/>
        <v>-300</v>
      </c>
      <c r="Y51" s="608">
        <f t="shared" si="10"/>
        <v>-407.36971494000011</v>
      </c>
      <c r="Z51" s="608">
        <f t="shared" si="10"/>
        <v>0</v>
      </c>
      <c r="AA51" s="608">
        <f t="shared" si="10"/>
        <v>0</v>
      </c>
      <c r="AB51" s="608">
        <f t="shared" si="10"/>
        <v>0</v>
      </c>
      <c r="AC51" s="608">
        <v>-479.71980000000008</v>
      </c>
      <c r="AD51" s="608">
        <v>-172.84330791637393</v>
      </c>
      <c r="AE51" s="757">
        <v>-123.87192783099999</v>
      </c>
    </row>
    <row r="52" spans="3:31">
      <c r="C52" s="104" t="s">
        <v>2158</v>
      </c>
      <c r="E52" s="608"/>
      <c r="F52" s="608"/>
      <c r="G52" s="608"/>
      <c r="H52" s="608"/>
      <c r="I52" s="608"/>
      <c r="J52" s="608"/>
      <c r="K52" s="608"/>
      <c r="L52" s="608"/>
      <c r="M52" s="608"/>
      <c r="N52" s="608"/>
      <c r="O52" s="608"/>
      <c r="P52" s="608"/>
      <c r="Q52" s="608"/>
      <c r="R52" s="608"/>
      <c r="S52" s="608"/>
      <c r="T52" s="608"/>
      <c r="U52" s="608"/>
      <c r="V52" s="608"/>
      <c r="W52" s="608"/>
      <c r="X52" s="608"/>
      <c r="Y52" s="608"/>
      <c r="Z52" s="608"/>
      <c r="AA52" s="608"/>
      <c r="AB52" s="608"/>
      <c r="AC52" s="608">
        <v>-2000.0000008499999</v>
      </c>
      <c r="AD52" s="608">
        <v>-434</v>
      </c>
      <c r="AE52" s="757">
        <v>0</v>
      </c>
    </row>
    <row r="53" spans="3:31">
      <c r="C53" s="610" t="s">
        <v>1909</v>
      </c>
      <c r="D53" s="610" t="s">
        <v>1910</v>
      </c>
      <c r="E53" s="611">
        <f>SUM(E49:E51)</f>
        <v>1006.4181926684902</v>
      </c>
      <c r="F53" s="611">
        <f>SUM(F49:F51,E53)</f>
        <v>1016.6042464950876</v>
      </c>
      <c r="G53" s="611">
        <f t="shared" ref="G53:AB53" si="11">SUM(G49:G51,F53)</f>
        <v>996.16104467835805</v>
      </c>
      <c r="H53" s="611">
        <f t="shared" si="11"/>
        <v>1001.2620813115261</v>
      </c>
      <c r="I53" s="611">
        <f t="shared" si="11"/>
        <v>897.50164806819203</v>
      </c>
      <c r="J53" s="611">
        <f t="shared" si="11"/>
        <v>901.86230260485627</v>
      </c>
      <c r="K53" s="611">
        <f t="shared" si="11"/>
        <v>855.79407802912601</v>
      </c>
      <c r="L53" s="611">
        <f t="shared" si="11"/>
        <v>785.40860794392097</v>
      </c>
      <c r="M53" s="611">
        <f t="shared" si="11"/>
        <v>728.48352837507991</v>
      </c>
      <c r="N53" s="611">
        <f t="shared" si="11"/>
        <v>746.21287640304502</v>
      </c>
      <c r="O53" s="611">
        <f t="shared" si="11"/>
        <v>693.60245130855117</v>
      </c>
      <c r="P53" s="611">
        <f t="shared" si="11"/>
        <v>716.57487940961744</v>
      </c>
      <c r="Q53" s="611">
        <f t="shared" si="11"/>
        <v>575.00419135789343</v>
      </c>
      <c r="R53" s="611">
        <f t="shared" si="11"/>
        <v>2667.7421206242957</v>
      </c>
      <c r="S53" s="611">
        <f t="shared" si="11"/>
        <v>2752.3363721256601</v>
      </c>
      <c r="T53" s="611">
        <f t="shared" si="11"/>
        <v>2840.6899747827779</v>
      </c>
      <c r="U53" s="611">
        <f t="shared" si="11"/>
        <v>3994.787895952793</v>
      </c>
      <c r="V53" s="611">
        <f t="shared" si="11"/>
        <v>4102.5002887913079</v>
      </c>
      <c r="W53" s="611">
        <f t="shared" si="11"/>
        <v>4207.9179470155595</v>
      </c>
      <c r="X53" s="611">
        <f t="shared" si="11"/>
        <v>4014.9715741379064</v>
      </c>
      <c r="Y53" s="611">
        <f t="shared" si="11"/>
        <v>3714.8507503450728</v>
      </c>
      <c r="Z53" s="611">
        <f t="shared" si="11"/>
        <v>3827.9771596731484</v>
      </c>
      <c r="AA53" s="611">
        <f t="shared" si="11"/>
        <v>3957.8561787985227</v>
      </c>
      <c r="AB53" s="611">
        <f t="shared" si="11"/>
        <v>4107.4692360975951</v>
      </c>
      <c r="AC53" s="611">
        <f>SUM(AC49:AC52,AB53)</f>
        <v>1730.9435031343223</v>
      </c>
      <c r="AD53" s="611">
        <f>SUM(AD49:AD52,AC53)</f>
        <v>1162.9031082668121</v>
      </c>
      <c r="AE53" s="611">
        <v>1077.3236548207733</v>
      </c>
    </row>
    <row r="54" spans="3:31" ht="4.5" customHeight="1"/>
    <row r="55" spans="3:31">
      <c r="C55" s="104" t="s">
        <v>1884</v>
      </c>
      <c r="D55" s="104" t="s">
        <v>1885</v>
      </c>
      <c r="E55" s="612">
        <f t="shared" ref="E55:AD55" si="12">E13+E27+E41</f>
        <v>0</v>
      </c>
      <c r="F55" s="612">
        <f t="shared" si="12"/>
        <v>0</v>
      </c>
      <c r="G55" s="612">
        <f t="shared" si="12"/>
        <v>0</v>
      </c>
      <c r="H55" s="612">
        <f t="shared" si="12"/>
        <v>0</v>
      </c>
      <c r="I55" s="612">
        <f t="shared" si="12"/>
        <v>0</v>
      </c>
      <c r="J55" s="612">
        <f t="shared" si="12"/>
        <v>0</v>
      </c>
      <c r="K55" s="612">
        <f t="shared" si="12"/>
        <v>0</v>
      </c>
      <c r="L55" s="612">
        <f t="shared" si="12"/>
        <v>0</v>
      </c>
      <c r="M55" s="613">
        <f t="shared" si="12"/>
        <v>1141.4835283750799</v>
      </c>
      <c r="N55" s="613">
        <f t="shared" si="12"/>
        <v>1198.2128764030449</v>
      </c>
      <c r="O55" s="613">
        <f t="shared" si="12"/>
        <v>1185.6024513085513</v>
      </c>
      <c r="P55" s="613">
        <f t="shared" si="12"/>
        <v>1247.5748794096176</v>
      </c>
      <c r="Q55" s="613">
        <f t="shared" si="12"/>
        <v>1160.0041913578934</v>
      </c>
      <c r="R55" s="613">
        <f t="shared" si="12"/>
        <v>2957.7992999764815</v>
      </c>
      <c r="S55" s="613">
        <f t="shared" si="12"/>
        <v>2990.1910355914433</v>
      </c>
      <c r="T55" s="613">
        <f t="shared" si="12"/>
        <v>3024.1648965588047</v>
      </c>
      <c r="U55" s="613">
        <f t="shared" si="12"/>
        <v>4215.7738762574754</v>
      </c>
      <c r="V55" s="613">
        <f t="shared" si="12"/>
        <v>4216.790057861308</v>
      </c>
      <c r="W55" s="613">
        <f t="shared" si="12"/>
        <v>4398.2968415778014</v>
      </c>
      <c r="X55" s="613">
        <f t="shared" si="12"/>
        <v>4230.5860737527046</v>
      </c>
      <c r="Y55" s="613">
        <f t="shared" si="12"/>
        <v>3796.7601499993298</v>
      </c>
      <c r="Z55" s="613">
        <f t="shared" si="12"/>
        <v>3964.5930533009532</v>
      </c>
      <c r="AA55" s="613">
        <f t="shared" si="12"/>
        <v>4075.6302649517029</v>
      </c>
      <c r="AB55" s="613">
        <f t="shared" si="12"/>
        <v>4199.3134714499538</v>
      </c>
      <c r="AC55" s="613">
        <f t="shared" si="12"/>
        <v>1733.1332649521621</v>
      </c>
      <c r="AD55" s="613">
        <f t="shared" si="12"/>
        <v>1144.3241824645465</v>
      </c>
      <c r="AE55" s="613">
        <v>1052.3368559482487</v>
      </c>
    </row>
    <row r="56" spans="3:31">
      <c r="C56" s="610" t="s">
        <v>1911</v>
      </c>
      <c r="D56" s="610" t="s">
        <v>1912</v>
      </c>
      <c r="E56" s="611">
        <f t="shared" ref="E56:AD56" si="13">E14+E28+E42</f>
        <v>0</v>
      </c>
      <c r="F56" s="611">
        <f t="shared" si="13"/>
        <v>0</v>
      </c>
      <c r="G56" s="611">
        <f t="shared" si="13"/>
        <v>0</v>
      </c>
      <c r="H56" s="611">
        <f t="shared" si="13"/>
        <v>0</v>
      </c>
      <c r="I56" s="611">
        <f t="shared" si="13"/>
        <v>0</v>
      </c>
      <c r="J56" s="611">
        <f t="shared" si="13"/>
        <v>0</v>
      </c>
      <c r="K56" s="611">
        <f t="shared" si="13"/>
        <v>0</v>
      </c>
      <c r="L56" s="611">
        <f t="shared" si="13"/>
        <v>0</v>
      </c>
      <c r="M56" s="611">
        <f t="shared" si="13"/>
        <v>413</v>
      </c>
      <c r="N56" s="611">
        <f t="shared" si="13"/>
        <v>452</v>
      </c>
      <c r="O56" s="611">
        <f t="shared" si="13"/>
        <v>492</v>
      </c>
      <c r="P56" s="611">
        <f t="shared" si="13"/>
        <v>531</v>
      </c>
      <c r="Q56" s="611">
        <f t="shared" si="13"/>
        <v>585</v>
      </c>
      <c r="R56" s="611">
        <f t="shared" si="13"/>
        <v>290.05717935218604</v>
      </c>
      <c r="S56" s="611">
        <f t="shared" si="13"/>
        <v>237.85466346578301</v>
      </c>
      <c r="T56" s="611">
        <f t="shared" si="13"/>
        <v>183.474921776027</v>
      </c>
      <c r="U56" s="611">
        <f t="shared" si="13"/>
        <v>220.9859803046827</v>
      </c>
      <c r="V56" s="611">
        <f t="shared" si="13"/>
        <v>114.28976907000001</v>
      </c>
      <c r="W56" s="611">
        <f t="shared" si="13"/>
        <v>190.37889456224127</v>
      </c>
      <c r="X56" s="611">
        <f t="shared" si="13"/>
        <v>215.61449961479786</v>
      </c>
      <c r="Y56" s="611">
        <f t="shared" si="13"/>
        <v>81.909399654257413</v>
      </c>
      <c r="Z56" s="611">
        <f t="shared" si="13"/>
        <v>136.61589362780421</v>
      </c>
      <c r="AA56" s="611">
        <f t="shared" si="13"/>
        <v>117.77408615317961</v>
      </c>
      <c r="AB56" s="611">
        <f t="shared" si="13"/>
        <v>91.844235352354531</v>
      </c>
      <c r="AC56" s="611">
        <f t="shared" si="13"/>
        <v>2.1897618178395248</v>
      </c>
      <c r="AD56" s="611">
        <f t="shared" si="13"/>
        <v>0</v>
      </c>
      <c r="AE56" s="611">
        <v>0</v>
      </c>
    </row>
    <row r="57" spans="3:31" ht="4.5" customHeight="1">
      <c r="E57" s="134"/>
      <c r="F57" s="134"/>
      <c r="G57" s="134"/>
      <c r="H57" s="134"/>
      <c r="I57" s="134"/>
      <c r="J57" s="134"/>
      <c r="K57" s="134"/>
      <c r="L57" s="134"/>
      <c r="M57" s="612"/>
      <c r="N57" s="612"/>
      <c r="O57" s="612"/>
      <c r="P57" s="612"/>
      <c r="Q57" s="612"/>
      <c r="R57" s="612"/>
      <c r="S57" s="612"/>
      <c r="T57" s="612"/>
      <c r="U57" s="614"/>
      <c r="V57" s="612"/>
      <c r="W57" s="612"/>
      <c r="X57" s="612"/>
      <c r="Y57" s="612"/>
      <c r="Z57" s="612"/>
      <c r="AA57" s="612"/>
      <c r="AB57" s="612"/>
      <c r="AC57" s="612"/>
      <c r="AD57" s="612"/>
      <c r="AE57" s="612"/>
    </row>
    <row r="58" spans="3:31">
      <c r="C58" s="610" t="s">
        <v>1888</v>
      </c>
      <c r="D58" s="610" t="s">
        <v>1889</v>
      </c>
      <c r="E58" s="611">
        <f t="shared" ref="E58:AD58" si="14">E16+E30+E44</f>
        <v>0</v>
      </c>
      <c r="F58" s="611">
        <f t="shared" si="14"/>
        <v>0</v>
      </c>
      <c r="G58" s="611">
        <f t="shared" si="14"/>
        <v>0</v>
      </c>
      <c r="H58" s="611">
        <f t="shared" si="14"/>
        <v>0</v>
      </c>
      <c r="I58" s="611">
        <f t="shared" si="14"/>
        <v>0</v>
      </c>
      <c r="J58" s="611">
        <f t="shared" si="14"/>
        <v>0</v>
      </c>
      <c r="K58" s="611">
        <f t="shared" si="14"/>
        <v>0</v>
      </c>
      <c r="L58" s="611">
        <f t="shared" si="14"/>
        <v>0</v>
      </c>
      <c r="M58" s="611">
        <f t="shared" si="14"/>
        <v>413</v>
      </c>
      <c r="N58" s="611">
        <f t="shared" si="14"/>
        <v>39</v>
      </c>
      <c r="O58" s="611">
        <f t="shared" si="14"/>
        <v>40</v>
      </c>
      <c r="P58" s="611">
        <f t="shared" si="14"/>
        <v>39</v>
      </c>
      <c r="Q58" s="611">
        <f t="shared" si="14"/>
        <v>54</v>
      </c>
      <c r="R58" s="611">
        <f t="shared" si="14"/>
        <v>-294.94282064781396</v>
      </c>
      <c r="S58" s="611">
        <f t="shared" si="14"/>
        <v>-52.202515886403006</v>
      </c>
      <c r="T58" s="611">
        <f t="shared" si="14"/>
        <v>-54.379741689756003</v>
      </c>
      <c r="U58" s="611">
        <f t="shared" si="14"/>
        <v>37.511058528655695</v>
      </c>
      <c r="V58" s="611">
        <f t="shared" si="14"/>
        <v>-106.69621123468269</v>
      </c>
      <c r="W58" s="611">
        <f t="shared" si="14"/>
        <v>76.089125492241266</v>
      </c>
      <c r="X58" s="611">
        <f t="shared" si="14"/>
        <v>25.235605052556593</v>
      </c>
      <c r="Y58" s="611">
        <f t="shared" si="14"/>
        <v>-133.70509996054045</v>
      </c>
      <c r="Z58" s="611">
        <f t="shared" si="14"/>
        <v>54.706493973546799</v>
      </c>
      <c r="AA58" s="611">
        <f t="shared" si="14"/>
        <v>-18.841807474624602</v>
      </c>
      <c r="AB58" s="611">
        <f t="shared" si="14"/>
        <v>-25.929850800825079</v>
      </c>
      <c r="AC58" s="611">
        <f t="shared" si="14"/>
        <v>-44.454473534515003</v>
      </c>
      <c r="AD58" s="611">
        <f t="shared" si="14"/>
        <v>6.6765378240899054</v>
      </c>
      <c r="AE58" s="611">
        <v>0</v>
      </c>
    </row>
    <row r="59" spans="3:31" ht="4.5" customHeight="1">
      <c r="M59" s="270"/>
      <c r="N59" s="270"/>
      <c r="O59" s="270"/>
      <c r="P59" s="270"/>
      <c r="Q59" s="270"/>
      <c r="R59" s="270"/>
      <c r="S59" s="270"/>
      <c r="T59" s="270"/>
      <c r="U59" s="270"/>
      <c r="V59" s="270"/>
      <c r="W59" s="270"/>
      <c r="X59" s="270"/>
      <c r="Y59" s="270"/>
      <c r="Z59" s="270"/>
      <c r="AA59" s="270"/>
      <c r="AB59" s="270"/>
      <c r="AC59" s="270"/>
      <c r="AD59" s="270"/>
      <c r="AE59" s="270"/>
    </row>
    <row r="60" spans="3:31">
      <c r="C60" s="615" t="s">
        <v>1890</v>
      </c>
      <c r="D60" s="615" t="s">
        <v>1891</v>
      </c>
      <c r="E60" s="616">
        <f t="shared" ref="E60:Q60" si="15">E18</f>
        <v>0.15</v>
      </c>
      <c r="F60" s="616">
        <f t="shared" si="15"/>
        <v>0.15</v>
      </c>
      <c r="G60" s="616">
        <f t="shared" si="15"/>
        <v>0.15</v>
      </c>
      <c r="H60" s="616">
        <f t="shared" si="15"/>
        <v>0.15</v>
      </c>
      <c r="I60" s="616">
        <f t="shared" si="15"/>
        <v>0.15</v>
      </c>
      <c r="J60" s="616">
        <f t="shared" si="15"/>
        <v>0.15</v>
      </c>
      <c r="K60" s="616">
        <f t="shared" si="15"/>
        <v>0.15</v>
      </c>
      <c r="L60" s="616">
        <f t="shared" si="15"/>
        <v>0.15</v>
      </c>
      <c r="M60" s="616">
        <f t="shared" si="15"/>
        <v>0.15</v>
      </c>
      <c r="N60" s="616">
        <f t="shared" si="15"/>
        <v>0.15</v>
      </c>
      <c r="O60" s="616">
        <f t="shared" si="15"/>
        <v>0.15</v>
      </c>
      <c r="P60" s="616">
        <f t="shared" si="15"/>
        <v>0.15</v>
      </c>
      <c r="Q60" s="616">
        <f t="shared" si="15"/>
        <v>0.15</v>
      </c>
      <c r="R60" s="616">
        <f t="shared" ref="R60:Y60" si="16">R18+R32+R46</f>
        <v>0.15</v>
      </c>
      <c r="S60" s="616">
        <f t="shared" si="16"/>
        <v>0.15</v>
      </c>
      <c r="T60" s="616">
        <f t="shared" si="16"/>
        <v>0.15</v>
      </c>
      <c r="U60" s="616">
        <f t="shared" si="16"/>
        <v>0.185</v>
      </c>
      <c r="V60" s="616">
        <f t="shared" si="16"/>
        <v>0.185</v>
      </c>
      <c r="W60" s="616">
        <f t="shared" si="16"/>
        <v>0.185</v>
      </c>
      <c r="X60" s="616">
        <f t="shared" si="16"/>
        <v>0.185</v>
      </c>
      <c r="Y60" s="616">
        <f t="shared" si="16"/>
        <v>0.185</v>
      </c>
      <c r="Z60" s="616">
        <f>Z18+Z32+Z46</f>
        <v>0.185</v>
      </c>
      <c r="AA60" s="616">
        <f>AA18+AA32+AA46</f>
        <v>0.185</v>
      </c>
      <c r="AB60" s="616">
        <f>AB18+AB32+AB46</f>
        <v>0.185</v>
      </c>
      <c r="AC60" s="616">
        <f t="shared" ref="AC60" si="17">AC18+AC32+AC46</f>
        <v>0.185</v>
      </c>
      <c r="AD60" s="616">
        <v>0.05</v>
      </c>
      <c r="AE60" s="669">
        <v>0.05</v>
      </c>
    </row>
    <row r="61" spans="3:31">
      <c r="M61" s="270"/>
      <c r="N61" s="270"/>
      <c r="O61" s="270"/>
      <c r="P61" s="270"/>
      <c r="Q61" s="270"/>
      <c r="R61" s="270"/>
      <c r="S61" s="270"/>
      <c r="T61" s="270"/>
      <c r="U61" s="270"/>
      <c r="V61" s="270"/>
      <c r="W61" s="270"/>
      <c r="X61" s="270"/>
      <c r="Y61" s="270"/>
      <c r="Z61" s="270"/>
      <c r="AA61" s="270"/>
      <c r="AB61" s="270"/>
      <c r="AC61" s="270"/>
      <c r="AD61" s="270"/>
      <c r="AE61" s="270"/>
    </row>
    <row r="62" spans="3:31">
      <c r="C62" s="348" t="s">
        <v>1913</v>
      </c>
      <c r="D62" s="348"/>
      <c r="E62" s="624">
        <v>0.15</v>
      </c>
      <c r="F62" s="624">
        <v>0.15</v>
      </c>
      <c r="G62" s="624">
        <v>0.2</v>
      </c>
      <c r="H62" s="624">
        <v>0.35</v>
      </c>
      <c r="I62" s="624">
        <v>0.55000000000000004</v>
      </c>
      <c r="J62" s="624">
        <v>0.55000000000000004</v>
      </c>
      <c r="K62" s="624">
        <v>0.6</v>
      </c>
      <c r="M62" s="270"/>
      <c r="N62" s="270"/>
      <c r="O62" s="270"/>
      <c r="P62" s="270"/>
      <c r="Q62" s="270"/>
      <c r="R62" s="270"/>
      <c r="S62" s="270"/>
      <c r="T62" s="270"/>
      <c r="U62" s="270"/>
      <c r="V62" s="270"/>
      <c r="W62" s="270"/>
      <c r="X62" s="270"/>
      <c r="Y62" s="270"/>
      <c r="Z62" s="270"/>
      <c r="AA62" s="270"/>
      <c r="AB62" s="270"/>
      <c r="AC62" s="270"/>
      <c r="AD62" s="270"/>
      <c r="AE62" s="270"/>
    </row>
    <row r="63" spans="3:31">
      <c r="C63" s="441" t="s">
        <v>1914</v>
      </c>
      <c r="D63" s="441" t="s">
        <v>1915</v>
      </c>
      <c r="E63" s="625">
        <v>2024</v>
      </c>
      <c r="F63" s="625">
        <v>2025</v>
      </c>
      <c r="G63" s="625">
        <v>2026</v>
      </c>
      <c r="H63" s="625">
        <v>2027</v>
      </c>
      <c r="I63" s="625">
        <v>2028</v>
      </c>
      <c r="J63" s="625">
        <v>2029</v>
      </c>
      <c r="K63" s="625" t="s">
        <v>1916</v>
      </c>
      <c r="M63" s="270"/>
      <c r="N63" s="270"/>
      <c r="O63" s="270"/>
      <c r="P63" s="270"/>
      <c r="Q63" s="270"/>
      <c r="R63" s="270"/>
      <c r="S63" s="270"/>
      <c r="T63" s="270"/>
      <c r="U63" s="270"/>
      <c r="V63" s="270"/>
      <c r="W63" s="270"/>
      <c r="X63" s="270"/>
      <c r="Y63" s="270"/>
      <c r="Z63" s="270"/>
      <c r="AA63" s="270"/>
      <c r="AB63" s="270"/>
      <c r="AC63" s="270"/>
      <c r="AD63" s="270"/>
      <c r="AE63" s="270"/>
    </row>
    <row r="64" spans="3:31">
      <c r="C64" s="104" t="s">
        <v>1873</v>
      </c>
      <c r="D64" s="104" t="s">
        <v>1874</v>
      </c>
      <c r="E64" s="626">
        <v>2.9399999999999999E-2</v>
      </c>
      <c r="F64" s="626">
        <v>2.9399999999999999E-2</v>
      </c>
      <c r="G64" s="626">
        <v>0</v>
      </c>
      <c r="H64" s="626">
        <v>0</v>
      </c>
      <c r="I64" s="626">
        <v>0</v>
      </c>
      <c r="J64" s="626">
        <v>0</v>
      </c>
      <c r="K64" s="626">
        <v>0</v>
      </c>
      <c r="L64" s="626"/>
      <c r="M64" s="627"/>
      <c r="N64" s="628"/>
      <c r="O64" s="270"/>
      <c r="P64" s="270"/>
      <c r="Q64" s="270"/>
      <c r="R64" s="270"/>
      <c r="S64" s="270"/>
      <c r="T64" s="270"/>
      <c r="U64" s="270"/>
      <c r="V64" s="270"/>
      <c r="W64" s="270"/>
      <c r="X64" s="270"/>
      <c r="Y64" s="270"/>
      <c r="Z64" s="270"/>
      <c r="AA64" s="270"/>
      <c r="AB64" s="270"/>
      <c r="AC64" s="270"/>
      <c r="AD64" s="270"/>
      <c r="AE64" s="270"/>
    </row>
    <row r="65" spans="3:11">
      <c r="C65" s="104" t="s">
        <v>1892</v>
      </c>
      <c r="D65" s="104" t="s">
        <v>1893</v>
      </c>
      <c r="E65" s="626">
        <v>0.1206</v>
      </c>
      <c r="F65" s="626">
        <v>0.1206</v>
      </c>
      <c r="G65" s="626">
        <v>0</v>
      </c>
      <c r="H65" s="626">
        <v>0</v>
      </c>
      <c r="I65" s="626">
        <v>0</v>
      </c>
      <c r="J65" s="626">
        <v>0</v>
      </c>
      <c r="K65" s="626">
        <v>0</v>
      </c>
    </row>
    <row r="66" spans="3:11">
      <c r="C66" s="104" t="s">
        <v>1900</v>
      </c>
      <c r="D66" s="104" t="s">
        <v>1901</v>
      </c>
      <c r="E66" s="626">
        <v>3.5000000000000003E-2</v>
      </c>
      <c r="F66" s="626">
        <v>0.05</v>
      </c>
      <c r="G66" s="626">
        <v>0.1</v>
      </c>
      <c r="H66" s="626">
        <v>0.15</v>
      </c>
      <c r="I66" s="626">
        <v>0.25</v>
      </c>
      <c r="J66" s="626">
        <v>0.25</v>
      </c>
      <c r="K66" s="626">
        <v>0.25</v>
      </c>
    </row>
    <row r="67" spans="3:11">
      <c r="C67" s="134" t="s">
        <v>220</v>
      </c>
      <c r="D67" s="134" t="s">
        <v>220</v>
      </c>
      <c r="E67" s="629">
        <v>0.185</v>
      </c>
      <c r="F67" s="629">
        <v>0.2</v>
      </c>
      <c r="G67" s="629">
        <v>0.1</v>
      </c>
      <c r="H67" s="629">
        <v>0.15</v>
      </c>
      <c r="I67" s="629">
        <v>0.25</v>
      </c>
      <c r="J67" s="629">
        <v>0.25</v>
      </c>
      <c r="K67" s="629">
        <v>0.25</v>
      </c>
    </row>
    <row r="69" spans="3:11">
      <c r="C69" s="441" t="s">
        <v>1917</v>
      </c>
      <c r="D69" s="441" t="s">
        <v>1918</v>
      </c>
    </row>
    <row r="70" spans="3:11">
      <c r="C70" s="104" t="s">
        <v>2101</v>
      </c>
      <c r="D70" s="104" t="s">
        <v>2102</v>
      </c>
    </row>
    <row r="71" spans="3:11">
      <c r="C71" s="104" t="s">
        <v>2103</v>
      </c>
      <c r="D71" s="104" t="s">
        <v>2104</v>
      </c>
    </row>
    <row r="72" spans="3:11">
      <c r="C72" s="104" t="s">
        <v>2105</v>
      </c>
      <c r="D72" s="104" t="s">
        <v>2106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tabColor theme="9" tint="0.79998168889431442"/>
  </sheetPr>
  <dimension ref="C6:S276"/>
  <sheetViews>
    <sheetView showGridLines="0" tabSelected="1" zoomScale="85" zoomScaleNormal="85" workbookViewId="0">
      <selection activeCell="U6" sqref="U6"/>
    </sheetView>
  </sheetViews>
  <sheetFormatPr defaultColWidth="8.77734375" defaultRowHeight="14.4"/>
  <cols>
    <col min="1" max="1" width="8.77734375" style="540"/>
    <col min="2" max="2" width="1.21875" style="540" customWidth="1"/>
    <col min="3" max="4" width="39.44140625" style="540" bestFit="1" customWidth="1"/>
    <col min="5" max="5" width="0.5546875" style="540" customWidth="1"/>
    <col min="6" max="16384" width="8.77734375" style="540"/>
  </cols>
  <sheetData>
    <row r="6" spans="3:19">
      <c r="C6" s="560" t="s">
        <v>89</v>
      </c>
      <c r="D6" s="560" t="s">
        <v>89</v>
      </c>
      <c r="F6" s="541" t="s">
        <v>79</v>
      </c>
      <c r="G6" s="541" t="s">
        <v>80</v>
      </c>
      <c r="H6" s="541" t="s">
        <v>81</v>
      </c>
      <c r="I6" s="541" t="s">
        <v>82</v>
      </c>
      <c r="J6" s="541" t="s">
        <v>83</v>
      </c>
      <c r="K6" s="541" t="s">
        <v>84</v>
      </c>
      <c r="L6" s="541" t="s">
        <v>85</v>
      </c>
      <c r="M6" s="541" t="s">
        <v>86</v>
      </c>
      <c r="N6" s="541" t="s">
        <v>87</v>
      </c>
      <c r="O6" s="541" t="s">
        <v>88</v>
      </c>
      <c r="P6" s="541" t="s">
        <v>2074</v>
      </c>
      <c r="Q6" s="541" t="s">
        <v>2127</v>
      </c>
      <c r="R6" s="541" t="s">
        <v>2360</v>
      </c>
      <c r="S6" s="541" t="s">
        <v>2494</v>
      </c>
    </row>
    <row r="7" spans="3:19" ht="3" customHeight="1">
      <c r="C7" s="561"/>
      <c r="D7" s="561"/>
    </row>
    <row r="8" spans="3:19">
      <c r="C8" s="562" t="s">
        <v>1919</v>
      </c>
      <c r="D8" s="562" t="s">
        <v>1920</v>
      </c>
      <c r="F8" s="568"/>
      <c r="G8" s="568"/>
      <c r="H8" s="568"/>
      <c r="I8" s="568"/>
      <c r="J8" s="568"/>
      <c r="K8" s="568"/>
      <c r="L8" s="568"/>
      <c r="M8" s="568"/>
      <c r="N8" s="568"/>
      <c r="O8" s="568"/>
      <c r="P8" s="568"/>
      <c r="Q8" s="568"/>
      <c r="R8" s="568"/>
      <c r="S8" s="759"/>
    </row>
    <row r="9" spans="3:19" ht="3" customHeight="1">
      <c r="C9" s="561"/>
      <c r="D9" s="561"/>
    </row>
    <row r="10" spans="3:19">
      <c r="C10" s="563" t="s">
        <v>1921</v>
      </c>
      <c r="D10" s="563" t="s">
        <v>1922</v>
      </c>
      <c r="F10" s="569">
        <v>1079.8575496600001</v>
      </c>
      <c r="G10" s="569">
        <v>1191.3851374000001</v>
      </c>
      <c r="H10" s="569">
        <v>1361.9749022799995</v>
      </c>
      <c r="I10" s="569">
        <v>1532.7434945500004</v>
      </c>
      <c r="J10" s="569">
        <v>1375.5754344399998</v>
      </c>
      <c r="K10" s="569">
        <v>1487.3357274900002</v>
      </c>
      <c r="L10" s="569">
        <v>1514.8536383999999</v>
      </c>
      <c r="M10" s="569">
        <v>1641.8819367400001</v>
      </c>
      <c r="N10" s="569">
        <v>1327.4066275300002</v>
      </c>
      <c r="O10" s="569">
        <v>1525.7745594799999</v>
      </c>
      <c r="P10" s="569">
        <v>1651.5780442799999</v>
      </c>
      <c r="Q10" s="569">
        <v>1932.68230576</v>
      </c>
      <c r="R10" s="569">
        <v>1651.7053055699998</v>
      </c>
      <c r="S10" s="569">
        <v>1790.2400676700004</v>
      </c>
    </row>
    <row r="11" spans="3:19">
      <c r="C11" s="564" t="s">
        <v>1923</v>
      </c>
      <c r="D11" s="564" t="s">
        <v>1924</v>
      </c>
      <c r="F11" s="570">
        <v>6.1162359499999992</v>
      </c>
      <c r="G11" s="570">
        <v>9.8264910400000005</v>
      </c>
      <c r="H11" s="570">
        <v>27.056394269999998</v>
      </c>
      <c r="I11" s="570">
        <v>5.5726565899999958</v>
      </c>
      <c r="J11" s="570">
        <v>7.5419639500000004</v>
      </c>
      <c r="K11" s="570">
        <v>-17.530514610000004</v>
      </c>
      <c r="L11" s="570">
        <v>-4.1547832899999992</v>
      </c>
      <c r="M11" s="570">
        <v>4.6350964699999997</v>
      </c>
      <c r="N11" s="570">
        <v>-25.321547469999999</v>
      </c>
      <c r="O11" s="570">
        <v>32.507816099999999</v>
      </c>
      <c r="P11" s="570">
        <v>35.521667999999991</v>
      </c>
      <c r="Q11" s="570">
        <v>-12.814770199999998</v>
      </c>
      <c r="R11" s="570">
        <v>-9.1850714899999986</v>
      </c>
      <c r="S11" s="570">
        <v>9.4006261599999998</v>
      </c>
    </row>
    <row r="12" spans="3:19">
      <c r="C12" s="565" t="s">
        <v>1925</v>
      </c>
      <c r="D12" s="565" t="s">
        <v>1926</v>
      </c>
      <c r="F12" s="571">
        <v>-3.1476245499999997</v>
      </c>
      <c r="G12" s="571">
        <v>-3.5205705800000002</v>
      </c>
      <c r="H12" s="571">
        <v>-4.0391481899999997</v>
      </c>
      <c r="I12" s="571">
        <v>-4.5455547799999989</v>
      </c>
      <c r="J12" s="571">
        <v>-4.0378725600000003</v>
      </c>
      <c r="K12" s="571">
        <v>-4.9057255800000004</v>
      </c>
      <c r="L12" s="571">
        <v>-4.3884093699999989</v>
      </c>
      <c r="M12" s="571">
        <v>-4.9014966400000004</v>
      </c>
      <c r="N12" s="571">
        <v>-4.5453395600000004</v>
      </c>
      <c r="O12" s="571">
        <v>-4.5017330600000003</v>
      </c>
      <c r="P12" s="571">
        <v>-3.5784512999999998</v>
      </c>
      <c r="Q12" s="571">
        <v>-5.6820082099999993</v>
      </c>
      <c r="R12" s="571">
        <v>-4.8659173899999999</v>
      </c>
      <c r="S12" s="571">
        <v>-5.2287237400000004</v>
      </c>
    </row>
    <row r="13" spans="3:19">
      <c r="C13" s="565" t="s">
        <v>1927</v>
      </c>
      <c r="D13" s="565" t="s">
        <v>1928</v>
      </c>
      <c r="F13" s="569">
        <v>202.64263727000002</v>
      </c>
      <c r="G13" s="569">
        <v>198.34702984000012</v>
      </c>
      <c r="H13" s="569">
        <v>221.97372677000004</v>
      </c>
      <c r="I13" s="569">
        <v>370.41676349000005</v>
      </c>
      <c r="J13" s="569">
        <v>284.93104087999995</v>
      </c>
      <c r="K13" s="569">
        <v>263.25404923999997</v>
      </c>
      <c r="L13" s="569">
        <v>342.22944662000009</v>
      </c>
      <c r="M13" s="569">
        <v>353.50670751000001</v>
      </c>
      <c r="N13" s="569">
        <v>347.68876237000001</v>
      </c>
      <c r="O13" s="569">
        <v>404.46055511999998</v>
      </c>
      <c r="P13" s="569">
        <v>388.09663142999995</v>
      </c>
      <c r="Q13" s="569">
        <v>535.80672278000009</v>
      </c>
      <c r="R13" s="569">
        <v>502.51893597000003</v>
      </c>
      <c r="S13" s="569">
        <v>470.22015936999998</v>
      </c>
    </row>
    <row r="14" spans="3:19">
      <c r="C14" s="564" t="s">
        <v>1929</v>
      </c>
      <c r="D14" s="564" t="s">
        <v>1930</v>
      </c>
      <c r="F14" s="572">
        <v>77.494401920000001</v>
      </c>
      <c r="G14" s="572">
        <v>79.86700848000001</v>
      </c>
      <c r="H14" s="572">
        <v>81.907499599999994</v>
      </c>
      <c r="I14" s="572">
        <v>92.741934880000002</v>
      </c>
      <c r="J14" s="572">
        <v>92.332320949999996</v>
      </c>
      <c r="K14" s="572">
        <v>92.302569150000025</v>
      </c>
      <c r="L14" s="572">
        <v>92.765037069999991</v>
      </c>
      <c r="M14" s="572">
        <v>95.473267440000001</v>
      </c>
      <c r="N14" s="572">
        <v>92.054334580000003</v>
      </c>
      <c r="O14" s="572">
        <v>90.611842730000006</v>
      </c>
      <c r="P14" s="572">
        <v>142.28997282</v>
      </c>
      <c r="Q14" s="572">
        <v>166.44899754000002</v>
      </c>
      <c r="R14" s="572">
        <v>162.94794203000001</v>
      </c>
      <c r="S14" s="572">
        <v>157.03393071000002</v>
      </c>
    </row>
    <row r="15" spans="3:19">
      <c r="C15" s="564" t="s">
        <v>1931</v>
      </c>
      <c r="D15" s="564" t="s">
        <v>1932</v>
      </c>
      <c r="F15" s="572">
        <v>26.21269152</v>
      </c>
      <c r="G15" s="572">
        <v>28.666835860000003</v>
      </c>
      <c r="H15" s="572">
        <v>30.430776969999993</v>
      </c>
      <c r="I15" s="572">
        <v>33.319421810000009</v>
      </c>
      <c r="J15" s="572">
        <v>31.03090877</v>
      </c>
      <c r="K15" s="572">
        <v>37.873367829999992</v>
      </c>
      <c r="L15" s="572">
        <v>51.269294399999751</v>
      </c>
      <c r="M15" s="572">
        <v>37.670057320000154</v>
      </c>
      <c r="N15" s="572">
        <v>54.250661269999995</v>
      </c>
      <c r="O15" s="572">
        <v>62.260228050000002</v>
      </c>
      <c r="P15" s="572">
        <v>77.406208720000009</v>
      </c>
      <c r="Q15" s="572">
        <v>90.167551539999977</v>
      </c>
      <c r="R15" s="572">
        <v>79.518284780000002</v>
      </c>
      <c r="S15" s="572">
        <v>87.11095951999998</v>
      </c>
    </row>
    <row r="16" spans="3:19">
      <c r="C16" s="564" t="s">
        <v>1933</v>
      </c>
      <c r="D16" s="564" t="s">
        <v>1934</v>
      </c>
      <c r="F16" s="572">
        <v>0</v>
      </c>
      <c r="G16" s="572">
        <v>0</v>
      </c>
      <c r="H16" s="572">
        <v>0</v>
      </c>
      <c r="I16" s="572">
        <v>0</v>
      </c>
      <c r="J16" s="572">
        <v>0</v>
      </c>
      <c r="K16" s="572">
        <v>0</v>
      </c>
      <c r="L16" s="572">
        <v>20.78510627000027</v>
      </c>
      <c r="M16" s="572">
        <v>20.632148739999845</v>
      </c>
      <c r="N16" s="572">
        <v>0</v>
      </c>
      <c r="O16" s="572">
        <v>0</v>
      </c>
      <c r="P16" s="572">
        <v>0</v>
      </c>
      <c r="Q16" s="572">
        <v>0</v>
      </c>
      <c r="R16" s="572">
        <v>0</v>
      </c>
      <c r="S16" s="572">
        <v>0</v>
      </c>
    </row>
    <row r="17" spans="3:19">
      <c r="C17" s="564" t="s">
        <v>1935</v>
      </c>
      <c r="D17" s="564" t="s">
        <v>1936</v>
      </c>
      <c r="F17" s="572">
        <v>39.549860100000025</v>
      </c>
      <c r="G17" s="572">
        <v>42.159489440000058</v>
      </c>
      <c r="H17" s="572">
        <v>46.018985720000032</v>
      </c>
      <c r="I17" s="572">
        <v>48.359413000000004</v>
      </c>
      <c r="J17" s="572">
        <v>52.814262289999959</v>
      </c>
      <c r="K17" s="572">
        <v>55.215930669999956</v>
      </c>
      <c r="L17" s="572">
        <v>57.094521060000062</v>
      </c>
      <c r="M17" s="572">
        <v>61.665625230000018</v>
      </c>
      <c r="N17" s="572">
        <v>55.172341769999981</v>
      </c>
      <c r="O17" s="572">
        <v>69.05121034000004</v>
      </c>
      <c r="P17" s="572">
        <v>64.421110529999964</v>
      </c>
      <c r="Q17" s="572">
        <v>95.862411100000017</v>
      </c>
      <c r="R17" s="572">
        <v>83.382608619999999</v>
      </c>
      <c r="S17" s="572">
        <v>92.145426600000022</v>
      </c>
    </row>
    <row r="18" spans="3:19">
      <c r="C18" s="564" t="s">
        <v>1937</v>
      </c>
      <c r="D18" s="564" t="s">
        <v>619</v>
      </c>
      <c r="F18" s="572">
        <v>24.594969240000001</v>
      </c>
      <c r="G18" s="572">
        <v>10.490028640000007</v>
      </c>
      <c r="H18" s="572">
        <v>16.149192079999999</v>
      </c>
      <c r="I18" s="572">
        <v>111.31040107000001</v>
      </c>
      <c r="J18" s="572">
        <v>60.700060320000006</v>
      </c>
      <c r="K18" s="572">
        <v>26.377418539999994</v>
      </c>
      <c r="L18" s="572">
        <v>31.914152239999986</v>
      </c>
      <c r="M18" s="572">
        <v>45.058655120000012</v>
      </c>
      <c r="N18" s="572">
        <v>100.92668603</v>
      </c>
      <c r="O18" s="572">
        <v>115.12881391999998</v>
      </c>
      <c r="P18" s="572">
        <v>-64.445562699999982</v>
      </c>
      <c r="Q18" s="572">
        <v>27.62617113000001</v>
      </c>
      <c r="R18" s="572">
        <v>108.72286077</v>
      </c>
      <c r="S18" s="572">
        <v>69.418392900000001</v>
      </c>
    </row>
    <row r="19" spans="3:19">
      <c r="C19" s="564" t="s">
        <v>1938</v>
      </c>
      <c r="D19" s="564" t="s">
        <v>1939</v>
      </c>
      <c r="F19" s="572">
        <v>5.0008722299999997</v>
      </c>
      <c r="G19" s="572">
        <v>5.3261338600000006</v>
      </c>
      <c r="H19" s="572">
        <v>6.3618142399999993</v>
      </c>
      <c r="I19" s="572">
        <v>6.0230282999999991</v>
      </c>
      <c r="J19" s="572">
        <v>5.5332534200000012</v>
      </c>
      <c r="K19" s="572">
        <v>5.5928084500000006</v>
      </c>
      <c r="L19" s="572">
        <v>34.239857260000008</v>
      </c>
      <c r="M19" s="572">
        <v>72.286627009999989</v>
      </c>
      <c r="N19" s="572">
        <v>6.6548716900000002</v>
      </c>
      <c r="O19" s="572">
        <v>28.501723440000006</v>
      </c>
      <c r="P19" s="572">
        <v>129.21715455999998</v>
      </c>
      <c r="Q19" s="572">
        <v>101.91305957999998</v>
      </c>
      <c r="R19" s="572">
        <v>23.696097850000001</v>
      </c>
      <c r="S19" s="572">
        <v>23.255554840000002</v>
      </c>
    </row>
    <row r="20" spans="3:19">
      <c r="C20" s="564" t="s">
        <v>854</v>
      </c>
      <c r="D20" s="564" t="s">
        <v>1940</v>
      </c>
      <c r="F20" s="572">
        <v>11.741617919999999</v>
      </c>
      <c r="G20" s="572">
        <v>12.13695601</v>
      </c>
      <c r="H20" s="572">
        <v>13.328294079999997</v>
      </c>
      <c r="I20" s="572">
        <v>15.693899170000002</v>
      </c>
      <c r="J20" s="572">
        <v>15.52676857</v>
      </c>
      <c r="K20" s="572">
        <v>15.796528620000002</v>
      </c>
      <c r="L20" s="572">
        <v>16.727741819999995</v>
      </c>
      <c r="M20" s="572">
        <v>17.846711500000001</v>
      </c>
      <c r="N20" s="572">
        <v>15.90990496</v>
      </c>
      <c r="O20" s="572">
        <v>15.175260489999998</v>
      </c>
      <c r="P20" s="572">
        <v>17.35691319</v>
      </c>
      <c r="Q20" s="572">
        <v>21.024610959999993</v>
      </c>
      <c r="R20" s="572">
        <v>19.6049167</v>
      </c>
      <c r="S20" s="572">
        <v>17.451995040000003</v>
      </c>
    </row>
    <row r="21" spans="3:19">
      <c r="C21" s="565" t="s">
        <v>1941</v>
      </c>
      <c r="D21" s="565" t="s">
        <v>1942</v>
      </c>
      <c r="F21" s="569">
        <v>18.048224340000004</v>
      </c>
      <c r="G21" s="569">
        <v>19.700577550000006</v>
      </c>
      <c r="H21" s="569">
        <v>27.777164080000002</v>
      </c>
      <c r="I21" s="569">
        <v>62.968665259999987</v>
      </c>
      <c r="J21" s="569">
        <v>26.993466559999998</v>
      </c>
      <c r="K21" s="569">
        <v>30.095425979999995</v>
      </c>
      <c r="L21" s="569">
        <v>37.433736499999995</v>
      </c>
      <c r="M21" s="569">
        <v>2.8736151499999991</v>
      </c>
      <c r="N21" s="569">
        <v>22.719962070000001</v>
      </c>
      <c r="O21" s="569">
        <v>23.731476150000002</v>
      </c>
      <c r="P21" s="569">
        <v>21.850834310000003</v>
      </c>
      <c r="Q21" s="569">
        <v>32.763920929999998</v>
      </c>
      <c r="R21" s="569">
        <v>24.646225219999994</v>
      </c>
      <c r="S21" s="569">
        <v>23.803899759999993</v>
      </c>
    </row>
    <row r="22" spans="3:19">
      <c r="C22" s="564" t="s">
        <v>1943</v>
      </c>
      <c r="D22" s="564" t="s">
        <v>1944</v>
      </c>
      <c r="F22" s="572">
        <v>8.6401454700000002</v>
      </c>
      <c r="G22" s="572">
        <v>11.130528889999999</v>
      </c>
      <c r="H22" s="572">
        <v>17.737998740000002</v>
      </c>
      <c r="I22" s="572">
        <v>13.792645399999998</v>
      </c>
      <c r="J22" s="572">
        <v>14.234111929999999</v>
      </c>
      <c r="K22" s="572">
        <v>14.642386149999998</v>
      </c>
      <c r="L22" s="572">
        <v>15.26867167</v>
      </c>
      <c r="M22" s="572">
        <v>13.549278189999997</v>
      </c>
      <c r="N22" s="572">
        <v>13.379136450000001</v>
      </c>
      <c r="O22" s="572">
        <v>13.61543386</v>
      </c>
      <c r="P22" s="572">
        <v>14.776500820000001</v>
      </c>
      <c r="Q22" s="572">
        <v>17.338776449999994</v>
      </c>
      <c r="R22" s="572">
        <v>14.204459119999999</v>
      </c>
      <c r="S22" s="572">
        <v>14.667487810000001</v>
      </c>
    </row>
    <row r="23" spans="3:19">
      <c r="C23" s="563" t="s">
        <v>1945</v>
      </c>
      <c r="D23" s="563" t="s">
        <v>1946</v>
      </c>
      <c r="F23" s="573">
        <v>5.1257266399999999</v>
      </c>
      <c r="G23" s="573">
        <v>0.34342629000000052</v>
      </c>
      <c r="H23" s="573">
        <v>2.4002738199999998</v>
      </c>
      <c r="I23" s="573">
        <v>0.1358607300000001</v>
      </c>
      <c r="J23" s="573">
        <v>0.45985884000000005</v>
      </c>
      <c r="K23" s="573">
        <v>4.4386791899999993</v>
      </c>
      <c r="L23" s="573">
        <v>32.975715829999999</v>
      </c>
      <c r="M23" s="573">
        <v>4.1482163199999977</v>
      </c>
      <c r="N23" s="573">
        <v>11.745296250000001</v>
      </c>
      <c r="O23" s="573">
        <v>10.461986739999999</v>
      </c>
      <c r="P23" s="573">
        <v>9.9719282200000006</v>
      </c>
      <c r="Q23" s="573">
        <v>37.761188590000003</v>
      </c>
      <c r="R23" s="573">
        <v>56.314759879999997</v>
      </c>
      <c r="S23" s="573">
        <v>-24.372643910000001</v>
      </c>
    </row>
    <row r="24" spans="3:19">
      <c r="C24" s="565" t="s">
        <v>1947</v>
      </c>
      <c r="D24" s="565" t="s">
        <v>1948</v>
      </c>
      <c r="F24" s="573">
        <v>156.03638074999998</v>
      </c>
      <c r="G24" s="573">
        <v>129.19900763000001</v>
      </c>
      <c r="H24" s="573">
        <v>67.775144110000014</v>
      </c>
      <c r="I24" s="573">
        <v>-6.0878895399999999</v>
      </c>
      <c r="J24" s="573">
        <v>0.13590845000000251</v>
      </c>
      <c r="K24" s="573">
        <v>22.622635519999999</v>
      </c>
      <c r="L24" s="573">
        <v>85.317652289999984</v>
      </c>
      <c r="M24" s="573">
        <v>10.275842619999995</v>
      </c>
      <c r="N24" s="573">
        <v>71.418491450000005</v>
      </c>
      <c r="O24" s="573">
        <v>65.389269490000004</v>
      </c>
      <c r="P24" s="573">
        <v>111.49839813000007</v>
      </c>
      <c r="Q24" s="573">
        <v>50.246714020000013</v>
      </c>
      <c r="R24" s="573">
        <v>-4.3813035399999913</v>
      </c>
      <c r="S24" s="573">
        <v>241.53793916999999</v>
      </c>
    </row>
    <row r="25" spans="3:19">
      <c r="C25" s="563" t="s">
        <v>1949</v>
      </c>
      <c r="D25" s="563" t="s">
        <v>1950</v>
      </c>
      <c r="F25" s="573">
        <v>197.89627229000001</v>
      </c>
      <c r="G25" s="573">
        <v>232.17199418000001</v>
      </c>
      <c r="H25" s="573">
        <v>323.57700487999989</v>
      </c>
      <c r="I25" s="573">
        <v>290.89836076999995</v>
      </c>
      <c r="J25" s="573">
        <v>220.14164139000002</v>
      </c>
      <c r="K25" s="573">
        <v>290.48543054999993</v>
      </c>
      <c r="L25" s="573">
        <v>300.29013179000009</v>
      </c>
      <c r="M25" s="573">
        <v>334.95291060999966</v>
      </c>
      <c r="N25" s="573">
        <v>306.59784353999999</v>
      </c>
      <c r="O25" s="573">
        <v>303.29323692000008</v>
      </c>
      <c r="P25" s="573">
        <v>337.52958312999976</v>
      </c>
      <c r="Q25" s="573">
        <v>292.45624783000028</v>
      </c>
      <c r="R25" s="573">
        <v>273.08367810000004</v>
      </c>
      <c r="S25" s="573">
        <v>330.49541311000002</v>
      </c>
    </row>
    <row r="26" spans="3:19">
      <c r="C26" s="566" t="s">
        <v>1951</v>
      </c>
      <c r="D26" s="566" t="s">
        <v>1952</v>
      </c>
      <c r="F26" s="574">
        <f t="shared" ref="F26:R26" si="0">SUM(F10,F12:F13,F23:F25)</f>
        <v>1638.4109420600003</v>
      </c>
      <c r="G26" s="574">
        <f t="shared" si="0"/>
        <v>1747.9260247600005</v>
      </c>
      <c r="H26" s="574">
        <f t="shared" si="0"/>
        <v>1973.661903669999</v>
      </c>
      <c r="I26" s="574">
        <f t="shared" si="0"/>
        <v>2183.5610352200001</v>
      </c>
      <c r="J26" s="574">
        <f t="shared" si="0"/>
        <v>1877.2060114399997</v>
      </c>
      <c r="K26" s="574">
        <f t="shared" si="0"/>
        <v>2063.2307964099996</v>
      </c>
      <c r="L26" s="574">
        <f t="shared" si="0"/>
        <v>2271.2781755599999</v>
      </c>
      <c r="M26" s="574">
        <f t="shared" si="0"/>
        <v>2339.8641171600002</v>
      </c>
      <c r="N26" s="574">
        <f>SUM(N10,N12:N13,N23:N25)</f>
        <v>2060.3116815799999</v>
      </c>
      <c r="O26" s="574">
        <f t="shared" si="0"/>
        <v>2304.8778746899998</v>
      </c>
      <c r="P26" s="574">
        <f t="shared" si="0"/>
        <v>2495.0961338899997</v>
      </c>
      <c r="Q26" s="574">
        <f t="shared" si="0"/>
        <v>2843.2711707700005</v>
      </c>
      <c r="R26" s="574">
        <f t="shared" si="0"/>
        <v>2474.3754585900006</v>
      </c>
      <c r="S26" s="574">
        <v>2802.8922116700001</v>
      </c>
    </row>
    <row r="27" spans="3:19">
      <c r="C27" s="565" t="s">
        <v>1953</v>
      </c>
      <c r="D27" s="565" t="s">
        <v>859</v>
      </c>
      <c r="F27" s="569">
        <f t="shared" ref="F27:R27" si="1">SUM(F28:F30)</f>
        <v>-395.54562946999999</v>
      </c>
      <c r="G27" s="569">
        <f t="shared" si="1"/>
        <v>-438.69324226000003</v>
      </c>
      <c r="H27" s="569">
        <f t="shared" si="1"/>
        <v>-498.66381813999988</v>
      </c>
      <c r="I27" s="569">
        <f t="shared" si="1"/>
        <v>-541.31879253999989</v>
      </c>
      <c r="J27" s="569">
        <f t="shared" si="1"/>
        <v>-526.51267150000001</v>
      </c>
      <c r="K27" s="569">
        <f t="shared" si="1"/>
        <v>-582.52318457000001</v>
      </c>
      <c r="L27" s="569">
        <f t="shared" si="1"/>
        <v>-596.14234316</v>
      </c>
      <c r="M27" s="569">
        <f t="shared" si="1"/>
        <v>-634.32883701999992</v>
      </c>
      <c r="N27" s="569">
        <f t="shared" si="1"/>
        <v>-528.04869041999996</v>
      </c>
      <c r="O27" s="569">
        <f t="shared" si="1"/>
        <v>-619.07355693</v>
      </c>
      <c r="P27" s="569">
        <f t="shared" si="1"/>
        <v>-718.54084886999999</v>
      </c>
      <c r="Q27" s="569">
        <f t="shared" si="1"/>
        <v>-860.9728308900003</v>
      </c>
      <c r="R27" s="569">
        <f t="shared" si="1"/>
        <v>-737.27623107999989</v>
      </c>
      <c r="S27" s="569">
        <f>SUM(S28:S30)</f>
        <v>-809.01427670999988</v>
      </c>
    </row>
    <row r="28" spans="3:19">
      <c r="C28" s="564" t="s">
        <v>1954</v>
      </c>
      <c r="D28" s="564" t="s">
        <v>1955</v>
      </c>
      <c r="F28" s="572">
        <v>-9.5529885299999986</v>
      </c>
      <c r="G28" s="572">
        <v>-6.8706125999999994</v>
      </c>
      <c r="H28" s="572">
        <v>-3.5967195200000006</v>
      </c>
      <c r="I28" s="572">
        <v>-7.0313983100000002</v>
      </c>
      <c r="J28" s="572">
        <v>-6.8824057300000003</v>
      </c>
      <c r="K28" s="572">
        <v>-6.7064090300000005</v>
      </c>
      <c r="L28" s="572">
        <v>-4.7648152799999997</v>
      </c>
      <c r="M28" s="572">
        <v>-4.8524201700000003</v>
      </c>
      <c r="N28" s="572">
        <v>-7.7260357099999997</v>
      </c>
      <c r="O28" s="572">
        <v>-8.0241780400000007</v>
      </c>
      <c r="P28" s="572">
        <v>-3.8900742699999991</v>
      </c>
      <c r="Q28" s="572">
        <v>-10.274079140000001</v>
      </c>
      <c r="R28" s="572">
        <v>-11.328250669999999</v>
      </c>
      <c r="S28" s="572">
        <v>-8.3765052499999992</v>
      </c>
    </row>
    <row r="29" spans="3:19">
      <c r="C29" s="564" t="s">
        <v>1956</v>
      </c>
      <c r="D29" s="564" t="s">
        <v>1957</v>
      </c>
      <c r="F29" s="572">
        <v>-88.662646540000011</v>
      </c>
      <c r="G29" s="572">
        <v>-88.766626929999973</v>
      </c>
      <c r="H29" s="572">
        <v>-101.58324421</v>
      </c>
      <c r="I29" s="572">
        <v>-100.14255163999999</v>
      </c>
      <c r="J29" s="572">
        <v>-111.99887941999998</v>
      </c>
      <c r="K29" s="572">
        <v>-112.88793609999998</v>
      </c>
      <c r="L29" s="572">
        <v>-109.38932967000004</v>
      </c>
      <c r="M29" s="572">
        <v>-79.043463259999982</v>
      </c>
      <c r="N29" s="572">
        <v>-106.75693085</v>
      </c>
      <c r="O29" s="572">
        <v>-111.76785085</v>
      </c>
      <c r="P29" s="572">
        <v>-153.3412745</v>
      </c>
      <c r="Q29" s="572">
        <v>-152.76695384000001</v>
      </c>
      <c r="R29" s="572">
        <v>-165.67906748000001</v>
      </c>
      <c r="S29" s="572">
        <v>-168.06095740000004</v>
      </c>
    </row>
    <row r="30" spans="3:19">
      <c r="C30" s="564" t="s">
        <v>1958</v>
      </c>
      <c r="D30" s="564" t="s">
        <v>1959</v>
      </c>
      <c r="F30" s="572">
        <v>-297.32999439999998</v>
      </c>
      <c r="G30" s="572">
        <v>-343.05600273000005</v>
      </c>
      <c r="H30" s="572">
        <v>-393.48385440999988</v>
      </c>
      <c r="I30" s="572">
        <v>-434.14484258999994</v>
      </c>
      <c r="J30" s="572">
        <v>-407.63138635000001</v>
      </c>
      <c r="K30" s="572">
        <v>-462.92883944000005</v>
      </c>
      <c r="L30" s="572">
        <v>-481.98819820999995</v>
      </c>
      <c r="M30" s="572">
        <v>-550.4329535899999</v>
      </c>
      <c r="N30" s="572">
        <v>-413.56572385999999</v>
      </c>
      <c r="O30" s="572">
        <v>-499.28152804000001</v>
      </c>
      <c r="P30" s="572">
        <v>-561.30950010000004</v>
      </c>
      <c r="Q30" s="572">
        <v>-697.93179791000023</v>
      </c>
      <c r="R30" s="572">
        <v>-560.26891292999994</v>
      </c>
      <c r="S30" s="572">
        <v>-632.57681405999983</v>
      </c>
    </row>
    <row r="31" spans="3:19">
      <c r="C31" s="566" t="s">
        <v>1960</v>
      </c>
      <c r="D31" s="566" t="s">
        <v>1961</v>
      </c>
      <c r="F31" s="574">
        <f t="shared" ref="F31:R31" si="2">SUM(F26:F27)</f>
        <v>1242.8653125900003</v>
      </c>
      <c r="G31" s="574">
        <f t="shared" si="2"/>
        <v>1309.2327825000004</v>
      </c>
      <c r="H31" s="574">
        <f t="shared" si="2"/>
        <v>1474.9980855299991</v>
      </c>
      <c r="I31" s="574">
        <f t="shared" si="2"/>
        <v>1642.2422426800003</v>
      </c>
      <c r="J31" s="574">
        <f t="shared" si="2"/>
        <v>1350.6933399399995</v>
      </c>
      <c r="K31" s="574">
        <f t="shared" si="2"/>
        <v>1480.7076118399996</v>
      </c>
      <c r="L31" s="574">
        <f t="shared" si="2"/>
        <v>1675.1358323999998</v>
      </c>
      <c r="M31" s="574">
        <f t="shared" si="2"/>
        <v>1705.5352801400004</v>
      </c>
      <c r="N31" s="574">
        <f t="shared" si="2"/>
        <v>1532.26299116</v>
      </c>
      <c r="O31" s="574">
        <f t="shared" si="2"/>
        <v>1685.8043177599998</v>
      </c>
      <c r="P31" s="574">
        <f t="shared" si="2"/>
        <v>1776.5552850199997</v>
      </c>
      <c r="Q31" s="574">
        <f t="shared" si="2"/>
        <v>1982.2983398800002</v>
      </c>
      <c r="R31" s="574">
        <f t="shared" si="2"/>
        <v>1737.0992275100007</v>
      </c>
      <c r="S31" s="574">
        <f>SUM(S26:S27)</f>
        <v>1993.8779349600002</v>
      </c>
    </row>
    <row r="32" spans="3:19">
      <c r="C32" s="565" t="s">
        <v>1962</v>
      </c>
      <c r="D32" s="565" t="s">
        <v>1963</v>
      </c>
      <c r="F32" s="573">
        <f t="shared" ref="F32:R32" si="3">-F25</f>
        <v>-197.89627229000001</v>
      </c>
      <c r="G32" s="573">
        <f t="shared" si="3"/>
        <v>-232.17199418000001</v>
      </c>
      <c r="H32" s="573">
        <f t="shared" si="3"/>
        <v>-323.57700487999989</v>
      </c>
      <c r="I32" s="573">
        <f t="shared" si="3"/>
        <v>-290.89836076999995</v>
      </c>
      <c r="J32" s="573">
        <f t="shared" si="3"/>
        <v>-220.14164139000002</v>
      </c>
      <c r="K32" s="573">
        <f t="shared" si="3"/>
        <v>-290.48543054999993</v>
      </c>
      <c r="L32" s="573">
        <f t="shared" si="3"/>
        <v>-300.29013179000009</v>
      </c>
      <c r="M32" s="573">
        <f t="shared" si="3"/>
        <v>-334.95291060999966</v>
      </c>
      <c r="N32" s="573">
        <f t="shared" si="3"/>
        <v>-306.59784353999999</v>
      </c>
      <c r="O32" s="573">
        <f t="shared" si="3"/>
        <v>-303.29323692000008</v>
      </c>
      <c r="P32" s="573">
        <f t="shared" si="3"/>
        <v>-337.52958312999976</v>
      </c>
      <c r="Q32" s="573">
        <f t="shared" si="3"/>
        <v>-292.45624783000028</v>
      </c>
      <c r="R32" s="573">
        <f t="shared" si="3"/>
        <v>-273.08367810000004</v>
      </c>
      <c r="S32" s="573">
        <f>-S25</f>
        <v>-330.49541311000002</v>
      </c>
    </row>
    <row r="33" spans="3:19">
      <c r="C33" s="566" t="s">
        <v>1964</v>
      </c>
      <c r="D33" s="566" t="s">
        <v>1965</v>
      </c>
      <c r="F33" s="574">
        <f t="shared" ref="F33:M33" si="4">SUM(F31:F32)</f>
        <v>1044.9690403000002</v>
      </c>
      <c r="G33" s="574">
        <f t="shared" si="4"/>
        <v>1077.0607883200005</v>
      </c>
      <c r="H33" s="574">
        <f t="shared" si="4"/>
        <v>1151.4210806499991</v>
      </c>
      <c r="I33" s="574">
        <f t="shared" si="4"/>
        <v>1351.3438819100004</v>
      </c>
      <c r="J33" s="574">
        <f t="shared" si="4"/>
        <v>1130.5516985499994</v>
      </c>
      <c r="K33" s="574">
        <f t="shared" si="4"/>
        <v>1190.2221812899998</v>
      </c>
      <c r="L33" s="574">
        <f t="shared" si="4"/>
        <v>1374.8457006099998</v>
      </c>
      <c r="M33" s="574">
        <f t="shared" si="4"/>
        <v>1370.5823695300007</v>
      </c>
      <c r="N33" s="574">
        <f t="shared" ref="N33:R33" si="5">SUM(N31:N32)</f>
        <v>1225.66514762</v>
      </c>
      <c r="O33" s="574">
        <f t="shared" si="5"/>
        <v>1382.5110808399997</v>
      </c>
      <c r="P33" s="574">
        <f t="shared" si="5"/>
        <v>1439.0257018899999</v>
      </c>
      <c r="Q33" s="574">
        <f t="shared" si="5"/>
        <v>1689.8420920499998</v>
      </c>
      <c r="R33" s="574">
        <f t="shared" si="5"/>
        <v>1464.0155494100006</v>
      </c>
      <c r="S33" s="574">
        <f>SUM(S31:S32)</f>
        <v>1663.3825218500001</v>
      </c>
    </row>
    <row r="34" spans="3:19">
      <c r="C34" s="567" t="s">
        <v>1966</v>
      </c>
      <c r="D34" s="567" t="s">
        <v>1967</v>
      </c>
      <c r="F34" s="570">
        <v>-551.53564965999999</v>
      </c>
      <c r="G34" s="570">
        <v>-562.51314978000005</v>
      </c>
      <c r="H34" s="570">
        <v>-608.9109148</v>
      </c>
      <c r="I34" s="570">
        <v>-673.72762996999984</v>
      </c>
      <c r="J34" s="570">
        <v>-572.84599813999989</v>
      </c>
      <c r="K34" s="570">
        <v>-629.81432225999981</v>
      </c>
      <c r="L34" s="570">
        <v>-769.73661951000008</v>
      </c>
      <c r="M34" s="570">
        <v>-772.0559551099999</v>
      </c>
      <c r="N34" s="570">
        <v>-625.40838367000015</v>
      </c>
      <c r="O34" s="570">
        <v>-693.71081463999997</v>
      </c>
      <c r="P34" s="570">
        <v>-843.12179574999993</v>
      </c>
      <c r="Q34" s="570">
        <v>-894.93797355000015</v>
      </c>
      <c r="R34" s="570">
        <v>-680.06223580000005</v>
      </c>
      <c r="S34" s="570">
        <v>-888.79544855999995</v>
      </c>
    </row>
    <row r="35" spans="3:19">
      <c r="C35" s="566" t="s">
        <v>1968</v>
      </c>
      <c r="D35" s="566" t="s">
        <v>1969</v>
      </c>
      <c r="F35" s="574">
        <f t="shared" ref="F35:M35" si="6">SUM(F33:F34)</f>
        <v>493.4333906400002</v>
      </c>
      <c r="G35" s="574">
        <f t="shared" si="6"/>
        <v>514.54763854000043</v>
      </c>
      <c r="H35" s="574">
        <f t="shared" si="6"/>
        <v>542.51016584999911</v>
      </c>
      <c r="I35" s="574">
        <f t="shared" si="6"/>
        <v>677.61625194000055</v>
      </c>
      <c r="J35" s="574">
        <f t="shared" si="6"/>
        <v>557.70570040999951</v>
      </c>
      <c r="K35" s="574">
        <f t="shared" si="6"/>
        <v>560.40785902999994</v>
      </c>
      <c r="L35" s="574">
        <f t="shared" si="6"/>
        <v>605.10908109999968</v>
      </c>
      <c r="M35" s="574">
        <f t="shared" si="6"/>
        <v>598.52641442000083</v>
      </c>
      <c r="N35" s="574">
        <f t="shared" ref="N35:R35" si="7">SUM(N33:N34)</f>
        <v>600.25676394999982</v>
      </c>
      <c r="O35" s="574">
        <f t="shared" si="7"/>
        <v>688.80026619999978</v>
      </c>
      <c r="P35" s="574">
        <f t="shared" si="7"/>
        <v>595.90390614</v>
      </c>
      <c r="Q35" s="574">
        <f t="shared" si="7"/>
        <v>794.90411849999964</v>
      </c>
      <c r="R35" s="574">
        <f t="shared" si="7"/>
        <v>783.95331361000058</v>
      </c>
      <c r="S35" s="574">
        <f>SUM(S33:S34)</f>
        <v>774.58707329000015</v>
      </c>
    </row>
    <row r="36" spans="3:19">
      <c r="C36" s="567" t="s">
        <v>1970</v>
      </c>
      <c r="D36" s="567" t="s">
        <v>1971</v>
      </c>
      <c r="F36" s="570">
        <v>0</v>
      </c>
      <c r="G36" s="570">
        <v>0</v>
      </c>
      <c r="H36" s="570">
        <v>33.610485420707725</v>
      </c>
      <c r="I36" s="570">
        <v>0</v>
      </c>
      <c r="J36" s="570">
        <v>0</v>
      </c>
      <c r="K36" s="570">
        <v>0</v>
      </c>
      <c r="L36" s="570">
        <v>-7.3564901551607633</v>
      </c>
      <c r="M36" s="570">
        <v>50.756999999999998</v>
      </c>
      <c r="N36" s="570">
        <v>0</v>
      </c>
      <c r="O36" s="570">
        <v>0</v>
      </c>
      <c r="P36" s="570">
        <v>0</v>
      </c>
      <c r="Q36" s="570">
        <v>0</v>
      </c>
      <c r="R36" s="570">
        <v>-7.5971528173776983</v>
      </c>
      <c r="S36" s="570">
        <v>0</v>
      </c>
    </row>
    <row r="37" spans="3:19">
      <c r="C37" s="567" t="s">
        <v>1972</v>
      </c>
      <c r="D37" s="567" t="s">
        <v>1972</v>
      </c>
      <c r="F37" s="570">
        <f t="shared" ref="F37:R37" si="8">-F18</f>
        <v>-24.594969240000001</v>
      </c>
      <c r="G37" s="570">
        <f t="shared" si="8"/>
        <v>-10.490028640000007</v>
      </c>
      <c r="H37" s="570">
        <f t="shared" si="8"/>
        <v>-16.149192079999999</v>
      </c>
      <c r="I37" s="570">
        <f t="shared" si="8"/>
        <v>-111.31040107000001</v>
      </c>
      <c r="J37" s="570">
        <f t="shared" si="8"/>
        <v>-60.700060320000006</v>
      </c>
      <c r="K37" s="570">
        <f t="shared" si="8"/>
        <v>-26.377418539999994</v>
      </c>
      <c r="L37" s="570">
        <f t="shared" si="8"/>
        <v>-31.914152239999986</v>
      </c>
      <c r="M37" s="570">
        <f t="shared" si="8"/>
        <v>-45.058655120000012</v>
      </c>
      <c r="N37" s="570">
        <f t="shared" si="8"/>
        <v>-100.92668603</v>
      </c>
      <c r="O37" s="570">
        <f t="shared" si="8"/>
        <v>-115.12881391999998</v>
      </c>
      <c r="P37" s="570">
        <f t="shared" si="8"/>
        <v>64.445562699999982</v>
      </c>
      <c r="Q37" s="570">
        <f t="shared" si="8"/>
        <v>-27.62617113000001</v>
      </c>
      <c r="R37" s="570">
        <f t="shared" si="8"/>
        <v>-108.72286077</v>
      </c>
      <c r="S37" s="570">
        <f>-S18</f>
        <v>-69.418392900000001</v>
      </c>
    </row>
    <row r="38" spans="3:19">
      <c r="C38" s="566" t="s">
        <v>1973</v>
      </c>
      <c r="D38" s="566" t="s">
        <v>1974</v>
      </c>
      <c r="F38" s="574">
        <f t="shared" ref="F38:M38" si="9">SUM(F35:F37)</f>
        <v>468.83842140000019</v>
      </c>
      <c r="G38" s="574">
        <f t="shared" si="9"/>
        <v>504.05760990000044</v>
      </c>
      <c r="H38" s="574">
        <f t="shared" si="9"/>
        <v>559.97145919070681</v>
      </c>
      <c r="I38" s="574">
        <f t="shared" si="9"/>
        <v>566.30585087000054</v>
      </c>
      <c r="J38" s="574">
        <f t="shared" si="9"/>
        <v>497.00564008999947</v>
      </c>
      <c r="K38" s="574">
        <f t="shared" si="9"/>
        <v>534.03044048999993</v>
      </c>
      <c r="L38" s="574">
        <f t="shared" si="9"/>
        <v>565.83843870483895</v>
      </c>
      <c r="M38" s="574">
        <f t="shared" si="9"/>
        <v>604.22475930000076</v>
      </c>
      <c r="N38" s="574">
        <f t="shared" ref="N38:R38" si="10">SUM(N35:N37)</f>
        <v>499.33007791999984</v>
      </c>
      <c r="O38" s="574">
        <f t="shared" si="10"/>
        <v>573.67145227999981</v>
      </c>
      <c r="P38" s="574">
        <f t="shared" si="10"/>
        <v>660.34946883999999</v>
      </c>
      <c r="Q38" s="574">
        <f t="shared" si="10"/>
        <v>767.27794736999965</v>
      </c>
      <c r="R38" s="574">
        <f t="shared" si="10"/>
        <v>667.63330002262285</v>
      </c>
      <c r="S38" s="574">
        <f>SUM(S35:S37)</f>
        <v>705.16868039000019</v>
      </c>
    </row>
    <row r="40" spans="3:19">
      <c r="C40" s="560" t="s">
        <v>110</v>
      </c>
      <c r="D40" s="560" t="s">
        <v>110</v>
      </c>
      <c r="F40" s="541" t="s">
        <v>79</v>
      </c>
      <c r="G40" s="541" t="s">
        <v>80</v>
      </c>
      <c r="H40" s="541" t="s">
        <v>81</v>
      </c>
      <c r="I40" s="541" t="s">
        <v>82</v>
      </c>
      <c r="J40" s="541" t="s">
        <v>83</v>
      </c>
      <c r="K40" s="541" t="s">
        <v>84</v>
      </c>
      <c r="L40" s="541" t="s">
        <v>85</v>
      </c>
      <c r="M40" s="541" t="s">
        <v>86</v>
      </c>
      <c r="N40" s="541" t="s">
        <v>87</v>
      </c>
      <c r="O40" s="541" t="s">
        <v>88</v>
      </c>
      <c r="P40" s="541" t="s">
        <v>2074</v>
      </c>
      <c r="Q40" s="541" t="s">
        <v>2127</v>
      </c>
      <c r="R40" s="541" t="str">
        <f>$R$6</f>
        <v>1T26</v>
      </c>
      <c r="S40" s="541" t="str">
        <f>S$6</f>
        <v>2T26</v>
      </c>
    </row>
    <row r="41" spans="3:19" ht="3" customHeight="1">
      <c r="C41" s="561"/>
      <c r="D41" s="561"/>
    </row>
    <row r="42" spans="3:19">
      <c r="C42" s="562" t="s">
        <v>1919</v>
      </c>
      <c r="D42" s="562" t="s">
        <v>1920</v>
      </c>
      <c r="F42" s="568"/>
      <c r="G42" s="568"/>
      <c r="H42" s="568"/>
      <c r="I42" s="568"/>
      <c r="J42" s="568"/>
      <c r="K42" s="568"/>
      <c r="L42" s="568"/>
      <c r="M42" s="568"/>
      <c r="N42" s="568"/>
      <c r="O42" s="568"/>
      <c r="P42" s="568"/>
      <c r="Q42" s="568"/>
      <c r="R42" s="568"/>
      <c r="S42" s="759"/>
    </row>
    <row r="43" spans="3:19" ht="3" customHeight="1">
      <c r="C43" s="561"/>
      <c r="D43" s="561"/>
    </row>
    <row r="44" spans="3:19">
      <c r="C44" s="563" t="s">
        <v>1921</v>
      </c>
      <c r="D44" s="563" t="s">
        <v>1922</v>
      </c>
      <c r="E44" s="575"/>
      <c r="F44" s="569">
        <v>1772.26152026</v>
      </c>
      <c r="G44" s="569">
        <v>1927.1641683100002</v>
      </c>
      <c r="H44" s="569">
        <v>2276.5505253700003</v>
      </c>
      <c r="I44" s="569">
        <v>2475.3226332799995</v>
      </c>
      <c r="J44" s="569">
        <v>2208.0742309299999</v>
      </c>
      <c r="K44" s="569">
        <v>2287.3110767799999</v>
      </c>
      <c r="L44" s="569">
        <v>2390.8867081000003</v>
      </c>
      <c r="M44" s="569">
        <v>2429.0332025600001</v>
      </c>
      <c r="N44" s="569">
        <v>1971.8029064100001</v>
      </c>
      <c r="O44" s="569">
        <v>2285.1945030900001</v>
      </c>
      <c r="P44" s="569">
        <v>2252.77483828</v>
      </c>
      <c r="Q44" s="569">
        <v>2476.6681193100007</v>
      </c>
      <c r="R44" s="569">
        <v>2047.9892189900002</v>
      </c>
      <c r="S44" s="760">
        <v>2352.0300217499998</v>
      </c>
    </row>
    <row r="45" spans="3:19">
      <c r="C45" s="564" t="s">
        <v>1923</v>
      </c>
      <c r="D45" s="564" t="s">
        <v>1924</v>
      </c>
      <c r="E45" s="575"/>
      <c r="F45" s="570">
        <v>-5.8259625099999992</v>
      </c>
      <c r="G45" s="570">
        <v>33.09206945999999</v>
      </c>
      <c r="H45" s="570">
        <v>44.469069339999997</v>
      </c>
      <c r="I45" s="570">
        <v>-14.468061350000001</v>
      </c>
      <c r="J45" s="570">
        <v>-6.2693965599999988</v>
      </c>
      <c r="K45" s="570">
        <v>9.7635035099999996</v>
      </c>
      <c r="L45" s="570">
        <v>-15.948738200000001</v>
      </c>
      <c r="M45" s="570">
        <v>-13.439786059999999</v>
      </c>
      <c r="N45" s="570">
        <v>-23.61917979</v>
      </c>
      <c r="O45" s="570">
        <v>45.827603859999996</v>
      </c>
      <c r="P45" s="570">
        <v>1.483769600000002</v>
      </c>
      <c r="Q45" s="570">
        <v>-16.876470860000005</v>
      </c>
      <c r="R45" s="570">
        <v>-12.859179429999999</v>
      </c>
      <c r="S45" s="761">
        <v>28.145205160000007</v>
      </c>
    </row>
    <row r="46" spans="3:19">
      <c r="C46" s="565" t="s">
        <v>1925</v>
      </c>
      <c r="D46" s="565" t="s">
        <v>1926</v>
      </c>
      <c r="E46" s="575"/>
      <c r="F46" s="571">
        <v>-7.685165539999999</v>
      </c>
      <c r="G46" s="571">
        <v>-9.1054516899999989</v>
      </c>
      <c r="H46" s="571">
        <v>-19.616373070000002</v>
      </c>
      <c r="I46" s="571">
        <v>-13.60580463</v>
      </c>
      <c r="J46" s="571">
        <v>-11.620286690000002</v>
      </c>
      <c r="K46" s="571">
        <v>-13.982221419999998</v>
      </c>
      <c r="L46" s="571">
        <v>-13.67057196</v>
      </c>
      <c r="M46" s="571">
        <v>-13.107156920000001</v>
      </c>
      <c r="N46" s="571">
        <v>-10.89186314</v>
      </c>
      <c r="O46" s="571">
        <v>-11.515617560000001</v>
      </c>
      <c r="P46" s="571">
        <v>-11.959502990000001</v>
      </c>
      <c r="Q46" s="571">
        <v>-14.291759229999997</v>
      </c>
      <c r="R46" s="571">
        <v>-11.910066619999998</v>
      </c>
      <c r="S46" s="571">
        <v>-12.70663074</v>
      </c>
    </row>
    <row r="47" spans="3:19">
      <c r="C47" s="565" t="s">
        <v>1927</v>
      </c>
      <c r="D47" s="565" t="s">
        <v>1928</v>
      </c>
      <c r="E47" s="575"/>
      <c r="F47" s="569">
        <v>363.50268677000008</v>
      </c>
      <c r="G47" s="569">
        <v>482.25348388999987</v>
      </c>
      <c r="H47" s="569">
        <v>708.00203581000017</v>
      </c>
      <c r="I47" s="569">
        <v>574.82486510000012</v>
      </c>
      <c r="J47" s="569">
        <v>567.57240631999991</v>
      </c>
      <c r="K47" s="569">
        <v>615.81966276000037</v>
      </c>
      <c r="L47" s="569">
        <v>606.36257437999984</v>
      </c>
      <c r="M47" s="569">
        <v>695.33192733000021</v>
      </c>
      <c r="N47" s="569">
        <v>688.91692212999988</v>
      </c>
      <c r="O47" s="569">
        <v>668.01271155999996</v>
      </c>
      <c r="P47" s="569">
        <v>939.00680711999973</v>
      </c>
      <c r="Q47" s="569">
        <v>866.55317471000012</v>
      </c>
      <c r="R47" s="569">
        <v>912.65380045999996</v>
      </c>
      <c r="S47" s="569">
        <v>849.39442446999988</v>
      </c>
    </row>
    <row r="48" spans="3:19">
      <c r="C48" s="564" t="s">
        <v>1929</v>
      </c>
      <c r="D48" s="564" t="s">
        <v>1930</v>
      </c>
      <c r="E48" s="575"/>
      <c r="F48" s="572">
        <v>102.32904196</v>
      </c>
      <c r="G48" s="572">
        <v>105.38049805</v>
      </c>
      <c r="H48" s="572">
        <v>110.94246565000003</v>
      </c>
      <c r="I48" s="572">
        <v>121.43118369999999</v>
      </c>
      <c r="J48" s="572">
        <v>120.21856720999999</v>
      </c>
      <c r="K48" s="572">
        <v>120.09057363000001</v>
      </c>
      <c r="L48" s="572">
        <v>121.50266099999997</v>
      </c>
      <c r="M48" s="572">
        <v>124.03944062000001</v>
      </c>
      <c r="N48" s="572">
        <v>118.40400486</v>
      </c>
      <c r="O48" s="572">
        <v>121.09160224</v>
      </c>
      <c r="P48" s="572">
        <v>202.99898959999999</v>
      </c>
      <c r="Q48" s="572">
        <v>167.14454103000003</v>
      </c>
      <c r="R48" s="572">
        <v>192.95413403000001</v>
      </c>
      <c r="S48" s="572">
        <v>183.60187133000002</v>
      </c>
    </row>
    <row r="49" spans="3:19">
      <c r="C49" s="564" t="s">
        <v>1931</v>
      </c>
      <c r="D49" s="564" t="s">
        <v>1932</v>
      </c>
      <c r="E49" s="575"/>
      <c r="F49" s="572">
        <v>114.37932834</v>
      </c>
      <c r="G49" s="572">
        <v>131.85502983000001</v>
      </c>
      <c r="H49" s="572">
        <v>142.99242065000001</v>
      </c>
      <c r="I49" s="572">
        <v>142.06077366000002</v>
      </c>
      <c r="J49" s="572">
        <v>139.84165906999999</v>
      </c>
      <c r="K49" s="572">
        <v>162.00854244000001</v>
      </c>
      <c r="L49" s="572">
        <v>132.0770789099989</v>
      </c>
      <c r="M49" s="572">
        <v>140.48168047235615</v>
      </c>
      <c r="N49" s="572">
        <v>205.71845857999998</v>
      </c>
      <c r="O49" s="572">
        <v>229.95353867000003</v>
      </c>
      <c r="P49" s="572">
        <v>254.51710699</v>
      </c>
      <c r="Q49" s="572">
        <v>263.47611288000002</v>
      </c>
      <c r="R49" s="572">
        <v>237.15888041999997</v>
      </c>
      <c r="S49" s="572">
        <v>249.56498586999999</v>
      </c>
    </row>
    <row r="50" spans="3:19">
      <c r="C50" s="564" t="s">
        <v>1933</v>
      </c>
      <c r="D50" s="564" t="s">
        <v>1934</v>
      </c>
      <c r="F50" s="572">
        <v>0</v>
      </c>
      <c r="G50" s="572">
        <v>0</v>
      </c>
      <c r="H50" s="572">
        <v>0</v>
      </c>
      <c r="I50" s="572">
        <v>0</v>
      </c>
      <c r="J50" s="572">
        <v>0</v>
      </c>
      <c r="K50" s="572">
        <v>0</v>
      </c>
      <c r="L50" s="572">
        <v>82.394892810001096</v>
      </c>
      <c r="M50" s="572">
        <v>71.514148927643902</v>
      </c>
      <c r="N50" s="572">
        <v>0</v>
      </c>
      <c r="O50" s="572">
        <v>0</v>
      </c>
      <c r="P50" s="572">
        <v>0</v>
      </c>
      <c r="Q50" s="572">
        <v>0</v>
      </c>
      <c r="R50" s="572">
        <v>0</v>
      </c>
      <c r="S50" s="572">
        <v>0</v>
      </c>
    </row>
    <row r="51" spans="3:19">
      <c r="C51" s="564" t="s">
        <v>1935</v>
      </c>
      <c r="D51" s="564" t="s">
        <v>1936</v>
      </c>
      <c r="F51" s="572">
        <v>120.8311671400001</v>
      </c>
      <c r="G51" s="572">
        <v>96.805394319999934</v>
      </c>
      <c r="H51" s="572">
        <v>127.82164470000005</v>
      </c>
      <c r="I51" s="572">
        <v>134.92659834000014</v>
      </c>
      <c r="J51" s="572">
        <v>134.73192706999993</v>
      </c>
      <c r="K51" s="572">
        <v>148.67182956000019</v>
      </c>
      <c r="L51" s="572">
        <v>152.17927841000008</v>
      </c>
      <c r="M51" s="572">
        <v>157.81739377999997</v>
      </c>
      <c r="N51" s="572">
        <v>149.04085076999985</v>
      </c>
      <c r="O51" s="572">
        <v>171.73351989</v>
      </c>
      <c r="P51" s="572">
        <v>188.84412778999996</v>
      </c>
      <c r="Q51" s="572">
        <v>216.9141984100001</v>
      </c>
      <c r="R51" s="572">
        <v>212.19274068999994</v>
      </c>
      <c r="S51" s="572">
        <v>193.19320665999996</v>
      </c>
    </row>
    <row r="52" spans="3:19">
      <c r="C52" s="564" t="s">
        <v>1937</v>
      </c>
      <c r="D52" s="564" t="s">
        <v>619</v>
      </c>
      <c r="F52" s="572">
        <v>-28.603406990000011</v>
      </c>
      <c r="G52" s="572">
        <v>82.859296699999987</v>
      </c>
      <c r="H52" s="572">
        <v>259.07897680000002</v>
      </c>
      <c r="I52" s="572">
        <v>64.072268199999954</v>
      </c>
      <c r="J52" s="572">
        <v>100.83217585999999</v>
      </c>
      <c r="K52" s="572">
        <v>108.58637893000001</v>
      </c>
      <c r="L52" s="572">
        <v>-0.35064313000001757</v>
      </c>
      <c r="M52" s="572">
        <v>94.848462300000023</v>
      </c>
      <c r="N52" s="572">
        <v>151.95387767000003</v>
      </c>
      <c r="O52" s="572">
        <v>57.081760909999979</v>
      </c>
      <c r="P52" s="572">
        <v>76.809886990000024</v>
      </c>
      <c r="Q52" s="572">
        <v>47.247531900000006</v>
      </c>
      <c r="R52" s="572">
        <v>178.24194897000001</v>
      </c>
      <c r="S52" s="572">
        <v>140.20206556999997</v>
      </c>
    </row>
    <row r="53" spans="3:19">
      <c r="C53" s="564" t="s">
        <v>1938</v>
      </c>
      <c r="D53" s="564" t="s">
        <v>1939</v>
      </c>
      <c r="F53" s="572">
        <v>6.7341944199999997</v>
      </c>
      <c r="G53" s="572">
        <v>7.4772285400000005</v>
      </c>
      <c r="H53" s="572">
        <v>8.3747546100000037</v>
      </c>
      <c r="I53" s="572">
        <v>8.4883493599999973</v>
      </c>
      <c r="J53" s="572">
        <v>7.4560917000000009</v>
      </c>
      <c r="K53" s="572">
        <v>7.6898216899999996</v>
      </c>
      <c r="L53" s="572">
        <v>42.593865419999993</v>
      </c>
      <c r="M53" s="572">
        <v>81.639730179999987</v>
      </c>
      <c r="N53" s="572">
        <v>9.1645316000000001</v>
      </c>
      <c r="O53" s="572">
        <v>31.864447219999992</v>
      </c>
      <c r="P53" s="572">
        <v>156.36794465999998</v>
      </c>
      <c r="Q53" s="572">
        <v>107.76523389000002</v>
      </c>
      <c r="R53" s="572">
        <v>27.504834139999996</v>
      </c>
      <c r="S53" s="572">
        <v>27.83595059999999</v>
      </c>
    </row>
    <row r="54" spans="3:19">
      <c r="C54" s="564" t="s">
        <v>854</v>
      </c>
      <c r="D54" s="564" t="s">
        <v>1940</v>
      </c>
      <c r="F54" s="572">
        <v>18.782333480000002</v>
      </c>
      <c r="G54" s="572">
        <v>19.034265459999997</v>
      </c>
      <c r="H54" s="572">
        <v>21.878982180000001</v>
      </c>
      <c r="I54" s="572">
        <v>26.66959953000001</v>
      </c>
      <c r="J54" s="572">
        <v>23.96027655</v>
      </c>
      <c r="K54" s="572">
        <v>23.702664300000002</v>
      </c>
      <c r="L54" s="572">
        <v>26.24853285999999</v>
      </c>
      <c r="M54" s="572">
        <v>29.582594240000009</v>
      </c>
      <c r="N54" s="572">
        <v>23.791368649999999</v>
      </c>
      <c r="O54" s="572">
        <v>22.175509090000002</v>
      </c>
      <c r="P54" s="572">
        <v>25.202125490000004</v>
      </c>
      <c r="Q54" s="572">
        <v>27.679576950000001</v>
      </c>
      <c r="R54" s="572">
        <v>24.56765789</v>
      </c>
      <c r="S54" s="572">
        <v>23.02701957</v>
      </c>
    </row>
    <row r="55" spans="3:19">
      <c r="C55" s="565" t="s">
        <v>1941</v>
      </c>
      <c r="D55" s="565" t="s">
        <v>1942</v>
      </c>
      <c r="F55" s="569">
        <v>29.05002841999999</v>
      </c>
      <c r="G55" s="569">
        <v>38.841770990000001</v>
      </c>
      <c r="H55" s="569">
        <v>36.912791219999988</v>
      </c>
      <c r="I55" s="569">
        <v>77.176092310000016</v>
      </c>
      <c r="J55" s="569">
        <v>40.531708860000002</v>
      </c>
      <c r="K55" s="569">
        <v>45.069852209999979</v>
      </c>
      <c r="L55" s="569">
        <v>49.716908100000005</v>
      </c>
      <c r="M55" s="569">
        <v>-4.5915231900000038</v>
      </c>
      <c r="N55" s="569">
        <v>30.843829999999997</v>
      </c>
      <c r="O55" s="569">
        <v>34.112333540000009</v>
      </c>
      <c r="P55" s="569">
        <v>34.266625600000005</v>
      </c>
      <c r="Q55" s="569">
        <v>36.325979649999994</v>
      </c>
      <c r="R55" s="569">
        <v>40.033604319999995</v>
      </c>
      <c r="S55" s="569">
        <v>31.969324870000005</v>
      </c>
    </row>
    <row r="56" spans="3:19">
      <c r="C56" s="564" t="s">
        <v>1943</v>
      </c>
      <c r="D56" s="564" t="s">
        <v>1944</v>
      </c>
      <c r="F56" s="572">
        <v>17.373521369999999</v>
      </c>
      <c r="G56" s="572">
        <v>22.969713940000005</v>
      </c>
      <c r="H56" s="572">
        <v>20.621161809999997</v>
      </c>
      <c r="I56" s="572">
        <v>18.703573180000014</v>
      </c>
      <c r="J56" s="572">
        <v>21.15913613</v>
      </c>
      <c r="K56" s="572">
        <v>21.256749359999997</v>
      </c>
      <c r="L56" s="572">
        <v>23.641968890000001</v>
      </c>
      <c r="M56" s="572">
        <v>17.464683220000001</v>
      </c>
      <c r="N56" s="572">
        <v>20.084747099999998</v>
      </c>
      <c r="O56" s="572">
        <v>21.138416340000003</v>
      </c>
      <c r="P56" s="572">
        <v>21.728825150000002</v>
      </c>
      <c r="Q56" s="572">
        <v>22.171952329999989</v>
      </c>
      <c r="R56" s="572">
        <v>26.665216369999996</v>
      </c>
      <c r="S56" s="572">
        <v>20.869707270000003</v>
      </c>
    </row>
    <row r="57" spans="3:19">
      <c r="C57" s="563" t="s">
        <v>1945</v>
      </c>
      <c r="D57" s="563" t="s">
        <v>1946</v>
      </c>
      <c r="F57" s="573">
        <v>12.63645077</v>
      </c>
      <c r="G57" s="573">
        <v>3.4368978000000006</v>
      </c>
      <c r="H57" s="573">
        <v>6.9180448599999993</v>
      </c>
      <c r="I57" s="573">
        <v>0.17984351000000146</v>
      </c>
      <c r="J57" s="573">
        <v>0.75324866999999995</v>
      </c>
      <c r="K57" s="573">
        <v>8.5021441800000002</v>
      </c>
      <c r="L57" s="573">
        <v>40.666824249999998</v>
      </c>
      <c r="M57" s="573">
        <v>7.460367579999998</v>
      </c>
      <c r="N57" s="573">
        <v>20.101295250000003</v>
      </c>
      <c r="O57" s="573">
        <v>49.9760481</v>
      </c>
      <c r="P57" s="573">
        <v>0.41924468999999948</v>
      </c>
      <c r="Q57" s="573">
        <v>17.530724599999999</v>
      </c>
      <c r="R57" s="573">
        <v>66.29198670000001</v>
      </c>
      <c r="S57" s="573">
        <v>-38.843424310000003</v>
      </c>
    </row>
    <row r="58" spans="3:19">
      <c r="C58" s="565" t="s">
        <v>1947</v>
      </c>
      <c r="D58" s="565" t="s">
        <v>1948</v>
      </c>
      <c r="F58" s="573">
        <v>214.80103104000005</v>
      </c>
      <c r="G58" s="573">
        <v>180.85816732000006</v>
      </c>
      <c r="H58" s="573">
        <v>11.550679829999938</v>
      </c>
      <c r="I58" s="573">
        <v>-107.05306926999998</v>
      </c>
      <c r="J58" s="573">
        <v>-76.168400369999986</v>
      </c>
      <c r="K58" s="573">
        <v>-50.249020599999994</v>
      </c>
      <c r="L58" s="573">
        <v>83.096090450000005</v>
      </c>
      <c r="M58" s="573">
        <v>-63.601774330000005</v>
      </c>
      <c r="N58" s="573">
        <v>26.392894429999991</v>
      </c>
      <c r="O58" s="573">
        <v>41.639089150000004</v>
      </c>
      <c r="P58" s="573">
        <v>17.956583619999908</v>
      </c>
      <c r="Q58" s="573">
        <v>37.760567770000009</v>
      </c>
      <c r="R58" s="573">
        <v>71.419871929999971</v>
      </c>
      <c r="S58" s="573">
        <v>343.57664799000008</v>
      </c>
    </row>
    <row r="59" spans="3:19">
      <c r="C59" s="563" t="s">
        <v>1949</v>
      </c>
      <c r="D59" s="563" t="s">
        <v>1950</v>
      </c>
      <c r="F59" s="573">
        <v>614.4642434399999</v>
      </c>
      <c r="G59" s="573">
        <v>477.69660904000006</v>
      </c>
      <c r="H59" s="573">
        <v>603.92206850000002</v>
      </c>
      <c r="I59" s="573">
        <v>773.37952576999999</v>
      </c>
      <c r="J59" s="573">
        <v>520.67667710000001</v>
      </c>
      <c r="K59" s="573">
        <v>563.30090660999997</v>
      </c>
      <c r="L59" s="573">
        <v>691.35346402999994</v>
      </c>
      <c r="M59" s="573">
        <v>828.9690162600009</v>
      </c>
      <c r="N59" s="573">
        <v>719.79878615999985</v>
      </c>
      <c r="O59" s="573">
        <v>856.16457078000019</v>
      </c>
      <c r="P59" s="573">
        <v>920.17318971000009</v>
      </c>
      <c r="Q59" s="573">
        <v>972.45794807999994</v>
      </c>
      <c r="R59" s="573">
        <v>786.70107972000005</v>
      </c>
      <c r="S59" s="573">
        <v>716.05277644</v>
      </c>
    </row>
    <row r="60" spans="3:19">
      <c r="C60" s="566" t="s">
        <v>1951</v>
      </c>
      <c r="D60" s="566" t="s">
        <v>1952</v>
      </c>
      <c r="F60" s="574">
        <f t="shared" ref="F60:R60" si="11">SUM(F44,F46:F47,F57:F59)</f>
        <v>2969.98076674</v>
      </c>
      <c r="G60" s="574">
        <f t="shared" si="11"/>
        <v>3062.3038746700004</v>
      </c>
      <c r="H60" s="574">
        <f t="shared" si="11"/>
        <v>3587.3269813000002</v>
      </c>
      <c r="I60" s="574">
        <f t="shared" si="11"/>
        <v>3703.0479937599994</v>
      </c>
      <c r="J60" s="574">
        <f t="shared" si="11"/>
        <v>3209.2878759599998</v>
      </c>
      <c r="K60" s="574">
        <f t="shared" si="11"/>
        <v>3410.7025483100001</v>
      </c>
      <c r="L60" s="574">
        <f t="shared" si="11"/>
        <v>3798.6950892499999</v>
      </c>
      <c r="M60" s="574">
        <f t="shared" si="11"/>
        <v>3884.0855824800014</v>
      </c>
      <c r="N60" s="574">
        <f t="shared" si="11"/>
        <v>3416.1209412399999</v>
      </c>
      <c r="O60" s="574">
        <f t="shared" si="11"/>
        <v>3889.4713051200001</v>
      </c>
      <c r="P60" s="574">
        <f t="shared" si="11"/>
        <v>4118.3711604299997</v>
      </c>
      <c r="Q60" s="574">
        <f t="shared" si="11"/>
        <v>4356.6787752400005</v>
      </c>
      <c r="R60" s="574">
        <f t="shared" si="11"/>
        <v>3873.14589118</v>
      </c>
      <c r="S60" s="574">
        <v>4209.5038156000001</v>
      </c>
    </row>
    <row r="61" spans="3:19">
      <c r="C61" s="565" t="s">
        <v>1953</v>
      </c>
      <c r="D61" s="565" t="s">
        <v>859</v>
      </c>
      <c r="F61" s="569">
        <f t="shared" ref="F61:O61" si="12">SUM(F62:F64)</f>
        <v>-635.61666861000003</v>
      </c>
      <c r="G61" s="569">
        <f t="shared" si="12"/>
        <v>-651.91025708000006</v>
      </c>
      <c r="H61" s="569">
        <f t="shared" si="12"/>
        <v>-808.14917936000006</v>
      </c>
      <c r="I61" s="569">
        <f t="shared" si="12"/>
        <v>-847.72829193000007</v>
      </c>
      <c r="J61" s="569">
        <f t="shared" si="12"/>
        <v>-814.85899310000002</v>
      </c>
      <c r="K61" s="569">
        <f t="shared" si="12"/>
        <v>-833.85119348000001</v>
      </c>
      <c r="L61" s="569">
        <f t="shared" si="12"/>
        <v>-893.64601271000004</v>
      </c>
      <c r="M61" s="569">
        <f t="shared" si="12"/>
        <v>-898.54756423000026</v>
      </c>
      <c r="N61" s="569">
        <f t="shared" si="12"/>
        <v>-721.15748450000001</v>
      </c>
      <c r="O61" s="569">
        <f t="shared" si="12"/>
        <v>-876.64122255999996</v>
      </c>
      <c r="P61" s="569">
        <f t="shared" ref="P61:R61" si="13">SUM(P62:P64)</f>
        <v>-909.09696537999992</v>
      </c>
      <c r="Q61" s="569">
        <f t="shared" si="13"/>
        <v>-1050.00038752</v>
      </c>
      <c r="R61" s="569">
        <f t="shared" si="13"/>
        <v>-859.74001248000002</v>
      </c>
      <c r="S61" s="569">
        <v>-969.12797009000008</v>
      </c>
    </row>
    <row r="62" spans="3:19">
      <c r="C62" s="564" t="s">
        <v>1954</v>
      </c>
      <c r="D62" s="564" t="s">
        <v>1955</v>
      </c>
      <c r="F62" s="572">
        <v>-8.4859180799999994</v>
      </c>
      <c r="G62" s="572">
        <v>-8.4998741300000002</v>
      </c>
      <c r="H62" s="572">
        <v>-6.1525883000000006</v>
      </c>
      <c r="I62" s="572">
        <v>-10.534219229999996</v>
      </c>
      <c r="J62" s="572">
        <v>-10.299191410000001</v>
      </c>
      <c r="K62" s="572">
        <v>-8.3479402300000007</v>
      </c>
      <c r="L62" s="572">
        <v>-9.6124320500000007</v>
      </c>
      <c r="M62" s="572">
        <v>-16.245140670000001</v>
      </c>
      <c r="N62" s="572">
        <v>-13.656358289999998</v>
      </c>
      <c r="O62" s="572">
        <v>-10.71937241</v>
      </c>
      <c r="P62" s="572">
        <v>-5.4759367299999964</v>
      </c>
      <c r="Q62" s="572">
        <v>-9.9743589900000025</v>
      </c>
      <c r="R62" s="572">
        <v>-10.300238500000001</v>
      </c>
      <c r="S62" s="572">
        <v>-9.0071913999999982</v>
      </c>
    </row>
    <row r="63" spans="3:19">
      <c r="C63" s="564" t="s">
        <v>1956</v>
      </c>
      <c r="D63" s="564" t="s">
        <v>1957</v>
      </c>
      <c r="F63" s="572">
        <v>-143.58380245999999</v>
      </c>
      <c r="G63" s="572">
        <v>-143.97837426000004</v>
      </c>
      <c r="H63" s="572">
        <v>-155.08475983000002</v>
      </c>
      <c r="I63" s="572">
        <v>-166.53349276000006</v>
      </c>
      <c r="J63" s="572">
        <v>-171.91899682000002</v>
      </c>
      <c r="K63" s="572">
        <v>-173.99868821000001</v>
      </c>
      <c r="L63" s="572">
        <v>-164.61364460999999</v>
      </c>
      <c r="M63" s="572">
        <v>-105.54196504000002</v>
      </c>
      <c r="N63" s="572">
        <v>-145.70703588000001</v>
      </c>
      <c r="O63" s="572">
        <v>-151.54709935</v>
      </c>
      <c r="P63" s="572">
        <v>-200.86017100999999</v>
      </c>
      <c r="Q63" s="572">
        <v>-202.60704964999994</v>
      </c>
      <c r="R63" s="572">
        <v>-215.07452722000002</v>
      </c>
      <c r="S63" s="572">
        <v>-218.50135989</v>
      </c>
    </row>
    <row r="64" spans="3:19">
      <c r="C64" s="564" t="s">
        <v>1958</v>
      </c>
      <c r="D64" s="564" t="s">
        <v>1959</v>
      </c>
      <c r="F64" s="572">
        <v>-483.5469480700001</v>
      </c>
      <c r="G64" s="572">
        <v>-499.43200869000009</v>
      </c>
      <c r="H64" s="572">
        <v>-646.91183123000008</v>
      </c>
      <c r="I64" s="572">
        <v>-670.66057994000005</v>
      </c>
      <c r="J64" s="572">
        <v>-632.64080487000001</v>
      </c>
      <c r="K64" s="572">
        <v>-651.50456503999999</v>
      </c>
      <c r="L64" s="572">
        <v>-719.41993605000005</v>
      </c>
      <c r="M64" s="572">
        <v>-776.76045852000027</v>
      </c>
      <c r="N64" s="572">
        <v>-561.79409033000002</v>
      </c>
      <c r="O64" s="572">
        <v>-714.37475080000002</v>
      </c>
      <c r="P64" s="572">
        <v>-702.76085763999993</v>
      </c>
      <c r="Q64" s="572">
        <v>-837.41897887999994</v>
      </c>
      <c r="R64" s="572">
        <v>-634.36524675999999</v>
      </c>
      <c r="S64" s="572">
        <v>-741.61941880000006</v>
      </c>
    </row>
    <row r="65" spans="3:19">
      <c r="C65" s="566" t="s">
        <v>1960</v>
      </c>
      <c r="D65" s="566" t="s">
        <v>1961</v>
      </c>
      <c r="F65" s="574">
        <f t="shared" ref="F65:R65" si="14">SUM(F60:F61)</f>
        <v>2334.36409813</v>
      </c>
      <c r="G65" s="574">
        <f t="shared" si="14"/>
        <v>2410.3936175900003</v>
      </c>
      <c r="H65" s="574">
        <f t="shared" si="14"/>
        <v>2779.1778019399999</v>
      </c>
      <c r="I65" s="574">
        <f t="shared" si="14"/>
        <v>2855.3197018299993</v>
      </c>
      <c r="J65" s="574">
        <f t="shared" si="14"/>
        <v>2394.4288828599997</v>
      </c>
      <c r="K65" s="574">
        <f t="shared" si="14"/>
        <v>2576.8513548300002</v>
      </c>
      <c r="L65" s="574">
        <f t="shared" si="14"/>
        <v>2905.04907654</v>
      </c>
      <c r="M65" s="574">
        <f t="shared" si="14"/>
        <v>2985.5380182500012</v>
      </c>
      <c r="N65" s="574">
        <f t="shared" si="14"/>
        <v>2694.9634567399999</v>
      </c>
      <c r="O65" s="574">
        <f t="shared" si="14"/>
        <v>3012.8300825599999</v>
      </c>
      <c r="P65" s="574">
        <f t="shared" si="14"/>
        <v>3209.2741950499999</v>
      </c>
      <c r="Q65" s="574">
        <f t="shared" si="14"/>
        <v>3306.6783877200005</v>
      </c>
      <c r="R65" s="574">
        <f t="shared" si="14"/>
        <v>3013.4058786999999</v>
      </c>
      <c r="S65" s="574">
        <f>SUM(S60:S61)</f>
        <v>3240.3758455100001</v>
      </c>
    </row>
    <row r="66" spans="3:19">
      <c r="C66" s="565" t="s">
        <v>1962</v>
      </c>
      <c r="D66" s="565" t="s">
        <v>1963</v>
      </c>
      <c r="F66" s="573">
        <f t="shared" ref="F66:R66" si="15">-F59</f>
        <v>-614.4642434399999</v>
      </c>
      <c r="G66" s="573">
        <f t="shared" si="15"/>
        <v>-477.69660904000006</v>
      </c>
      <c r="H66" s="573">
        <f t="shared" si="15"/>
        <v>-603.92206850000002</v>
      </c>
      <c r="I66" s="573">
        <f t="shared" si="15"/>
        <v>-773.37952576999999</v>
      </c>
      <c r="J66" s="573">
        <f t="shared" si="15"/>
        <v>-520.67667710000001</v>
      </c>
      <c r="K66" s="573">
        <f t="shared" si="15"/>
        <v>-563.30090660999997</v>
      </c>
      <c r="L66" s="573">
        <f t="shared" si="15"/>
        <v>-691.35346402999994</v>
      </c>
      <c r="M66" s="573">
        <f t="shared" si="15"/>
        <v>-828.9690162600009</v>
      </c>
      <c r="N66" s="573">
        <f t="shared" si="15"/>
        <v>-719.79878615999985</v>
      </c>
      <c r="O66" s="573">
        <f t="shared" si="15"/>
        <v>-856.16457078000019</v>
      </c>
      <c r="P66" s="573">
        <f t="shared" si="15"/>
        <v>-920.17318971000009</v>
      </c>
      <c r="Q66" s="573">
        <f t="shared" si="15"/>
        <v>-972.45794807999994</v>
      </c>
      <c r="R66" s="573">
        <f t="shared" si="15"/>
        <v>-786.70107972000005</v>
      </c>
      <c r="S66" s="764">
        <f>-S59</f>
        <v>-716.05277644</v>
      </c>
    </row>
    <row r="67" spans="3:19">
      <c r="C67" s="566" t="s">
        <v>1964</v>
      </c>
      <c r="D67" s="566" t="s">
        <v>1965</v>
      </c>
      <c r="F67" s="574">
        <f t="shared" ref="F67:O67" si="16">SUM(F65:F66)</f>
        <v>1719.8998546900002</v>
      </c>
      <c r="G67" s="574">
        <f t="shared" si="16"/>
        <v>1932.6970085500002</v>
      </c>
      <c r="H67" s="574">
        <f t="shared" si="16"/>
        <v>2175.2557334399999</v>
      </c>
      <c r="I67" s="574">
        <f t="shared" si="16"/>
        <v>2081.9401760599994</v>
      </c>
      <c r="J67" s="574">
        <f t="shared" si="16"/>
        <v>1873.7522057599997</v>
      </c>
      <c r="K67" s="574">
        <f t="shared" si="16"/>
        <v>2013.5504482200004</v>
      </c>
      <c r="L67" s="574">
        <f t="shared" si="16"/>
        <v>2213.69561251</v>
      </c>
      <c r="M67" s="574">
        <f t="shared" si="16"/>
        <v>2156.5690019900003</v>
      </c>
      <c r="N67" s="574">
        <f t="shared" si="16"/>
        <v>1975.1646705799999</v>
      </c>
      <c r="O67" s="574">
        <f t="shared" si="16"/>
        <v>2156.6655117799996</v>
      </c>
      <c r="P67" s="574">
        <f>SUM(P65:P66)</f>
        <v>2289.1010053399996</v>
      </c>
      <c r="Q67" s="574">
        <f>SUM(Q65:Q66)</f>
        <v>2334.2204396400007</v>
      </c>
      <c r="R67" s="574">
        <f>SUM(R65:R66)</f>
        <v>2226.7047989799999</v>
      </c>
      <c r="S67" s="765">
        <f>SUM(S65:S66)</f>
        <v>2524.3230690700002</v>
      </c>
    </row>
    <row r="68" spans="3:19">
      <c r="C68" s="567" t="s">
        <v>1966</v>
      </c>
      <c r="D68" s="567" t="s">
        <v>1967</v>
      </c>
      <c r="F68" s="570">
        <v>-853.30569667000009</v>
      </c>
      <c r="G68" s="570">
        <v>-872.44704820999993</v>
      </c>
      <c r="H68" s="570">
        <v>-895.2741473599998</v>
      </c>
      <c r="I68" s="570">
        <v>-1006.3408355899999</v>
      </c>
      <c r="J68" s="570">
        <v>-866.64091441999994</v>
      </c>
      <c r="K68" s="570">
        <v>-946.14063862000023</v>
      </c>
      <c r="L68" s="570">
        <v>-1168.2918985900001</v>
      </c>
      <c r="M68" s="570">
        <v>-1137.85327091</v>
      </c>
      <c r="N68" s="570">
        <v>-937.32164150000006</v>
      </c>
      <c r="O68" s="570">
        <v>-1040.5640155599999</v>
      </c>
      <c r="P68" s="570">
        <v>-1216.9139801199999</v>
      </c>
      <c r="Q68" s="570">
        <v>-1204.5799264100001</v>
      </c>
      <c r="R68" s="570">
        <v>-1046.0160726899999</v>
      </c>
      <c r="S68" s="761">
        <v>-1302.08630593</v>
      </c>
    </row>
    <row r="69" spans="3:19">
      <c r="C69" s="566" t="s">
        <v>1968</v>
      </c>
      <c r="D69" s="566" t="s">
        <v>1969</v>
      </c>
      <c r="F69" s="574">
        <f t="shared" ref="F69:O69" si="17">SUM(F67:F68)</f>
        <v>866.59415802000012</v>
      </c>
      <c r="G69" s="574">
        <f t="shared" si="17"/>
        <v>1060.2499603400001</v>
      </c>
      <c r="H69" s="574">
        <f t="shared" si="17"/>
        <v>1279.9815860799999</v>
      </c>
      <c r="I69" s="574">
        <f t="shared" si="17"/>
        <v>1075.5993404699996</v>
      </c>
      <c r="J69" s="574">
        <f t="shared" si="17"/>
        <v>1007.1112913399998</v>
      </c>
      <c r="K69" s="574">
        <f t="shared" si="17"/>
        <v>1067.4098096000002</v>
      </c>
      <c r="L69" s="574">
        <f t="shared" si="17"/>
        <v>1045.40371392</v>
      </c>
      <c r="M69" s="574">
        <f t="shared" si="17"/>
        <v>1018.7157310800003</v>
      </c>
      <c r="N69" s="574">
        <f t="shared" si="17"/>
        <v>1037.8430290799997</v>
      </c>
      <c r="O69" s="574">
        <f t="shared" si="17"/>
        <v>1116.1014962199997</v>
      </c>
      <c r="P69" s="574">
        <f>SUM(P67:P68)</f>
        <v>1072.1870252199997</v>
      </c>
      <c r="Q69" s="574">
        <f>SUM(Q67:Q68)</f>
        <v>1129.6405132300006</v>
      </c>
      <c r="R69" s="574">
        <f>SUM(R67:R68)</f>
        <v>1180.68872629</v>
      </c>
      <c r="S69" s="765">
        <f>SUM(S67:S68)</f>
        <v>1222.2367631400002</v>
      </c>
    </row>
    <row r="70" spans="3:19">
      <c r="C70" s="567" t="s">
        <v>1970</v>
      </c>
      <c r="D70" s="567" t="s">
        <v>1971</v>
      </c>
      <c r="F70" s="570">
        <v>0</v>
      </c>
      <c r="G70" s="570">
        <v>0</v>
      </c>
      <c r="H70" s="570">
        <v>19.605942547266991</v>
      </c>
      <c r="I70" s="570">
        <v>12.734290597699999</v>
      </c>
      <c r="J70" s="570">
        <v>0</v>
      </c>
      <c r="K70" s="570">
        <v>0</v>
      </c>
      <c r="L70" s="570">
        <v>-23.023609915765242</v>
      </c>
      <c r="M70" s="570">
        <v>112.78931523000001</v>
      </c>
      <c r="N70" s="570">
        <v>0</v>
      </c>
      <c r="O70" s="570">
        <v>0</v>
      </c>
      <c r="P70" s="570">
        <v>35.718000000000004</v>
      </c>
      <c r="Q70" s="570">
        <v>0</v>
      </c>
      <c r="R70" s="570">
        <v>-8.448876023993229</v>
      </c>
      <c r="S70" s="761">
        <v>0</v>
      </c>
    </row>
    <row r="71" spans="3:19">
      <c r="C71" s="567" t="s">
        <v>1972</v>
      </c>
      <c r="D71" s="567" t="s">
        <v>1972</v>
      </c>
      <c r="F71" s="570">
        <f t="shared" ref="F71:R71" si="18">-F52</f>
        <v>28.603406990000011</v>
      </c>
      <c r="G71" s="570">
        <f t="shared" si="18"/>
        <v>-82.859296699999987</v>
      </c>
      <c r="H71" s="570">
        <f t="shared" si="18"/>
        <v>-259.07897680000002</v>
      </c>
      <c r="I71" s="570">
        <f t="shared" si="18"/>
        <v>-64.072268199999954</v>
      </c>
      <c r="J71" s="570">
        <f t="shared" si="18"/>
        <v>-100.83217585999999</v>
      </c>
      <c r="K71" s="570">
        <f t="shared" si="18"/>
        <v>-108.58637893000001</v>
      </c>
      <c r="L71" s="570">
        <f t="shared" si="18"/>
        <v>0.35064313000001757</v>
      </c>
      <c r="M71" s="570">
        <f t="shared" si="18"/>
        <v>-94.848462300000023</v>
      </c>
      <c r="N71" s="570">
        <f t="shared" si="18"/>
        <v>-151.95387767000003</v>
      </c>
      <c r="O71" s="570">
        <f t="shared" si="18"/>
        <v>-57.081760909999979</v>
      </c>
      <c r="P71" s="570">
        <f t="shared" si="18"/>
        <v>-76.809886990000024</v>
      </c>
      <c r="Q71" s="570">
        <f t="shared" si="18"/>
        <v>-47.247531900000006</v>
      </c>
      <c r="R71" s="570">
        <f t="shared" si="18"/>
        <v>-178.24194897000001</v>
      </c>
      <c r="S71" s="761">
        <f>-S52</f>
        <v>-140.20206556999997</v>
      </c>
    </row>
    <row r="72" spans="3:19">
      <c r="C72" s="566" t="s">
        <v>1973</v>
      </c>
      <c r="D72" s="566" t="s">
        <v>1974</v>
      </c>
      <c r="F72" s="574">
        <f t="shared" ref="F72:O72" si="19">SUM(F69:F71)</f>
        <v>895.19756501000018</v>
      </c>
      <c r="G72" s="574">
        <f t="shared" si="19"/>
        <v>977.39066364000018</v>
      </c>
      <c r="H72" s="574">
        <f t="shared" si="19"/>
        <v>1040.508551827267</v>
      </c>
      <c r="I72" s="574">
        <f t="shared" si="19"/>
        <v>1024.2613628676995</v>
      </c>
      <c r="J72" s="574">
        <f t="shared" si="19"/>
        <v>906.27911547999975</v>
      </c>
      <c r="K72" s="574">
        <f t="shared" si="19"/>
        <v>958.82343067000022</v>
      </c>
      <c r="L72" s="574">
        <f t="shared" si="19"/>
        <v>1022.7307471342347</v>
      </c>
      <c r="M72" s="574">
        <f t="shared" si="19"/>
        <v>1036.6565840100004</v>
      </c>
      <c r="N72" s="574">
        <f t="shared" si="19"/>
        <v>885.88915140999973</v>
      </c>
      <c r="O72" s="574">
        <f t="shared" si="19"/>
        <v>1059.0197353099998</v>
      </c>
      <c r="P72" s="574">
        <f>SUM(P69:P71)</f>
        <v>1031.0951382299997</v>
      </c>
      <c r="Q72" s="574">
        <f>SUM(Q69:Q71)</f>
        <v>1082.3929813300006</v>
      </c>
      <c r="R72" s="574">
        <f>SUM(R69:R71)</f>
        <v>993.9979012960066</v>
      </c>
      <c r="S72" s="765">
        <f>SUM(S69:S71)</f>
        <v>1082.0346975700002</v>
      </c>
    </row>
    <row r="74" spans="3:19">
      <c r="C74" s="560" t="s">
        <v>113</v>
      </c>
      <c r="D74" s="560" t="s">
        <v>113</v>
      </c>
      <c r="F74" s="541" t="s">
        <v>79</v>
      </c>
      <c r="G74" s="541" t="s">
        <v>80</v>
      </c>
      <c r="H74" s="541" t="s">
        <v>81</v>
      </c>
      <c r="I74" s="541" t="s">
        <v>82</v>
      </c>
      <c r="J74" s="541" t="s">
        <v>83</v>
      </c>
      <c r="K74" s="541" t="s">
        <v>84</v>
      </c>
      <c r="L74" s="541" t="s">
        <v>85</v>
      </c>
      <c r="M74" s="541" t="s">
        <v>86</v>
      </c>
      <c r="N74" s="541" t="s">
        <v>87</v>
      </c>
      <c r="O74" s="541" t="s">
        <v>88</v>
      </c>
      <c r="P74" s="541" t="s">
        <v>2074</v>
      </c>
      <c r="Q74" s="541" t="s">
        <v>2127</v>
      </c>
      <c r="R74" s="541" t="str">
        <f>$R$6</f>
        <v>1T26</v>
      </c>
      <c r="S74" s="541" t="str">
        <f>S$6</f>
        <v>2T26</v>
      </c>
    </row>
    <row r="75" spans="3:19" ht="3" customHeight="1">
      <c r="C75" s="561"/>
      <c r="D75" s="561"/>
    </row>
    <row r="76" spans="3:19">
      <c r="C76" s="562" t="s">
        <v>1919</v>
      </c>
      <c r="D76" s="562" t="s">
        <v>1920</v>
      </c>
      <c r="F76" s="568"/>
      <c r="G76" s="568"/>
      <c r="H76" s="568"/>
      <c r="I76" s="568"/>
      <c r="J76" s="568"/>
      <c r="K76" s="568"/>
      <c r="L76" s="568"/>
      <c r="M76" s="568"/>
      <c r="N76" s="568"/>
      <c r="O76" s="568"/>
      <c r="P76" s="568"/>
      <c r="Q76" s="568"/>
      <c r="R76" s="568"/>
      <c r="S76" s="759"/>
    </row>
    <row r="77" spans="3:19" ht="3" customHeight="1">
      <c r="C77" s="561"/>
      <c r="D77" s="561"/>
    </row>
    <row r="78" spans="3:19">
      <c r="C78" s="563" t="s">
        <v>1921</v>
      </c>
      <c r="D78" s="563" t="s">
        <v>1922</v>
      </c>
      <c r="F78" s="569">
        <v>672.99091504000012</v>
      </c>
      <c r="G78" s="569">
        <v>766.10059552999996</v>
      </c>
      <c r="H78" s="569">
        <v>806.95640126999979</v>
      </c>
      <c r="I78" s="569">
        <v>964.64787490999993</v>
      </c>
      <c r="J78" s="569">
        <v>846.81130942000004</v>
      </c>
      <c r="K78" s="569">
        <v>868.4830311300002</v>
      </c>
      <c r="L78" s="569">
        <v>900.01440494000008</v>
      </c>
      <c r="M78" s="569">
        <v>1003.3228880199998</v>
      </c>
      <c r="N78" s="569">
        <v>793.93238990000009</v>
      </c>
      <c r="O78" s="569">
        <v>887.24009596999997</v>
      </c>
      <c r="P78" s="569">
        <v>944.49936961000014</v>
      </c>
      <c r="Q78" s="569">
        <v>999.1939950499999</v>
      </c>
      <c r="R78" s="569">
        <v>919.47690680000017</v>
      </c>
      <c r="S78" s="760">
        <v>1028.6043374999999</v>
      </c>
    </row>
    <row r="79" spans="3:19">
      <c r="C79" s="564" t="s">
        <v>1923</v>
      </c>
      <c r="D79" s="564" t="s">
        <v>1924</v>
      </c>
      <c r="F79" s="570">
        <v>2.4338690399999998</v>
      </c>
      <c r="G79" s="570">
        <v>6.8278774300000009</v>
      </c>
      <c r="H79" s="570">
        <v>-9.4136203999999992</v>
      </c>
      <c r="I79" s="570">
        <v>36.192426050000002</v>
      </c>
      <c r="J79" s="570">
        <v>-5.9574434500000004</v>
      </c>
      <c r="K79" s="570">
        <v>-13.175454329999997</v>
      </c>
      <c r="L79" s="570">
        <v>-4.005717820000001</v>
      </c>
      <c r="M79" s="570">
        <v>3.1477480400000002</v>
      </c>
      <c r="N79" s="570">
        <v>-11.809683590000002</v>
      </c>
      <c r="O79" s="570">
        <v>12.402295350000001</v>
      </c>
      <c r="P79" s="570">
        <v>-2.0943031700000003</v>
      </c>
      <c r="Q79" s="570">
        <v>14.801919930000004</v>
      </c>
      <c r="R79" s="570">
        <v>-13.158872990000004</v>
      </c>
      <c r="S79" s="761">
        <v>13.153129009999999</v>
      </c>
    </row>
    <row r="80" spans="3:19">
      <c r="C80" s="565" t="s">
        <v>1925</v>
      </c>
      <c r="D80" s="565" t="s">
        <v>1926</v>
      </c>
      <c r="F80" s="571">
        <v>-3.7758991099999997</v>
      </c>
      <c r="G80" s="571">
        <v>8.0190975000000009</v>
      </c>
      <c r="H80" s="571">
        <v>-3.5599000699999999</v>
      </c>
      <c r="I80" s="571">
        <v>-3.7319178099999997</v>
      </c>
      <c r="J80" s="571">
        <v>-4.1531550099999999</v>
      </c>
      <c r="K80" s="571">
        <v>-3.6111072600000003</v>
      </c>
      <c r="L80" s="571">
        <v>-3.8842923300000005</v>
      </c>
      <c r="M80" s="571">
        <v>-3.7984206399999998</v>
      </c>
      <c r="N80" s="571">
        <v>-3.2192729500000001</v>
      </c>
      <c r="O80" s="571">
        <v>-3.38446114</v>
      </c>
      <c r="P80" s="571">
        <v>-3.2702403799999993</v>
      </c>
      <c r="Q80" s="571">
        <v>-4.154197560000001</v>
      </c>
      <c r="R80" s="571">
        <v>-3.5297223600000005</v>
      </c>
      <c r="S80" s="762">
        <v>-4.0452239900000002</v>
      </c>
    </row>
    <row r="81" spans="3:19">
      <c r="C81" s="565" t="s">
        <v>1927</v>
      </c>
      <c r="D81" s="565" t="s">
        <v>1928</v>
      </c>
      <c r="F81" s="569">
        <v>108.76452544999998</v>
      </c>
      <c r="G81" s="569">
        <v>135.46033818000001</v>
      </c>
      <c r="H81" s="569">
        <v>127.60072632000001</v>
      </c>
      <c r="I81" s="569">
        <v>214.90126351000001</v>
      </c>
      <c r="J81" s="569">
        <v>145.53101131</v>
      </c>
      <c r="K81" s="569">
        <v>157.72992070999999</v>
      </c>
      <c r="L81" s="569">
        <v>205.51772733999996</v>
      </c>
      <c r="M81" s="569">
        <v>234.54491879000005</v>
      </c>
      <c r="N81" s="569">
        <v>168.78798222999998</v>
      </c>
      <c r="O81" s="569">
        <v>193.73110866000002</v>
      </c>
      <c r="P81" s="569">
        <v>290.94486406000004</v>
      </c>
      <c r="Q81" s="569">
        <v>291.94089455000005</v>
      </c>
      <c r="R81" s="569">
        <v>276.76628625000001</v>
      </c>
      <c r="S81" s="569">
        <v>270.21136811000002</v>
      </c>
    </row>
    <row r="82" spans="3:19">
      <c r="C82" s="564" t="s">
        <v>1929</v>
      </c>
      <c r="D82" s="564" t="s">
        <v>1930</v>
      </c>
      <c r="F82" s="572">
        <v>45.124061829999995</v>
      </c>
      <c r="G82" s="572">
        <v>46.398640100000009</v>
      </c>
      <c r="H82" s="572">
        <v>46.89611653</v>
      </c>
      <c r="I82" s="572">
        <v>49.862086569999995</v>
      </c>
      <c r="J82" s="572">
        <v>56.018478789999996</v>
      </c>
      <c r="K82" s="572">
        <v>55.326910529999992</v>
      </c>
      <c r="L82" s="572">
        <v>55.182095189999998</v>
      </c>
      <c r="M82" s="572">
        <v>57.654513430000009</v>
      </c>
      <c r="N82" s="572">
        <v>53.074953840000006</v>
      </c>
      <c r="O82" s="572">
        <v>52.326273590000007</v>
      </c>
      <c r="P82" s="572">
        <v>87.914861560000006</v>
      </c>
      <c r="Q82" s="572">
        <v>79.809444449999987</v>
      </c>
      <c r="R82" s="572">
        <v>99.130901390000005</v>
      </c>
      <c r="S82" s="572">
        <v>93.423656190000017</v>
      </c>
    </row>
    <row r="83" spans="3:19">
      <c r="C83" s="564" t="s">
        <v>1931</v>
      </c>
      <c r="D83" s="564" t="s">
        <v>1932</v>
      </c>
      <c r="F83" s="572">
        <v>13.510408210000001</v>
      </c>
      <c r="G83" s="572">
        <v>15.636388709999999</v>
      </c>
      <c r="H83" s="572">
        <v>18.407719249999996</v>
      </c>
      <c r="I83" s="572">
        <v>36.811839960000007</v>
      </c>
      <c r="J83" s="572">
        <v>16.888582550000002</v>
      </c>
      <c r="K83" s="572">
        <v>24.617964279999999</v>
      </c>
      <c r="L83" s="572">
        <v>20.517540049999734</v>
      </c>
      <c r="M83" s="572">
        <v>59.226060160000138</v>
      </c>
      <c r="N83" s="572">
        <v>43.667782710000004</v>
      </c>
      <c r="O83" s="572">
        <v>54.593316649999998</v>
      </c>
      <c r="P83" s="572">
        <v>64.681925249999992</v>
      </c>
      <c r="Q83" s="572">
        <v>83.402265040000003</v>
      </c>
      <c r="R83" s="572">
        <v>67.223466279999997</v>
      </c>
      <c r="S83" s="572">
        <v>74.869784420000002</v>
      </c>
    </row>
    <row r="84" spans="3:19">
      <c r="C84" s="564" t="s">
        <v>1933</v>
      </c>
      <c r="D84" s="564" t="s">
        <v>1934</v>
      </c>
      <c r="F84" s="572">
        <v>0</v>
      </c>
      <c r="G84" s="572">
        <v>0</v>
      </c>
      <c r="H84" s="572">
        <v>0</v>
      </c>
      <c r="I84" s="572">
        <v>0</v>
      </c>
      <c r="J84" s="572">
        <v>0</v>
      </c>
      <c r="K84" s="572">
        <v>0</v>
      </c>
      <c r="L84" s="572">
        <v>27.447052220000263</v>
      </c>
      <c r="M84" s="572">
        <v>28.960462709999852</v>
      </c>
      <c r="N84" s="572">
        <v>0</v>
      </c>
      <c r="O84" s="572">
        <v>0</v>
      </c>
      <c r="P84" s="572">
        <v>0</v>
      </c>
      <c r="Q84" s="572">
        <v>0</v>
      </c>
      <c r="R84" s="572">
        <v>0</v>
      </c>
      <c r="S84" s="572">
        <v>0</v>
      </c>
    </row>
    <row r="85" spans="3:19">
      <c r="C85" s="564" t="s">
        <v>1935</v>
      </c>
      <c r="D85" s="564" t="s">
        <v>1936</v>
      </c>
      <c r="F85" s="572">
        <v>29.496211879999993</v>
      </c>
      <c r="G85" s="572">
        <v>31.146483879999995</v>
      </c>
      <c r="H85" s="572">
        <v>33.158170939999998</v>
      </c>
      <c r="I85" s="572">
        <v>36.596165800000009</v>
      </c>
      <c r="J85" s="572">
        <v>35.106637680000006</v>
      </c>
      <c r="K85" s="572">
        <v>37.165253490000012</v>
      </c>
      <c r="L85" s="572">
        <v>36.191125449999987</v>
      </c>
      <c r="M85" s="572">
        <v>40.579571990000012</v>
      </c>
      <c r="N85" s="572">
        <v>37.090385649999973</v>
      </c>
      <c r="O85" s="572">
        <v>41.214999600000027</v>
      </c>
      <c r="P85" s="572">
        <v>52.076874590000031</v>
      </c>
      <c r="Q85" s="572">
        <v>58.587209560000005</v>
      </c>
      <c r="R85" s="572">
        <v>55.383565889999986</v>
      </c>
      <c r="S85" s="572">
        <v>55.09656906</v>
      </c>
    </row>
    <row r="86" spans="3:19">
      <c r="C86" s="564" t="s">
        <v>1937</v>
      </c>
      <c r="D86" s="564" t="s">
        <v>619</v>
      </c>
      <c r="F86" s="572">
        <v>2.2189566099999998</v>
      </c>
      <c r="G86" s="572">
        <v>0.89719037000000013</v>
      </c>
      <c r="H86" s="572">
        <v>1.3072918000000002</v>
      </c>
      <c r="I86" s="572">
        <v>14.63324179</v>
      </c>
      <c r="J86" s="572">
        <v>2.5880476099999998</v>
      </c>
      <c r="K86" s="572">
        <v>2.1572339600000006</v>
      </c>
      <c r="L86" s="572">
        <v>0.21094429999999981</v>
      </c>
      <c r="M86" s="572">
        <v>3.2979492400000003</v>
      </c>
      <c r="N86" s="572">
        <v>5.5179756500000003</v>
      </c>
      <c r="O86" s="572">
        <v>2.8260989899999993</v>
      </c>
      <c r="P86" s="572">
        <v>3.77418012</v>
      </c>
      <c r="Q86" s="572">
        <v>0.45385439000000061</v>
      </c>
      <c r="R86" s="572">
        <v>5.5600307400000002</v>
      </c>
      <c r="S86" s="572">
        <v>7.4430813300000001</v>
      </c>
    </row>
    <row r="87" spans="3:19">
      <c r="C87" s="564" t="s">
        <v>1938</v>
      </c>
      <c r="D87" s="564" t="s">
        <v>1939</v>
      </c>
      <c r="F87" s="572">
        <v>2.5195688599999997</v>
      </c>
      <c r="G87" s="572">
        <v>2.8121999</v>
      </c>
      <c r="H87" s="572">
        <v>3.2384873700000001</v>
      </c>
      <c r="I87" s="572">
        <v>3.3186898800000009</v>
      </c>
      <c r="J87" s="572">
        <v>2.8774807599999996</v>
      </c>
      <c r="K87" s="572">
        <v>2.9060678500000003</v>
      </c>
      <c r="L87" s="572">
        <v>17.380630279999995</v>
      </c>
      <c r="M87" s="572">
        <v>34.906476140000009</v>
      </c>
      <c r="N87" s="572">
        <v>3.5053808799999997</v>
      </c>
      <c r="O87" s="572">
        <v>14.710210069999997</v>
      </c>
      <c r="P87" s="572">
        <v>50.594895029999982</v>
      </c>
      <c r="Q87" s="572">
        <v>38.587760250000002</v>
      </c>
      <c r="R87" s="572">
        <v>21.546616440000001</v>
      </c>
      <c r="S87" s="572">
        <v>11.28137553</v>
      </c>
    </row>
    <row r="88" spans="3:19">
      <c r="C88" s="564" t="s">
        <v>854</v>
      </c>
      <c r="D88" s="564" t="s">
        <v>1940</v>
      </c>
      <c r="F88" s="572">
        <v>6.7660985299999998</v>
      </c>
      <c r="G88" s="572">
        <v>7.5204328700000005</v>
      </c>
      <c r="H88" s="572">
        <v>8.337641409999998</v>
      </c>
      <c r="I88" s="572">
        <v>9.3453479999999995</v>
      </c>
      <c r="J88" s="572">
        <v>9.4797849000000003</v>
      </c>
      <c r="K88" s="572">
        <v>9.27957228</v>
      </c>
      <c r="L88" s="572">
        <v>9.8062899200000011</v>
      </c>
      <c r="M88" s="572">
        <v>10.937440170000002</v>
      </c>
      <c r="N88" s="572">
        <v>9.7743349800000008</v>
      </c>
      <c r="O88" s="572">
        <v>8.8700252499999994</v>
      </c>
      <c r="P88" s="572">
        <v>10.436749390000001</v>
      </c>
      <c r="Q88" s="572">
        <v>11.083385650000002</v>
      </c>
      <c r="R88" s="572">
        <v>10.516092609999999</v>
      </c>
      <c r="S88" s="572">
        <v>10.276776580000002</v>
      </c>
    </row>
    <row r="89" spans="3:19">
      <c r="C89" s="565" t="s">
        <v>1941</v>
      </c>
      <c r="D89" s="565" t="s">
        <v>1942</v>
      </c>
      <c r="F89" s="569">
        <v>9.1292195300000003</v>
      </c>
      <c r="G89" s="569">
        <v>31.049002349999995</v>
      </c>
      <c r="H89" s="569">
        <v>16.255299019999999</v>
      </c>
      <c r="I89" s="569">
        <v>64.333891510000001</v>
      </c>
      <c r="J89" s="569">
        <v>22.571999020000003</v>
      </c>
      <c r="K89" s="569">
        <v>26.27691832</v>
      </c>
      <c r="L89" s="569">
        <v>38.782049929999999</v>
      </c>
      <c r="M89" s="569">
        <v>-1.0175550500000021</v>
      </c>
      <c r="N89" s="569">
        <v>16.157168519999999</v>
      </c>
      <c r="O89" s="569">
        <v>19.190184509999998</v>
      </c>
      <c r="P89" s="569">
        <v>21.465378120000004</v>
      </c>
      <c r="Q89" s="569">
        <v>20.016975210000002</v>
      </c>
      <c r="R89" s="569">
        <v>17.405612899999998</v>
      </c>
      <c r="S89" s="569">
        <v>17.820124999999997</v>
      </c>
    </row>
    <row r="90" spans="3:19">
      <c r="C90" s="564" t="s">
        <v>1943</v>
      </c>
      <c r="D90" s="564" t="s">
        <v>1944</v>
      </c>
      <c r="F90" s="572">
        <v>5.7654974499999998</v>
      </c>
      <c r="G90" s="572">
        <v>9.6174183999999983</v>
      </c>
      <c r="H90" s="572">
        <v>5.8133824900000004</v>
      </c>
      <c r="I90" s="572">
        <v>8.8374831100000009</v>
      </c>
      <c r="J90" s="572">
        <v>7.2138520799999997</v>
      </c>
      <c r="K90" s="572">
        <v>9.3121607900000019</v>
      </c>
      <c r="L90" s="572">
        <v>8.7408756200000006</v>
      </c>
      <c r="M90" s="572">
        <v>6.5092683799999991</v>
      </c>
      <c r="N90" s="572">
        <v>7.7904749800000008</v>
      </c>
      <c r="O90" s="572">
        <v>7.8826691099999993</v>
      </c>
      <c r="P90" s="572">
        <v>7.5577156199999997</v>
      </c>
      <c r="Q90" s="572">
        <v>6.7919592899999994</v>
      </c>
      <c r="R90" s="572">
        <v>6.9694009900000005</v>
      </c>
      <c r="S90" s="572">
        <v>6.9294295099999994</v>
      </c>
    </row>
    <row r="91" spans="3:19">
      <c r="C91" s="563" t="s">
        <v>1945</v>
      </c>
      <c r="D91" s="563" t="s">
        <v>1946</v>
      </c>
      <c r="F91" s="573">
        <v>11.032107219999999</v>
      </c>
      <c r="G91" s="573">
        <v>8.4332453399999991</v>
      </c>
      <c r="H91" s="573">
        <v>7.6543342600000015</v>
      </c>
      <c r="I91" s="573">
        <v>4.896490909999998</v>
      </c>
      <c r="J91" s="573">
        <v>4.54985734</v>
      </c>
      <c r="K91" s="573">
        <v>2.85319638</v>
      </c>
      <c r="L91" s="573">
        <v>18.147186829999999</v>
      </c>
      <c r="M91" s="573">
        <v>-2.0487907799999987</v>
      </c>
      <c r="N91" s="573">
        <v>6.4090416699999997</v>
      </c>
      <c r="O91" s="573">
        <v>15.241195830000002</v>
      </c>
      <c r="P91" s="573">
        <v>24.62703187</v>
      </c>
      <c r="Q91" s="573">
        <v>4.2061257199999975</v>
      </c>
      <c r="R91" s="573">
        <v>27.879352820000001</v>
      </c>
      <c r="S91" s="573">
        <v>-29.488877300000002</v>
      </c>
    </row>
    <row r="92" spans="3:19">
      <c r="C92" s="565" t="s">
        <v>1947</v>
      </c>
      <c r="D92" s="565" t="s">
        <v>1948</v>
      </c>
      <c r="F92" s="573">
        <v>69.541424379999995</v>
      </c>
      <c r="G92" s="573">
        <v>39.573473720000031</v>
      </c>
      <c r="H92" s="573">
        <v>13.934199999999974</v>
      </c>
      <c r="I92" s="573">
        <v>-17.588988659999973</v>
      </c>
      <c r="J92" s="573">
        <v>13.339650030000017</v>
      </c>
      <c r="K92" s="573">
        <v>25.612338100000002</v>
      </c>
      <c r="L92" s="573">
        <v>25.848737820000014</v>
      </c>
      <c r="M92" s="573">
        <v>-50.056513209999984</v>
      </c>
      <c r="N92" s="573">
        <v>36.963808999999998</v>
      </c>
      <c r="O92" s="573">
        <v>46.131121910000012</v>
      </c>
      <c r="P92" s="573">
        <v>95.406891459999969</v>
      </c>
      <c r="Q92" s="573">
        <v>279.73071807999997</v>
      </c>
      <c r="R92" s="573">
        <v>6.3938950500000082</v>
      </c>
      <c r="S92" s="573">
        <v>69.744324369999987</v>
      </c>
    </row>
    <row r="93" spans="3:19">
      <c r="C93" s="563" t="s">
        <v>1949</v>
      </c>
      <c r="D93" s="563" t="s">
        <v>1950</v>
      </c>
      <c r="F93" s="573">
        <v>179.76786126000002</v>
      </c>
      <c r="G93" s="573">
        <v>275.01060412999999</v>
      </c>
      <c r="H93" s="573">
        <v>150.42370911</v>
      </c>
      <c r="I93" s="573">
        <v>220.89773168000008</v>
      </c>
      <c r="J93" s="573">
        <v>132.09335801</v>
      </c>
      <c r="K93" s="573">
        <v>196.57271737999994</v>
      </c>
      <c r="L93" s="573">
        <v>191.42576159000009</v>
      </c>
      <c r="M93" s="573">
        <v>205.72905863999998</v>
      </c>
      <c r="N93" s="573">
        <v>190.49914582999997</v>
      </c>
      <c r="O93" s="573">
        <v>224.03873267000003</v>
      </c>
      <c r="P93" s="573">
        <v>257.50891908000006</v>
      </c>
      <c r="Q93" s="573">
        <v>245.00451401999999</v>
      </c>
      <c r="R93" s="573">
        <v>231.23655803</v>
      </c>
      <c r="S93" s="573">
        <v>238.96029208000002</v>
      </c>
    </row>
    <row r="94" spans="3:19">
      <c r="C94" s="566" t="s">
        <v>1951</v>
      </c>
      <c r="D94" s="566" t="s">
        <v>1952</v>
      </c>
      <c r="F94" s="574">
        <f t="shared" ref="F94:R94" si="20">SUM(F78,F80:F81,F91:F93)</f>
        <v>1038.32093424</v>
      </c>
      <c r="G94" s="574">
        <f t="shared" si="20"/>
        <v>1232.5973544000001</v>
      </c>
      <c r="H94" s="574">
        <f t="shared" si="20"/>
        <v>1103.0094708899996</v>
      </c>
      <c r="I94" s="574">
        <f t="shared" si="20"/>
        <v>1384.0224545399999</v>
      </c>
      <c r="J94" s="574">
        <f t="shared" si="20"/>
        <v>1138.1720311000001</v>
      </c>
      <c r="K94" s="574">
        <f t="shared" si="20"/>
        <v>1247.64009644</v>
      </c>
      <c r="L94" s="574">
        <f t="shared" si="20"/>
        <v>1337.0695261900003</v>
      </c>
      <c r="M94" s="574">
        <f t="shared" si="20"/>
        <v>1387.6931408199998</v>
      </c>
      <c r="N94" s="574">
        <f t="shared" si="20"/>
        <v>1193.37309568</v>
      </c>
      <c r="O94" s="574">
        <f t="shared" si="20"/>
        <v>1362.9977939</v>
      </c>
      <c r="P94" s="574">
        <f t="shared" si="20"/>
        <v>1609.7168357000005</v>
      </c>
      <c r="Q94" s="574">
        <f t="shared" si="20"/>
        <v>1815.9220498599998</v>
      </c>
      <c r="R94" s="574">
        <f t="shared" si="20"/>
        <v>1458.2232765900001</v>
      </c>
      <c r="S94" s="574">
        <v>1573.9862207699998</v>
      </c>
    </row>
    <row r="95" spans="3:19">
      <c r="C95" s="565" t="s">
        <v>1953</v>
      </c>
      <c r="D95" s="565" t="s">
        <v>859</v>
      </c>
      <c r="F95" s="569">
        <f>SUM(F96:F98)</f>
        <v>-259.23746209999996</v>
      </c>
      <c r="G95" s="569">
        <f t="shared" ref="G95:O95" si="21">SUM(G96:G98)</f>
        <v>-326.23475118000005</v>
      </c>
      <c r="H95" s="569">
        <f t="shared" si="21"/>
        <v>-327.67408531000001</v>
      </c>
      <c r="I95" s="569">
        <f t="shared" si="21"/>
        <v>-385.97512389999991</v>
      </c>
      <c r="J95" s="569">
        <f t="shared" si="21"/>
        <v>-339.70610848000001</v>
      </c>
      <c r="K95" s="569">
        <f t="shared" si="21"/>
        <v>-355.25857354000004</v>
      </c>
      <c r="L95" s="569">
        <f t="shared" si="21"/>
        <v>-361.06662955000002</v>
      </c>
      <c r="M95" s="569">
        <f t="shared" si="21"/>
        <v>-374.95202197999993</v>
      </c>
      <c r="N95" s="569">
        <f t="shared" si="21"/>
        <v>-314.70513014000005</v>
      </c>
      <c r="O95" s="569">
        <f t="shared" si="21"/>
        <v>-352.22379491999999</v>
      </c>
      <c r="P95" s="569">
        <f t="shared" ref="P95:R95" si="22">SUM(P96:P98)</f>
        <v>-457.29688615999993</v>
      </c>
      <c r="Q95" s="569">
        <f t="shared" si="22"/>
        <v>-443.25104959999987</v>
      </c>
      <c r="R95" s="569">
        <f t="shared" si="22"/>
        <v>-429.59254978000001</v>
      </c>
      <c r="S95" s="569">
        <v>-483.55014105999999</v>
      </c>
    </row>
    <row r="96" spans="3:19">
      <c r="C96" s="564" t="s">
        <v>1954</v>
      </c>
      <c r="D96" s="564" t="s">
        <v>1955</v>
      </c>
      <c r="F96" s="572">
        <v>-5.9933064800000002</v>
      </c>
      <c r="G96" s="572">
        <v>-8.6599719799999999</v>
      </c>
      <c r="H96" s="572">
        <v>-3.8783531499999992</v>
      </c>
      <c r="I96" s="572">
        <v>-7.7425785099999986</v>
      </c>
      <c r="J96" s="572">
        <v>-7.1345848000000007</v>
      </c>
      <c r="K96" s="572">
        <v>-10.094796600000002</v>
      </c>
      <c r="L96" s="572">
        <v>-3.8974975299999994</v>
      </c>
      <c r="M96" s="572">
        <v>-4.7371110199999995</v>
      </c>
      <c r="N96" s="572">
        <v>-10.789082430000001</v>
      </c>
      <c r="O96" s="572">
        <v>-7.7191615600000008</v>
      </c>
      <c r="P96" s="572">
        <v>-4.3081598400000001</v>
      </c>
      <c r="Q96" s="572">
        <v>-5.7054456399999989</v>
      </c>
      <c r="R96" s="572">
        <v>-10.319583119999999</v>
      </c>
      <c r="S96" s="572">
        <v>-7.71537878</v>
      </c>
    </row>
    <row r="97" spans="3:19">
      <c r="C97" s="564" t="s">
        <v>1956</v>
      </c>
      <c r="D97" s="564" t="s">
        <v>1957</v>
      </c>
      <c r="F97" s="572">
        <v>-55.444910669999999</v>
      </c>
      <c r="G97" s="572">
        <v>-55.425503950000021</v>
      </c>
      <c r="H97" s="572">
        <v>-55.407321420000002</v>
      </c>
      <c r="I97" s="572">
        <v>-60.789055729999973</v>
      </c>
      <c r="J97" s="572">
        <v>-75.876874370000024</v>
      </c>
      <c r="K97" s="572">
        <v>-76.07983243000001</v>
      </c>
      <c r="L97" s="572">
        <v>-76.820068739999996</v>
      </c>
      <c r="M97" s="572">
        <v>-42.553296920000022</v>
      </c>
      <c r="N97" s="572">
        <v>-57.130474409999998</v>
      </c>
      <c r="O97" s="572">
        <v>-60.177015109999999</v>
      </c>
      <c r="P97" s="572">
        <v>-87.138986340000017</v>
      </c>
      <c r="Q97" s="572">
        <v>-94.534893359999984</v>
      </c>
      <c r="R97" s="572">
        <v>-86.824995810000004</v>
      </c>
      <c r="S97" s="572">
        <v>-87.307679809999982</v>
      </c>
    </row>
    <row r="98" spans="3:19">
      <c r="C98" s="564" t="s">
        <v>1958</v>
      </c>
      <c r="D98" s="564" t="s">
        <v>1959</v>
      </c>
      <c r="F98" s="572">
        <v>-197.79924494999997</v>
      </c>
      <c r="G98" s="572">
        <v>-262.14927525000002</v>
      </c>
      <c r="H98" s="572">
        <v>-268.38841073999998</v>
      </c>
      <c r="I98" s="572">
        <v>-317.44348965999995</v>
      </c>
      <c r="J98" s="572">
        <v>-256.69464930999999</v>
      </c>
      <c r="K98" s="572">
        <v>-269.08394451000004</v>
      </c>
      <c r="L98" s="572">
        <v>-280.34906328</v>
      </c>
      <c r="M98" s="572">
        <v>-327.6616140399999</v>
      </c>
      <c r="N98" s="572">
        <v>-246.78557330000004</v>
      </c>
      <c r="O98" s="572">
        <v>-284.32761825</v>
      </c>
      <c r="P98" s="572">
        <v>-365.84973997999992</v>
      </c>
      <c r="Q98" s="572">
        <v>-343.01071059999992</v>
      </c>
      <c r="R98" s="572">
        <v>-332.44797084999999</v>
      </c>
      <c r="S98" s="572">
        <v>-388.52708247000004</v>
      </c>
    </row>
    <row r="99" spans="3:19">
      <c r="C99" s="566" t="s">
        <v>1960</v>
      </c>
      <c r="D99" s="566" t="s">
        <v>1961</v>
      </c>
      <c r="F99" s="574">
        <f t="shared" ref="F99:R99" si="23">SUM(F94:F95)</f>
        <v>779.08347214000014</v>
      </c>
      <c r="G99" s="574">
        <f t="shared" si="23"/>
        <v>906.36260321999998</v>
      </c>
      <c r="H99" s="574">
        <f t="shared" si="23"/>
        <v>775.33538557999964</v>
      </c>
      <c r="I99" s="574">
        <f t="shared" si="23"/>
        <v>998.04733063999993</v>
      </c>
      <c r="J99" s="574">
        <f t="shared" si="23"/>
        <v>798.46592262000013</v>
      </c>
      <c r="K99" s="574">
        <f t="shared" si="23"/>
        <v>892.38152289999994</v>
      </c>
      <c r="L99" s="574">
        <f t="shared" si="23"/>
        <v>976.00289664000024</v>
      </c>
      <c r="M99" s="574">
        <f t="shared" si="23"/>
        <v>1012.7411188399999</v>
      </c>
      <c r="N99" s="574">
        <f t="shared" si="23"/>
        <v>878.66796553999995</v>
      </c>
      <c r="O99" s="574">
        <f t="shared" si="23"/>
        <v>1010.77399898</v>
      </c>
      <c r="P99" s="574">
        <f t="shared" si="23"/>
        <v>1152.4199495400005</v>
      </c>
      <c r="Q99" s="574">
        <f t="shared" si="23"/>
        <v>1372.6710002599998</v>
      </c>
      <c r="R99" s="574">
        <f t="shared" si="23"/>
        <v>1028.6307268099999</v>
      </c>
      <c r="S99" s="574">
        <f>SUM(S94:S95)</f>
        <v>1090.4360797099998</v>
      </c>
    </row>
    <row r="100" spans="3:19">
      <c r="C100" s="565" t="s">
        <v>1962</v>
      </c>
      <c r="D100" s="565" t="s">
        <v>1963</v>
      </c>
      <c r="F100" s="573">
        <f t="shared" ref="F100:R100" si="24">-F93</f>
        <v>-179.76786126000002</v>
      </c>
      <c r="G100" s="573">
        <f t="shared" si="24"/>
        <v>-275.01060412999999</v>
      </c>
      <c r="H100" s="573">
        <f t="shared" si="24"/>
        <v>-150.42370911</v>
      </c>
      <c r="I100" s="573">
        <f t="shared" si="24"/>
        <v>-220.89773168000008</v>
      </c>
      <c r="J100" s="573">
        <f t="shared" si="24"/>
        <v>-132.09335801</v>
      </c>
      <c r="K100" s="573">
        <f t="shared" si="24"/>
        <v>-196.57271737999994</v>
      </c>
      <c r="L100" s="573">
        <f t="shared" si="24"/>
        <v>-191.42576159000009</v>
      </c>
      <c r="M100" s="573">
        <f t="shared" si="24"/>
        <v>-205.72905863999998</v>
      </c>
      <c r="N100" s="573">
        <f t="shared" si="24"/>
        <v>-190.49914582999997</v>
      </c>
      <c r="O100" s="573">
        <f t="shared" si="24"/>
        <v>-224.03873267000003</v>
      </c>
      <c r="P100" s="573">
        <f t="shared" si="24"/>
        <v>-257.50891908000006</v>
      </c>
      <c r="Q100" s="573">
        <f t="shared" si="24"/>
        <v>-245.00451401999999</v>
      </c>
      <c r="R100" s="573">
        <f t="shared" si="24"/>
        <v>-231.23655803</v>
      </c>
      <c r="S100" s="573">
        <f>-S93</f>
        <v>-238.96029208000002</v>
      </c>
    </row>
    <row r="101" spans="3:19">
      <c r="C101" s="566" t="s">
        <v>1964</v>
      </c>
      <c r="D101" s="566" t="s">
        <v>1965</v>
      </c>
      <c r="F101" s="574">
        <f t="shared" ref="F101:O101" si="25">SUM(F99:F100)</f>
        <v>599.31561088000012</v>
      </c>
      <c r="G101" s="574">
        <f t="shared" si="25"/>
        <v>631.35199908999994</v>
      </c>
      <c r="H101" s="574">
        <f t="shared" si="25"/>
        <v>624.91167646999963</v>
      </c>
      <c r="I101" s="574">
        <f t="shared" si="25"/>
        <v>777.14959895999982</v>
      </c>
      <c r="J101" s="574">
        <f t="shared" si="25"/>
        <v>666.37256461000015</v>
      </c>
      <c r="K101" s="574">
        <f t="shared" si="25"/>
        <v>695.80880551999996</v>
      </c>
      <c r="L101" s="574">
        <f t="shared" si="25"/>
        <v>784.57713505000015</v>
      </c>
      <c r="M101" s="574">
        <f t="shared" si="25"/>
        <v>807.01206019999995</v>
      </c>
      <c r="N101" s="574">
        <f t="shared" si="25"/>
        <v>688.16881970999998</v>
      </c>
      <c r="O101" s="574">
        <f t="shared" si="25"/>
        <v>786.73526630999993</v>
      </c>
      <c r="P101" s="574">
        <f>SUM(P99:P100)</f>
        <v>894.91103046000046</v>
      </c>
      <c r="Q101" s="574">
        <f>SUM(Q99:Q100)</f>
        <v>1127.6664862399998</v>
      </c>
      <c r="R101" s="574">
        <f>SUM(R99:R100)</f>
        <v>797.39416877999997</v>
      </c>
      <c r="S101" s="765">
        <f>SUM(S99:S100)</f>
        <v>851.47578762999979</v>
      </c>
    </row>
    <row r="102" spans="3:19">
      <c r="C102" s="567" t="s">
        <v>1966</v>
      </c>
      <c r="D102" s="567" t="s">
        <v>1967</v>
      </c>
      <c r="F102" s="570">
        <v>-332.62941612999998</v>
      </c>
      <c r="G102" s="570">
        <v>-321.05558485000006</v>
      </c>
      <c r="H102" s="570">
        <v>-338.21376678000001</v>
      </c>
      <c r="I102" s="570">
        <v>-415.34144665000014</v>
      </c>
      <c r="J102" s="570">
        <v>-333.67546021999999</v>
      </c>
      <c r="K102" s="570">
        <v>-360.75479571999989</v>
      </c>
      <c r="L102" s="570">
        <v>-408.57537482000004</v>
      </c>
      <c r="M102" s="570">
        <v>-445.42152162999992</v>
      </c>
      <c r="N102" s="570">
        <v>-349.72979501000009</v>
      </c>
      <c r="O102" s="570">
        <v>-391.83975655999996</v>
      </c>
      <c r="P102" s="570">
        <v>-472.16819742999991</v>
      </c>
      <c r="Q102" s="570">
        <v>-486.31550668999984</v>
      </c>
      <c r="R102" s="570">
        <v>-386.78012384000016</v>
      </c>
      <c r="S102" s="761">
        <v>-419.65741116999993</v>
      </c>
    </row>
    <row r="103" spans="3:19">
      <c r="C103" s="566" t="s">
        <v>1968</v>
      </c>
      <c r="D103" s="566" t="s">
        <v>1969</v>
      </c>
      <c r="F103" s="574">
        <f t="shared" ref="F103:O103" si="26">SUM(F101:F102)</f>
        <v>266.68619475000014</v>
      </c>
      <c r="G103" s="574">
        <f t="shared" si="26"/>
        <v>310.29641423999988</v>
      </c>
      <c r="H103" s="574">
        <f t="shared" si="26"/>
        <v>286.69790968999962</v>
      </c>
      <c r="I103" s="574">
        <f t="shared" si="26"/>
        <v>361.80815230999968</v>
      </c>
      <c r="J103" s="574">
        <f t="shared" si="26"/>
        <v>332.69710439000016</v>
      </c>
      <c r="K103" s="574">
        <f t="shared" si="26"/>
        <v>335.05400980000007</v>
      </c>
      <c r="L103" s="574">
        <f t="shared" si="26"/>
        <v>376.00176023000012</v>
      </c>
      <c r="M103" s="574">
        <f t="shared" si="26"/>
        <v>361.59053857000004</v>
      </c>
      <c r="N103" s="574">
        <f t="shared" si="26"/>
        <v>338.43902469999989</v>
      </c>
      <c r="O103" s="574">
        <f t="shared" si="26"/>
        <v>394.89550974999997</v>
      </c>
      <c r="P103" s="574">
        <f>SUM(P101:P102)</f>
        <v>422.74283303000055</v>
      </c>
      <c r="Q103" s="574">
        <f>SUM(Q101:Q102)</f>
        <v>641.35097954999992</v>
      </c>
      <c r="R103" s="574">
        <f>SUM(R101:R102)</f>
        <v>410.61404493999981</v>
      </c>
      <c r="S103" s="765">
        <f>SUM(S101:S102)</f>
        <v>431.81837645999985</v>
      </c>
    </row>
    <row r="104" spans="3:19">
      <c r="C104" s="567" t="s">
        <v>1970</v>
      </c>
      <c r="D104" s="567" t="s">
        <v>1971</v>
      </c>
      <c r="F104" s="570">
        <v>0</v>
      </c>
      <c r="G104" s="570">
        <v>0</v>
      </c>
      <c r="H104" s="570">
        <v>0</v>
      </c>
      <c r="I104" s="570">
        <v>0</v>
      </c>
      <c r="J104" s="570">
        <v>0</v>
      </c>
      <c r="K104" s="570">
        <v>0</v>
      </c>
      <c r="L104" s="570">
        <v>0</v>
      </c>
      <c r="M104" s="570">
        <v>69.97</v>
      </c>
      <c r="N104" s="570">
        <v>0</v>
      </c>
      <c r="O104" s="570">
        <v>0</v>
      </c>
      <c r="P104" s="570">
        <v>0</v>
      </c>
      <c r="Q104" s="570">
        <v>-212.026498</v>
      </c>
      <c r="R104" s="570">
        <v>-8.1509903596624476</v>
      </c>
      <c r="S104" s="761">
        <v>0</v>
      </c>
    </row>
    <row r="105" spans="3:19">
      <c r="C105" s="567" t="s">
        <v>1972</v>
      </c>
      <c r="D105" s="567" t="s">
        <v>1972</v>
      </c>
      <c r="F105" s="570">
        <f t="shared" ref="F105:R105" si="27">-F86</f>
        <v>-2.2189566099999998</v>
      </c>
      <c r="G105" s="570">
        <f t="shared" si="27"/>
        <v>-0.89719037000000013</v>
      </c>
      <c r="H105" s="570">
        <f t="shared" si="27"/>
        <v>-1.3072918000000002</v>
      </c>
      <c r="I105" s="570">
        <f t="shared" si="27"/>
        <v>-14.63324179</v>
      </c>
      <c r="J105" s="570">
        <f t="shared" si="27"/>
        <v>-2.5880476099999998</v>
      </c>
      <c r="K105" s="570">
        <f t="shared" si="27"/>
        <v>-2.1572339600000006</v>
      </c>
      <c r="L105" s="570">
        <f t="shared" si="27"/>
        <v>-0.21094429999999981</v>
      </c>
      <c r="M105" s="570">
        <f t="shared" si="27"/>
        <v>-3.2979492400000003</v>
      </c>
      <c r="N105" s="570">
        <f t="shared" si="27"/>
        <v>-5.5179756500000003</v>
      </c>
      <c r="O105" s="570">
        <f t="shared" si="27"/>
        <v>-2.8260989899999993</v>
      </c>
      <c r="P105" s="570">
        <f t="shared" si="27"/>
        <v>-3.77418012</v>
      </c>
      <c r="Q105" s="570">
        <f t="shared" si="27"/>
        <v>-0.45385439000000061</v>
      </c>
      <c r="R105" s="570">
        <f t="shared" si="27"/>
        <v>-5.5600307400000002</v>
      </c>
      <c r="S105" s="761">
        <f>-S86</f>
        <v>-7.4430813300000001</v>
      </c>
    </row>
    <row r="106" spans="3:19">
      <c r="C106" s="566" t="s">
        <v>1973</v>
      </c>
      <c r="D106" s="566" t="s">
        <v>1974</v>
      </c>
      <c r="F106" s="574">
        <f t="shared" ref="F106:O106" si="28">SUM(F103:F105)</f>
        <v>264.46723814000012</v>
      </c>
      <c r="G106" s="574">
        <f t="shared" si="28"/>
        <v>309.3992238699999</v>
      </c>
      <c r="H106" s="574">
        <f t="shared" si="28"/>
        <v>285.39061788999965</v>
      </c>
      <c r="I106" s="574">
        <f t="shared" si="28"/>
        <v>347.17491051999968</v>
      </c>
      <c r="J106" s="574">
        <f t="shared" si="28"/>
        <v>330.10905678000017</v>
      </c>
      <c r="K106" s="574">
        <f t="shared" si="28"/>
        <v>332.89677584000009</v>
      </c>
      <c r="L106" s="574">
        <f t="shared" si="28"/>
        <v>375.79081593000012</v>
      </c>
      <c r="M106" s="574">
        <f t="shared" si="28"/>
        <v>428.26258933000008</v>
      </c>
      <c r="N106" s="574">
        <f t="shared" si="28"/>
        <v>332.92104904999991</v>
      </c>
      <c r="O106" s="574">
        <f t="shared" si="28"/>
        <v>392.06941075999998</v>
      </c>
      <c r="P106" s="574">
        <f>SUM(P103:P105)</f>
        <v>418.96865291000057</v>
      </c>
      <c r="Q106" s="574">
        <f>SUM(Q103:Q105)</f>
        <v>428.87062715999991</v>
      </c>
      <c r="R106" s="574">
        <f>SUM(R103:R105)</f>
        <v>396.90302384033737</v>
      </c>
      <c r="S106" s="765">
        <f>SUM(S103:S105)</f>
        <v>424.37529512999987</v>
      </c>
    </row>
    <row r="108" spans="3:19">
      <c r="C108" s="560" t="s">
        <v>116</v>
      </c>
      <c r="D108" s="560" t="s">
        <v>116</v>
      </c>
      <c r="F108" s="541" t="s">
        <v>79</v>
      </c>
      <c r="G108" s="541" t="s">
        <v>80</v>
      </c>
      <c r="H108" s="541" t="s">
        <v>81</v>
      </c>
      <c r="I108" s="541" t="s">
        <v>82</v>
      </c>
      <c r="J108" s="541" t="s">
        <v>83</v>
      </c>
      <c r="K108" s="541" t="s">
        <v>84</v>
      </c>
      <c r="L108" s="541" t="s">
        <v>85</v>
      </c>
      <c r="M108" s="541" t="s">
        <v>86</v>
      </c>
      <c r="N108" s="541" t="s">
        <v>87</v>
      </c>
      <c r="O108" s="541" t="s">
        <v>88</v>
      </c>
      <c r="P108" s="541" t="s">
        <v>2074</v>
      </c>
      <c r="Q108" s="541" t="s">
        <v>2127</v>
      </c>
      <c r="R108" s="541" t="str">
        <f>$R$6</f>
        <v>1T26</v>
      </c>
      <c r="S108" s="541" t="str">
        <f>S$6</f>
        <v>2T26</v>
      </c>
    </row>
    <row r="109" spans="3:19" ht="3" customHeight="1">
      <c r="C109" s="561"/>
      <c r="D109" s="561"/>
    </row>
    <row r="110" spans="3:19">
      <c r="C110" s="562" t="s">
        <v>1919</v>
      </c>
      <c r="D110" s="562" t="s">
        <v>1920</v>
      </c>
      <c r="F110" s="568"/>
      <c r="G110" s="568"/>
      <c r="H110" s="568"/>
      <c r="I110" s="568"/>
      <c r="J110" s="568"/>
      <c r="K110" s="568"/>
      <c r="L110" s="568"/>
      <c r="M110" s="568"/>
      <c r="N110" s="568"/>
      <c r="O110" s="568"/>
      <c r="P110" s="568"/>
      <c r="Q110" s="568"/>
      <c r="R110" s="568"/>
      <c r="S110" s="759"/>
    </row>
    <row r="111" spans="3:19" ht="3" customHeight="1">
      <c r="C111" s="561"/>
      <c r="D111" s="561"/>
    </row>
    <row r="112" spans="3:19">
      <c r="C112" s="563" t="s">
        <v>1921</v>
      </c>
      <c r="D112" s="563" t="s">
        <v>1922</v>
      </c>
      <c r="F112" s="569">
        <v>715.48043170999995</v>
      </c>
      <c r="G112" s="569">
        <v>717.30064437999999</v>
      </c>
      <c r="H112" s="569">
        <v>743.5774181999999</v>
      </c>
      <c r="I112" s="569">
        <v>848.65037419999987</v>
      </c>
      <c r="J112" s="569">
        <v>872.07145477000006</v>
      </c>
      <c r="K112" s="569">
        <v>789.64379198999995</v>
      </c>
      <c r="L112" s="569">
        <v>703.06805972000006</v>
      </c>
      <c r="M112" s="569">
        <v>813.8971482100003</v>
      </c>
      <c r="N112" s="569">
        <v>809.71611932000008</v>
      </c>
      <c r="O112" s="569">
        <v>762.25673647999997</v>
      </c>
      <c r="P112" s="569">
        <v>610.51631444999987</v>
      </c>
      <c r="Q112" s="569">
        <v>736.00670092000018</v>
      </c>
      <c r="R112" s="569">
        <v>762.85729342000002</v>
      </c>
      <c r="S112" s="760">
        <v>784.13553604999993</v>
      </c>
    </row>
    <row r="113" spans="3:19">
      <c r="C113" s="564" t="s">
        <v>1923</v>
      </c>
      <c r="D113" s="564" t="s">
        <v>1924</v>
      </c>
      <c r="F113" s="570">
        <v>7.230086609999999</v>
      </c>
      <c r="G113" s="570">
        <v>-5.0477428799999986</v>
      </c>
      <c r="H113" s="570">
        <v>10.227491310000003</v>
      </c>
      <c r="I113" s="570">
        <v>13.295341489999998</v>
      </c>
      <c r="J113" s="570">
        <v>18.70805704</v>
      </c>
      <c r="K113" s="570">
        <v>-24.123460489999999</v>
      </c>
      <c r="L113" s="570">
        <v>-8.2370546700000009</v>
      </c>
      <c r="M113" s="570">
        <v>5.7634411300000012</v>
      </c>
      <c r="N113" s="570">
        <v>7.4797800500000005</v>
      </c>
      <c r="O113" s="570">
        <v>-9.2906592700000008</v>
      </c>
      <c r="P113" s="570">
        <v>-8.68868887</v>
      </c>
      <c r="Q113" s="570">
        <v>9.818234910000001</v>
      </c>
      <c r="R113" s="570">
        <v>5.4359706899999995</v>
      </c>
      <c r="S113" s="761">
        <v>33.537068330000004</v>
      </c>
    </row>
    <row r="114" spans="3:19">
      <c r="C114" s="565" t="s">
        <v>1925</v>
      </c>
      <c r="D114" s="565" t="s">
        <v>1926</v>
      </c>
      <c r="F114" s="571">
        <v>-3.2013276500000005</v>
      </c>
      <c r="G114" s="571">
        <v>-2.9819675300000004</v>
      </c>
      <c r="H114" s="571">
        <v>-2.97293063</v>
      </c>
      <c r="I114" s="571">
        <v>-2.0624147999999995</v>
      </c>
      <c r="J114" s="571">
        <v>-4.6904524800000003</v>
      </c>
      <c r="K114" s="571">
        <v>-3.36369783</v>
      </c>
      <c r="L114" s="571">
        <v>-3.3128380800000006</v>
      </c>
      <c r="M114" s="571">
        <v>-4.884492729999999</v>
      </c>
      <c r="N114" s="571">
        <v>-3.9630545499999998</v>
      </c>
      <c r="O114" s="571">
        <v>-3.7980599599999998</v>
      </c>
      <c r="P114" s="571">
        <v>-2.5994139000000001</v>
      </c>
      <c r="Q114" s="571">
        <v>-3.4895701499999996</v>
      </c>
      <c r="R114" s="571">
        <v>-3.8860526100000001</v>
      </c>
      <c r="S114" s="571">
        <v>-2.9135160700000005</v>
      </c>
    </row>
    <row r="115" spans="3:19">
      <c r="C115" s="565" t="s">
        <v>1927</v>
      </c>
      <c r="D115" s="565" t="s">
        <v>1928</v>
      </c>
      <c r="F115" s="569">
        <v>123.38670176000001</v>
      </c>
      <c r="G115" s="569">
        <v>129.48157979999996</v>
      </c>
      <c r="H115" s="569">
        <v>144.39976999999999</v>
      </c>
      <c r="I115" s="569">
        <v>196.38547644999994</v>
      </c>
      <c r="J115" s="569">
        <v>185.67458536999999</v>
      </c>
      <c r="K115" s="569">
        <v>193.68138449000006</v>
      </c>
      <c r="L115" s="569">
        <v>199.01143329000001</v>
      </c>
      <c r="M115" s="569">
        <v>204.83748353999999</v>
      </c>
      <c r="N115" s="569">
        <v>204.54550395000001</v>
      </c>
      <c r="O115" s="569">
        <v>216.72959846000003</v>
      </c>
      <c r="P115" s="569">
        <v>260.89145301000002</v>
      </c>
      <c r="Q115" s="569">
        <v>258.42103822000001</v>
      </c>
      <c r="R115" s="569">
        <v>264.18228755000001</v>
      </c>
      <c r="S115" s="569">
        <v>223.62334157999999</v>
      </c>
    </row>
    <row r="116" spans="3:19">
      <c r="C116" s="564" t="s">
        <v>1929</v>
      </c>
      <c r="D116" s="564" t="s">
        <v>1930</v>
      </c>
      <c r="F116" s="572">
        <v>39.166998409999998</v>
      </c>
      <c r="G116" s="572">
        <v>40.699358909999994</v>
      </c>
      <c r="H116" s="572">
        <v>41.555976570000006</v>
      </c>
      <c r="I116" s="572">
        <v>46.285123279999986</v>
      </c>
      <c r="J116" s="572">
        <v>49.649343189999996</v>
      </c>
      <c r="K116" s="572">
        <v>50.525644159999999</v>
      </c>
      <c r="L116" s="572">
        <v>49.317011610000016</v>
      </c>
      <c r="M116" s="572">
        <v>52.510780679999975</v>
      </c>
      <c r="N116" s="572">
        <v>52.463516749999997</v>
      </c>
      <c r="O116" s="572">
        <v>49.488019360000003</v>
      </c>
      <c r="P116" s="572">
        <v>76.813812429999999</v>
      </c>
      <c r="Q116" s="572">
        <v>65.940527320000029</v>
      </c>
      <c r="R116" s="572">
        <v>79.200844810000007</v>
      </c>
      <c r="S116" s="572">
        <v>73.092634349999997</v>
      </c>
    </row>
    <row r="117" spans="3:19">
      <c r="C117" s="564" t="s">
        <v>1931</v>
      </c>
      <c r="D117" s="564" t="s">
        <v>1932</v>
      </c>
      <c r="F117" s="572">
        <v>20.638343280000001</v>
      </c>
      <c r="G117" s="572">
        <v>18.896646860000004</v>
      </c>
      <c r="H117" s="572">
        <v>20.223667060000004</v>
      </c>
      <c r="I117" s="572">
        <v>32.485273509999999</v>
      </c>
      <c r="J117" s="572">
        <v>37.570072379999999</v>
      </c>
      <c r="K117" s="572">
        <v>57.94647938</v>
      </c>
      <c r="L117" s="572">
        <v>27.870559380000039</v>
      </c>
      <c r="M117" s="572">
        <v>34.657842719999962</v>
      </c>
      <c r="N117" s="572">
        <v>52.713114150000003</v>
      </c>
      <c r="O117" s="572">
        <v>61.468195229999999</v>
      </c>
      <c r="P117" s="572">
        <v>47.538528010000007</v>
      </c>
      <c r="Q117" s="572">
        <v>59.955921609999983</v>
      </c>
      <c r="R117" s="572">
        <v>62.520771370000006</v>
      </c>
      <c r="S117" s="572">
        <v>58.665035719999992</v>
      </c>
    </row>
    <row r="118" spans="3:19">
      <c r="C118" s="564" t="s">
        <v>1933</v>
      </c>
      <c r="D118" s="564" t="s">
        <v>1934</v>
      </c>
      <c r="F118" s="572">
        <v>0</v>
      </c>
      <c r="G118" s="572">
        <v>0</v>
      </c>
      <c r="H118" s="572">
        <v>0</v>
      </c>
      <c r="I118" s="572">
        <v>0</v>
      </c>
      <c r="J118" s="572">
        <v>0</v>
      </c>
      <c r="K118" s="572">
        <v>0</v>
      </c>
      <c r="L118" s="572">
        <v>13.829269489999961</v>
      </c>
      <c r="M118" s="572">
        <v>15.72083314000005</v>
      </c>
      <c r="N118" s="572">
        <v>0</v>
      </c>
      <c r="O118" s="572">
        <v>0</v>
      </c>
      <c r="P118" s="572">
        <v>0</v>
      </c>
      <c r="Q118" s="572">
        <v>0</v>
      </c>
      <c r="R118" s="572">
        <v>0</v>
      </c>
      <c r="S118" s="572">
        <v>0</v>
      </c>
    </row>
    <row r="119" spans="3:19">
      <c r="C119" s="564" t="s">
        <v>1935</v>
      </c>
      <c r="D119" s="564" t="s">
        <v>1936</v>
      </c>
      <c r="F119" s="572">
        <v>41.847761110000015</v>
      </c>
      <c r="G119" s="572">
        <v>48.398594589999973</v>
      </c>
      <c r="H119" s="572">
        <v>61.26290170999998</v>
      </c>
      <c r="I119" s="572">
        <v>64.657337519999984</v>
      </c>
      <c r="J119" s="572">
        <v>67.137833699999987</v>
      </c>
      <c r="K119" s="572">
        <v>62.568370110000018</v>
      </c>
      <c r="L119" s="572">
        <v>61.847391479999992</v>
      </c>
      <c r="M119" s="572">
        <v>71.751356250000001</v>
      </c>
      <c r="N119" s="572">
        <v>71.117271050000014</v>
      </c>
      <c r="O119" s="572">
        <v>70.357821939999994</v>
      </c>
      <c r="P119" s="572">
        <v>71.869954470000025</v>
      </c>
      <c r="Q119" s="572">
        <v>76.678982860000019</v>
      </c>
      <c r="R119" s="572">
        <v>78.392471749999999</v>
      </c>
      <c r="S119" s="572">
        <v>54.946480170000015</v>
      </c>
    </row>
    <row r="120" spans="3:19">
      <c r="C120" s="564" t="s">
        <v>1937</v>
      </c>
      <c r="D120" s="564" t="s">
        <v>619</v>
      </c>
      <c r="F120" s="572">
        <v>2.3866603799999999</v>
      </c>
      <c r="G120" s="572">
        <v>0.8497916499999999</v>
      </c>
      <c r="H120" s="572">
        <v>0.95227114000000013</v>
      </c>
      <c r="I120" s="572">
        <v>1.8599770800000002</v>
      </c>
      <c r="J120" s="572">
        <v>3.53325676</v>
      </c>
      <c r="K120" s="572">
        <v>-4.1610384600000003</v>
      </c>
      <c r="L120" s="572">
        <v>1.5138794</v>
      </c>
      <c r="M120" s="572">
        <v>2.6258766900000006</v>
      </c>
      <c r="N120" s="572">
        <v>4.8785028200000005</v>
      </c>
      <c r="O120" s="572">
        <v>2.26864366</v>
      </c>
      <c r="P120" s="572">
        <v>1.7008234100000001</v>
      </c>
      <c r="Q120" s="572">
        <v>1.3730714599999991</v>
      </c>
      <c r="R120" s="572">
        <v>4.3879659100000001</v>
      </c>
      <c r="S120" s="572">
        <v>6.2641441400000009</v>
      </c>
    </row>
    <row r="121" spans="3:19">
      <c r="C121" s="564" t="s">
        <v>1938</v>
      </c>
      <c r="D121" s="564" t="s">
        <v>1939</v>
      </c>
      <c r="F121" s="572">
        <v>2.8405267900000002</v>
      </c>
      <c r="G121" s="572">
        <v>2.9843831800000005</v>
      </c>
      <c r="H121" s="572">
        <v>2.7555163</v>
      </c>
      <c r="I121" s="572">
        <v>2.5392067300000005</v>
      </c>
      <c r="J121" s="572">
        <v>2.7878697300000002</v>
      </c>
      <c r="K121" s="572">
        <v>2.8884076500000004</v>
      </c>
      <c r="L121" s="572">
        <v>14.567441430000001</v>
      </c>
      <c r="M121" s="572">
        <v>27.572384600000003</v>
      </c>
      <c r="N121" s="572">
        <v>3.5038142699999999</v>
      </c>
      <c r="O121" s="572">
        <v>13.151434980000001</v>
      </c>
      <c r="P121" s="572">
        <v>44.412720199999995</v>
      </c>
      <c r="Q121" s="572">
        <v>35.92682361</v>
      </c>
      <c r="R121" s="572">
        <v>19.62556614</v>
      </c>
      <c r="S121" s="572">
        <v>10.65806716</v>
      </c>
    </row>
    <row r="122" spans="3:19">
      <c r="C122" s="564" t="s">
        <v>854</v>
      </c>
      <c r="D122" s="564" t="s">
        <v>1940</v>
      </c>
      <c r="F122" s="572">
        <v>5.9913263099999998</v>
      </c>
      <c r="G122" s="572">
        <v>6.1904606000000006</v>
      </c>
      <c r="H122" s="572">
        <v>6.09605657</v>
      </c>
      <c r="I122" s="572">
        <v>7.1498400300000009</v>
      </c>
      <c r="J122" s="572">
        <v>7.7305875400000001</v>
      </c>
      <c r="K122" s="572">
        <v>8.3375267499999985</v>
      </c>
      <c r="L122" s="572">
        <v>7.4090728500000012</v>
      </c>
      <c r="M122" s="572">
        <v>7.8763354999999997</v>
      </c>
      <c r="N122" s="572">
        <v>7.6840588700000003</v>
      </c>
      <c r="O122" s="572">
        <v>8.1895004700000005</v>
      </c>
      <c r="P122" s="572">
        <v>7.0503978000000007</v>
      </c>
      <c r="Q122" s="572">
        <v>6.942125009999998</v>
      </c>
      <c r="R122" s="572">
        <v>7.9047813800000002</v>
      </c>
      <c r="S122" s="572">
        <v>7.6057337600000006</v>
      </c>
    </row>
    <row r="123" spans="3:19">
      <c r="C123" s="565" t="s">
        <v>1941</v>
      </c>
      <c r="D123" s="565" t="s">
        <v>1942</v>
      </c>
      <c r="F123" s="569">
        <v>10.51508548</v>
      </c>
      <c r="G123" s="569">
        <v>11.462344009999999</v>
      </c>
      <c r="H123" s="569">
        <v>11.553380649999999</v>
      </c>
      <c r="I123" s="569">
        <v>41.408718300000004</v>
      </c>
      <c r="J123" s="569">
        <v>17.265622069999999</v>
      </c>
      <c r="K123" s="569">
        <v>15.575994900000001</v>
      </c>
      <c r="L123" s="569">
        <v>22.656807650000001</v>
      </c>
      <c r="M123" s="569">
        <v>-7.8779260400000002</v>
      </c>
      <c r="N123" s="569">
        <v>12.18522604</v>
      </c>
      <c r="O123" s="569">
        <v>11.805982820000001</v>
      </c>
      <c r="P123" s="569">
        <v>11.505216689999999</v>
      </c>
      <c r="Q123" s="569">
        <v>11.603586349999997</v>
      </c>
      <c r="R123" s="569">
        <v>12.14988619</v>
      </c>
      <c r="S123" s="569">
        <v>12.391246280000001</v>
      </c>
    </row>
    <row r="124" spans="3:19">
      <c r="C124" s="564" t="s">
        <v>1943</v>
      </c>
      <c r="D124" s="564" t="s">
        <v>1944</v>
      </c>
      <c r="F124" s="572">
        <v>5.4390387999999996</v>
      </c>
      <c r="G124" s="572">
        <v>6.6629801999999998</v>
      </c>
      <c r="H124" s="572">
        <v>6.1602596999999992</v>
      </c>
      <c r="I124" s="572">
        <v>7.0187930199999995</v>
      </c>
      <c r="J124" s="572">
        <v>5.6124305099999994</v>
      </c>
      <c r="K124" s="572">
        <v>6.438287550000001</v>
      </c>
      <c r="L124" s="572">
        <v>7.3496944599999994</v>
      </c>
      <c r="M124" s="572">
        <v>4.9963884299999997</v>
      </c>
      <c r="N124" s="572">
        <v>5.9343999600000004</v>
      </c>
      <c r="O124" s="572">
        <v>5.8715118699999991</v>
      </c>
      <c r="P124" s="572">
        <v>5.8767364600000018</v>
      </c>
      <c r="Q124" s="572">
        <v>5.7745226399999998</v>
      </c>
      <c r="R124" s="572">
        <v>5.9683118400000001</v>
      </c>
      <c r="S124" s="572">
        <v>6.1209367099999987</v>
      </c>
    </row>
    <row r="125" spans="3:19">
      <c r="C125" s="563" t="s">
        <v>1945</v>
      </c>
      <c r="D125" s="563" t="s">
        <v>1946</v>
      </c>
      <c r="F125" s="573">
        <v>4.0759082399999995</v>
      </c>
      <c r="G125" s="573">
        <v>4.9880903600000002</v>
      </c>
      <c r="H125" s="573">
        <v>16.118568940000003</v>
      </c>
      <c r="I125" s="573">
        <v>10.577299269999999</v>
      </c>
      <c r="J125" s="573">
        <v>2.4550095299999999</v>
      </c>
      <c r="K125" s="573">
        <v>4.6268350900000002</v>
      </c>
      <c r="L125" s="573">
        <v>35.435248539999996</v>
      </c>
      <c r="M125" s="573">
        <v>28.173360600000002</v>
      </c>
      <c r="N125" s="573">
        <v>8.1380808200000025</v>
      </c>
      <c r="O125" s="573">
        <v>24.580924420000002</v>
      </c>
      <c r="P125" s="573">
        <v>52.124082539999996</v>
      </c>
      <c r="Q125" s="573">
        <v>37.413335500000002</v>
      </c>
      <c r="R125" s="573">
        <v>17.198655210000002</v>
      </c>
      <c r="S125" s="573">
        <v>-1.3674115399999991</v>
      </c>
    </row>
    <row r="126" spans="3:19">
      <c r="C126" s="565" t="s">
        <v>1947</v>
      </c>
      <c r="D126" s="565" t="s">
        <v>1948</v>
      </c>
      <c r="F126" s="573">
        <v>5.3747201000000615</v>
      </c>
      <c r="G126" s="573">
        <v>-0.40722037000002154</v>
      </c>
      <c r="H126" s="573">
        <v>12.331525000000012</v>
      </c>
      <c r="I126" s="573">
        <v>-36.901343920000002</v>
      </c>
      <c r="J126" s="573">
        <v>-86.549037950000013</v>
      </c>
      <c r="K126" s="573">
        <v>-38.463046609999992</v>
      </c>
      <c r="L126" s="573">
        <v>70.485436129999982</v>
      </c>
      <c r="M126" s="573">
        <v>-60.780815419999975</v>
      </c>
      <c r="N126" s="573">
        <v>-75.400549249999969</v>
      </c>
      <c r="O126" s="573">
        <v>28.182723079999988</v>
      </c>
      <c r="P126" s="573">
        <v>67.599287779999997</v>
      </c>
      <c r="Q126" s="573">
        <v>50.55128259</v>
      </c>
      <c r="R126" s="573">
        <v>68.20979714000002</v>
      </c>
      <c r="S126" s="573">
        <v>157.01530232000005</v>
      </c>
    </row>
    <row r="127" spans="3:19">
      <c r="C127" s="563" t="s">
        <v>1949</v>
      </c>
      <c r="D127" s="563" t="s">
        <v>1950</v>
      </c>
      <c r="F127" s="573">
        <v>120.19828464999999</v>
      </c>
      <c r="G127" s="573">
        <v>168.20273943999993</v>
      </c>
      <c r="H127" s="573">
        <v>165.96827839000011</v>
      </c>
      <c r="I127" s="573">
        <v>216.63740412999988</v>
      </c>
      <c r="J127" s="573">
        <v>99.13734740999999</v>
      </c>
      <c r="K127" s="573">
        <v>131.56791445999997</v>
      </c>
      <c r="L127" s="573">
        <v>150.19346952999999</v>
      </c>
      <c r="M127" s="573">
        <v>127.47500112</v>
      </c>
      <c r="N127" s="573">
        <v>159.90511479000003</v>
      </c>
      <c r="O127" s="573">
        <v>178.63298477999996</v>
      </c>
      <c r="P127" s="573">
        <v>162.40838373000003</v>
      </c>
      <c r="Q127" s="573">
        <v>158.68926474999995</v>
      </c>
      <c r="R127" s="573">
        <v>168.67298030000001</v>
      </c>
      <c r="S127" s="573">
        <v>187.84398074999999</v>
      </c>
    </row>
    <row r="128" spans="3:19">
      <c r="C128" s="566" t="s">
        <v>1951</v>
      </c>
      <c r="D128" s="566" t="s">
        <v>1952</v>
      </c>
      <c r="F128" s="574">
        <f t="shared" ref="F128:R128" si="29">SUM(F112,F114:F115,F125:F127)</f>
        <v>965.31471881000004</v>
      </c>
      <c r="G128" s="574">
        <f t="shared" si="29"/>
        <v>1016.5838660799999</v>
      </c>
      <c r="H128" s="574">
        <f t="shared" si="29"/>
        <v>1079.4226299000002</v>
      </c>
      <c r="I128" s="574">
        <f t="shared" si="29"/>
        <v>1233.2867953299994</v>
      </c>
      <c r="J128" s="574">
        <f t="shared" si="29"/>
        <v>1068.0989066500003</v>
      </c>
      <c r="K128" s="574">
        <f t="shared" si="29"/>
        <v>1077.69318159</v>
      </c>
      <c r="L128" s="574">
        <f t="shared" si="29"/>
        <v>1154.88080913</v>
      </c>
      <c r="M128" s="574">
        <f t="shared" si="29"/>
        <v>1108.7176853200003</v>
      </c>
      <c r="N128" s="574">
        <f t="shared" si="29"/>
        <v>1102.9412150800001</v>
      </c>
      <c r="O128" s="574">
        <f t="shared" si="29"/>
        <v>1206.5849072599999</v>
      </c>
      <c r="P128" s="574">
        <f t="shared" si="29"/>
        <v>1150.9401076099998</v>
      </c>
      <c r="Q128" s="574">
        <f t="shared" si="29"/>
        <v>1237.5920518300002</v>
      </c>
      <c r="R128" s="574">
        <f t="shared" si="29"/>
        <v>1277.2349610100002</v>
      </c>
      <c r="S128" s="574">
        <v>1348.3372330899997</v>
      </c>
    </row>
    <row r="129" spans="3:19">
      <c r="C129" s="565" t="s">
        <v>1953</v>
      </c>
      <c r="D129" s="565" t="s">
        <v>859</v>
      </c>
      <c r="F129" s="569">
        <f>SUM(F130:F132)</f>
        <v>-262.44317508</v>
      </c>
      <c r="G129" s="569">
        <f t="shared" ref="G129:O129" si="30">SUM(G130:G132)</f>
        <v>-301.26575402000003</v>
      </c>
      <c r="H129" s="569">
        <f t="shared" si="30"/>
        <v>-306.5655428</v>
      </c>
      <c r="I129" s="569">
        <f t="shared" si="30"/>
        <v>-361.35956303</v>
      </c>
      <c r="J129" s="569">
        <f t="shared" si="30"/>
        <v>-346.69089162</v>
      </c>
      <c r="K129" s="569">
        <f t="shared" si="30"/>
        <v>-342.54255186999995</v>
      </c>
      <c r="L129" s="569">
        <f t="shared" si="30"/>
        <v>-320.48874935999993</v>
      </c>
      <c r="M129" s="569">
        <f t="shared" si="30"/>
        <v>-289.93368103999995</v>
      </c>
      <c r="N129" s="569">
        <f t="shared" si="30"/>
        <v>-290.08715067999998</v>
      </c>
      <c r="O129" s="569">
        <f t="shared" si="30"/>
        <v>-308.8865217</v>
      </c>
      <c r="P129" s="569">
        <f t="shared" ref="P129:R129" si="31">SUM(P130:P132)</f>
        <v>-301.08392958000007</v>
      </c>
      <c r="Q129" s="569">
        <f t="shared" si="31"/>
        <v>-336.03929991000007</v>
      </c>
      <c r="R129" s="569">
        <f t="shared" si="31"/>
        <v>-341.49607566999998</v>
      </c>
      <c r="S129" s="569">
        <v>-352.74416566000002</v>
      </c>
    </row>
    <row r="130" spans="3:19">
      <c r="C130" s="564" t="s">
        <v>1954</v>
      </c>
      <c r="D130" s="564" t="s">
        <v>1955</v>
      </c>
      <c r="F130" s="572">
        <v>-2.9535218999999997</v>
      </c>
      <c r="G130" s="572">
        <v>-4.9565700199999991</v>
      </c>
      <c r="H130" s="572">
        <v>-3.2321675299999999</v>
      </c>
      <c r="I130" s="572">
        <v>-6.6302857700000004</v>
      </c>
      <c r="J130" s="572">
        <v>-4.9271384299999994</v>
      </c>
      <c r="K130" s="572">
        <v>-4.8477843600000003</v>
      </c>
      <c r="L130" s="572">
        <v>-3.66906899</v>
      </c>
      <c r="M130" s="572">
        <v>-0.99841925999999903</v>
      </c>
      <c r="N130" s="572">
        <v>-0.9366366599999999</v>
      </c>
      <c r="O130" s="572">
        <v>-7.3855929099999997</v>
      </c>
      <c r="P130" s="572">
        <v>-2.5307882499999992</v>
      </c>
      <c r="Q130" s="572">
        <v>-4.1586830099999998</v>
      </c>
      <c r="R130" s="572">
        <v>-3.4563856800000003</v>
      </c>
      <c r="S130" s="572">
        <v>-4.9183407499999987</v>
      </c>
    </row>
    <row r="131" spans="3:19">
      <c r="C131" s="564" t="s">
        <v>1956</v>
      </c>
      <c r="D131" s="564" t="s">
        <v>1957</v>
      </c>
      <c r="F131" s="572">
        <v>-69.552341970000001</v>
      </c>
      <c r="G131" s="572">
        <v>-90.964946859999998</v>
      </c>
      <c r="H131" s="572">
        <v>-102.54413282</v>
      </c>
      <c r="I131" s="572">
        <v>-102.60514932999999</v>
      </c>
      <c r="J131" s="572">
        <v>-109.45510874999998</v>
      </c>
      <c r="K131" s="572">
        <v>-101.27063326</v>
      </c>
      <c r="L131" s="572">
        <v>-97.904708470000003</v>
      </c>
      <c r="M131" s="572">
        <v>-37.064699710000035</v>
      </c>
      <c r="N131" s="572">
        <v>-57.733744669999993</v>
      </c>
      <c r="O131" s="572">
        <v>-60.665002159999986</v>
      </c>
      <c r="P131" s="572">
        <v>-78.668543220000018</v>
      </c>
      <c r="Q131" s="572">
        <v>-79.750860280000012</v>
      </c>
      <c r="R131" s="572">
        <v>-87.345747349999996</v>
      </c>
      <c r="S131" s="572">
        <v>-82.24315261000001</v>
      </c>
    </row>
    <row r="132" spans="3:19">
      <c r="C132" s="564" t="s">
        <v>1958</v>
      </c>
      <c r="D132" s="564" t="s">
        <v>1959</v>
      </c>
      <c r="F132" s="572">
        <v>-189.93731120999999</v>
      </c>
      <c r="G132" s="572">
        <v>-205.34423714000005</v>
      </c>
      <c r="H132" s="572">
        <v>-200.78924245000002</v>
      </c>
      <c r="I132" s="572">
        <v>-252.12412793000004</v>
      </c>
      <c r="J132" s="572">
        <v>-232.30864443999999</v>
      </c>
      <c r="K132" s="572">
        <v>-236.42413424999995</v>
      </c>
      <c r="L132" s="572">
        <v>-218.91497189999995</v>
      </c>
      <c r="M132" s="572">
        <v>-251.87056206999992</v>
      </c>
      <c r="N132" s="572">
        <v>-231.41676934999998</v>
      </c>
      <c r="O132" s="572">
        <v>-240.83592663000002</v>
      </c>
      <c r="P132" s="572">
        <v>-219.88459811000004</v>
      </c>
      <c r="Q132" s="572">
        <v>-252.12975662000002</v>
      </c>
      <c r="R132" s="572">
        <v>-250.69394263999996</v>
      </c>
      <c r="S132" s="572">
        <v>-265.58267230000001</v>
      </c>
    </row>
    <row r="133" spans="3:19">
      <c r="C133" s="566" t="s">
        <v>1960</v>
      </c>
      <c r="D133" s="566" t="s">
        <v>1961</v>
      </c>
      <c r="F133" s="574">
        <f t="shared" ref="F133:R133" si="32">SUM(F128:F129)</f>
        <v>702.87154372999998</v>
      </c>
      <c r="G133" s="574">
        <f t="shared" si="32"/>
        <v>715.31811205999986</v>
      </c>
      <c r="H133" s="574">
        <f t="shared" si="32"/>
        <v>772.85708710000017</v>
      </c>
      <c r="I133" s="574">
        <f t="shared" si="32"/>
        <v>871.92723229999945</v>
      </c>
      <c r="J133" s="574">
        <f t="shared" si="32"/>
        <v>721.40801503000034</v>
      </c>
      <c r="K133" s="574">
        <f t="shared" si="32"/>
        <v>735.1506297200001</v>
      </c>
      <c r="L133" s="574">
        <f t="shared" si="32"/>
        <v>834.39205977000006</v>
      </c>
      <c r="M133" s="574">
        <f t="shared" si="32"/>
        <v>818.78400428000032</v>
      </c>
      <c r="N133" s="574">
        <f t="shared" si="32"/>
        <v>812.8540644000002</v>
      </c>
      <c r="O133" s="574">
        <f t="shared" si="32"/>
        <v>897.69838555999991</v>
      </c>
      <c r="P133" s="574">
        <f t="shared" si="32"/>
        <v>849.85617802999968</v>
      </c>
      <c r="Q133" s="574">
        <f t="shared" si="32"/>
        <v>901.55275192000011</v>
      </c>
      <c r="R133" s="574">
        <f t="shared" si="32"/>
        <v>935.73888534000025</v>
      </c>
      <c r="S133" s="765">
        <f>SUM(S128:S129)</f>
        <v>995.59306742999968</v>
      </c>
    </row>
    <row r="134" spans="3:19">
      <c r="C134" s="565" t="s">
        <v>1962</v>
      </c>
      <c r="D134" s="565" t="s">
        <v>1963</v>
      </c>
      <c r="F134" s="573">
        <f t="shared" ref="F134:R134" si="33">-F127</f>
        <v>-120.19828464999999</v>
      </c>
      <c r="G134" s="573">
        <f t="shared" si="33"/>
        <v>-168.20273943999993</v>
      </c>
      <c r="H134" s="573">
        <f t="shared" si="33"/>
        <v>-165.96827839000011</v>
      </c>
      <c r="I134" s="573">
        <f t="shared" si="33"/>
        <v>-216.63740412999988</v>
      </c>
      <c r="J134" s="573">
        <f t="shared" si="33"/>
        <v>-99.13734740999999</v>
      </c>
      <c r="K134" s="573">
        <f t="shared" si="33"/>
        <v>-131.56791445999997</v>
      </c>
      <c r="L134" s="573">
        <f t="shared" si="33"/>
        <v>-150.19346952999999</v>
      </c>
      <c r="M134" s="573">
        <f t="shared" si="33"/>
        <v>-127.47500112</v>
      </c>
      <c r="N134" s="573">
        <f t="shared" si="33"/>
        <v>-159.90511479000003</v>
      </c>
      <c r="O134" s="573">
        <f t="shared" si="33"/>
        <v>-178.63298477999996</v>
      </c>
      <c r="P134" s="573">
        <f t="shared" si="33"/>
        <v>-162.40838373000003</v>
      </c>
      <c r="Q134" s="573">
        <f t="shared" si="33"/>
        <v>-158.68926474999995</v>
      </c>
      <c r="R134" s="573">
        <f t="shared" si="33"/>
        <v>-168.67298030000001</v>
      </c>
      <c r="S134" s="764">
        <f>-S127</f>
        <v>-187.84398074999999</v>
      </c>
    </row>
    <row r="135" spans="3:19">
      <c r="C135" s="566" t="s">
        <v>1964</v>
      </c>
      <c r="D135" s="566" t="s">
        <v>1965</v>
      </c>
      <c r="F135" s="574">
        <f t="shared" ref="F135:O135" si="34">SUM(F133:F134)</f>
        <v>582.67325907999998</v>
      </c>
      <c r="G135" s="574">
        <f t="shared" si="34"/>
        <v>547.1153726199999</v>
      </c>
      <c r="H135" s="574">
        <f t="shared" si="34"/>
        <v>606.88880871000003</v>
      </c>
      <c r="I135" s="574">
        <f t="shared" si="34"/>
        <v>655.28982816999951</v>
      </c>
      <c r="J135" s="574">
        <f t="shared" si="34"/>
        <v>622.27066762000038</v>
      </c>
      <c r="K135" s="574">
        <f t="shared" si="34"/>
        <v>603.5827152600001</v>
      </c>
      <c r="L135" s="574">
        <f t="shared" si="34"/>
        <v>684.19859024000004</v>
      </c>
      <c r="M135" s="574">
        <f t="shared" si="34"/>
        <v>691.30900316000032</v>
      </c>
      <c r="N135" s="574">
        <f t="shared" si="34"/>
        <v>652.94894961000023</v>
      </c>
      <c r="O135" s="574">
        <f t="shared" si="34"/>
        <v>719.06540077999989</v>
      </c>
      <c r="P135" s="574">
        <f>SUM(P133:P134)</f>
        <v>687.44779429999971</v>
      </c>
      <c r="Q135" s="574">
        <f>SUM(Q133:Q134)</f>
        <v>742.8634871700001</v>
      </c>
      <c r="R135" s="574">
        <f>SUM(R133:R134)</f>
        <v>767.06590504000019</v>
      </c>
      <c r="S135" s="765">
        <f>SUM(S133:S134)</f>
        <v>807.74908667999966</v>
      </c>
    </row>
    <row r="136" spans="3:19">
      <c r="C136" s="567" t="s">
        <v>1966</v>
      </c>
      <c r="D136" s="567" t="s">
        <v>1967</v>
      </c>
      <c r="F136" s="570">
        <v>-334.59122063000001</v>
      </c>
      <c r="G136" s="570">
        <v>-330.29018520999995</v>
      </c>
      <c r="H136" s="570">
        <v>-333.93731948999994</v>
      </c>
      <c r="I136" s="570">
        <v>-380.58651550000002</v>
      </c>
      <c r="J136" s="570">
        <v>-326.65112018000002</v>
      </c>
      <c r="K136" s="570">
        <v>-327.67213500000003</v>
      </c>
      <c r="L136" s="570">
        <v>-405.76634409999991</v>
      </c>
      <c r="M136" s="570">
        <v>-441.92891684999995</v>
      </c>
      <c r="N136" s="570">
        <v>-369.62985088000005</v>
      </c>
      <c r="O136" s="570">
        <v>-373.85374338000003</v>
      </c>
      <c r="P136" s="570">
        <v>-415.49421668000002</v>
      </c>
      <c r="Q136" s="570">
        <v>-413.54874367000008</v>
      </c>
      <c r="R136" s="570">
        <v>-414.65279696999994</v>
      </c>
      <c r="S136" s="761">
        <v>-468.87817948999998</v>
      </c>
    </row>
    <row r="137" spans="3:19">
      <c r="C137" s="566" t="s">
        <v>1968</v>
      </c>
      <c r="D137" s="566" t="s">
        <v>1969</v>
      </c>
      <c r="F137" s="574">
        <f t="shared" ref="F137:O137" si="35">SUM(F135:F136)</f>
        <v>248.08203844999997</v>
      </c>
      <c r="G137" s="574">
        <f t="shared" si="35"/>
        <v>216.82518740999996</v>
      </c>
      <c r="H137" s="574">
        <f t="shared" si="35"/>
        <v>272.9514892200001</v>
      </c>
      <c r="I137" s="574">
        <f t="shared" si="35"/>
        <v>274.70331266999949</v>
      </c>
      <c r="J137" s="574">
        <f t="shared" si="35"/>
        <v>295.61954744000036</v>
      </c>
      <c r="K137" s="574">
        <f t="shared" si="35"/>
        <v>275.91058026000007</v>
      </c>
      <c r="L137" s="574">
        <f t="shared" si="35"/>
        <v>278.43224614000013</v>
      </c>
      <c r="M137" s="574">
        <f t="shared" si="35"/>
        <v>249.38008631000037</v>
      </c>
      <c r="N137" s="574">
        <f t="shared" si="35"/>
        <v>283.31909873000018</v>
      </c>
      <c r="O137" s="574">
        <f t="shared" si="35"/>
        <v>345.21165739999986</v>
      </c>
      <c r="P137" s="574">
        <f>SUM(P135:P136)</f>
        <v>271.95357761999969</v>
      </c>
      <c r="Q137" s="574">
        <f>SUM(Q135:Q136)</f>
        <v>329.31474350000002</v>
      </c>
      <c r="R137" s="574">
        <f>SUM(R135:R136)</f>
        <v>352.41310807000025</v>
      </c>
      <c r="S137" s="765">
        <f>SUM(S135:S136)</f>
        <v>338.87090718999968</v>
      </c>
    </row>
    <row r="138" spans="3:19">
      <c r="C138" s="567" t="s">
        <v>1970</v>
      </c>
      <c r="D138" s="567" t="s">
        <v>1971</v>
      </c>
      <c r="F138" s="570">
        <v>0</v>
      </c>
      <c r="G138" s="570">
        <v>25</v>
      </c>
      <c r="H138" s="570">
        <v>-25</v>
      </c>
      <c r="I138" s="570">
        <v>4.0380079999999996</v>
      </c>
      <c r="J138" s="570">
        <v>0</v>
      </c>
      <c r="K138" s="570">
        <v>0</v>
      </c>
      <c r="L138" s="570">
        <v>0</v>
      </c>
      <c r="M138" s="570">
        <v>43.573</v>
      </c>
      <c r="N138" s="570">
        <v>17.7062319486222</v>
      </c>
      <c r="O138" s="570">
        <v>0</v>
      </c>
      <c r="P138" s="570">
        <v>15.246</v>
      </c>
      <c r="Q138" s="570">
        <v>0</v>
      </c>
      <c r="R138" s="570">
        <v>-1.1011439956528917</v>
      </c>
      <c r="S138" s="761">
        <v>0</v>
      </c>
    </row>
    <row r="139" spans="3:19">
      <c r="C139" s="567" t="s">
        <v>1972</v>
      </c>
      <c r="D139" s="567" t="s">
        <v>1972</v>
      </c>
      <c r="F139" s="570">
        <f t="shared" ref="F139:R139" si="36">-F120</f>
        <v>-2.3866603799999999</v>
      </c>
      <c r="G139" s="570">
        <f t="shared" si="36"/>
        <v>-0.8497916499999999</v>
      </c>
      <c r="H139" s="570">
        <f t="shared" si="36"/>
        <v>-0.95227114000000013</v>
      </c>
      <c r="I139" s="570">
        <f t="shared" si="36"/>
        <v>-1.8599770800000002</v>
      </c>
      <c r="J139" s="570">
        <f t="shared" si="36"/>
        <v>-3.53325676</v>
      </c>
      <c r="K139" s="570">
        <f t="shared" si="36"/>
        <v>4.1610384600000003</v>
      </c>
      <c r="L139" s="570">
        <f t="shared" si="36"/>
        <v>-1.5138794</v>
      </c>
      <c r="M139" s="570">
        <f t="shared" si="36"/>
        <v>-2.6258766900000006</v>
      </c>
      <c r="N139" s="570">
        <f t="shared" si="36"/>
        <v>-4.8785028200000005</v>
      </c>
      <c r="O139" s="570">
        <f t="shared" si="36"/>
        <v>-2.26864366</v>
      </c>
      <c r="P139" s="570">
        <f t="shared" si="36"/>
        <v>-1.7008234100000001</v>
      </c>
      <c r="Q139" s="570">
        <f t="shared" si="36"/>
        <v>-1.3730714599999991</v>
      </c>
      <c r="R139" s="570">
        <f t="shared" si="36"/>
        <v>-4.3879659100000001</v>
      </c>
      <c r="S139" s="761">
        <f>-S120</f>
        <v>-6.2641441400000009</v>
      </c>
    </row>
    <row r="140" spans="3:19">
      <c r="C140" s="566" t="s">
        <v>1973</v>
      </c>
      <c r="D140" s="566" t="s">
        <v>1974</v>
      </c>
      <c r="F140" s="574">
        <f t="shared" ref="F140:O140" si="37">SUM(F137:F139)</f>
        <v>245.69537806999998</v>
      </c>
      <c r="G140" s="574">
        <f t="shared" si="37"/>
        <v>240.97539575999997</v>
      </c>
      <c r="H140" s="574">
        <f t="shared" si="37"/>
        <v>246.99921808000011</v>
      </c>
      <c r="I140" s="574">
        <f t="shared" si="37"/>
        <v>276.88134358999946</v>
      </c>
      <c r="J140" s="574">
        <f t="shared" si="37"/>
        <v>292.08629068000039</v>
      </c>
      <c r="K140" s="574">
        <f t="shared" si="37"/>
        <v>280.07161872000006</v>
      </c>
      <c r="L140" s="574">
        <f t="shared" si="37"/>
        <v>276.91836674000012</v>
      </c>
      <c r="M140" s="574">
        <f t="shared" si="37"/>
        <v>290.32720962000036</v>
      </c>
      <c r="N140" s="574">
        <f t="shared" si="37"/>
        <v>296.14682785862237</v>
      </c>
      <c r="O140" s="574">
        <f t="shared" si="37"/>
        <v>342.94301373999986</v>
      </c>
      <c r="P140" s="574">
        <f>SUM(P137:P139)</f>
        <v>285.49875420999967</v>
      </c>
      <c r="Q140" s="574">
        <f>SUM(Q137:Q139)</f>
        <v>327.94167204000001</v>
      </c>
      <c r="R140" s="574">
        <f>SUM(R137:R139)</f>
        <v>346.92399816434738</v>
      </c>
      <c r="S140" s="765">
        <f>SUM(S137:S139)</f>
        <v>332.6067630499997</v>
      </c>
    </row>
    <row r="142" spans="3:19">
      <c r="C142" s="560" t="s">
        <v>119</v>
      </c>
      <c r="D142" s="560" t="s">
        <v>119</v>
      </c>
      <c r="F142" s="541" t="s">
        <v>79</v>
      </c>
      <c r="G142" s="541" t="s">
        <v>80</v>
      </c>
      <c r="H142" s="541" t="s">
        <v>81</v>
      </c>
      <c r="I142" s="541" t="s">
        <v>82</v>
      </c>
      <c r="J142" s="541" t="s">
        <v>83</v>
      </c>
      <c r="K142" s="541" t="s">
        <v>84</v>
      </c>
      <c r="L142" s="541" t="s">
        <v>85</v>
      </c>
      <c r="M142" s="541" t="s">
        <v>86</v>
      </c>
      <c r="N142" s="541" t="s">
        <v>87</v>
      </c>
      <c r="O142" s="541" t="s">
        <v>88</v>
      </c>
      <c r="P142" s="541" t="s">
        <v>2074</v>
      </c>
      <c r="Q142" s="541" t="s">
        <v>2127</v>
      </c>
      <c r="R142" s="541" t="str">
        <f>$R$6</f>
        <v>1T26</v>
      </c>
      <c r="S142" s="541" t="str">
        <f>S$6</f>
        <v>2T26</v>
      </c>
    </row>
    <row r="143" spans="3:19" ht="3" customHeight="1">
      <c r="C143" s="561"/>
      <c r="D143" s="561"/>
    </row>
    <row r="144" spans="3:19">
      <c r="C144" s="562" t="s">
        <v>1919</v>
      </c>
      <c r="D144" s="562" t="s">
        <v>1920</v>
      </c>
      <c r="F144" s="568"/>
      <c r="G144" s="568"/>
      <c r="H144" s="568"/>
      <c r="I144" s="568"/>
      <c r="J144" s="568"/>
      <c r="K144" s="568"/>
      <c r="L144" s="568"/>
      <c r="M144" s="568"/>
      <c r="N144" s="568"/>
      <c r="O144" s="568"/>
      <c r="P144" s="568"/>
      <c r="Q144" s="568"/>
      <c r="R144" s="568"/>
      <c r="S144" s="759"/>
    </row>
    <row r="146" spans="3:19">
      <c r="C146" s="563" t="s">
        <v>1921</v>
      </c>
      <c r="D146" s="563" t="s">
        <v>1922</v>
      </c>
      <c r="F146" s="569">
        <v>1510.7577726599998</v>
      </c>
      <c r="G146" s="569">
        <v>1089.0264885000001</v>
      </c>
      <c r="H146" s="569">
        <v>1084.5441185099994</v>
      </c>
      <c r="I146" s="569">
        <v>1165.2967589500001</v>
      </c>
      <c r="J146" s="569">
        <v>1477.4662988600003</v>
      </c>
      <c r="K146" s="569">
        <v>1054.9992181999999</v>
      </c>
      <c r="L146" s="569">
        <v>1201.3677471199999</v>
      </c>
      <c r="M146" s="569">
        <v>1214.9979191699999</v>
      </c>
      <c r="N146" s="569">
        <v>1564.0904827100001</v>
      </c>
      <c r="O146" s="569">
        <v>1164.13283761</v>
      </c>
      <c r="P146" s="569">
        <v>1236.5609402</v>
      </c>
      <c r="Q146" s="569">
        <v>1324.4243793299997</v>
      </c>
      <c r="R146" s="569">
        <v>1800.3987535300002</v>
      </c>
      <c r="S146" s="760">
        <v>1451.6135035100001</v>
      </c>
    </row>
    <row r="147" spans="3:19">
      <c r="C147" s="564" t="s">
        <v>1923</v>
      </c>
      <c r="D147" s="564" t="s">
        <v>1924</v>
      </c>
      <c r="F147" s="570">
        <v>50.627159899999995</v>
      </c>
      <c r="G147" s="570">
        <v>-85.803106549999981</v>
      </c>
      <c r="H147" s="570">
        <v>-4.5880328400000128</v>
      </c>
      <c r="I147" s="570">
        <v>30.216043859999999</v>
      </c>
      <c r="J147" s="570">
        <v>54.621473149999993</v>
      </c>
      <c r="K147" s="570">
        <v>-40.510072819999998</v>
      </c>
      <c r="L147" s="570">
        <v>-23.997854380000003</v>
      </c>
      <c r="M147" s="570">
        <v>6.8014516299999945</v>
      </c>
      <c r="N147" s="570">
        <v>83.711500959999995</v>
      </c>
      <c r="O147" s="570">
        <v>-71.534969219999994</v>
      </c>
      <c r="P147" s="570">
        <v>-34.054739390000002</v>
      </c>
      <c r="Q147" s="570">
        <v>59.020082099999996</v>
      </c>
      <c r="R147" s="570">
        <v>69.807777540000004</v>
      </c>
      <c r="S147" s="761">
        <v>-66.860029869999991</v>
      </c>
    </row>
    <row r="148" spans="3:19">
      <c r="C148" s="565" t="s">
        <v>1925</v>
      </c>
      <c r="D148" s="565" t="s">
        <v>1926</v>
      </c>
      <c r="F148" s="571">
        <v>-7.1959434500000006</v>
      </c>
      <c r="G148" s="571">
        <v>-6.42892229</v>
      </c>
      <c r="H148" s="571">
        <v>-4.3542455299999991</v>
      </c>
      <c r="I148" s="571">
        <v>-4.9225297900000013</v>
      </c>
      <c r="J148" s="571">
        <v>-9.0299121200000005</v>
      </c>
      <c r="K148" s="571">
        <v>-8.8702977000000001</v>
      </c>
      <c r="L148" s="571">
        <v>-5.5968058900000006</v>
      </c>
      <c r="M148" s="571">
        <v>-6.0573420899999979</v>
      </c>
      <c r="N148" s="571">
        <v>-10.325187570000001</v>
      </c>
      <c r="O148" s="571">
        <v>-9.1409600100000006</v>
      </c>
      <c r="P148" s="571">
        <v>-4.6529510999999992</v>
      </c>
      <c r="Q148" s="571">
        <v>-5.2403630200000011</v>
      </c>
      <c r="R148" s="571">
        <v>-9.5753455899999995</v>
      </c>
      <c r="S148" s="571">
        <v>-9.1761648000000005</v>
      </c>
    </row>
    <row r="149" spans="3:19">
      <c r="C149" s="565" t="s">
        <v>1927</v>
      </c>
      <c r="D149" s="565" t="s">
        <v>1928</v>
      </c>
      <c r="F149" s="569">
        <v>240.98057062999999</v>
      </c>
      <c r="G149" s="569">
        <v>240.01885870999999</v>
      </c>
      <c r="H149" s="569">
        <v>241.47270148000007</v>
      </c>
      <c r="I149" s="569">
        <v>304.62581690000007</v>
      </c>
      <c r="J149" s="569">
        <v>282.26652167000003</v>
      </c>
      <c r="K149" s="569">
        <v>262.99504758999996</v>
      </c>
      <c r="L149" s="569">
        <v>271.40015351</v>
      </c>
      <c r="M149" s="569">
        <v>323.77369042000015</v>
      </c>
      <c r="N149" s="569">
        <v>354.14263139999997</v>
      </c>
      <c r="O149" s="569">
        <v>335.95863212</v>
      </c>
      <c r="P149" s="569">
        <v>312.0005928999999</v>
      </c>
      <c r="Q149" s="569">
        <v>430.90356385000007</v>
      </c>
      <c r="R149" s="569">
        <v>444.07571745000001</v>
      </c>
      <c r="S149" s="569">
        <v>748.8946709899999</v>
      </c>
    </row>
    <row r="150" spans="3:19">
      <c r="C150" s="564" t="s">
        <v>1929</v>
      </c>
      <c r="D150" s="564" t="s">
        <v>1930</v>
      </c>
      <c r="F150" s="572">
        <v>14.29699432</v>
      </c>
      <c r="G150" s="572">
        <v>11.964068050000002</v>
      </c>
      <c r="H150" s="572">
        <v>13.548797069999997</v>
      </c>
      <c r="I150" s="572">
        <v>14.97385689</v>
      </c>
      <c r="J150" s="572">
        <v>16.261939099999999</v>
      </c>
      <c r="K150" s="572">
        <v>15.960460830000001</v>
      </c>
      <c r="L150" s="572">
        <v>17.362932009999998</v>
      </c>
      <c r="M150" s="572">
        <v>18.536498060000003</v>
      </c>
      <c r="N150" s="572">
        <v>19.044035829999999</v>
      </c>
      <c r="O150" s="572">
        <v>18.572682410000002</v>
      </c>
      <c r="P150" s="572">
        <v>24.16714747</v>
      </c>
      <c r="Q150" s="572">
        <v>32.991692419999993</v>
      </c>
      <c r="R150" s="572">
        <v>26.095263190000001</v>
      </c>
      <c r="S150" s="572">
        <v>27.963549599999997</v>
      </c>
    </row>
    <row r="151" spans="3:19">
      <c r="C151" s="564" t="s">
        <v>1931</v>
      </c>
      <c r="D151" s="564" t="s">
        <v>1932</v>
      </c>
      <c r="F151" s="572">
        <v>39.04732138</v>
      </c>
      <c r="G151" s="572">
        <v>39.047213110000001</v>
      </c>
      <c r="H151" s="572">
        <v>39.047358209999999</v>
      </c>
      <c r="I151" s="572">
        <v>56.715980610000003</v>
      </c>
      <c r="J151" s="572">
        <v>46.080884359999999</v>
      </c>
      <c r="K151" s="572">
        <v>46.080829919999999</v>
      </c>
      <c r="L151" s="572">
        <v>42.599384732500013</v>
      </c>
      <c r="M151" s="572">
        <v>90.471601766957988</v>
      </c>
      <c r="N151" s="572">
        <v>54.759284199999996</v>
      </c>
      <c r="O151" s="572">
        <v>54.759676399999996</v>
      </c>
      <c r="P151" s="572">
        <v>54.759760800000009</v>
      </c>
      <c r="Q151" s="572">
        <v>150.30678791</v>
      </c>
      <c r="R151" s="572">
        <v>116.69059652</v>
      </c>
      <c r="S151" s="572">
        <v>89.792959700000011</v>
      </c>
    </row>
    <row r="152" spans="3:19">
      <c r="C152" s="564" t="s">
        <v>1933</v>
      </c>
      <c r="D152" s="564" t="s">
        <v>1934</v>
      </c>
      <c r="F152" s="572">
        <v>0</v>
      </c>
      <c r="G152" s="572">
        <v>0</v>
      </c>
      <c r="H152" s="572">
        <v>0</v>
      </c>
      <c r="I152" s="572">
        <v>0</v>
      </c>
      <c r="J152" s="572">
        <v>0</v>
      </c>
      <c r="K152" s="572">
        <v>0</v>
      </c>
      <c r="L152" s="572">
        <v>3.4678893075000006</v>
      </c>
      <c r="M152" s="572">
        <v>-6.3933216769579797</v>
      </c>
      <c r="N152" s="572">
        <v>0</v>
      </c>
      <c r="O152" s="572">
        <v>0</v>
      </c>
      <c r="P152" s="572">
        <v>0</v>
      </c>
      <c r="Q152" s="572">
        <v>0</v>
      </c>
      <c r="R152" s="572">
        <v>0</v>
      </c>
      <c r="S152" s="572">
        <v>0</v>
      </c>
    </row>
    <row r="153" spans="3:19">
      <c r="C153" s="564" t="s">
        <v>1935</v>
      </c>
      <c r="D153" s="564" t="s">
        <v>1936</v>
      </c>
      <c r="F153" s="572">
        <v>127.19452833999999</v>
      </c>
      <c r="G153" s="572">
        <v>143.94507880999998</v>
      </c>
      <c r="H153" s="572">
        <v>134.22464421000004</v>
      </c>
      <c r="I153" s="572">
        <v>145.83892559000003</v>
      </c>
      <c r="J153" s="572">
        <v>151.65331436000002</v>
      </c>
      <c r="K153" s="572">
        <v>157.97385851999999</v>
      </c>
      <c r="L153" s="572">
        <v>149.55907632999998</v>
      </c>
      <c r="M153" s="572">
        <v>158.22975672000007</v>
      </c>
      <c r="N153" s="572">
        <v>193.35300157999998</v>
      </c>
      <c r="O153" s="572">
        <v>209.80164538000002</v>
      </c>
      <c r="P153" s="572">
        <v>181.36999644999992</v>
      </c>
      <c r="Q153" s="572">
        <v>199.21246199000007</v>
      </c>
      <c r="R153" s="572">
        <v>237.0542615</v>
      </c>
      <c r="S153" s="572">
        <v>202.72140605999994</v>
      </c>
    </row>
    <row r="154" spans="3:19">
      <c r="C154" s="564" t="s">
        <v>1937</v>
      </c>
      <c r="D154" s="564" t="s">
        <v>619</v>
      </c>
      <c r="F154" s="572">
        <v>14.650369830000001</v>
      </c>
      <c r="G154" s="572">
        <v>-4.6274408900000026</v>
      </c>
      <c r="H154" s="572">
        <v>3.9432413000000017</v>
      </c>
      <c r="I154" s="572">
        <v>10.829853890000001</v>
      </c>
      <c r="J154" s="572">
        <v>10.266148019999999</v>
      </c>
      <c r="K154" s="572">
        <v>3.9769178699999976</v>
      </c>
      <c r="L154" s="572">
        <v>10.489495439999999</v>
      </c>
      <c r="M154" s="572">
        <v>4.8975013400000034</v>
      </c>
      <c r="N154" s="572">
        <v>38.096675510000004</v>
      </c>
      <c r="O154" s="572">
        <v>8.766249369999997</v>
      </c>
      <c r="P154" s="572">
        <v>6.5407831700000001</v>
      </c>
      <c r="Q154" s="572">
        <v>5.6003050900000044</v>
      </c>
      <c r="R154" s="572">
        <v>15.736411729999999</v>
      </c>
      <c r="S154" s="572">
        <v>23.546270199999999</v>
      </c>
    </row>
    <row r="155" spans="3:19">
      <c r="C155" s="564" t="s">
        <v>1938</v>
      </c>
      <c r="D155" s="564" t="s">
        <v>1939</v>
      </c>
      <c r="F155" s="572">
        <v>5.1807194299999999</v>
      </c>
      <c r="G155" s="572">
        <v>7.5363475700000002</v>
      </c>
      <c r="H155" s="572">
        <v>4.79483485</v>
      </c>
      <c r="I155" s="572">
        <v>4.0925315399999995</v>
      </c>
      <c r="J155" s="572">
        <v>5.8796652599999994</v>
      </c>
      <c r="K155" s="572">
        <v>4.9216356599999989</v>
      </c>
      <c r="L155" s="572">
        <v>8.4333848299999996</v>
      </c>
      <c r="M155" s="572">
        <v>25.910724219999999</v>
      </c>
      <c r="N155" s="572">
        <v>7.2678241900000016</v>
      </c>
      <c r="O155" s="572">
        <v>4.9165023900000007</v>
      </c>
      <c r="P155" s="572">
        <v>4.9910345400000011</v>
      </c>
      <c r="Q155" s="572">
        <v>4.7406571699999995</v>
      </c>
      <c r="R155" s="572">
        <v>2.9270710599999985</v>
      </c>
      <c r="S155" s="572">
        <v>7.1804022899999991</v>
      </c>
    </row>
    <row r="156" spans="3:19">
      <c r="C156" s="564" t="s">
        <v>854</v>
      </c>
      <c r="D156" s="564" t="s">
        <v>1940</v>
      </c>
      <c r="F156" s="572">
        <v>8.3502094499999995</v>
      </c>
      <c r="G156" s="572">
        <v>9.2755867100000007</v>
      </c>
      <c r="H156" s="572">
        <v>7.6400880799999982</v>
      </c>
      <c r="I156" s="572">
        <v>7.406844760000002</v>
      </c>
      <c r="J156" s="572">
        <v>8.4765647600000005</v>
      </c>
      <c r="K156" s="572">
        <v>4.8342110900000002</v>
      </c>
      <c r="L156" s="572">
        <v>2.5220886400000007</v>
      </c>
      <c r="M156" s="572">
        <v>8.79281881</v>
      </c>
      <c r="N156" s="572">
        <v>9.1073724700000014</v>
      </c>
      <c r="O156" s="572">
        <v>10.334290709999999</v>
      </c>
      <c r="P156" s="572">
        <v>9.4488350000000008</v>
      </c>
      <c r="Q156" s="572">
        <v>8.6775131099999996</v>
      </c>
      <c r="R156" s="572">
        <v>11.1542865</v>
      </c>
      <c r="S156" s="572">
        <v>13.598100280000001</v>
      </c>
    </row>
    <row r="157" spans="3:19">
      <c r="C157" s="565" t="s">
        <v>1941</v>
      </c>
      <c r="D157" s="565" t="s">
        <v>1942</v>
      </c>
      <c r="F157" s="569">
        <v>32.260427880000002</v>
      </c>
      <c r="G157" s="569">
        <v>32.878005350000002</v>
      </c>
      <c r="H157" s="569">
        <v>38.273737760000003</v>
      </c>
      <c r="I157" s="569">
        <v>64.767823620000001</v>
      </c>
      <c r="J157" s="569">
        <v>43.648005810000001</v>
      </c>
      <c r="K157" s="569">
        <v>29.247133699999996</v>
      </c>
      <c r="L157" s="569">
        <v>36.965902220000032</v>
      </c>
      <c r="M157" s="569">
        <v>23.328111179999983</v>
      </c>
      <c r="N157" s="569">
        <v>32.514437620000002</v>
      </c>
      <c r="O157" s="569">
        <v>28.807585460000002</v>
      </c>
      <c r="P157" s="569">
        <v>30.723035470000006</v>
      </c>
      <c r="Q157" s="569">
        <v>29.374146159999999</v>
      </c>
      <c r="R157" s="569">
        <v>34.417826950000006</v>
      </c>
      <c r="S157" s="569">
        <v>384.09198286000003</v>
      </c>
    </row>
    <row r="158" spans="3:19">
      <c r="C158" s="564" t="s">
        <v>1943</v>
      </c>
      <c r="D158" s="564" t="s">
        <v>1944</v>
      </c>
      <c r="F158" s="572">
        <v>0</v>
      </c>
      <c r="G158" s="572">
        <v>26.72380536</v>
      </c>
      <c r="H158" s="572">
        <v>31.011478580000006</v>
      </c>
      <c r="I158" s="572">
        <v>26.929672950000004</v>
      </c>
      <c r="J158" s="572">
        <v>25.82338459</v>
      </c>
      <c r="K158" s="572">
        <v>26.571998129999997</v>
      </c>
      <c r="L158" s="572">
        <v>26.245675980000005</v>
      </c>
      <c r="M158" s="572">
        <v>24.155992250000001</v>
      </c>
      <c r="N158" s="572">
        <v>24.709918269999999</v>
      </c>
      <c r="O158" s="572">
        <v>24.77007038</v>
      </c>
      <c r="P158" s="572">
        <v>24.433577550000006</v>
      </c>
      <c r="Q158" s="572">
        <v>24.197463689999999</v>
      </c>
      <c r="R158" s="572">
        <v>24.887821969999997</v>
      </c>
      <c r="S158" s="572">
        <v>25.032188170000001</v>
      </c>
    </row>
    <row r="159" spans="3:19">
      <c r="C159" s="563" t="s">
        <v>1945</v>
      </c>
      <c r="D159" s="563" t="s">
        <v>1946</v>
      </c>
      <c r="F159" s="573">
        <v>20.288141450000001</v>
      </c>
      <c r="G159" s="573">
        <v>41.23292403</v>
      </c>
      <c r="H159" s="573">
        <v>47.653154150000006</v>
      </c>
      <c r="I159" s="573">
        <v>41.526115709999985</v>
      </c>
      <c r="J159" s="573">
        <v>9.7252918299999997</v>
      </c>
      <c r="K159" s="573">
        <v>25.95928627</v>
      </c>
      <c r="L159" s="573">
        <v>80.814971880000016</v>
      </c>
      <c r="M159" s="573">
        <v>70.633877999999982</v>
      </c>
      <c r="N159" s="573">
        <v>23.168206469999998</v>
      </c>
      <c r="O159" s="573">
        <v>21.510906009999999</v>
      </c>
      <c r="P159" s="573">
        <v>33.13510849</v>
      </c>
      <c r="Q159" s="573">
        <v>106.71979282</v>
      </c>
      <c r="R159" s="573">
        <v>57.794378559999998</v>
      </c>
      <c r="S159" s="573">
        <v>-31.650229279999998</v>
      </c>
    </row>
    <row r="160" spans="3:19">
      <c r="C160" s="565" t="s">
        <v>1947</v>
      </c>
      <c r="D160" s="565" t="s">
        <v>1948</v>
      </c>
      <c r="F160" s="573">
        <v>-161.58853379000001</v>
      </c>
      <c r="G160" s="573">
        <v>49.145501529999976</v>
      </c>
      <c r="H160" s="573">
        <v>133.25141650000006</v>
      </c>
      <c r="I160" s="573">
        <v>155.14167013999997</v>
      </c>
      <c r="J160" s="573">
        <v>-11.445016059999999</v>
      </c>
      <c r="K160" s="573">
        <v>177.14502193999999</v>
      </c>
      <c r="L160" s="573">
        <v>233.91473193000007</v>
      </c>
      <c r="M160" s="573">
        <v>60.306695599999983</v>
      </c>
      <c r="N160" s="573">
        <v>-66.962287759999967</v>
      </c>
      <c r="O160" s="573">
        <v>225.61631049000005</v>
      </c>
      <c r="P160" s="573">
        <v>324.5005574700001</v>
      </c>
      <c r="Q160" s="573">
        <v>139.00943267999997</v>
      </c>
      <c r="R160" s="573">
        <v>-26.270506230000006</v>
      </c>
      <c r="S160" s="573">
        <v>211.53428697000001</v>
      </c>
    </row>
    <row r="161" spans="3:19">
      <c r="C161" s="563" t="s">
        <v>1949</v>
      </c>
      <c r="D161" s="563" t="s">
        <v>1950</v>
      </c>
      <c r="F161" s="573">
        <v>207.76717161000002</v>
      </c>
      <c r="G161" s="573">
        <v>210.25598219999998</v>
      </c>
      <c r="H161" s="573">
        <v>175.06809378000003</v>
      </c>
      <c r="I161" s="573">
        <v>37.379810699999929</v>
      </c>
      <c r="J161" s="573">
        <v>126.80878916</v>
      </c>
      <c r="K161" s="573">
        <v>213.08363612999997</v>
      </c>
      <c r="L161" s="573">
        <v>225.10948174000012</v>
      </c>
      <c r="M161" s="573">
        <v>354.20969699</v>
      </c>
      <c r="N161" s="573">
        <v>308.19403316999995</v>
      </c>
      <c r="O161" s="573">
        <v>302.30759749000003</v>
      </c>
      <c r="P161" s="573">
        <v>385.97661643999993</v>
      </c>
      <c r="Q161" s="573">
        <v>335.11979869000004</v>
      </c>
      <c r="R161" s="573">
        <v>308.02402588000001</v>
      </c>
      <c r="S161" s="573">
        <v>281.74955665999994</v>
      </c>
    </row>
    <row r="162" spans="3:19">
      <c r="C162" s="566" t="s">
        <v>1951</v>
      </c>
      <c r="D162" s="566" t="s">
        <v>1952</v>
      </c>
      <c r="F162" s="574">
        <f t="shared" ref="F162:R162" si="38">SUM(F146,F148:F149,F159:F161)</f>
        <v>1811.0091791099999</v>
      </c>
      <c r="G162" s="574">
        <f t="shared" si="38"/>
        <v>1623.2508326800003</v>
      </c>
      <c r="H162" s="574">
        <f t="shared" si="38"/>
        <v>1677.6352388899995</v>
      </c>
      <c r="I162" s="574">
        <f t="shared" si="38"/>
        <v>1699.0476426100001</v>
      </c>
      <c r="J162" s="574">
        <f t="shared" si="38"/>
        <v>1875.7919733400004</v>
      </c>
      <c r="K162" s="574">
        <f t="shared" si="38"/>
        <v>1725.3119124299999</v>
      </c>
      <c r="L162" s="574">
        <f t="shared" si="38"/>
        <v>2007.0102802899999</v>
      </c>
      <c r="M162" s="574">
        <f t="shared" si="38"/>
        <v>2017.8645380900002</v>
      </c>
      <c r="N162" s="574">
        <f t="shared" si="38"/>
        <v>2172.3078784200002</v>
      </c>
      <c r="O162" s="574">
        <f t="shared" si="38"/>
        <v>2040.38532371</v>
      </c>
      <c r="P162" s="574">
        <f t="shared" si="38"/>
        <v>2287.5208643999999</v>
      </c>
      <c r="Q162" s="574">
        <f t="shared" si="38"/>
        <v>2330.9366043499999</v>
      </c>
      <c r="R162" s="574">
        <f t="shared" si="38"/>
        <v>2574.4470236000002</v>
      </c>
      <c r="S162" s="574">
        <v>2652.9656240499999</v>
      </c>
    </row>
    <row r="163" spans="3:19">
      <c r="C163" s="565" t="s">
        <v>1953</v>
      </c>
      <c r="D163" s="565" t="s">
        <v>859</v>
      </c>
      <c r="F163" s="569">
        <f t="shared" ref="F163:O163" si="39">SUM(F164:F166)</f>
        <v>-516.35293764999994</v>
      </c>
      <c r="G163" s="569">
        <f t="shared" si="39"/>
        <v>-503.0912505</v>
      </c>
      <c r="H163" s="569">
        <f t="shared" si="39"/>
        <v>-476.63995136</v>
      </c>
      <c r="I163" s="569">
        <f t="shared" si="39"/>
        <v>-522.35954094999988</v>
      </c>
      <c r="J163" s="569">
        <f t="shared" si="39"/>
        <v>-596.02280398999994</v>
      </c>
      <c r="K163" s="569">
        <f t="shared" si="39"/>
        <v>-562.30974318999995</v>
      </c>
      <c r="L163" s="569">
        <f t="shared" si="39"/>
        <v>-601.73387174000004</v>
      </c>
      <c r="M163" s="569">
        <f t="shared" si="39"/>
        <v>-525.73945025000012</v>
      </c>
      <c r="N163" s="569">
        <f t="shared" si="39"/>
        <v>-609.96017357999995</v>
      </c>
      <c r="O163" s="569">
        <f t="shared" si="39"/>
        <v>-634.09702507999998</v>
      </c>
      <c r="P163" s="569">
        <f t="shared" ref="P163:R163" si="40">SUM(P164:P166)</f>
        <v>-654.23433027999999</v>
      </c>
      <c r="Q163" s="569">
        <f t="shared" si="40"/>
        <v>-695.58421038999973</v>
      </c>
      <c r="R163" s="569">
        <f t="shared" si="40"/>
        <v>-815.61309983000012</v>
      </c>
      <c r="S163" s="569">
        <v>-792.58437455000012</v>
      </c>
    </row>
    <row r="164" spans="3:19">
      <c r="C164" s="564" t="s">
        <v>1954</v>
      </c>
      <c r="D164" s="564" t="s">
        <v>1955</v>
      </c>
      <c r="F164" s="572">
        <v>-7.3988550700000006</v>
      </c>
      <c r="G164" s="572">
        <v>-9.6500566600000006</v>
      </c>
      <c r="H164" s="572">
        <v>-6.7688720500000006</v>
      </c>
      <c r="I164" s="572">
        <v>-9.3789543000000002</v>
      </c>
      <c r="J164" s="572">
        <v>-23.589668120000002</v>
      </c>
      <c r="K164" s="572">
        <v>-20.203291819999997</v>
      </c>
      <c r="L164" s="572">
        <v>-14.681675010000003</v>
      </c>
      <c r="M164" s="572">
        <v>-21.75563622</v>
      </c>
      <c r="N164" s="572">
        <v>-22.338568780000003</v>
      </c>
      <c r="O164" s="572">
        <v>-10.054311409999999</v>
      </c>
      <c r="P164" s="572">
        <v>-5.3223182499999977</v>
      </c>
      <c r="Q164" s="572">
        <v>-6.8168146000000016</v>
      </c>
      <c r="R164" s="572">
        <v>-12.62802084</v>
      </c>
      <c r="S164" s="572">
        <v>-13.07295613</v>
      </c>
    </row>
    <row r="165" spans="3:19">
      <c r="C165" s="564" t="s">
        <v>1956</v>
      </c>
      <c r="D165" s="564" t="s">
        <v>1957</v>
      </c>
      <c r="F165" s="572">
        <v>-177.23095848</v>
      </c>
      <c r="G165" s="572">
        <v>-174.94326232</v>
      </c>
      <c r="H165" s="572">
        <v>-176.02702814</v>
      </c>
      <c r="I165" s="572">
        <v>-187.03368323000001</v>
      </c>
      <c r="J165" s="572">
        <v>-211.11621099999994</v>
      </c>
      <c r="K165" s="572">
        <v>-209.27146410999998</v>
      </c>
      <c r="L165" s="572">
        <v>-211.39557362000002</v>
      </c>
      <c r="M165" s="572">
        <v>-155.87150548000002</v>
      </c>
      <c r="N165" s="572">
        <v>-205.44545844000001</v>
      </c>
      <c r="O165" s="572">
        <v>-205.67307391000003</v>
      </c>
      <c r="P165" s="572">
        <v>-275.75444149999998</v>
      </c>
      <c r="Q165" s="572">
        <v>-306.80471328999988</v>
      </c>
      <c r="R165" s="572">
        <v>-297.99860858</v>
      </c>
      <c r="S165" s="572">
        <v>-291.60957996000002</v>
      </c>
    </row>
    <row r="166" spans="3:19">
      <c r="C166" s="564" t="s">
        <v>1958</v>
      </c>
      <c r="D166" s="564" t="s">
        <v>1959</v>
      </c>
      <c r="F166" s="572">
        <v>-331.72312409999995</v>
      </c>
      <c r="G166" s="572">
        <v>-318.49793152000001</v>
      </c>
      <c r="H166" s="572">
        <v>-293.84405117</v>
      </c>
      <c r="I166" s="572">
        <v>-325.9469034199999</v>
      </c>
      <c r="J166" s="572">
        <v>-361.31692486999998</v>
      </c>
      <c r="K166" s="572">
        <v>-332.83498725999993</v>
      </c>
      <c r="L166" s="572">
        <v>-375.65662311</v>
      </c>
      <c r="M166" s="572">
        <v>-348.11230855000002</v>
      </c>
      <c r="N166" s="572">
        <v>-382.1761463599999</v>
      </c>
      <c r="O166" s="572">
        <v>-418.36963975999993</v>
      </c>
      <c r="P166" s="572">
        <v>-373.15757053000004</v>
      </c>
      <c r="Q166" s="572">
        <v>-381.96268249999991</v>
      </c>
      <c r="R166" s="572">
        <v>-504.98647041000015</v>
      </c>
      <c r="S166" s="572">
        <v>-487.90183846000002</v>
      </c>
    </row>
    <row r="167" spans="3:19">
      <c r="C167" s="566" t="s">
        <v>1960</v>
      </c>
      <c r="D167" s="566" t="s">
        <v>1961</v>
      </c>
      <c r="F167" s="574">
        <f t="shared" ref="F167:R167" si="41">SUM(F162:F163)</f>
        <v>1294.6562414599998</v>
      </c>
      <c r="G167" s="574">
        <f t="shared" si="41"/>
        <v>1120.1595821800001</v>
      </c>
      <c r="H167" s="574">
        <f t="shared" si="41"/>
        <v>1200.9952875299996</v>
      </c>
      <c r="I167" s="574">
        <f t="shared" si="41"/>
        <v>1176.6881016600003</v>
      </c>
      <c r="J167" s="574">
        <f t="shared" si="41"/>
        <v>1279.7691693500005</v>
      </c>
      <c r="K167" s="574">
        <f t="shared" si="41"/>
        <v>1163.0021692400001</v>
      </c>
      <c r="L167" s="574">
        <f t="shared" si="41"/>
        <v>1405.2764085499998</v>
      </c>
      <c r="M167" s="574">
        <f t="shared" si="41"/>
        <v>1492.1250878400001</v>
      </c>
      <c r="N167" s="574">
        <f t="shared" si="41"/>
        <v>1562.3477048400002</v>
      </c>
      <c r="O167" s="574">
        <f t="shared" si="41"/>
        <v>1406.2882986300001</v>
      </c>
      <c r="P167" s="574">
        <f t="shared" si="41"/>
        <v>1633.2865341199999</v>
      </c>
      <c r="Q167" s="574">
        <f t="shared" si="41"/>
        <v>1635.3523939600002</v>
      </c>
      <c r="R167" s="574">
        <f t="shared" si="41"/>
        <v>1758.8339237700002</v>
      </c>
      <c r="S167" s="765">
        <f>SUM(S162:S163)</f>
        <v>1860.3812494999997</v>
      </c>
    </row>
    <row r="168" spans="3:19">
      <c r="C168" s="565" t="s">
        <v>1962</v>
      </c>
      <c r="D168" s="565" t="s">
        <v>1963</v>
      </c>
      <c r="F168" s="573">
        <f t="shared" ref="F168:R168" si="42">-F161</f>
        <v>-207.76717161000002</v>
      </c>
      <c r="G168" s="573">
        <f t="shared" si="42"/>
        <v>-210.25598219999998</v>
      </c>
      <c r="H168" s="573">
        <f t="shared" si="42"/>
        <v>-175.06809378000003</v>
      </c>
      <c r="I168" s="573">
        <f t="shared" si="42"/>
        <v>-37.379810699999929</v>
      </c>
      <c r="J168" s="573">
        <f t="shared" si="42"/>
        <v>-126.80878916</v>
      </c>
      <c r="K168" s="573">
        <f t="shared" si="42"/>
        <v>-213.08363612999997</v>
      </c>
      <c r="L168" s="573">
        <f t="shared" si="42"/>
        <v>-225.10948174000012</v>
      </c>
      <c r="M168" s="573">
        <f t="shared" si="42"/>
        <v>-354.20969699</v>
      </c>
      <c r="N168" s="573">
        <f t="shared" si="42"/>
        <v>-308.19403316999995</v>
      </c>
      <c r="O168" s="573">
        <f t="shared" si="42"/>
        <v>-302.30759749000003</v>
      </c>
      <c r="P168" s="573">
        <f t="shared" si="42"/>
        <v>-385.97661643999993</v>
      </c>
      <c r="Q168" s="573">
        <f t="shared" si="42"/>
        <v>-335.11979869000004</v>
      </c>
      <c r="R168" s="573">
        <f t="shared" si="42"/>
        <v>-308.02402588000001</v>
      </c>
      <c r="S168" s="764">
        <f>-S161</f>
        <v>-281.74955665999994</v>
      </c>
    </row>
    <row r="169" spans="3:19">
      <c r="C169" s="566" t="s">
        <v>1964</v>
      </c>
      <c r="D169" s="566" t="s">
        <v>1965</v>
      </c>
      <c r="F169" s="574">
        <f t="shared" ref="F169:O169" si="43">SUM(F167:F168)</f>
        <v>1086.8890698499997</v>
      </c>
      <c r="G169" s="574">
        <f t="shared" si="43"/>
        <v>909.90359998000019</v>
      </c>
      <c r="H169" s="574">
        <f t="shared" si="43"/>
        <v>1025.9271937499996</v>
      </c>
      <c r="I169" s="574">
        <f t="shared" si="43"/>
        <v>1139.3082909600002</v>
      </c>
      <c r="J169" s="574">
        <f t="shared" si="43"/>
        <v>1152.9603801900005</v>
      </c>
      <c r="K169" s="574">
        <f t="shared" si="43"/>
        <v>949.91853311000011</v>
      </c>
      <c r="L169" s="574">
        <f t="shared" si="43"/>
        <v>1180.1669268099997</v>
      </c>
      <c r="M169" s="574">
        <f t="shared" si="43"/>
        <v>1137.9153908500002</v>
      </c>
      <c r="N169" s="574">
        <f t="shared" si="43"/>
        <v>1254.1536716700002</v>
      </c>
      <c r="O169" s="574">
        <f t="shared" si="43"/>
        <v>1103.9807011400001</v>
      </c>
      <c r="P169" s="574">
        <f>SUM(P167:P168)</f>
        <v>1247.3099176800001</v>
      </c>
      <c r="Q169" s="574">
        <f>SUM(Q167:Q168)</f>
        <v>1300.2325952700003</v>
      </c>
      <c r="R169" s="574">
        <f>SUM(R167:R168)</f>
        <v>1450.8098978900002</v>
      </c>
      <c r="S169" s="765">
        <f>SUM(S167:S168)</f>
        <v>1578.6316928399997</v>
      </c>
    </row>
    <row r="170" spans="3:19">
      <c r="C170" s="567" t="s">
        <v>1966</v>
      </c>
      <c r="D170" s="567" t="s">
        <v>1967</v>
      </c>
      <c r="F170" s="570">
        <v>-658.04054024000004</v>
      </c>
      <c r="G170" s="570">
        <v>-662.16473731000008</v>
      </c>
      <c r="H170" s="570">
        <v>-716.80299317000015</v>
      </c>
      <c r="I170" s="570">
        <v>-789.01388594000002</v>
      </c>
      <c r="J170" s="570">
        <v>-733.26732471000014</v>
      </c>
      <c r="K170" s="570">
        <v>-697.47575731000006</v>
      </c>
      <c r="L170" s="570">
        <v>-840.06732995000016</v>
      </c>
      <c r="M170" s="570">
        <v>-839.62144008999974</v>
      </c>
      <c r="N170" s="570">
        <v>-769.09064428999989</v>
      </c>
      <c r="O170" s="570">
        <v>-796.68527079</v>
      </c>
      <c r="P170" s="570">
        <v>-903.90406031999999</v>
      </c>
      <c r="Q170" s="570">
        <v>-884.33151004000013</v>
      </c>
      <c r="R170" s="570">
        <v>-892.79224941999973</v>
      </c>
      <c r="S170" s="761">
        <v>-842.09388207999996</v>
      </c>
    </row>
    <row r="171" spans="3:19">
      <c r="C171" s="566" t="s">
        <v>1968</v>
      </c>
      <c r="D171" s="566" t="s">
        <v>1969</v>
      </c>
      <c r="F171" s="574">
        <f t="shared" ref="F171:O171" si="44">SUM(F169:F170)</f>
        <v>428.84852960999967</v>
      </c>
      <c r="G171" s="574">
        <f t="shared" si="44"/>
        <v>247.73886267000012</v>
      </c>
      <c r="H171" s="574">
        <f t="shared" si="44"/>
        <v>309.12420057999941</v>
      </c>
      <c r="I171" s="574">
        <f t="shared" si="44"/>
        <v>350.29440502000023</v>
      </c>
      <c r="J171" s="574">
        <f t="shared" si="44"/>
        <v>419.69305548000034</v>
      </c>
      <c r="K171" s="574">
        <f t="shared" si="44"/>
        <v>252.44277580000005</v>
      </c>
      <c r="L171" s="574">
        <f t="shared" si="44"/>
        <v>340.09959685999956</v>
      </c>
      <c r="M171" s="574">
        <f t="shared" si="44"/>
        <v>298.29395076000048</v>
      </c>
      <c r="N171" s="574">
        <f t="shared" si="44"/>
        <v>485.06302738000034</v>
      </c>
      <c r="O171" s="574">
        <f t="shared" si="44"/>
        <v>307.29543035000006</v>
      </c>
      <c r="P171" s="574">
        <f>SUM(P169:P170)</f>
        <v>343.40585736000014</v>
      </c>
      <c r="Q171" s="574">
        <f>SUM(Q169:Q170)</f>
        <v>415.90108523000015</v>
      </c>
      <c r="R171" s="574">
        <f>SUM(R169:R170)</f>
        <v>558.01764847000049</v>
      </c>
      <c r="S171" s="765">
        <f>SUM(S169:S170)</f>
        <v>736.53781075999973</v>
      </c>
    </row>
    <row r="172" spans="3:19">
      <c r="C172" s="567" t="s">
        <v>1970</v>
      </c>
      <c r="D172" s="567" t="s">
        <v>1971</v>
      </c>
      <c r="F172" s="570">
        <v>-21.077663575892686</v>
      </c>
      <c r="G172" s="570">
        <v>0</v>
      </c>
      <c r="H172" s="570">
        <v>0</v>
      </c>
      <c r="I172" s="570">
        <v>-22.943776469999992</v>
      </c>
      <c r="J172" s="570">
        <v>0</v>
      </c>
      <c r="K172" s="570">
        <v>0</v>
      </c>
      <c r="L172" s="570">
        <v>0</v>
      </c>
      <c r="M172" s="570">
        <v>37.56</v>
      </c>
      <c r="N172" s="570">
        <v>0</v>
      </c>
      <c r="O172" s="570">
        <v>0</v>
      </c>
      <c r="P172" s="570">
        <v>0</v>
      </c>
      <c r="Q172" s="570">
        <v>0</v>
      </c>
      <c r="R172" s="570">
        <v>-24.197618228002277</v>
      </c>
      <c r="S172" s="761">
        <v>-321.78434565842502</v>
      </c>
    </row>
    <row r="173" spans="3:19">
      <c r="C173" s="567" t="s">
        <v>1972</v>
      </c>
      <c r="D173" s="567" t="s">
        <v>1972</v>
      </c>
      <c r="F173" s="570">
        <f t="shared" ref="F173:R173" si="45">-F154</f>
        <v>-14.650369830000001</v>
      </c>
      <c r="G173" s="570">
        <f t="shared" si="45"/>
        <v>4.6274408900000026</v>
      </c>
      <c r="H173" s="570">
        <f t="shared" si="45"/>
        <v>-3.9432413000000017</v>
      </c>
      <c r="I173" s="570">
        <f t="shared" si="45"/>
        <v>-10.829853890000001</v>
      </c>
      <c r="J173" s="570">
        <f t="shared" si="45"/>
        <v>-10.266148019999999</v>
      </c>
      <c r="K173" s="570">
        <f t="shared" si="45"/>
        <v>-3.9769178699999976</v>
      </c>
      <c r="L173" s="570">
        <f t="shared" si="45"/>
        <v>-10.489495439999999</v>
      </c>
      <c r="M173" s="570">
        <f t="shared" si="45"/>
        <v>-4.8975013400000034</v>
      </c>
      <c r="N173" s="570">
        <f t="shared" si="45"/>
        <v>-38.096675510000004</v>
      </c>
      <c r="O173" s="570">
        <f t="shared" si="45"/>
        <v>-8.766249369999997</v>
      </c>
      <c r="P173" s="570">
        <f t="shared" si="45"/>
        <v>-6.5407831700000001</v>
      </c>
      <c r="Q173" s="570">
        <f t="shared" si="45"/>
        <v>-5.6003050900000044</v>
      </c>
      <c r="R173" s="570">
        <f t="shared" si="45"/>
        <v>-15.736411729999999</v>
      </c>
      <c r="S173" s="761">
        <f>-S154</f>
        <v>-23.546270199999999</v>
      </c>
    </row>
    <row r="174" spans="3:19">
      <c r="C174" s="566" t="s">
        <v>1973</v>
      </c>
      <c r="D174" s="566" t="s">
        <v>1974</v>
      </c>
      <c r="F174" s="574">
        <f t="shared" ref="F174:O174" si="46">SUM(F171:F173)</f>
        <v>393.12049620410698</v>
      </c>
      <c r="G174" s="574">
        <f t="shared" si="46"/>
        <v>252.36630356000012</v>
      </c>
      <c r="H174" s="574">
        <f t="shared" si="46"/>
        <v>305.1809592799994</v>
      </c>
      <c r="I174" s="574">
        <f t="shared" si="46"/>
        <v>316.52077466000026</v>
      </c>
      <c r="J174" s="574">
        <f t="shared" si="46"/>
        <v>409.42690746000034</v>
      </c>
      <c r="K174" s="574">
        <f t="shared" si="46"/>
        <v>248.46585793000006</v>
      </c>
      <c r="L174" s="574">
        <f t="shared" si="46"/>
        <v>329.61010141999958</v>
      </c>
      <c r="M174" s="574">
        <f t="shared" si="46"/>
        <v>330.95644942000047</v>
      </c>
      <c r="N174" s="574">
        <f t="shared" si="46"/>
        <v>446.96635187000032</v>
      </c>
      <c r="O174" s="574">
        <f t="shared" si="46"/>
        <v>298.52918098000009</v>
      </c>
      <c r="P174" s="574">
        <f>SUM(P171:P173)</f>
        <v>336.86507419000014</v>
      </c>
      <c r="Q174" s="574">
        <f>SUM(Q171:Q173)</f>
        <v>410.30078014000014</v>
      </c>
      <c r="R174" s="574">
        <f>SUM(R171:R173)</f>
        <v>518.08361851199822</v>
      </c>
      <c r="S174" s="765">
        <f>SUM(S171:S173)</f>
        <v>391.20719490157472</v>
      </c>
    </row>
    <row r="176" spans="3:19">
      <c r="C176" s="560" t="s">
        <v>122</v>
      </c>
      <c r="D176" s="560" t="s">
        <v>122</v>
      </c>
      <c r="F176" s="541" t="s">
        <v>79</v>
      </c>
      <c r="G176" s="541" t="s">
        <v>80</v>
      </c>
      <c r="H176" s="541" t="s">
        <v>81</v>
      </c>
      <c r="I176" s="541" t="s">
        <v>82</v>
      </c>
      <c r="J176" s="541" t="s">
        <v>83</v>
      </c>
      <c r="K176" s="541" t="s">
        <v>84</v>
      </c>
      <c r="L176" s="541" t="s">
        <v>85</v>
      </c>
      <c r="M176" s="541" t="s">
        <v>86</v>
      </c>
      <c r="N176" s="541" t="s">
        <v>87</v>
      </c>
      <c r="O176" s="541" t="s">
        <v>88</v>
      </c>
      <c r="P176" s="541" t="s">
        <v>2074</v>
      </c>
      <c r="Q176" s="541" t="s">
        <v>2127</v>
      </c>
      <c r="R176" s="541" t="str">
        <f>$R$6</f>
        <v>1T26</v>
      </c>
      <c r="S176" s="541" t="str">
        <f>S$6</f>
        <v>2T26</v>
      </c>
    </row>
    <row r="178" spans="3:19">
      <c r="C178" s="562" t="s">
        <v>1919</v>
      </c>
      <c r="D178" s="562" t="s">
        <v>1920</v>
      </c>
      <c r="F178" s="568"/>
      <c r="G178" s="568"/>
      <c r="H178" s="568"/>
      <c r="I178" s="568"/>
      <c r="J178" s="568"/>
      <c r="K178" s="568"/>
      <c r="L178" s="568"/>
      <c r="M178" s="568"/>
      <c r="N178" s="568"/>
      <c r="O178" s="568"/>
      <c r="P178" s="568"/>
      <c r="Q178" s="568"/>
      <c r="R178" s="568"/>
      <c r="S178" s="759"/>
    </row>
    <row r="179" spans="3:19" ht="3" customHeight="1">
      <c r="C179" s="561"/>
      <c r="D179" s="561"/>
    </row>
    <row r="180" spans="3:19">
      <c r="C180" s="563" t="s">
        <v>1921</v>
      </c>
      <c r="D180" s="563" t="s">
        <v>1922</v>
      </c>
      <c r="F180" s="569">
        <v>210.15534253000001</v>
      </c>
      <c r="G180" s="569">
        <v>232.03076002</v>
      </c>
      <c r="H180" s="569">
        <v>259.76321831000001</v>
      </c>
      <c r="I180" s="569">
        <v>276.29549931000003</v>
      </c>
      <c r="J180" s="569">
        <v>247.72851327000001</v>
      </c>
      <c r="K180" s="569">
        <v>259.57205119999998</v>
      </c>
      <c r="L180" s="569">
        <v>289.20537444000001</v>
      </c>
      <c r="M180" s="569">
        <v>305.10293078000001</v>
      </c>
      <c r="N180" s="569">
        <v>264.4762834</v>
      </c>
      <c r="O180" s="569">
        <v>287.61053064000004</v>
      </c>
      <c r="P180" s="569">
        <v>310.73287219000002</v>
      </c>
      <c r="Q180" s="569">
        <v>321.16780579999994</v>
      </c>
      <c r="R180" s="569">
        <v>274.81117905000002</v>
      </c>
      <c r="S180" s="760">
        <v>304.19811334999997</v>
      </c>
    </row>
    <row r="181" spans="3:19">
      <c r="C181" s="564" t="s">
        <v>1923</v>
      </c>
      <c r="D181" s="564" t="s">
        <v>1924</v>
      </c>
      <c r="F181" s="570">
        <v>2.0894092999999998</v>
      </c>
      <c r="G181" s="570">
        <v>0.98219735999999991</v>
      </c>
      <c r="H181" s="570">
        <v>6.4811164400000001</v>
      </c>
      <c r="I181" s="570">
        <v>-4.1923406100000005</v>
      </c>
      <c r="J181" s="570">
        <v>0.51502537999999998</v>
      </c>
      <c r="K181" s="570">
        <v>2.7313166500000006</v>
      </c>
      <c r="L181" s="570">
        <v>3.28467194</v>
      </c>
      <c r="M181" s="570">
        <v>2.4488572000000004</v>
      </c>
      <c r="N181" s="570">
        <v>-3.6178743799999999</v>
      </c>
      <c r="O181" s="570">
        <v>4.1507182899999995</v>
      </c>
      <c r="P181" s="570">
        <v>2.0944749100000002</v>
      </c>
      <c r="Q181" s="570">
        <v>-3.1692168399999998</v>
      </c>
      <c r="R181" s="570">
        <v>-6.3832913099999988</v>
      </c>
      <c r="S181" s="761">
        <v>1.7292910500000003</v>
      </c>
    </row>
    <row r="182" spans="3:19">
      <c r="C182" s="565" t="s">
        <v>1925</v>
      </c>
      <c r="D182" s="565" t="s">
        <v>1926</v>
      </c>
      <c r="F182" s="571">
        <v>-0.6760846800000001</v>
      </c>
      <c r="G182" s="571">
        <v>-0.66222514999999993</v>
      </c>
      <c r="H182" s="571">
        <v>-0.95251301999999993</v>
      </c>
      <c r="I182" s="571">
        <v>-0.8702802700000003</v>
      </c>
      <c r="J182" s="571">
        <v>-0.70428849999999998</v>
      </c>
      <c r="K182" s="571">
        <v>-0.61412524999999996</v>
      </c>
      <c r="L182" s="571">
        <v>-0.8198104100000001</v>
      </c>
      <c r="M182" s="571">
        <v>-1.0256380999999999</v>
      </c>
      <c r="N182" s="571">
        <v>-0.96825437000000003</v>
      </c>
      <c r="O182" s="571">
        <v>-0.95022680999999998</v>
      </c>
      <c r="P182" s="571">
        <v>-1.2066248900000001</v>
      </c>
      <c r="Q182" s="571">
        <v>-1.37091257</v>
      </c>
      <c r="R182" s="571">
        <v>-1.0589107900000001</v>
      </c>
      <c r="S182" s="571">
        <v>-1.0911929500000002</v>
      </c>
    </row>
    <row r="183" spans="3:19">
      <c r="C183" s="565" t="s">
        <v>1927</v>
      </c>
      <c r="D183" s="565" t="s">
        <v>1928</v>
      </c>
      <c r="F183" s="569">
        <v>41.386638739999995</v>
      </c>
      <c r="G183" s="569">
        <v>50.991769529999999</v>
      </c>
      <c r="H183" s="569">
        <v>48.739708790000009</v>
      </c>
      <c r="I183" s="569">
        <v>45.497872789999995</v>
      </c>
      <c r="J183" s="569">
        <v>26.713784949999997</v>
      </c>
      <c r="K183" s="569">
        <v>112.85859303000001</v>
      </c>
      <c r="L183" s="569">
        <v>31.860908349999988</v>
      </c>
      <c r="M183" s="569">
        <v>107.69270905</v>
      </c>
      <c r="N183" s="569">
        <v>69.147692829999997</v>
      </c>
      <c r="O183" s="569">
        <v>77.272751350000007</v>
      </c>
      <c r="P183" s="569">
        <v>127.62052521000001</v>
      </c>
      <c r="Q183" s="569">
        <v>122.34673371999999</v>
      </c>
      <c r="R183" s="569">
        <v>109.76667351999998</v>
      </c>
      <c r="S183" s="569">
        <v>75.79141036</v>
      </c>
    </row>
    <row r="184" spans="3:19">
      <c r="C184" s="564" t="s">
        <v>1929</v>
      </c>
      <c r="D184" s="564" t="s">
        <v>1930</v>
      </c>
      <c r="F184" s="572">
        <v>6.0269085100000002</v>
      </c>
      <c r="G184" s="572">
        <v>8.4240500899999997</v>
      </c>
      <c r="H184" s="572">
        <v>9.2983067999999989</v>
      </c>
      <c r="I184" s="572">
        <v>9.6634191400000002</v>
      </c>
      <c r="J184" s="572">
        <v>9.653744660000001</v>
      </c>
      <c r="K184" s="572">
        <v>9.7775390000000009</v>
      </c>
      <c r="L184" s="572">
        <v>9.9644704199999978</v>
      </c>
      <c r="M184" s="572">
        <v>9.9889279500000026</v>
      </c>
      <c r="N184" s="572">
        <v>11.291438509999999</v>
      </c>
      <c r="O184" s="572">
        <v>11.202111439999999</v>
      </c>
      <c r="P184" s="572">
        <v>17.517571830000001</v>
      </c>
      <c r="Q184" s="572">
        <v>14.623877490000002</v>
      </c>
      <c r="R184" s="572">
        <v>16.168894009999999</v>
      </c>
      <c r="S184" s="572">
        <v>14.98976364</v>
      </c>
    </row>
    <row r="185" spans="3:19">
      <c r="C185" s="564" t="s">
        <v>1931</v>
      </c>
      <c r="D185" s="564" t="s">
        <v>1932</v>
      </c>
      <c r="F185" s="572">
        <v>26.335335319999999</v>
      </c>
      <c r="G185" s="572">
        <v>27.147753519999995</v>
      </c>
      <c r="H185" s="572">
        <v>26.23433609000001</v>
      </c>
      <c r="I185" s="572">
        <v>19.231155689999994</v>
      </c>
      <c r="J185" s="572">
        <v>3.46083835</v>
      </c>
      <c r="K185" s="572">
        <v>49.033310100000008</v>
      </c>
      <c r="L185" s="572">
        <v>-6.4534071400000022</v>
      </c>
      <c r="M185" s="572">
        <v>32.78246691113533</v>
      </c>
      <c r="N185" s="572">
        <v>31.025241070000003</v>
      </c>
      <c r="O185" s="572">
        <v>33.417612060000003</v>
      </c>
      <c r="P185" s="572">
        <v>31.531429209999992</v>
      </c>
      <c r="Q185" s="572">
        <v>23.356957930000007</v>
      </c>
      <c r="R185" s="572">
        <v>37.68259132</v>
      </c>
      <c r="S185" s="572">
        <v>30.298828830000001</v>
      </c>
    </row>
    <row r="186" spans="3:19">
      <c r="C186" s="564" t="s">
        <v>1933</v>
      </c>
      <c r="D186" s="564" t="s">
        <v>1934</v>
      </c>
      <c r="F186" s="572">
        <v>0</v>
      </c>
      <c r="G186" s="572">
        <v>0</v>
      </c>
      <c r="H186" s="572">
        <v>0</v>
      </c>
      <c r="I186" s="572">
        <v>0</v>
      </c>
      <c r="J186" s="572">
        <v>0</v>
      </c>
      <c r="K186" s="572">
        <v>0</v>
      </c>
      <c r="L186" s="572">
        <v>0</v>
      </c>
      <c r="M186" s="572">
        <v>30.255982728864669</v>
      </c>
      <c r="N186" s="572">
        <v>0</v>
      </c>
      <c r="O186" s="572">
        <v>0</v>
      </c>
      <c r="P186" s="572">
        <v>0</v>
      </c>
      <c r="Q186" s="572">
        <v>0</v>
      </c>
      <c r="R186" s="572">
        <v>0</v>
      </c>
      <c r="S186" s="572">
        <v>0</v>
      </c>
    </row>
    <row r="187" spans="3:19">
      <c r="C187" s="564" t="s">
        <v>1935</v>
      </c>
      <c r="D187" s="564" t="s">
        <v>1936</v>
      </c>
      <c r="F187" s="572">
        <v>3.00583146</v>
      </c>
      <c r="G187" s="572">
        <v>3.3560603800000002</v>
      </c>
      <c r="H187" s="572">
        <v>5.90481999</v>
      </c>
      <c r="I187" s="572">
        <v>7.4035623399999997</v>
      </c>
      <c r="J187" s="572">
        <v>9.1475361599999996</v>
      </c>
      <c r="K187" s="572">
        <v>9.6736470099999998</v>
      </c>
      <c r="L187" s="572">
        <v>11.42089021</v>
      </c>
      <c r="M187" s="572">
        <v>12.87979213</v>
      </c>
      <c r="N187" s="572">
        <v>14.544787490000003</v>
      </c>
      <c r="O187" s="572">
        <v>16.626896180000006</v>
      </c>
      <c r="P187" s="572">
        <v>12.776146790000007</v>
      </c>
      <c r="Q187" s="572">
        <v>15.246473699999989</v>
      </c>
      <c r="R187" s="572">
        <v>13.754247599999994</v>
      </c>
      <c r="S187" s="572">
        <v>18.45529153</v>
      </c>
    </row>
    <row r="188" spans="3:19">
      <c r="C188" s="564" t="s">
        <v>1937</v>
      </c>
      <c r="D188" s="564" t="s">
        <v>619</v>
      </c>
      <c r="F188" s="572">
        <v>0.52986290000000003</v>
      </c>
      <c r="G188" s="572">
        <v>0.53425676999999994</v>
      </c>
      <c r="H188" s="572">
        <v>0.13656795000000019</v>
      </c>
      <c r="I188" s="572">
        <v>-0.35083822000000009</v>
      </c>
      <c r="J188" s="572">
        <v>0.47681402000000001</v>
      </c>
      <c r="K188" s="572">
        <v>16.405123740000001</v>
      </c>
      <c r="L188" s="572">
        <v>0.59880455999999871</v>
      </c>
      <c r="M188" s="572">
        <v>1.4015616400000006</v>
      </c>
      <c r="N188" s="572">
        <v>2.6863544700000004</v>
      </c>
      <c r="O188" s="572">
        <v>1.1768975599999996</v>
      </c>
      <c r="P188" s="572">
        <v>0.59310281000000009</v>
      </c>
      <c r="Q188" s="572">
        <v>0.24198631000000051</v>
      </c>
      <c r="R188" s="572">
        <v>1.04673211</v>
      </c>
      <c r="S188" s="572">
        <v>1.7127532299999999</v>
      </c>
    </row>
    <row r="189" spans="3:19">
      <c r="C189" s="564" t="s">
        <v>1938</v>
      </c>
      <c r="D189" s="564" t="s">
        <v>1939</v>
      </c>
      <c r="F189" s="572">
        <v>0.32304516</v>
      </c>
      <c r="G189" s="572">
        <v>1.0309115200000001</v>
      </c>
      <c r="H189" s="572">
        <v>1.3996905899999998</v>
      </c>
      <c r="I189" s="572">
        <v>1.33888999</v>
      </c>
      <c r="J189" s="572">
        <v>1.1777371399999998</v>
      </c>
      <c r="K189" s="572">
        <v>1.1766029000000002</v>
      </c>
      <c r="L189" s="572">
        <v>6.6251604399999993</v>
      </c>
      <c r="M189" s="572">
        <v>14.706996740000003</v>
      </c>
      <c r="N189" s="572">
        <v>3.5868528000000004</v>
      </c>
      <c r="O189" s="572">
        <v>8.9788203499999977</v>
      </c>
      <c r="P189" s="572">
        <v>58.655931989999992</v>
      </c>
      <c r="Q189" s="572">
        <v>62.191340439999991</v>
      </c>
      <c r="R189" s="572">
        <v>34.921738459999979</v>
      </c>
      <c r="S189" s="572">
        <v>4.0992706700000028</v>
      </c>
    </row>
    <row r="190" spans="3:19">
      <c r="C190" s="564" t="s">
        <v>854</v>
      </c>
      <c r="D190" s="564" t="s">
        <v>1940</v>
      </c>
      <c r="F190" s="572">
        <v>2.0579537700000001</v>
      </c>
      <c r="G190" s="572">
        <v>2.1288514799999998</v>
      </c>
      <c r="H190" s="572">
        <v>2.3991804500000002</v>
      </c>
      <c r="I190" s="572">
        <v>2.9030581299999998</v>
      </c>
      <c r="J190" s="572">
        <v>-0.26279958000000003</v>
      </c>
      <c r="K190" s="572">
        <v>0.37635367000000003</v>
      </c>
      <c r="L190" s="572">
        <v>7.2935349199999999</v>
      </c>
      <c r="M190" s="572">
        <v>3.1768193200000003</v>
      </c>
      <c r="N190" s="572">
        <v>2.90560047</v>
      </c>
      <c r="O190" s="572">
        <v>3.0713807099999997</v>
      </c>
      <c r="P190" s="572">
        <v>3.4839796300000008</v>
      </c>
      <c r="Q190" s="572">
        <v>3.86220301</v>
      </c>
      <c r="R190" s="572">
        <v>3.3911527499999998</v>
      </c>
      <c r="S190" s="572">
        <v>3.2360827599999999</v>
      </c>
    </row>
    <row r="191" spans="3:19">
      <c r="C191" s="565" t="s">
        <v>1941</v>
      </c>
      <c r="D191" s="565" t="s">
        <v>1942</v>
      </c>
      <c r="F191" s="569">
        <v>3.1077016200000003</v>
      </c>
      <c r="G191" s="569">
        <v>8.3698857699999998</v>
      </c>
      <c r="H191" s="569">
        <v>3.3668069199999988</v>
      </c>
      <c r="I191" s="569">
        <v>5.3086257200000002</v>
      </c>
      <c r="J191" s="569">
        <v>3.0599141999999997</v>
      </c>
      <c r="K191" s="569">
        <v>26.41601661</v>
      </c>
      <c r="L191" s="569">
        <v>2.4114549399999996</v>
      </c>
      <c r="M191" s="569">
        <v>2.5001616299999991</v>
      </c>
      <c r="N191" s="569">
        <v>3.1074180200000003</v>
      </c>
      <c r="O191" s="569">
        <v>2.7990330499999994</v>
      </c>
      <c r="P191" s="569">
        <v>3.0623629500000007</v>
      </c>
      <c r="Q191" s="569">
        <v>2.8238948399999995</v>
      </c>
      <c r="R191" s="569">
        <v>2.8013172700000002</v>
      </c>
      <c r="S191" s="569">
        <v>2.9994197000000002</v>
      </c>
    </row>
    <row r="192" spans="3:19">
      <c r="C192" s="564" t="s">
        <v>1943</v>
      </c>
      <c r="D192" s="564" t="s">
        <v>1944</v>
      </c>
      <c r="F192" s="572">
        <v>1.9015465499999999</v>
      </c>
      <c r="G192" s="572">
        <v>2.0627532400000002</v>
      </c>
      <c r="H192" s="572">
        <v>2.1764421100000004</v>
      </c>
      <c r="I192" s="572">
        <v>2.1360734299999997</v>
      </c>
      <c r="J192" s="572">
        <v>2.0666245000000001</v>
      </c>
      <c r="K192" s="572">
        <v>2.0267495700000002</v>
      </c>
      <c r="L192" s="572">
        <v>2.06255729</v>
      </c>
      <c r="M192" s="572">
        <v>2.1926057999999999</v>
      </c>
      <c r="N192" s="572">
        <v>2.2066553099999999</v>
      </c>
      <c r="O192" s="572">
        <v>2.1671201099999995</v>
      </c>
      <c r="P192" s="572">
        <v>2.3587642500000006</v>
      </c>
      <c r="Q192" s="572">
        <v>2.0790688300000002</v>
      </c>
      <c r="R192" s="572">
        <v>2.34772552</v>
      </c>
      <c r="S192" s="572">
        <v>2.3052705400000004</v>
      </c>
    </row>
    <row r="193" spans="3:19">
      <c r="C193" s="563" t="s">
        <v>1945</v>
      </c>
      <c r="D193" s="563" t="s">
        <v>1946</v>
      </c>
      <c r="F193" s="573">
        <v>8.0131089499999995</v>
      </c>
      <c r="G193" s="573">
        <v>5.9879575599999999</v>
      </c>
      <c r="H193" s="573">
        <v>5.0958261799999995</v>
      </c>
      <c r="I193" s="573">
        <v>3.5229159399999994</v>
      </c>
      <c r="J193" s="573">
        <v>5.7445327200000005</v>
      </c>
      <c r="K193" s="573">
        <v>7.9800630399999992</v>
      </c>
      <c r="L193" s="573">
        <v>10.434909119999999</v>
      </c>
      <c r="M193" s="573">
        <v>14.146386130000002</v>
      </c>
      <c r="N193" s="573">
        <v>17.025183949999999</v>
      </c>
      <c r="O193" s="573">
        <v>34.236190829999998</v>
      </c>
      <c r="P193" s="573">
        <v>49.148246659999998</v>
      </c>
      <c r="Q193" s="573">
        <v>61.65672043</v>
      </c>
      <c r="R193" s="573">
        <v>56.465249900000003</v>
      </c>
      <c r="S193" s="573">
        <v>66.938509449999984</v>
      </c>
    </row>
    <row r="194" spans="3:19">
      <c r="C194" s="565" t="s">
        <v>1947</v>
      </c>
      <c r="D194" s="565" t="s">
        <v>1948</v>
      </c>
      <c r="F194" s="573">
        <v>23.282816619999991</v>
      </c>
      <c r="G194" s="573">
        <v>24.985394330000013</v>
      </c>
      <c r="H194" s="573">
        <v>19.768587140000001</v>
      </c>
      <c r="I194" s="573">
        <v>19.900629790000014</v>
      </c>
      <c r="J194" s="573">
        <v>52.756996030000003</v>
      </c>
      <c r="K194" s="573">
        <v>101.13637978</v>
      </c>
      <c r="L194" s="573">
        <v>82.869830239999999</v>
      </c>
      <c r="M194" s="573">
        <v>18.962711059999997</v>
      </c>
      <c r="N194" s="573">
        <v>54.814700469999998</v>
      </c>
      <c r="O194" s="573">
        <v>37.385623810000013</v>
      </c>
      <c r="P194" s="573">
        <v>56.666653750000009</v>
      </c>
      <c r="Q194" s="573">
        <v>46.58935632</v>
      </c>
      <c r="R194" s="573">
        <v>26.730018920000003</v>
      </c>
      <c r="S194" s="573">
        <v>132.68597053000002</v>
      </c>
    </row>
    <row r="195" spans="3:19">
      <c r="C195" s="563" t="s">
        <v>1949</v>
      </c>
      <c r="D195" s="563" t="s">
        <v>1950</v>
      </c>
      <c r="F195" s="573">
        <v>107.03905324000002</v>
      </c>
      <c r="G195" s="573">
        <v>149.51093184000001</v>
      </c>
      <c r="H195" s="573">
        <v>98.854545339999945</v>
      </c>
      <c r="I195" s="573">
        <v>94.72055222000003</v>
      </c>
      <c r="J195" s="573">
        <v>87.893668650000009</v>
      </c>
      <c r="K195" s="573">
        <v>83.670795520000013</v>
      </c>
      <c r="L195" s="573">
        <v>64.192451399999982</v>
      </c>
      <c r="M195" s="573">
        <v>114.01582487999994</v>
      </c>
      <c r="N195" s="573">
        <v>81.677752009999992</v>
      </c>
      <c r="O195" s="573">
        <v>101.78439516</v>
      </c>
      <c r="P195" s="573">
        <v>117.0571342300001</v>
      </c>
      <c r="Q195" s="573">
        <v>66.521094429999891</v>
      </c>
      <c r="R195" s="573">
        <v>130.77942013000001</v>
      </c>
      <c r="S195" s="573">
        <v>97.164930089999999</v>
      </c>
    </row>
    <row r="196" spans="3:19">
      <c r="C196" s="566" t="s">
        <v>1951</v>
      </c>
      <c r="D196" s="566" t="s">
        <v>1952</v>
      </c>
      <c r="F196" s="574">
        <f t="shared" ref="F196:R196" si="47">SUM(F180,F182:F183,F193:F195)</f>
        <v>389.20087539999997</v>
      </c>
      <c r="G196" s="574">
        <f t="shared" si="47"/>
        <v>462.84458813000003</v>
      </c>
      <c r="H196" s="574">
        <f t="shared" si="47"/>
        <v>431.26937273999999</v>
      </c>
      <c r="I196" s="574">
        <f t="shared" si="47"/>
        <v>439.06718978000004</v>
      </c>
      <c r="J196" s="574">
        <f t="shared" si="47"/>
        <v>420.13320712000001</v>
      </c>
      <c r="K196" s="574">
        <f t="shared" si="47"/>
        <v>564.60375732000011</v>
      </c>
      <c r="L196" s="574">
        <f t="shared" si="47"/>
        <v>477.74366313999997</v>
      </c>
      <c r="M196" s="574">
        <f t="shared" si="47"/>
        <v>558.89492380000002</v>
      </c>
      <c r="N196" s="574">
        <f t="shared" si="47"/>
        <v>486.17335828999995</v>
      </c>
      <c r="O196" s="574">
        <f t="shared" si="47"/>
        <v>537.33926498000005</v>
      </c>
      <c r="P196" s="574">
        <f t="shared" si="47"/>
        <v>660.01880715000004</v>
      </c>
      <c r="Q196" s="574">
        <f t="shared" si="47"/>
        <v>616.91079812999988</v>
      </c>
      <c r="R196" s="574">
        <f t="shared" si="47"/>
        <v>597.49363072999995</v>
      </c>
      <c r="S196" s="574">
        <v>675.68774082999994</v>
      </c>
    </row>
    <row r="197" spans="3:19">
      <c r="C197" s="565" t="s">
        <v>1953</v>
      </c>
      <c r="D197" s="565" t="s">
        <v>859</v>
      </c>
      <c r="F197" s="569">
        <f t="shared" ref="F197:O197" si="48">SUM(F198:F200)</f>
        <v>-71.296274030000006</v>
      </c>
      <c r="G197" s="569">
        <f t="shared" si="48"/>
        <v>-87.244726350000008</v>
      </c>
      <c r="H197" s="569">
        <f t="shared" si="48"/>
        <v>-92.596144890000005</v>
      </c>
      <c r="I197" s="569">
        <f t="shared" si="48"/>
        <v>-52.652579060000008</v>
      </c>
      <c r="J197" s="569">
        <f t="shared" si="48"/>
        <v>-111.51972232000003</v>
      </c>
      <c r="K197" s="569">
        <f t="shared" si="48"/>
        <v>-142.71271073000003</v>
      </c>
      <c r="L197" s="569">
        <f t="shared" si="48"/>
        <v>-92.637573090000018</v>
      </c>
      <c r="M197" s="569">
        <f t="shared" si="48"/>
        <v>-89.816494459999987</v>
      </c>
      <c r="N197" s="569">
        <f t="shared" si="48"/>
        <v>-104.33569714000001</v>
      </c>
      <c r="O197" s="569">
        <f t="shared" si="48"/>
        <v>-112.62054066</v>
      </c>
      <c r="P197" s="569">
        <f t="shared" ref="P197:R197" si="49">SUM(P198:P200)</f>
        <v>-131.00214052000001</v>
      </c>
      <c r="Q197" s="569">
        <f t="shared" si="49"/>
        <v>-138.38324565000002</v>
      </c>
      <c r="R197" s="569">
        <f t="shared" si="49"/>
        <v>-121.90960990000001</v>
      </c>
      <c r="S197" s="569">
        <v>-134.18664175999999</v>
      </c>
    </row>
    <row r="198" spans="3:19">
      <c r="C198" s="564" t="s">
        <v>1954</v>
      </c>
      <c r="D198" s="564" t="s">
        <v>1955</v>
      </c>
      <c r="F198" s="572">
        <v>1.1072927399999999</v>
      </c>
      <c r="G198" s="572">
        <v>-2.2740390000000001</v>
      </c>
      <c r="H198" s="572">
        <v>-0.78506392000000003</v>
      </c>
      <c r="I198" s="572">
        <v>-1.2248911200000003</v>
      </c>
      <c r="J198" s="572">
        <v>-1.5066001100000002</v>
      </c>
      <c r="K198" s="572">
        <v>-3.6628824599999996</v>
      </c>
      <c r="L198" s="572">
        <v>-2.7353614800000003</v>
      </c>
      <c r="M198" s="572">
        <v>-1.3822875299999995</v>
      </c>
      <c r="N198" s="572">
        <v>-1.9309209599999999</v>
      </c>
      <c r="O198" s="572">
        <v>-3.46656794</v>
      </c>
      <c r="P198" s="572">
        <v>-2.7426609800000001</v>
      </c>
      <c r="Q198" s="572">
        <v>-1.8405323700000005</v>
      </c>
      <c r="R198" s="572">
        <v>-2.3434984999999999</v>
      </c>
      <c r="S198" s="572">
        <v>-2.2938104300000002</v>
      </c>
    </row>
    <row r="199" spans="3:19">
      <c r="C199" s="564" t="s">
        <v>1956</v>
      </c>
      <c r="D199" s="564" t="s">
        <v>1957</v>
      </c>
      <c r="F199" s="572">
        <v>-20.085057389999999</v>
      </c>
      <c r="G199" s="572">
        <v>-20.066329230000001</v>
      </c>
      <c r="H199" s="572">
        <v>-20.3393108</v>
      </c>
      <c r="I199" s="572">
        <v>-27.609209599999996</v>
      </c>
      <c r="J199" s="572">
        <v>-41.954672020000004</v>
      </c>
      <c r="K199" s="572">
        <v>-68.85146189000001</v>
      </c>
      <c r="L199" s="572">
        <v>-10.818531879999997</v>
      </c>
      <c r="M199" s="572">
        <v>-6.5680073899999947</v>
      </c>
      <c r="N199" s="572">
        <v>-17.548359469999998</v>
      </c>
      <c r="O199" s="572">
        <v>-17.87600904</v>
      </c>
      <c r="P199" s="572">
        <v>-21.798828219999997</v>
      </c>
      <c r="Q199" s="572">
        <v>-23.77677671</v>
      </c>
      <c r="R199" s="572">
        <v>-25.15405981</v>
      </c>
      <c r="S199" s="572">
        <v>-28.57010245</v>
      </c>
    </row>
    <row r="200" spans="3:19">
      <c r="C200" s="564" t="s">
        <v>1958</v>
      </c>
      <c r="D200" s="564" t="s">
        <v>1959</v>
      </c>
      <c r="F200" s="572">
        <v>-52.318509380000002</v>
      </c>
      <c r="G200" s="572">
        <v>-64.904358119999998</v>
      </c>
      <c r="H200" s="572">
        <v>-71.471770169999999</v>
      </c>
      <c r="I200" s="572">
        <v>-23.818478340000009</v>
      </c>
      <c r="J200" s="572">
        <v>-68.058450190000016</v>
      </c>
      <c r="K200" s="572">
        <v>-70.19836638000001</v>
      </c>
      <c r="L200" s="572">
        <v>-79.083679730000014</v>
      </c>
      <c r="M200" s="572">
        <v>-81.866199539999997</v>
      </c>
      <c r="N200" s="572">
        <v>-84.856416710000005</v>
      </c>
      <c r="O200" s="572">
        <v>-91.277963679999999</v>
      </c>
      <c r="P200" s="572">
        <v>-106.46065132000001</v>
      </c>
      <c r="Q200" s="572">
        <v>-112.76593657000001</v>
      </c>
      <c r="R200" s="572">
        <v>-94.412051590000004</v>
      </c>
      <c r="S200" s="572">
        <v>-103.32272888</v>
      </c>
    </row>
    <row r="201" spans="3:19">
      <c r="C201" s="566" t="s">
        <v>1960</v>
      </c>
      <c r="D201" s="566" t="s">
        <v>1961</v>
      </c>
      <c r="F201" s="574">
        <f t="shared" ref="F201:R201" si="50">SUM(F196:F197)</f>
        <v>317.90460136999997</v>
      </c>
      <c r="G201" s="574">
        <f t="shared" si="50"/>
        <v>375.59986178000003</v>
      </c>
      <c r="H201" s="574">
        <f t="shared" si="50"/>
        <v>338.67322784999999</v>
      </c>
      <c r="I201" s="574">
        <f t="shared" si="50"/>
        <v>386.41461072000004</v>
      </c>
      <c r="J201" s="574">
        <f t="shared" si="50"/>
        <v>308.61348479999998</v>
      </c>
      <c r="K201" s="574">
        <f t="shared" si="50"/>
        <v>421.89104659000009</v>
      </c>
      <c r="L201" s="574">
        <f t="shared" si="50"/>
        <v>385.10609004999992</v>
      </c>
      <c r="M201" s="574">
        <f t="shared" si="50"/>
        <v>469.07842934000001</v>
      </c>
      <c r="N201" s="574">
        <f t="shared" si="50"/>
        <v>381.83766114999992</v>
      </c>
      <c r="O201" s="574">
        <f t="shared" si="50"/>
        <v>424.71872432000004</v>
      </c>
      <c r="P201" s="574">
        <f t="shared" si="50"/>
        <v>529.01666663000003</v>
      </c>
      <c r="Q201" s="574">
        <f t="shared" si="50"/>
        <v>478.52755247999983</v>
      </c>
      <c r="R201" s="574">
        <f t="shared" si="50"/>
        <v>475.58402082999993</v>
      </c>
      <c r="S201" s="765">
        <f>SUM(S196:S197)</f>
        <v>541.50109907000001</v>
      </c>
    </row>
    <row r="202" spans="3:19">
      <c r="C202" s="565" t="s">
        <v>1962</v>
      </c>
      <c r="D202" s="565" t="s">
        <v>1963</v>
      </c>
      <c r="F202" s="573">
        <f t="shared" ref="F202:R202" si="51">-F195</f>
        <v>-107.03905324000002</v>
      </c>
      <c r="G202" s="573">
        <f t="shared" si="51"/>
        <v>-149.51093184000001</v>
      </c>
      <c r="H202" s="573">
        <f t="shared" si="51"/>
        <v>-98.854545339999945</v>
      </c>
      <c r="I202" s="573">
        <f t="shared" si="51"/>
        <v>-94.72055222000003</v>
      </c>
      <c r="J202" s="573">
        <f t="shared" si="51"/>
        <v>-87.893668650000009</v>
      </c>
      <c r="K202" s="573">
        <f t="shared" si="51"/>
        <v>-83.670795520000013</v>
      </c>
      <c r="L202" s="573">
        <f t="shared" si="51"/>
        <v>-64.192451399999982</v>
      </c>
      <c r="M202" s="573">
        <f t="shared" si="51"/>
        <v>-114.01582487999994</v>
      </c>
      <c r="N202" s="573">
        <f t="shared" si="51"/>
        <v>-81.677752009999992</v>
      </c>
      <c r="O202" s="573">
        <f t="shared" si="51"/>
        <v>-101.78439516</v>
      </c>
      <c r="P202" s="573">
        <f t="shared" si="51"/>
        <v>-117.0571342300001</v>
      </c>
      <c r="Q202" s="573">
        <f t="shared" si="51"/>
        <v>-66.521094429999891</v>
      </c>
      <c r="R202" s="573">
        <f t="shared" si="51"/>
        <v>-130.77942013000001</v>
      </c>
      <c r="S202" s="764">
        <f>-S195</f>
        <v>-97.164930089999999</v>
      </c>
    </row>
    <row r="203" spans="3:19">
      <c r="C203" s="566" t="s">
        <v>1964</v>
      </c>
      <c r="D203" s="566" t="s">
        <v>1965</v>
      </c>
      <c r="F203" s="574">
        <f t="shared" ref="F203:O203" si="52">SUM(F201:F202)</f>
        <v>210.86554812999995</v>
      </c>
      <c r="G203" s="574">
        <f t="shared" si="52"/>
        <v>226.08892994000001</v>
      </c>
      <c r="H203" s="574">
        <f t="shared" si="52"/>
        <v>239.81868251000003</v>
      </c>
      <c r="I203" s="574">
        <f t="shared" si="52"/>
        <v>291.69405849999998</v>
      </c>
      <c r="J203" s="574">
        <f t="shared" si="52"/>
        <v>220.71981614999999</v>
      </c>
      <c r="K203" s="574">
        <f t="shared" si="52"/>
        <v>338.22025107000007</v>
      </c>
      <c r="L203" s="574">
        <f t="shared" si="52"/>
        <v>320.91363864999994</v>
      </c>
      <c r="M203" s="574">
        <f t="shared" si="52"/>
        <v>355.0626044600001</v>
      </c>
      <c r="N203" s="574">
        <f t="shared" si="52"/>
        <v>300.15990913999991</v>
      </c>
      <c r="O203" s="574">
        <f t="shared" si="52"/>
        <v>322.93432916000006</v>
      </c>
      <c r="P203" s="574">
        <f>SUM(P201:P202)</f>
        <v>411.95953239999994</v>
      </c>
      <c r="Q203" s="574">
        <f>SUM(Q201:Q202)</f>
        <v>412.00645804999994</v>
      </c>
      <c r="R203" s="574">
        <f>SUM(R201:R202)</f>
        <v>344.80460069999992</v>
      </c>
      <c r="S203" s="765">
        <f>SUM(S201:S202)</f>
        <v>444.33616898000002</v>
      </c>
    </row>
    <row r="204" spans="3:19">
      <c r="C204" s="567" t="s">
        <v>1966</v>
      </c>
      <c r="D204" s="567" t="s">
        <v>1967</v>
      </c>
      <c r="F204" s="570">
        <v>-123.98463529999999</v>
      </c>
      <c r="G204" s="570">
        <v>-129.61633026999999</v>
      </c>
      <c r="H204" s="570">
        <v>-127.21695827999999</v>
      </c>
      <c r="I204" s="570">
        <v>-137.36419997000004</v>
      </c>
      <c r="J204" s="570">
        <v>-119.74399688000001</v>
      </c>
      <c r="K204" s="570">
        <v>-138.08352446000001</v>
      </c>
      <c r="L204" s="570">
        <v>-147.74252170000003</v>
      </c>
      <c r="M204" s="570">
        <v>-162.96055142000006</v>
      </c>
      <c r="N204" s="570">
        <v>-145.32723897</v>
      </c>
      <c r="O204" s="570">
        <v>-161.68700578999994</v>
      </c>
      <c r="P204" s="570">
        <v>-253.40508405999995</v>
      </c>
      <c r="Q204" s="570">
        <v>-242.70573959999996</v>
      </c>
      <c r="R204" s="570">
        <v>-200.91837827999998</v>
      </c>
      <c r="S204" s="761">
        <v>-272.14143694000006</v>
      </c>
    </row>
    <row r="205" spans="3:19">
      <c r="C205" s="566" t="s">
        <v>1968</v>
      </c>
      <c r="D205" s="566" t="s">
        <v>1969</v>
      </c>
      <c r="F205" s="574">
        <f t="shared" ref="F205:O205" si="53">SUM(F203:F204)</f>
        <v>86.880912829999957</v>
      </c>
      <c r="G205" s="574">
        <f t="shared" si="53"/>
        <v>96.472599670000022</v>
      </c>
      <c r="H205" s="574">
        <f t="shared" si="53"/>
        <v>112.60172423000004</v>
      </c>
      <c r="I205" s="574">
        <f t="shared" si="53"/>
        <v>154.32985852999994</v>
      </c>
      <c r="J205" s="574">
        <f t="shared" si="53"/>
        <v>100.97581926999997</v>
      </c>
      <c r="K205" s="574">
        <f t="shared" si="53"/>
        <v>200.13672661000007</v>
      </c>
      <c r="L205" s="574">
        <f t="shared" si="53"/>
        <v>173.17111694999991</v>
      </c>
      <c r="M205" s="574">
        <f t="shared" si="53"/>
        <v>192.10205304000004</v>
      </c>
      <c r="N205" s="574">
        <f t="shared" si="53"/>
        <v>154.83267016999991</v>
      </c>
      <c r="O205" s="574">
        <f t="shared" si="53"/>
        <v>161.24732337000012</v>
      </c>
      <c r="P205" s="574">
        <f>SUM(P203:P204)</f>
        <v>158.55444833999999</v>
      </c>
      <c r="Q205" s="574">
        <f>SUM(Q203:Q204)</f>
        <v>169.30071844999998</v>
      </c>
      <c r="R205" s="574">
        <f>SUM(R203:R204)</f>
        <v>143.88622241999994</v>
      </c>
      <c r="S205" s="765">
        <f>SUM(S203:S204)</f>
        <v>172.19473203999996</v>
      </c>
    </row>
    <row r="206" spans="3:19">
      <c r="C206" s="567" t="s">
        <v>1970</v>
      </c>
      <c r="D206" s="567" t="s">
        <v>1971</v>
      </c>
      <c r="F206" s="570">
        <v>-10.11613485</v>
      </c>
      <c r="G206" s="570">
        <v>0</v>
      </c>
      <c r="H206" s="570">
        <v>0</v>
      </c>
      <c r="I206" s="570">
        <v>-50.930333919999995</v>
      </c>
      <c r="J206" s="570">
        <v>11.785434567913798</v>
      </c>
      <c r="K206" s="570">
        <v>-81.325590198165003</v>
      </c>
      <c r="L206" s="570">
        <v>-7.1331731600000001</v>
      </c>
      <c r="M206" s="570">
        <v>-30.978788735930937</v>
      </c>
      <c r="N206" s="570">
        <v>0</v>
      </c>
      <c r="O206" s="570">
        <v>0</v>
      </c>
      <c r="P206" s="570">
        <v>0</v>
      </c>
      <c r="Q206" s="570">
        <v>0</v>
      </c>
      <c r="R206" s="570">
        <v>8.6988797785944634</v>
      </c>
      <c r="S206" s="761">
        <v>0</v>
      </c>
    </row>
    <row r="207" spans="3:19">
      <c r="C207" s="567" t="s">
        <v>1972</v>
      </c>
      <c r="D207" s="567" t="s">
        <v>1972</v>
      </c>
      <c r="F207" s="570">
        <f t="shared" ref="F207:R207" si="54">-F188</f>
        <v>-0.52986290000000003</v>
      </c>
      <c r="G207" s="570">
        <f t="shared" si="54"/>
        <v>-0.53425676999999994</v>
      </c>
      <c r="H207" s="570">
        <f t="shared" si="54"/>
        <v>-0.13656795000000019</v>
      </c>
      <c r="I207" s="570">
        <f t="shared" si="54"/>
        <v>0.35083822000000009</v>
      </c>
      <c r="J207" s="570">
        <f t="shared" si="54"/>
        <v>-0.47681402000000001</v>
      </c>
      <c r="K207" s="570">
        <f t="shared" si="54"/>
        <v>-16.405123740000001</v>
      </c>
      <c r="L207" s="570">
        <f t="shared" si="54"/>
        <v>-0.59880455999999871</v>
      </c>
      <c r="M207" s="570">
        <f t="shared" si="54"/>
        <v>-1.4015616400000006</v>
      </c>
      <c r="N207" s="570">
        <f t="shared" si="54"/>
        <v>-2.6863544700000004</v>
      </c>
      <c r="O207" s="570">
        <f t="shared" si="54"/>
        <v>-1.1768975599999996</v>
      </c>
      <c r="P207" s="570">
        <f t="shared" si="54"/>
        <v>-0.59310281000000009</v>
      </c>
      <c r="Q207" s="570">
        <f t="shared" si="54"/>
        <v>-0.24198631000000051</v>
      </c>
      <c r="R207" s="570">
        <f t="shared" si="54"/>
        <v>-1.04673211</v>
      </c>
      <c r="S207" s="761">
        <f>-S188</f>
        <v>-1.7127532299999999</v>
      </c>
    </row>
    <row r="208" spans="3:19">
      <c r="C208" s="566" t="s">
        <v>1973</v>
      </c>
      <c r="D208" s="566" t="s">
        <v>1974</v>
      </c>
      <c r="F208" s="574">
        <f t="shared" ref="F208:O208" si="55">SUM(F205:F207)</f>
        <v>76.234915079999965</v>
      </c>
      <c r="G208" s="574">
        <f t="shared" si="55"/>
        <v>95.938342900000023</v>
      </c>
      <c r="H208" s="574">
        <f t="shared" si="55"/>
        <v>112.46515628000004</v>
      </c>
      <c r="I208" s="574">
        <f t="shared" si="55"/>
        <v>103.75036282999994</v>
      </c>
      <c r="J208" s="574">
        <f t="shared" si="55"/>
        <v>112.28443981791376</v>
      </c>
      <c r="K208" s="574">
        <f t="shared" si="55"/>
        <v>102.40601267183507</v>
      </c>
      <c r="L208" s="574">
        <f t="shared" si="55"/>
        <v>165.43913922999991</v>
      </c>
      <c r="M208" s="574">
        <f t="shared" si="55"/>
        <v>159.72170266406908</v>
      </c>
      <c r="N208" s="574">
        <f t="shared" si="55"/>
        <v>152.14631569999992</v>
      </c>
      <c r="O208" s="574">
        <f t="shared" si="55"/>
        <v>160.07042581000013</v>
      </c>
      <c r="P208" s="574">
        <f>SUM(P205:P207)</f>
        <v>157.96134552999999</v>
      </c>
      <c r="Q208" s="574">
        <f>SUM(Q205:Q207)</f>
        <v>169.05873213999999</v>
      </c>
      <c r="R208" s="574">
        <f>SUM(R205:R207)</f>
        <v>151.53837008859441</v>
      </c>
      <c r="S208" s="765">
        <f>SUM(S205:S207)</f>
        <v>170.48197880999996</v>
      </c>
    </row>
    <row r="210" spans="3:19">
      <c r="C210" s="560" t="s">
        <v>125</v>
      </c>
      <c r="D210" s="560" t="s">
        <v>125</v>
      </c>
      <c r="F210" s="541" t="s">
        <v>79</v>
      </c>
      <c r="G210" s="541" t="s">
        <v>80</v>
      </c>
      <c r="H210" s="541" t="s">
        <v>81</v>
      </c>
      <c r="I210" s="541" t="s">
        <v>82</v>
      </c>
      <c r="J210" s="541" t="s">
        <v>83</v>
      </c>
      <c r="K210" s="541" t="s">
        <v>84</v>
      </c>
      <c r="L210" s="541" t="s">
        <v>85</v>
      </c>
      <c r="M210" s="541" t="s">
        <v>86</v>
      </c>
      <c r="N210" s="541" t="s">
        <v>87</v>
      </c>
      <c r="O210" s="541" t="s">
        <v>88</v>
      </c>
      <c r="P210" s="541" t="s">
        <v>2074</v>
      </c>
      <c r="Q210" s="541" t="s">
        <v>2127</v>
      </c>
      <c r="R210" s="541" t="str">
        <f>$R$6</f>
        <v>1T26</v>
      </c>
      <c r="S210" s="541" t="str">
        <f>S$6</f>
        <v>2T26</v>
      </c>
    </row>
    <row r="211" spans="3:19" ht="3" customHeight="1">
      <c r="C211" s="561"/>
      <c r="D211" s="561"/>
    </row>
    <row r="212" spans="3:19">
      <c r="C212" s="562" t="s">
        <v>1919</v>
      </c>
      <c r="D212" s="562" t="s">
        <v>1920</v>
      </c>
      <c r="F212" s="568"/>
      <c r="G212" s="568"/>
      <c r="H212" s="568"/>
      <c r="I212" s="568"/>
      <c r="J212" s="568"/>
      <c r="K212" s="568"/>
      <c r="L212" s="568"/>
      <c r="M212" s="568"/>
      <c r="N212" s="568"/>
      <c r="O212" s="568"/>
      <c r="P212" s="568"/>
      <c r="Q212" s="568"/>
      <c r="R212" s="568"/>
      <c r="S212" s="759"/>
    </row>
    <row r="213" spans="3:19" ht="3" customHeight="1">
      <c r="C213" s="561"/>
      <c r="D213" s="561"/>
    </row>
    <row r="214" spans="3:19">
      <c r="C214" s="563" t="s">
        <v>1921</v>
      </c>
      <c r="D214" s="563" t="s">
        <v>1922</v>
      </c>
      <c r="F214" s="569">
        <v>2218.9989459900003</v>
      </c>
      <c r="G214" s="569">
        <v>1930.9452624799997</v>
      </c>
      <c r="H214" s="569">
        <v>2189.4582006999999</v>
      </c>
      <c r="I214" s="569">
        <v>2567.46774452</v>
      </c>
      <c r="J214" s="569">
        <v>2400.7589743899998</v>
      </c>
      <c r="K214" s="569">
        <v>2421.8839957</v>
      </c>
      <c r="L214" s="569">
        <v>2463.4172513600006</v>
      </c>
      <c r="M214" s="569">
        <v>2781.8948675500001</v>
      </c>
      <c r="N214" s="569">
        <v>2494.8182999999999</v>
      </c>
      <c r="O214" s="569">
        <v>2527.9809699899997</v>
      </c>
      <c r="P214" s="569">
        <v>2590.8126269799995</v>
      </c>
      <c r="Q214" s="569">
        <v>3274.3768926200005</v>
      </c>
      <c r="R214" s="569">
        <v>2676.9657758100002</v>
      </c>
      <c r="S214" s="760">
        <v>2839.65502268</v>
      </c>
    </row>
    <row r="215" spans="3:19">
      <c r="C215" s="564" t="s">
        <v>1923</v>
      </c>
      <c r="D215" s="564" t="s">
        <v>1924</v>
      </c>
      <c r="F215" s="570">
        <v>53.191991430000002</v>
      </c>
      <c r="G215" s="570">
        <v>-38.434838509999999</v>
      </c>
      <c r="H215" s="570">
        <v>98.871661679999988</v>
      </c>
      <c r="I215" s="570">
        <v>-38.231591929999993</v>
      </c>
      <c r="J215" s="570">
        <v>25.35193143</v>
      </c>
      <c r="K215" s="570">
        <v>-23.221911909999996</v>
      </c>
      <c r="L215" s="570">
        <v>74.448318349999994</v>
      </c>
      <c r="M215" s="570">
        <v>-107.45425287000002</v>
      </c>
      <c r="N215" s="570">
        <v>65.287672999999998</v>
      </c>
      <c r="O215" s="570">
        <v>-35.082064240000001</v>
      </c>
      <c r="P215" s="570">
        <v>70.059625449999999</v>
      </c>
      <c r="Q215" s="570">
        <v>12.267222790000002</v>
      </c>
      <c r="R215" s="570">
        <v>8.0852869500000004</v>
      </c>
      <c r="S215" s="761">
        <v>-19.015726470000004</v>
      </c>
    </row>
    <row r="216" spans="3:19">
      <c r="C216" s="565" t="s">
        <v>1925</v>
      </c>
      <c r="D216" s="565" t="s">
        <v>1926</v>
      </c>
      <c r="F216" s="571">
        <v>-8.8696286699999991</v>
      </c>
      <c r="G216" s="571">
        <v>-12.457803889999999</v>
      </c>
      <c r="H216" s="571">
        <v>-13.121984290000002</v>
      </c>
      <c r="I216" s="571">
        <v>-18.199190299999998</v>
      </c>
      <c r="J216" s="571">
        <v>-14.99416733</v>
      </c>
      <c r="K216" s="571">
        <v>-18.958725160000004</v>
      </c>
      <c r="L216" s="571">
        <v>-18.167699129999999</v>
      </c>
      <c r="M216" s="571">
        <v>-14.225710379999999</v>
      </c>
      <c r="N216" s="571">
        <v>-17.365749000000001</v>
      </c>
      <c r="O216" s="571">
        <v>-22.463261249999999</v>
      </c>
      <c r="P216" s="571">
        <v>-19.648177749999999</v>
      </c>
      <c r="Q216" s="571">
        <v>-21.548857779999995</v>
      </c>
      <c r="R216" s="571">
        <v>-19.334655810000001</v>
      </c>
      <c r="S216" s="571">
        <v>-23.504079740000002</v>
      </c>
    </row>
    <row r="217" spans="3:19">
      <c r="C217" s="565" t="s">
        <v>1927</v>
      </c>
      <c r="D217" s="565" t="s">
        <v>1928</v>
      </c>
      <c r="F217" s="569">
        <v>398.15091147999988</v>
      </c>
      <c r="G217" s="569">
        <v>410.78004413000002</v>
      </c>
      <c r="H217" s="569">
        <v>467.15526197000025</v>
      </c>
      <c r="I217" s="569">
        <v>530.90644295000016</v>
      </c>
      <c r="J217" s="569">
        <v>469.55405149000023</v>
      </c>
      <c r="K217" s="569">
        <v>479.33264085000002</v>
      </c>
      <c r="L217" s="569">
        <v>502.97729802999982</v>
      </c>
      <c r="M217" s="569">
        <v>575.65183862999993</v>
      </c>
      <c r="N217" s="569">
        <v>583.46724300000005</v>
      </c>
      <c r="O217" s="569">
        <v>593.95314368999959</v>
      </c>
      <c r="P217" s="569">
        <v>614.72224340999946</v>
      </c>
      <c r="Q217" s="569">
        <v>879.19854940000027</v>
      </c>
      <c r="R217" s="569">
        <v>799.47227973000031</v>
      </c>
      <c r="S217" s="569">
        <v>886.39559025000017</v>
      </c>
    </row>
    <row r="218" spans="3:19">
      <c r="C218" s="564" t="s">
        <v>1929</v>
      </c>
      <c r="D218" s="564" t="s">
        <v>1930</v>
      </c>
      <c r="F218" s="572">
        <v>29.429599939999999</v>
      </c>
      <c r="G218" s="572">
        <v>31.921448650000006</v>
      </c>
      <c r="H218" s="572">
        <v>31.598896950000004</v>
      </c>
      <c r="I218" s="572">
        <v>41.372325839999988</v>
      </c>
      <c r="J218" s="572">
        <v>44.019393669999999</v>
      </c>
      <c r="K218" s="572">
        <v>44.083227370000003</v>
      </c>
      <c r="L218" s="572">
        <v>46.614130700000004</v>
      </c>
      <c r="M218" s="572">
        <v>49.817464259999987</v>
      </c>
      <c r="N218" s="572">
        <v>48.48733</v>
      </c>
      <c r="O218" s="572">
        <v>48.954140569999993</v>
      </c>
      <c r="P218" s="572">
        <v>73.577283900000012</v>
      </c>
      <c r="Q218" s="572">
        <v>79.447409110000009</v>
      </c>
      <c r="R218" s="572">
        <v>80.144803040000014</v>
      </c>
      <c r="S218" s="572">
        <v>79.774127939999985</v>
      </c>
    </row>
    <row r="219" spans="3:19">
      <c r="C219" s="564" t="s">
        <v>1931</v>
      </c>
      <c r="D219" s="564" t="s">
        <v>1932</v>
      </c>
      <c r="F219" s="572">
        <v>66.594054040000003</v>
      </c>
      <c r="G219" s="572">
        <v>70.404325680000014</v>
      </c>
      <c r="H219" s="572">
        <v>124.25143391999998</v>
      </c>
      <c r="I219" s="572">
        <v>86.064965180000002</v>
      </c>
      <c r="J219" s="572">
        <v>89.434462799999991</v>
      </c>
      <c r="K219" s="572">
        <v>89.434462799999991</v>
      </c>
      <c r="L219" s="572">
        <v>75.570920840000014</v>
      </c>
      <c r="M219" s="572">
        <v>142.75994282611268</v>
      </c>
      <c r="N219" s="572">
        <v>147.67424099999999</v>
      </c>
      <c r="O219" s="572">
        <v>148.98746191000004</v>
      </c>
      <c r="P219" s="572">
        <v>155.11746203999996</v>
      </c>
      <c r="Q219" s="572">
        <v>297.31846188000003</v>
      </c>
      <c r="R219" s="572">
        <v>189.35412688999997</v>
      </c>
      <c r="S219" s="572">
        <v>232.40096904000004</v>
      </c>
    </row>
    <row r="220" spans="3:19">
      <c r="C220" s="564" t="s">
        <v>1933</v>
      </c>
      <c r="D220" s="564" t="s">
        <v>1934</v>
      </c>
      <c r="F220" s="572">
        <v>0</v>
      </c>
      <c r="G220" s="572">
        <v>0</v>
      </c>
      <c r="H220" s="572">
        <v>0</v>
      </c>
      <c r="I220" s="572">
        <v>0</v>
      </c>
      <c r="J220" s="572">
        <v>0</v>
      </c>
      <c r="K220" s="572">
        <v>0</v>
      </c>
      <c r="L220" s="572">
        <v>13.863541959999999</v>
      </c>
      <c r="M220" s="572">
        <v>68.303316773887303</v>
      </c>
      <c r="N220" s="572">
        <v>0</v>
      </c>
      <c r="O220" s="572">
        <v>0</v>
      </c>
      <c r="P220" s="572">
        <v>0</v>
      </c>
      <c r="Q220" s="572">
        <v>0</v>
      </c>
      <c r="R220" s="572">
        <v>0</v>
      </c>
      <c r="S220" s="572">
        <v>0</v>
      </c>
    </row>
    <row r="221" spans="3:19">
      <c r="C221" s="564" t="s">
        <v>1935</v>
      </c>
      <c r="D221" s="564" t="s">
        <v>1936</v>
      </c>
      <c r="F221" s="572">
        <v>223.59274556</v>
      </c>
      <c r="G221" s="572">
        <v>243.66930690999999</v>
      </c>
      <c r="H221" s="572">
        <v>246.48455271999998</v>
      </c>
      <c r="I221" s="572">
        <v>241.6734264000001</v>
      </c>
      <c r="J221" s="572">
        <v>236.38266585</v>
      </c>
      <c r="K221" s="572">
        <v>255.59813500999999</v>
      </c>
      <c r="L221" s="572">
        <v>265.41570783999998</v>
      </c>
      <c r="M221" s="572">
        <v>278.43898930000006</v>
      </c>
      <c r="N221" s="572">
        <v>275.24879600000003</v>
      </c>
      <c r="O221" s="572">
        <v>302.74724286000003</v>
      </c>
      <c r="P221" s="572">
        <v>303.13655926999996</v>
      </c>
      <c r="Q221" s="572">
        <v>367.96550394999986</v>
      </c>
      <c r="R221" s="572">
        <v>398.18781724000002</v>
      </c>
      <c r="S221" s="572">
        <v>423.93480732999996</v>
      </c>
    </row>
    <row r="222" spans="3:19">
      <c r="C222" s="564" t="s">
        <v>1937</v>
      </c>
      <c r="D222" s="564" t="s">
        <v>619</v>
      </c>
      <c r="F222" s="572">
        <v>16.791584480000001</v>
      </c>
      <c r="G222" s="572">
        <v>5.2600924899999981</v>
      </c>
      <c r="H222" s="572">
        <v>10.900251740000002</v>
      </c>
      <c r="I222" s="572">
        <v>-4.725746280000001</v>
      </c>
      <c r="J222" s="572">
        <v>22.331191350000001</v>
      </c>
      <c r="K222" s="572">
        <v>16.236640749999999</v>
      </c>
      <c r="L222" s="572">
        <v>11.14479643</v>
      </c>
      <c r="M222" s="572">
        <v>25.371000469999998</v>
      </c>
      <c r="N222" s="572">
        <v>39.499234999999999</v>
      </c>
      <c r="O222" s="572">
        <v>20.55184354</v>
      </c>
      <c r="P222" s="572">
        <v>16.930506279999992</v>
      </c>
      <c r="Q222" s="572">
        <v>13.458811680000004</v>
      </c>
      <c r="R222" s="572">
        <v>35.250098119999997</v>
      </c>
      <c r="S222" s="572">
        <v>51.093799140000009</v>
      </c>
    </row>
    <row r="223" spans="3:19">
      <c r="C223" s="564" t="s">
        <v>1938</v>
      </c>
      <c r="D223" s="564" t="s">
        <v>1939</v>
      </c>
      <c r="F223" s="572">
        <v>0</v>
      </c>
      <c r="G223" s="572">
        <v>0</v>
      </c>
      <c r="H223" s="572">
        <v>0</v>
      </c>
      <c r="I223" s="572">
        <v>0</v>
      </c>
      <c r="J223" s="572">
        <v>0</v>
      </c>
      <c r="K223" s="572">
        <v>0</v>
      </c>
      <c r="L223" s="572">
        <v>3.9581209421157837E-15</v>
      </c>
      <c r="M223" s="572">
        <v>-3.9581209421157837E-15</v>
      </c>
      <c r="N223" s="572">
        <v>0</v>
      </c>
      <c r="O223" s="572">
        <v>5.8207660913467412E-16</v>
      </c>
      <c r="P223" s="572">
        <v>7.4505805969238278E-15</v>
      </c>
      <c r="Q223" s="572">
        <v>38.161882689999992</v>
      </c>
      <c r="R223" s="572">
        <v>12.304184150000001</v>
      </c>
      <c r="S223" s="572">
        <v>10.06048103</v>
      </c>
    </row>
    <row r="224" spans="3:19">
      <c r="C224" s="564" t="s">
        <v>854</v>
      </c>
      <c r="D224" s="564" t="s">
        <v>1940</v>
      </c>
      <c r="F224" s="572">
        <v>17.08771389</v>
      </c>
      <c r="G224" s="572">
        <v>16.394822000000001</v>
      </c>
      <c r="H224" s="572">
        <v>17.570792170000001</v>
      </c>
      <c r="I224" s="572">
        <v>20.805854889999999</v>
      </c>
      <c r="J224" s="572">
        <v>22.91600888</v>
      </c>
      <c r="K224" s="572">
        <v>21.818455430000004</v>
      </c>
      <c r="L224" s="572">
        <v>21.653434349999987</v>
      </c>
      <c r="M224" s="572">
        <v>24.710651340000013</v>
      </c>
      <c r="N224" s="572">
        <v>23.931152000000001</v>
      </c>
      <c r="O224" s="572">
        <v>22.955336369999998</v>
      </c>
      <c r="P224" s="572">
        <v>23.127710149999999</v>
      </c>
      <c r="Q224" s="572">
        <v>26.029716870000005</v>
      </c>
      <c r="R224" s="572">
        <v>29.7197344</v>
      </c>
      <c r="S224" s="572">
        <v>27.264475620000006</v>
      </c>
    </row>
    <row r="225" spans="3:19">
      <c r="C225" s="565" t="s">
        <v>1941</v>
      </c>
      <c r="D225" s="565" t="s">
        <v>1942</v>
      </c>
      <c r="F225" s="569">
        <v>44.65521356999993</v>
      </c>
      <c r="G225" s="569">
        <v>43.130048400000092</v>
      </c>
      <c r="H225" s="569">
        <v>36.349334470000265</v>
      </c>
      <c r="I225" s="569">
        <v>145.71561692000009</v>
      </c>
      <c r="J225" s="569">
        <v>54.4703289400003</v>
      </c>
      <c r="K225" s="569">
        <v>52.16171949000001</v>
      </c>
      <c r="L225" s="569">
        <v>68.714765909999841</v>
      </c>
      <c r="M225" s="569">
        <v>-13.749526340000152</v>
      </c>
      <c r="N225" s="569">
        <v>48.626488999999999</v>
      </c>
      <c r="O225" s="569">
        <v>49.75711843999958</v>
      </c>
      <c r="P225" s="569">
        <v>42.832721769999502</v>
      </c>
      <c r="Q225" s="569">
        <v>56.816763220000269</v>
      </c>
      <c r="R225" s="569">
        <v>54.511515890000346</v>
      </c>
      <c r="S225" s="569">
        <v>61.866930150000094</v>
      </c>
    </row>
    <row r="226" spans="3:19">
      <c r="C226" s="564" t="s">
        <v>1943</v>
      </c>
      <c r="D226" s="564" t="s">
        <v>1944</v>
      </c>
      <c r="F226" s="572">
        <v>26.332489120000002</v>
      </c>
      <c r="G226" s="572">
        <v>24.761405199999999</v>
      </c>
      <c r="H226" s="572">
        <v>24.659378649999997</v>
      </c>
      <c r="I226" s="572">
        <v>24.372726400000005</v>
      </c>
      <c r="J226" s="572">
        <v>27.22805189</v>
      </c>
      <c r="K226" s="572">
        <v>28.048416689999996</v>
      </c>
      <c r="L226" s="572">
        <v>29.119038109999998</v>
      </c>
      <c r="M226" s="572">
        <v>28.205180310000003</v>
      </c>
      <c r="N226" s="572">
        <v>33.119864999999997</v>
      </c>
      <c r="O226" s="572">
        <v>31.542447290000002</v>
      </c>
      <c r="P226" s="572">
        <v>26.023163449999995</v>
      </c>
      <c r="Q226" s="572">
        <v>33.183205740000012</v>
      </c>
      <c r="R226" s="572">
        <v>34.22268236</v>
      </c>
      <c r="S226" s="572">
        <v>34.023462010000003</v>
      </c>
    </row>
    <row r="227" spans="3:19">
      <c r="C227" s="563" t="s">
        <v>1945</v>
      </c>
      <c r="D227" s="563" t="s">
        <v>1946</v>
      </c>
      <c r="F227" s="573">
        <v>35.56911800000001</v>
      </c>
      <c r="G227" s="573">
        <v>59.643712100000002</v>
      </c>
      <c r="H227" s="573">
        <v>24.497641470000001</v>
      </c>
      <c r="I227" s="573">
        <v>119.06330564</v>
      </c>
      <c r="J227" s="573">
        <v>39.07953998</v>
      </c>
      <c r="K227" s="573">
        <v>36.072724220000005</v>
      </c>
      <c r="L227" s="573">
        <v>83.310841609999997</v>
      </c>
      <c r="M227" s="573">
        <v>76.162665189999984</v>
      </c>
      <c r="N227" s="573">
        <v>40.251941000000002</v>
      </c>
      <c r="O227" s="573">
        <v>64.701510859999999</v>
      </c>
      <c r="P227" s="573">
        <v>211.29000577000002</v>
      </c>
      <c r="Q227" s="573">
        <v>58.302672810000026</v>
      </c>
      <c r="R227" s="573">
        <v>60.864970909999997</v>
      </c>
      <c r="S227" s="573">
        <v>118.17514982</v>
      </c>
    </row>
    <row r="228" spans="3:19">
      <c r="C228" s="565" t="s">
        <v>1947</v>
      </c>
      <c r="D228" s="565" t="s">
        <v>1948</v>
      </c>
      <c r="F228" s="573">
        <v>54.961831279999942</v>
      </c>
      <c r="G228" s="573">
        <v>26.274189820000053</v>
      </c>
      <c r="H228" s="573">
        <v>6.883868449999988</v>
      </c>
      <c r="I228" s="573">
        <v>253.14777866000014</v>
      </c>
      <c r="J228" s="573">
        <v>201.14418384999991</v>
      </c>
      <c r="K228" s="573">
        <v>257.5471148700002</v>
      </c>
      <c r="L228" s="573">
        <v>438.1992165700002</v>
      </c>
      <c r="M228" s="573">
        <v>111.53703170999994</v>
      </c>
      <c r="N228" s="573">
        <v>247.39171999999999</v>
      </c>
      <c r="O228" s="573">
        <v>470.96703060999994</v>
      </c>
      <c r="P228" s="573">
        <v>574.00147992999996</v>
      </c>
      <c r="Q228" s="573">
        <v>185.09172252000008</v>
      </c>
      <c r="R228" s="573">
        <v>100.58752642999993</v>
      </c>
      <c r="S228" s="573">
        <v>160.44539442999996</v>
      </c>
    </row>
    <row r="229" spans="3:19">
      <c r="C229" s="563" t="s">
        <v>1949</v>
      </c>
      <c r="D229" s="563" t="s">
        <v>1950</v>
      </c>
      <c r="F229" s="573">
        <v>902.13414257999989</v>
      </c>
      <c r="G229" s="573">
        <v>245.61782858000015</v>
      </c>
      <c r="H229" s="573">
        <v>385.92205041999983</v>
      </c>
      <c r="I229" s="573">
        <v>365.93000456000016</v>
      </c>
      <c r="J229" s="573">
        <v>351.83312480000001</v>
      </c>
      <c r="K229" s="573">
        <v>480.07731962999992</v>
      </c>
      <c r="L229" s="573">
        <v>638.59442449000016</v>
      </c>
      <c r="M229" s="573">
        <v>654.03191807999997</v>
      </c>
      <c r="N229" s="573">
        <v>485.53790900000001</v>
      </c>
      <c r="O229" s="573">
        <v>708.02165789000014</v>
      </c>
      <c r="P229" s="573">
        <v>751.36043761999986</v>
      </c>
      <c r="Q229" s="573">
        <v>672.6154630499999</v>
      </c>
      <c r="R229" s="573">
        <v>637.64975427000002</v>
      </c>
      <c r="S229" s="573">
        <v>675.01792589000013</v>
      </c>
    </row>
    <row r="230" spans="3:19">
      <c r="C230" s="566" t="s">
        <v>1951</v>
      </c>
      <c r="D230" s="566" t="s">
        <v>1952</v>
      </c>
      <c r="F230" s="574">
        <f t="shared" ref="F230:R230" si="56">SUM(F214,F216:F217,F227:F229)</f>
        <v>3600.9453206600001</v>
      </c>
      <c r="G230" s="574">
        <f t="shared" si="56"/>
        <v>2660.80323322</v>
      </c>
      <c r="H230" s="574">
        <f t="shared" si="56"/>
        <v>3060.7950387199999</v>
      </c>
      <c r="I230" s="574">
        <f t="shared" si="56"/>
        <v>3818.3160860300009</v>
      </c>
      <c r="J230" s="574">
        <f t="shared" si="56"/>
        <v>3447.3757071800001</v>
      </c>
      <c r="K230" s="574">
        <f t="shared" si="56"/>
        <v>3655.9550701100006</v>
      </c>
      <c r="L230" s="574">
        <f t="shared" si="56"/>
        <v>4108.3313329300008</v>
      </c>
      <c r="M230" s="574">
        <f t="shared" si="56"/>
        <v>4185.0526107800006</v>
      </c>
      <c r="N230" s="574">
        <f t="shared" si="56"/>
        <v>3834.1013640000001</v>
      </c>
      <c r="O230" s="574">
        <f t="shared" si="56"/>
        <v>4343.161051789999</v>
      </c>
      <c r="P230" s="574">
        <f t="shared" si="56"/>
        <v>4722.5386159599993</v>
      </c>
      <c r="Q230" s="574">
        <f t="shared" si="56"/>
        <v>5048.0364426200003</v>
      </c>
      <c r="R230" s="574">
        <f t="shared" si="56"/>
        <v>4256.2056513400003</v>
      </c>
      <c r="S230" s="574">
        <v>4656.1850033299997</v>
      </c>
    </row>
    <row r="231" spans="3:19">
      <c r="C231" s="565" t="s">
        <v>1953</v>
      </c>
      <c r="D231" s="565" t="s">
        <v>859</v>
      </c>
      <c r="F231" s="569">
        <f t="shared" ref="F231:O231" si="57">SUM(F232:F234)</f>
        <v>-854.2614841599999</v>
      </c>
      <c r="G231" s="569">
        <f t="shared" si="57"/>
        <v>-980.46012266000002</v>
      </c>
      <c r="H231" s="569">
        <f t="shared" si="57"/>
        <v>-902.72777413000006</v>
      </c>
      <c r="I231" s="569">
        <f t="shared" si="57"/>
        <v>-1190.2070709000002</v>
      </c>
      <c r="J231" s="569">
        <f t="shared" si="57"/>
        <v>-1127.6313416600001</v>
      </c>
      <c r="K231" s="569">
        <f t="shared" si="57"/>
        <v>-1148.77164556</v>
      </c>
      <c r="L231" s="569">
        <f t="shared" si="57"/>
        <v>-1094.8544381500001</v>
      </c>
      <c r="M231" s="569">
        <f t="shared" si="57"/>
        <v>-1170.0512506300001</v>
      </c>
      <c r="N231" s="569">
        <f t="shared" si="57"/>
        <v>-1105.24145</v>
      </c>
      <c r="O231" s="569">
        <f t="shared" si="57"/>
        <v>-1223.4412550099998</v>
      </c>
      <c r="P231" s="569">
        <f t="shared" ref="P231:R231" si="58">SUM(P232:P234)</f>
        <v>-1263.4350394500002</v>
      </c>
      <c r="Q231" s="569">
        <f t="shared" si="58"/>
        <v>-1644.1935900899998</v>
      </c>
      <c r="R231" s="569">
        <f t="shared" si="58"/>
        <v>-1360.6396499800001</v>
      </c>
      <c r="S231" s="569">
        <v>-1426.81040269</v>
      </c>
    </row>
    <row r="232" spans="3:19">
      <c r="C232" s="564" t="s">
        <v>1954</v>
      </c>
      <c r="D232" s="564" t="s">
        <v>1955</v>
      </c>
      <c r="F232" s="572">
        <v>-26.047428369999999</v>
      </c>
      <c r="G232" s="572">
        <v>-32.882301010000006</v>
      </c>
      <c r="H232" s="572">
        <v>-25.578334449999993</v>
      </c>
      <c r="I232" s="572">
        <v>-57.807183049999999</v>
      </c>
      <c r="J232" s="572">
        <v>-88.177034070000005</v>
      </c>
      <c r="K232" s="572">
        <v>-57.974426230000013</v>
      </c>
      <c r="L232" s="572">
        <v>-29.422533879999996</v>
      </c>
      <c r="M232" s="572">
        <v>-53.024872819999992</v>
      </c>
      <c r="N232" s="572">
        <v>-54.813713999999997</v>
      </c>
      <c r="O232" s="572">
        <v>-40.072634310000005</v>
      </c>
      <c r="P232" s="572">
        <v>-24.474392469999998</v>
      </c>
      <c r="Q232" s="572">
        <v>-24.532896140000009</v>
      </c>
      <c r="R232" s="572">
        <v>-35.55667047</v>
      </c>
      <c r="S232" s="572">
        <v>-26.09540192</v>
      </c>
    </row>
    <row r="233" spans="3:19">
      <c r="C233" s="564" t="s">
        <v>1956</v>
      </c>
      <c r="D233" s="564" t="s">
        <v>1957</v>
      </c>
      <c r="F233" s="572">
        <v>-321.43951690999995</v>
      </c>
      <c r="G233" s="572">
        <v>-348.03945004000002</v>
      </c>
      <c r="H233" s="572">
        <v>-328.83081256999998</v>
      </c>
      <c r="I233" s="572">
        <v>-364.48492977000001</v>
      </c>
      <c r="J233" s="572">
        <v>-386.47633288999998</v>
      </c>
      <c r="K233" s="572">
        <v>-380.89549479000004</v>
      </c>
      <c r="L233" s="572">
        <v>-382.72269705000014</v>
      </c>
      <c r="M233" s="572">
        <v>-222.76279126999989</v>
      </c>
      <c r="N233" s="572">
        <v>-386.91237100000001</v>
      </c>
      <c r="O233" s="572">
        <v>-396.06918023000003</v>
      </c>
      <c r="P233" s="572">
        <v>-521.0301333000001</v>
      </c>
      <c r="Q233" s="572">
        <v>-555.04775239000003</v>
      </c>
      <c r="R233" s="572">
        <v>-534.08092801000009</v>
      </c>
      <c r="S233" s="572">
        <v>-536.86227345000009</v>
      </c>
    </row>
    <row r="234" spans="3:19">
      <c r="C234" s="564" t="s">
        <v>1958</v>
      </c>
      <c r="D234" s="564" t="s">
        <v>1959</v>
      </c>
      <c r="F234" s="572">
        <v>-506.77453887999997</v>
      </c>
      <c r="G234" s="572">
        <v>-599.53837161000001</v>
      </c>
      <c r="H234" s="572">
        <v>-548.31862711000008</v>
      </c>
      <c r="I234" s="572">
        <v>-767.91495808000013</v>
      </c>
      <c r="J234" s="572">
        <v>-652.9779747</v>
      </c>
      <c r="K234" s="572">
        <v>-709.90172453999992</v>
      </c>
      <c r="L234" s="572">
        <v>-682.70920721999994</v>
      </c>
      <c r="M234" s="572">
        <v>-894.26358654000023</v>
      </c>
      <c r="N234" s="572">
        <v>-663.51536499999997</v>
      </c>
      <c r="O234" s="572">
        <v>-787.29944046999981</v>
      </c>
      <c r="P234" s="572">
        <v>-717.9305136800001</v>
      </c>
      <c r="Q234" s="572">
        <v>-1064.6129415599999</v>
      </c>
      <c r="R234" s="572">
        <v>-791.00205149999999</v>
      </c>
      <c r="S234" s="572">
        <v>-863.85272731999999</v>
      </c>
    </row>
    <row r="235" spans="3:19">
      <c r="C235" s="566" t="s">
        <v>1960</v>
      </c>
      <c r="D235" s="566" t="s">
        <v>1961</v>
      </c>
      <c r="F235" s="574">
        <f t="shared" ref="F235:R235" si="59">SUM(F230:F231)</f>
        <v>2746.6838365000003</v>
      </c>
      <c r="G235" s="574">
        <f t="shared" si="59"/>
        <v>1680.34311056</v>
      </c>
      <c r="H235" s="574">
        <f t="shared" si="59"/>
        <v>2158.0672645899999</v>
      </c>
      <c r="I235" s="574">
        <f t="shared" si="59"/>
        <v>2628.1090151300004</v>
      </c>
      <c r="J235" s="574">
        <f t="shared" si="59"/>
        <v>2319.74436552</v>
      </c>
      <c r="K235" s="574">
        <f t="shared" si="59"/>
        <v>2507.1834245500004</v>
      </c>
      <c r="L235" s="574">
        <f t="shared" si="59"/>
        <v>3013.4768947800007</v>
      </c>
      <c r="M235" s="574">
        <f t="shared" si="59"/>
        <v>3015.0013601500004</v>
      </c>
      <c r="N235" s="574">
        <f t="shared" si="59"/>
        <v>2728.8599140000001</v>
      </c>
      <c r="O235" s="574">
        <f t="shared" si="59"/>
        <v>3119.7197967799993</v>
      </c>
      <c r="P235" s="574">
        <f t="shared" si="59"/>
        <v>3459.1035765099991</v>
      </c>
      <c r="Q235" s="574">
        <f t="shared" si="59"/>
        <v>3403.8428525300005</v>
      </c>
      <c r="R235" s="574">
        <f t="shared" si="59"/>
        <v>2895.56600136</v>
      </c>
      <c r="S235" s="765">
        <f>SUM(S230:S231)</f>
        <v>3229.3746006399997</v>
      </c>
    </row>
    <row r="236" spans="3:19">
      <c r="C236" s="565" t="s">
        <v>1962</v>
      </c>
      <c r="D236" s="565" t="s">
        <v>1963</v>
      </c>
      <c r="F236" s="573">
        <f t="shared" ref="F236:R236" si="60">-F229</f>
        <v>-902.13414257999989</v>
      </c>
      <c r="G236" s="573">
        <f t="shared" si="60"/>
        <v>-245.61782858000015</v>
      </c>
      <c r="H236" s="573">
        <f t="shared" si="60"/>
        <v>-385.92205041999983</v>
      </c>
      <c r="I236" s="573">
        <f t="shared" si="60"/>
        <v>-365.93000456000016</v>
      </c>
      <c r="J236" s="573">
        <f t="shared" si="60"/>
        <v>-351.83312480000001</v>
      </c>
      <c r="K236" s="573">
        <f t="shared" si="60"/>
        <v>-480.07731962999992</v>
      </c>
      <c r="L236" s="573">
        <f t="shared" si="60"/>
        <v>-638.59442449000016</v>
      </c>
      <c r="M236" s="573">
        <f t="shared" si="60"/>
        <v>-654.03191807999997</v>
      </c>
      <c r="N236" s="573">
        <f t="shared" si="60"/>
        <v>-485.53790900000001</v>
      </c>
      <c r="O236" s="573">
        <f t="shared" si="60"/>
        <v>-708.02165789000014</v>
      </c>
      <c r="P236" s="573">
        <f t="shared" si="60"/>
        <v>-751.36043761999986</v>
      </c>
      <c r="Q236" s="573">
        <f t="shared" si="60"/>
        <v>-672.6154630499999</v>
      </c>
      <c r="R236" s="573">
        <f t="shared" si="60"/>
        <v>-637.64975427000002</v>
      </c>
      <c r="S236" s="764">
        <f>-S229</f>
        <v>-675.01792589000013</v>
      </c>
    </row>
    <row r="237" spans="3:19">
      <c r="C237" s="566" t="s">
        <v>1964</v>
      </c>
      <c r="D237" s="566" t="s">
        <v>1965</v>
      </c>
      <c r="F237" s="574">
        <f t="shared" ref="F237:O237" si="61">SUM(F235:F236)</f>
        <v>1844.5496939200004</v>
      </c>
      <c r="G237" s="574">
        <f t="shared" si="61"/>
        <v>1434.7252819799999</v>
      </c>
      <c r="H237" s="574">
        <f t="shared" si="61"/>
        <v>1772.1452141700001</v>
      </c>
      <c r="I237" s="574">
        <f t="shared" si="61"/>
        <v>2262.1790105700002</v>
      </c>
      <c r="J237" s="574">
        <f t="shared" si="61"/>
        <v>1967.91124072</v>
      </c>
      <c r="K237" s="574">
        <f t="shared" si="61"/>
        <v>2027.1061049200005</v>
      </c>
      <c r="L237" s="574">
        <f t="shared" si="61"/>
        <v>2374.8824702900006</v>
      </c>
      <c r="M237" s="574">
        <f t="shared" si="61"/>
        <v>2360.9694420700007</v>
      </c>
      <c r="N237" s="574">
        <f t="shared" si="61"/>
        <v>2243.322005</v>
      </c>
      <c r="O237" s="574">
        <f t="shared" si="61"/>
        <v>2411.6981388899994</v>
      </c>
      <c r="P237" s="574">
        <f>SUM(P235:P236)</f>
        <v>2707.7431388899995</v>
      </c>
      <c r="Q237" s="574">
        <f>SUM(Q235:Q236)</f>
        <v>2731.2273894800005</v>
      </c>
      <c r="R237" s="574">
        <f>SUM(R235:R236)</f>
        <v>2257.9162470900001</v>
      </c>
      <c r="S237" s="765">
        <f>SUM(S235:S236)</f>
        <v>2554.3566747499995</v>
      </c>
    </row>
    <row r="238" spans="3:19">
      <c r="C238" s="567" t="s">
        <v>1966</v>
      </c>
      <c r="D238" s="567" t="s">
        <v>1967</v>
      </c>
      <c r="F238" s="570">
        <v>-1106.3366459200001</v>
      </c>
      <c r="G238" s="570">
        <v>-977.04782416999979</v>
      </c>
      <c r="H238" s="570">
        <v>-1037.4188534800001</v>
      </c>
      <c r="I238" s="570">
        <v>-1490.6222337300001</v>
      </c>
      <c r="J238" s="570">
        <v>-1101.7847886</v>
      </c>
      <c r="K238" s="570">
        <v>-1159.27574095</v>
      </c>
      <c r="L238" s="570">
        <v>-1394.0562060999996</v>
      </c>
      <c r="M238" s="570">
        <v>-1535.8467103500002</v>
      </c>
      <c r="N238" s="570">
        <v>-1217.406843</v>
      </c>
      <c r="O238" s="570">
        <v>-1444.9653015099998</v>
      </c>
      <c r="P238" s="570">
        <v>-1664.57378309</v>
      </c>
      <c r="Q238" s="570">
        <v>-1550.6924491700004</v>
      </c>
      <c r="R238" s="570">
        <v>-1278.80660059</v>
      </c>
      <c r="S238" s="761">
        <v>-1443.5717166700001</v>
      </c>
    </row>
    <row r="239" spans="3:19">
      <c r="C239" s="566" t="s">
        <v>1968</v>
      </c>
      <c r="D239" s="566" t="s">
        <v>1969</v>
      </c>
      <c r="F239" s="574">
        <f t="shared" ref="F239:O239" si="62">SUM(F237:F238)</f>
        <v>738.2130480000003</v>
      </c>
      <c r="G239" s="574">
        <f t="shared" si="62"/>
        <v>457.67745781000008</v>
      </c>
      <c r="H239" s="574">
        <f t="shared" si="62"/>
        <v>734.72636069000009</v>
      </c>
      <c r="I239" s="574">
        <f t="shared" si="62"/>
        <v>771.55677684000011</v>
      </c>
      <c r="J239" s="574">
        <f t="shared" si="62"/>
        <v>866.12645212000007</v>
      </c>
      <c r="K239" s="574">
        <f t="shared" si="62"/>
        <v>867.83036397000046</v>
      </c>
      <c r="L239" s="574">
        <f t="shared" si="62"/>
        <v>980.82626419000098</v>
      </c>
      <c r="M239" s="574">
        <f t="shared" si="62"/>
        <v>825.1227317200005</v>
      </c>
      <c r="N239" s="574">
        <f t="shared" si="62"/>
        <v>1025.915162</v>
      </c>
      <c r="O239" s="574">
        <f t="shared" si="62"/>
        <v>966.73283737999964</v>
      </c>
      <c r="P239" s="574">
        <f>SUM(P237:P238)</f>
        <v>1043.1693557999995</v>
      </c>
      <c r="Q239" s="574">
        <f>SUM(Q237:Q238)</f>
        <v>1180.5349403100001</v>
      </c>
      <c r="R239" s="574">
        <f>SUM(R237:R238)</f>
        <v>979.10964650000005</v>
      </c>
      <c r="S239" s="765">
        <f>SUM(S237:S238)</f>
        <v>1110.7849580799993</v>
      </c>
    </row>
    <row r="240" spans="3:19">
      <c r="C240" s="567" t="s">
        <v>1970</v>
      </c>
      <c r="D240" s="567" t="s">
        <v>1971</v>
      </c>
      <c r="F240" s="570">
        <v>-61.8178451</v>
      </c>
      <c r="G240" s="570">
        <v>109.0332701779493</v>
      </c>
      <c r="H240" s="570">
        <v>-61.980855327124516</v>
      </c>
      <c r="I240" s="570">
        <v>81.890464807501417</v>
      </c>
      <c r="J240" s="570">
        <v>34.375552110294834</v>
      </c>
      <c r="K240" s="570">
        <v>0</v>
      </c>
      <c r="L240" s="570">
        <v>0</v>
      </c>
      <c r="M240" s="570">
        <v>162.21700000000001</v>
      </c>
      <c r="N240" s="570">
        <v>0</v>
      </c>
      <c r="O240" s="570">
        <v>0</v>
      </c>
      <c r="P240" s="570">
        <v>0</v>
      </c>
      <c r="Q240" s="570">
        <v>0</v>
      </c>
      <c r="R240" s="570">
        <v>68.632765991569784</v>
      </c>
      <c r="S240" s="761">
        <v>0</v>
      </c>
    </row>
    <row r="241" spans="3:19">
      <c r="C241" s="567" t="s">
        <v>1972</v>
      </c>
      <c r="D241" s="567" t="s">
        <v>1972</v>
      </c>
      <c r="F241" s="570">
        <f t="shared" ref="F241:R241" si="63">-F222</f>
        <v>-16.791584480000001</v>
      </c>
      <c r="G241" s="570">
        <f t="shared" si="63"/>
        <v>-5.2600924899999981</v>
      </c>
      <c r="H241" s="570">
        <f t="shared" si="63"/>
        <v>-10.900251740000002</v>
      </c>
      <c r="I241" s="570">
        <f t="shared" si="63"/>
        <v>4.725746280000001</v>
      </c>
      <c r="J241" s="570">
        <f t="shared" si="63"/>
        <v>-22.331191350000001</v>
      </c>
      <c r="K241" s="570">
        <f t="shared" si="63"/>
        <v>-16.236640749999999</v>
      </c>
      <c r="L241" s="570">
        <f t="shared" si="63"/>
        <v>-11.14479643</v>
      </c>
      <c r="M241" s="570">
        <f t="shared" si="63"/>
        <v>-25.371000469999998</v>
      </c>
      <c r="N241" s="570">
        <f t="shared" si="63"/>
        <v>-39.499234999999999</v>
      </c>
      <c r="O241" s="570">
        <f t="shared" si="63"/>
        <v>-20.55184354</v>
      </c>
      <c r="P241" s="570">
        <f t="shared" si="63"/>
        <v>-16.930506279999992</v>
      </c>
      <c r="Q241" s="570">
        <f t="shared" si="63"/>
        <v>-13.458811680000004</v>
      </c>
      <c r="R241" s="570">
        <f t="shared" si="63"/>
        <v>-35.250098119999997</v>
      </c>
      <c r="S241" s="761">
        <f>-S222</f>
        <v>-51.093799140000009</v>
      </c>
    </row>
    <row r="242" spans="3:19">
      <c r="C242" s="566" t="s">
        <v>1973</v>
      </c>
      <c r="D242" s="566" t="s">
        <v>1974</v>
      </c>
      <c r="F242" s="574">
        <f t="shared" ref="F242:O242" si="64">SUM(F239:F241)</f>
        <v>659.60361842000032</v>
      </c>
      <c r="G242" s="574">
        <f t="shared" si="64"/>
        <v>561.45063549794941</v>
      </c>
      <c r="H242" s="574">
        <f t="shared" si="64"/>
        <v>661.84525362287548</v>
      </c>
      <c r="I242" s="574">
        <f t="shared" si="64"/>
        <v>858.17298792750148</v>
      </c>
      <c r="J242" s="574">
        <f t="shared" si="64"/>
        <v>878.17081288029487</v>
      </c>
      <c r="K242" s="574">
        <f t="shared" si="64"/>
        <v>851.59372322000047</v>
      </c>
      <c r="L242" s="574">
        <f t="shared" si="64"/>
        <v>969.68146776000094</v>
      </c>
      <c r="M242" s="574">
        <f t="shared" si="64"/>
        <v>961.96873125000047</v>
      </c>
      <c r="N242" s="574">
        <f t="shared" si="64"/>
        <v>986.41592700000001</v>
      </c>
      <c r="O242" s="574">
        <f t="shared" si="64"/>
        <v>946.18099383999959</v>
      </c>
      <c r="P242" s="574">
        <f>SUM(P239:P241)</f>
        <v>1026.2388495199996</v>
      </c>
      <c r="Q242" s="574">
        <f>SUM(Q239:Q241)</f>
        <v>1167.0761286300001</v>
      </c>
      <c r="R242" s="574">
        <f>SUM(R239:R241)</f>
        <v>1012.4923143715699</v>
      </c>
      <c r="S242" s="765">
        <f>SUM(S239:S241)</f>
        <v>1059.6911589399992</v>
      </c>
    </row>
    <row r="244" spans="3:19">
      <c r="C244" s="560" t="s">
        <v>1024</v>
      </c>
      <c r="D244" s="560" t="s">
        <v>1024</v>
      </c>
      <c r="F244" s="541" t="s">
        <v>79</v>
      </c>
      <c r="G244" s="541" t="s">
        <v>80</v>
      </c>
      <c r="H244" s="541" t="s">
        <v>81</v>
      </c>
      <c r="I244" s="541" t="s">
        <v>82</v>
      </c>
      <c r="J244" s="541" t="s">
        <v>83</v>
      </c>
      <c r="K244" s="541" t="s">
        <v>84</v>
      </c>
      <c r="L244" s="541" t="s">
        <v>85</v>
      </c>
      <c r="M244" s="541" t="s">
        <v>86</v>
      </c>
      <c r="N244" s="541" t="s">
        <v>87</v>
      </c>
      <c r="O244" s="541" t="s">
        <v>88</v>
      </c>
      <c r="P244" s="541" t="s">
        <v>2074</v>
      </c>
      <c r="Q244" s="541" t="s">
        <v>2127</v>
      </c>
      <c r="R244" s="541" t="str">
        <f>$R$6</f>
        <v>1T26</v>
      </c>
      <c r="S244" s="541" t="str">
        <f>$S$6</f>
        <v>2T26</v>
      </c>
    </row>
    <row r="245" spans="3:19">
      <c r="C245" s="561"/>
      <c r="D245" s="561"/>
    </row>
    <row r="246" spans="3:19">
      <c r="C246" s="562" t="s">
        <v>1919</v>
      </c>
      <c r="D246" s="562" t="s">
        <v>1920</v>
      </c>
      <c r="F246" s="568"/>
      <c r="G246" s="568"/>
      <c r="H246" s="568"/>
      <c r="I246" s="568"/>
      <c r="J246" s="568"/>
      <c r="K246" s="568"/>
      <c r="L246" s="568"/>
      <c r="M246" s="568"/>
      <c r="N246" s="568"/>
      <c r="O246" s="568"/>
      <c r="P246" s="568"/>
      <c r="Q246" s="568"/>
      <c r="R246" s="568"/>
      <c r="S246" s="759"/>
    </row>
    <row r="247" spans="3:19">
      <c r="C247" s="561"/>
      <c r="D247" s="561"/>
    </row>
    <row r="248" spans="3:19">
      <c r="C248" s="563" t="s">
        <v>1921</v>
      </c>
      <c r="D248" s="563" t="s">
        <v>1922</v>
      </c>
      <c r="F248" s="569">
        <f>F10+F44+F78+F112+F146+F180+F214</f>
        <v>8180.5024778499992</v>
      </c>
      <c r="G248" s="569">
        <f t="shared" ref="G248:Q248" si="65">G10+G44+G78+G112+G146+G180+G214</f>
        <v>7853.9530566200001</v>
      </c>
      <c r="H248" s="569">
        <f t="shared" si="65"/>
        <v>8722.8247846399991</v>
      </c>
      <c r="I248" s="569">
        <f t="shared" si="65"/>
        <v>9830.4243797199997</v>
      </c>
      <c r="J248" s="569">
        <f t="shared" si="65"/>
        <v>9428.4862160800003</v>
      </c>
      <c r="K248" s="569">
        <f t="shared" si="65"/>
        <v>9169.2288924899985</v>
      </c>
      <c r="L248" s="569">
        <f t="shared" si="65"/>
        <v>9462.8131840800015</v>
      </c>
      <c r="M248" s="569">
        <f t="shared" si="65"/>
        <v>10190.13089303</v>
      </c>
      <c r="N248" s="569">
        <f t="shared" si="65"/>
        <v>9226.2431092700008</v>
      </c>
      <c r="O248" s="569">
        <f t="shared" si="65"/>
        <v>9440.1902332600002</v>
      </c>
      <c r="P248" s="569">
        <f t="shared" si="65"/>
        <v>9597.4750059899998</v>
      </c>
      <c r="Q248" s="569">
        <f t="shared" si="65"/>
        <v>11064.520198790002</v>
      </c>
      <c r="R248" s="569">
        <f t="shared" ref="R248" si="66">R10+R44+R78+R112+R146+R180+R214</f>
        <v>10134.204433170002</v>
      </c>
      <c r="S248" s="760">
        <f t="shared" ref="S248:S276" si="67">S10+S44+S78+S112+S146+S180+S214</f>
        <v>10550.476602510002</v>
      </c>
    </row>
    <row r="249" spans="3:19">
      <c r="C249" s="564" t="s">
        <v>1923</v>
      </c>
      <c r="D249" s="564" t="s">
        <v>1924</v>
      </c>
      <c r="F249" s="570">
        <f t="shared" ref="F249:Q249" si="68">F11+F45+F79+F113+F147+F181+F215</f>
        <v>115.86278971999999</v>
      </c>
      <c r="G249" s="570">
        <f t="shared" si="68"/>
        <v>-78.557052649999989</v>
      </c>
      <c r="H249" s="570">
        <f t="shared" si="68"/>
        <v>173.10407979999997</v>
      </c>
      <c r="I249" s="570">
        <f t="shared" si="68"/>
        <v>28.384474099999991</v>
      </c>
      <c r="J249" s="570">
        <f t="shared" si="68"/>
        <v>94.511610939999997</v>
      </c>
      <c r="K249" s="570">
        <f t="shared" si="68"/>
        <v>-106.06659399999998</v>
      </c>
      <c r="L249" s="570">
        <f t="shared" si="68"/>
        <v>21.388841929999991</v>
      </c>
      <c r="M249" s="570">
        <f t="shared" si="68"/>
        <v>-98.09744446000002</v>
      </c>
      <c r="N249" s="570">
        <f t="shared" si="68"/>
        <v>92.110668779999983</v>
      </c>
      <c r="O249" s="570">
        <f t="shared" si="68"/>
        <v>-21.019259130000002</v>
      </c>
      <c r="P249" s="570">
        <f t="shared" si="68"/>
        <v>64.321806529999989</v>
      </c>
      <c r="Q249" s="570">
        <f t="shared" si="68"/>
        <v>63.047001829999999</v>
      </c>
      <c r="R249" s="570">
        <f t="shared" ref="R249" si="69">R11+R45+R79+R113+R147+R181+R215</f>
        <v>41.742619959999999</v>
      </c>
      <c r="S249" s="761">
        <f t="shared" si="67"/>
        <v>8.9563370000021791E-2</v>
      </c>
    </row>
    <row r="250" spans="3:19">
      <c r="C250" s="565" t="s">
        <v>1925</v>
      </c>
      <c r="D250" s="565" t="s">
        <v>1926</v>
      </c>
      <c r="F250" s="571">
        <f t="shared" ref="F250:Q250" si="70">F12+F46+F80+F114+F148+F182+F216</f>
        <v>-34.551673649999998</v>
      </c>
      <c r="G250" s="571">
        <f t="shared" si="70"/>
        <v>-27.137843629999999</v>
      </c>
      <c r="H250" s="571">
        <f t="shared" si="70"/>
        <v>-48.617094799999997</v>
      </c>
      <c r="I250" s="571">
        <f t="shared" si="70"/>
        <v>-47.937692379999994</v>
      </c>
      <c r="J250" s="571">
        <f t="shared" si="70"/>
        <v>-49.23013469</v>
      </c>
      <c r="K250" s="571">
        <f t="shared" si="70"/>
        <v>-54.305900199999996</v>
      </c>
      <c r="L250" s="571">
        <f t="shared" si="70"/>
        <v>-49.840427169999998</v>
      </c>
      <c r="M250" s="571">
        <f t="shared" si="70"/>
        <v>-48.000257500000004</v>
      </c>
      <c r="N250" s="571">
        <f t="shared" si="70"/>
        <v>-51.278721139999995</v>
      </c>
      <c r="O250" s="571">
        <f t="shared" si="70"/>
        <v>-55.754319789999997</v>
      </c>
      <c r="P250" s="571">
        <f t="shared" si="70"/>
        <v>-46.915362309999999</v>
      </c>
      <c r="Q250" s="571">
        <f t="shared" si="70"/>
        <v>-55.777668519999992</v>
      </c>
      <c r="R250" s="571">
        <f t="shared" ref="R250" si="71">R12+R46+R80+R114+R148+R182+R216</f>
        <v>-54.160671170000001</v>
      </c>
      <c r="S250" s="762">
        <f t="shared" si="67"/>
        <v>-58.665532030000001</v>
      </c>
    </row>
    <row r="251" spans="3:19">
      <c r="C251" s="565" t="s">
        <v>1927</v>
      </c>
      <c r="D251" s="565" t="s">
        <v>1928</v>
      </c>
      <c r="F251" s="569">
        <f t="shared" ref="F251:Q251" si="72">F13+F47+F81+F115+F149+F183+F217</f>
        <v>1478.8146721000001</v>
      </c>
      <c r="G251" s="569">
        <f t="shared" si="72"/>
        <v>1647.3331040800001</v>
      </c>
      <c r="H251" s="569">
        <f t="shared" si="72"/>
        <v>1959.3439311400004</v>
      </c>
      <c r="I251" s="569">
        <f t="shared" si="72"/>
        <v>2237.5585011900002</v>
      </c>
      <c r="J251" s="569">
        <f t="shared" si="72"/>
        <v>1962.2434019900002</v>
      </c>
      <c r="K251" s="569">
        <f t="shared" si="72"/>
        <v>2085.6712986700004</v>
      </c>
      <c r="L251" s="569">
        <f t="shared" si="72"/>
        <v>2159.3595415199998</v>
      </c>
      <c r="M251" s="569">
        <f t="shared" si="72"/>
        <v>2495.3392752700001</v>
      </c>
      <c r="N251" s="569">
        <f t="shared" si="72"/>
        <v>2416.6967379099997</v>
      </c>
      <c r="O251" s="569">
        <f t="shared" si="72"/>
        <v>2490.1185009599994</v>
      </c>
      <c r="P251" s="569">
        <f t="shared" si="72"/>
        <v>2933.2831171399994</v>
      </c>
      <c r="Q251" s="569">
        <f t="shared" si="72"/>
        <v>3385.1706772300004</v>
      </c>
      <c r="R251" s="569">
        <f t="shared" ref="R251" si="73">R13+R47+R81+R115+R149+R183+R217</f>
        <v>3309.4359809300004</v>
      </c>
      <c r="S251" s="760">
        <f t="shared" si="67"/>
        <v>3524.5309651299999</v>
      </c>
    </row>
    <row r="252" spans="3:19">
      <c r="C252" s="564" t="s">
        <v>1929</v>
      </c>
      <c r="D252" s="564" t="s">
        <v>1930</v>
      </c>
      <c r="F252" s="572">
        <f t="shared" ref="F252:Q252" si="74">F14+F48+F82+F116+F150+F184+F218</f>
        <v>313.86800689</v>
      </c>
      <c r="G252" s="572">
        <f t="shared" si="74"/>
        <v>324.65507233</v>
      </c>
      <c r="H252" s="572">
        <f t="shared" si="74"/>
        <v>335.74805916999998</v>
      </c>
      <c r="I252" s="572">
        <f t="shared" si="74"/>
        <v>376.32993029999989</v>
      </c>
      <c r="J252" s="572">
        <f t="shared" si="74"/>
        <v>388.15378756999996</v>
      </c>
      <c r="K252" s="572">
        <f t="shared" si="74"/>
        <v>388.06692467000005</v>
      </c>
      <c r="L252" s="572">
        <f t="shared" si="74"/>
        <v>392.70833800000003</v>
      </c>
      <c r="M252" s="572">
        <f t="shared" si="74"/>
        <v>408.02089244000001</v>
      </c>
      <c r="N252" s="572">
        <f t="shared" si="74"/>
        <v>394.81961436999995</v>
      </c>
      <c r="O252" s="572">
        <f t="shared" si="74"/>
        <v>392.24667234000009</v>
      </c>
      <c r="P252" s="572">
        <f t="shared" si="74"/>
        <v>625.27963960999989</v>
      </c>
      <c r="Q252" s="572">
        <f t="shared" si="74"/>
        <v>606.40648936000014</v>
      </c>
      <c r="R252" s="572">
        <f t="shared" ref="R252" si="75">R14+R48+R82+R116+R150+R184+R218</f>
        <v>656.64278250000007</v>
      </c>
      <c r="S252" s="763">
        <f t="shared" si="67"/>
        <v>629.87953375999996</v>
      </c>
    </row>
    <row r="253" spans="3:19">
      <c r="C253" s="564" t="s">
        <v>1931</v>
      </c>
      <c r="D253" s="564" t="s">
        <v>1932</v>
      </c>
      <c r="F253" s="572">
        <f t="shared" ref="F253:Q253" si="76">F15+F49+F83+F117+F151+F185+F219</f>
        <v>306.71748208999998</v>
      </c>
      <c r="G253" s="572">
        <f t="shared" si="76"/>
        <v>331.65419357000002</v>
      </c>
      <c r="H253" s="572">
        <f t="shared" si="76"/>
        <v>401.58771215000002</v>
      </c>
      <c r="I253" s="572">
        <f t="shared" si="76"/>
        <v>406.68941042000006</v>
      </c>
      <c r="J253" s="572">
        <f t="shared" si="76"/>
        <v>364.30740828</v>
      </c>
      <c r="K253" s="572">
        <f t="shared" si="76"/>
        <v>466.99495674999997</v>
      </c>
      <c r="L253" s="572">
        <f t="shared" si="76"/>
        <v>343.4513711724984</v>
      </c>
      <c r="M253" s="572">
        <f t="shared" si="76"/>
        <v>538.0496521765624</v>
      </c>
      <c r="N253" s="572">
        <f t="shared" si="76"/>
        <v>589.80878297999993</v>
      </c>
      <c r="O253" s="572">
        <f t="shared" si="76"/>
        <v>645.44002897000007</v>
      </c>
      <c r="P253" s="572">
        <f t="shared" si="76"/>
        <v>685.55242101999988</v>
      </c>
      <c r="Q253" s="572">
        <f t="shared" si="76"/>
        <v>967.98405879000006</v>
      </c>
      <c r="R253" s="572">
        <f t="shared" ref="R253" si="77">R15+R49+R83+R117+R151+R185+R219</f>
        <v>790.14871758000004</v>
      </c>
      <c r="S253" s="763">
        <f t="shared" si="67"/>
        <v>822.7035231000001</v>
      </c>
    </row>
    <row r="254" spans="3:19">
      <c r="C254" s="564" t="s">
        <v>1933</v>
      </c>
      <c r="D254" s="564" t="s">
        <v>1934</v>
      </c>
      <c r="F254" s="572">
        <f t="shared" ref="F254:Q254" si="78">F16+F50+F84+F118+F152+F186+F220</f>
        <v>0</v>
      </c>
      <c r="G254" s="572">
        <f t="shared" si="78"/>
        <v>0</v>
      </c>
      <c r="H254" s="572">
        <f t="shared" si="78"/>
        <v>0</v>
      </c>
      <c r="I254" s="572">
        <f t="shared" si="78"/>
        <v>0</v>
      </c>
      <c r="J254" s="572">
        <f t="shared" si="78"/>
        <v>0</v>
      </c>
      <c r="K254" s="572">
        <f t="shared" si="78"/>
        <v>0</v>
      </c>
      <c r="L254" s="572">
        <f t="shared" si="78"/>
        <v>161.78775205750159</v>
      </c>
      <c r="M254" s="572">
        <f t="shared" si="78"/>
        <v>228.99357134343765</v>
      </c>
      <c r="N254" s="572">
        <f t="shared" si="78"/>
        <v>0</v>
      </c>
      <c r="O254" s="572">
        <f t="shared" si="78"/>
        <v>0</v>
      </c>
      <c r="P254" s="572">
        <f t="shared" si="78"/>
        <v>0</v>
      </c>
      <c r="Q254" s="572">
        <f t="shared" si="78"/>
        <v>0</v>
      </c>
      <c r="R254" s="572">
        <f t="shared" ref="R254" si="79">R16+R50+R84+R118+R152+R186+R220</f>
        <v>0</v>
      </c>
      <c r="S254" s="763">
        <f t="shared" si="67"/>
        <v>0</v>
      </c>
    </row>
    <row r="255" spans="3:19">
      <c r="C255" s="564" t="s">
        <v>1935</v>
      </c>
      <c r="D255" s="564" t="s">
        <v>1936</v>
      </c>
      <c r="F255" s="572">
        <f t="shared" ref="F255:Q255" si="80">F17+F51+F85+F119+F153+F187+F221</f>
        <v>585.51810559000012</v>
      </c>
      <c r="G255" s="572">
        <f t="shared" si="80"/>
        <v>609.48040832999993</v>
      </c>
      <c r="H255" s="572">
        <f t="shared" si="80"/>
        <v>654.87571999000011</v>
      </c>
      <c r="I255" s="572">
        <f t="shared" si="80"/>
        <v>679.4554289900002</v>
      </c>
      <c r="J255" s="572">
        <f t="shared" si="80"/>
        <v>686.97417710999991</v>
      </c>
      <c r="K255" s="572">
        <f t="shared" si="80"/>
        <v>726.86702437000019</v>
      </c>
      <c r="L255" s="572">
        <f t="shared" si="80"/>
        <v>733.70799078000005</v>
      </c>
      <c r="M255" s="572">
        <f t="shared" si="80"/>
        <v>781.3624854000002</v>
      </c>
      <c r="N255" s="572">
        <f t="shared" si="80"/>
        <v>795.56743430999973</v>
      </c>
      <c r="O255" s="572">
        <f t="shared" si="80"/>
        <v>881.53333619000023</v>
      </c>
      <c r="P255" s="572">
        <f t="shared" si="80"/>
        <v>874.49476988999982</v>
      </c>
      <c r="Q255" s="572">
        <f t="shared" si="80"/>
        <v>1030.4672415700002</v>
      </c>
      <c r="R255" s="572">
        <f t="shared" ref="R255" si="81">R17+R51+R85+R119+R153+R187+R221</f>
        <v>1078.34771329</v>
      </c>
      <c r="S255" s="763">
        <f t="shared" si="67"/>
        <v>1040.4931874099998</v>
      </c>
    </row>
    <row r="256" spans="3:19">
      <c r="C256" s="564" t="s">
        <v>1937</v>
      </c>
      <c r="D256" s="564" t="s">
        <v>619</v>
      </c>
      <c r="F256" s="572">
        <f t="shared" ref="F256:Q256" si="82">F18+F52+F86+F120+F154+F188+F222</f>
        <v>32.568996449999993</v>
      </c>
      <c r="G256" s="572">
        <f t="shared" si="82"/>
        <v>96.263215729999985</v>
      </c>
      <c r="H256" s="572">
        <f t="shared" si="82"/>
        <v>292.46779280999999</v>
      </c>
      <c r="I256" s="572">
        <f t="shared" si="82"/>
        <v>197.62915752999993</v>
      </c>
      <c r="J256" s="572">
        <f t="shared" si="82"/>
        <v>200.72769393999999</v>
      </c>
      <c r="K256" s="572">
        <f t="shared" si="82"/>
        <v>169.57867533000001</v>
      </c>
      <c r="L256" s="572">
        <f t="shared" si="82"/>
        <v>55.521429239999968</v>
      </c>
      <c r="M256" s="572">
        <f t="shared" si="82"/>
        <v>177.50100680000003</v>
      </c>
      <c r="N256" s="572">
        <f t="shared" si="82"/>
        <v>343.55930715000005</v>
      </c>
      <c r="O256" s="572">
        <f t="shared" si="82"/>
        <v>207.80030794999993</v>
      </c>
      <c r="P256" s="572">
        <f t="shared" si="82"/>
        <v>41.903720080000042</v>
      </c>
      <c r="Q256" s="572">
        <f t="shared" si="82"/>
        <v>96.001731960000029</v>
      </c>
      <c r="R256" s="572">
        <f t="shared" ref="R256" si="83">R18+R52+R86+R120+R154+R188+R222</f>
        <v>348.94604835000001</v>
      </c>
      <c r="S256" s="763">
        <f t="shared" si="67"/>
        <v>299.68050650999999</v>
      </c>
    </row>
    <row r="257" spans="3:19">
      <c r="C257" s="564" t="s">
        <v>1938</v>
      </c>
      <c r="D257" s="564" t="s">
        <v>1939</v>
      </c>
      <c r="F257" s="572">
        <f t="shared" ref="F257:Q257" si="84">F19+F53+F87+F121+F155+F189+F223</f>
        <v>22.598926889999998</v>
      </c>
      <c r="G257" s="572">
        <f t="shared" si="84"/>
        <v>27.167204570000003</v>
      </c>
      <c r="H257" s="572">
        <f t="shared" si="84"/>
        <v>26.925097960000002</v>
      </c>
      <c r="I257" s="572">
        <f t="shared" si="84"/>
        <v>25.800695799999996</v>
      </c>
      <c r="J257" s="572">
        <f t="shared" si="84"/>
        <v>25.712098010000002</v>
      </c>
      <c r="K257" s="572">
        <f t="shared" si="84"/>
        <v>25.175344200000001</v>
      </c>
      <c r="L257" s="572">
        <f t="shared" si="84"/>
        <v>123.84033965999998</v>
      </c>
      <c r="M257" s="572">
        <f t="shared" si="84"/>
        <v>257.02293888999998</v>
      </c>
      <c r="N257" s="572">
        <f t="shared" si="84"/>
        <v>33.683275430000002</v>
      </c>
      <c r="O257" s="572">
        <f t="shared" si="84"/>
        <v>102.12313845</v>
      </c>
      <c r="P257" s="572">
        <f t="shared" si="84"/>
        <v>444.23968097999989</v>
      </c>
      <c r="Q257" s="572">
        <f t="shared" si="84"/>
        <v>389.28675762999995</v>
      </c>
      <c r="R257" s="572">
        <f t="shared" ref="R257" si="85">R19+R53+R87+R121+R155+R189+R223</f>
        <v>142.52610823999999</v>
      </c>
      <c r="S257" s="763">
        <f t="shared" si="67"/>
        <v>94.371102119999989</v>
      </c>
    </row>
    <row r="258" spans="3:19">
      <c r="C258" s="564" t="s">
        <v>854</v>
      </c>
      <c r="D258" s="564" t="s">
        <v>1940</v>
      </c>
      <c r="F258" s="572">
        <f t="shared" ref="F258:Q258" si="86">F20+F54+F88+F122+F156+F190+F224</f>
        <v>70.777253349999995</v>
      </c>
      <c r="G258" s="572">
        <f t="shared" si="86"/>
        <v>72.681375130000006</v>
      </c>
      <c r="H258" s="572">
        <f t="shared" si="86"/>
        <v>77.251034939999997</v>
      </c>
      <c r="I258" s="572">
        <f t="shared" si="86"/>
        <v>89.974444510000012</v>
      </c>
      <c r="J258" s="572">
        <f t="shared" si="86"/>
        <v>87.827191619999979</v>
      </c>
      <c r="K258" s="572">
        <f t="shared" si="86"/>
        <v>84.145312140000001</v>
      </c>
      <c r="L258" s="572">
        <f t="shared" si="86"/>
        <v>91.660695359999977</v>
      </c>
      <c r="M258" s="572">
        <f t="shared" si="86"/>
        <v>102.92337088000004</v>
      </c>
      <c r="N258" s="572">
        <f t="shared" si="86"/>
        <v>93.103792400000003</v>
      </c>
      <c r="O258" s="572">
        <f t="shared" si="86"/>
        <v>90.771303089999989</v>
      </c>
      <c r="P258" s="572">
        <f t="shared" si="86"/>
        <v>96.106710650000011</v>
      </c>
      <c r="Q258" s="572">
        <f t="shared" si="86"/>
        <v>105.29913155999999</v>
      </c>
      <c r="R258" s="572">
        <f t="shared" ref="R258" si="87">R20+R54+R88+R122+R156+R190+R224</f>
        <v>106.85862223000001</v>
      </c>
      <c r="S258" s="763">
        <f t="shared" si="67"/>
        <v>102.46018361000003</v>
      </c>
    </row>
    <row r="259" spans="3:19">
      <c r="C259" s="565" t="s">
        <v>1941</v>
      </c>
      <c r="D259" s="565" t="s">
        <v>1942</v>
      </c>
      <c r="F259" s="569">
        <f t="shared" ref="F259:Q259" si="88">F21+F55+F89+F123+F157+F191+F225</f>
        <v>146.76590083999992</v>
      </c>
      <c r="G259" s="569">
        <f t="shared" si="88"/>
        <v>185.43163442000008</v>
      </c>
      <c r="H259" s="569">
        <f t="shared" si="88"/>
        <v>170.48851412000022</v>
      </c>
      <c r="I259" s="569">
        <f t="shared" si="88"/>
        <v>461.67943364000007</v>
      </c>
      <c r="J259" s="569">
        <f t="shared" si="88"/>
        <v>208.5410454600003</v>
      </c>
      <c r="K259" s="569">
        <f t="shared" si="88"/>
        <v>224.84306120999997</v>
      </c>
      <c r="L259" s="569">
        <f t="shared" si="88"/>
        <v>256.68162524999985</v>
      </c>
      <c r="M259" s="569">
        <f t="shared" si="88"/>
        <v>1.465357339999823</v>
      </c>
      <c r="N259" s="569">
        <f t="shared" si="88"/>
        <v>166.15453127000001</v>
      </c>
      <c r="O259" s="569">
        <f t="shared" si="88"/>
        <v>170.2037139699996</v>
      </c>
      <c r="P259" s="569">
        <f t="shared" si="88"/>
        <v>165.7061749099995</v>
      </c>
      <c r="Q259" s="569">
        <f t="shared" si="88"/>
        <v>189.72526636000026</v>
      </c>
      <c r="R259" s="569">
        <f t="shared" ref="R259" si="89">R21+R55+R89+R123+R157+R191+R225</f>
        <v>185.96598874000031</v>
      </c>
      <c r="S259" s="760">
        <f t="shared" si="67"/>
        <v>534.94292862000009</v>
      </c>
    </row>
    <row r="260" spans="3:19">
      <c r="C260" s="564" t="s">
        <v>1943</v>
      </c>
      <c r="D260" s="564" t="s">
        <v>1944</v>
      </c>
      <c r="F260" s="572">
        <f t="shared" ref="F260:Q260" si="90">F22+F56+F90+F124+F158+F192+F226</f>
        <v>65.45223876</v>
      </c>
      <c r="G260" s="572">
        <f t="shared" si="90"/>
        <v>103.92860523</v>
      </c>
      <c r="H260" s="572">
        <f t="shared" si="90"/>
        <v>108.18010208</v>
      </c>
      <c r="I260" s="572">
        <f t="shared" si="90"/>
        <v>101.79096749000001</v>
      </c>
      <c r="J260" s="572">
        <f t="shared" si="90"/>
        <v>103.33759163000001</v>
      </c>
      <c r="K260" s="572">
        <f t="shared" si="90"/>
        <v>108.29674824</v>
      </c>
      <c r="L260" s="572">
        <f t="shared" si="90"/>
        <v>112.42848202000002</v>
      </c>
      <c r="M260" s="572">
        <f t="shared" si="90"/>
        <v>97.073396579999994</v>
      </c>
      <c r="N260" s="572">
        <f t="shared" si="90"/>
        <v>107.22519707000001</v>
      </c>
      <c r="O260" s="572">
        <f t="shared" si="90"/>
        <v>106.98766896000001</v>
      </c>
      <c r="P260" s="572">
        <f t="shared" si="90"/>
        <v>102.75528330000002</v>
      </c>
      <c r="Q260" s="572">
        <f t="shared" si="90"/>
        <v>111.53694897</v>
      </c>
      <c r="R260" s="572">
        <f t="shared" ref="R260" si="91">R22+R56+R90+R124+R158+R192+R226</f>
        <v>115.26561816999998</v>
      </c>
      <c r="S260" s="763">
        <f t="shared" si="67"/>
        <v>109.94848202</v>
      </c>
    </row>
    <row r="261" spans="3:19">
      <c r="C261" s="563" t="s">
        <v>1945</v>
      </c>
      <c r="D261" s="563" t="s">
        <v>1946</v>
      </c>
      <c r="F261" s="573">
        <f t="shared" ref="F261:Q261" si="92">F23+F57+F91+F125+F159+F193+F227</f>
        <v>96.740561270000001</v>
      </c>
      <c r="G261" s="573">
        <f t="shared" si="92"/>
        <v>124.06625348</v>
      </c>
      <c r="H261" s="573">
        <f t="shared" si="92"/>
        <v>110.33784368000002</v>
      </c>
      <c r="I261" s="573">
        <f t="shared" si="92"/>
        <v>179.90183170999998</v>
      </c>
      <c r="J261" s="573">
        <f t="shared" si="92"/>
        <v>62.767338909999999</v>
      </c>
      <c r="K261" s="573">
        <f t="shared" si="92"/>
        <v>90.432928369999999</v>
      </c>
      <c r="L261" s="573">
        <f t="shared" si="92"/>
        <v>301.78569806000002</v>
      </c>
      <c r="M261" s="573">
        <f t="shared" si="92"/>
        <v>198.67608303999995</v>
      </c>
      <c r="N261" s="573">
        <f t="shared" si="92"/>
        <v>126.83904541000001</v>
      </c>
      <c r="O261" s="573">
        <f t="shared" si="92"/>
        <v>220.70876278999998</v>
      </c>
      <c r="P261" s="573">
        <f t="shared" si="92"/>
        <v>380.71564824000006</v>
      </c>
      <c r="Q261" s="573">
        <f t="shared" si="92"/>
        <v>323.59056047000007</v>
      </c>
      <c r="R261" s="573">
        <f t="shared" ref="R261" si="93">R23+R57+R91+R125+R159+R193+R227</f>
        <v>342.80935398000003</v>
      </c>
      <c r="S261" s="764">
        <f t="shared" si="67"/>
        <v>59.391072929999993</v>
      </c>
    </row>
    <row r="262" spans="3:19">
      <c r="C262" s="565" t="s">
        <v>1947</v>
      </c>
      <c r="D262" s="565" t="s">
        <v>1948</v>
      </c>
      <c r="F262" s="573">
        <f t="shared" ref="F262:Q262" si="94">F24+F58+F92+F126+F160+F194+F228</f>
        <v>362.40967038000002</v>
      </c>
      <c r="G262" s="573">
        <f t="shared" si="94"/>
        <v>449.62851398000021</v>
      </c>
      <c r="H262" s="573">
        <f t="shared" si="94"/>
        <v>265.49542102999999</v>
      </c>
      <c r="I262" s="573">
        <f t="shared" si="94"/>
        <v>260.55878720000021</v>
      </c>
      <c r="J262" s="573">
        <f t="shared" si="94"/>
        <v>93.214283979999948</v>
      </c>
      <c r="K262" s="573">
        <f t="shared" si="94"/>
        <v>495.35142300000018</v>
      </c>
      <c r="L262" s="573">
        <f t="shared" si="94"/>
        <v>1019.7316954300003</v>
      </c>
      <c r="M262" s="573">
        <f t="shared" si="94"/>
        <v>26.643178029999959</v>
      </c>
      <c r="N262" s="573">
        <f t="shared" si="94"/>
        <v>294.61877834000006</v>
      </c>
      <c r="O262" s="573">
        <f t="shared" si="94"/>
        <v>915.31116853999993</v>
      </c>
      <c r="P262" s="573">
        <f t="shared" si="94"/>
        <v>1247.6298521399999</v>
      </c>
      <c r="Q262" s="573">
        <f t="shared" si="94"/>
        <v>788.97979398000007</v>
      </c>
      <c r="R262" s="573">
        <f t="shared" ref="R262" si="95">R24+R58+R92+R126+R160+R194+R228</f>
        <v>242.68929969999994</v>
      </c>
      <c r="S262" s="764">
        <f t="shared" si="67"/>
        <v>1316.5398657800001</v>
      </c>
    </row>
    <row r="263" spans="3:19">
      <c r="C263" s="563" t="s">
        <v>1949</v>
      </c>
      <c r="D263" s="563" t="s">
        <v>1950</v>
      </c>
      <c r="F263" s="573">
        <f t="shared" ref="F263:Q263" si="96">F25+F59+F93+F127+F161+F195+F229</f>
        <v>2329.2670290699998</v>
      </c>
      <c r="G263" s="573">
        <f t="shared" si="96"/>
        <v>1758.4666894100003</v>
      </c>
      <c r="H263" s="573">
        <f t="shared" si="96"/>
        <v>1903.7357504199997</v>
      </c>
      <c r="I263" s="573">
        <f t="shared" si="96"/>
        <v>1999.84338983</v>
      </c>
      <c r="J263" s="573">
        <f t="shared" si="96"/>
        <v>1538.5846065200001</v>
      </c>
      <c r="K263" s="573">
        <f t="shared" si="96"/>
        <v>1958.7587202799996</v>
      </c>
      <c r="L263" s="573">
        <f t="shared" si="96"/>
        <v>2261.1591845700004</v>
      </c>
      <c r="M263" s="573">
        <f t="shared" si="96"/>
        <v>2619.3834265800006</v>
      </c>
      <c r="N263" s="573">
        <f t="shared" si="96"/>
        <v>2252.2105844999996</v>
      </c>
      <c r="O263" s="573">
        <f t="shared" si="96"/>
        <v>2674.2431756900005</v>
      </c>
      <c r="P263" s="573">
        <f t="shared" si="96"/>
        <v>2932.0142639399992</v>
      </c>
      <c r="Q263" s="573">
        <f t="shared" si="96"/>
        <v>2742.86433085</v>
      </c>
      <c r="R263" s="573">
        <f t="shared" ref="R263" si="97">R25+R59+R93+R127+R161+R195+R229</f>
        <v>2536.14749643</v>
      </c>
      <c r="S263" s="764">
        <f t="shared" si="67"/>
        <v>2527.2848750200001</v>
      </c>
    </row>
    <row r="264" spans="3:19">
      <c r="C264" s="566" t="s">
        <v>1951</v>
      </c>
      <c r="D264" s="566" t="s">
        <v>1952</v>
      </c>
      <c r="F264" s="574">
        <f t="shared" ref="F264:Q264" si="98">F26+F60+F94+F128+F162+F196+F230</f>
        <v>12413.182737020001</v>
      </c>
      <c r="G264" s="574">
        <f t="shared" si="98"/>
        <v>11806.30977394</v>
      </c>
      <c r="H264" s="574">
        <f t="shared" si="98"/>
        <v>12913.120636109998</v>
      </c>
      <c r="I264" s="574">
        <f t="shared" si="98"/>
        <v>14460.349197269999</v>
      </c>
      <c r="J264" s="574">
        <f t="shared" si="98"/>
        <v>13036.065712790001</v>
      </c>
      <c r="K264" s="574">
        <f t="shared" si="98"/>
        <v>13745.137362609999</v>
      </c>
      <c r="L264" s="574">
        <f t="shared" si="98"/>
        <v>15155.008876489999</v>
      </c>
      <c r="M264" s="574">
        <f t="shared" si="98"/>
        <v>15482.172598450001</v>
      </c>
      <c r="N264" s="574">
        <f t="shared" si="98"/>
        <v>14265.32953429</v>
      </c>
      <c r="O264" s="574">
        <f t="shared" si="98"/>
        <v>15684.817521449999</v>
      </c>
      <c r="P264" s="574">
        <f t="shared" si="98"/>
        <v>17044.202525139997</v>
      </c>
      <c r="Q264" s="574">
        <f t="shared" si="98"/>
        <v>18249.347892800004</v>
      </c>
      <c r="R264" s="574">
        <f t="shared" ref="R264" si="99">R26+R60+R94+R128+R162+R196+R230</f>
        <v>16511.12589304</v>
      </c>
      <c r="S264" s="765">
        <f t="shared" si="67"/>
        <v>17919.557849340003</v>
      </c>
    </row>
    <row r="265" spans="3:19">
      <c r="C265" s="565" t="s">
        <v>1953</v>
      </c>
      <c r="D265" s="565" t="s">
        <v>859</v>
      </c>
      <c r="F265" s="569">
        <f t="shared" ref="F265:Q265" si="100">F27+F61+F95+F129+F163+F197+F231</f>
        <v>-2994.7536310999994</v>
      </c>
      <c r="G265" s="569">
        <f t="shared" si="100"/>
        <v>-3288.9001040499998</v>
      </c>
      <c r="H265" s="569">
        <f t="shared" si="100"/>
        <v>-3413.0164959899998</v>
      </c>
      <c r="I265" s="569">
        <f t="shared" si="100"/>
        <v>-3901.6009623099999</v>
      </c>
      <c r="J265" s="569">
        <f t="shared" si="100"/>
        <v>-3862.9425326699998</v>
      </c>
      <c r="K265" s="569">
        <f t="shared" si="100"/>
        <v>-3967.9696029400002</v>
      </c>
      <c r="L265" s="569">
        <f t="shared" si="100"/>
        <v>-3960.5696177599998</v>
      </c>
      <c r="M265" s="569">
        <f t="shared" si="100"/>
        <v>-3983.3692996099999</v>
      </c>
      <c r="N265" s="569">
        <f t="shared" si="100"/>
        <v>-3673.5357764599999</v>
      </c>
      <c r="O265" s="569">
        <f t="shared" si="100"/>
        <v>-4126.9839168600001</v>
      </c>
      <c r="P265" s="569">
        <f t="shared" si="100"/>
        <v>-4434.6901402399999</v>
      </c>
      <c r="Q265" s="569">
        <f t="shared" si="100"/>
        <v>-5168.4246140499999</v>
      </c>
      <c r="R265" s="569">
        <f t="shared" ref="R265" si="101">R27+R61+R95+R129+R163+R197+R231</f>
        <v>-4666.2672287199994</v>
      </c>
      <c r="S265" s="760">
        <f t="shared" si="67"/>
        <v>-4968.0179725199996</v>
      </c>
    </row>
    <row r="266" spans="3:19">
      <c r="C266" s="564" t="s">
        <v>1954</v>
      </c>
      <c r="D266" s="564" t="s">
        <v>1955</v>
      </c>
      <c r="F266" s="572">
        <f t="shared" ref="F266:Q266" si="102">F28+F62+F96+F130+F164+F198+F232</f>
        <v>-59.324725690000001</v>
      </c>
      <c r="G266" s="572">
        <f t="shared" si="102"/>
        <v>-73.793425400000004</v>
      </c>
      <c r="H266" s="572">
        <f t="shared" si="102"/>
        <v>-49.992098919999989</v>
      </c>
      <c r="I266" s="572">
        <f t="shared" si="102"/>
        <v>-100.34951029</v>
      </c>
      <c r="J266" s="572">
        <f t="shared" si="102"/>
        <v>-142.51662267</v>
      </c>
      <c r="K266" s="572">
        <f t="shared" si="102"/>
        <v>-111.83753073000001</v>
      </c>
      <c r="L266" s="572">
        <f t="shared" si="102"/>
        <v>-68.783384220000002</v>
      </c>
      <c r="M266" s="572">
        <f t="shared" si="102"/>
        <v>-102.99588768999999</v>
      </c>
      <c r="N266" s="572">
        <f t="shared" si="102"/>
        <v>-112.19131683000001</v>
      </c>
      <c r="O266" s="572">
        <f t="shared" si="102"/>
        <v>-87.441818580000003</v>
      </c>
      <c r="P266" s="572">
        <f t="shared" si="102"/>
        <v>-48.744330789999992</v>
      </c>
      <c r="Q266" s="572">
        <f t="shared" si="102"/>
        <v>-63.30280989000002</v>
      </c>
      <c r="R266" s="572">
        <f t="shared" ref="R266" si="103">R28+R62+R96+R130+R164+R198+R232</f>
        <v>-85.932647779999996</v>
      </c>
      <c r="S266" s="763">
        <f t="shared" si="67"/>
        <v>-71.47958466</v>
      </c>
    </row>
    <row r="267" spans="3:19">
      <c r="C267" s="564" t="s">
        <v>1956</v>
      </c>
      <c r="D267" s="564" t="s">
        <v>1957</v>
      </c>
      <c r="F267" s="572">
        <f t="shared" ref="F267:Q267" si="104">F29+F63+F97+F131+F165+F199+F233</f>
        <v>-875.99923441999988</v>
      </c>
      <c r="G267" s="572">
        <f t="shared" si="104"/>
        <v>-922.18449358999999</v>
      </c>
      <c r="H267" s="572">
        <f t="shared" si="104"/>
        <v>-939.81660979000003</v>
      </c>
      <c r="I267" s="572">
        <f t="shared" si="104"/>
        <v>-1009.19807206</v>
      </c>
      <c r="J267" s="572">
        <f t="shared" si="104"/>
        <v>-1108.7970752699998</v>
      </c>
      <c r="K267" s="572">
        <f t="shared" si="104"/>
        <v>-1123.25551079</v>
      </c>
      <c r="L267" s="572">
        <f t="shared" si="104"/>
        <v>-1053.6645540400002</v>
      </c>
      <c r="M267" s="572">
        <f t="shared" si="104"/>
        <v>-649.40572907000001</v>
      </c>
      <c r="N267" s="572">
        <f t="shared" si="104"/>
        <v>-977.23437472000012</v>
      </c>
      <c r="O267" s="572">
        <f t="shared" si="104"/>
        <v>-1003.77523065</v>
      </c>
      <c r="P267" s="572">
        <f t="shared" si="104"/>
        <v>-1338.5923780900002</v>
      </c>
      <c r="Q267" s="572">
        <f t="shared" si="104"/>
        <v>-1415.2889995199998</v>
      </c>
      <c r="R267" s="572">
        <f t="shared" ref="R267" si="105">R29+R63+R97+R131+R165+R199+R233</f>
        <v>-1412.1579342600003</v>
      </c>
      <c r="S267" s="763">
        <f t="shared" si="67"/>
        <v>-1413.1551055700002</v>
      </c>
    </row>
    <row r="268" spans="3:19">
      <c r="C268" s="564" t="s">
        <v>1958</v>
      </c>
      <c r="D268" s="564" t="s">
        <v>1959</v>
      </c>
      <c r="F268" s="572">
        <f t="shared" ref="F268:Q268" si="106">F30+F64+F98+F132+F166+F200+F234</f>
        <v>-2059.42967099</v>
      </c>
      <c r="G268" s="572">
        <f t="shared" si="106"/>
        <v>-2292.9221850600006</v>
      </c>
      <c r="H268" s="572">
        <f t="shared" si="106"/>
        <v>-2423.20778728</v>
      </c>
      <c r="I268" s="572">
        <f t="shared" si="106"/>
        <v>-2792.0533799599998</v>
      </c>
      <c r="J268" s="572">
        <f t="shared" si="106"/>
        <v>-2611.6288347300001</v>
      </c>
      <c r="K268" s="572">
        <f t="shared" si="106"/>
        <v>-2732.8765614199997</v>
      </c>
      <c r="L268" s="572">
        <f t="shared" si="106"/>
        <v>-2838.1216794999996</v>
      </c>
      <c r="M268" s="572">
        <f t="shared" si="106"/>
        <v>-3230.9676828500001</v>
      </c>
      <c r="N268" s="572">
        <f t="shared" si="106"/>
        <v>-2584.1100849100003</v>
      </c>
      <c r="O268" s="572">
        <f t="shared" si="106"/>
        <v>-3035.76686763</v>
      </c>
      <c r="P268" s="572">
        <f t="shared" si="106"/>
        <v>-3047.3534313600003</v>
      </c>
      <c r="Q268" s="572">
        <f t="shared" si="106"/>
        <v>-3689.8328046400002</v>
      </c>
      <c r="R268" s="572">
        <f t="shared" ref="R268" si="107">R30+R64+R98+R132+R166+R200+R234</f>
        <v>-3168.17664668</v>
      </c>
      <c r="S268" s="763">
        <f t="shared" si="67"/>
        <v>-3483.3832822899994</v>
      </c>
    </row>
    <row r="269" spans="3:19">
      <c r="C269" s="566" t="s">
        <v>1960</v>
      </c>
      <c r="D269" s="566" t="s">
        <v>1961</v>
      </c>
      <c r="F269" s="574">
        <f t="shared" ref="F269:Q269" si="108">F31+F65+F99+F133+F167+F201+F235</f>
        <v>9418.4291059200004</v>
      </c>
      <c r="G269" s="574">
        <f t="shared" si="108"/>
        <v>8517.4096698900012</v>
      </c>
      <c r="H269" s="574">
        <f t="shared" si="108"/>
        <v>9500.1041401199982</v>
      </c>
      <c r="I269" s="574">
        <f t="shared" si="108"/>
        <v>10558.74823496</v>
      </c>
      <c r="J269" s="574">
        <f t="shared" si="108"/>
        <v>9173.1231801200011</v>
      </c>
      <c r="K269" s="574">
        <f t="shared" si="108"/>
        <v>9777.167759670001</v>
      </c>
      <c r="L269" s="574">
        <f t="shared" si="108"/>
        <v>11194.439258730001</v>
      </c>
      <c r="M269" s="574">
        <f t="shared" si="108"/>
        <v>11498.803298840001</v>
      </c>
      <c r="N269" s="574">
        <f t="shared" si="108"/>
        <v>10591.793757830001</v>
      </c>
      <c r="O269" s="574">
        <f t="shared" si="108"/>
        <v>11557.83360459</v>
      </c>
      <c r="P269" s="574">
        <f t="shared" si="108"/>
        <v>12609.512384899997</v>
      </c>
      <c r="Q269" s="574">
        <f t="shared" si="108"/>
        <v>13080.92327875</v>
      </c>
      <c r="R269" s="574">
        <f t="shared" ref="R269" si="109">R31+R65+R99+R133+R167+R201+R235</f>
        <v>11844.85866432</v>
      </c>
      <c r="S269" s="765">
        <f t="shared" si="67"/>
        <v>12951.539876819999</v>
      </c>
    </row>
    <row r="270" spans="3:19">
      <c r="C270" s="565" t="s">
        <v>1962</v>
      </c>
      <c r="D270" s="565" t="s">
        <v>1963</v>
      </c>
      <c r="F270" s="573">
        <f t="shared" ref="F270:Q270" si="110">F32+F66+F100+F134+F168+F202+F236</f>
        <v>-2329.2670290699998</v>
      </c>
      <c r="G270" s="573">
        <f t="shared" si="110"/>
        <v>-1758.4666894100003</v>
      </c>
      <c r="H270" s="573">
        <f t="shared" si="110"/>
        <v>-1903.7357504199997</v>
      </c>
      <c r="I270" s="573">
        <f t="shared" si="110"/>
        <v>-1999.84338983</v>
      </c>
      <c r="J270" s="573">
        <f t="shared" si="110"/>
        <v>-1538.5846065200001</v>
      </c>
      <c r="K270" s="573">
        <f t="shared" si="110"/>
        <v>-1958.7587202799996</v>
      </c>
      <c r="L270" s="573">
        <f t="shared" si="110"/>
        <v>-2261.1591845700004</v>
      </c>
      <c r="M270" s="573">
        <f t="shared" si="110"/>
        <v>-2619.3834265800006</v>
      </c>
      <c r="N270" s="573">
        <f t="shared" si="110"/>
        <v>-2252.2105844999996</v>
      </c>
      <c r="O270" s="573">
        <f t="shared" si="110"/>
        <v>-2674.2431756900005</v>
      </c>
      <c r="P270" s="573">
        <f t="shared" si="110"/>
        <v>-2932.0142639399992</v>
      </c>
      <c r="Q270" s="573">
        <f t="shared" si="110"/>
        <v>-2742.86433085</v>
      </c>
      <c r="R270" s="573">
        <f t="shared" ref="R270" si="111">R32+R66+R100+R134+R168+R202+R236</f>
        <v>-2536.14749643</v>
      </c>
      <c r="S270" s="764">
        <f t="shared" si="67"/>
        <v>-2527.2848750200001</v>
      </c>
    </row>
    <row r="271" spans="3:19">
      <c r="C271" s="566" t="s">
        <v>1964</v>
      </c>
      <c r="D271" s="566" t="s">
        <v>1965</v>
      </c>
      <c r="F271" s="574">
        <f t="shared" ref="F271:Q271" si="112">F33+F67+F101+F135+F169+F203+F237</f>
        <v>7089.1620768500015</v>
      </c>
      <c r="G271" s="574">
        <f t="shared" si="112"/>
        <v>6758.9429804799993</v>
      </c>
      <c r="H271" s="574">
        <f t="shared" si="112"/>
        <v>7596.3683896999992</v>
      </c>
      <c r="I271" s="574">
        <f t="shared" si="112"/>
        <v>8558.9048451300005</v>
      </c>
      <c r="J271" s="574">
        <f t="shared" si="112"/>
        <v>7634.5385735999998</v>
      </c>
      <c r="K271" s="574">
        <f t="shared" si="112"/>
        <v>7818.4090393900005</v>
      </c>
      <c r="L271" s="574">
        <f t="shared" si="112"/>
        <v>8933.2800741600004</v>
      </c>
      <c r="M271" s="574">
        <f t="shared" si="112"/>
        <v>8879.4198722600013</v>
      </c>
      <c r="N271" s="574">
        <f t="shared" si="112"/>
        <v>8339.5831733300001</v>
      </c>
      <c r="O271" s="574">
        <f t="shared" si="112"/>
        <v>8883.5904288999991</v>
      </c>
      <c r="P271" s="574">
        <f t="shared" si="112"/>
        <v>9677.498120960001</v>
      </c>
      <c r="Q271" s="574">
        <f t="shared" si="112"/>
        <v>10338.058947900001</v>
      </c>
      <c r="R271" s="574">
        <f t="shared" ref="R271" si="113">R33+R67+R101+R135+R169+R203+R237</f>
        <v>9308.7111678900001</v>
      </c>
      <c r="S271" s="765">
        <f t="shared" si="67"/>
        <v>10424.2550018</v>
      </c>
    </row>
    <row r="272" spans="3:19">
      <c r="C272" s="567" t="s">
        <v>1966</v>
      </c>
      <c r="D272" s="567" t="s">
        <v>1967</v>
      </c>
      <c r="F272" s="570">
        <f t="shared" ref="F272:Q272" si="114">F34+F68+F102+F136+F170+F204+F238</f>
        <v>-3960.4238045500001</v>
      </c>
      <c r="G272" s="570">
        <f t="shared" si="114"/>
        <v>-3855.1348598</v>
      </c>
      <c r="H272" s="570">
        <f t="shared" si="114"/>
        <v>-4057.7749533599999</v>
      </c>
      <c r="I272" s="570">
        <f t="shared" si="114"/>
        <v>-4892.9967473500001</v>
      </c>
      <c r="J272" s="570">
        <f t="shared" si="114"/>
        <v>-4054.6096031499997</v>
      </c>
      <c r="K272" s="570">
        <f t="shared" si="114"/>
        <v>-4259.2169143199999</v>
      </c>
      <c r="L272" s="570">
        <f t="shared" si="114"/>
        <v>-5134.2362947700003</v>
      </c>
      <c r="M272" s="570">
        <f t="shared" si="114"/>
        <v>-5335.6883663600001</v>
      </c>
      <c r="N272" s="570">
        <f t="shared" si="114"/>
        <v>-4413.9143973200007</v>
      </c>
      <c r="O272" s="570">
        <f t="shared" si="114"/>
        <v>-4903.3059082299997</v>
      </c>
      <c r="P272" s="570">
        <f t="shared" si="114"/>
        <v>-5769.5811174499995</v>
      </c>
      <c r="Q272" s="570">
        <f t="shared" si="114"/>
        <v>-5677.1118491300003</v>
      </c>
      <c r="R272" s="570">
        <f t="shared" ref="R272" si="115">R34+R68+R102+R136+R170+R204+R238</f>
        <v>-4900.0284575900005</v>
      </c>
      <c r="S272" s="761">
        <f t="shared" si="67"/>
        <v>-5637.2243808399999</v>
      </c>
    </row>
    <row r="273" spans="3:19">
      <c r="C273" s="566" t="s">
        <v>1968</v>
      </c>
      <c r="D273" s="566" t="s">
        <v>1969</v>
      </c>
      <c r="F273" s="574">
        <f t="shared" ref="F273:Q273" si="116">F35+F69+F103+F137+F171+F205+F239</f>
        <v>3128.7382723000001</v>
      </c>
      <c r="G273" s="574">
        <f t="shared" si="116"/>
        <v>2903.8081206800007</v>
      </c>
      <c r="H273" s="574">
        <f t="shared" si="116"/>
        <v>3538.5934363399983</v>
      </c>
      <c r="I273" s="574">
        <f t="shared" si="116"/>
        <v>3665.9080977799995</v>
      </c>
      <c r="J273" s="574">
        <f t="shared" si="116"/>
        <v>3579.9289704499997</v>
      </c>
      <c r="K273" s="574">
        <f t="shared" si="116"/>
        <v>3559.1921250700016</v>
      </c>
      <c r="L273" s="574">
        <f t="shared" si="116"/>
        <v>3799.0437793900005</v>
      </c>
      <c r="M273" s="574">
        <f t="shared" si="116"/>
        <v>3543.7315059000025</v>
      </c>
      <c r="N273" s="574">
        <f t="shared" si="116"/>
        <v>3925.6687760099994</v>
      </c>
      <c r="O273" s="574">
        <f t="shared" si="116"/>
        <v>3980.2845206699994</v>
      </c>
      <c r="P273" s="574">
        <f t="shared" si="116"/>
        <v>3907.9170035099987</v>
      </c>
      <c r="Q273" s="574">
        <f t="shared" si="116"/>
        <v>4660.9470987700006</v>
      </c>
      <c r="R273" s="574">
        <f t="shared" ref="R273" si="117">R35+R69+R103+R137+R171+R205+R239</f>
        <v>4408.6827103000014</v>
      </c>
      <c r="S273" s="765">
        <f t="shared" si="67"/>
        <v>4787.0306209599985</v>
      </c>
    </row>
    <row r="274" spans="3:19">
      <c r="C274" s="567" t="s">
        <v>1970</v>
      </c>
      <c r="D274" s="567" t="s">
        <v>1971</v>
      </c>
      <c r="F274" s="570">
        <f t="shared" ref="F274:Q274" si="118">F36+F70+F104+F138+F172+F206+F240</f>
        <v>-93.01164352589268</v>
      </c>
      <c r="G274" s="570">
        <f t="shared" si="118"/>
        <v>134.0332701779493</v>
      </c>
      <c r="H274" s="570">
        <f t="shared" si="118"/>
        <v>-33.764427359149799</v>
      </c>
      <c r="I274" s="570">
        <f t="shared" si="118"/>
        <v>24.788653015201433</v>
      </c>
      <c r="J274" s="570">
        <f t="shared" si="118"/>
        <v>46.16098667820863</v>
      </c>
      <c r="K274" s="570">
        <f t="shared" si="118"/>
        <v>-81.325590198165003</v>
      </c>
      <c r="L274" s="570">
        <f t="shared" si="118"/>
        <v>-37.513273230926004</v>
      </c>
      <c r="M274" s="570">
        <f t="shared" si="118"/>
        <v>445.88752649406911</v>
      </c>
      <c r="N274" s="570">
        <f t="shared" si="118"/>
        <v>17.7062319486222</v>
      </c>
      <c r="O274" s="570">
        <f t="shared" si="118"/>
        <v>0</v>
      </c>
      <c r="P274" s="570">
        <f t="shared" si="118"/>
        <v>50.964000000000006</v>
      </c>
      <c r="Q274" s="570">
        <f t="shared" si="118"/>
        <v>-212.026498</v>
      </c>
      <c r="R274" s="570">
        <f t="shared" ref="R274" si="119">R36+R70+R104+R138+R172+R206+R240</f>
        <v>27.835864345475699</v>
      </c>
      <c r="S274" s="761">
        <f t="shared" si="67"/>
        <v>-321.78434565842502</v>
      </c>
    </row>
    <row r="275" spans="3:19">
      <c r="C275" s="567" t="s">
        <v>1972</v>
      </c>
      <c r="D275" s="567" t="s">
        <v>1972</v>
      </c>
      <c r="F275" s="570">
        <f t="shared" ref="F275:Q275" si="120">F37+F71+F105+F139+F173+F207+F241</f>
        <v>-32.568996449999993</v>
      </c>
      <c r="G275" s="570">
        <f t="shared" si="120"/>
        <v>-96.263215729999985</v>
      </c>
      <c r="H275" s="570">
        <f t="shared" si="120"/>
        <v>-292.46779280999999</v>
      </c>
      <c r="I275" s="570">
        <f t="shared" si="120"/>
        <v>-197.62915752999993</v>
      </c>
      <c r="J275" s="570">
        <f t="shared" si="120"/>
        <v>-200.72769393999999</v>
      </c>
      <c r="K275" s="570">
        <f t="shared" si="120"/>
        <v>-169.57867533000001</v>
      </c>
      <c r="L275" s="570">
        <f t="shared" si="120"/>
        <v>-55.521429239999968</v>
      </c>
      <c r="M275" s="570">
        <f t="shared" si="120"/>
        <v>-177.50100680000003</v>
      </c>
      <c r="N275" s="570">
        <f t="shared" si="120"/>
        <v>-343.55930715000005</v>
      </c>
      <c r="O275" s="570">
        <f t="shared" si="120"/>
        <v>-207.80030794999993</v>
      </c>
      <c r="P275" s="570">
        <f t="shared" si="120"/>
        <v>-41.903720080000042</v>
      </c>
      <c r="Q275" s="570">
        <f t="shared" si="120"/>
        <v>-96.001731960000029</v>
      </c>
      <c r="R275" s="570">
        <f t="shared" ref="R275" si="121">R37+R71+R105+R139+R173+R207+R241</f>
        <v>-348.94604835000001</v>
      </c>
      <c r="S275" s="761">
        <f t="shared" si="67"/>
        <v>-299.68050650999999</v>
      </c>
    </row>
    <row r="276" spans="3:19">
      <c r="C276" s="566" t="s">
        <v>1973</v>
      </c>
      <c r="D276" s="566" t="s">
        <v>1974</v>
      </c>
      <c r="F276" s="574">
        <f t="shared" ref="F276:Q276" si="122">F38+F72+F106+F140+F174+F208+F242</f>
        <v>3003.1576323241079</v>
      </c>
      <c r="G276" s="574">
        <f t="shared" si="122"/>
        <v>2941.5781751279501</v>
      </c>
      <c r="H276" s="574">
        <f t="shared" si="122"/>
        <v>3212.3612161708488</v>
      </c>
      <c r="I276" s="574">
        <f t="shared" si="122"/>
        <v>3493.0675932652011</v>
      </c>
      <c r="J276" s="574">
        <f t="shared" si="122"/>
        <v>3425.3622631882081</v>
      </c>
      <c r="K276" s="574">
        <f t="shared" si="122"/>
        <v>3308.2878595418356</v>
      </c>
      <c r="L276" s="574">
        <f t="shared" si="122"/>
        <v>3706.0090769190742</v>
      </c>
      <c r="M276" s="574">
        <f t="shared" si="122"/>
        <v>3812.1180255940717</v>
      </c>
      <c r="N276" s="574">
        <f t="shared" si="122"/>
        <v>3599.8157008086218</v>
      </c>
      <c r="O276" s="574">
        <f t="shared" si="122"/>
        <v>3772.4842127199991</v>
      </c>
      <c r="P276" s="574">
        <f t="shared" si="122"/>
        <v>3916.9772834299993</v>
      </c>
      <c r="Q276" s="574">
        <f t="shared" si="122"/>
        <v>4352.9188688100003</v>
      </c>
      <c r="R276" s="574">
        <f t="shared" ref="R276" si="123">R38+R72+R106+R140+R174+R208+R242</f>
        <v>4087.572526295477</v>
      </c>
      <c r="S276" s="765">
        <f t="shared" si="67"/>
        <v>4165.5657687915736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4fe9c80-94cf-4020-8681-39b8c8bd0d52">
      <Terms xmlns="http://schemas.microsoft.com/office/infopath/2007/PartnerControls"/>
    </lcf76f155ced4ddcb4097134ff3c332f>
    <TaxCatchAll xmlns="cdcab5b5-3742-4006-a8e2-5e4262a551e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D607EAAD0DBE45964E53B615BE650E" ma:contentTypeVersion="16" ma:contentTypeDescription="Crie um novo documento." ma:contentTypeScope="" ma:versionID="b40b8b40e9631faf3741a38c76de7171">
  <xsd:schema xmlns:xsd="http://www.w3.org/2001/XMLSchema" xmlns:xs="http://www.w3.org/2001/XMLSchema" xmlns:p="http://schemas.microsoft.com/office/2006/metadata/properties" xmlns:ns2="54fe9c80-94cf-4020-8681-39b8c8bd0d52" xmlns:ns3="cdcab5b5-3742-4006-a8e2-5e4262a551e3" targetNamespace="http://schemas.microsoft.com/office/2006/metadata/properties" ma:root="true" ma:fieldsID="a53ffc370f68bd5e22718f478b599cb1" ns2:_="" ns3:_="">
    <xsd:import namespace="54fe9c80-94cf-4020-8681-39b8c8bd0d52"/>
    <xsd:import namespace="cdcab5b5-3742-4006-a8e2-5e4262a551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fe9c80-94cf-4020-8681-39b8c8bd0d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296ee902-957c-4640-87b6-40205da5e2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ab5b5-3742-4006-a8e2-5e4262a551e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f145d1a-dadc-4c6e-b8ac-b51f39fe42ed}" ma:internalName="TaxCatchAll" ma:showField="CatchAllData" ma:web="cdcab5b5-3742-4006-a8e2-5e4262a551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6F977E-EAF5-4B39-B5C9-AEABD5AA2F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EC25F1-82FF-40C2-AC62-6B6D648C1FA9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  <ds:schemaRef ds:uri="fd0a83cb-0e1d-4123-807e-bc17a5f423e5"/>
    <ds:schemaRef ds:uri="http://www.w3.org/XML/1998/namespace"/>
    <ds:schemaRef ds:uri="54fe9c80-94cf-4020-8681-39b8c8bd0d52"/>
    <ds:schemaRef ds:uri="cdcab5b5-3742-4006-a8e2-5e4262a551e3"/>
  </ds:schemaRefs>
</ds:datastoreItem>
</file>

<file path=customXml/itemProps3.xml><?xml version="1.0" encoding="utf-8"?>
<ds:datastoreItem xmlns:ds="http://schemas.openxmlformats.org/officeDocument/2006/customXml" ds:itemID="{3E9A2511-A246-47D0-B080-AA5C076A35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fe9c80-94cf-4020-8681-39b8c8bd0d52"/>
    <ds:schemaRef ds:uri="cdcab5b5-3742-4006-a8e2-5e4262a551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105</vt:i4>
      </vt:variant>
    </vt:vector>
  </HeadingPairs>
  <TitlesOfParts>
    <vt:vector size="105" baseType="lpstr">
      <vt:lpstr>Atualizações</vt:lpstr>
      <vt:lpstr>Updates</vt:lpstr>
      <vt:lpstr>Cover Page</vt:lpstr>
      <vt:lpstr>Capa</vt:lpstr>
      <vt:lpstr>Operacional</vt:lpstr>
      <vt:lpstr>Operational Indicators</vt:lpstr>
      <vt:lpstr>ESG</vt:lpstr>
      <vt:lpstr>Mercado Distribuição (Pré CP09)</vt:lpstr>
      <vt:lpstr>Mercado Distribuição (Pós CP09)</vt:lpstr>
      <vt:lpstr>Bal. Energético D (Pré CP 09)</vt:lpstr>
      <vt:lpstr>Bal. Energético D (Pós CP 09)</vt:lpstr>
      <vt:lpstr>Perdas Distribuição (Pré CP 09)</vt:lpstr>
      <vt:lpstr>Perdas Distribuição (Pós CP 09)</vt:lpstr>
      <vt:lpstr>Operacional Saneamento</vt:lpstr>
      <vt:lpstr>Operacional Renováveis</vt:lpstr>
      <vt:lpstr>Portfolio de Ativos Renováveis</vt:lpstr>
      <vt:lpstr>IAR PDD</vt:lpstr>
      <vt:lpstr>DEC FEC</vt:lpstr>
      <vt:lpstr>Contratos Distribuição</vt:lpstr>
      <vt:lpstr>DRE ITR</vt:lpstr>
      <vt:lpstr>Standard Income Statement</vt:lpstr>
      <vt:lpstr>DRE ITR Maranhão</vt:lpstr>
      <vt:lpstr>DRE ITR Pará</vt:lpstr>
      <vt:lpstr>DRE ITR Piauí</vt:lpstr>
      <vt:lpstr>DRE ITR Alagoas</vt:lpstr>
      <vt:lpstr>DRE ITR CEEE-D</vt:lpstr>
      <vt:lpstr>DRE ITR CEA</vt:lpstr>
      <vt:lpstr>DRE ITR Goiás</vt:lpstr>
      <vt:lpstr>DRE ITR Echo Participações</vt:lpstr>
      <vt:lpstr>DRE ITR Echo Crescimento</vt:lpstr>
      <vt:lpstr>DRE ITR SPEs</vt:lpstr>
      <vt:lpstr>DRE ITR EQTT</vt:lpstr>
      <vt:lpstr>DRE ITR INTESA</vt:lpstr>
      <vt:lpstr>DRE ITR CSA</vt:lpstr>
      <vt:lpstr>DRE ITR Serviços</vt:lpstr>
      <vt:lpstr>DRE ITR Holding</vt:lpstr>
      <vt:lpstr>DRE ITR Consolidado</vt:lpstr>
      <vt:lpstr>DRE Resumida</vt:lpstr>
      <vt:lpstr>P&amp;L Statement</vt:lpstr>
      <vt:lpstr>DRE Maranhão</vt:lpstr>
      <vt:lpstr>DRE Pará</vt:lpstr>
      <vt:lpstr>DRE Piauí</vt:lpstr>
      <vt:lpstr>DRE Alagoas</vt:lpstr>
      <vt:lpstr>DRE CEEE-D</vt:lpstr>
      <vt:lpstr>DRE CEA</vt:lpstr>
      <vt:lpstr>DRE Goiás</vt:lpstr>
      <vt:lpstr>DRE Intesa IFRS</vt:lpstr>
      <vt:lpstr>DRE Intesa Reg</vt:lpstr>
      <vt:lpstr>DRE EQTT IFRS</vt:lpstr>
      <vt:lpstr>DRE EQTT Reg</vt:lpstr>
      <vt:lpstr>DRE Echo Participações</vt:lpstr>
      <vt:lpstr>DRE Echo Crescimento</vt:lpstr>
      <vt:lpstr>DRE CSA</vt:lpstr>
      <vt:lpstr>DRE EQTL Serviços</vt:lpstr>
      <vt:lpstr>DRE EQTL Holding</vt:lpstr>
      <vt:lpstr>DRE EQTL Cons </vt:lpstr>
      <vt:lpstr>DRE Individual</vt:lpstr>
      <vt:lpstr>Informações Financeiras Aj.</vt:lpstr>
      <vt:lpstr>BPs</vt:lpstr>
      <vt:lpstr>Balance Sheet</vt:lpstr>
      <vt:lpstr>BP Maranhão</vt:lpstr>
      <vt:lpstr>BP Pará</vt:lpstr>
      <vt:lpstr>BP Piauí</vt:lpstr>
      <vt:lpstr>BP Alagoas</vt:lpstr>
      <vt:lpstr>BP CEEE-D </vt:lpstr>
      <vt:lpstr>BP CEA</vt:lpstr>
      <vt:lpstr>BP CELG</vt:lpstr>
      <vt:lpstr>BP CSA</vt:lpstr>
      <vt:lpstr>BP EQTL Serviços</vt:lpstr>
      <vt:lpstr>BP Echo Participações</vt:lpstr>
      <vt:lpstr>BP Echo Crescimento</vt:lpstr>
      <vt:lpstr>BP Transmissão</vt:lpstr>
      <vt:lpstr>BP Intesa</vt:lpstr>
      <vt:lpstr>BP EQTL Holding</vt:lpstr>
      <vt:lpstr>BP EQTL Cons</vt:lpstr>
      <vt:lpstr>FCIs</vt:lpstr>
      <vt:lpstr>Cash Flow Statement</vt:lpstr>
      <vt:lpstr>FCI Maranhão</vt:lpstr>
      <vt:lpstr>FCI Pará</vt:lpstr>
      <vt:lpstr>FCI Piauí</vt:lpstr>
      <vt:lpstr>FCI Alagoas</vt:lpstr>
      <vt:lpstr>FCI CEEE-D</vt:lpstr>
      <vt:lpstr>FCI CEA</vt:lpstr>
      <vt:lpstr>FCI GO</vt:lpstr>
      <vt:lpstr>FCI CSA</vt:lpstr>
      <vt:lpstr>FCI Echo Participações</vt:lpstr>
      <vt:lpstr>FCI Echo Crescimento</vt:lpstr>
      <vt:lpstr>FCI EQTL Holding</vt:lpstr>
      <vt:lpstr>FCI EQTL Consolidado</vt:lpstr>
      <vt:lpstr>Dívida e CAPEX</vt:lpstr>
      <vt:lpstr>Debt and Capex</vt:lpstr>
      <vt:lpstr>Dívida Bruta</vt:lpstr>
      <vt:lpstr>Dívida Líquida</vt:lpstr>
      <vt:lpstr>Dívida Detalhada</vt:lpstr>
      <vt:lpstr>Investimentos</vt:lpstr>
      <vt:lpstr>Balanço CVA</vt:lpstr>
      <vt:lpstr>Sistemas Isolados</vt:lpstr>
      <vt:lpstr>Apuração IR CS </vt:lpstr>
      <vt:lpstr>Dados Regulatórios</vt:lpstr>
      <vt:lpstr>Regulatory Data</vt:lpstr>
      <vt:lpstr>Dados Concessões</vt:lpstr>
      <vt:lpstr>Dados Regulatórios Distribuição</vt:lpstr>
      <vt:lpstr>Beneficios Fiscais</vt:lpstr>
      <vt:lpstr>Fluxo Ações Preferenciais</vt:lpstr>
      <vt:lpstr>Tabela Margem Bruta</vt:lpstr>
    </vt:vector>
  </TitlesOfParts>
  <Manager/>
  <Company>Equatorial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MARTINS GUIMARAES</dc:creator>
  <cp:keywords/>
  <dc:description/>
  <cp:lastModifiedBy>MARIA EDUARDA DE OLIVEIRA PAOLUCCI</cp:lastModifiedBy>
  <cp:revision/>
  <dcterms:created xsi:type="dcterms:W3CDTF">2024-01-02T18:00:37Z</dcterms:created>
  <dcterms:modified xsi:type="dcterms:W3CDTF">2026-09-30T20:35:25Z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0x0101008AD607EAAD0DBE45964E53B615BE650E</vt:lpwstr>
  </property>
  <property fmtid="{D5CDD505-2E9C-101B-9397-08002B2CF9AE}" pid="3" name="MediaServiceImageTags">
    <vt:lpwstr/>
  </property>
</Properties>
</file>